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047783881afef846/My Documents/Excel/Income Tax Spreadsheet/21_1040/"/>
    </mc:Choice>
  </mc:AlternateContent>
  <xr:revisionPtr revIDLastSave="0" documentId="8_{EAC105FD-94EC-42BA-BE04-3631141E1697}" xr6:coauthVersionLast="47" xr6:coauthVersionMax="47" xr10:uidLastSave="{00000000-0000-0000-0000-000000000000}"/>
  <bookViews>
    <workbookView xWindow="-120" yWindow="-120" windowWidth="51840" windowHeight="21120" tabRatio="834" xr2:uid="{00000000-000D-0000-FFFF-FFFF00000000}"/>
  </bookViews>
  <sheets>
    <sheet name="Coversheet" sheetId="51" r:id="rId1"/>
    <sheet name="Table of Contents" sheetId="89" r:id="rId2"/>
    <sheet name="Instructions" sheetId="72" r:id="rId3"/>
    <sheet name="W-2s" sheetId="1" r:id="rId4"/>
    <sheet name="1099-INT" sheetId="69" r:id="rId5"/>
    <sheet name="1099-DIV" sheetId="70" r:id="rId6"/>
    <sheet name="1099-G" sheetId="87" r:id="rId7"/>
    <sheet name="1099-MISC" sheetId="75" r:id="rId8"/>
    <sheet name="1099-R" sheetId="30" r:id="rId9"/>
    <sheet name="SSA-1099" sheetId="40" r:id="rId10"/>
    <sheet name="1040" sheetId="2" r:id="rId11"/>
    <sheet name="Dependents" sheetId="95" r:id="rId12"/>
    <sheet name="Sch. 1" sheetId="78" r:id="rId13"/>
    <sheet name="Sch 1, Line 1 (SALT)" sheetId="12" r:id="rId14"/>
    <sheet name="Sch. 1, Line 20 (IRA)" sheetId="15" r:id="rId15"/>
    <sheet name="Sch. 1, Line 21 (Stu Loan)" sheetId="63" r:id="rId16"/>
    <sheet name="Sch. 2" sheetId="79" r:id="rId17"/>
    <sheet name="Sch. 3" sheetId="80" r:id="rId18"/>
    <sheet name="Earned Inc WS" sheetId="67" r:id="rId19"/>
    <sheet name="Lines 5ab (Simplified Meth WS)" sheetId="13" r:id="rId20"/>
    <sheet name="Line 6ab (SS Bene)" sheetId="14" r:id="rId21"/>
    <sheet name="Line 12a (SD Depnts)" sheetId="65" r:id="rId22"/>
    <sheet name="Line 16 (QDCG Tax)" sheetId="98" r:id="rId23"/>
    <sheet name="Line 27a (EIC)" sheetId="60" r:id="rId24"/>
    <sheet name="Line 30 (Rebate Credit)" sheetId="92" r:id="rId25"/>
    <sheet name="Sch. A" sheetId="3" r:id="rId26"/>
    <sheet name="Sch. B" sheetId="4" r:id="rId27"/>
    <sheet name="Sch. C" sheetId="5" r:id="rId28"/>
    <sheet name="Sch. D" sheetId="6" r:id="rId29"/>
    <sheet name="Sch. D WS" sheetId="37" r:id="rId30"/>
    <sheet name="Sch. E" sheetId="84" r:id="rId31"/>
    <sheet name="Sch. E (2)" sheetId="96" r:id="rId32"/>
    <sheet name="Sch. F" sheetId="56" r:id="rId33"/>
    <sheet name="Sch. R" sheetId="86" r:id="rId34"/>
    <sheet name="Sch. SE" sheetId="23" r:id="rId35"/>
    <sheet name="1116" sheetId="74" r:id="rId36"/>
    <sheet name="2210" sheetId="68" r:id="rId37"/>
    <sheet name="2441" sheetId="59" r:id="rId38"/>
    <sheet name="2555" sheetId="62" r:id="rId39"/>
    <sheet name="4562" sheetId="93" r:id="rId40"/>
    <sheet name="6251" sheetId="33" r:id="rId41"/>
    <sheet name="8283" sheetId="73" r:id="rId42"/>
    <sheet name="8606" sheetId="91" r:id="rId43"/>
    <sheet name="8812" sheetId="76" r:id="rId44"/>
    <sheet name="8829" sheetId="97" r:id="rId45"/>
    <sheet name="8863" sheetId="90" r:id="rId46"/>
    <sheet name="8880" sheetId="99" r:id="rId47"/>
    <sheet name="8889" sheetId="71" r:id="rId48"/>
    <sheet name="8949A" sheetId="43" r:id="rId49"/>
    <sheet name="8949B" sheetId="49" r:id="rId50"/>
    <sheet name="8949C" sheetId="50" r:id="rId51"/>
    <sheet name="8949D" sheetId="88" r:id="rId52"/>
    <sheet name="8959" sheetId="52" r:id="rId53"/>
    <sheet name="8960" sheetId="53" r:id="rId54"/>
    <sheet name="8962" sheetId="58" r:id="rId55"/>
    <sheet name="8995" sheetId="82" r:id="rId56"/>
    <sheet name="EIC Table" sheetId="61" r:id="rId57"/>
    <sheet name="Tax Table" sheetId="36" r:id="rId58"/>
    <sheet name="Changes" sheetId="55" r:id="rId59"/>
  </sheets>
  <definedNames>
    <definedName name="AbodeFlag">'2441'!$R$60</definedName>
    <definedName name="Additional_Income">'Sch. 1'!$AC$43</definedName>
    <definedName name="AdditionalCTC">'8812'!$AS$80</definedName>
    <definedName name="Address">'1040'!$B$14</definedName>
    <definedName name="Adj_Gross_Inc">'1040'!$AC$47</definedName>
    <definedName name="AdjustToIncome">'Sch. 1'!$AC$86</definedName>
    <definedName name="AgPMT_Disaster">'1099-G'!$I$31</definedName>
    <definedName name="AgPMT_Other">'1099-G'!$I$32</definedName>
    <definedName name="Alaska">'1040'!$BC$7</definedName>
    <definedName name="AlimonyPaid">'Sch. 1'!$AC$56</definedName>
    <definedName name="AlimonyRcvd">'Sch. 1'!$AC$12</definedName>
    <definedName name="AltMinTaxInc">'6251'!$M$38</definedName>
    <definedName name="AMT">'6251'!$R$62</definedName>
    <definedName name="AMTExemption">'6251'!$AC$169</definedName>
    <definedName name="AMTExemptionFlag">'6251'!$AH$70</definedName>
    <definedName name="AO_Credit">'8863'!$AE$33</definedName>
    <definedName name="AOC_1">'8863'!$AE$111</definedName>
    <definedName name="AOC_2">'8863'!$AE$170</definedName>
    <definedName name="AOC_3">'8863'!$AE$229</definedName>
    <definedName name="AOC_4">'8863'!$AE$288</definedName>
    <definedName name="Apt_No.">'1040'!$W$14</definedName>
    <definedName name="ArcherMSADeduct">'Sch. 1'!$AC$62</definedName>
    <definedName name="BadBirthdate_Spouse">'1040'!$AZ$122</definedName>
    <definedName name="BadBirthdate_Yours">'1040'!$AZ$102</definedName>
    <definedName name="BadDeathDate">'1040'!$BG$121</definedName>
    <definedName name="BASE_A1">'Tax Table'!$U$7</definedName>
    <definedName name="BASE_A2">'Tax Table'!$U$8</definedName>
    <definedName name="BASE_A3">'Tax Table'!$U$9</definedName>
    <definedName name="BASE_A4">'Tax Table'!$U$10</definedName>
    <definedName name="BASE_A5">'Tax Table'!$U$11</definedName>
    <definedName name="BASE_A6">'Tax Table'!$U$12</definedName>
    <definedName name="BASE_A7">'Tax Table'!$U$13</definedName>
    <definedName name="BASE_B1">'Tax Table'!$U$17</definedName>
    <definedName name="BASE_B2">'Tax Table'!$U$18</definedName>
    <definedName name="BASE_B3">'Tax Table'!$U$19</definedName>
    <definedName name="BASE_B4">'Tax Table'!$U$20</definedName>
    <definedName name="BASE_B5">'Tax Table'!$U$21</definedName>
    <definedName name="BASE_B6">'Tax Table'!$U$22</definedName>
    <definedName name="BASE_B7">'Tax Table'!$U$23</definedName>
    <definedName name="BASE_C1">'Tax Table'!$U$27</definedName>
    <definedName name="BASE_C2">'Tax Table'!$U$28</definedName>
    <definedName name="BASE_C3">'Tax Table'!$U$29</definedName>
    <definedName name="BASE_C4">'Tax Table'!$U$30</definedName>
    <definedName name="BASE_C5">'Tax Table'!$U$31</definedName>
    <definedName name="BASE_C6">'Tax Table'!$U$32</definedName>
    <definedName name="BASE_C7">'Tax Table'!$U$33</definedName>
    <definedName name="BASE_D1">'Tax Table'!$U$38</definedName>
    <definedName name="BASE_D2">'Tax Table'!$U$39</definedName>
    <definedName name="BASE_D3">'Tax Table'!$U$40</definedName>
    <definedName name="BASE_D4">'Tax Table'!$U$41</definedName>
    <definedName name="BASE_D5">'Tax Table'!$U$42</definedName>
    <definedName name="BASE_D6">'Tax Table'!$U$43</definedName>
    <definedName name="BASE_D7">'Tax Table'!$U$44</definedName>
    <definedName name="BeginningOfTaxYear">'1040'!$AX$2</definedName>
    <definedName name="Birthday_Needed">'1040'!$AX$113</definedName>
    <definedName name="BOTT_A1">'Tax Table'!$T$7</definedName>
    <definedName name="BOTT_A2">'Tax Table'!$T$8</definedName>
    <definedName name="BOTT_A3">'Tax Table'!$T$9</definedName>
    <definedName name="BOTT_A4">'Tax Table'!$T$10</definedName>
    <definedName name="BOTT_A5">'Tax Table'!$T$11</definedName>
    <definedName name="BOTT_A6">'Tax Table'!$T$12</definedName>
    <definedName name="BOTT_A7">'Tax Table'!$T$13</definedName>
    <definedName name="BOTT_B1">'Tax Table'!$T$17</definedName>
    <definedName name="BOTT_B2">'Tax Table'!$T$18</definedName>
    <definedName name="BOTT_B3">'Tax Table'!$T$19</definedName>
    <definedName name="BOTT_B4">'Tax Table'!$T$20</definedName>
    <definedName name="BOTT_B5">'Tax Table'!$T$21</definedName>
    <definedName name="BOTT_B6">'Tax Table'!$T$22</definedName>
    <definedName name="BOTT_B7">'Tax Table'!$T$23</definedName>
    <definedName name="BOTT_C1">'Tax Table'!$T$27</definedName>
    <definedName name="BOTT_C2">'Tax Table'!$T$28</definedName>
    <definedName name="BOTT_C3">'Tax Table'!$T$29</definedName>
    <definedName name="BOTT_C4">'Tax Table'!$T$30</definedName>
    <definedName name="BOTT_C5">'Tax Table'!$T$31</definedName>
    <definedName name="BOTT_C6">'Tax Table'!$T$32</definedName>
    <definedName name="BOTT_C7">'Tax Table'!$T$33</definedName>
    <definedName name="BOTT_D1">'Tax Table'!$T$38</definedName>
    <definedName name="BOTT_D2">'Tax Table'!$T$39</definedName>
    <definedName name="BOTT_D3">'Tax Table'!$T$40</definedName>
    <definedName name="BOTT_D4">'Tax Table'!$T$41</definedName>
    <definedName name="BOTT_D5">'Tax Table'!$T$42</definedName>
    <definedName name="BOTT_D6">'Tax Table'!$T$43</definedName>
    <definedName name="BOTT_D7">'Tax Table'!$T$44</definedName>
    <definedName name="Business_Profit">'Sch. C'!$Y$66</definedName>
    <definedName name="BusinessIncomeLoss">'Sch. 1'!$AC$14</definedName>
    <definedName name="CapitalGains">'1040'!$AC$43</definedName>
    <definedName name="Care_Expenses">'Sch. 3'!$AC$13</definedName>
    <definedName name="CertainBusinessExp">'Sch. 1'!$AC$49</definedName>
    <definedName name="CGTW">'Line 16 (QDCG Tax)'!$C$7</definedName>
    <definedName name="CGTW_Line1">'Line 16 (QDCG Tax)'!$L$26</definedName>
    <definedName name="CGTW_Line13_HOH">'Line 16 (QDCG Tax)'!$N$50</definedName>
    <definedName name="CGTW_Line13_MFJQW">'Line 16 (QDCG Tax)'!$N$49</definedName>
    <definedName name="CGTW_Line13_MFS">'Line 16 (QDCG Tax)'!$N$48</definedName>
    <definedName name="CGTW_Line13_Single">'Line 16 (QDCG Tax)'!$N$47</definedName>
    <definedName name="CGTW_Line18_PCT">'Line 16 (QDCG Tax)'!$N$54</definedName>
    <definedName name="CGTW_Line21_PCT">'Line 16 (QDCG Tax)'!$N$57</definedName>
    <definedName name="CGTW_Line23">'Line 16 (QDCG Tax)'!$N$62</definedName>
    <definedName name="CGTW_Line24">'Line 16 (QDCG Tax)'!$N$65</definedName>
    <definedName name="CGTW_Line5">'Line 16 (QDCG Tax)'!$L$35</definedName>
    <definedName name="CGTW_Line6_HOH">'Line 16 (QDCG Tax)'!$N$39</definedName>
    <definedName name="CGTW_Line6_MFJQW">'Line 16 (QDCG Tax)'!$N$38</definedName>
    <definedName name="CGTW_Line6_SMFS">'Line 16 (QDCG Tax)'!$N$37</definedName>
    <definedName name="CGTW_Tax">'Line 16 (QDCG Tax)'!$N$69</definedName>
    <definedName name="Charitable">'1040'!$Y$49</definedName>
    <definedName name="Child_Tax_Credit">'8812'!$AL$145</definedName>
    <definedName name="ChildUnder24">'6251'!$O$41</definedName>
    <definedName name="ChurchEmployee1">'Sch. SE'!$AE$12</definedName>
    <definedName name="ChurchEmployee2">'Sch. SE'!$AE$71</definedName>
    <definedName name="ChurchEmployeeInc1">'Sch. SE'!$AK$23</definedName>
    <definedName name="ChurchEmployeeInc2">'Sch. SE'!$AK$82</definedName>
    <definedName name="ChurchEmployeeIncome1">'Sch. SE'!$S$28</definedName>
    <definedName name="ChurchEmployeeIncome2">'Sch. SE'!$S$87</definedName>
    <definedName name="City_State_Zip">'1040'!$B$16</definedName>
    <definedName name="CombatPayNoTax">'1040'!$T$76</definedName>
    <definedName name="CONV_FedTaxWH">'1099-R'!$F$62</definedName>
    <definedName name="CONV2ROTH">'1099-R'!$F$58</definedName>
    <definedName name="Credit_Elderly">'Sch. 3'!$W$21</definedName>
    <definedName name="Credit_F8978">'Sch. 3'!$W$29</definedName>
    <definedName name="CreditForOtherDepend_IB">'8812'!$AL$56</definedName>
    <definedName name="CreditForOtherDepend_IC">'8812'!$AL$78</definedName>
    <definedName name="CredLimitWS_Line15">'8812'!$AK$330</definedName>
    <definedName name="DaysInTaxYear">'1040'!$BA$2</definedName>
    <definedName name="Deduction">'1040'!$AJ$51</definedName>
    <definedName name="Deductions">'1040'!$Y$48</definedName>
    <definedName name="DeductPlusCharity">'1040'!$AC$50</definedName>
    <definedName name="DeferredIncomeNQ">'Earned Inc WS'!$J$61</definedName>
    <definedName name="DependCareBenefits">'W-2s'!$C$68</definedName>
    <definedName name="Dependent_Care">'2441'!$R$109</definedName>
    <definedName name="DependentCount">'1040'!$AL$34</definedName>
    <definedName name="DependentSPOUSE">'1040'!$O$24</definedName>
    <definedName name="DependentYOU">'1040'!$I$24</definedName>
    <definedName name="DependOther">Dependents!$BF$36</definedName>
    <definedName name="DependQualNumber">'8812'!$AL$21</definedName>
    <definedName name="DependUnder18SSN">Dependents!$BD$36</definedName>
    <definedName name="DependUnder6">Dependents!$BE$36</definedName>
    <definedName name="DFC">'Line 27a (EIC)'!$N$266</definedName>
    <definedName name="Dividend_Inc">'Sch. B'!$I$66</definedName>
    <definedName name="Draft">'1040'!$AZ$1</definedName>
    <definedName name="Dual_Status_Alien">'1040'!$F$25</definedName>
    <definedName name="Earned_Income">'Earned Inc WS'!$J$70</definedName>
    <definedName name="EarnedIncomeCredit">'Line 27a (EIC)'!$O$538</definedName>
    <definedName name="EarnedIncomeWSB">'Line 27a (EIC)'!$O$463</definedName>
    <definedName name="Education">'Sch. 3'!$AC$14</definedName>
    <definedName name="EducationCredits_NR">'8863'!$AE$55</definedName>
    <definedName name="EducatorExpenses">'Sch. 1'!$AC$47</definedName>
    <definedName name="EIC">'1040'!$Y$72</definedName>
    <definedName name="EIC_Check">'Line 27a (EIC)'!$A$41</definedName>
    <definedName name="EIC_EarnedIncome">'Line 27a (EIC)'!$K$303</definedName>
    <definedName name="EIC_Line2_No">'Line 27a (EIC)'!$H$26</definedName>
    <definedName name="EIC_No">'Line 27a (EIC)'!$N$1</definedName>
    <definedName name="EIC_Started">'Line 27a (EIC)'!$A$39</definedName>
    <definedName name="EIC_Step3_Line3_Yes">'Line 27a (EIC)'!$B$149</definedName>
    <definedName name="EIC_Stop26">'Line 27a (EIC)'!$G$26</definedName>
    <definedName name="EIC_Stop31">'Line 27a (EIC)'!$A$31</definedName>
    <definedName name="EIC_Stop35">'Line 27a (EIC)'!$A$35</definedName>
    <definedName name="EIC_Stop41">'Line 27a (EIC)'!$A$41</definedName>
    <definedName name="EIC_trigger">'Line 27a (EIC)'!$A$21</definedName>
    <definedName name="EIC_WB_Part5_Line7">'Line 27a (EIC)'!$O$494</definedName>
    <definedName name="EIC_WSA_Part3">'Line 27a (EIC)'!$M$390</definedName>
    <definedName name="EIC_WSB_Part7">'Line 27a (EIC)'!$O$528</definedName>
    <definedName name="EICNumQualChild">'Line 27a (EIC)'!$B$106</definedName>
    <definedName name="EmployerCountSpouse">'W-2s'!$I$54</definedName>
    <definedName name="EmployerCountYou">'W-2s'!$I$25</definedName>
    <definedName name="EndOfTaxYear">'1040'!$AZ$2</definedName>
    <definedName name="EstimatedTaxPayments">'1040'!$AC$71</definedName>
    <definedName name="ExcessSSTax">'Sch. 3'!$AC$41</definedName>
    <definedName name="Exempt_Interest_DIV">'1099-DIV'!$H$104</definedName>
    <definedName name="F1040_EIC_Checkbox">'1040'!$V$75</definedName>
    <definedName name="F1099_FedTaxWH">'1040'!$Y$68</definedName>
    <definedName name="F1099DIV_FedTaxWH">'1099-DIV'!$H$97</definedName>
    <definedName name="F1099G_FedTaxWH">'1099-G'!$I$28</definedName>
    <definedName name="F1099G_MktGain">'1099-G'!$I$34</definedName>
    <definedName name="F1099G_StateTaxWH">'1099-G'!$I$37</definedName>
    <definedName name="F1099G_TaxGrants">'1099-G'!$I$30</definedName>
    <definedName name="F1099INT_FedTaxWH">'1099-INT'!$I$69</definedName>
    <definedName name="F1099R_CodeDTaxes">'1099-R'!$E$77</definedName>
    <definedName name="F2441_NonRefund">'2441'!$R$65</definedName>
    <definedName name="F2441_Refundable">'2441'!$R$61</definedName>
    <definedName name="F2555_Line45">'2555'!$AE$175</definedName>
    <definedName name="F6251_Needed">'6251'!$P$1</definedName>
    <definedName name="F6251_PIII">'6251'!$R$53</definedName>
    <definedName name="F8812_Add_Tax">'8812'!$AL$145</definedName>
    <definedName name="F8829_1">'8829'!$AL$24</definedName>
    <definedName name="F8829_2">'8829'!$AL$25</definedName>
    <definedName name="F8829_Deduction">'8829'!$AE$55</definedName>
    <definedName name="F8880_Credit">'8880'!$AE$48</definedName>
    <definedName name="F8889_Line1">'8889'!$Q$13</definedName>
    <definedName name="F8889_Line13">'8889'!$K$138</definedName>
    <definedName name="F8889_Line16">'8889'!$K$141</definedName>
    <definedName name="F8889_Line17b">'8889'!$K$144</definedName>
    <definedName name="F8889_Line20">'8889'!$K$147</definedName>
    <definedName name="F8889_Line21">'8889'!$K$150</definedName>
    <definedName name="F8949ALBOXA">'8949A'!$C$78</definedName>
    <definedName name="F8949ALBOXB">'8949A'!$C$80</definedName>
    <definedName name="F8949ALBOXC">'8949A'!$C$82</definedName>
    <definedName name="F8949ALT">'8949A'!$A$116</definedName>
    <definedName name="F8949ALTD">'8949A'!$Q$116</definedName>
    <definedName name="F8949ALTE">'8949A'!$U$116</definedName>
    <definedName name="F8949ALTG">'8949A'!$AA$116</definedName>
    <definedName name="F8949ALTH">'8949A'!$AC$116</definedName>
    <definedName name="F8949ASBOXA">'8949A'!$C$25</definedName>
    <definedName name="F8949ASBOXB">'8949A'!$C$27</definedName>
    <definedName name="F8949ASBOXC">'8949A'!$C$29</definedName>
    <definedName name="F8949AST">'8949A'!$A$55</definedName>
    <definedName name="F8949ASTD">'8949A'!$Q$55</definedName>
    <definedName name="F8949ASTE">'8949A'!$U$55</definedName>
    <definedName name="F8949ASTG">'8949A'!$AA$55</definedName>
    <definedName name="F8949ASTH">'8949A'!$AC$55</definedName>
    <definedName name="F8949BLBOXA">'8949B'!$C$78</definedName>
    <definedName name="F8949BLBOXB">'8949B'!$C$80</definedName>
    <definedName name="F8949BLBOXC">'8949B'!$C$82</definedName>
    <definedName name="F8949BLT">'8949B'!$A$116</definedName>
    <definedName name="F8949BLTD">'8949B'!$Q$116</definedName>
    <definedName name="F8949BLTE">'8949B'!$U$116</definedName>
    <definedName name="F8949BLTG">'8949B'!$AA$116</definedName>
    <definedName name="F8949BLTH">'8949B'!$AC$116</definedName>
    <definedName name="F8949BSBOXA">'8949B'!$C$25</definedName>
    <definedName name="F8949BSBOXB">'8949B'!$C$27</definedName>
    <definedName name="F8949BSBOXC">'8949B'!$C$29</definedName>
    <definedName name="F8949BST">'8949B'!$A$55</definedName>
    <definedName name="F8949BSTD">'8949B'!$Q$55</definedName>
    <definedName name="F8949BSTE">'8949B'!$U$55</definedName>
    <definedName name="F8949BSTG">'8949B'!$AA$55</definedName>
    <definedName name="F8949BSTH">'8949B'!$AC$55</definedName>
    <definedName name="F8949CLBOXA">'8949C'!$C$78</definedName>
    <definedName name="F8949CLBOXB">'8949C'!$C$80</definedName>
    <definedName name="F8949CLBOXC">'8949C'!$C$82</definedName>
    <definedName name="F8949CLT">'8949C'!$A$116</definedName>
    <definedName name="F8949CLTD">'8949C'!$Q$116</definedName>
    <definedName name="F8949CLTE">'8949C'!$U$116</definedName>
    <definedName name="F8949CLTG">'8949C'!$AA$116</definedName>
    <definedName name="F8949CLTH">'8949C'!$AC$116</definedName>
    <definedName name="F8949CSBOXA">'8949C'!$C$25</definedName>
    <definedName name="F8949CSBOXB">'8949C'!$C$27</definedName>
    <definedName name="F8949CSBOXC">'8949C'!$C$29</definedName>
    <definedName name="F8949CST">'8949C'!$A$55</definedName>
    <definedName name="F8949CSTD">'8949C'!$Q$55</definedName>
    <definedName name="F8949CSTE">'8949C'!$U$55</definedName>
    <definedName name="F8949CSTG">'8949C'!$AA$55</definedName>
    <definedName name="F8949CSTH">'8949C'!$AC$55</definedName>
    <definedName name="F8949DLBOXA">'8949D'!$C$78</definedName>
    <definedName name="F8949DLBOXB">'8949D'!$C$80</definedName>
    <definedName name="F8949DLBOXC">'8949D'!$C$82</definedName>
    <definedName name="F8949DLT">'8949D'!$A$116</definedName>
    <definedName name="F8949DLTD">'8949D'!$Q$116</definedName>
    <definedName name="F8949DLTE">'8949D'!$U$116</definedName>
    <definedName name="F8949DLTG">'8949D'!$AA$116</definedName>
    <definedName name="F8949DLTH">'8949D'!$AC$116</definedName>
    <definedName name="F8949DSBOXA">'8949D'!$C$25</definedName>
    <definedName name="F8949DSBOXB">'8949D'!$C$27</definedName>
    <definedName name="F8949DSBOXC">'8949D'!$C$29</definedName>
    <definedName name="F8949DST">'8949D'!$A$55</definedName>
    <definedName name="F8949DSTD">'8949D'!$Q$55</definedName>
    <definedName name="F8949DSTE">'8949D'!$U$55</definedName>
    <definedName name="F8949DSTG">'8949D'!$AA$55</definedName>
    <definedName name="F8949DSTH">'8949D'!$AC$55</definedName>
    <definedName name="F8959_Reqd">'8959'!$P$7</definedName>
    <definedName name="F8959_Tax">'8959'!$M$52</definedName>
    <definedName name="F8959_WH">'8959'!$M$65</definedName>
    <definedName name="F8960_Applicable">'8960'!$Q$2</definedName>
    <definedName name="F8960_Tax">'8960'!$N$48</definedName>
    <definedName name="FarmIncomeLoss">'Sch. 1'!$AC$17</definedName>
    <definedName name="FarmOptMeth1">'Sch. SE'!$X$50</definedName>
    <definedName name="FarmOptMeth2">'Sch. SE'!$X$109</definedName>
    <definedName name="FarmProfitNet">'Sch. F'!$Y$54</definedName>
    <definedName name="FedFuelTaxCredit">'Sch. 3'!$AC$42</definedName>
    <definedName name="FEI_Tax_Worksheet">'Line 16 (QDCG Tax)'!$N$73</definedName>
    <definedName name="FEI_TW_Line2c">'Line 16 (QDCG Tax)'!$N$81</definedName>
    <definedName name="FEI_TW_Line3">'Line 16 (QDCG Tax)'!$N$83</definedName>
    <definedName name="File_Head">'1040'!$V$6</definedName>
    <definedName name="File_Marr_Joint">'1040'!$I$6</definedName>
    <definedName name="File_Marr_Sep">'1040'!$O$6</definedName>
    <definedName name="File_Qual_Widow">'1040'!$AB$6</definedName>
    <definedName name="File_Single">'1040'!$E$6</definedName>
    <definedName name="File4952_SchD">'Sch. D'!$O$80</definedName>
    <definedName name="File8960">'8960'!$Q$3</definedName>
    <definedName name="FilingScheduleD">'Line 16 (QDCG Tax)'!$J$28</definedName>
    <definedName name="FilingStatusError">'1040'!$AJ$8</definedName>
    <definedName name="Foreign_Tax_Credit">'Sch. 3'!$AC$11</definedName>
    <definedName name="ForeignEarnedIncome">'2555'!$AE$129</definedName>
    <definedName name="ForeignHousingDeduction">'2555'!$AO$189</definedName>
    <definedName name="ForeignHousingExclusion">'2555'!$AE$175</definedName>
    <definedName name="ForeignIncExclusion">'2555'!$AE$168</definedName>
    <definedName name="ForeignTaxCredit_1">'1116'!$AL$138</definedName>
    <definedName name="ForeignTaxCredit_2">'1116'!$AL$268</definedName>
    <definedName name="ForeignTaxCredit_3">'1116'!$AL$398</definedName>
    <definedName name="ForeignTaxPaid">'1116'!$AO$8</definedName>
    <definedName name="ForeignTaxPaid_DIV">'1099-DIV'!$H$100</definedName>
    <definedName name="ForeignTaxPaid_F1116">'1116'!$AQ$9</definedName>
    <definedName name="ForeignTaxPaid_INT">'1099-INT'!$I$71</definedName>
    <definedName name="ForeignTaxPaid_INT_DIV">'1099-DIV'!$I$89</definedName>
    <definedName name="ForeignTaxThreshold">'1116'!$AQ$8</definedName>
    <definedName name="Form1116_Not_Reqd">'1116'!$A$2</definedName>
    <definedName name="Form1116_Required">'1116'!$A$2</definedName>
    <definedName name="Form2555_Used">'2555'!$AM$190</definedName>
    <definedName name="Form4952_Filed">'Sch. D WS'!$P$79</definedName>
    <definedName name="Form4952_Line4e">'Sch. D WS'!$J$79</definedName>
    <definedName name="Form4952_Line4g">'Sch. D WS'!$J$78</definedName>
    <definedName name="Form8863">'1040'!$I$71</definedName>
    <definedName name="Form8960_Threshhold">'8960'!$N$45</definedName>
    <definedName name="Gambling_Loss">'Sch. A'!$O$59</definedName>
    <definedName name="Hawaii">'1040'!$BD$7</definedName>
    <definedName name="HouseholdEmpTaxes">'Sch. 2'!$AN$16</definedName>
    <definedName name="HSA_Deduct">'Sch. 1'!$AC$50</definedName>
    <definedName name="InmateIncome">'Earned Inc WS'!$J$56</definedName>
    <definedName name="Interest_Inc">'Sch. B'!$I$43</definedName>
    <definedName name="InvExpDIV">'1099-DIV'!$H$99</definedName>
    <definedName name="InvExpINT">'1099-INT'!$I$70</definedName>
    <definedName name="IRA_CONV_SPOUSE">'1099-R'!$O$31</definedName>
    <definedName name="IRA_CONV_TAXABLE_SPOUSE">'1099-R'!$O$32</definedName>
    <definedName name="IRA_CONV_TAXABLE_YOU">'1099-R'!$O$5</definedName>
    <definedName name="IRA_CONV_YOU">'1099-R'!$O$4</definedName>
    <definedName name="IRA_Deduction">'Sch. 1, Line 20 (IRA)'!$L$101</definedName>
    <definedName name="IRA_Dist_SPOUSE">'1099-R'!$M$31</definedName>
    <definedName name="IRA_Dist_YOU">'1099-R'!$M$4</definedName>
    <definedName name="IRA_FedTaxWH">'1099-R'!$D$62</definedName>
    <definedName name="IRA_Gross">'1099-R'!$D$58</definedName>
    <definedName name="IRA_Taxable">'1040'!$AC$40</definedName>
    <definedName name="IRA_Taxable_1099R">'1099-R'!$D$59</definedName>
    <definedName name="IRA_Taxable_Spouse">'1099-R'!$M$32</definedName>
    <definedName name="IRA_Taxable_You">'1099-R'!$M$5</definedName>
    <definedName name="IRAContrib_Taxable1">'8606'!$AE$64</definedName>
    <definedName name="IRAContrib_Taxable2">'8606'!$AE$168</definedName>
    <definedName name="IRAConvert_Taxable1">'8606'!$AM$76</definedName>
    <definedName name="IRAConvert_Taxable2">'8606'!$AM$180</definedName>
    <definedName name="IRADeduct">'Sch. 1'!$AC$59</definedName>
    <definedName name="Item_Deduct_Wks_L9">'Sch. A'!$AH$140</definedName>
    <definedName name="ItemizeAnyway">'Sch. A'!$B$65</definedName>
    <definedName name="ItemizedDeduct">'1040'!$AY$44</definedName>
    <definedName name="LeapYear">'1040'!$AY$2</definedName>
    <definedName name="Line33_NOT">'Sch. 1, Line 21 (Stu Loan)'!$L$9</definedName>
    <definedName name="LivedApart">'1040'!$AP$7</definedName>
    <definedName name="LivedApartAnswered">'1040'!$AP$6</definedName>
    <definedName name="LLC_1">'8863'!$AE$114</definedName>
    <definedName name="LLC_2">'8863'!$AE$173</definedName>
    <definedName name="LLC_3">'8863'!$AE$232</definedName>
    <definedName name="LLC_4">'8863'!$AE$291</definedName>
    <definedName name="LocalTaxIRA">'1099-R'!$D$76</definedName>
    <definedName name="LocalTaxPA">'1099-R'!$E$76</definedName>
    <definedName name="LocalTaxW2">'W-2s'!$C$81</definedName>
    <definedName name="MarketDiscount">'1099-INT'!$I$76</definedName>
    <definedName name="MaxSSTax">'W-2s'!$L$1</definedName>
    <definedName name="MaxSSTaxEarnings">'W-2s'!$G$1</definedName>
    <definedName name="MedCare_Tax_Withheld">'W-2s'!$C$65</definedName>
    <definedName name="MedCare_wages">'W-2s'!$C$64</definedName>
    <definedName name="MedicareTaxRate">'8959'!$K$57</definedName>
    <definedName name="MFS_Spouse_NotFiling">'1040'!$AK$8</definedName>
    <definedName name="ModAdjGrossInc">'8960'!$AC$66</definedName>
    <definedName name="MovExp_ArmedForces">'Sch. 1'!$AC$51</definedName>
    <definedName name="Name_1st_Sp">'1040'!$B$12</definedName>
    <definedName name="Name_1st_Yours">'1040'!$B$10</definedName>
    <definedName name="Name_Last_Sp">'1040'!$M$12</definedName>
    <definedName name="Name_Last_Yours">'1040'!$M$10</definedName>
    <definedName name="Names">'1040'!$AM$9</definedName>
    <definedName name="NameSpouse">'1040'!$AN$10</definedName>
    <definedName name="NameYours">'1040'!$AM$10</definedName>
    <definedName name="Needs_SALT">'Sch 1, Line 1 (SALT)'!$L$74</definedName>
    <definedName name="NetCapitalGain">'8995'!$AC$38</definedName>
    <definedName name="NoColor">'1040'!$AP$2</definedName>
    <definedName name="NoEICredit">'Line 27a (EIC)'!$A$1</definedName>
    <definedName name="NonFarmOptMeth1">'Sch. SE'!$X$56</definedName>
    <definedName name="NonFarmOptMeth2">'Sch. SE'!$X$115</definedName>
    <definedName name="NonQualAnnuity">'1099-R'!$E$65</definedName>
    <definedName name="NoOnLine66a">'Line 27a (EIC)'!$B$1</definedName>
    <definedName name="NoSSN">'1040'!$AP$3</definedName>
    <definedName name="NOT_MFJ">'1040'!$BA$120</definedName>
    <definedName name="NoTaxCombatPay">'Line 27a (EIC)'!$N$276</definedName>
    <definedName name="NQDisasterLoss">'Sch. A'!$Q$57</definedName>
    <definedName name="NumFileStatusBoxes">'1040'!$AJ$7</definedName>
    <definedName name="OPRC">'Sch. 3'!$AC$60</definedName>
    <definedName name="OrdinaryDividends">'1040'!$AC$39</definedName>
    <definedName name="OtherGainsLosses">'Sch. 1'!$AL$15</definedName>
    <definedName name="OtherIncome">'Sch. 1'!$AC$41</definedName>
    <definedName name="OtherIncome1040">'1040'!$AC$44</definedName>
    <definedName name="Over_65_or_Blind">'1040'!$AU$15</definedName>
    <definedName name="Overpaid">'1040'!$AC$84</definedName>
    <definedName name="PA_FedTaxWH">'1099-R'!$E$62</definedName>
    <definedName name="PA_Gross">'1099-R'!$E$58</definedName>
    <definedName name="PA_Taxable">'1040'!$AC$41</definedName>
    <definedName name="PA_Taxable_1099R">'1099-R'!$E$59</definedName>
    <definedName name="PA_Taxable_Spouse">'1099-R'!$N$32</definedName>
    <definedName name="PA_Taxable_You">'1099-R'!$N$5</definedName>
    <definedName name="Penalty4EW">'1099-INT'!$I$66</definedName>
    <definedName name="PenaltyEarlyWithdraw">'Sch. 1'!$AC$55</definedName>
    <definedName name="Pension_taxable">'Lines 5ab (Simplified Meth WS)'!$L$62</definedName>
    <definedName name="Pension_total">'1099-R'!$I$58</definedName>
    <definedName name="PensionsAnnuities">'1040'!$N$41</definedName>
    <definedName name="_xlnm.Print_Area" localSheetId="10">'1040'!$B$3:$AH$106</definedName>
    <definedName name="_xlnm.Print_Area" localSheetId="5">'1099-DIV'!$A$1:$J$109</definedName>
    <definedName name="_xlnm.Print_Area" localSheetId="6">'1099-G'!$A$1:$K$38</definedName>
    <definedName name="_xlnm.Print_Area" localSheetId="4">'1099-INT'!$A$1:$J$83</definedName>
    <definedName name="_xlnm.Print_Area" localSheetId="7">'1099-MISC'!$B$2:$N$42</definedName>
    <definedName name="_xlnm.Print_Area" localSheetId="8">'1099-R'!$A$1:$P$78</definedName>
    <definedName name="_xlnm.Print_Area" localSheetId="35">'1116'!$B$10:$AO$399</definedName>
    <definedName name="_xlnm.Print_Area" localSheetId="36">'2210'!$B$6:$W$232</definedName>
    <definedName name="_xlnm.Print_Area" localSheetId="37">'2441'!$B$3:$S$247</definedName>
    <definedName name="_xlnm.Print_Area" localSheetId="38">'2555'!$B$2:$AJ$190</definedName>
    <definedName name="_xlnm.Print_Area" localSheetId="39">'4562'!$B$2:$AJ$119</definedName>
    <definedName name="_xlnm.Print_Area" localSheetId="40">'6251'!$B$4:$M$125</definedName>
    <definedName name="_xlnm.Print_Area" localSheetId="41">'8283'!$B$2:$AO$132</definedName>
    <definedName name="_xlnm.Print_Area" localSheetId="42">'8606'!$B$7:$AJ$214</definedName>
    <definedName name="_xlnm.Print_Area" localSheetId="43">'8812'!$B$2:$AP$336</definedName>
    <definedName name="_xlnm.Print_Area" localSheetId="44">'8829'!$B$2:$AJ$66</definedName>
    <definedName name="_xlnm.Print_Area" localSheetId="45">'8863'!$B$2:$AJ$292</definedName>
    <definedName name="_xlnm.Print_Area" localSheetId="46">'8880'!$B$2:$AJ$52</definedName>
    <definedName name="_xlnm.Print_Area" localSheetId="47">'8889'!$B$4:$M$128</definedName>
    <definedName name="_xlnm.Print_Area" localSheetId="48">'8949A'!$B$4:$AF$122</definedName>
    <definedName name="_xlnm.Print_Area" localSheetId="49">'8949B'!$B$4:$AF$122</definedName>
    <definedName name="_xlnm.Print_Area" localSheetId="50">'8949C'!$B$4:$AF$122</definedName>
    <definedName name="_xlnm.Print_Area" localSheetId="51">'8949D'!$B$4:$AF$122</definedName>
    <definedName name="_xlnm.Print_Area" localSheetId="52">'8959'!$B$8:$M$66</definedName>
    <definedName name="_xlnm.Print_Area" localSheetId="53">'8960'!$B$5:$N$61</definedName>
    <definedName name="_xlnm.Print_Area" localSheetId="54">'8962'!$B$4:$AJ$124</definedName>
    <definedName name="_xlnm.Print_Area" localSheetId="55">'8995'!$B$2:$AG$46</definedName>
    <definedName name="_xlnm.Print_Area" localSheetId="0">Coversheet!$B$1:$K$67</definedName>
    <definedName name="_xlnm.Print_Area" localSheetId="11">Dependents!$B$4:$AO$30</definedName>
    <definedName name="_xlnm.Print_Area" localSheetId="18">'Earned Inc WS'!$B$2:$K$80</definedName>
    <definedName name="_xlnm.Print_Area" localSheetId="2">Instructions!$A:$L</definedName>
    <definedName name="_xlnm.Print_Area" localSheetId="21">'Line 12a (SD Depnts)'!$B$2:$O$34</definedName>
    <definedName name="_xlnm.Print_Area" localSheetId="22">'Line 16 (QDCG Tax)'!$B$17:$O$116</definedName>
    <definedName name="_xlnm.Print_Area" localSheetId="23">'Line 27a (EIC)'!$A$1:$Y$539</definedName>
    <definedName name="_xlnm.Print_Area" localSheetId="24">'Line 30 (Rebate Credit)'!$C$2:$AL$87</definedName>
    <definedName name="_xlnm.Print_Area" localSheetId="20">'Line 6ab (SS Bene)'!$B$2:$K$55</definedName>
    <definedName name="_xlnm.Print_Area" localSheetId="19">'Lines 5ab (Simplified Meth WS)'!$B$32:$M$94</definedName>
    <definedName name="_xlnm.Print_Area" localSheetId="13">'Sch 1, Line 1 (SALT)'!$B$22:$M$80</definedName>
    <definedName name="_xlnm.Print_Area" localSheetId="12">'Sch. 1'!$B$2:$AG$88</definedName>
    <definedName name="_xlnm.Print_Area" localSheetId="14">'Sch. 1, Line 20 (IRA)'!$B$2:$T$102</definedName>
    <definedName name="_xlnm.Print_Area" localSheetId="15">'Sch. 1, Line 21 (Stu Loan)'!$B$2:$M$37</definedName>
    <definedName name="_xlnm.Print_Area" localSheetId="16">'Sch. 2'!$B$2:$AG$73</definedName>
    <definedName name="_xlnm.Print_Area" localSheetId="17">'Sch. 3'!$B$2:$AG$61</definedName>
    <definedName name="_xlnm.Print_Area" localSheetId="25">'Sch. A'!$B$10:$O$66</definedName>
    <definedName name="_xlnm.Print_Area" localSheetId="26">'Sch. B'!$B$14:$O$83</definedName>
    <definedName name="_xlnm.Print_Area" localSheetId="27">'Sch. C'!$B$2:$U$229</definedName>
    <definedName name="_xlnm.Print_Area" localSheetId="28">'Sch. D'!$B$2:$P$100</definedName>
    <definedName name="_xlnm.Print_Area" localSheetId="29">'Sch. D WS'!$B$1:$Q$146</definedName>
    <definedName name="_xlnm.Print_Area" localSheetId="30">'Sch. E'!$B$2:$AO$255</definedName>
    <definedName name="_xlnm.Print_Area" localSheetId="31">'Sch. E (2)'!$B$2:$AO$255</definedName>
    <definedName name="_xlnm.Print_Area" localSheetId="32">'Sch. F'!$B$3:$AB$118</definedName>
    <definedName name="_xlnm.Print_Area" localSheetId="33">'Sch. R'!$B$13:$AB$127</definedName>
    <definedName name="_xlnm.Print_Area" localSheetId="34">'Sch. SE'!$B$2:$Z$60</definedName>
    <definedName name="_xlnm.Print_Area" localSheetId="9">'SSA-1099'!$A$1:$K$35</definedName>
    <definedName name="_xlnm.Print_Area" localSheetId="1">'Table of Contents'!$C$2:$D$65</definedName>
    <definedName name="_xlnm.Print_Area" localSheetId="57">'Tax Table'!$B$1:$G$2063</definedName>
    <definedName name="_xlnm.Print_Area" localSheetId="3">'W-2s'!$A$1:$M$81</definedName>
    <definedName name="_xlnm.Print_Titles" localSheetId="1">'Table of Contents'!$1:$1</definedName>
    <definedName name="_xlnm.Print_Titles" localSheetId="57">'Tax Table'!$1:$1</definedName>
    <definedName name="PTC_Excess">'8962'!$AE$73</definedName>
    <definedName name="PTC_ExcessAdv">'Sch. 2'!$AC$12</definedName>
    <definedName name="PTC_Net">'8962'!$AE$68</definedName>
    <definedName name="PTCNet">'Sch. 3'!$AC$39</definedName>
    <definedName name="QBID">'8995'!$AC$42</definedName>
    <definedName name="QBID_1040">'1040'!$AC$51</definedName>
    <definedName name="QBID_Income2High">'8995'!$AL$10</definedName>
    <definedName name="Qual_Child_Count">'1040'!$AL$33</definedName>
    <definedName name="QualDiv_1099DIV">'1099-DIV'!$H$91</definedName>
    <definedName name="Qualified_Dividends">'1040'!$N$39</definedName>
    <definedName name="RATE_A1">'Tax Table'!$S$7</definedName>
    <definedName name="RATE_A2">'Tax Table'!$S$8</definedName>
    <definedName name="RATE_A3">'Tax Table'!$S$9</definedName>
    <definedName name="RATE_A4">'Tax Table'!$S$10</definedName>
    <definedName name="RATE_A5">'Tax Table'!$S$11</definedName>
    <definedName name="RATE_A6">'Tax Table'!$S$12</definedName>
    <definedName name="RATE_A7">'Tax Table'!$S$13</definedName>
    <definedName name="RATE_B1">'Tax Table'!$S$17</definedName>
    <definedName name="RATE_B2">'Tax Table'!$S$18</definedName>
    <definedName name="RATE_B3">'Tax Table'!$S$19</definedName>
    <definedName name="RATE_B4">'Tax Table'!$S$20</definedName>
    <definedName name="RATE_B5">'Tax Table'!$S$21</definedName>
    <definedName name="RATE_B6">'Tax Table'!$S$22</definedName>
    <definedName name="RATE_B7">'Tax Table'!$S$23</definedName>
    <definedName name="RATE_C1">'Tax Table'!$S$27</definedName>
    <definedName name="RATE_C2">'Tax Table'!$S$28</definedName>
    <definedName name="RATE_C3">'Tax Table'!$S$29</definedName>
    <definedName name="RATE_C4">'Tax Table'!$S$30</definedName>
    <definedName name="RATE_C5">'Tax Table'!$S$31</definedName>
    <definedName name="RATE_C6">'Tax Table'!$S$32</definedName>
    <definedName name="RATE_C7">'Tax Table'!$S$33</definedName>
    <definedName name="RATE_D1">'Tax Table'!$S$38</definedName>
    <definedName name="RATE_D2">'Tax Table'!$S$39</definedName>
    <definedName name="RATE_D3">'Tax Table'!$S$40</definedName>
    <definedName name="RATE_D4">'Tax Table'!$S$41</definedName>
    <definedName name="RATE_D5">'Tax Table'!$S$42</definedName>
    <definedName name="RATE_D6">'Tax Table'!$S$43</definedName>
    <definedName name="RATE_D7">'Tax Table'!$S$44</definedName>
    <definedName name="RebateCredit">'Line 30 (Rebate Credit)'!$AH$86</definedName>
    <definedName name="RecoveryRebateCredit">'1040'!$Y$80</definedName>
    <definedName name="ResNRGCredit">'Sch. 3'!$AC$16</definedName>
    <definedName name="Retirement_Savings">'Sch. 3'!$AC$15</definedName>
    <definedName name="RevDateTime">Changes!$F$1</definedName>
    <definedName name="RothIRADist_Taxable1">'8606'!$AE$98</definedName>
    <definedName name="RothIRADist_Taxable2">'8606'!$AE$202</definedName>
    <definedName name="RRTA_Compensation">'W-2s'!$C$76</definedName>
    <definedName name="RRTA_TaxWH">'W-2s'!$C$77</definedName>
    <definedName name="RTAApayments">'1099-G'!$I$29</definedName>
    <definedName name="SALT_Refund">'1099-G'!$I$26</definedName>
    <definedName name="Sch.B_Reqd">'1099-DIV'!$I$115</definedName>
    <definedName name="Sch1_Line1">'Sch. 1'!$AC$11</definedName>
    <definedName name="Sch1Lines10Thru21">'Sch. 1'!$AC$85</definedName>
    <definedName name="Sch2_UTCode">'Sch. 2'!$AN$38</definedName>
    <definedName name="Sch3_NonRefundCredits">'Sch. 3'!$AC$34</definedName>
    <definedName name="Sch4_UTCode">'Sch. 2'!$AN$38</definedName>
    <definedName name="SchA_Filed">'Sch. A'!$Q$10</definedName>
    <definedName name="SchC_ProfitLoss1">'Sch. C'!$T$56</definedName>
    <definedName name="SchC_ProfitLoss2">'Sch. C'!$T$170</definedName>
    <definedName name="SchC_Sp_StatEmp_Inc">'Sch. C'!$Y$139</definedName>
    <definedName name="SchC_StatEmp_Inc">'Sch. C'!$Y$141</definedName>
    <definedName name="SchC_StatutoryEmp_1">'Sch. C'!$Q$23</definedName>
    <definedName name="SchC_StatutoryEmp_2">'Sch. C'!$Q$137</definedName>
    <definedName name="SchC_TentativeProfit1">'Sch. C'!$T$48</definedName>
    <definedName name="SchC_TentativeProfit2">'Sch. C'!$T$162</definedName>
    <definedName name="SchC_You_StatEmp_Inc">'Sch. C'!$Y$140</definedName>
    <definedName name="SchD_Line1516_Gains">'Line 16 (QDCG Tax)'!$R$10</definedName>
    <definedName name="SchD_NotReqd">'1040'!$AN$44</definedName>
    <definedName name="SchDLine15">'Sch. D'!$N$51</definedName>
    <definedName name="SchDLine16">'Sch. D'!$N$59</definedName>
    <definedName name="SchDLine16ZERO">'Sch. D'!$A$65</definedName>
    <definedName name="SchDLine18">'Sch. D'!$N$74</definedName>
    <definedName name="SchDLine19">'Sch. D'!$N$77</definedName>
    <definedName name="SchDLine20No">'Sch. D'!$C$83</definedName>
    <definedName name="SchDTW_Line1">'Sch. D WS'!$P$74</definedName>
    <definedName name="SchDTW_Line15">'Sch. D WS'!$L$91</definedName>
    <definedName name="SchDTW_Line19">'Sch. D WS'!$L$98</definedName>
    <definedName name="SchDTW_Line21">'Sch. D WS'!$N$102</definedName>
    <definedName name="SchDTW_Line24">'Sch. D WS'!$L$110</definedName>
    <definedName name="SchDTW_Line26">'Sch. D WS'!$L$110</definedName>
    <definedName name="SchDTW_Line29Rate">'Sch. D WS'!$R$117</definedName>
    <definedName name="SchDTW_Line32Rate">'Sch. D WS'!$R$121</definedName>
    <definedName name="SchDTW_Line38Rate">'Sch. D WS'!$R$128</definedName>
    <definedName name="SchDTW_Line41Rate">'Sch. D WS'!$R$132</definedName>
    <definedName name="SchDTW_Line45">'Sch. D WS'!$P$141</definedName>
    <definedName name="SchDTW_Tax">'Sch. D WS'!$P$141</definedName>
    <definedName name="SchDTW_Used">'Sch. D WS'!$W$61</definedName>
    <definedName name="SchE_IncomeLoss">'Sch. 1'!$AC$16</definedName>
    <definedName name="SchE1_Completed">'Sch. E'!$AV$119</definedName>
    <definedName name="SchE1_Line26">'Sch. E'!$AJ$60</definedName>
    <definedName name="SchE1_Line32">'Sch. E'!$AH$93</definedName>
    <definedName name="SchE1_Line37">'Sch. E'!$AJ$110</definedName>
    <definedName name="SchE1_Line39">'Sch. E'!$AJ$116</definedName>
    <definedName name="SchE1_Line40">'Sch. E'!$AJ$118</definedName>
    <definedName name="SchE1_Line41">'Sch. E'!$AJ$119</definedName>
    <definedName name="SchE2_Completed">'Sch. E'!$AV$246</definedName>
    <definedName name="SchE2_Line26">'Sch. E'!$AJ$187</definedName>
    <definedName name="SchE2_Line32">'Sch. E'!$AH$220</definedName>
    <definedName name="SchE2_Line37">'Sch. E'!$AJ$237</definedName>
    <definedName name="SchE2_Line39">'Sch. E'!$AJ$243</definedName>
    <definedName name="SchE2_Line40">'Sch. E'!$AJ$245</definedName>
    <definedName name="SchE2_Line41">'Sch. E'!$AJ$246</definedName>
    <definedName name="SchE3_Completed">'Sch. E (2)'!$AV$119</definedName>
    <definedName name="SchE3_Line26">'Sch. E (2)'!$AJ$60</definedName>
    <definedName name="SchE3_Line32">'Sch. E (2)'!$AH$93</definedName>
    <definedName name="SchE3_Line37">'Sch. E (2)'!$AJ$110</definedName>
    <definedName name="SchE3_Line39">'Sch. E (2)'!$AJ$116</definedName>
    <definedName name="SchE3_Line40">'Sch. E (2)'!$AJ$118</definedName>
    <definedName name="SchE3_Line41">'Sch. E (2)'!$AJ$119</definedName>
    <definedName name="SchE4_Completed">'Sch. E (2)'!$AV$246</definedName>
    <definedName name="SchE4_Line26">'Sch. E (2)'!$AJ$187</definedName>
    <definedName name="SchE4_Line32">'Sch. E (2)'!$AH$220</definedName>
    <definedName name="SchE4_Line37">'Sch. E (2)'!$AJ$237</definedName>
    <definedName name="SchE4_Line39">'Sch. E (2)'!$AJ$243</definedName>
    <definedName name="SchE4_Line40">'Sch. E (2)'!$AJ$245</definedName>
    <definedName name="SchE4_Line41">'Sch. E (2)'!$AJ$246</definedName>
    <definedName name="Schedule2">'Sch. 2'!$AC$13</definedName>
    <definedName name="Schedule2_Tax">'Sch. 2'!$AC$13</definedName>
    <definedName name="Schedule3">'Sch. 3'!$AC$34</definedName>
    <definedName name="ScheduleE1">'Sch. E'!$AV$120</definedName>
    <definedName name="ScheduleE2">'Sch. E'!$AV$247</definedName>
    <definedName name="ScheduleE3">'Sch. E (2)'!$AV$120</definedName>
    <definedName name="ScheduleE4">'Sch. E (2)'!$AV$247</definedName>
    <definedName name="ScheduleF_PartIII">'Sch. F'!$Y$93</definedName>
    <definedName name="SchF_SchSE_1">'Sch. F'!$AF$57</definedName>
    <definedName name="SchF_SchSE_2">'Sch. F'!$AF$60</definedName>
    <definedName name="SchF_SSN">'Sch. F'!$T$9</definedName>
    <definedName name="Scholarship_NotW2">'Earned Inc WS'!$J$54</definedName>
    <definedName name="SchR_Line22">'Sch. R'!$Y$126</definedName>
    <definedName name="SchRQualify">'Sch. R'!$R$12</definedName>
    <definedName name="SchSE_Deduction">'Sch. SE'!$AL$118</definedName>
    <definedName name="SchSE_Deduction_Both">'Sch. SE'!$AN$117</definedName>
    <definedName name="SchSE_Deduction_Sp">'Sch. SE'!$AM$117</definedName>
    <definedName name="SchSE_Deduction_You">'Sch. SE'!$AL$117</definedName>
    <definedName name="SchSE_Profit1">'Sch. SE'!$X$21</definedName>
    <definedName name="SchSE_Profit2">'Sch. SE'!$X$80</definedName>
    <definedName name="SchSE_Tax">'Sch. SE'!$AL$112</definedName>
    <definedName name="SchSE1_SSN">'Sch. SE'!$W$6</definedName>
    <definedName name="SD_AND_NQDL">'1040'!$AX$50</definedName>
    <definedName name="SD_Head">'1040'!$C$50</definedName>
    <definedName name="SD_Inc_Married">'1040'!$AQ$55</definedName>
    <definedName name="SD_Inc_Single">'1040'!$AP$55</definedName>
    <definedName name="SD_MFJW">'1040'!$C$48</definedName>
    <definedName name="SD_Single">'1040'!$C$44</definedName>
    <definedName name="SE_Deduct">'Sch. 1'!$AC$52</definedName>
    <definedName name="Sect199ADividends">'1099-DIV'!$H$98</definedName>
    <definedName name="SectA_a3">'Tax Table'!$J$8</definedName>
    <definedName name="SectA_a4">'Tax Table'!$J$9</definedName>
    <definedName name="SectA_a5">'Tax Table'!$J$10</definedName>
    <definedName name="SectA_a6">'Tax Table'!$J$11</definedName>
    <definedName name="SectA_b4">'Tax Table'!$K$9</definedName>
    <definedName name="SectA_b5">'Tax Table'!$K$10</definedName>
    <definedName name="SectA_b6">'Tax Table'!$K$11</definedName>
    <definedName name="SectA_b7">'Tax Table'!$K$12</definedName>
    <definedName name="SectA_d4">'Tax Table'!$L$9</definedName>
    <definedName name="SectA_d5">'Tax Table'!$L$10</definedName>
    <definedName name="SectA_d6">'Tax Table'!$L$11</definedName>
    <definedName name="SectA_d7">'Tax Table'!$L$12</definedName>
    <definedName name="SectB_a2">'Tax Table'!$J$18</definedName>
    <definedName name="SectB_a3">'Tax Table'!$J$19</definedName>
    <definedName name="SectB_a4">'Tax Table'!$J$20</definedName>
    <definedName name="SectB_a5">'Tax Table'!$J$21</definedName>
    <definedName name="SectB_a6">'Tax Table'!$J$22</definedName>
    <definedName name="SectB_b3">'Tax Table'!$K$19</definedName>
    <definedName name="SectB_b4">'Tax Table'!$K$20</definedName>
    <definedName name="SectB_b5">'Tax Table'!$K$21</definedName>
    <definedName name="SectB_b6">'Tax Table'!$K$22</definedName>
    <definedName name="SectB_b7">'Tax Table'!$K$23</definedName>
    <definedName name="SectB_d3">'Tax Table'!$L$19</definedName>
    <definedName name="SectB_d4">'Tax Table'!$L$20</definedName>
    <definedName name="SectB_d5">'Tax Table'!$L$21</definedName>
    <definedName name="SectB_d6">'Tax Table'!$L$22</definedName>
    <definedName name="SectB_d7">'Tax Table'!$L$23</definedName>
    <definedName name="SectC_a2">'Tax Table'!$J$29</definedName>
    <definedName name="SectC_a3">'Tax Table'!$J$30</definedName>
    <definedName name="SectC_a4">'Tax Table'!$J$31</definedName>
    <definedName name="SectC_a5">'Tax Table'!$J$32</definedName>
    <definedName name="SectC_b3">'Tax Table'!$K$30</definedName>
    <definedName name="SectC_b4">'Tax Table'!$K$31</definedName>
    <definedName name="SectC_b5">'Tax Table'!$K$32</definedName>
    <definedName name="SectC_b6">'Tax Table'!$K$33</definedName>
    <definedName name="SectC_d3">'Tax Table'!$L$30</definedName>
    <definedName name="SectC_d4">'Tax Table'!$L$31</definedName>
    <definedName name="SectC_d5">'Tax Table'!$L$32</definedName>
    <definedName name="SectC_d6">'Tax Table'!$L$33</definedName>
    <definedName name="SectD_a2">'Tax Table'!$J$39</definedName>
    <definedName name="SectD_a3">'Tax Table'!$J$40</definedName>
    <definedName name="SectD_a4">'Tax Table'!$J$41</definedName>
    <definedName name="SectD_a5">'Tax Table'!$J$42</definedName>
    <definedName name="SectD_a6">'Tax Table'!$J$43</definedName>
    <definedName name="SectD_b3">'Tax Table'!$K$40</definedName>
    <definedName name="SectD_b4">'Tax Table'!$K$41</definedName>
    <definedName name="SectD_b5">'Tax Table'!$K$42</definedName>
    <definedName name="SectD_b6">'Tax Table'!$K$43</definedName>
    <definedName name="SectD_b7">'Tax Table'!$K$44</definedName>
    <definedName name="SectD_d3">'Tax Table'!$L$40</definedName>
    <definedName name="SectD_d4">'Tax Table'!$L$41</definedName>
    <definedName name="SectD_d5">'Tax Table'!$L$42</definedName>
    <definedName name="SectD_d6">'Tax Table'!$L$43</definedName>
    <definedName name="SectD_d7">'Tax Table'!$L$44</definedName>
    <definedName name="SEHealthInsDeduct">'Sch. 1'!$AC$54</definedName>
    <definedName name="SelfEmploymentTax">'Sch. 2'!$AC$15</definedName>
    <definedName name="SEP_Plan_Deduct">'Sch. 1'!$AC$53</definedName>
    <definedName name="Skip2343">'Sch. D WS'!$S$104</definedName>
    <definedName name="Skip3343">'Sch. D WS'!$S$119</definedName>
    <definedName name="Skip3540">'Sch. D WS'!$S$122</definedName>
    <definedName name="Skip4143">'Sch. D WS'!$S$129</definedName>
    <definedName name="SocSecBenefits">'1040'!$N$42</definedName>
    <definedName name="SocSecBenefits_Taxable">'1040'!$AC$42</definedName>
    <definedName name="SocSecTips_Spouse">'W-2s'!$I$38</definedName>
    <definedName name="SocSecTips_You">'W-2s'!$I$9</definedName>
    <definedName name="SocSecWages_Spouse">'W-2s'!$I$34</definedName>
    <definedName name="SocSecWages_You">'W-2s'!$I$5</definedName>
    <definedName name="sp_blind">'1040'!$AE$28</definedName>
    <definedName name="sp_over_64">'1040'!$V$28</definedName>
    <definedName name="SpaceUsed_8949A">'8949A'!$AH$29</definedName>
    <definedName name="SpaceUsed_8949A_LT">'8949A'!$AH$82</definedName>
    <definedName name="SpaceUsed_8949A_ST">'8949A'!$AH$29</definedName>
    <definedName name="SpaceUsed_8949B_LT">'8949B'!$AH$82</definedName>
    <definedName name="SpaceUsed_8949B_ST">'8949B'!$AH$29</definedName>
    <definedName name="SpaceUsed_8949C_LT">'8949C'!$AH$82</definedName>
    <definedName name="SpaceUsed_8949C_ST">'8949C'!$AH$29</definedName>
    <definedName name="SpaceUsed_8949D_LT">'8949D'!$AH$82</definedName>
    <definedName name="SpaceUsed_8949D_ST">'8949D'!$AH$29</definedName>
    <definedName name="Spouse">'1040'!$AQ$8</definedName>
    <definedName name="Spouse_GE24">'1040'!$BA$127</definedName>
    <definedName name="Spouse_GT24">'1040'!$BA$128</definedName>
    <definedName name="Spouse_GT24LT65">'1040'!$BA$130</definedName>
    <definedName name="Spouse_LT65">'1040'!$BA$129</definedName>
    <definedName name="Spouse65onJan2">'1040'!$BC$125</definedName>
    <definedName name="SpouseAge">'1040'!$AY$125</definedName>
    <definedName name="SpouseAgeDecimal">'1040'!$AY$124</definedName>
    <definedName name="SpouseBirthDate">'1040'!$AY$120</definedName>
    <definedName name="SpouseBirthDay">'1040'!$AN$17</definedName>
    <definedName name="SpouseBirthMonth">'1040'!$AM$17</definedName>
    <definedName name="SpouseBirthYear">'1040'!$AO$17</definedName>
    <definedName name="SpouseDeathDate">'1040'!$BG$120</definedName>
    <definedName name="SpouseDeathDay">'1040'!$AN$24</definedName>
    <definedName name="SpouseDeathMonth">'1040'!$AM$24</definedName>
    <definedName name="SpouseDeathYear">'1040'!$AO$24</definedName>
    <definedName name="SpouseDeceased">'1040'!$AK$17</definedName>
    <definedName name="SpouseIs65">'1040'!$BC$124</definedName>
    <definedName name="SpouseIs70Half">'1040'!$BC$123</definedName>
    <definedName name="SS_FedTaxWH_Spouse">'SSA-1099'!$G$11</definedName>
    <definedName name="SS_FedTaxWH_You">'SSA-1099'!$G$6</definedName>
    <definedName name="SS_Spouse">'1040'!$Z$12</definedName>
    <definedName name="SS_Yours">'1040'!$Z$10</definedName>
    <definedName name="SSNetBeneSpouse">'SSA-1099'!$D$10</definedName>
    <definedName name="SSNetBeneYou">'SSA-1099'!$D$5</definedName>
    <definedName name="SSTaxRate">'W-2s'!$I$1</definedName>
    <definedName name="Standard">'1040'!$AX$46</definedName>
    <definedName name="State">'1040'!$R$16</definedName>
    <definedName name="State_Local_Tax_Refund">'Sch 1, Line 1 (SALT)'!$L$79</definedName>
    <definedName name="StateLocalTaxesPaid">'Sch. A'!$S$25</definedName>
    <definedName name="StateTax_DIV">'1099-DIV'!$H$108</definedName>
    <definedName name="StateTax_INT">'1099-INT'!$I$83</definedName>
    <definedName name="StateTaxIRA">'1099-R'!$D$73</definedName>
    <definedName name="StateTaxPA">'1099-R'!$E$73</definedName>
    <definedName name="StateTaxW2">'W-2s'!$C$79</definedName>
    <definedName name="Std_Ded_Wrks_For_Dep">'Line 12a (SD Depnts)'!$N$30</definedName>
    <definedName name="StdDeduct">'1040'!$AZ$44</definedName>
    <definedName name="StudentLoanIntDeduct">'Sch. 1'!$AC$60</definedName>
    <definedName name="StuLoanIntDeduct">'Sch. 1, Line 21 (Stu Loan)'!$L$34</definedName>
    <definedName name="Tax">'1040'!$AC$59</definedName>
    <definedName name="Tax_FEI_TW">'Line 16 (QDCG Tax)'!$N$96</definedName>
    <definedName name="Tax_SS_Benefits">'Line 6ab (SS Bene)'!$J$51</definedName>
    <definedName name="Tax_SubTotal">'1040'!$AC$56</definedName>
    <definedName name="Taxable_Inc">'1040'!$AC$53</definedName>
    <definedName name="TaxableInterest">'1040'!$AC$38</definedName>
    <definedName name="TaxDay">'1040'!$AZ$115</definedName>
    <definedName name="TaxesYouPaid">'Sch. A'!$O$33</definedName>
    <definedName name="TaxExemptInt">'1040'!$N$38</definedName>
    <definedName name="TaxExemptInterest">'1099-INT'!$I$73</definedName>
    <definedName name="TaxFamilySize">'1040'!$AO$35</definedName>
    <definedName name="TaxLine_1040">'1040'!$AB$57</definedName>
    <definedName name="TaxPenalty">'1040'!$W$90</definedName>
    <definedName name="TaxYear">'1040'!$R$3</definedName>
    <definedName name="TaxYear2">'1040'!$R$3</definedName>
    <definedName name="Tot_Exemptions">'1040'!$AO$35</definedName>
    <definedName name="Tot_Item_Deduct">'Sch. A'!$O$63</definedName>
    <definedName name="Tot_Payments">'1040'!$AC$83</definedName>
    <definedName name="Tot_Tax">'1040'!$AC$65</definedName>
    <definedName name="Total_Income">'1040'!$AC$45</definedName>
    <definedName name="TotalDeductions">'1040'!$AC$52</definedName>
    <definedName name="TotalOtherAdjust">'Sch. 1'!$AC$84</definedName>
    <definedName name="TotalOtherTaxes">'Sch. 2'!$AC$72</definedName>
    <definedName name="TotalSocSecBenefits">'SSA-1099'!$G$21</definedName>
    <definedName name="UCE_Spouse">'1099-G'!$H$25</definedName>
    <definedName name="UCE_You">'1099-G'!$I$6</definedName>
    <definedName name="UnemployComp">'1099-G'!$I$25</definedName>
    <definedName name="UnEmploymentComp">'Sch. 1'!$AC$18</definedName>
    <definedName name="W2_FedTaxWH">'1040'!$Y$67</definedName>
    <definedName name="W2_Other">'W-2s'!$C$75</definedName>
    <definedName name="W2_SS_Tax_Excess">'W-2s'!$J$63</definedName>
    <definedName name="W2_SS_Tax_Withheld">'W-2s'!$C$63</definedName>
    <definedName name="W2_SS_Wages">'W-2s'!$C$62</definedName>
    <definedName name="W2_Tax_Withheld">'W-2s'!$C$61</definedName>
    <definedName name="W2_Wages">'W-2s'!$C$60</definedName>
    <definedName name="W2_Wages_Spouse">'W-2s'!$I$32</definedName>
    <definedName name="W2_Wages_You">'W-2s'!$I$3</definedName>
    <definedName name="Wages">'1040'!$AC$37</definedName>
    <definedName name="you_blind">'1040'!$O$28</definedName>
    <definedName name="You_GE24">'1040'!$BA$107</definedName>
    <definedName name="You_GT24">'1040'!$BA$108</definedName>
    <definedName name="You_GT24LT65">'1040'!$BA$110</definedName>
    <definedName name="You_LT65">'1040'!$BA$109</definedName>
    <definedName name="you_over_64">'1040'!$G$28</definedName>
    <definedName name="You_Owe">'1040'!$AC$89</definedName>
    <definedName name="You65onJan2">'1040'!$BC$105</definedName>
    <definedName name="YouR65">'1040'!$BC$104</definedName>
    <definedName name="YouR70Half">'1040'!$BC$103</definedName>
    <definedName name="YourAge">'1040'!$AY$105</definedName>
    <definedName name="YourAgeDecimal">'1040'!$AY$104</definedName>
    <definedName name="YourBirthDate">'1040'!$AY$100</definedName>
    <definedName name="YourBirthDay">'1040'!$AN$15</definedName>
    <definedName name="YourBirthMonth">'1040'!$AM$15</definedName>
    <definedName name="YourBirthYear">'1040'!$AO$15</definedName>
    <definedName name="Yourself">'1040'!$AQ$7</definedName>
    <definedName name="ZIPCode">'1040'!$V$16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AA9" i="36"/>
  <c r="AA8" i="36"/>
  <c r="Y61" i="37" l="1"/>
  <c r="AD108" i="70" l="1"/>
  <c r="AC108" i="70"/>
  <c r="AB108" i="70"/>
  <c r="AA108" i="70"/>
  <c r="AD105" i="70"/>
  <c r="AC105" i="70"/>
  <c r="AB105" i="70"/>
  <c r="AA105" i="70"/>
  <c r="AD104" i="70"/>
  <c r="AC104" i="70"/>
  <c r="AB104" i="70"/>
  <c r="AA104" i="70"/>
  <c r="AD103" i="70"/>
  <c r="AC103" i="70"/>
  <c r="AB103" i="70"/>
  <c r="AA103" i="70"/>
  <c r="AD102" i="70"/>
  <c r="AC102" i="70"/>
  <c r="AB102" i="70"/>
  <c r="AA102" i="70"/>
  <c r="AD100" i="70"/>
  <c r="AC100" i="70"/>
  <c r="AB100" i="70"/>
  <c r="AA100" i="70"/>
  <c r="AD99" i="70"/>
  <c r="AC99" i="70"/>
  <c r="AB99" i="70"/>
  <c r="AA99" i="70"/>
  <c r="AD98" i="70"/>
  <c r="AC98" i="70"/>
  <c r="AB98" i="70"/>
  <c r="AA98" i="70"/>
  <c r="AD97" i="70"/>
  <c r="AC97" i="70"/>
  <c r="AB97" i="70"/>
  <c r="AA97" i="70"/>
  <c r="AD96" i="70"/>
  <c r="AC96" i="70"/>
  <c r="AB96" i="70"/>
  <c r="AA96" i="70"/>
  <c r="AD95" i="70"/>
  <c r="AC95" i="70"/>
  <c r="AB95" i="70"/>
  <c r="AA95" i="70"/>
  <c r="AD94" i="70"/>
  <c r="AC94" i="70"/>
  <c r="AB94" i="70"/>
  <c r="AA94" i="70"/>
  <c r="AD93" i="70"/>
  <c r="AC93" i="70"/>
  <c r="AB93" i="70"/>
  <c r="AA93" i="70"/>
  <c r="AD92" i="70"/>
  <c r="AC92" i="70"/>
  <c r="AB92" i="70"/>
  <c r="AA92" i="70"/>
  <c r="AD91" i="70"/>
  <c r="AC91" i="70"/>
  <c r="AB91" i="70"/>
  <c r="AA91" i="70"/>
  <c r="AD90" i="70"/>
  <c r="AC90" i="70"/>
  <c r="AB90" i="70"/>
  <c r="AA90" i="70"/>
  <c r="AE80" i="70"/>
  <c r="AD80" i="70"/>
  <c r="AC80" i="70"/>
  <c r="AB80" i="70"/>
  <c r="AA80" i="70"/>
  <c r="AE77" i="70"/>
  <c r="AD77" i="70"/>
  <c r="AC77" i="70"/>
  <c r="AB77" i="70"/>
  <c r="AA77" i="70"/>
  <c r="AE76" i="70"/>
  <c r="AD76" i="70"/>
  <c r="AC76" i="70"/>
  <c r="AB76" i="70"/>
  <c r="AA76" i="70"/>
  <c r="AE75" i="70"/>
  <c r="AD75" i="70"/>
  <c r="AC75" i="70"/>
  <c r="AB75" i="70"/>
  <c r="AA75" i="70"/>
  <c r="AE74" i="70"/>
  <c r="AD74" i="70"/>
  <c r="AC74" i="70"/>
  <c r="AB74" i="70"/>
  <c r="AA74" i="70"/>
  <c r="AE72" i="70"/>
  <c r="AD72" i="70"/>
  <c r="AC72" i="70"/>
  <c r="AB72" i="70"/>
  <c r="AA72" i="70"/>
  <c r="AE71" i="70"/>
  <c r="AD71" i="70"/>
  <c r="AC71" i="70"/>
  <c r="AB71" i="70"/>
  <c r="AA71" i="70"/>
  <c r="AE70" i="70"/>
  <c r="AD70" i="70"/>
  <c r="AC70" i="70"/>
  <c r="AB70" i="70"/>
  <c r="AA70" i="70"/>
  <c r="AE69" i="70"/>
  <c r="AD69" i="70"/>
  <c r="AC69" i="70"/>
  <c r="AB69" i="70"/>
  <c r="AA69" i="70"/>
  <c r="AE68" i="70"/>
  <c r="AD68" i="70"/>
  <c r="AC68" i="70"/>
  <c r="AB68" i="70"/>
  <c r="AA68" i="70"/>
  <c r="AE67" i="70"/>
  <c r="AD67" i="70"/>
  <c r="AC67" i="70"/>
  <c r="AB67" i="70"/>
  <c r="AA67" i="70"/>
  <c r="AE66" i="70"/>
  <c r="AD66" i="70"/>
  <c r="AC66" i="70"/>
  <c r="AB66" i="70"/>
  <c r="AA66" i="70"/>
  <c r="AE65" i="70"/>
  <c r="AD65" i="70"/>
  <c r="AC65" i="70"/>
  <c r="AB65" i="70"/>
  <c r="AA65" i="70"/>
  <c r="AE64" i="70"/>
  <c r="AD64" i="70"/>
  <c r="AC64" i="70"/>
  <c r="AB64" i="70"/>
  <c r="AA64" i="70"/>
  <c r="AE63" i="70"/>
  <c r="AD63" i="70"/>
  <c r="AC63" i="70"/>
  <c r="AB63" i="70"/>
  <c r="AA63" i="70"/>
  <c r="AE62" i="70"/>
  <c r="AD62" i="70"/>
  <c r="AC62" i="70"/>
  <c r="AB62" i="70"/>
  <c r="AA62" i="70"/>
  <c r="AE52" i="70"/>
  <c r="AD52" i="70"/>
  <c r="AC52" i="70"/>
  <c r="AB52" i="70"/>
  <c r="AA52" i="70"/>
  <c r="AE49" i="70"/>
  <c r="AD49" i="70"/>
  <c r="AC49" i="70"/>
  <c r="AB49" i="70"/>
  <c r="AA49" i="70"/>
  <c r="AE48" i="70"/>
  <c r="AD48" i="70"/>
  <c r="AC48" i="70"/>
  <c r="AB48" i="70"/>
  <c r="AA48" i="70"/>
  <c r="AE47" i="70"/>
  <c r="AD47" i="70"/>
  <c r="AC47" i="70"/>
  <c r="AB47" i="70"/>
  <c r="AA47" i="70"/>
  <c r="AE46" i="70"/>
  <c r="AD46" i="70"/>
  <c r="AC46" i="70"/>
  <c r="AB46" i="70"/>
  <c r="AA46" i="70"/>
  <c r="AE44" i="70"/>
  <c r="AD44" i="70"/>
  <c r="AC44" i="70"/>
  <c r="AB44" i="70"/>
  <c r="AA44" i="70"/>
  <c r="AE43" i="70"/>
  <c r="AD43" i="70"/>
  <c r="AC43" i="70"/>
  <c r="AB43" i="70"/>
  <c r="AA43" i="70"/>
  <c r="AE42" i="70"/>
  <c r="AD42" i="70"/>
  <c r="AC42" i="70"/>
  <c r="AB42" i="70"/>
  <c r="AA42" i="70"/>
  <c r="AE41" i="70"/>
  <c r="AD41" i="70"/>
  <c r="AC41" i="70"/>
  <c r="AB41" i="70"/>
  <c r="AA41" i="70"/>
  <c r="AE40" i="70"/>
  <c r="AD40" i="70"/>
  <c r="AC40" i="70"/>
  <c r="AB40" i="70"/>
  <c r="AA40" i="70"/>
  <c r="AE39" i="70"/>
  <c r="AD39" i="70"/>
  <c r="AC39" i="70"/>
  <c r="AB39" i="70"/>
  <c r="AA39" i="70"/>
  <c r="AE38" i="70"/>
  <c r="AD38" i="70"/>
  <c r="AC38" i="70"/>
  <c r="AB38" i="70"/>
  <c r="AA38" i="70"/>
  <c r="AE37" i="70"/>
  <c r="AD37" i="70"/>
  <c r="AC37" i="70"/>
  <c r="AB37" i="70"/>
  <c r="AA37" i="70"/>
  <c r="AE36" i="70"/>
  <c r="AD36" i="70"/>
  <c r="AC36" i="70"/>
  <c r="AB36" i="70"/>
  <c r="AA36" i="70"/>
  <c r="AE35" i="70"/>
  <c r="AD35" i="70"/>
  <c r="AC35" i="70"/>
  <c r="AB35" i="70"/>
  <c r="AA35" i="70"/>
  <c r="AE34" i="70"/>
  <c r="AD34" i="70"/>
  <c r="AC34" i="70"/>
  <c r="AB34" i="70"/>
  <c r="AA34" i="70"/>
  <c r="AE24" i="70"/>
  <c r="AD24" i="70"/>
  <c r="AC24" i="70"/>
  <c r="AB24" i="70"/>
  <c r="AA24" i="70"/>
  <c r="AE21" i="70"/>
  <c r="AD21" i="70"/>
  <c r="AC21" i="70"/>
  <c r="AB21" i="70"/>
  <c r="AA21" i="70"/>
  <c r="AE20" i="70"/>
  <c r="AD20" i="70"/>
  <c r="AC20" i="70"/>
  <c r="AB20" i="70"/>
  <c r="AA20" i="70"/>
  <c r="AE19" i="70"/>
  <c r="AD19" i="70"/>
  <c r="AC19" i="70"/>
  <c r="AB19" i="70"/>
  <c r="AA19" i="70"/>
  <c r="AE18" i="70"/>
  <c r="AD18" i="70"/>
  <c r="AC18" i="70"/>
  <c r="AB18" i="70"/>
  <c r="AA18" i="70"/>
  <c r="AE16" i="70"/>
  <c r="AD16" i="70"/>
  <c r="AC16" i="70"/>
  <c r="AB16" i="70"/>
  <c r="AA16" i="70"/>
  <c r="AE15" i="70"/>
  <c r="AD15" i="70"/>
  <c r="AC15" i="70"/>
  <c r="AB15" i="70"/>
  <c r="AA15" i="70"/>
  <c r="AE14" i="70"/>
  <c r="AD14" i="70"/>
  <c r="AC14" i="70"/>
  <c r="AB14" i="70"/>
  <c r="AA14" i="70"/>
  <c r="AE13" i="70"/>
  <c r="AD13" i="70"/>
  <c r="AC13" i="70"/>
  <c r="AB13" i="70"/>
  <c r="AA13" i="70"/>
  <c r="AE12" i="70"/>
  <c r="AD12" i="70"/>
  <c r="AC12" i="70"/>
  <c r="AB12" i="70"/>
  <c r="AA12" i="70"/>
  <c r="AE11" i="70"/>
  <c r="AD11" i="70"/>
  <c r="AC11" i="70"/>
  <c r="AB11" i="70"/>
  <c r="AA11" i="70"/>
  <c r="AE10" i="70"/>
  <c r="AD10" i="70"/>
  <c r="AC10" i="70"/>
  <c r="AB10" i="70"/>
  <c r="AA10" i="70"/>
  <c r="AE9" i="70"/>
  <c r="AD9" i="70"/>
  <c r="AC9" i="70"/>
  <c r="AB9" i="70"/>
  <c r="AA9" i="70"/>
  <c r="AE8" i="70"/>
  <c r="AD8" i="70"/>
  <c r="AC8" i="70"/>
  <c r="AB8" i="70"/>
  <c r="AA8" i="70"/>
  <c r="AE7" i="70"/>
  <c r="AD7" i="70"/>
  <c r="AC7" i="70"/>
  <c r="AB7" i="70"/>
  <c r="AA7" i="70"/>
  <c r="AE6" i="70"/>
  <c r="AD6" i="70"/>
  <c r="AC6" i="70"/>
  <c r="AB6" i="70"/>
  <c r="AA6" i="70"/>
  <c r="AO57" i="2" l="1"/>
  <c r="AB12" i="99"/>
  <c r="AE12" i="99"/>
  <c r="AH12" i="99"/>
  <c r="AE147" i="62" l="1"/>
  <c r="N100" i="37"/>
  <c r="N99" i="37"/>
  <c r="N98" i="37"/>
  <c r="G52" i="89" l="1"/>
  <c r="M21" i="99"/>
  <c r="M25" i="99"/>
  <c r="D22" i="99"/>
  <c r="T15" i="99"/>
  <c r="V15" i="99"/>
  <c r="V13" i="99"/>
  <c r="D19" i="99"/>
  <c r="E14" i="99"/>
  <c r="F11" i="99"/>
  <c r="R15" i="99" l="1"/>
  <c r="D17" i="99"/>
  <c r="AJ52" i="99"/>
  <c r="AC3" i="99"/>
  <c r="AR58" i="2"/>
  <c r="AR59" i="2" s="1"/>
  <c r="AQ58" i="2"/>
  <c r="AQ59" i="2" s="1"/>
  <c r="AO58" i="2"/>
  <c r="AO59" i="2" s="1"/>
  <c r="AA175" i="5"/>
  <c r="AB171" i="5"/>
  <c r="AA171" i="5"/>
  <c r="AA57" i="5"/>
  <c r="AB57" i="5"/>
  <c r="AA61" i="5"/>
  <c r="AN59" i="2" l="1"/>
  <c r="AA176" i="5"/>
  <c r="AA62" i="5"/>
  <c r="BE379" i="74" l="1"/>
  <c r="BG379" i="74" s="1"/>
  <c r="BE249" i="74"/>
  <c r="BG249" i="74" s="1"/>
  <c r="BE119" i="74"/>
  <c r="L234" i="61" l="1"/>
  <c r="D235" i="61"/>
  <c r="N9" i="61"/>
  <c r="P9" i="61" l="1"/>
  <c r="O9" i="61"/>
  <c r="S9" i="61" s="1"/>
  <c r="U6" i="61"/>
  <c r="L1086" i="61"/>
  <c r="Q9" i="61"/>
  <c r="T9" i="61"/>
  <c r="R9" i="61"/>
  <c r="R5" i="61"/>
  <c r="G232" i="61" s="1"/>
  <c r="U5" i="61"/>
  <c r="J306" i="61" s="1"/>
  <c r="T5" i="61"/>
  <c r="I302" i="61" s="1"/>
  <c r="S5" i="61"/>
  <c r="H230" i="61" s="1"/>
  <c r="G210" i="61"/>
  <c r="T6" i="61"/>
  <c r="S6" i="61"/>
  <c r="R6" i="61"/>
  <c r="G211" i="61"/>
  <c r="J317" i="61"/>
  <c r="J321" i="61"/>
  <c r="J324" i="61"/>
  <c r="J327" i="61"/>
  <c r="J328" i="61"/>
  <c r="J329" i="61"/>
  <c r="J330" i="61"/>
  <c r="I332" i="61"/>
  <c r="J333" i="61"/>
  <c r="H335" i="61"/>
  <c r="J335" i="61"/>
  <c r="J337" i="61"/>
  <c r="J339" i="61"/>
  <c r="J340" i="61"/>
  <c r="J341" i="61"/>
  <c r="J342" i="61"/>
  <c r="J343" i="61"/>
  <c r="H344" i="61"/>
  <c r="J345" i="61"/>
  <c r="J346" i="61"/>
  <c r="J347" i="61"/>
  <c r="J349" i="61"/>
  <c r="J350" i="61"/>
  <c r="I351" i="61"/>
  <c r="J352" i="61"/>
  <c r="J353" i="61"/>
  <c r="J354" i="61"/>
  <c r="J355" i="61"/>
  <c r="J356" i="61"/>
  <c r="J357" i="61"/>
  <c r="J358" i="61"/>
  <c r="I359" i="61"/>
  <c r="J359" i="61"/>
  <c r="H360" i="61"/>
  <c r="J360" i="61"/>
  <c r="J361" i="61"/>
  <c r="J362" i="61"/>
  <c r="J363" i="61"/>
  <c r="J364" i="61"/>
  <c r="J365" i="61"/>
  <c r="J366" i="61"/>
  <c r="H367" i="61"/>
  <c r="J367" i="61"/>
  <c r="I368" i="61"/>
  <c r="J368" i="61"/>
  <c r="J369" i="61"/>
  <c r="J370" i="61"/>
  <c r="J371" i="61"/>
  <c r="J372" i="61"/>
  <c r="J373" i="61"/>
  <c r="J374" i="61"/>
  <c r="J375" i="61"/>
  <c r="H376" i="61"/>
  <c r="J376" i="61"/>
  <c r="J377" i="61"/>
  <c r="J378" i="61"/>
  <c r="H379" i="61"/>
  <c r="J379" i="61"/>
  <c r="J380" i="61"/>
  <c r="J381" i="61"/>
  <c r="J382" i="61"/>
  <c r="H383" i="61"/>
  <c r="J383" i="61"/>
  <c r="J384" i="61"/>
  <c r="J385" i="61"/>
  <c r="J386" i="61"/>
  <c r="J387" i="61"/>
  <c r="J388" i="61"/>
  <c r="J389" i="61"/>
  <c r="I390" i="61"/>
  <c r="J390" i="61"/>
  <c r="J391" i="61"/>
  <c r="J392" i="61"/>
  <c r="C199" i="61"/>
  <c r="C200" i="61"/>
  <c r="C201" i="61"/>
  <c r="C202" i="61"/>
  <c r="C203" i="61"/>
  <c r="C204" i="61"/>
  <c r="C205" i="61"/>
  <c r="C206" i="61"/>
  <c r="C207" i="61"/>
  <c r="C208" i="61"/>
  <c r="C209" i="61"/>
  <c r="C210" i="61"/>
  <c r="C211" i="61"/>
  <c r="C212" i="61"/>
  <c r="C213" i="61"/>
  <c r="C214" i="61"/>
  <c r="C215" i="61"/>
  <c r="C216" i="61"/>
  <c r="D216" i="61"/>
  <c r="C217" i="61"/>
  <c r="D217" i="61"/>
  <c r="C218" i="61"/>
  <c r="D218" i="61"/>
  <c r="C219" i="61"/>
  <c r="D219" i="61"/>
  <c r="C220" i="61"/>
  <c r="D220" i="61"/>
  <c r="C221" i="61"/>
  <c r="D221" i="61"/>
  <c r="C222" i="61"/>
  <c r="D222" i="61"/>
  <c r="C223" i="61"/>
  <c r="D223" i="61"/>
  <c r="C224" i="61"/>
  <c r="D224" i="61"/>
  <c r="C225" i="61"/>
  <c r="D225" i="61"/>
  <c r="C226" i="61"/>
  <c r="D226" i="61"/>
  <c r="C227" i="61"/>
  <c r="D227" i="61"/>
  <c r="C228" i="61"/>
  <c r="D228" i="61"/>
  <c r="C229" i="61"/>
  <c r="D229" i="61"/>
  <c r="C230" i="61"/>
  <c r="D230" i="61"/>
  <c r="C231" i="61"/>
  <c r="D231" i="61"/>
  <c r="C232" i="61"/>
  <c r="D232" i="61"/>
  <c r="C233" i="61"/>
  <c r="D233" i="61"/>
  <c r="C234" i="61"/>
  <c r="D234" i="61"/>
  <c r="D240" i="61"/>
  <c r="D241" i="61"/>
  <c r="D242" i="61"/>
  <c r="D243" i="61"/>
  <c r="D244" i="61"/>
  <c r="D245" i="61"/>
  <c r="D246" i="61"/>
  <c r="D247" i="61"/>
  <c r="D248" i="61"/>
  <c r="D249" i="61"/>
  <c r="D250" i="61"/>
  <c r="D251" i="61"/>
  <c r="D252" i="61"/>
  <c r="D253" i="61"/>
  <c r="D254" i="61"/>
  <c r="D255" i="61"/>
  <c r="D256" i="61"/>
  <c r="D257" i="61"/>
  <c r="D258" i="61"/>
  <c r="D259" i="61"/>
  <c r="D260" i="61"/>
  <c r="D261" i="61"/>
  <c r="D262" i="61"/>
  <c r="D263" i="61"/>
  <c r="D264" i="61"/>
  <c r="D265" i="61"/>
  <c r="D266" i="61"/>
  <c r="D267" i="61"/>
  <c r="D268" i="61"/>
  <c r="D269" i="61"/>
  <c r="D270" i="61"/>
  <c r="D271" i="61"/>
  <c r="D272" i="61"/>
  <c r="D273" i="61"/>
  <c r="D274" i="61"/>
  <c r="D275" i="61"/>
  <c r="D276" i="61"/>
  <c r="D277" i="61"/>
  <c r="D278" i="61"/>
  <c r="D279" i="61"/>
  <c r="D280" i="61"/>
  <c r="D281" i="61"/>
  <c r="D282" i="61"/>
  <c r="D283" i="61"/>
  <c r="D284" i="61"/>
  <c r="D285" i="61"/>
  <c r="D286" i="61"/>
  <c r="D287" i="61"/>
  <c r="D288" i="61"/>
  <c r="D289" i="61"/>
  <c r="D290" i="61"/>
  <c r="D291" i="61"/>
  <c r="D292" i="61"/>
  <c r="D293" i="61"/>
  <c r="D294" i="61"/>
  <c r="D295" i="61"/>
  <c r="D296" i="61"/>
  <c r="D297" i="61"/>
  <c r="D298" i="61"/>
  <c r="D299" i="61"/>
  <c r="D300" i="61"/>
  <c r="D301" i="61"/>
  <c r="D302" i="61"/>
  <c r="E302" i="61"/>
  <c r="F302" i="61"/>
  <c r="D303" i="61"/>
  <c r="E303" i="61"/>
  <c r="F303" i="61"/>
  <c r="D304" i="61"/>
  <c r="E304" i="61"/>
  <c r="F304" i="61"/>
  <c r="D305" i="61"/>
  <c r="E305" i="61"/>
  <c r="F305" i="61"/>
  <c r="D306" i="61"/>
  <c r="E306" i="61"/>
  <c r="F306" i="61"/>
  <c r="D307" i="61"/>
  <c r="E307" i="61"/>
  <c r="F307" i="61"/>
  <c r="D308" i="61"/>
  <c r="E308" i="61"/>
  <c r="F308" i="61"/>
  <c r="D309" i="61"/>
  <c r="E309" i="61"/>
  <c r="F309" i="61"/>
  <c r="D310" i="61"/>
  <c r="E310" i="61"/>
  <c r="F310" i="61"/>
  <c r="D311" i="61"/>
  <c r="E311" i="61"/>
  <c r="F311" i="61"/>
  <c r="D312" i="61"/>
  <c r="E312" i="61"/>
  <c r="F312" i="61"/>
  <c r="D313" i="61"/>
  <c r="E313" i="61"/>
  <c r="F313" i="61"/>
  <c r="D314" i="61"/>
  <c r="E314" i="61"/>
  <c r="F314" i="61"/>
  <c r="D315" i="61"/>
  <c r="E315" i="61"/>
  <c r="F315" i="61"/>
  <c r="D316" i="61"/>
  <c r="E316" i="61"/>
  <c r="F316" i="61"/>
  <c r="D317" i="61"/>
  <c r="E317" i="61"/>
  <c r="F317" i="61"/>
  <c r="D318" i="61"/>
  <c r="E318" i="61"/>
  <c r="F318" i="61"/>
  <c r="D319" i="61"/>
  <c r="E319" i="61"/>
  <c r="F319" i="61"/>
  <c r="D320" i="61"/>
  <c r="E320" i="61"/>
  <c r="F320" i="61"/>
  <c r="D321" i="61"/>
  <c r="E321" i="61"/>
  <c r="F321" i="61"/>
  <c r="D322" i="61"/>
  <c r="E322" i="61"/>
  <c r="F322" i="61"/>
  <c r="D323" i="61"/>
  <c r="E323" i="61"/>
  <c r="F323" i="61"/>
  <c r="D324" i="61"/>
  <c r="E324" i="61"/>
  <c r="F324" i="61"/>
  <c r="D325" i="61"/>
  <c r="E325" i="61"/>
  <c r="F325" i="61"/>
  <c r="D326" i="61"/>
  <c r="E326" i="61"/>
  <c r="F326" i="61"/>
  <c r="D327" i="61"/>
  <c r="E327" i="61"/>
  <c r="F327" i="61"/>
  <c r="D328" i="61"/>
  <c r="E328" i="61"/>
  <c r="F328" i="61"/>
  <c r="D329" i="61"/>
  <c r="E329" i="61"/>
  <c r="F329" i="61"/>
  <c r="D330" i="61"/>
  <c r="E330" i="61"/>
  <c r="F330" i="61"/>
  <c r="D331" i="61"/>
  <c r="E331" i="61"/>
  <c r="F331" i="61"/>
  <c r="D332" i="61"/>
  <c r="E332" i="61"/>
  <c r="F332" i="61"/>
  <c r="D333" i="61"/>
  <c r="E333" i="61"/>
  <c r="F333" i="61"/>
  <c r="D334" i="61"/>
  <c r="E334" i="61"/>
  <c r="F334" i="61"/>
  <c r="D335" i="61"/>
  <c r="E335" i="61"/>
  <c r="F335" i="61"/>
  <c r="D336" i="61"/>
  <c r="E336" i="61"/>
  <c r="F336" i="61"/>
  <c r="D337" i="61"/>
  <c r="E337" i="61"/>
  <c r="F337" i="61"/>
  <c r="D338" i="61"/>
  <c r="E338" i="61"/>
  <c r="F338" i="61"/>
  <c r="D339" i="61"/>
  <c r="E339" i="61"/>
  <c r="F339" i="61"/>
  <c r="D340" i="61"/>
  <c r="E340" i="61"/>
  <c r="F340" i="61"/>
  <c r="D341" i="61"/>
  <c r="E341" i="61"/>
  <c r="F341" i="61"/>
  <c r="D342" i="61"/>
  <c r="E342" i="61"/>
  <c r="F342" i="61"/>
  <c r="D343" i="61"/>
  <c r="E343" i="61"/>
  <c r="F343" i="61"/>
  <c r="D344" i="61"/>
  <c r="E344" i="61"/>
  <c r="F344" i="61"/>
  <c r="D345" i="61"/>
  <c r="E345" i="61"/>
  <c r="F345" i="61"/>
  <c r="D346" i="61"/>
  <c r="E346" i="61"/>
  <c r="F346" i="61"/>
  <c r="D347" i="61"/>
  <c r="E347" i="61"/>
  <c r="F347" i="61"/>
  <c r="D348" i="61"/>
  <c r="E348" i="61"/>
  <c r="F348" i="61"/>
  <c r="D349" i="61"/>
  <c r="E349" i="61"/>
  <c r="F349" i="61"/>
  <c r="D350" i="61"/>
  <c r="E350" i="61"/>
  <c r="F350" i="61"/>
  <c r="D351" i="61"/>
  <c r="E351" i="61"/>
  <c r="F351" i="61"/>
  <c r="D352" i="61"/>
  <c r="E352" i="61"/>
  <c r="F352" i="61"/>
  <c r="D353" i="61"/>
  <c r="E353" i="61"/>
  <c r="F353" i="61"/>
  <c r="D354" i="61"/>
  <c r="E354" i="61"/>
  <c r="F354" i="61"/>
  <c r="D355" i="61"/>
  <c r="E355" i="61"/>
  <c r="F355" i="61"/>
  <c r="D356" i="61"/>
  <c r="E356" i="61"/>
  <c r="F356" i="61"/>
  <c r="D357" i="61"/>
  <c r="E357" i="61"/>
  <c r="F357" i="61"/>
  <c r="D358" i="61"/>
  <c r="E358" i="61"/>
  <c r="F358" i="61"/>
  <c r="D359" i="61"/>
  <c r="E359" i="61"/>
  <c r="F359" i="61"/>
  <c r="D360" i="61"/>
  <c r="E360" i="61"/>
  <c r="F360" i="61"/>
  <c r="D361" i="61"/>
  <c r="E361" i="61"/>
  <c r="F361" i="61"/>
  <c r="D362" i="61"/>
  <c r="E362" i="61"/>
  <c r="F362" i="61"/>
  <c r="D363" i="61"/>
  <c r="E363" i="61"/>
  <c r="F363" i="61"/>
  <c r="D364" i="61"/>
  <c r="E364" i="61"/>
  <c r="F364" i="61"/>
  <c r="D365" i="61"/>
  <c r="E365" i="61"/>
  <c r="F365" i="61"/>
  <c r="D366" i="61"/>
  <c r="E366" i="61"/>
  <c r="F366" i="61"/>
  <c r="D367" i="61"/>
  <c r="E367" i="61"/>
  <c r="F367" i="61"/>
  <c r="D368" i="61"/>
  <c r="E368" i="61"/>
  <c r="F368" i="61"/>
  <c r="D369" i="61"/>
  <c r="E369" i="61"/>
  <c r="F369" i="61"/>
  <c r="D370" i="61"/>
  <c r="E370" i="61"/>
  <c r="F370" i="61"/>
  <c r="D371" i="61"/>
  <c r="E371" i="61"/>
  <c r="F371" i="61"/>
  <c r="D372" i="61"/>
  <c r="E372" i="61"/>
  <c r="F372" i="61"/>
  <c r="D373" i="61"/>
  <c r="E373" i="61"/>
  <c r="F373" i="61"/>
  <c r="D374" i="61"/>
  <c r="E374" i="61"/>
  <c r="F374" i="61"/>
  <c r="D375" i="61"/>
  <c r="E375" i="61"/>
  <c r="F375" i="61"/>
  <c r="D376" i="61"/>
  <c r="E376" i="61"/>
  <c r="F376" i="61"/>
  <c r="D377" i="61"/>
  <c r="E377" i="61"/>
  <c r="F377" i="61"/>
  <c r="D378" i="61"/>
  <c r="E378" i="61"/>
  <c r="F378" i="61"/>
  <c r="D379" i="61"/>
  <c r="E379" i="61"/>
  <c r="F379" i="61"/>
  <c r="D380" i="61"/>
  <c r="E380" i="61"/>
  <c r="F380" i="61"/>
  <c r="D381" i="61"/>
  <c r="E381" i="61"/>
  <c r="F381" i="61"/>
  <c r="D382" i="61"/>
  <c r="E382" i="61"/>
  <c r="F382" i="61"/>
  <c r="D383" i="61"/>
  <c r="E383" i="61"/>
  <c r="F383" i="61"/>
  <c r="D384" i="61"/>
  <c r="E384" i="61"/>
  <c r="F384" i="61"/>
  <c r="D385" i="61"/>
  <c r="E385" i="61"/>
  <c r="F385" i="61"/>
  <c r="D386" i="61"/>
  <c r="E386" i="61"/>
  <c r="F386" i="61"/>
  <c r="D387" i="61"/>
  <c r="E387" i="61"/>
  <c r="F387" i="61"/>
  <c r="D388" i="61"/>
  <c r="E388" i="61"/>
  <c r="F388" i="61"/>
  <c r="D389" i="61"/>
  <c r="E389" i="61"/>
  <c r="F389" i="61"/>
  <c r="D390" i="61"/>
  <c r="E390" i="61"/>
  <c r="F390" i="61"/>
  <c r="D391" i="61"/>
  <c r="E391" i="61"/>
  <c r="F391" i="61"/>
  <c r="D392" i="61"/>
  <c r="E392" i="61"/>
  <c r="F392" i="61"/>
  <c r="C432" i="61"/>
  <c r="C433" i="61"/>
  <c r="C434" i="61"/>
  <c r="C435" i="61"/>
  <c r="C436" i="61"/>
  <c r="C437" i="61"/>
  <c r="C438" i="61"/>
  <c r="C439" i="61"/>
  <c r="C440" i="61"/>
  <c r="C441" i="61"/>
  <c r="C442" i="61"/>
  <c r="C443" i="61"/>
  <c r="C444" i="61"/>
  <c r="C445" i="61"/>
  <c r="C446" i="61"/>
  <c r="C447" i="61"/>
  <c r="C448" i="61"/>
  <c r="C449" i="61"/>
  <c r="C450" i="61"/>
  <c r="C451" i="61"/>
  <c r="C452" i="61"/>
  <c r="C453" i="61"/>
  <c r="C454" i="61"/>
  <c r="C455" i="61"/>
  <c r="C456" i="61"/>
  <c r="C457" i="61"/>
  <c r="C458" i="61"/>
  <c r="C459" i="61"/>
  <c r="C460" i="61"/>
  <c r="C461" i="61"/>
  <c r="C462" i="61"/>
  <c r="C463" i="61"/>
  <c r="C464" i="61"/>
  <c r="C465" i="61"/>
  <c r="C466" i="61"/>
  <c r="C467" i="61"/>
  <c r="C468" i="61"/>
  <c r="C469" i="61"/>
  <c r="C470" i="61"/>
  <c r="C471" i="61"/>
  <c r="C472" i="61"/>
  <c r="C473" i="61"/>
  <c r="C474" i="61"/>
  <c r="C475" i="61"/>
  <c r="C476" i="61"/>
  <c r="C477" i="61"/>
  <c r="C478" i="61"/>
  <c r="C479" i="61"/>
  <c r="C480" i="61"/>
  <c r="C481" i="61"/>
  <c r="C482" i="61"/>
  <c r="C483" i="61"/>
  <c r="C484" i="61"/>
  <c r="C485" i="61"/>
  <c r="C486" i="61"/>
  <c r="C487" i="61"/>
  <c r="C488" i="61"/>
  <c r="C489" i="61"/>
  <c r="C490" i="61"/>
  <c r="C491" i="61"/>
  <c r="C492" i="61"/>
  <c r="C493" i="61"/>
  <c r="C494" i="61"/>
  <c r="C495" i="61"/>
  <c r="C496" i="61"/>
  <c r="C497" i="61"/>
  <c r="C498" i="61"/>
  <c r="C499" i="61"/>
  <c r="C500" i="61"/>
  <c r="C501" i="61"/>
  <c r="C502" i="61"/>
  <c r="C503" i="61"/>
  <c r="C504" i="61"/>
  <c r="C505" i="61"/>
  <c r="C506" i="61"/>
  <c r="C507" i="61"/>
  <c r="C508" i="61"/>
  <c r="C509" i="61"/>
  <c r="C510" i="61"/>
  <c r="C511" i="61"/>
  <c r="C512" i="61"/>
  <c r="C513" i="61"/>
  <c r="C514" i="61"/>
  <c r="C515" i="61"/>
  <c r="C516" i="61"/>
  <c r="C517" i="61"/>
  <c r="C518" i="61"/>
  <c r="C519" i="61"/>
  <c r="C520" i="61"/>
  <c r="C521" i="61"/>
  <c r="C522" i="61"/>
  <c r="C523" i="61"/>
  <c r="E523" i="61"/>
  <c r="C524" i="61"/>
  <c r="C525" i="61"/>
  <c r="C526" i="61"/>
  <c r="C527" i="61"/>
  <c r="C528" i="61"/>
  <c r="C529" i="61"/>
  <c r="C530" i="61"/>
  <c r="C531" i="61"/>
  <c r="C532" i="61"/>
  <c r="C533" i="61"/>
  <c r="C534" i="61"/>
  <c r="C535" i="61"/>
  <c r="C536" i="61"/>
  <c r="C537" i="61"/>
  <c r="C538" i="61"/>
  <c r="C539" i="61"/>
  <c r="C540" i="61"/>
  <c r="C541" i="61"/>
  <c r="C542" i="61"/>
  <c r="C543" i="61"/>
  <c r="C544" i="61"/>
  <c r="C545" i="61"/>
  <c r="C546" i="61"/>
  <c r="C547" i="61"/>
  <c r="E547" i="61"/>
  <c r="C548" i="61"/>
  <c r="C549" i="61"/>
  <c r="C550" i="61"/>
  <c r="C551" i="61"/>
  <c r="C552" i="61"/>
  <c r="C553" i="61"/>
  <c r="C554" i="61"/>
  <c r="C555" i="61"/>
  <c r="C556" i="61"/>
  <c r="C557" i="61"/>
  <c r="C558" i="61"/>
  <c r="C559" i="61"/>
  <c r="C560" i="61"/>
  <c r="C561" i="61"/>
  <c r="C562" i="61"/>
  <c r="C563" i="61"/>
  <c r="C564" i="61"/>
  <c r="C565" i="61"/>
  <c r="C566" i="61"/>
  <c r="C567" i="61"/>
  <c r="C568" i="61"/>
  <c r="C569" i="61"/>
  <c r="C570" i="61"/>
  <c r="C571" i="61"/>
  <c r="C572" i="61"/>
  <c r="C573" i="61"/>
  <c r="C574" i="61"/>
  <c r="C575" i="61"/>
  <c r="C576" i="61"/>
  <c r="C577" i="61"/>
  <c r="C578" i="61"/>
  <c r="C579" i="61"/>
  <c r="C580" i="61"/>
  <c r="C581" i="61"/>
  <c r="C582" i="61"/>
  <c r="C583" i="61"/>
  <c r="C584" i="61"/>
  <c r="C585" i="61"/>
  <c r="C586" i="61"/>
  <c r="C587" i="61"/>
  <c r="C588" i="61"/>
  <c r="C589" i="61"/>
  <c r="C590" i="61"/>
  <c r="C591" i="61"/>
  <c r="C592" i="61"/>
  <c r="E592" i="61"/>
  <c r="C593" i="61"/>
  <c r="C594" i="61"/>
  <c r="C595" i="61"/>
  <c r="C596" i="61"/>
  <c r="E596" i="61"/>
  <c r="C597" i="61"/>
  <c r="C598" i="61"/>
  <c r="C599" i="61"/>
  <c r="C600" i="61"/>
  <c r="C601" i="61"/>
  <c r="C602" i="61"/>
  <c r="C603" i="61"/>
  <c r="C604" i="61"/>
  <c r="C605" i="61"/>
  <c r="C606" i="61"/>
  <c r="C607" i="61"/>
  <c r="C608" i="61"/>
  <c r="C609" i="61"/>
  <c r="C610" i="61"/>
  <c r="C611" i="61"/>
  <c r="C612" i="61"/>
  <c r="C613" i="61"/>
  <c r="C614" i="61"/>
  <c r="C615" i="61"/>
  <c r="C616" i="61"/>
  <c r="C617" i="61"/>
  <c r="C618" i="61"/>
  <c r="C619" i="61"/>
  <c r="C620" i="61"/>
  <c r="C621" i="61"/>
  <c r="C622" i="61"/>
  <c r="C623" i="61"/>
  <c r="C624" i="61"/>
  <c r="C625" i="61"/>
  <c r="E625" i="61"/>
  <c r="C626" i="61"/>
  <c r="C627" i="61"/>
  <c r="C628" i="61"/>
  <c r="C629" i="61"/>
  <c r="C630" i="61"/>
  <c r="C631" i="61"/>
  <c r="C632" i="61"/>
  <c r="C633" i="61"/>
  <c r="C634" i="61"/>
  <c r="C635" i="61"/>
  <c r="C636" i="61"/>
  <c r="C637" i="61"/>
  <c r="C638" i="61"/>
  <c r="C639" i="61"/>
  <c r="C640" i="61"/>
  <c r="E640" i="61"/>
  <c r="C641" i="61"/>
  <c r="C642" i="61"/>
  <c r="C643" i="61"/>
  <c r="C644" i="61"/>
  <c r="C645" i="61"/>
  <c r="C646" i="61"/>
  <c r="C647" i="61"/>
  <c r="C648" i="61"/>
  <c r="C649" i="61"/>
  <c r="C650" i="61"/>
  <c r="C651" i="61"/>
  <c r="C652" i="61"/>
  <c r="C653" i="61"/>
  <c r="C654" i="61"/>
  <c r="C655" i="61"/>
  <c r="C656" i="61"/>
  <c r="E656" i="61"/>
  <c r="C657" i="61"/>
  <c r="C658" i="61"/>
  <c r="C659" i="61"/>
  <c r="E659" i="61"/>
  <c r="C660" i="61"/>
  <c r="C661" i="61"/>
  <c r="C662" i="61"/>
  <c r="C663" i="61"/>
  <c r="C664" i="61"/>
  <c r="C665" i="61"/>
  <c r="C666" i="61"/>
  <c r="C667" i="61"/>
  <c r="E667" i="61"/>
  <c r="C668" i="61"/>
  <c r="C669" i="61"/>
  <c r="C670" i="61"/>
  <c r="C671" i="61"/>
  <c r="C672" i="61"/>
  <c r="C673" i="61"/>
  <c r="C674" i="61"/>
  <c r="C675" i="61"/>
  <c r="C676" i="61"/>
  <c r="C677" i="61"/>
  <c r="C678" i="61"/>
  <c r="C679" i="61"/>
  <c r="C680" i="61"/>
  <c r="C681" i="61"/>
  <c r="C682" i="61"/>
  <c r="C683" i="61"/>
  <c r="C684" i="61"/>
  <c r="C685" i="61"/>
  <c r="C686" i="61"/>
  <c r="C687" i="61"/>
  <c r="C688" i="61"/>
  <c r="C689" i="61"/>
  <c r="C690" i="61"/>
  <c r="C691" i="61"/>
  <c r="C692" i="61"/>
  <c r="C693" i="61"/>
  <c r="C694" i="61"/>
  <c r="C695" i="61"/>
  <c r="C696" i="61"/>
  <c r="C697" i="61"/>
  <c r="C698" i="61"/>
  <c r="C699" i="61"/>
  <c r="C700" i="61"/>
  <c r="C701" i="61"/>
  <c r="C702" i="61"/>
  <c r="C703" i="61"/>
  <c r="C704" i="61"/>
  <c r="C705" i="61"/>
  <c r="C706" i="61"/>
  <c r="C707" i="61"/>
  <c r="C708" i="61"/>
  <c r="C709" i="61"/>
  <c r="C710" i="61"/>
  <c r="C711" i="61"/>
  <c r="C712" i="61"/>
  <c r="C713" i="61"/>
  <c r="C714" i="61"/>
  <c r="C715" i="61"/>
  <c r="C716" i="61"/>
  <c r="C717" i="61"/>
  <c r="C718" i="61"/>
  <c r="E718" i="61"/>
  <c r="C719" i="61"/>
  <c r="C720" i="61"/>
  <c r="C721" i="61"/>
  <c r="C722" i="61"/>
  <c r="C723" i="61"/>
  <c r="C724" i="61"/>
  <c r="C725" i="61"/>
  <c r="C726" i="61"/>
  <c r="C727" i="61"/>
  <c r="C728" i="61"/>
  <c r="C729" i="61"/>
  <c r="C730" i="61"/>
  <c r="C731" i="61"/>
  <c r="C732" i="61"/>
  <c r="C733" i="61"/>
  <c r="C734" i="61"/>
  <c r="C735" i="61"/>
  <c r="C736" i="61"/>
  <c r="C737" i="61"/>
  <c r="C738" i="61"/>
  <c r="C739" i="61"/>
  <c r="C740" i="61"/>
  <c r="C741" i="61"/>
  <c r="C742" i="61"/>
  <c r="C743" i="61"/>
  <c r="C744" i="61"/>
  <c r="C745" i="61"/>
  <c r="C746" i="61"/>
  <c r="C747" i="61"/>
  <c r="C748" i="61"/>
  <c r="C749" i="61"/>
  <c r="C750" i="61"/>
  <c r="C751" i="61"/>
  <c r="C752" i="61"/>
  <c r="C753" i="61"/>
  <c r="C754" i="61"/>
  <c r="C755" i="61"/>
  <c r="C756" i="61"/>
  <c r="C757" i="61"/>
  <c r="C758" i="61"/>
  <c r="C759" i="61"/>
  <c r="C760" i="61"/>
  <c r="C761" i="61"/>
  <c r="E761" i="61"/>
  <c r="C762" i="61"/>
  <c r="C763" i="61"/>
  <c r="E763" i="61"/>
  <c r="C764" i="61"/>
  <c r="E764" i="61"/>
  <c r="C765" i="61"/>
  <c r="C766" i="61"/>
  <c r="C767" i="61"/>
  <c r="E767" i="61"/>
  <c r="C768" i="61"/>
  <c r="C769" i="61"/>
  <c r="C770" i="61"/>
  <c r="C771" i="61"/>
  <c r="C772" i="61"/>
  <c r="C773" i="61"/>
  <c r="C774" i="61"/>
  <c r="C775" i="61"/>
  <c r="C776" i="61"/>
  <c r="C777" i="61"/>
  <c r="E777" i="61"/>
  <c r="C778" i="61"/>
  <c r="C779" i="61"/>
  <c r="C780" i="61"/>
  <c r="C781" i="61"/>
  <c r="C782" i="61"/>
  <c r="C783" i="61"/>
  <c r="C784" i="61"/>
  <c r="C785" i="61"/>
  <c r="C786" i="61"/>
  <c r="C787" i="61"/>
  <c r="C788" i="61"/>
  <c r="C789" i="61"/>
  <c r="C790" i="61"/>
  <c r="C791" i="61"/>
  <c r="C792" i="61"/>
  <c r="C793" i="61"/>
  <c r="C794" i="61"/>
  <c r="C795" i="61"/>
  <c r="C796" i="61"/>
  <c r="C797" i="61"/>
  <c r="E797" i="61"/>
  <c r="C798" i="61"/>
  <c r="C799" i="61"/>
  <c r="E799" i="61"/>
  <c r="C800" i="61"/>
  <c r="C801" i="61"/>
  <c r="C802" i="61"/>
  <c r="C803" i="61"/>
  <c r="C804" i="61"/>
  <c r="E804" i="61"/>
  <c r="C805" i="61"/>
  <c r="C806" i="61"/>
  <c r="C807" i="61"/>
  <c r="C808" i="61"/>
  <c r="C809" i="61"/>
  <c r="E809" i="61"/>
  <c r="C810" i="61"/>
  <c r="C811" i="61"/>
  <c r="C812" i="61"/>
  <c r="C813" i="61"/>
  <c r="C814" i="61"/>
  <c r="C815" i="61"/>
  <c r="C816" i="61"/>
  <c r="C817" i="61"/>
  <c r="C818" i="61"/>
  <c r="C819" i="61"/>
  <c r="C820" i="61"/>
  <c r="C821" i="61"/>
  <c r="C822" i="61"/>
  <c r="C823" i="61"/>
  <c r="E823" i="61"/>
  <c r="C824" i="61"/>
  <c r="C825" i="61"/>
  <c r="C826" i="61"/>
  <c r="C827" i="61"/>
  <c r="C828" i="61"/>
  <c r="C829" i="61"/>
  <c r="C830" i="61"/>
  <c r="C831" i="61"/>
  <c r="C832" i="61"/>
  <c r="C833" i="61"/>
  <c r="C834" i="61"/>
  <c r="C835" i="61"/>
  <c r="C836" i="61"/>
  <c r="C837" i="61"/>
  <c r="C838" i="61"/>
  <c r="C839" i="61"/>
  <c r="C840" i="61"/>
  <c r="C841" i="61"/>
  <c r="C842" i="61"/>
  <c r="C843" i="61"/>
  <c r="C844" i="61"/>
  <c r="C845" i="61"/>
  <c r="C846" i="61"/>
  <c r="C847" i="61"/>
  <c r="C848" i="61"/>
  <c r="C849" i="61"/>
  <c r="C850" i="61"/>
  <c r="C851" i="61"/>
  <c r="C852" i="61"/>
  <c r="C853" i="61"/>
  <c r="C854" i="61"/>
  <c r="C855" i="61"/>
  <c r="C856" i="61"/>
  <c r="C857" i="61"/>
  <c r="C858" i="61"/>
  <c r="C859" i="61"/>
  <c r="C860" i="61"/>
  <c r="C861" i="61"/>
  <c r="C862" i="61"/>
  <c r="C863" i="61"/>
  <c r="C864" i="61"/>
  <c r="C865" i="61"/>
  <c r="C866" i="61"/>
  <c r="C867" i="61"/>
  <c r="C868" i="61"/>
  <c r="C869" i="61"/>
  <c r="C870" i="61"/>
  <c r="C871" i="61"/>
  <c r="C872" i="61"/>
  <c r="C873" i="61"/>
  <c r="C874" i="61"/>
  <c r="C875" i="61"/>
  <c r="E875" i="61"/>
  <c r="C876" i="61"/>
  <c r="E876" i="61"/>
  <c r="C877" i="61"/>
  <c r="C878" i="61"/>
  <c r="C879" i="61"/>
  <c r="C880" i="61"/>
  <c r="C881" i="61"/>
  <c r="C882" i="61"/>
  <c r="C883" i="61"/>
  <c r="C884" i="61"/>
  <c r="C885" i="61"/>
  <c r="C886" i="61"/>
  <c r="C887" i="61"/>
  <c r="C888" i="61"/>
  <c r="C889" i="61"/>
  <c r="C890" i="61"/>
  <c r="C891" i="61"/>
  <c r="C892" i="61"/>
  <c r="C893" i="61"/>
  <c r="C894" i="61"/>
  <c r="C895" i="61"/>
  <c r="C896" i="61"/>
  <c r="C897" i="61"/>
  <c r="E897" i="61"/>
  <c r="C898" i="61"/>
  <c r="C899" i="61"/>
  <c r="C900" i="61"/>
  <c r="C901" i="61"/>
  <c r="C902" i="61"/>
  <c r="C903" i="61"/>
  <c r="C904" i="61"/>
  <c r="C905" i="61"/>
  <c r="C906" i="61"/>
  <c r="C907" i="61"/>
  <c r="C908" i="61"/>
  <c r="C909" i="61"/>
  <c r="C910" i="61"/>
  <c r="C911" i="61"/>
  <c r="C912" i="61"/>
  <c r="C913" i="61"/>
  <c r="C914" i="61"/>
  <c r="C915" i="61"/>
  <c r="C916" i="61"/>
  <c r="C917" i="61"/>
  <c r="E917" i="61"/>
  <c r="C918" i="61"/>
  <c r="C919" i="61"/>
  <c r="C920" i="61"/>
  <c r="C921" i="61"/>
  <c r="C922" i="61"/>
  <c r="C923" i="61"/>
  <c r="C924" i="61"/>
  <c r="C925" i="61"/>
  <c r="C926" i="61"/>
  <c r="C927" i="61"/>
  <c r="C928" i="61"/>
  <c r="C929" i="61"/>
  <c r="C930" i="61"/>
  <c r="C931" i="61"/>
  <c r="C932" i="61"/>
  <c r="C933" i="61"/>
  <c r="C934" i="61"/>
  <c r="C935" i="61"/>
  <c r="C936" i="61"/>
  <c r="C937" i="61"/>
  <c r="C938" i="61"/>
  <c r="C939" i="61"/>
  <c r="C940" i="61"/>
  <c r="C941" i="61"/>
  <c r="C942" i="61"/>
  <c r="C943" i="61"/>
  <c r="C944" i="61"/>
  <c r="C945" i="61"/>
  <c r="C946" i="61"/>
  <c r="C947" i="61"/>
  <c r="C948" i="61"/>
  <c r="C949" i="61"/>
  <c r="C950" i="61"/>
  <c r="C951" i="61"/>
  <c r="C952" i="61"/>
  <c r="C953" i="61"/>
  <c r="C954" i="61"/>
  <c r="C955" i="61"/>
  <c r="C956" i="61"/>
  <c r="C957" i="61"/>
  <c r="C958" i="61"/>
  <c r="C959" i="61"/>
  <c r="C960" i="61"/>
  <c r="C961" i="61"/>
  <c r="C962" i="61"/>
  <c r="C963" i="61"/>
  <c r="C964" i="61"/>
  <c r="C965" i="61"/>
  <c r="C966" i="61"/>
  <c r="C967" i="61"/>
  <c r="C968" i="61"/>
  <c r="C969" i="61"/>
  <c r="C970" i="61"/>
  <c r="C971" i="61"/>
  <c r="C972" i="61"/>
  <c r="C973" i="61"/>
  <c r="C974" i="61"/>
  <c r="C975" i="61"/>
  <c r="E975" i="61"/>
  <c r="C976" i="61"/>
  <c r="C977" i="61"/>
  <c r="C978" i="61"/>
  <c r="C979" i="61"/>
  <c r="C980" i="61"/>
  <c r="C981" i="61"/>
  <c r="C982" i="61"/>
  <c r="C983" i="61"/>
  <c r="C984" i="61"/>
  <c r="C985" i="61"/>
  <c r="C986" i="61"/>
  <c r="C987" i="61"/>
  <c r="E987" i="61"/>
  <c r="C988" i="61"/>
  <c r="C989" i="61"/>
  <c r="C990" i="61"/>
  <c r="C991" i="61"/>
  <c r="E991" i="61"/>
  <c r="C992" i="61"/>
  <c r="C993" i="61"/>
  <c r="C994" i="61"/>
  <c r="C995" i="61"/>
  <c r="C996" i="61"/>
  <c r="C997" i="61"/>
  <c r="C998" i="61"/>
  <c r="C999" i="61"/>
  <c r="C1000" i="61"/>
  <c r="C1001" i="61"/>
  <c r="C1002" i="61"/>
  <c r="C1003" i="61"/>
  <c r="C1004" i="61"/>
  <c r="C1005" i="61"/>
  <c r="C1006" i="61"/>
  <c r="C1007" i="61"/>
  <c r="C1008" i="61"/>
  <c r="C1009" i="61"/>
  <c r="D1009" i="61"/>
  <c r="C1010" i="61"/>
  <c r="C1011" i="61"/>
  <c r="C1012" i="61"/>
  <c r="C1013" i="61"/>
  <c r="C1014" i="61"/>
  <c r="C1015" i="61"/>
  <c r="C1016" i="61"/>
  <c r="C1017" i="61"/>
  <c r="C1018" i="61"/>
  <c r="C1019" i="61"/>
  <c r="C1020" i="61"/>
  <c r="C1021" i="61"/>
  <c r="C1022" i="61"/>
  <c r="C1023" i="61"/>
  <c r="C1024" i="61"/>
  <c r="C1025" i="61"/>
  <c r="C1026" i="61"/>
  <c r="C1027" i="61"/>
  <c r="C1028" i="61"/>
  <c r="C1029" i="61"/>
  <c r="C1030" i="61"/>
  <c r="C1031" i="61"/>
  <c r="C1032" i="61"/>
  <c r="C1033" i="61"/>
  <c r="C1034" i="61"/>
  <c r="C1035" i="61"/>
  <c r="C1036" i="61"/>
  <c r="C1037" i="61"/>
  <c r="C1038" i="61"/>
  <c r="C1039" i="61"/>
  <c r="C1040" i="61"/>
  <c r="D1040" i="61"/>
  <c r="C1041" i="61"/>
  <c r="C1042" i="61"/>
  <c r="C1043" i="61"/>
  <c r="E1043" i="61"/>
  <c r="F1043" i="61"/>
  <c r="C1044" i="61"/>
  <c r="C1045" i="61"/>
  <c r="C1046" i="61"/>
  <c r="C1047" i="61"/>
  <c r="C1048" i="61"/>
  <c r="C1049" i="61"/>
  <c r="C1050" i="61"/>
  <c r="C1051" i="61"/>
  <c r="C1052" i="61"/>
  <c r="C1053" i="61"/>
  <c r="C1054" i="61"/>
  <c r="C1055" i="61"/>
  <c r="C1056" i="61"/>
  <c r="C1057" i="61"/>
  <c r="C1058" i="61"/>
  <c r="C1059" i="61"/>
  <c r="C1060" i="61"/>
  <c r="C1061" i="61"/>
  <c r="C1062" i="61"/>
  <c r="C1063" i="61"/>
  <c r="C1064" i="61"/>
  <c r="C1065" i="61"/>
  <c r="C1066" i="61"/>
  <c r="F1066" i="61"/>
  <c r="C1067" i="61"/>
  <c r="C1068" i="61"/>
  <c r="C1069" i="61"/>
  <c r="C1070" i="61"/>
  <c r="C1071" i="61"/>
  <c r="C1072" i="61"/>
  <c r="C1073" i="61"/>
  <c r="C1074" i="61"/>
  <c r="C1075" i="61"/>
  <c r="E1075" i="61"/>
  <c r="C1076" i="61"/>
  <c r="C1077" i="61"/>
  <c r="C1078" i="61"/>
  <c r="C1079" i="61"/>
  <c r="E1079" i="61"/>
  <c r="C1080" i="61"/>
  <c r="C1081" i="61"/>
  <c r="C1082" i="61"/>
  <c r="C1083" i="61"/>
  <c r="E1083" i="61"/>
  <c r="C1084" i="61"/>
  <c r="C1085" i="61"/>
  <c r="C1086" i="61"/>
  <c r="C1087" i="61"/>
  <c r="C1088" i="61"/>
  <c r="C1089" i="61"/>
  <c r="C1090" i="61"/>
  <c r="C1091" i="61"/>
  <c r="C1092" i="61"/>
  <c r="C1093" i="61"/>
  <c r="C1094" i="61"/>
  <c r="C1095" i="61"/>
  <c r="F1095" i="61"/>
  <c r="C1096" i="61"/>
  <c r="C1097" i="61"/>
  <c r="C1098" i="61"/>
  <c r="C1099" i="61"/>
  <c r="E1099" i="61"/>
  <c r="C1100" i="61"/>
  <c r="C1101" i="61"/>
  <c r="C1102" i="61"/>
  <c r="C1103" i="61"/>
  <c r="C1104" i="61"/>
  <c r="C1105" i="61"/>
  <c r="C1106" i="61"/>
  <c r="C1107" i="61"/>
  <c r="E1107" i="61"/>
  <c r="C1108" i="61"/>
  <c r="D1108" i="61"/>
  <c r="C1109" i="61"/>
  <c r="C1110" i="61"/>
  <c r="C1111" i="61"/>
  <c r="C1112" i="61"/>
  <c r="C1113" i="61"/>
  <c r="C1114" i="61"/>
  <c r="C1115" i="61"/>
  <c r="E1115" i="61"/>
  <c r="C1116" i="61"/>
  <c r="C1117" i="61"/>
  <c r="C1118" i="61"/>
  <c r="C1119" i="61"/>
  <c r="C1120" i="61"/>
  <c r="E1120" i="61"/>
  <c r="C1121" i="61"/>
  <c r="C1122" i="61"/>
  <c r="C1123" i="61"/>
  <c r="C1124" i="61"/>
  <c r="C1125" i="61"/>
  <c r="C1126" i="61"/>
  <c r="C1127" i="61"/>
  <c r="C1128" i="61"/>
  <c r="E1128" i="61"/>
  <c r="C1129" i="61"/>
  <c r="C1130" i="61"/>
  <c r="C1131" i="61"/>
  <c r="C1132" i="61"/>
  <c r="E1132" i="61"/>
  <c r="C1133" i="61"/>
  <c r="C1134" i="61"/>
  <c r="C1135" i="61"/>
  <c r="F1135" i="61"/>
  <c r="C1136" i="61"/>
  <c r="E1136" i="61"/>
  <c r="C1137" i="61"/>
  <c r="C1138" i="61"/>
  <c r="C1139" i="61"/>
  <c r="C1140" i="61"/>
  <c r="C1141" i="61"/>
  <c r="C1142" i="61"/>
  <c r="C1143" i="61"/>
  <c r="F1143" i="61"/>
  <c r="C1144" i="61"/>
  <c r="C1145" i="61"/>
  <c r="F1145" i="61"/>
  <c r="C1146" i="61"/>
  <c r="C1147" i="61"/>
  <c r="C1148" i="61"/>
  <c r="E1148" i="61"/>
  <c r="F1148" i="61"/>
  <c r="C1149" i="61"/>
  <c r="C1150" i="61"/>
  <c r="C1151" i="61"/>
  <c r="C1152" i="61"/>
  <c r="C1153" i="61"/>
  <c r="C1154" i="61"/>
  <c r="C1155" i="61"/>
  <c r="C1156" i="61"/>
  <c r="C1157" i="61"/>
  <c r="F1157" i="61"/>
  <c r="C1158" i="61"/>
  <c r="C1159" i="61"/>
  <c r="L237" i="61"/>
  <c r="L238" i="61"/>
  <c r="L239" i="61"/>
  <c r="L236" i="61"/>
  <c r="U7" i="61"/>
  <c r="J6" i="61" s="1"/>
  <c r="T7" i="61"/>
  <c r="S7" i="61"/>
  <c r="R7" i="61"/>
  <c r="E740" i="61"/>
  <c r="F1079" i="61"/>
  <c r="N7" i="61"/>
  <c r="C12" i="61" s="1"/>
  <c r="O7" i="61"/>
  <c r="D4" i="61" s="1"/>
  <c r="P7" i="61"/>
  <c r="Q7" i="61"/>
  <c r="F235" i="61" s="1"/>
  <c r="G37" i="89"/>
  <c r="AO214" i="68"/>
  <c r="V167" i="98"/>
  <c r="V166" i="98"/>
  <c r="V160" i="98"/>
  <c r="V159" i="98"/>
  <c r="X101" i="98"/>
  <c r="X100" i="98"/>
  <c r="X93" i="98"/>
  <c r="X92" i="98"/>
  <c r="V82" i="98"/>
  <c r="V81" i="98"/>
  <c r="V76" i="98"/>
  <c r="V75" i="98"/>
  <c r="V62" i="98"/>
  <c r="V61" i="98"/>
  <c r="V55" i="98"/>
  <c r="V54" i="98"/>
  <c r="X35" i="98"/>
  <c r="X34" i="98"/>
  <c r="X27" i="98"/>
  <c r="X26" i="98"/>
  <c r="J326" i="61" l="1"/>
  <c r="I322" i="61"/>
  <c r="J319" i="61"/>
  <c r="J316" i="61"/>
  <c r="J315" i="61"/>
  <c r="J314" i="61"/>
  <c r="J351" i="61"/>
  <c r="J334" i="61"/>
  <c r="J312" i="61"/>
  <c r="J308" i="61"/>
  <c r="D965" i="61"/>
  <c r="D697" i="61"/>
  <c r="I382" i="61"/>
  <c r="I375" i="61"/>
  <c r="I330" i="61"/>
  <c r="I389" i="61"/>
  <c r="I358" i="61"/>
  <c r="I340" i="61"/>
  <c r="I318" i="61"/>
  <c r="I381" i="61"/>
  <c r="I374" i="61"/>
  <c r="I366" i="61"/>
  <c r="I349" i="61"/>
  <c r="I329" i="61"/>
  <c r="I341" i="61"/>
  <c r="D755" i="61"/>
  <c r="I388" i="61"/>
  <c r="I357" i="61"/>
  <c r="I348" i="61"/>
  <c r="I339" i="61"/>
  <c r="I380" i="61"/>
  <c r="I338" i="61"/>
  <c r="D1116" i="61"/>
  <c r="D945" i="61"/>
  <c r="I387" i="61"/>
  <c r="I347" i="61"/>
  <c r="I316" i="61"/>
  <c r="D1152" i="61"/>
  <c r="I379" i="61"/>
  <c r="I372" i="61"/>
  <c r="I364" i="61"/>
  <c r="I355" i="61"/>
  <c r="I336" i="61"/>
  <c r="I315" i="61"/>
  <c r="D1140" i="61"/>
  <c r="I386" i="61"/>
  <c r="I346" i="61"/>
  <c r="I326" i="61"/>
  <c r="I328" i="61"/>
  <c r="D1074" i="61"/>
  <c r="I371" i="61"/>
  <c r="I363" i="61"/>
  <c r="I354" i="61"/>
  <c r="I335" i="61"/>
  <c r="I325" i="61"/>
  <c r="I373" i="61"/>
  <c r="D880" i="61"/>
  <c r="I385" i="61"/>
  <c r="I378" i="61"/>
  <c r="I345" i="61"/>
  <c r="I312" i="61"/>
  <c r="D1029" i="61"/>
  <c r="I370" i="61"/>
  <c r="I353" i="61"/>
  <c r="I324" i="61"/>
  <c r="I311" i="61"/>
  <c r="I365" i="61"/>
  <c r="D984" i="61"/>
  <c r="D732" i="61"/>
  <c r="I392" i="61"/>
  <c r="I384" i="61"/>
  <c r="I377" i="61"/>
  <c r="I361" i="61"/>
  <c r="I334" i="61"/>
  <c r="J323" i="61"/>
  <c r="J310" i="61"/>
  <c r="I369" i="61"/>
  <c r="I352" i="61"/>
  <c r="I323" i="61"/>
  <c r="I391" i="61"/>
  <c r="I383" i="61"/>
  <c r="I376" i="61"/>
  <c r="H352" i="61"/>
  <c r="I342" i="61"/>
  <c r="I333" i="61"/>
  <c r="J322" i="61"/>
  <c r="J307" i="61"/>
  <c r="H323" i="61"/>
  <c r="H331" i="61"/>
  <c r="H311" i="61"/>
  <c r="H348" i="61"/>
  <c r="I310" i="61"/>
  <c r="J309" i="61"/>
  <c r="H364" i="61"/>
  <c r="I319" i="61"/>
  <c r="I309" i="61"/>
  <c r="H347" i="61"/>
  <c r="H336" i="61"/>
  <c r="I317" i="61"/>
  <c r="H304" i="61"/>
  <c r="J303" i="61"/>
  <c r="H371" i="61"/>
  <c r="H365" i="61"/>
  <c r="H342" i="61"/>
  <c r="H388" i="61"/>
  <c r="H382" i="61"/>
  <c r="H359" i="61"/>
  <c r="H330" i="61"/>
  <c r="H317" i="61"/>
  <c r="H387" i="61"/>
  <c r="H381" i="61"/>
  <c r="H358" i="61"/>
  <c r="H375" i="61"/>
  <c r="H346" i="61"/>
  <c r="H340" i="61"/>
  <c r="H334" i="61"/>
  <c r="H392" i="61"/>
  <c r="H363" i="61"/>
  <c r="H351" i="61"/>
  <c r="H328" i="61"/>
  <c r="J305" i="61"/>
  <c r="H380" i="61"/>
  <c r="H368" i="61"/>
  <c r="I321" i="61"/>
  <c r="I314" i="61"/>
  <c r="I305" i="61"/>
  <c r="H374" i="61"/>
  <c r="I362" i="61"/>
  <c r="I356" i="61"/>
  <c r="I350" i="61"/>
  <c r="J344" i="61"/>
  <c r="H339" i="61"/>
  <c r="H333" i="61"/>
  <c r="I327" i="61"/>
  <c r="J320" i="61"/>
  <c r="J313" i="61"/>
  <c r="J304" i="61"/>
  <c r="H391" i="61"/>
  <c r="I367" i="61"/>
  <c r="H362" i="61"/>
  <c r="H356" i="61"/>
  <c r="H350" i="61"/>
  <c r="I344" i="61"/>
  <c r="J338" i="61"/>
  <c r="J332" i="61"/>
  <c r="H327" i="61"/>
  <c r="I320" i="61"/>
  <c r="I313" i="61"/>
  <c r="I304" i="61"/>
  <c r="H384" i="61"/>
  <c r="H332" i="61"/>
  <c r="H390" i="61"/>
  <c r="H355" i="61"/>
  <c r="H349" i="61"/>
  <c r="I343" i="61"/>
  <c r="I337" i="61"/>
  <c r="J331" i="61"/>
  <c r="H326" i="61"/>
  <c r="H319" i="61"/>
  <c r="H312" i="61"/>
  <c r="I303" i="61"/>
  <c r="H378" i="61"/>
  <c r="H372" i="61"/>
  <c r="H366" i="61"/>
  <c r="I360" i="61"/>
  <c r="J348" i="61"/>
  <c r="H343" i="61"/>
  <c r="J336" i="61"/>
  <c r="I331" i="61"/>
  <c r="J325" i="61"/>
  <c r="J318" i="61"/>
  <c r="J311" i="61"/>
  <c r="J302" i="61"/>
  <c r="H310" i="61"/>
  <c r="H316" i="61"/>
  <c r="H288" i="61"/>
  <c r="H273" i="61"/>
  <c r="H272" i="61"/>
  <c r="I308" i="61"/>
  <c r="H270" i="61"/>
  <c r="H268" i="61"/>
  <c r="I307" i="61"/>
  <c r="H267" i="61"/>
  <c r="H252" i="61"/>
  <c r="I306" i="61"/>
  <c r="G226" i="61"/>
  <c r="H251" i="61"/>
  <c r="H249" i="61"/>
  <c r="H245" i="61"/>
  <c r="H229" i="61"/>
  <c r="H228" i="61"/>
  <c r="H294" i="61"/>
  <c r="H227" i="61"/>
  <c r="H293" i="61"/>
  <c r="H292" i="61"/>
  <c r="H225" i="61"/>
  <c r="H289" i="61"/>
  <c r="G223" i="61"/>
  <c r="H290" i="61"/>
  <c r="H269" i="61"/>
  <c r="H248" i="61"/>
  <c r="H226" i="61"/>
  <c r="H246" i="61"/>
  <c r="H286" i="61"/>
  <c r="H265" i="61"/>
  <c r="H244" i="61"/>
  <c r="H223" i="61"/>
  <c r="H315" i="61"/>
  <c r="H303" i="61"/>
  <c r="H285" i="61"/>
  <c r="H264" i="61"/>
  <c r="H242" i="61"/>
  <c r="H320" i="61"/>
  <c r="H284" i="61"/>
  <c r="H262" i="61"/>
  <c r="H241" i="61"/>
  <c r="H222" i="61"/>
  <c r="H283" i="61"/>
  <c r="H261" i="61"/>
  <c r="H240" i="61"/>
  <c r="H221" i="61"/>
  <c r="H314" i="61"/>
  <c r="H308" i="61"/>
  <c r="H302" i="61"/>
  <c r="H281" i="61"/>
  <c r="H260" i="61"/>
  <c r="H234" i="61"/>
  <c r="G221" i="61"/>
  <c r="H301" i="61"/>
  <c r="H280" i="61"/>
  <c r="H258" i="61"/>
  <c r="H233" i="61"/>
  <c r="H220" i="61"/>
  <c r="H300" i="61"/>
  <c r="H278" i="61"/>
  <c r="H257" i="61"/>
  <c r="G233" i="61"/>
  <c r="H218" i="61"/>
  <c r="H307" i="61"/>
  <c r="H299" i="61"/>
  <c r="H277" i="61"/>
  <c r="H256" i="61"/>
  <c r="H231" i="61"/>
  <c r="G218" i="61"/>
  <c r="U9" i="61"/>
  <c r="J514" i="61" s="1"/>
  <c r="H324" i="61"/>
  <c r="H318" i="61"/>
  <c r="H297" i="61"/>
  <c r="H276" i="61"/>
  <c r="H254" i="61"/>
  <c r="G231" i="61"/>
  <c r="H217" i="61"/>
  <c r="H1157" i="61"/>
  <c r="H296" i="61"/>
  <c r="H274" i="61"/>
  <c r="H253" i="61"/>
  <c r="G214" i="61"/>
  <c r="G201" i="61"/>
  <c r="G225" i="61"/>
  <c r="G234" i="61"/>
  <c r="G224" i="61"/>
  <c r="I5" i="61"/>
  <c r="J5" i="61"/>
  <c r="G5" i="61"/>
  <c r="G220" i="61"/>
  <c r="G229" i="61"/>
  <c r="G227" i="61"/>
  <c r="G217" i="61"/>
  <c r="E409" i="61"/>
  <c r="E550" i="61"/>
  <c r="J7" i="61"/>
  <c r="E4" i="61"/>
  <c r="E235" i="61"/>
  <c r="G209" i="61"/>
  <c r="H216" i="61"/>
  <c r="H235" i="61"/>
  <c r="I7" i="61"/>
  <c r="I6" i="61"/>
  <c r="G208" i="61"/>
  <c r="I235" i="61"/>
  <c r="H7" i="61"/>
  <c r="H6" i="61"/>
  <c r="H5" i="61"/>
  <c r="G204" i="61"/>
  <c r="J235" i="61"/>
  <c r="G7" i="61"/>
  <c r="G6" i="61"/>
  <c r="G219" i="61"/>
  <c r="G235" i="61"/>
  <c r="F7" i="61"/>
  <c r="F6" i="61"/>
  <c r="F5" i="61"/>
  <c r="G216" i="61"/>
  <c r="E7" i="61"/>
  <c r="E6" i="61"/>
  <c r="E5" i="61"/>
  <c r="D7" i="61"/>
  <c r="D6" i="61"/>
  <c r="D5" i="61"/>
  <c r="G212" i="61"/>
  <c r="I25" i="61"/>
  <c r="C7" i="61"/>
  <c r="C6" i="61"/>
  <c r="C5" i="61"/>
  <c r="E1131" i="61"/>
  <c r="E896" i="61"/>
  <c r="E1087" i="61"/>
  <c r="E979" i="61"/>
  <c r="E687" i="61"/>
  <c r="E442" i="61"/>
  <c r="G222" i="61"/>
  <c r="G206" i="61"/>
  <c r="G230" i="61"/>
  <c r="G205" i="61"/>
  <c r="G228" i="61"/>
  <c r="H385" i="61"/>
  <c r="H369" i="61"/>
  <c r="H353" i="61"/>
  <c r="H337" i="61"/>
  <c r="H321" i="61"/>
  <c r="H305" i="61"/>
  <c r="H295" i="61"/>
  <c r="H279" i="61"/>
  <c r="H263" i="61"/>
  <c r="H247" i="61"/>
  <c r="H389" i="61"/>
  <c r="H373" i="61"/>
  <c r="H357" i="61"/>
  <c r="H341" i="61"/>
  <c r="H325" i="61"/>
  <c r="H309" i="61"/>
  <c r="H291" i="61"/>
  <c r="H275" i="61"/>
  <c r="H259" i="61"/>
  <c r="H243" i="61"/>
  <c r="H219" i="61"/>
  <c r="H377" i="61"/>
  <c r="H361" i="61"/>
  <c r="H345" i="61"/>
  <c r="H329" i="61"/>
  <c r="H313" i="61"/>
  <c r="H287" i="61"/>
  <c r="H271" i="61"/>
  <c r="H255" i="61"/>
  <c r="H386" i="61"/>
  <c r="H370" i="61"/>
  <c r="H354" i="61"/>
  <c r="H338" i="61"/>
  <c r="H322" i="61"/>
  <c r="H306" i="61"/>
  <c r="H298" i="61"/>
  <c r="H282" i="61"/>
  <c r="H266" i="61"/>
  <c r="H250" i="61"/>
  <c r="H232" i="61"/>
  <c r="H224" i="61"/>
  <c r="G207" i="61"/>
  <c r="G203" i="61"/>
  <c r="G202" i="61"/>
  <c r="G200" i="61"/>
  <c r="G215" i="61"/>
  <c r="G199" i="61"/>
  <c r="G213" i="61"/>
  <c r="D1156" i="61"/>
  <c r="D1129" i="61"/>
  <c r="D819" i="61"/>
  <c r="D784" i="61"/>
  <c r="D752" i="61"/>
  <c r="D740" i="61"/>
  <c r="D716" i="61"/>
  <c r="D682" i="61"/>
  <c r="D670" i="61"/>
  <c r="D613" i="61"/>
  <c r="D482" i="61"/>
  <c r="F4" i="61"/>
  <c r="D1149" i="61"/>
  <c r="D1143" i="61"/>
  <c r="D1136" i="61"/>
  <c r="D1104" i="61"/>
  <c r="E1071" i="61"/>
  <c r="F1062" i="61"/>
  <c r="D1052" i="61"/>
  <c r="D1044" i="61"/>
  <c r="D1036" i="61"/>
  <c r="D1005" i="61"/>
  <c r="D988" i="61"/>
  <c r="D980" i="61"/>
  <c r="D972" i="61"/>
  <c r="D941" i="61"/>
  <c r="E909" i="61"/>
  <c r="D876" i="61"/>
  <c r="E853" i="61"/>
  <c r="E795" i="61"/>
  <c r="D772" i="61"/>
  <c r="E635" i="61"/>
  <c r="E575" i="61"/>
  <c r="D466" i="61"/>
  <c r="D394" i="61"/>
  <c r="D422" i="61"/>
  <c r="D1086" i="61"/>
  <c r="F1050" i="61"/>
  <c r="D958" i="61"/>
  <c r="D1155" i="61"/>
  <c r="D691" i="61"/>
  <c r="D1120" i="61"/>
  <c r="D1070" i="61"/>
  <c r="F3" i="61"/>
  <c r="F1102" i="61"/>
  <c r="D1085" i="61"/>
  <c r="D1077" i="61"/>
  <c r="D1148" i="61"/>
  <c r="F1141" i="61"/>
  <c r="E1127" i="61"/>
  <c r="F1119" i="61"/>
  <c r="D1110" i="61"/>
  <c r="D1093" i="61"/>
  <c r="D1069" i="61"/>
  <c r="D1050" i="61"/>
  <c r="D1033" i="61"/>
  <c r="D1022" i="61"/>
  <c r="D969" i="61"/>
  <c r="D928" i="61"/>
  <c r="D896" i="61"/>
  <c r="D883" i="61"/>
  <c r="E827" i="61"/>
  <c r="D804" i="61"/>
  <c r="E759" i="61"/>
  <c r="D689" i="61"/>
  <c r="E679" i="61"/>
  <c r="E621" i="61"/>
  <c r="E503" i="61"/>
  <c r="D1121" i="61"/>
  <c r="D1062" i="61"/>
  <c r="D1014" i="61"/>
  <c r="D795" i="61"/>
  <c r="D702" i="61"/>
  <c r="D623" i="61"/>
  <c r="D587" i="61"/>
  <c r="D1142" i="61"/>
  <c r="D940" i="61"/>
  <c r="D949" i="61"/>
  <c r="D875" i="61"/>
  <c r="D851" i="61"/>
  <c r="F1159" i="61"/>
  <c r="F1153" i="61"/>
  <c r="D1141" i="61"/>
  <c r="D1133" i="61"/>
  <c r="D1101" i="61"/>
  <c r="D1084" i="61"/>
  <c r="D1042" i="61"/>
  <c r="D994" i="61"/>
  <c r="D986" i="61"/>
  <c r="D978" i="61"/>
  <c r="D957" i="61"/>
  <c r="D916" i="61"/>
  <c r="D827" i="61"/>
  <c r="E779" i="61"/>
  <c r="D747" i="61"/>
  <c r="E722" i="61"/>
  <c r="E711" i="61"/>
  <c r="E699" i="61"/>
  <c r="D666" i="61"/>
  <c r="D595" i="61"/>
  <c r="D1113" i="61"/>
  <c r="D1112" i="61"/>
  <c r="D1078" i="61"/>
  <c r="D950" i="61"/>
  <c r="D681" i="61"/>
  <c r="D863" i="61"/>
  <c r="D1154" i="61"/>
  <c r="D1013" i="61"/>
  <c r="D1004" i="61"/>
  <c r="D816" i="61"/>
  <c r="D1159" i="61"/>
  <c r="D1153" i="61"/>
  <c r="D1147" i="61"/>
  <c r="F1126" i="61"/>
  <c r="D1109" i="61"/>
  <c r="F1075" i="61"/>
  <c r="D1068" i="61"/>
  <c r="F1058" i="61"/>
  <c r="D1049" i="61"/>
  <c r="D1021" i="61"/>
  <c r="D937" i="61"/>
  <c r="E860" i="61"/>
  <c r="E791" i="61"/>
  <c r="D779" i="61"/>
  <c r="D722" i="61"/>
  <c r="D699" i="61"/>
  <c r="E630" i="61"/>
  <c r="E620" i="61"/>
  <c r="D502" i="61"/>
  <c r="E489" i="61"/>
  <c r="D582" i="61"/>
  <c r="D402" i="61"/>
  <c r="D930" i="61"/>
  <c r="D1128" i="61"/>
  <c r="D908" i="61"/>
  <c r="F1140" i="61"/>
  <c r="D1117" i="61"/>
  <c r="F1100" i="61"/>
  <c r="F1091" i="61"/>
  <c r="D1058" i="61"/>
  <c r="D1010" i="61"/>
  <c r="D985" i="61"/>
  <c r="D956" i="61"/>
  <c r="D946" i="61"/>
  <c r="D926" i="61"/>
  <c r="D915" i="61"/>
  <c r="D904" i="61"/>
  <c r="D860" i="61"/>
  <c r="D733" i="61"/>
  <c r="D620" i="61"/>
  <c r="D530" i="61"/>
  <c r="D1158" i="61"/>
  <c r="E1152" i="61"/>
  <c r="D1146" i="61"/>
  <c r="E1140" i="61"/>
  <c r="D1132" i="61"/>
  <c r="D1125" i="61"/>
  <c r="F1108" i="61"/>
  <c r="D1100" i="61"/>
  <c r="E1091" i="61"/>
  <c r="D1048" i="61"/>
  <c r="F1040" i="61"/>
  <c r="D1020" i="61"/>
  <c r="D1001" i="61"/>
  <c r="D992" i="61"/>
  <c r="D976" i="61"/>
  <c r="D936" i="61"/>
  <c r="E893" i="61"/>
  <c r="E880" i="61"/>
  <c r="E871" i="61"/>
  <c r="D848" i="61"/>
  <c r="D836" i="61"/>
  <c r="E812" i="61"/>
  <c r="D709" i="61"/>
  <c r="D687" i="61"/>
  <c r="D640" i="61"/>
  <c r="E430" i="61"/>
  <c r="D627" i="61"/>
  <c r="D486" i="61"/>
  <c r="D1065" i="61"/>
  <c r="D953" i="61"/>
  <c r="D912" i="61"/>
  <c r="F255" i="61"/>
  <c r="D1124" i="61"/>
  <c r="D1000" i="61"/>
  <c r="D811" i="61"/>
  <c r="D674" i="61"/>
  <c r="D603" i="61"/>
  <c r="D566" i="61"/>
  <c r="D1157" i="61"/>
  <c r="F1151" i="61"/>
  <c r="D1145" i="61"/>
  <c r="D1073" i="61"/>
  <c r="F1046" i="61"/>
  <c r="D1008" i="61"/>
  <c r="D944" i="61"/>
  <c r="D787" i="61"/>
  <c r="D707" i="61"/>
  <c r="D638" i="61"/>
  <c r="D591" i="61"/>
  <c r="D579" i="61"/>
  <c r="D498" i="61"/>
  <c r="D1151" i="61"/>
  <c r="F1130" i="61"/>
  <c r="E1123" i="61"/>
  <c r="F1098" i="61"/>
  <c r="D1080" i="61"/>
  <c r="D1046" i="61"/>
  <c r="D1017" i="61"/>
  <c r="D990" i="61"/>
  <c r="D982" i="61"/>
  <c r="D934" i="61"/>
  <c r="D868" i="61"/>
  <c r="D718" i="61"/>
  <c r="D684" i="61"/>
  <c r="D650" i="61"/>
  <c r="D602" i="61"/>
  <c r="D847" i="61"/>
  <c r="F1156" i="61"/>
  <c r="D1137" i="61"/>
  <c r="D1114" i="61"/>
  <c r="D1064" i="61"/>
  <c r="D973" i="61"/>
  <c r="D911" i="61"/>
  <c r="D1090" i="61"/>
  <c r="D1081" i="61"/>
  <c r="D1056" i="61"/>
  <c r="D924" i="61"/>
  <c r="D1144" i="61"/>
  <c r="D1130" i="61"/>
  <c r="D1106" i="61"/>
  <c r="F1072" i="61"/>
  <c r="D1054" i="61"/>
  <c r="D1037" i="61"/>
  <c r="D952" i="61"/>
  <c r="D922" i="61"/>
  <c r="D900" i="61"/>
  <c r="D855" i="61"/>
  <c r="D694" i="61"/>
  <c r="E1156" i="61"/>
  <c r="D1150" i="61"/>
  <c r="D1097" i="61"/>
  <c r="F1087" i="61"/>
  <c r="D1072" i="61"/>
  <c r="D1045" i="61"/>
  <c r="D1026" i="61"/>
  <c r="D1016" i="61"/>
  <c r="D1006" i="61"/>
  <c r="D998" i="61"/>
  <c r="D981" i="61"/>
  <c r="D962" i="61"/>
  <c r="D942" i="61"/>
  <c r="E888" i="61"/>
  <c r="D844" i="61"/>
  <c r="D831" i="61"/>
  <c r="E773" i="61"/>
  <c r="E752" i="61"/>
  <c r="D728" i="61"/>
  <c r="D636" i="61"/>
  <c r="D625" i="61"/>
  <c r="D589" i="61"/>
  <c r="D496" i="61"/>
  <c r="F394" i="61"/>
  <c r="F1041" i="61"/>
  <c r="F1045" i="61"/>
  <c r="F1049" i="61"/>
  <c r="F1053" i="61"/>
  <c r="F1057" i="61"/>
  <c r="F1061" i="61"/>
  <c r="F1065" i="61"/>
  <c r="F1069" i="61"/>
  <c r="F1073" i="61"/>
  <c r="F1077" i="61"/>
  <c r="F1081" i="61"/>
  <c r="F1085" i="61"/>
  <c r="F1089" i="61"/>
  <c r="F1093" i="61"/>
  <c r="F1097" i="61"/>
  <c r="F1101" i="61"/>
  <c r="F1105" i="61"/>
  <c r="F1109" i="61"/>
  <c r="F1113" i="61"/>
  <c r="F1117" i="61"/>
  <c r="F1121" i="61"/>
  <c r="F1125" i="61"/>
  <c r="F1129" i="61"/>
  <c r="F1133" i="61"/>
  <c r="F1137" i="61"/>
  <c r="F1051" i="61"/>
  <c r="F1080" i="61"/>
  <c r="F1086" i="61"/>
  <c r="F1115" i="61"/>
  <c r="F1120" i="61"/>
  <c r="F1131" i="61"/>
  <c r="F1136" i="61"/>
  <c r="F1064" i="61"/>
  <c r="F1070" i="61"/>
  <c r="F1099" i="61"/>
  <c r="F1116" i="61"/>
  <c r="F1127" i="61"/>
  <c r="F1132" i="61"/>
  <c r="F1047" i="61"/>
  <c r="F1076" i="61"/>
  <c r="F1082" i="61"/>
  <c r="F1111" i="61"/>
  <c r="F1122" i="61"/>
  <c r="F1142" i="61"/>
  <c r="F1146" i="61"/>
  <c r="F1150" i="61"/>
  <c r="F1154" i="61"/>
  <c r="F1158" i="61"/>
  <c r="F1048" i="61"/>
  <c r="F1054" i="61"/>
  <c r="F1083" i="61"/>
  <c r="F1112" i="61"/>
  <c r="F1123" i="61"/>
  <c r="F1128" i="61"/>
  <c r="F1055" i="61"/>
  <c r="F1084" i="61"/>
  <c r="F1090" i="61"/>
  <c r="F1038" i="61"/>
  <c r="H238" i="61"/>
  <c r="I238" i="61"/>
  <c r="J238" i="61"/>
  <c r="F238" i="61"/>
  <c r="D238" i="61"/>
  <c r="E238" i="61"/>
  <c r="F1092" i="61"/>
  <c r="F1063" i="61"/>
  <c r="E396" i="61"/>
  <c r="E400" i="61"/>
  <c r="E404" i="61"/>
  <c r="E408" i="61"/>
  <c r="E412" i="61"/>
  <c r="E416" i="61"/>
  <c r="E420" i="61"/>
  <c r="E424" i="61"/>
  <c r="E428" i="61"/>
  <c r="E436" i="61"/>
  <c r="E440" i="61"/>
  <c r="E444" i="61"/>
  <c r="E448" i="61"/>
  <c r="E452" i="61"/>
  <c r="E456" i="61"/>
  <c r="E460" i="61"/>
  <c r="E464" i="61"/>
  <c r="E468" i="61"/>
  <c r="E472" i="61"/>
  <c r="E476" i="61"/>
  <c r="E480" i="61"/>
  <c r="E484" i="61"/>
  <c r="E488" i="61"/>
  <c r="E492" i="61"/>
  <c r="E496" i="61"/>
  <c r="E500" i="61"/>
  <c r="E504" i="61"/>
  <c r="E508" i="61"/>
  <c r="E512" i="61"/>
  <c r="E516" i="61"/>
  <c r="E520" i="61"/>
  <c r="E524" i="61"/>
  <c r="E528" i="61"/>
  <c r="E532" i="61"/>
  <c r="E534" i="61"/>
  <c r="E403" i="61"/>
  <c r="E419" i="61"/>
  <c r="E435" i="61"/>
  <c r="E451" i="61"/>
  <c r="E467" i="61"/>
  <c r="E483" i="61"/>
  <c r="E499" i="61"/>
  <c r="E515" i="61"/>
  <c r="E531" i="61"/>
  <c r="E398" i="61"/>
  <c r="E533" i="61"/>
  <c r="E411" i="61"/>
  <c r="E445" i="61"/>
  <c r="E458" i="61"/>
  <c r="E465" i="61"/>
  <c r="E485" i="61"/>
  <c r="E538" i="61"/>
  <c r="E554" i="61"/>
  <c r="E570" i="61"/>
  <c r="E586" i="61"/>
  <c r="E602" i="61"/>
  <c r="E612" i="61"/>
  <c r="E617" i="61"/>
  <c r="E622" i="61"/>
  <c r="E627" i="61"/>
  <c r="E676" i="61"/>
  <c r="E681" i="61"/>
  <c r="E686" i="61"/>
  <c r="E691" i="61"/>
  <c r="E715" i="61"/>
  <c r="E728" i="61"/>
  <c r="E397" i="61"/>
  <c r="E418" i="61"/>
  <c r="E425" i="61"/>
  <c r="E438" i="61"/>
  <c r="E479" i="61"/>
  <c r="E519" i="61"/>
  <c r="E526" i="61"/>
  <c r="E549" i="61"/>
  <c r="E565" i="61"/>
  <c r="E581" i="61"/>
  <c r="E597" i="61"/>
  <c r="E632" i="61"/>
  <c r="E637" i="61"/>
  <c r="E642" i="61"/>
  <c r="E647" i="61"/>
  <c r="E696" i="61"/>
  <c r="E701" i="61"/>
  <c r="E706" i="61"/>
  <c r="E724" i="61"/>
  <c r="E399" i="61"/>
  <c r="E413" i="61"/>
  <c r="E426" i="61"/>
  <c r="E433" i="61"/>
  <c r="E453" i="61"/>
  <c r="E507" i="61"/>
  <c r="E566" i="61"/>
  <c r="E582" i="61"/>
  <c r="E598" i="61"/>
  <c r="E628" i="61"/>
  <c r="E633" i="61"/>
  <c r="E638" i="61"/>
  <c r="E643" i="61"/>
  <c r="E692" i="61"/>
  <c r="E697" i="61"/>
  <c r="E702" i="61"/>
  <c r="E707" i="61"/>
  <c r="E716" i="61"/>
  <c r="E729" i="61"/>
  <c r="E406" i="61"/>
  <c r="E447" i="61"/>
  <c r="E487" i="61"/>
  <c r="E494" i="61"/>
  <c r="E514" i="61"/>
  <c r="E521" i="61"/>
  <c r="E545" i="61"/>
  <c r="E561" i="61"/>
  <c r="E577" i="61"/>
  <c r="E593" i="61"/>
  <c r="E648" i="61"/>
  <c r="E653" i="61"/>
  <c r="E658" i="61"/>
  <c r="E663" i="61"/>
  <c r="E725" i="61"/>
  <c r="E427" i="61"/>
  <c r="E461" i="61"/>
  <c r="E474" i="61"/>
  <c r="E481" i="61"/>
  <c r="E501" i="61"/>
  <c r="E540" i="61"/>
  <c r="E556" i="61"/>
  <c r="E572" i="61"/>
  <c r="E588" i="61"/>
  <c r="E604" i="61"/>
  <c r="E609" i="61"/>
  <c r="E614" i="61"/>
  <c r="E619" i="61"/>
  <c r="E668" i="61"/>
  <c r="E673" i="61"/>
  <c r="E678" i="61"/>
  <c r="E683" i="61"/>
  <c r="E712" i="61"/>
  <c r="E721" i="61"/>
  <c r="E734" i="61"/>
  <c r="E738" i="61"/>
  <c r="E742" i="61"/>
  <c r="E746" i="61"/>
  <c r="E750" i="61"/>
  <c r="E754" i="61"/>
  <c r="E758" i="61"/>
  <c r="E762" i="61"/>
  <c r="E766" i="61"/>
  <c r="E770" i="61"/>
  <c r="E774" i="61"/>
  <c r="E778" i="61"/>
  <c r="E782" i="61"/>
  <c r="E786" i="61"/>
  <c r="E790" i="61"/>
  <c r="E794" i="61"/>
  <c r="E798" i="61"/>
  <c r="E802" i="61"/>
  <c r="E806" i="61"/>
  <c r="E810" i="61"/>
  <c r="E814" i="61"/>
  <c r="E818" i="61"/>
  <c r="E822" i="61"/>
  <c r="E826" i="61"/>
  <c r="E830" i="61"/>
  <c r="E834" i="61"/>
  <c r="E838" i="61"/>
  <c r="E842" i="61"/>
  <c r="E846" i="61"/>
  <c r="E850" i="61"/>
  <c r="E854" i="61"/>
  <c r="E858" i="61"/>
  <c r="E862" i="61"/>
  <c r="E866" i="61"/>
  <c r="E870" i="61"/>
  <c r="E874" i="61"/>
  <c r="E878" i="61"/>
  <c r="E882" i="61"/>
  <c r="E886" i="61"/>
  <c r="E890" i="61"/>
  <c r="E894" i="61"/>
  <c r="E898" i="61"/>
  <c r="E902" i="61"/>
  <c r="E906" i="61"/>
  <c r="E910" i="61"/>
  <c r="E914" i="61"/>
  <c r="E918" i="61"/>
  <c r="E407" i="61"/>
  <c r="E414" i="61"/>
  <c r="E434" i="61"/>
  <c r="E441" i="61"/>
  <c r="E454" i="61"/>
  <c r="E495" i="61"/>
  <c r="E535" i="61"/>
  <c r="E567" i="61"/>
  <c r="E583" i="61"/>
  <c r="E599" i="61"/>
  <c r="E624" i="61"/>
  <c r="E629" i="61"/>
  <c r="E634" i="61"/>
  <c r="E639" i="61"/>
  <c r="E688" i="61"/>
  <c r="E693" i="61"/>
  <c r="E698" i="61"/>
  <c r="E703" i="61"/>
  <c r="E730" i="61"/>
  <c r="E421" i="61"/>
  <c r="E475" i="61"/>
  <c r="E402" i="61"/>
  <c r="E443" i="61"/>
  <c r="E477" i="61"/>
  <c r="E490" i="61"/>
  <c r="E497" i="61"/>
  <c r="E517" i="61"/>
  <c r="E542" i="61"/>
  <c r="E558" i="61"/>
  <c r="E574" i="61"/>
  <c r="E590" i="61"/>
  <c r="E606" i="61"/>
  <c r="E611" i="61"/>
  <c r="E660" i="61"/>
  <c r="E665" i="61"/>
  <c r="E670" i="61"/>
  <c r="E675" i="61"/>
  <c r="E709" i="61"/>
  <c r="E727" i="61"/>
  <c r="E405" i="61"/>
  <c r="E518" i="61"/>
  <c r="E527" i="61"/>
  <c r="E536" i="61"/>
  <c r="E543" i="61"/>
  <c r="E626" i="61"/>
  <c r="E655" i="61"/>
  <c r="E662" i="61"/>
  <c r="E669" i="61"/>
  <c r="E682" i="61"/>
  <c r="E731" i="61"/>
  <c r="E852" i="61"/>
  <c r="E857" i="61"/>
  <c r="E867" i="61"/>
  <c r="E916" i="61"/>
  <c r="E921" i="61"/>
  <c r="E925" i="61"/>
  <c r="E929" i="61"/>
  <c r="E933" i="61"/>
  <c r="E937" i="61"/>
  <c r="E941" i="61"/>
  <c r="E945" i="61"/>
  <c r="E949" i="61"/>
  <c r="E953" i="61"/>
  <c r="E957" i="61"/>
  <c r="E961" i="61"/>
  <c r="E965" i="61"/>
  <c r="E969" i="61"/>
  <c r="E973" i="61"/>
  <c r="E977" i="61"/>
  <c r="E981" i="61"/>
  <c r="E985" i="61"/>
  <c r="E989" i="61"/>
  <c r="E993" i="61"/>
  <c r="E997" i="61"/>
  <c r="E1001" i="61"/>
  <c r="E1005" i="61"/>
  <c r="E1009" i="61"/>
  <c r="E1013" i="61"/>
  <c r="E1017" i="61"/>
  <c r="E1021" i="61"/>
  <c r="E1025" i="61"/>
  <c r="E1029" i="61"/>
  <c r="E1033" i="61"/>
  <c r="E1037" i="61"/>
  <c r="E1041" i="61"/>
  <c r="E1045" i="61"/>
  <c r="E1049" i="61"/>
  <c r="E1053" i="61"/>
  <c r="E1057" i="61"/>
  <c r="E1061" i="61"/>
  <c r="E1065" i="61"/>
  <c r="E1069" i="61"/>
  <c r="E1073" i="61"/>
  <c r="E1077" i="61"/>
  <c r="E1081" i="61"/>
  <c r="E1085" i="61"/>
  <c r="E1089" i="61"/>
  <c r="E1093" i="61"/>
  <c r="E1097" i="61"/>
  <c r="E1101" i="61"/>
  <c r="E1105" i="61"/>
  <c r="E1109" i="61"/>
  <c r="E1113" i="61"/>
  <c r="E1117" i="61"/>
  <c r="E1121" i="61"/>
  <c r="E1125" i="61"/>
  <c r="E1129" i="61"/>
  <c r="E1133" i="61"/>
  <c r="E1137" i="61"/>
  <c r="E395" i="61"/>
  <c r="E446" i="61"/>
  <c r="E510" i="61"/>
  <c r="E559" i="61"/>
  <c r="E641" i="61"/>
  <c r="E649" i="61"/>
  <c r="E690" i="61"/>
  <c r="E737" i="61"/>
  <c r="E753" i="61"/>
  <c r="E769" i="61"/>
  <c r="E785" i="61"/>
  <c r="E801" i="61"/>
  <c r="E817" i="61"/>
  <c r="E872" i="61"/>
  <c r="E877" i="61"/>
  <c r="E887" i="61"/>
  <c r="E466" i="61"/>
  <c r="E569" i="61"/>
  <c r="E576" i="61"/>
  <c r="E600" i="61"/>
  <c r="E607" i="61"/>
  <c r="E650" i="61"/>
  <c r="E664" i="61"/>
  <c r="E677" i="61"/>
  <c r="E684" i="61"/>
  <c r="E713" i="61"/>
  <c r="E868" i="61"/>
  <c r="E873" i="61"/>
  <c r="E883" i="61"/>
  <c r="E922" i="61"/>
  <c r="E926" i="61"/>
  <c r="E930" i="61"/>
  <c r="E934" i="61"/>
  <c r="E938" i="61"/>
  <c r="E942" i="61"/>
  <c r="E946" i="61"/>
  <c r="E950" i="61"/>
  <c r="E954" i="61"/>
  <c r="E958" i="61"/>
  <c r="E962" i="61"/>
  <c r="E966" i="61"/>
  <c r="E970" i="61"/>
  <c r="E974" i="61"/>
  <c r="E978" i="61"/>
  <c r="E982" i="61"/>
  <c r="E986" i="61"/>
  <c r="E990" i="61"/>
  <c r="E994" i="61"/>
  <c r="E998" i="61"/>
  <c r="E1002" i="61"/>
  <c r="E1006" i="61"/>
  <c r="E1010" i="61"/>
  <c r="E1014" i="61"/>
  <c r="E1018" i="61"/>
  <c r="E1022" i="61"/>
  <c r="E1026" i="61"/>
  <c r="E1030" i="61"/>
  <c r="E1034" i="61"/>
  <c r="E1038" i="61"/>
  <c r="E1042" i="61"/>
  <c r="E1046" i="61"/>
  <c r="E1050" i="61"/>
  <c r="E1054" i="61"/>
  <c r="E1058" i="61"/>
  <c r="E1062" i="61"/>
  <c r="E1066" i="61"/>
  <c r="E1070" i="61"/>
  <c r="E1074" i="61"/>
  <c r="E1078" i="61"/>
  <c r="E1082" i="61"/>
  <c r="E1086" i="61"/>
  <c r="E1090" i="61"/>
  <c r="E1094" i="61"/>
  <c r="E1098" i="61"/>
  <c r="E1102" i="61"/>
  <c r="E1106" i="61"/>
  <c r="E1110" i="61"/>
  <c r="E1114" i="61"/>
  <c r="E1118" i="61"/>
  <c r="E1122" i="61"/>
  <c r="E1126" i="61"/>
  <c r="E1130" i="61"/>
  <c r="E1134" i="61"/>
  <c r="E439" i="61"/>
  <c r="E486" i="61"/>
  <c r="E522" i="61"/>
  <c r="E530" i="61"/>
  <c r="E562" i="61"/>
  <c r="E601" i="61"/>
  <c r="E636" i="61"/>
  <c r="E644" i="61"/>
  <c r="E685" i="61"/>
  <c r="E714" i="61"/>
  <c r="E733" i="61"/>
  <c r="E739" i="61"/>
  <c r="E744" i="61"/>
  <c r="E755" i="61"/>
  <c r="E760" i="61"/>
  <c r="E771" i="61"/>
  <c r="E776" i="61"/>
  <c r="E787" i="61"/>
  <c r="E792" i="61"/>
  <c r="E803" i="61"/>
  <c r="E808" i="61"/>
  <c r="E819" i="61"/>
  <c r="E824" i="61"/>
  <c r="E844" i="61"/>
  <c r="E859" i="61"/>
  <c r="E908" i="61"/>
  <c r="E913" i="61"/>
  <c r="E450" i="61"/>
  <c r="E459" i="61"/>
  <c r="E478" i="61"/>
  <c r="E513" i="61"/>
  <c r="E539" i="61"/>
  <c r="E578" i="61"/>
  <c r="E608" i="61"/>
  <c r="E615" i="61"/>
  <c r="E651" i="61"/>
  <c r="E700" i="61"/>
  <c r="E708" i="61"/>
  <c r="E864" i="61"/>
  <c r="E869" i="61"/>
  <c r="E879" i="61"/>
  <c r="E423" i="61"/>
  <c r="E462" i="61"/>
  <c r="E471" i="61"/>
  <c r="E498" i="61"/>
  <c r="E525" i="61"/>
  <c r="E557" i="61"/>
  <c r="E580" i="61"/>
  <c r="E646" i="61"/>
  <c r="E674" i="61"/>
  <c r="E717" i="61"/>
  <c r="E836" i="61"/>
  <c r="E841" i="61"/>
  <c r="E851" i="61"/>
  <c r="E900" i="61"/>
  <c r="E905" i="61"/>
  <c r="E915" i="61"/>
  <c r="E924" i="61"/>
  <c r="E928" i="61"/>
  <c r="E932" i="61"/>
  <c r="E936" i="61"/>
  <c r="E940" i="61"/>
  <c r="E944" i="61"/>
  <c r="E948" i="61"/>
  <c r="E952" i="61"/>
  <c r="E956" i="61"/>
  <c r="E960" i="61"/>
  <c r="E964" i="61"/>
  <c r="E968" i="61"/>
  <c r="E972" i="61"/>
  <c r="E976" i="61"/>
  <c r="E980" i="61"/>
  <c r="E984" i="61"/>
  <c r="E988" i="61"/>
  <c r="E992" i="61"/>
  <c r="E996" i="61"/>
  <c r="E1000" i="61"/>
  <c r="E1004" i="61"/>
  <c r="E1008" i="61"/>
  <c r="E1012" i="61"/>
  <c r="E1016" i="61"/>
  <c r="E1020" i="61"/>
  <c r="E1024" i="61"/>
  <c r="E1028" i="61"/>
  <c r="E1032" i="61"/>
  <c r="E1036" i="61"/>
  <c r="E1040" i="61"/>
  <c r="E1044" i="61"/>
  <c r="E1048" i="61"/>
  <c r="E1052" i="61"/>
  <c r="E1056" i="61"/>
  <c r="E1060" i="61"/>
  <c r="E1064" i="61"/>
  <c r="E1068" i="61"/>
  <c r="E1072" i="61"/>
  <c r="E1076" i="61"/>
  <c r="E1080" i="61"/>
  <c r="E1084" i="61"/>
  <c r="E1088" i="61"/>
  <c r="E1092" i="61"/>
  <c r="E1096" i="61"/>
  <c r="E1100" i="61"/>
  <c r="E1104" i="61"/>
  <c r="E1108" i="61"/>
  <c r="E1112" i="61"/>
  <c r="E529" i="61"/>
  <c r="E548" i="61"/>
  <c r="E587" i="61"/>
  <c r="E595" i="61"/>
  <c r="E613" i="61"/>
  <c r="E631" i="61"/>
  <c r="E666" i="61"/>
  <c r="E710" i="61"/>
  <c r="E719" i="61"/>
  <c r="E843" i="61"/>
  <c r="E884" i="61"/>
  <c r="E903" i="61"/>
  <c r="E935" i="61"/>
  <c r="E999" i="61"/>
  <c r="E1063" i="61"/>
  <c r="E1141" i="61"/>
  <c r="E1145" i="61"/>
  <c r="E1149" i="61"/>
  <c r="E1153" i="61"/>
  <c r="E1157" i="61"/>
  <c r="E410" i="61"/>
  <c r="E568" i="61"/>
  <c r="E605" i="61"/>
  <c r="E735" i="61"/>
  <c r="E741" i="61"/>
  <c r="E422" i="61"/>
  <c r="E457" i="61"/>
  <c r="E469" i="61"/>
  <c r="E509" i="61"/>
  <c r="E541" i="61"/>
  <c r="E579" i="61"/>
  <c r="E623" i="61"/>
  <c r="E720" i="61"/>
  <c r="E865" i="61"/>
  <c r="E885" i="61"/>
  <c r="E904" i="61"/>
  <c r="E401" i="61"/>
  <c r="E560" i="61"/>
  <c r="E589" i="61"/>
  <c r="E694" i="61"/>
  <c r="E892" i="61"/>
  <c r="E911" i="61"/>
  <c r="E983" i="61"/>
  <c r="E1047" i="61"/>
  <c r="E1111" i="61"/>
  <c r="E1142" i="61"/>
  <c r="E1146" i="61"/>
  <c r="E1150" i="61"/>
  <c r="E1154" i="61"/>
  <c r="E1158" i="61"/>
  <c r="E449" i="61"/>
  <c r="E571" i="61"/>
  <c r="E756" i="61"/>
  <c r="E820" i="61"/>
  <c r="E839" i="61"/>
  <c r="E470" i="61"/>
  <c r="E491" i="61"/>
  <c r="E616" i="61"/>
  <c r="E652" i="61"/>
  <c r="E704" i="61"/>
  <c r="E736" i="61"/>
  <c r="E743" i="61"/>
  <c r="E749" i="61"/>
  <c r="E768" i="61"/>
  <c r="E775" i="61"/>
  <c r="E781" i="61"/>
  <c r="E800" i="61"/>
  <c r="E807" i="61"/>
  <c r="E813" i="61"/>
  <c r="E832" i="61"/>
  <c r="E845" i="61"/>
  <c r="E919" i="61"/>
  <c r="E931" i="61"/>
  <c r="E995" i="61"/>
  <c r="E1059" i="61"/>
  <c r="E1138" i="61"/>
  <c r="E437" i="61"/>
  <c r="E695" i="61"/>
  <c r="E788" i="61"/>
  <c r="E415" i="61"/>
  <c r="E482" i="61"/>
  <c r="E502" i="61"/>
  <c r="E591" i="61"/>
  <c r="E654" i="61"/>
  <c r="E661" i="61"/>
  <c r="E920" i="61"/>
  <c r="E967" i="61"/>
  <c r="E1031" i="61"/>
  <c r="E1095" i="61"/>
  <c r="E1139" i="61"/>
  <c r="E1143" i="61"/>
  <c r="E1147" i="61"/>
  <c r="E1151" i="61"/>
  <c r="E1155" i="61"/>
  <c r="E1159" i="61"/>
  <c r="E473" i="61"/>
  <c r="E493" i="61"/>
  <c r="E544" i="61"/>
  <c r="E563" i="61"/>
  <c r="E573" i="61"/>
  <c r="E610" i="61"/>
  <c r="E618" i="61"/>
  <c r="E645" i="61"/>
  <c r="E671" i="61"/>
  <c r="E751" i="61"/>
  <c r="E757" i="61"/>
  <c r="E783" i="61"/>
  <c r="E789" i="61"/>
  <c r="E815" i="61"/>
  <c r="E821" i="61"/>
  <c r="E840" i="61"/>
  <c r="E394" i="61"/>
  <c r="E417" i="61"/>
  <c r="E429" i="61"/>
  <c r="E463" i="61"/>
  <c r="E564" i="61"/>
  <c r="E672" i="61"/>
  <c r="E689" i="61"/>
  <c r="E732" i="61"/>
  <c r="E855" i="61"/>
  <c r="E889" i="61"/>
  <c r="E939" i="61"/>
  <c r="E1003" i="61"/>
  <c r="E1067" i="61"/>
  <c r="E1119" i="61"/>
  <c r="E1124" i="61"/>
  <c r="E1135" i="61"/>
  <c r="E546" i="61"/>
  <c r="E895" i="61"/>
  <c r="E1015" i="61"/>
  <c r="E555" i="61"/>
  <c r="E585" i="61"/>
  <c r="E835" i="61"/>
  <c r="E901" i="61"/>
  <c r="E951" i="61"/>
  <c r="H237" i="61"/>
  <c r="I237" i="61"/>
  <c r="J237" i="61"/>
  <c r="D237" i="61"/>
  <c r="E237" i="61"/>
  <c r="F237" i="61"/>
  <c r="F1134" i="61"/>
  <c r="F1106" i="61"/>
  <c r="E1055" i="61"/>
  <c r="E943" i="61"/>
  <c r="E927" i="61"/>
  <c r="E831" i="61"/>
  <c r="E805" i="61"/>
  <c r="E796" i="61"/>
  <c r="E537" i="61"/>
  <c r="E511" i="61"/>
  <c r="H9" i="61"/>
  <c r="H13" i="61"/>
  <c r="H17" i="61"/>
  <c r="H21" i="61"/>
  <c r="H25" i="61"/>
  <c r="H29" i="61"/>
  <c r="H33" i="61"/>
  <c r="H37" i="61"/>
  <c r="H41" i="61"/>
  <c r="H45" i="61"/>
  <c r="H49" i="61"/>
  <c r="H53" i="61"/>
  <c r="H57" i="61"/>
  <c r="H61" i="61"/>
  <c r="H65" i="61"/>
  <c r="H69" i="61"/>
  <c r="H73" i="61"/>
  <c r="H77" i="61"/>
  <c r="H81" i="61"/>
  <c r="H85" i="61"/>
  <c r="H89" i="61"/>
  <c r="H10" i="61"/>
  <c r="H14" i="61"/>
  <c r="H18" i="61"/>
  <c r="H22" i="61"/>
  <c r="H26" i="61"/>
  <c r="H30" i="61"/>
  <c r="H34" i="61"/>
  <c r="H38" i="61"/>
  <c r="H42" i="61"/>
  <c r="H46" i="61"/>
  <c r="H50" i="61"/>
  <c r="H54" i="61"/>
  <c r="H58" i="61"/>
  <c r="H62" i="61"/>
  <c r="H66" i="61"/>
  <c r="H70" i="61"/>
  <c r="H74" i="61"/>
  <c r="H78" i="61"/>
  <c r="H82" i="61"/>
  <c r="H86" i="61"/>
  <c r="H90" i="61"/>
  <c r="H94" i="61"/>
  <c r="H98" i="61"/>
  <c r="H102" i="61"/>
  <c r="H106" i="61"/>
  <c r="H110" i="61"/>
  <c r="H114" i="61"/>
  <c r="H118" i="61"/>
  <c r="H122" i="61"/>
  <c r="H126" i="61"/>
  <c r="H11" i="61"/>
  <c r="H15" i="61"/>
  <c r="H19" i="61"/>
  <c r="H23" i="61"/>
  <c r="H27" i="61"/>
  <c r="H31" i="61"/>
  <c r="H35" i="61"/>
  <c r="H39" i="61"/>
  <c r="H43" i="61"/>
  <c r="H47" i="61"/>
  <c r="H51" i="61"/>
  <c r="H55" i="61"/>
  <c r="H59" i="61"/>
  <c r="H63" i="61"/>
  <c r="H67" i="61"/>
  <c r="H71" i="61"/>
  <c r="H75" i="61"/>
  <c r="H79" i="61"/>
  <c r="H83" i="61"/>
  <c r="H87" i="61"/>
  <c r="H91" i="61"/>
  <c r="H95" i="61"/>
  <c r="H99" i="61"/>
  <c r="H103" i="61"/>
  <c r="H107" i="61"/>
  <c r="H111" i="61"/>
  <c r="H115" i="61"/>
  <c r="H119" i="61"/>
  <c r="H123" i="61"/>
  <c r="H127" i="61"/>
  <c r="H4" i="61"/>
  <c r="H8" i="61"/>
  <c r="H12" i="61"/>
  <c r="H16" i="61"/>
  <c r="H20" i="61"/>
  <c r="H24" i="61"/>
  <c r="H28" i="61"/>
  <c r="H32" i="61"/>
  <c r="H36" i="61"/>
  <c r="H40" i="61"/>
  <c r="H44" i="61"/>
  <c r="H48" i="61"/>
  <c r="H52" i="61"/>
  <c r="H56" i="61"/>
  <c r="H60" i="61"/>
  <c r="H64" i="61"/>
  <c r="H68" i="61"/>
  <c r="H72" i="61"/>
  <c r="H76" i="61"/>
  <c r="H80" i="61"/>
  <c r="H84" i="61"/>
  <c r="H88" i="61"/>
  <c r="H92" i="61"/>
  <c r="H96" i="61"/>
  <c r="H100" i="61"/>
  <c r="H104" i="61"/>
  <c r="H108" i="61"/>
  <c r="H112" i="61"/>
  <c r="H116" i="61"/>
  <c r="H120" i="61"/>
  <c r="H124" i="61"/>
  <c r="H128" i="61"/>
  <c r="H132" i="61"/>
  <c r="H136" i="61"/>
  <c r="H140" i="61"/>
  <c r="H144" i="61"/>
  <c r="H148" i="61"/>
  <c r="H152" i="61"/>
  <c r="H156" i="61"/>
  <c r="H160" i="61"/>
  <c r="H164" i="61"/>
  <c r="H168" i="61"/>
  <c r="H172" i="61"/>
  <c r="H176" i="61"/>
  <c r="H180" i="61"/>
  <c r="H184" i="61"/>
  <c r="H188" i="61"/>
  <c r="H192" i="61"/>
  <c r="H196" i="61"/>
  <c r="H200" i="61"/>
  <c r="H204" i="61"/>
  <c r="H208" i="61"/>
  <c r="H212" i="61"/>
  <c r="H133" i="61"/>
  <c r="H202" i="61"/>
  <c r="H207" i="61"/>
  <c r="H97" i="61"/>
  <c r="H105" i="61"/>
  <c r="H113" i="61"/>
  <c r="H121" i="61"/>
  <c r="H203" i="61"/>
  <c r="H129" i="61"/>
  <c r="H135" i="61"/>
  <c r="H151" i="61"/>
  <c r="H167" i="61"/>
  <c r="H183" i="61"/>
  <c r="H209" i="61"/>
  <c r="H141" i="61"/>
  <c r="H146" i="61"/>
  <c r="H157" i="61"/>
  <c r="H162" i="61"/>
  <c r="H173" i="61"/>
  <c r="H178" i="61"/>
  <c r="H189" i="61"/>
  <c r="H194" i="61"/>
  <c r="H199" i="61"/>
  <c r="H214" i="61"/>
  <c r="H205" i="61"/>
  <c r="H131" i="61"/>
  <c r="H137" i="61"/>
  <c r="H142" i="61"/>
  <c r="H153" i="61"/>
  <c r="H158" i="61"/>
  <c r="H169" i="61"/>
  <c r="H174" i="61"/>
  <c r="H93" i="61"/>
  <c r="H101" i="61"/>
  <c r="H109" i="61"/>
  <c r="H117" i="61"/>
  <c r="H125" i="61"/>
  <c r="H201" i="61"/>
  <c r="H143" i="61"/>
  <c r="H159" i="61"/>
  <c r="H175" i="61"/>
  <c r="H211" i="61"/>
  <c r="H130" i="61"/>
  <c r="H147" i="61"/>
  <c r="H161" i="61"/>
  <c r="H198" i="61"/>
  <c r="H206" i="61"/>
  <c r="H213" i="61"/>
  <c r="H134" i="61"/>
  <c r="H149" i="61"/>
  <c r="H163" i="61"/>
  <c r="H177" i="61"/>
  <c r="H190" i="61"/>
  <c r="H154" i="61"/>
  <c r="H182" i="61"/>
  <c r="H193" i="61"/>
  <c r="H179" i="61"/>
  <c r="H197" i="61"/>
  <c r="H185" i="61"/>
  <c r="H138" i="61"/>
  <c r="H165" i="61"/>
  <c r="H186" i="61"/>
  <c r="H139" i="61"/>
  <c r="H187" i="61"/>
  <c r="H191" i="61"/>
  <c r="H171" i="61"/>
  <c r="H195" i="61"/>
  <c r="H210" i="61"/>
  <c r="H145" i="61"/>
  <c r="H150" i="61"/>
  <c r="H155" i="61"/>
  <c r="H181" i="61"/>
  <c r="H166" i="61"/>
  <c r="H170" i="61"/>
  <c r="I10" i="61"/>
  <c r="I14" i="61"/>
  <c r="I18" i="61"/>
  <c r="I22" i="61"/>
  <c r="I26" i="61"/>
  <c r="I30" i="61"/>
  <c r="I34" i="61"/>
  <c r="I38" i="61"/>
  <c r="I42" i="61"/>
  <c r="I46" i="61"/>
  <c r="I50" i="61"/>
  <c r="I54" i="61"/>
  <c r="I58" i="61"/>
  <c r="I62" i="61"/>
  <c r="I66" i="61"/>
  <c r="I70" i="61"/>
  <c r="I74" i="61"/>
  <c r="I78" i="61"/>
  <c r="I82" i="61"/>
  <c r="I86" i="61"/>
  <c r="I90" i="61"/>
  <c r="I240" i="61"/>
  <c r="I256" i="61"/>
  <c r="I272" i="61"/>
  <c r="I288" i="61"/>
  <c r="I241" i="61"/>
  <c r="I257" i="61"/>
  <c r="I273" i="61"/>
  <c r="I289" i="61"/>
  <c r="I247" i="61"/>
  <c r="I263" i="61"/>
  <c r="I279" i="61"/>
  <c r="I295" i="61"/>
  <c r="I4" i="61"/>
  <c r="I8" i="61"/>
  <c r="I12" i="61"/>
  <c r="I16" i="61"/>
  <c r="I20" i="61"/>
  <c r="I24" i="61"/>
  <c r="I28" i="61"/>
  <c r="I32" i="61"/>
  <c r="I36" i="61"/>
  <c r="I40" i="61"/>
  <c r="I44" i="61"/>
  <c r="I48" i="61"/>
  <c r="I52" i="61"/>
  <c r="I56" i="61"/>
  <c r="I60" i="61"/>
  <c r="I64" i="61"/>
  <c r="I68" i="61"/>
  <c r="I72" i="61"/>
  <c r="I76" i="61"/>
  <c r="I80" i="61"/>
  <c r="I84" i="61"/>
  <c r="I88" i="61"/>
  <c r="I92" i="61"/>
  <c r="I96" i="61"/>
  <c r="I100" i="61"/>
  <c r="I104" i="61"/>
  <c r="I108" i="61"/>
  <c r="I112" i="61"/>
  <c r="I116" i="61"/>
  <c r="I120" i="61"/>
  <c r="I124" i="61"/>
  <c r="I128" i="61"/>
  <c r="I132" i="61"/>
  <c r="I136" i="61"/>
  <c r="I140" i="61"/>
  <c r="I144" i="61"/>
  <c r="I148" i="61"/>
  <c r="I152" i="61"/>
  <c r="I156" i="61"/>
  <c r="I160" i="61"/>
  <c r="I164" i="61"/>
  <c r="I168" i="61"/>
  <c r="I172" i="61"/>
  <c r="I176" i="61"/>
  <c r="I180" i="61"/>
  <c r="I184" i="61"/>
  <c r="I188" i="61"/>
  <c r="I192" i="61"/>
  <c r="I196" i="61"/>
  <c r="I200" i="61"/>
  <c r="I204" i="61"/>
  <c r="I208" i="61"/>
  <c r="I212" i="61"/>
  <c r="I216" i="61"/>
  <c r="I220" i="61"/>
  <c r="I224" i="61"/>
  <c r="I228" i="61"/>
  <c r="I232" i="61"/>
  <c r="I242" i="61"/>
  <c r="I258" i="61"/>
  <c r="I274" i="61"/>
  <c r="I290" i="61"/>
  <c r="I17" i="61"/>
  <c r="I33" i="61"/>
  <c r="I49" i="61"/>
  <c r="I65" i="61"/>
  <c r="I81" i="61"/>
  <c r="I138" i="61"/>
  <c r="I149" i="61"/>
  <c r="I154" i="61"/>
  <c r="I165" i="61"/>
  <c r="I170" i="61"/>
  <c r="I181" i="61"/>
  <c r="I186" i="61"/>
  <c r="I197" i="61"/>
  <c r="I221" i="61"/>
  <c r="I230" i="61"/>
  <c r="I95" i="61"/>
  <c r="I103" i="61"/>
  <c r="I111" i="61"/>
  <c r="I119" i="61"/>
  <c r="I127" i="61"/>
  <c r="I133" i="61"/>
  <c r="I202" i="61"/>
  <c r="I249" i="61"/>
  <c r="I261" i="61"/>
  <c r="I281" i="61"/>
  <c r="I293" i="61"/>
  <c r="I21" i="61"/>
  <c r="I37" i="61"/>
  <c r="I53" i="61"/>
  <c r="I69" i="61"/>
  <c r="I85" i="61"/>
  <c r="I134" i="61"/>
  <c r="I145" i="61"/>
  <c r="I150" i="61"/>
  <c r="I161" i="61"/>
  <c r="I166" i="61"/>
  <c r="I177" i="61"/>
  <c r="I182" i="61"/>
  <c r="I193" i="61"/>
  <c r="I198" i="61"/>
  <c r="I213" i="61"/>
  <c r="I222" i="61"/>
  <c r="I231" i="61"/>
  <c r="I250" i="61"/>
  <c r="I97" i="61"/>
  <c r="I105" i="61"/>
  <c r="I113" i="61"/>
  <c r="I121" i="61"/>
  <c r="I203" i="61"/>
  <c r="I23" i="61"/>
  <c r="I39" i="61"/>
  <c r="I55" i="61"/>
  <c r="I71" i="61"/>
  <c r="I87" i="61"/>
  <c r="I129" i="61"/>
  <c r="I218" i="61"/>
  <c r="I227" i="61"/>
  <c r="I244" i="61"/>
  <c r="I264" i="61"/>
  <c r="I276" i="61"/>
  <c r="I296" i="61"/>
  <c r="I98" i="61"/>
  <c r="I106" i="61"/>
  <c r="I114" i="61"/>
  <c r="I122" i="61"/>
  <c r="I135" i="61"/>
  <c r="I151" i="61"/>
  <c r="I167" i="61"/>
  <c r="I183" i="61"/>
  <c r="I209" i="61"/>
  <c r="I251" i="61"/>
  <c r="I270" i="61"/>
  <c r="I283" i="61"/>
  <c r="I9" i="61"/>
  <c r="I99" i="61"/>
  <c r="I107" i="61"/>
  <c r="I115" i="61"/>
  <c r="I123" i="61"/>
  <c r="I130" i="61"/>
  <c r="I245" i="61"/>
  <c r="I265" i="61"/>
  <c r="I277" i="61"/>
  <c r="I297" i="61"/>
  <c r="I147" i="61"/>
  <c r="I163" i="61"/>
  <c r="I179" i="61"/>
  <c r="I13" i="61"/>
  <c r="I29" i="61"/>
  <c r="I45" i="61"/>
  <c r="I61" i="61"/>
  <c r="I77" i="61"/>
  <c r="I131" i="61"/>
  <c r="I137" i="61"/>
  <c r="I142" i="61"/>
  <c r="I153" i="61"/>
  <c r="I158" i="61"/>
  <c r="I169" i="61"/>
  <c r="I174" i="61"/>
  <c r="I185" i="61"/>
  <c r="I190" i="61"/>
  <c r="I215" i="61"/>
  <c r="I229" i="61"/>
  <c r="I253" i="61"/>
  <c r="I266" i="61"/>
  <c r="I285" i="61"/>
  <c r="I298" i="61"/>
  <c r="I15" i="61"/>
  <c r="I31" i="61"/>
  <c r="I47" i="61"/>
  <c r="I63" i="61"/>
  <c r="I79" i="61"/>
  <c r="I143" i="61"/>
  <c r="I171" i="61"/>
  <c r="I255" i="61"/>
  <c r="I41" i="61"/>
  <c r="I83" i="61"/>
  <c r="I109" i="61"/>
  <c r="I173" i="61"/>
  <c r="I205" i="61"/>
  <c r="I211" i="61"/>
  <c r="I299" i="61"/>
  <c r="I91" i="61"/>
  <c r="I175" i="61"/>
  <c r="I187" i="61"/>
  <c r="I219" i="61"/>
  <c r="I225" i="61"/>
  <c r="I267" i="61"/>
  <c r="I300" i="61"/>
  <c r="I51" i="61"/>
  <c r="I93" i="61"/>
  <c r="I162" i="61"/>
  <c r="I189" i="61"/>
  <c r="I206" i="61"/>
  <c r="I275" i="61"/>
  <c r="I292" i="61"/>
  <c r="I11" i="61"/>
  <c r="I94" i="61"/>
  <c r="I199" i="61"/>
  <c r="I214" i="61"/>
  <c r="I259" i="61"/>
  <c r="I57" i="61"/>
  <c r="I117" i="61"/>
  <c r="I178" i="61"/>
  <c r="I268" i="61"/>
  <c r="I59" i="61"/>
  <c r="I27" i="61"/>
  <c r="I102" i="61"/>
  <c r="I139" i="61"/>
  <c r="I262" i="61"/>
  <c r="I75" i="61"/>
  <c r="I195" i="61"/>
  <c r="I125" i="61"/>
  <c r="I207" i="61"/>
  <c r="I223" i="61"/>
  <c r="I282" i="61"/>
  <c r="I291" i="61"/>
  <c r="I301" i="61"/>
  <c r="I19" i="61"/>
  <c r="I155" i="61"/>
  <c r="I252" i="61"/>
  <c r="I284" i="61"/>
  <c r="I101" i="61"/>
  <c r="I201" i="61"/>
  <c r="I210" i="61"/>
  <c r="I254" i="61"/>
  <c r="I226" i="61"/>
  <c r="I233" i="61"/>
  <c r="I286" i="61"/>
  <c r="I35" i="61"/>
  <c r="I278" i="61"/>
  <c r="I110" i="61"/>
  <c r="I287" i="61"/>
  <c r="I159" i="61"/>
  <c r="I126" i="61"/>
  <c r="I43" i="61"/>
  <c r="I243" i="61"/>
  <c r="I146" i="61"/>
  <c r="I191" i="61"/>
  <c r="I141" i="61"/>
  <c r="I280" i="61"/>
  <c r="I269" i="61"/>
  <c r="I67" i="61"/>
  <c r="I157" i="61"/>
  <c r="I294" i="61"/>
  <c r="I217" i="61"/>
  <c r="I260" i="61"/>
  <c r="I248" i="61"/>
  <c r="I271" i="61"/>
  <c r="I194" i="61"/>
  <c r="I73" i="61"/>
  <c r="I89" i="61"/>
  <c r="I246" i="61"/>
  <c r="I118" i="61"/>
  <c r="I234" i="61"/>
  <c r="I3" i="61"/>
  <c r="F1118" i="61"/>
  <c r="J9" i="61"/>
  <c r="J13" i="61"/>
  <c r="J17" i="61"/>
  <c r="J21" i="61"/>
  <c r="J25" i="61"/>
  <c r="J29" i="61"/>
  <c r="J33" i="61"/>
  <c r="J37" i="61"/>
  <c r="J41" i="61"/>
  <c r="J45" i="61"/>
  <c r="J49" i="61"/>
  <c r="J53" i="61"/>
  <c r="J57" i="61"/>
  <c r="J61" i="61"/>
  <c r="J65" i="61"/>
  <c r="J69" i="61"/>
  <c r="J73" i="61"/>
  <c r="J77" i="61"/>
  <c r="J81" i="61"/>
  <c r="J85" i="61"/>
  <c r="J89" i="61"/>
  <c r="J93" i="61"/>
  <c r="J97" i="61"/>
  <c r="J101" i="61"/>
  <c r="J105" i="61"/>
  <c r="J109" i="61"/>
  <c r="J113" i="61"/>
  <c r="J117" i="61"/>
  <c r="J121" i="61"/>
  <c r="J125" i="61"/>
  <c r="J129" i="61"/>
  <c r="J133" i="61"/>
  <c r="J10" i="61"/>
  <c r="J245" i="61"/>
  <c r="J261" i="61"/>
  <c r="J277" i="61"/>
  <c r="J293" i="61"/>
  <c r="J11" i="61"/>
  <c r="J15" i="61"/>
  <c r="J19" i="61"/>
  <c r="J23" i="61"/>
  <c r="J27" i="61"/>
  <c r="J31" i="61"/>
  <c r="J35" i="61"/>
  <c r="J39" i="61"/>
  <c r="J43" i="61"/>
  <c r="J47" i="61"/>
  <c r="J51" i="61"/>
  <c r="J55" i="61"/>
  <c r="J59" i="61"/>
  <c r="J63" i="61"/>
  <c r="J67" i="61"/>
  <c r="J71" i="61"/>
  <c r="J75" i="61"/>
  <c r="J79" i="61"/>
  <c r="J83" i="61"/>
  <c r="J87" i="61"/>
  <c r="J91" i="61"/>
  <c r="J95" i="61"/>
  <c r="J99" i="61"/>
  <c r="J103" i="61"/>
  <c r="J107" i="61"/>
  <c r="J111" i="61"/>
  <c r="J115" i="61"/>
  <c r="J119" i="61"/>
  <c r="J123" i="61"/>
  <c r="J127" i="61"/>
  <c r="J131" i="61"/>
  <c r="J135" i="61"/>
  <c r="J139" i="61"/>
  <c r="J143" i="61"/>
  <c r="J147" i="61"/>
  <c r="J151" i="61"/>
  <c r="J155" i="61"/>
  <c r="J159" i="61"/>
  <c r="J163" i="61"/>
  <c r="J167" i="61"/>
  <c r="J171" i="61"/>
  <c r="J175" i="61"/>
  <c r="J179" i="61"/>
  <c r="J183" i="61"/>
  <c r="J187" i="61"/>
  <c r="J191" i="61"/>
  <c r="J195" i="61"/>
  <c r="J199" i="61"/>
  <c r="J203" i="61"/>
  <c r="J207" i="61"/>
  <c r="J211" i="61"/>
  <c r="J215" i="61"/>
  <c r="J219" i="61"/>
  <c r="J223" i="61"/>
  <c r="J227" i="61"/>
  <c r="J231" i="61"/>
  <c r="J246" i="61"/>
  <c r="J262" i="61"/>
  <c r="J278" i="61"/>
  <c r="J294" i="61"/>
  <c r="J252" i="61"/>
  <c r="J268" i="61"/>
  <c r="J284" i="61"/>
  <c r="J300" i="61"/>
  <c r="J247" i="61"/>
  <c r="J263" i="61"/>
  <c r="J279" i="61"/>
  <c r="J295" i="61"/>
  <c r="J94" i="61"/>
  <c r="J102" i="61"/>
  <c r="J110" i="61"/>
  <c r="J118" i="61"/>
  <c r="J126" i="61"/>
  <c r="J254" i="61"/>
  <c r="J18" i="61"/>
  <c r="J34" i="61"/>
  <c r="J50" i="61"/>
  <c r="J66" i="61"/>
  <c r="J82" i="61"/>
  <c r="J138" i="61"/>
  <c r="J144" i="61"/>
  <c r="J149" i="61"/>
  <c r="J154" i="61"/>
  <c r="J160" i="61"/>
  <c r="J165" i="61"/>
  <c r="J170" i="61"/>
  <c r="J176" i="61"/>
  <c r="J181" i="61"/>
  <c r="J186" i="61"/>
  <c r="J192" i="61"/>
  <c r="J197" i="61"/>
  <c r="J212" i="61"/>
  <c r="J221" i="61"/>
  <c r="J230" i="61"/>
  <c r="J242" i="61"/>
  <c r="J274" i="61"/>
  <c r="J208" i="61"/>
  <c r="J243" i="61"/>
  <c r="J4" i="61"/>
  <c r="J22" i="61"/>
  <c r="J38" i="61"/>
  <c r="J54" i="61"/>
  <c r="J70" i="61"/>
  <c r="J86" i="61"/>
  <c r="J134" i="61"/>
  <c r="J140" i="61"/>
  <c r="J145" i="61"/>
  <c r="J150" i="61"/>
  <c r="J156" i="61"/>
  <c r="J161" i="61"/>
  <c r="J166" i="61"/>
  <c r="J172" i="61"/>
  <c r="J177" i="61"/>
  <c r="J182" i="61"/>
  <c r="J188" i="61"/>
  <c r="J193" i="61"/>
  <c r="J198" i="61"/>
  <c r="J213" i="61"/>
  <c r="J222" i="61"/>
  <c r="J250" i="61"/>
  <c r="J256" i="61"/>
  <c r="J269" i="61"/>
  <c r="J282" i="61"/>
  <c r="J288" i="61"/>
  <c r="J301" i="61"/>
  <c r="J24" i="61"/>
  <c r="J40" i="61"/>
  <c r="J56" i="61"/>
  <c r="J72" i="61"/>
  <c r="J88" i="61"/>
  <c r="J204" i="61"/>
  <c r="J218" i="61"/>
  <c r="J232" i="61"/>
  <c r="J244" i="61"/>
  <c r="J257" i="61"/>
  <c r="J264" i="61"/>
  <c r="J276" i="61"/>
  <c r="J289" i="61"/>
  <c r="J296" i="61"/>
  <c r="J26" i="61"/>
  <c r="J42" i="61"/>
  <c r="J58" i="61"/>
  <c r="J74" i="61"/>
  <c r="J90" i="61"/>
  <c r="J136" i="61"/>
  <c r="J141" i="61"/>
  <c r="J146" i="61"/>
  <c r="J152" i="61"/>
  <c r="J157" i="61"/>
  <c r="J162" i="61"/>
  <c r="J168" i="61"/>
  <c r="J173" i="61"/>
  <c r="J178" i="61"/>
  <c r="J184" i="61"/>
  <c r="J189" i="61"/>
  <c r="J194" i="61"/>
  <c r="J214" i="61"/>
  <c r="J228" i="61"/>
  <c r="J258" i="61"/>
  <c r="J290" i="61"/>
  <c r="J12" i="61"/>
  <c r="J28" i="61"/>
  <c r="J44" i="61"/>
  <c r="J60" i="61"/>
  <c r="J76" i="61"/>
  <c r="J92" i="61"/>
  <c r="J100" i="61"/>
  <c r="J108" i="61"/>
  <c r="J116" i="61"/>
  <c r="J124" i="61"/>
  <c r="J210" i="61"/>
  <c r="J259" i="61"/>
  <c r="J291" i="61"/>
  <c r="J132" i="61"/>
  <c r="J36" i="61"/>
  <c r="J80" i="61"/>
  <c r="J128" i="61"/>
  <c r="J185" i="61"/>
  <c r="J196" i="61"/>
  <c r="J229" i="61"/>
  <c r="J265" i="61"/>
  <c r="J158" i="61"/>
  <c r="J224" i="61"/>
  <c r="J255" i="61"/>
  <c r="J48" i="61"/>
  <c r="J112" i="61"/>
  <c r="J283" i="61"/>
  <c r="J8" i="61"/>
  <c r="J114" i="61"/>
  <c r="J148" i="61"/>
  <c r="J225" i="61"/>
  <c r="J249" i="61"/>
  <c r="J267" i="61"/>
  <c r="J52" i="61"/>
  <c r="J206" i="61"/>
  <c r="J240" i="61"/>
  <c r="J275" i="61"/>
  <c r="J14" i="61"/>
  <c r="J164" i="61"/>
  <c r="J220" i="61"/>
  <c r="J16" i="61"/>
  <c r="J68" i="61"/>
  <c r="J253" i="61"/>
  <c r="J122" i="61"/>
  <c r="J174" i="61"/>
  <c r="J216" i="61"/>
  <c r="J78" i="61"/>
  <c r="J272" i="61"/>
  <c r="J96" i="61"/>
  <c r="J130" i="61"/>
  <c r="J209" i="61"/>
  <c r="J217" i="61"/>
  <c r="J30" i="61"/>
  <c r="J137" i="61"/>
  <c r="J32" i="61"/>
  <c r="J201" i="61"/>
  <c r="J104" i="61"/>
  <c r="J226" i="61"/>
  <c r="J233" i="61"/>
  <c r="J286" i="61"/>
  <c r="J46" i="61"/>
  <c r="J273" i="61"/>
  <c r="J285" i="61"/>
  <c r="J297" i="61"/>
  <c r="J20" i="61"/>
  <c r="J266" i="61"/>
  <c r="J299" i="61"/>
  <c r="J202" i="61"/>
  <c r="J180" i="61"/>
  <c r="J84" i="61"/>
  <c r="J281" i="61"/>
  <c r="J251" i="61"/>
  <c r="J241" i="61"/>
  <c r="J62" i="61"/>
  <c r="J153" i="61"/>
  <c r="J200" i="61"/>
  <c r="J64" i="61"/>
  <c r="J280" i="61"/>
  <c r="J3" i="61"/>
  <c r="J205" i="61"/>
  <c r="J271" i="61"/>
  <c r="J106" i="61"/>
  <c r="J260" i="61"/>
  <c r="J298" i="61"/>
  <c r="J190" i="61"/>
  <c r="J287" i="61"/>
  <c r="J98" i="61"/>
  <c r="J120" i="61"/>
  <c r="J142" i="61"/>
  <c r="J234" i="61"/>
  <c r="J169" i="61"/>
  <c r="J270" i="61"/>
  <c r="J248" i="61"/>
  <c r="J292" i="61"/>
  <c r="F1155" i="61"/>
  <c r="F1144" i="61"/>
  <c r="F1139" i="61"/>
  <c r="F1110" i="61"/>
  <c r="F1074" i="61"/>
  <c r="F1060" i="61"/>
  <c r="F1052" i="61"/>
  <c r="E1039" i="61"/>
  <c r="E1023" i="61"/>
  <c r="E955" i="61"/>
  <c r="E947" i="61"/>
  <c r="E899" i="61"/>
  <c r="E891" i="61"/>
  <c r="E847" i="61"/>
  <c r="E837" i="61"/>
  <c r="E829" i="61"/>
  <c r="E584" i="61"/>
  <c r="E455" i="61"/>
  <c r="F1104" i="61"/>
  <c r="F1068" i="61"/>
  <c r="F1149" i="61"/>
  <c r="E1144" i="61"/>
  <c r="E971" i="61"/>
  <c r="E963" i="61"/>
  <c r="E907" i="61"/>
  <c r="E856" i="61"/>
  <c r="E811" i="61"/>
  <c r="E793" i="61"/>
  <c r="E784" i="61"/>
  <c r="E748" i="61"/>
  <c r="E594" i="61"/>
  <c r="E506" i="61"/>
  <c r="F1039" i="61"/>
  <c r="F1138" i="61"/>
  <c r="F1124" i="61"/>
  <c r="F1103" i="61"/>
  <c r="F1096" i="61"/>
  <c r="F1088" i="61"/>
  <c r="F1067" i="61"/>
  <c r="F1059" i="61"/>
  <c r="F1044" i="61"/>
  <c r="E923" i="61"/>
  <c r="E881" i="61"/>
  <c r="E828" i="61"/>
  <c r="E765" i="61"/>
  <c r="E705" i="61"/>
  <c r="H395" i="61"/>
  <c r="H411" i="61"/>
  <c r="H427" i="61"/>
  <c r="H443" i="61"/>
  <c r="H459" i="61"/>
  <c r="H475" i="61"/>
  <c r="H491" i="61"/>
  <c r="H396" i="61"/>
  <c r="H412" i="61"/>
  <c r="H428" i="61"/>
  <c r="H444" i="61"/>
  <c r="H460" i="61"/>
  <c r="H476" i="61"/>
  <c r="H492" i="61"/>
  <c r="H402" i="61"/>
  <c r="H418" i="61"/>
  <c r="H434" i="61"/>
  <c r="H450" i="61"/>
  <c r="H466" i="61"/>
  <c r="H482" i="61"/>
  <c r="H397" i="61"/>
  <c r="H413" i="61"/>
  <c r="H429" i="61"/>
  <c r="H445" i="61"/>
  <c r="H461" i="61"/>
  <c r="H477" i="61"/>
  <c r="H419" i="61"/>
  <c r="H447" i="61"/>
  <c r="H454" i="61"/>
  <c r="H483" i="61"/>
  <c r="H496" i="61"/>
  <c r="H512" i="61"/>
  <c r="H528" i="61"/>
  <c r="H544" i="61"/>
  <c r="H592" i="61"/>
  <c r="H608" i="61"/>
  <c r="H629" i="61"/>
  <c r="H645" i="61"/>
  <c r="H399" i="61"/>
  <c r="H406" i="61"/>
  <c r="H435" i="61"/>
  <c r="H463" i="61"/>
  <c r="H470" i="61"/>
  <c r="H508" i="61"/>
  <c r="H524" i="61"/>
  <c r="H540" i="61"/>
  <c r="H588" i="61"/>
  <c r="H604" i="61"/>
  <c r="H620" i="61"/>
  <c r="H625" i="61"/>
  <c r="H641" i="61"/>
  <c r="H657" i="61"/>
  <c r="H414" i="61"/>
  <c r="H442" i="61"/>
  <c r="H449" i="61"/>
  <c r="H478" i="61"/>
  <c r="H503" i="61"/>
  <c r="H519" i="61"/>
  <c r="H535" i="61"/>
  <c r="H599" i="61"/>
  <c r="H615" i="61"/>
  <c r="H636" i="61"/>
  <c r="H652" i="61"/>
  <c r="H393" i="61"/>
  <c r="H407" i="61"/>
  <c r="H421" i="61"/>
  <c r="H457" i="61"/>
  <c r="H471" i="61"/>
  <c r="H485" i="61"/>
  <c r="H498" i="61"/>
  <c r="H514" i="61"/>
  <c r="H530" i="61"/>
  <c r="H546" i="61"/>
  <c r="H594" i="61"/>
  <c r="H610" i="61"/>
  <c r="H631" i="61"/>
  <c r="H647" i="61"/>
  <c r="H416" i="61"/>
  <c r="H424" i="61"/>
  <c r="H452" i="61"/>
  <c r="H480" i="61"/>
  <c r="H488" i="61"/>
  <c r="H505" i="61"/>
  <c r="H521" i="61"/>
  <c r="H537" i="61"/>
  <c r="H585" i="61"/>
  <c r="H601" i="61"/>
  <c r="H617" i="61"/>
  <c r="H638" i="61"/>
  <c r="H654" i="61"/>
  <c r="H409" i="61"/>
  <c r="H430" i="61"/>
  <c r="H440" i="61"/>
  <c r="H451" i="61"/>
  <c r="H472" i="61"/>
  <c r="H481" i="61"/>
  <c r="H500" i="61"/>
  <c r="H523" i="61"/>
  <c r="H531" i="61"/>
  <c r="H639" i="61"/>
  <c r="H699" i="61"/>
  <c r="H715" i="61"/>
  <c r="H731" i="61"/>
  <c r="H747" i="61"/>
  <c r="H763" i="61"/>
  <c r="H768" i="61"/>
  <c r="H784" i="61"/>
  <c r="H800" i="61"/>
  <c r="H816" i="61"/>
  <c r="H832" i="61"/>
  <c r="H473" i="61"/>
  <c r="H501" i="61"/>
  <c r="H525" i="61"/>
  <c r="H602" i="61"/>
  <c r="H633" i="61"/>
  <c r="H656" i="61"/>
  <c r="H684" i="61"/>
  <c r="H700" i="61"/>
  <c r="H716" i="61"/>
  <c r="H732" i="61"/>
  <c r="H748" i="61"/>
  <c r="H764" i="61"/>
  <c r="H769" i="61"/>
  <c r="H785" i="61"/>
  <c r="H801" i="61"/>
  <c r="H817" i="61"/>
  <c r="H833" i="61"/>
  <c r="H401" i="61"/>
  <c r="H422" i="61"/>
  <c r="H494" i="61"/>
  <c r="H517" i="61"/>
  <c r="H541" i="61"/>
  <c r="H587" i="61"/>
  <c r="H595" i="61"/>
  <c r="H618" i="61"/>
  <c r="H626" i="61"/>
  <c r="H649" i="61"/>
  <c r="H695" i="61"/>
  <c r="H711" i="61"/>
  <c r="H727" i="61"/>
  <c r="H743" i="61"/>
  <c r="H759" i="61"/>
  <c r="H796" i="61"/>
  <c r="H403" i="61"/>
  <c r="H423" i="61"/>
  <c r="H433" i="61"/>
  <c r="H495" i="61"/>
  <c r="H518" i="61"/>
  <c r="H526" i="61"/>
  <c r="H596" i="61"/>
  <c r="H619" i="61"/>
  <c r="H634" i="61"/>
  <c r="H658" i="61"/>
  <c r="H685" i="61"/>
  <c r="H701" i="61"/>
  <c r="H717" i="61"/>
  <c r="H733" i="61"/>
  <c r="H749" i="61"/>
  <c r="H765" i="61"/>
  <c r="H786" i="61"/>
  <c r="H802" i="61"/>
  <c r="H818" i="61"/>
  <c r="H834" i="61"/>
  <c r="H850" i="61"/>
  <c r="H405" i="61"/>
  <c r="H426" i="61"/>
  <c r="H497" i="61"/>
  <c r="H598" i="61"/>
  <c r="H606" i="61"/>
  <c r="H637" i="61"/>
  <c r="H692" i="61"/>
  <c r="H708" i="61"/>
  <c r="H724" i="61"/>
  <c r="H740" i="61"/>
  <c r="H756" i="61"/>
  <c r="H793" i="61"/>
  <c r="H404" i="61"/>
  <c r="H448" i="61"/>
  <c r="H465" i="61"/>
  <c r="H539" i="61"/>
  <c r="H607" i="61"/>
  <c r="H640" i="61"/>
  <c r="H693" i="61"/>
  <c r="H815" i="61"/>
  <c r="H835" i="61"/>
  <c r="H861" i="61"/>
  <c r="H877" i="61"/>
  <c r="H893" i="61"/>
  <c r="H909" i="61"/>
  <c r="H925" i="61"/>
  <c r="H941" i="61"/>
  <c r="H957" i="61"/>
  <c r="H973" i="61"/>
  <c r="H989" i="61"/>
  <c r="H1005" i="61"/>
  <c r="H436" i="61"/>
  <c r="H438" i="61"/>
  <c r="H453" i="61"/>
  <c r="H468" i="61"/>
  <c r="H520" i="61"/>
  <c r="H609" i="61"/>
  <c r="H632" i="61"/>
  <c r="H703" i="61"/>
  <c r="H726" i="61"/>
  <c r="H734" i="61"/>
  <c r="H757" i="61"/>
  <c r="H788" i="61"/>
  <c r="H810" i="61"/>
  <c r="H830" i="61"/>
  <c r="H843" i="61"/>
  <c r="H873" i="61"/>
  <c r="H889" i="61"/>
  <c r="H905" i="61"/>
  <c r="H921" i="61"/>
  <c r="H937" i="61"/>
  <c r="H410" i="61"/>
  <c r="H456" i="61"/>
  <c r="H499" i="61"/>
  <c r="H511" i="61"/>
  <c r="H533" i="61"/>
  <c r="H623" i="61"/>
  <c r="H704" i="61"/>
  <c r="H728" i="61"/>
  <c r="H751" i="61"/>
  <c r="H766" i="61"/>
  <c r="H789" i="61"/>
  <c r="H831" i="61"/>
  <c r="H851" i="61"/>
  <c r="H874" i="61"/>
  <c r="H890" i="61"/>
  <c r="H906" i="61"/>
  <c r="H922" i="61"/>
  <c r="H938" i="61"/>
  <c r="H954" i="61"/>
  <c r="H970" i="61"/>
  <c r="H986" i="61"/>
  <c r="H1002" i="61"/>
  <c r="H441" i="61"/>
  <c r="H487" i="61"/>
  <c r="H522" i="61"/>
  <c r="H534" i="61"/>
  <c r="H590" i="61"/>
  <c r="H635" i="61"/>
  <c r="H689" i="61"/>
  <c r="H697" i="61"/>
  <c r="H720" i="61"/>
  <c r="H744" i="61"/>
  <c r="H805" i="61"/>
  <c r="H812" i="61"/>
  <c r="H825" i="61"/>
  <c r="H838" i="61"/>
  <c r="H845" i="61"/>
  <c r="H869" i="61"/>
  <c r="H885" i="61"/>
  <c r="H901" i="61"/>
  <c r="H917" i="61"/>
  <c r="H933" i="61"/>
  <c r="H949" i="61"/>
  <c r="H415" i="61"/>
  <c r="H502" i="61"/>
  <c r="H536" i="61"/>
  <c r="H648" i="61"/>
  <c r="H691" i="61"/>
  <c r="H714" i="61"/>
  <c r="H722" i="61"/>
  <c r="H737" i="61"/>
  <c r="H745" i="61"/>
  <c r="H799" i="61"/>
  <c r="H826" i="61"/>
  <c r="H846" i="61"/>
  <c r="H859" i="61"/>
  <c r="H870" i="61"/>
  <c r="H432" i="61"/>
  <c r="H516" i="61"/>
  <c r="H532" i="61"/>
  <c r="H630" i="61"/>
  <c r="H719" i="61"/>
  <c r="H741" i="61"/>
  <c r="H753" i="61"/>
  <c r="H798" i="61"/>
  <c r="H856" i="61"/>
  <c r="H865" i="61"/>
  <c r="H880" i="61"/>
  <c r="H908" i="61"/>
  <c r="H915" i="61"/>
  <c r="H943" i="61"/>
  <c r="H950" i="61"/>
  <c r="H981" i="61"/>
  <c r="H987" i="61"/>
  <c r="H993" i="61"/>
  <c r="H999" i="61"/>
  <c r="H1022" i="61"/>
  <c r="H1038" i="61"/>
  <c r="H1054" i="61"/>
  <c r="H1070" i="61"/>
  <c r="H1086" i="61"/>
  <c r="H1102" i="61"/>
  <c r="H1118" i="61"/>
  <c r="H1134" i="61"/>
  <c r="H464" i="61"/>
  <c r="H486" i="61"/>
  <c r="H603" i="61"/>
  <c r="H651" i="61"/>
  <c r="H710" i="61"/>
  <c r="H767" i="61"/>
  <c r="H840" i="61"/>
  <c r="H896" i="61"/>
  <c r="H924" i="61"/>
  <c r="H931" i="61"/>
  <c r="H945" i="61"/>
  <c r="H958" i="61"/>
  <c r="H1018" i="61"/>
  <c r="H1034" i="61"/>
  <c r="H1050" i="61"/>
  <c r="H1066" i="61"/>
  <c r="H1082" i="61"/>
  <c r="H1098" i="61"/>
  <c r="H439" i="61"/>
  <c r="H586" i="61"/>
  <c r="H605" i="61"/>
  <c r="H653" i="61"/>
  <c r="H688" i="61"/>
  <c r="H723" i="61"/>
  <c r="H790" i="61"/>
  <c r="H811" i="61"/>
  <c r="H867" i="61"/>
  <c r="H875" i="61"/>
  <c r="H903" i="61"/>
  <c r="H910" i="61"/>
  <c r="H939" i="61"/>
  <c r="H952" i="61"/>
  <c r="H995" i="61"/>
  <c r="H1001" i="61"/>
  <c r="H1007" i="61"/>
  <c r="H1013" i="61"/>
  <c r="H1029" i="61"/>
  <c r="H1045" i="61"/>
  <c r="H1061" i="61"/>
  <c r="H1077" i="61"/>
  <c r="H467" i="61"/>
  <c r="H489" i="61"/>
  <c r="H506" i="61"/>
  <c r="H538" i="61"/>
  <c r="H589" i="61"/>
  <c r="H621" i="61"/>
  <c r="H690" i="61"/>
  <c r="H712" i="61"/>
  <c r="H746" i="61"/>
  <c r="H791" i="61"/>
  <c r="H821" i="61"/>
  <c r="H918" i="61"/>
  <c r="H932" i="61"/>
  <c r="H971" i="61"/>
  <c r="H977" i="61"/>
  <c r="H983" i="61"/>
  <c r="H1024" i="61"/>
  <c r="H1040" i="61"/>
  <c r="H1056" i="61"/>
  <c r="H1072" i="61"/>
  <c r="H1088" i="61"/>
  <c r="H1104" i="61"/>
  <c r="H1120" i="61"/>
  <c r="H1136" i="61"/>
  <c r="H398" i="61"/>
  <c r="H474" i="61"/>
  <c r="H593" i="61"/>
  <c r="H627" i="61"/>
  <c r="H761" i="61"/>
  <c r="H794" i="61"/>
  <c r="H853" i="61"/>
  <c r="H862" i="61"/>
  <c r="H913" i="61"/>
  <c r="H920" i="61"/>
  <c r="H927" i="61"/>
  <c r="H979" i="61"/>
  <c r="H985" i="61"/>
  <c r="H991" i="61"/>
  <c r="H545" i="61"/>
  <c r="H616" i="61"/>
  <c r="H713" i="61"/>
  <c r="H809" i="61"/>
  <c r="H823" i="61"/>
  <c r="H836" i="61"/>
  <c r="H864" i="61"/>
  <c r="H895" i="61"/>
  <c r="H916" i="61"/>
  <c r="H947" i="61"/>
  <c r="H956" i="61"/>
  <c r="H974" i="61"/>
  <c r="H992" i="61"/>
  <c r="H1009" i="61"/>
  <c r="H1016" i="61"/>
  <c r="H1023" i="61"/>
  <c r="H1052" i="61"/>
  <c r="H1080" i="61"/>
  <c r="H1100" i="61"/>
  <c r="H1106" i="61"/>
  <c r="H1112" i="61"/>
  <c r="H1142" i="61"/>
  <c r="H1158" i="61"/>
  <c r="H437" i="61"/>
  <c r="H527" i="61"/>
  <c r="H597" i="61"/>
  <c r="H797" i="61"/>
  <c r="H841" i="61"/>
  <c r="H854" i="61"/>
  <c r="H866" i="61"/>
  <c r="H898" i="61"/>
  <c r="H919" i="61"/>
  <c r="H929" i="61"/>
  <c r="H940" i="61"/>
  <c r="H959" i="61"/>
  <c r="H976" i="61"/>
  <c r="H1003" i="61"/>
  <c r="H1032" i="61"/>
  <c r="H1039" i="61"/>
  <c r="H1068" i="61"/>
  <c r="H1095" i="61"/>
  <c r="H1126" i="61"/>
  <c r="H1132" i="61"/>
  <c r="H1138" i="61"/>
  <c r="H1154" i="61"/>
  <c r="H446" i="61"/>
  <c r="H504" i="61"/>
  <c r="H624" i="61"/>
  <c r="H646" i="61"/>
  <c r="H750" i="61"/>
  <c r="H814" i="61"/>
  <c r="H827" i="61"/>
  <c r="H855" i="61"/>
  <c r="H868" i="61"/>
  <c r="H878" i="61"/>
  <c r="H888" i="61"/>
  <c r="H899" i="61"/>
  <c r="H968" i="61"/>
  <c r="H994" i="61"/>
  <c r="H1011" i="61"/>
  <c r="H1019" i="61"/>
  <c r="H1047" i="61"/>
  <c r="H1075" i="61"/>
  <c r="H1089" i="61"/>
  <c r="H1108" i="61"/>
  <c r="H1114" i="61"/>
  <c r="H1149" i="61"/>
  <c r="H529" i="61"/>
  <c r="H600" i="61"/>
  <c r="H702" i="61"/>
  <c r="H735" i="61"/>
  <c r="H828" i="61"/>
  <c r="H842" i="61"/>
  <c r="H930" i="61"/>
  <c r="H960" i="61"/>
  <c r="H1026" i="61"/>
  <c r="H1033" i="61"/>
  <c r="H1062" i="61"/>
  <c r="H1083" i="61"/>
  <c r="H1144" i="61"/>
  <c r="H417" i="61"/>
  <c r="H484" i="61"/>
  <c r="H455" i="61"/>
  <c r="H490" i="61"/>
  <c r="H584" i="61"/>
  <c r="H707" i="61"/>
  <c r="H755" i="61"/>
  <c r="H819" i="61"/>
  <c r="H934" i="61"/>
  <c r="H944" i="61"/>
  <c r="H962" i="61"/>
  <c r="H980" i="61"/>
  <c r="H998" i="61"/>
  <c r="H1006" i="61"/>
  <c r="H1021" i="61"/>
  <c r="H1028" i="61"/>
  <c r="H1057" i="61"/>
  <c r="H1091" i="61"/>
  <c r="H1151" i="61"/>
  <c r="H611" i="61"/>
  <c r="H643" i="61"/>
  <c r="H696" i="61"/>
  <c r="H872" i="61"/>
  <c r="H902" i="61"/>
  <c r="H961" i="61"/>
  <c r="H1010" i="61"/>
  <c r="H1042" i="61"/>
  <c r="H1063" i="61"/>
  <c r="H1073" i="61"/>
  <c r="H1111" i="61"/>
  <c r="H1129" i="61"/>
  <c r="H1153" i="61"/>
  <c r="H612" i="61"/>
  <c r="H644" i="61"/>
  <c r="H721" i="61"/>
  <c r="H887" i="61"/>
  <c r="H904" i="61"/>
  <c r="H1012" i="61"/>
  <c r="H1084" i="61"/>
  <c r="H1093" i="61"/>
  <c r="H1103" i="61"/>
  <c r="H1121" i="61"/>
  <c r="H1146" i="61"/>
  <c r="H507" i="61"/>
  <c r="H543" i="61"/>
  <c r="H860" i="61"/>
  <c r="H876" i="61"/>
  <c r="H990" i="61"/>
  <c r="H1014" i="61"/>
  <c r="H1035" i="61"/>
  <c r="H1044" i="61"/>
  <c r="H1055" i="61"/>
  <c r="H1065" i="61"/>
  <c r="H1076" i="61"/>
  <c r="H1113" i="61"/>
  <c r="H1122" i="61"/>
  <c r="H1131" i="61"/>
  <c r="H1147" i="61"/>
  <c r="H400" i="61"/>
  <c r="H509" i="61"/>
  <c r="H655" i="61"/>
  <c r="H705" i="61"/>
  <c r="H752" i="61"/>
  <c r="H820" i="61"/>
  <c r="H839" i="61"/>
  <c r="H892" i="61"/>
  <c r="H907" i="61"/>
  <c r="H936" i="61"/>
  <c r="H951" i="61"/>
  <c r="H978" i="61"/>
  <c r="H1096" i="61"/>
  <c r="H1105" i="61"/>
  <c r="H1140" i="61"/>
  <c r="H408" i="61"/>
  <c r="H462" i="61"/>
  <c r="H510" i="61"/>
  <c r="H622" i="61"/>
  <c r="H706" i="61"/>
  <c r="H729" i="61"/>
  <c r="H754" i="61"/>
  <c r="H822" i="61"/>
  <c r="H923" i="61"/>
  <c r="H1004" i="61"/>
  <c r="H1015" i="61"/>
  <c r="H1025" i="61"/>
  <c r="H1036" i="61"/>
  <c r="H1046" i="61"/>
  <c r="H1067" i="61"/>
  <c r="H1115" i="61"/>
  <c r="H1123" i="61"/>
  <c r="H1148" i="61"/>
  <c r="H1156" i="61"/>
  <c r="H420" i="61"/>
  <c r="H709" i="61"/>
  <c r="H736" i="61"/>
  <c r="H758" i="61"/>
  <c r="H806" i="61"/>
  <c r="H912" i="61"/>
  <c r="H955" i="61"/>
  <c r="H967" i="61"/>
  <c r="H1027" i="61"/>
  <c r="H1037" i="61"/>
  <c r="H1048" i="61"/>
  <c r="H1058" i="61"/>
  <c r="H1069" i="61"/>
  <c r="H1079" i="61"/>
  <c r="H1116" i="61"/>
  <c r="H1150" i="61"/>
  <c r="H739" i="61"/>
  <c r="H762" i="61"/>
  <c r="H808" i="61"/>
  <c r="H982" i="61"/>
  <c r="H1109" i="61"/>
  <c r="H1127" i="61"/>
  <c r="H1143" i="61"/>
  <c r="H431" i="61"/>
  <c r="H787" i="61"/>
  <c r="H900" i="61"/>
  <c r="H914" i="61"/>
  <c r="H984" i="61"/>
  <c r="H997" i="61"/>
  <c r="H1020" i="61"/>
  <c r="H1030" i="61"/>
  <c r="H1041" i="61"/>
  <c r="H1051" i="61"/>
  <c r="H1060" i="61"/>
  <c r="H1071" i="61"/>
  <c r="H1081" i="61"/>
  <c r="H1159" i="61"/>
  <c r="H738" i="61"/>
  <c r="H829" i="61"/>
  <c r="H928" i="61"/>
  <c r="H1008" i="61"/>
  <c r="H1049" i="61"/>
  <c r="H1090" i="61"/>
  <c r="H493" i="61"/>
  <c r="H1110" i="61"/>
  <c r="H642" i="61"/>
  <c r="H694" i="61"/>
  <c r="H742" i="61"/>
  <c r="H792" i="61"/>
  <c r="H871" i="61"/>
  <c r="H1031" i="61"/>
  <c r="H1092" i="61"/>
  <c r="H1128" i="61"/>
  <c r="H1145" i="61"/>
  <c r="H650" i="61"/>
  <c r="H698" i="61"/>
  <c r="H1053" i="61"/>
  <c r="H1074" i="61"/>
  <c r="H1094" i="61"/>
  <c r="H394" i="61"/>
  <c r="H795" i="61"/>
  <c r="H837" i="61"/>
  <c r="H935" i="61"/>
  <c r="H963" i="61"/>
  <c r="H988" i="61"/>
  <c r="H1130" i="61"/>
  <c r="H591" i="61"/>
  <c r="H803" i="61"/>
  <c r="H844" i="61"/>
  <c r="H879" i="61"/>
  <c r="H966" i="61"/>
  <c r="H1078" i="61"/>
  <c r="H1097" i="61"/>
  <c r="H1133" i="61"/>
  <c r="H515" i="61"/>
  <c r="H804" i="61"/>
  <c r="H911" i="61"/>
  <c r="H760" i="61"/>
  <c r="H807" i="61"/>
  <c r="H847" i="61"/>
  <c r="H881" i="61"/>
  <c r="H942" i="61"/>
  <c r="H969" i="61"/>
  <c r="H1017" i="61"/>
  <c r="H1099" i="61"/>
  <c r="H425" i="61"/>
  <c r="H996" i="61"/>
  <c r="H1059" i="61"/>
  <c r="H1117" i="61"/>
  <c r="H1135" i="61"/>
  <c r="H813" i="61"/>
  <c r="H886" i="61"/>
  <c r="H946" i="61"/>
  <c r="H1101" i="61"/>
  <c r="H1119" i="61"/>
  <c r="H1137" i="61"/>
  <c r="H613" i="61"/>
  <c r="H857" i="61"/>
  <c r="H458" i="61"/>
  <c r="H542" i="61"/>
  <c r="H614" i="61"/>
  <c r="H725" i="61"/>
  <c r="H858" i="61"/>
  <c r="H891" i="61"/>
  <c r="H975" i="61"/>
  <c r="H1085" i="61"/>
  <c r="H1155" i="61"/>
  <c r="H730" i="61"/>
  <c r="H953" i="61"/>
  <c r="H1087" i="61"/>
  <c r="H1141" i="61"/>
  <c r="H479" i="61"/>
  <c r="H1124" i="61"/>
  <c r="H824" i="61"/>
  <c r="H1125" i="61"/>
  <c r="H972" i="61"/>
  <c r="H852" i="61"/>
  <c r="H1064" i="61"/>
  <c r="H1139" i="61"/>
  <c r="H863" i="61"/>
  <c r="H628" i="61"/>
  <c r="H1000" i="61"/>
  <c r="H1152" i="61"/>
  <c r="H686" i="61"/>
  <c r="H894" i="61"/>
  <c r="H718" i="61"/>
  <c r="H897" i="61"/>
  <c r="H926" i="61"/>
  <c r="H948" i="61"/>
  <c r="H1043" i="61"/>
  <c r="H1107" i="61"/>
  <c r="H469" i="61"/>
  <c r="H687" i="61"/>
  <c r="I400" i="61"/>
  <c r="I416" i="61"/>
  <c r="I432" i="61"/>
  <c r="I448" i="61"/>
  <c r="I464" i="61"/>
  <c r="I480" i="61"/>
  <c r="I401" i="61"/>
  <c r="I417" i="61"/>
  <c r="I433" i="61"/>
  <c r="I449" i="61"/>
  <c r="I465" i="61"/>
  <c r="I481" i="61"/>
  <c r="I407" i="61"/>
  <c r="I423" i="61"/>
  <c r="I439" i="61"/>
  <c r="I455" i="61"/>
  <c r="I471" i="61"/>
  <c r="I487" i="61"/>
  <c r="I402" i="61"/>
  <c r="I418" i="61"/>
  <c r="I434" i="61"/>
  <c r="I450" i="61"/>
  <c r="I466" i="61"/>
  <c r="I482" i="61"/>
  <c r="I404" i="61"/>
  <c r="I411" i="61"/>
  <c r="I440" i="61"/>
  <c r="I468" i="61"/>
  <c r="I475" i="61"/>
  <c r="I501" i="61"/>
  <c r="I517" i="61"/>
  <c r="I533" i="61"/>
  <c r="I549" i="61"/>
  <c r="I565" i="61"/>
  <c r="I581" i="61"/>
  <c r="I597" i="61"/>
  <c r="I613" i="61"/>
  <c r="I634" i="61"/>
  <c r="I650" i="61"/>
  <c r="I420" i="61"/>
  <c r="I427" i="61"/>
  <c r="I456" i="61"/>
  <c r="I484" i="61"/>
  <c r="I491" i="61"/>
  <c r="I497" i="61"/>
  <c r="I529" i="61"/>
  <c r="I545" i="61"/>
  <c r="I561" i="61"/>
  <c r="I577" i="61"/>
  <c r="I593" i="61"/>
  <c r="I609" i="61"/>
  <c r="I630" i="61"/>
  <c r="I646" i="61"/>
  <c r="I399" i="61"/>
  <c r="I406" i="61"/>
  <c r="I435" i="61"/>
  <c r="I463" i="61"/>
  <c r="I470" i="61"/>
  <c r="I508" i="61"/>
  <c r="I524" i="61"/>
  <c r="I540" i="61"/>
  <c r="I556" i="61"/>
  <c r="I572" i="61"/>
  <c r="I588" i="61"/>
  <c r="I604" i="61"/>
  <c r="I620" i="61"/>
  <c r="I625" i="61"/>
  <c r="I641" i="61"/>
  <c r="I657" i="61"/>
  <c r="I414" i="61"/>
  <c r="I428" i="61"/>
  <c r="I442" i="61"/>
  <c r="I478" i="61"/>
  <c r="I492" i="61"/>
  <c r="I503" i="61"/>
  <c r="I519" i="61"/>
  <c r="I535" i="61"/>
  <c r="I567" i="61"/>
  <c r="I583" i="61"/>
  <c r="I599" i="61"/>
  <c r="I615" i="61"/>
  <c r="I636" i="61"/>
  <c r="I652" i="61"/>
  <c r="I409" i="61"/>
  <c r="I437" i="61"/>
  <c r="I445" i="61"/>
  <c r="I473" i="61"/>
  <c r="I494" i="61"/>
  <c r="I510" i="61"/>
  <c r="I526" i="61"/>
  <c r="I542" i="61"/>
  <c r="I558" i="61"/>
  <c r="I574" i="61"/>
  <c r="I590" i="61"/>
  <c r="I606" i="61"/>
  <c r="I622" i="61"/>
  <c r="I627" i="61"/>
  <c r="I643" i="61"/>
  <c r="I398" i="61"/>
  <c r="I419" i="61"/>
  <c r="I460" i="61"/>
  <c r="I507" i="61"/>
  <c r="I515" i="61"/>
  <c r="I538" i="61"/>
  <c r="I562" i="61"/>
  <c r="I585" i="61"/>
  <c r="I608" i="61"/>
  <c r="I616" i="61"/>
  <c r="I647" i="61"/>
  <c r="I672" i="61"/>
  <c r="I688" i="61"/>
  <c r="I704" i="61"/>
  <c r="I720" i="61"/>
  <c r="I736" i="61"/>
  <c r="I752" i="61"/>
  <c r="I773" i="61"/>
  <c r="I789" i="61"/>
  <c r="I805" i="61"/>
  <c r="I821" i="61"/>
  <c r="I837" i="61"/>
  <c r="I853" i="61"/>
  <c r="I410" i="61"/>
  <c r="I421" i="61"/>
  <c r="I431" i="61"/>
  <c r="I441" i="61"/>
  <c r="I452" i="61"/>
  <c r="I462" i="61"/>
  <c r="I483" i="61"/>
  <c r="I509" i="61"/>
  <c r="I532" i="61"/>
  <c r="I555" i="61"/>
  <c r="I563" i="61"/>
  <c r="I586" i="61"/>
  <c r="I610" i="61"/>
  <c r="I640" i="61"/>
  <c r="I648" i="61"/>
  <c r="I673" i="61"/>
  <c r="I689" i="61"/>
  <c r="I705" i="61"/>
  <c r="I721" i="61"/>
  <c r="I737" i="61"/>
  <c r="I753" i="61"/>
  <c r="I774" i="61"/>
  <c r="I790" i="61"/>
  <c r="I806" i="61"/>
  <c r="I822" i="61"/>
  <c r="I838" i="61"/>
  <c r="I854" i="61"/>
  <c r="I525" i="61"/>
  <c r="I548" i="61"/>
  <c r="I571" i="61"/>
  <c r="I579" i="61"/>
  <c r="I602" i="61"/>
  <c r="I633" i="61"/>
  <c r="I656" i="61"/>
  <c r="I668" i="61"/>
  <c r="I684" i="61"/>
  <c r="I700" i="61"/>
  <c r="I716" i="61"/>
  <c r="I732" i="61"/>
  <c r="I748" i="61"/>
  <c r="I764" i="61"/>
  <c r="I769" i="61"/>
  <c r="I785" i="61"/>
  <c r="I801" i="61"/>
  <c r="I412" i="61"/>
  <c r="I453" i="61"/>
  <c r="I474" i="61"/>
  <c r="I485" i="61"/>
  <c r="I502" i="61"/>
  <c r="I557" i="61"/>
  <c r="I580" i="61"/>
  <c r="I603" i="61"/>
  <c r="I611" i="61"/>
  <c r="I642" i="61"/>
  <c r="I674" i="61"/>
  <c r="I690" i="61"/>
  <c r="I706" i="61"/>
  <c r="I722" i="61"/>
  <c r="I738" i="61"/>
  <c r="I754" i="61"/>
  <c r="I775" i="61"/>
  <c r="I791" i="61"/>
  <c r="I807" i="61"/>
  <c r="I823" i="61"/>
  <c r="I839" i="61"/>
  <c r="I855" i="61"/>
  <c r="I395" i="61"/>
  <c r="I505" i="61"/>
  <c r="I528" i="61"/>
  <c r="I536" i="61"/>
  <c r="I559" i="61"/>
  <c r="I582" i="61"/>
  <c r="I644" i="61"/>
  <c r="I665" i="61"/>
  <c r="I681" i="61"/>
  <c r="I697" i="61"/>
  <c r="I713" i="61"/>
  <c r="I729" i="61"/>
  <c r="I745" i="61"/>
  <c r="I761" i="61"/>
  <c r="I766" i="61"/>
  <c r="I782" i="61"/>
  <c r="I798" i="61"/>
  <c r="I479" i="61"/>
  <c r="I516" i="61"/>
  <c r="I550" i="61"/>
  <c r="I584" i="61"/>
  <c r="I596" i="61"/>
  <c r="I618" i="61"/>
  <c r="I629" i="61"/>
  <c r="I651" i="61"/>
  <c r="I677" i="61"/>
  <c r="I701" i="61"/>
  <c r="I724" i="61"/>
  <c r="I747" i="61"/>
  <c r="I755" i="61"/>
  <c r="I786" i="61"/>
  <c r="I828" i="61"/>
  <c r="I841" i="61"/>
  <c r="I866" i="61"/>
  <c r="I882" i="61"/>
  <c r="I898" i="61"/>
  <c r="I914" i="61"/>
  <c r="I930" i="61"/>
  <c r="I946" i="61"/>
  <c r="I962" i="61"/>
  <c r="I978" i="61"/>
  <c r="I994" i="61"/>
  <c r="I1010" i="61"/>
  <c r="I408" i="61"/>
  <c r="I424" i="61"/>
  <c r="I553" i="61"/>
  <c r="I587" i="61"/>
  <c r="I598" i="61"/>
  <c r="I621" i="61"/>
  <c r="I654" i="61"/>
  <c r="I664" i="61"/>
  <c r="I687" i="61"/>
  <c r="I695" i="61"/>
  <c r="I710" i="61"/>
  <c r="I718" i="61"/>
  <c r="I741" i="61"/>
  <c r="I765" i="61"/>
  <c r="I772" i="61"/>
  <c r="I780" i="61"/>
  <c r="I795" i="61"/>
  <c r="I803" i="61"/>
  <c r="I836" i="61"/>
  <c r="I856" i="61"/>
  <c r="I862" i="61"/>
  <c r="I878" i="61"/>
  <c r="I894" i="61"/>
  <c r="I910" i="61"/>
  <c r="I926" i="61"/>
  <c r="I425" i="61"/>
  <c r="I469" i="61"/>
  <c r="I486" i="61"/>
  <c r="I544" i="61"/>
  <c r="I566" i="61"/>
  <c r="I578" i="61"/>
  <c r="I600" i="61"/>
  <c r="I612" i="61"/>
  <c r="I645" i="61"/>
  <c r="I712" i="61"/>
  <c r="I735" i="61"/>
  <c r="I743" i="61"/>
  <c r="I758" i="61"/>
  <c r="I797" i="61"/>
  <c r="I811" i="61"/>
  <c r="I818" i="61"/>
  <c r="I844" i="61"/>
  <c r="I857" i="61"/>
  <c r="I863" i="61"/>
  <c r="I879" i="61"/>
  <c r="I895" i="61"/>
  <c r="I911" i="61"/>
  <c r="I927" i="61"/>
  <c r="I943" i="61"/>
  <c r="I959" i="61"/>
  <c r="I975" i="61"/>
  <c r="I991" i="61"/>
  <c r="I1007" i="61"/>
  <c r="I396" i="61"/>
  <c r="I426" i="61"/>
  <c r="I457" i="61"/>
  <c r="I472" i="61"/>
  <c r="I499" i="61"/>
  <c r="I511" i="61"/>
  <c r="I601" i="61"/>
  <c r="I623" i="61"/>
  <c r="I658" i="61"/>
  <c r="I728" i="61"/>
  <c r="I751" i="61"/>
  <c r="I759" i="61"/>
  <c r="I831" i="61"/>
  <c r="I851" i="61"/>
  <c r="I874" i="61"/>
  <c r="I890" i="61"/>
  <c r="I906" i="61"/>
  <c r="I922" i="61"/>
  <c r="I938" i="61"/>
  <c r="I954" i="61"/>
  <c r="I397" i="61"/>
  <c r="I413" i="61"/>
  <c r="I443" i="61"/>
  <c r="I459" i="61"/>
  <c r="I489" i="61"/>
  <c r="I569" i="61"/>
  <c r="I614" i="61"/>
  <c r="I626" i="61"/>
  <c r="I637" i="61"/>
  <c r="I659" i="61"/>
  <c r="I667" i="61"/>
  <c r="I675" i="61"/>
  <c r="I698" i="61"/>
  <c r="I783" i="61"/>
  <c r="I813" i="61"/>
  <c r="I852" i="61"/>
  <c r="I405" i="61"/>
  <c r="I458" i="61"/>
  <c r="I500" i="61"/>
  <c r="I662" i="61"/>
  <c r="I685" i="61"/>
  <c r="I696" i="61"/>
  <c r="I730" i="61"/>
  <c r="I808" i="61"/>
  <c r="I827" i="61"/>
  <c r="I872" i="61"/>
  <c r="I901" i="61"/>
  <c r="I929" i="61"/>
  <c r="I936" i="61"/>
  <c r="I956" i="61"/>
  <c r="I1005" i="61"/>
  <c r="I1011" i="61"/>
  <c r="I1027" i="61"/>
  <c r="I1043" i="61"/>
  <c r="I1059" i="61"/>
  <c r="I1075" i="61"/>
  <c r="I1091" i="61"/>
  <c r="I1107" i="61"/>
  <c r="I1123" i="61"/>
  <c r="I438" i="61"/>
  <c r="I504" i="61"/>
  <c r="I520" i="61"/>
  <c r="I537" i="61"/>
  <c r="I619" i="61"/>
  <c r="I635" i="61"/>
  <c r="I699" i="61"/>
  <c r="I733" i="61"/>
  <c r="I800" i="61"/>
  <c r="I810" i="61"/>
  <c r="I820" i="61"/>
  <c r="I858" i="61"/>
  <c r="I881" i="61"/>
  <c r="I888" i="61"/>
  <c r="I917" i="61"/>
  <c r="I951" i="61"/>
  <c r="I976" i="61"/>
  <c r="I982" i="61"/>
  <c r="I988" i="61"/>
  <c r="I1023" i="61"/>
  <c r="I1039" i="61"/>
  <c r="I1055" i="61"/>
  <c r="I1071" i="61"/>
  <c r="I1087" i="61"/>
  <c r="I415" i="61"/>
  <c r="I488" i="61"/>
  <c r="I521" i="61"/>
  <c r="I570" i="61"/>
  <c r="I666" i="61"/>
  <c r="I711" i="61"/>
  <c r="I756" i="61"/>
  <c r="I767" i="61"/>
  <c r="I778" i="61"/>
  <c r="I830" i="61"/>
  <c r="I840" i="61"/>
  <c r="I859" i="61"/>
  <c r="I896" i="61"/>
  <c r="I924" i="61"/>
  <c r="I931" i="61"/>
  <c r="I945" i="61"/>
  <c r="I958" i="61"/>
  <c r="I1018" i="61"/>
  <c r="I1034" i="61"/>
  <c r="I1050" i="61"/>
  <c r="I1066" i="61"/>
  <c r="I444" i="61"/>
  <c r="I522" i="61"/>
  <c r="I554" i="61"/>
  <c r="I605" i="61"/>
  <c r="I653" i="61"/>
  <c r="I723" i="61"/>
  <c r="I734" i="61"/>
  <c r="I768" i="61"/>
  <c r="I802" i="61"/>
  <c r="I812" i="61"/>
  <c r="I850" i="61"/>
  <c r="I867" i="61"/>
  <c r="I875" i="61"/>
  <c r="I889" i="61"/>
  <c r="I903" i="61"/>
  <c r="I939" i="61"/>
  <c r="I952" i="61"/>
  <c r="I989" i="61"/>
  <c r="I995" i="61"/>
  <c r="I1001" i="61"/>
  <c r="I1013" i="61"/>
  <c r="I1029" i="61"/>
  <c r="I1045" i="61"/>
  <c r="I1061" i="61"/>
  <c r="I1077" i="61"/>
  <c r="I1093" i="61"/>
  <c r="I1109" i="61"/>
  <c r="I1125" i="61"/>
  <c r="I451" i="61"/>
  <c r="I495" i="61"/>
  <c r="I527" i="61"/>
  <c r="I543" i="61"/>
  <c r="I560" i="61"/>
  <c r="I576" i="61"/>
  <c r="I670" i="61"/>
  <c r="I715" i="61"/>
  <c r="I726" i="61"/>
  <c r="I749" i="61"/>
  <c r="I771" i="61"/>
  <c r="I824" i="61"/>
  <c r="I834" i="61"/>
  <c r="I843" i="61"/>
  <c r="I870" i="61"/>
  <c r="I877" i="61"/>
  <c r="I884" i="61"/>
  <c r="I934" i="61"/>
  <c r="I941" i="61"/>
  <c r="I997" i="61"/>
  <c r="I393" i="61"/>
  <c r="I430" i="61"/>
  <c r="I467" i="61"/>
  <c r="I496" i="61"/>
  <c r="I568" i="61"/>
  <c r="I592" i="61"/>
  <c r="I639" i="61"/>
  <c r="I661" i="61"/>
  <c r="I679" i="61"/>
  <c r="I694" i="61"/>
  <c r="I744" i="61"/>
  <c r="I793" i="61"/>
  <c r="I983" i="61"/>
  <c r="I1000" i="61"/>
  <c r="I1044" i="61"/>
  <c r="I1073" i="61"/>
  <c r="I1118" i="61"/>
  <c r="I1124" i="61"/>
  <c r="I1130" i="61"/>
  <c r="I1147" i="61"/>
  <c r="I683" i="61"/>
  <c r="I731" i="61"/>
  <c r="I781" i="61"/>
  <c r="I826" i="61"/>
  <c r="I887" i="61"/>
  <c r="I908" i="61"/>
  <c r="I949" i="61"/>
  <c r="I967" i="61"/>
  <c r="I985" i="61"/>
  <c r="I1025" i="61"/>
  <c r="I1053" i="61"/>
  <c r="I1060" i="61"/>
  <c r="I1101" i="61"/>
  <c r="I1143" i="61"/>
  <c r="I1159" i="61"/>
  <c r="I403" i="61"/>
  <c r="I476" i="61"/>
  <c r="I575" i="61"/>
  <c r="I717" i="61"/>
  <c r="I919" i="61"/>
  <c r="I940" i="61"/>
  <c r="I977" i="61"/>
  <c r="I1003" i="61"/>
  <c r="I1032" i="61"/>
  <c r="I1040" i="61"/>
  <c r="I1068" i="61"/>
  <c r="I1082" i="61"/>
  <c r="I1095" i="61"/>
  <c r="I1120" i="61"/>
  <c r="I1126" i="61"/>
  <c r="I1132" i="61"/>
  <c r="I1138" i="61"/>
  <c r="I1154" i="61"/>
  <c r="I446" i="61"/>
  <c r="I477" i="61"/>
  <c r="I506" i="61"/>
  <c r="I624" i="61"/>
  <c r="I649" i="61"/>
  <c r="I669" i="61"/>
  <c r="I750" i="61"/>
  <c r="I799" i="61"/>
  <c r="I814" i="61"/>
  <c r="I868" i="61"/>
  <c r="I899" i="61"/>
  <c r="I909" i="61"/>
  <c r="I920" i="61"/>
  <c r="I950" i="61"/>
  <c r="I968" i="61"/>
  <c r="I986" i="61"/>
  <c r="I1019" i="61"/>
  <c r="I1047" i="61"/>
  <c r="I1054" i="61"/>
  <c r="I1089" i="61"/>
  <c r="I1102" i="61"/>
  <c r="I1108" i="61"/>
  <c r="I1114" i="61"/>
  <c r="I1149" i="61"/>
  <c r="I454" i="61"/>
  <c r="I512" i="61"/>
  <c r="I514" i="61"/>
  <c r="I631" i="61"/>
  <c r="I655" i="61"/>
  <c r="I691" i="61"/>
  <c r="I739" i="61"/>
  <c r="I787" i="61"/>
  <c r="I804" i="61"/>
  <c r="I833" i="61"/>
  <c r="I846" i="61"/>
  <c r="I860" i="61"/>
  <c r="I871" i="61"/>
  <c r="I892" i="61"/>
  <c r="I902" i="61"/>
  <c r="I913" i="61"/>
  <c r="I923" i="61"/>
  <c r="I953" i="61"/>
  <c r="I1014" i="61"/>
  <c r="I1042" i="61"/>
  <c r="I1049" i="61"/>
  <c r="I1078" i="61"/>
  <c r="I1104" i="61"/>
  <c r="I1110" i="61"/>
  <c r="I1116" i="61"/>
  <c r="I1122" i="61"/>
  <c r="I1128" i="61"/>
  <c r="I1140" i="61"/>
  <c r="I1156" i="61"/>
  <c r="I447" i="61"/>
  <c r="I534" i="61"/>
  <c r="I573" i="61"/>
  <c r="I742" i="61"/>
  <c r="I792" i="61"/>
  <c r="I815" i="61"/>
  <c r="I886" i="61"/>
  <c r="I916" i="61"/>
  <c r="I933" i="61"/>
  <c r="I973" i="61"/>
  <c r="I1021" i="61"/>
  <c r="I1031" i="61"/>
  <c r="I1052" i="61"/>
  <c r="I1092" i="61"/>
  <c r="I1119" i="61"/>
  <c r="I1137" i="61"/>
  <c r="I1145" i="61"/>
  <c r="I498" i="61"/>
  <c r="I539" i="61"/>
  <c r="I746" i="61"/>
  <c r="I770" i="61"/>
  <c r="I835" i="61"/>
  <c r="I918" i="61"/>
  <c r="I947" i="61"/>
  <c r="I961" i="61"/>
  <c r="I987" i="61"/>
  <c r="I999" i="61"/>
  <c r="I1063" i="61"/>
  <c r="I1111" i="61"/>
  <c r="I1129" i="61"/>
  <c r="I1153" i="61"/>
  <c r="I394" i="61"/>
  <c r="I678" i="61"/>
  <c r="I703" i="61"/>
  <c r="I725" i="61"/>
  <c r="I796" i="61"/>
  <c r="I819" i="61"/>
  <c r="I891" i="61"/>
  <c r="I905" i="61"/>
  <c r="I921" i="61"/>
  <c r="I935" i="61"/>
  <c r="I963" i="61"/>
  <c r="I1002" i="61"/>
  <c r="I1024" i="61"/>
  <c r="I1085" i="61"/>
  <c r="I1155" i="61"/>
  <c r="I461" i="61"/>
  <c r="I546" i="61"/>
  <c r="I617" i="61"/>
  <c r="I680" i="61"/>
  <c r="I727" i="61"/>
  <c r="I861" i="61"/>
  <c r="I876" i="61"/>
  <c r="I990" i="61"/>
  <c r="I1035" i="61"/>
  <c r="I1056" i="61"/>
  <c r="I1065" i="61"/>
  <c r="I1076" i="61"/>
  <c r="I1113" i="61"/>
  <c r="I1131" i="61"/>
  <c r="I547" i="61"/>
  <c r="I589" i="61"/>
  <c r="I776" i="61"/>
  <c r="I842" i="61"/>
  <c r="I907" i="61"/>
  <c r="I937" i="61"/>
  <c r="I1096" i="61"/>
  <c r="I1105" i="61"/>
  <c r="I594" i="61"/>
  <c r="I628" i="61"/>
  <c r="I686" i="61"/>
  <c r="I825" i="61"/>
  <c r="I864" i="61"/>
  <c r="I980" i="61"/>
  <c r="I1016" i="61"/>
  <c r="I1088" i="61"/>
  <c r="I1098" i="61"/>
  <c r="I1157" i="61"/>
  <c r="I429" i="61"/>
  <c r="I714" i="61"/>
  <c r="I829" i="61"/>
  <c r="I869" i="61"/>
  <c r="I883" i="61"/>
  <c r="I928" i="61"/>
  <c r="I996" i="61"/>
  <c r="I1008" i="61"/>
  <c r="I1070" i="61"/>
  <c r="I1080" i="61"/>
  <c r="I1090" i="61"/>
  <c r="I1117" i="61"/>
  <c r="I1135" i="61"/>
  <c r="I1151" i="61"/>
  <c r="I490" i="61"/>
  <c r="I564" i="61"/>
  <c r="I638" i="61"/>
  <c r="I692" i="61"/>
  <c r="I740" i="61"/>
  <c r="I762" i="61"/>
  <c r="I809" i="61"/>
  <c r="I944" i="61"/>
  <c r="I957" i="61"/>
  <c r="I971" i="61"/>
  <c r="I1100" i="61"/>
  <c r="I1127" i="61"/>
  <c r="I1144" i="61"/>
  <c r="I632" i="61"/>
  <c r="I897" i="61"/>
  <c r="I1028" i="61"/>
  <c r="I1158" i="61"/>
  <c r="I693" i="61"/>
  <c r="I788" i="61"/>
  <c r="I832" i="61"/>
  <c r="I900" i="61"/>
  <c r="I984" i="61"/>
  <c r="I1009" i="61"/>
  <c r="I1030" i="61"/>
  <c r="I1051" i="61"/>
  <c r="I1072" i="61"/>
  <c r="I493" i="61"/>
  <c r="I932" i="61"/>
  <c r="I960" i="61"/>
  <c r="I794" i="61"/>
  <c r="I873" i="61"/>
  <c r="I904" i="61"/>
  <c r="I1012" i="61"/>
  <c r="I1033" i="61"/>
  <c r="I1146" i="61"/>
  <c r="I702" i="61"/>
  <c r="I1074" i="61"/>
  <c r="I1094" i="61"/>
  <c r="I1112" i="61"/>
  <c r="I707" i="61"/>
  <c r="I1015" i="61"/>
  <c r="I1036" i="61"/>
  <c r="I1057" i="61"/>
  <c r="I1115" i="61"/>
  <c r="I1148" i="61"/>
  <c r="I591" i="61"/>
  <c r="I660" i="61"/>
  <c r="I708" i="61"/>
  <c r="I757" i="61"/>
  <c r="I845" i="61"/>
  <c r="I880" i="61"/>
  <c r="I966" i="61"/>
  <c r="I992" i="61"/>
  <c r="I1097" i="61"/>
  <c r="I1133" i="61"/>
  <c r="I422" i="61"/>
  <c r="I518" i="61"/>
  <c r="I595" i="61"/>
  <c r="I663" i="61"/>
  <c r="I709" i="61"/>
  <c r="I912" i="61"/>
  <c r="I993" i="61"/>
  <c r="I1058" i="61"/>
  <c r="I1079" i="61"/>
  <c r="I1134" i="61"/>
  <c r="I1150" i="61"/>
  <c r="I523" i="61"/>
  <c r="I760" i="61"/>
  <c r="I847" i="61"/>
  <c r="I942" i="61"/>
  <c r="I1017" i="61"/>
  <c r="I1099" i="61"/>
  <c r="I436" i="61"/>
  <c r="I531" i="61"/>
  <c r="I607" i="61"/>
  <c r="I671" i="61"/>
  <c r="I719" i="61"/>
  <c r="I915" i="61"/>
  <c r="I972" i="61"/>
  <c r="I998" i="61"/>
  <c r="I1083" i="61"/>
  <c r="I1152" i="61"/>
  <c r="I541" i="61"/>
  <c r="I816" i="61"/>
  <c r="I676" i="61"/>
  <c r="I817" i="61"/>
  <c r="I948" i="61"/>
  <c r="I1064" i="61"/>
  <c r="I1139" i="61"/>
  <c r="I682" i="61"/>
  <c r="I777" i="61"/>
  <c r="I893" i="61"/>
  <c r="I979" i="61"/>
  <c r="I1004" i="61"/>
  <c r="I1026" i="61"/>
  <c r="I1046" i="61"/>
  <c r="I1067" i="61"/>
  <c r="I530" i="61"/>
  <c r="I955" i="61"/>
  <c r="I1048" i="61"/>
  <c r="I1062" i="61"/>
  <c r="I1136" i="61"/>
  <c r="I974" i="61"/>
  <c r="I1141" i="61"/>
  <c r="I865" i="61"/>
  <c r="I981" i="61"/>
  <c r="I1069" i="61"/>
  <c r="I1142" i="61"/>
  <c r="I885" i="61"/>
  <c r="I1081" i="61"/>
  <c r="I1084" i="61"/>
  <c r="I1020" i="61"/>
  <c r="I1022" i="61"/>
  <c r="I1103" i="61"/>
  <c r="I925" i="61"/>
  <c r="I1106" i="61"/>
  <c r="I779" i="61"/>
  <c r="I784" i="61"/>
  <c r="I1006" i="61"/>
  <c r="I1041" i="61"/>
  <c r="I1121" i="61"/>
  <c r="I763" i="61"/>
  <c r="E1116" i="61"/>
  <c r="E1103" i="61"/>
  <c r="E1051" i="61"/>
  <c r="E1007" i="61"/>
  <c r="E863" i="61"/>
  <c r="E747" i="61"/>
  <c r="E726" i="61"/>
  <c r="E603" i="61"/>
  <c r="E505" i="61"/>
  <c r="J405" i="61"/>
  <c r="J421" i="61"/>
  <c r="J437" i="61"/>
  <c r="J453" i="61"/>
  <c r="J469" i="61"/>
  <c r="J485" i="61"/>
  <c r="J406" i="61"/>
  <c r="J422" i="61"/>
  <c r="J438" i="61"/>
  <c r="J454" i="61"/>
  <c r="J470" i="61"/>
  <c r="J486" i="61"/>
  <c r="J396" i="61"/>
  <c r="J412" i="61"/>
  <c r="J428" i="61"/>
  <c r="J444" i="61"/>
  <c r="J460" i="61"/>
  <c r="J476" i="61"/>
  <c r="J492" i="61"/>
  <c r="J407" i="61"/>
  <c r="J423" i="61"/>
  <c r="J439" i="61"/>
  <c r="J455" i="61"/>
  <c r="J471" i="61"/>
  <c r="J487" i="61"/>
  <c r="J397" i="61"/>
  <c r="J425" i="61"/>
  <c r="J432" i="61"/>
  <c r="J461" i="61"/>
  <c r="J489" i="61"/>
  <c r="J506" i="61"/>
  <c r="J413" i="61"/>
  <c r="J441" i="61"/>
  <c r="J448" i="61"/>
  <c r="J477" i="61"/>
  <c r="J502" i="61"/>
  <c r="J420" i="61"/>
  <c r="J427" i="61"/>
  <c r="J456" i="61"/>
  <c r="J484" i="61"/>
  <c r="J491" i="61"/>
  <c r="J497" i="61"/>
  <c r="J399" i="61"/>
  <c r="J435" i="61"/>
  <c r="J449" i="61"/>
  <c r="J463" i="61"/>
  <c r="J508" i="61"/>
  <c r="J394" i="61"/>
  <c r="J402" i="61"/>
  <c r="J430" i="61"/>
  <c r="J458" i="61"/>
  <c r="J466" i="61"/>
  <c r="J499" i="61"/>
  <c r="J490" i="61"/>
  <c r="J400" i="61"/>
  <c r="J493" i="61"/>
  <c r="J410" i="61"/>
  <c r="J431" i="61"/>
  <c r="J442" i="61"/>
  <c r="J452" i="61"/>
  <c r="J462" i="61"/>
  <c r="J473" i="61"/>
  <c r="J483" i="61"/>
  <c r="J501" i="61"/>
  <c r="J509" i="61"/>
  <c r="J443" i="61"/>
  <c r="J464" i="61"/>
  <c r="J510" i="61"/>
  <c r="J415" i="61"/>
  <c r="J436" i="61"/>
  <c r="J446" i="61"/>
  <c r="J457" i="61"/>
  <c r="J467" i="61"/>
  <c r="J478" i="61"/>
  <c r="J488" i="61"/>
  <c r="J512" i="61"/>
  <c r="J418" i="61"/>
  <c r="J434" i="61"/>
  <c r="J494" i="61"/>
  <c r="J505" i="61"/>
  <c r="J404" i="61"/>
  <c r="J419" i="61"/>
  <c r="J450" i="61"/>
  <c r="J393" i="61"/>
  <c r="J482" i="61"/>
  <c r="J496" i="61"/>
  <c r="J507" i="61"/>
  <c r="J395" i="61"/>
  <c r="J440" i="61"/>
  <c r="J411" i="61"/>
  <c r="J426" i="61"/>
  <c r="J398" i="61"/>
  <c r="J429" i="61"/>
  <c r="J445" i="61"/>
  <c r="J474" i="61"/>
  <c r="J479" i="61"/>
  <c r="J414" i="61"/>
  <c r="J465" i="61"/>
  <c r="J504" i="61"/>
  <c r="J416" i="61"/>
  <c r="J424" i="61"/>
  <c r="J511" i="61"/>
  <c r="J401" i="61"/>
  <c r="J475" i="61"/>
  <c r="J503" i="61"/>
  <c r="J403" i="61"/>
  <c r="J417" i="61"/>
  <c r="J495" i="61"/>
  <c r="J447" i="61"/>
  <c r="J459" i="61"/>
  <c r="J472" i="61"/>
  <c r="J481" i="61"/>
  <c r="J480" i="61"/>
  <c r="J498" i="61"/>
  <c r="J500" i="61"/>
  <c r="J408" i="61"/>
  <c r="J409" i="61"/>
  <c r="J451" i="61"/>
  <c r="J468" i="61"/>
  <c r="J433" i="61"/>
  <c r="F1094" i="61"/>
  <c r="F1078" i="61"/>
  <c r="E912" i="61"/>
  <c r="E861" i="61"/>
  <c r="E772" i="61"/>
  <c r="E745" i="61"/>
  <c r="E723" i="61"/>
  <c r="E11" i="61"/>
  <c r="E15" i="61"/>
  <c r="E19" i="61"/>
  <c r="E23" i="61"/>
  <c r="E27" i="61"/>
  <c r="E31" i="61"/>
  <c r="E35" i="61"/>
  <c r="E39" i="61"/>
  <c r="E43" i="61"/>
  <c r="E47" i="61"/>
  <c r="E51" i="61"/>
  <c r="E55" i="61"/>
  <c r="E59" i="61"/>
  <c r="E63" i="61"/>
  <c r="E67" i="61"/>
  <c r="E71" i="61"/>
  <c r="E75" i="61"/>
  <c r="E79" i="61"/>
  <c r="E83" i="61"/>
  <c r="E87" i="61"/>
  <c r="E91" i="61"/>
  <c r="E95" i="61"/>
  <c r="E99" i="61"/>
  <c r="E103" i="61"/>
  <c r="E107" i="61"/>
  <c r="E111" i="61"/>
  <c r="E115" i="61"/>
  <c r="E119" i="61"/>
  <c r="E123" i="61"/>
  <c r="E127" i="61"/>
  <c r="E8" i="61"/>
  <c r="E12" i="61"/>
  <c r="E16" i="61"/>
  <c r="E20" i="61"/>
  <c r="E24" i="61"/>
  <c r="E28" i="61"/>
  <c r="E32" i="61"/>
  <c r="E36" i="61"/>
  <c r="E40" i="61"/>
  <c r="E44" i="61"/>
  <c r="E48" i="61"/>
  <c r="E52" i="61"/>
  <c r="E56" i="61"/>
  <c r="E60" i="61"/>
  <c r="E64" i="61"/>
  <c r="E68" i="61"/>
  <c r="E72" i="61"/>
  <c r="E76" i="61"/>
  <c r="E80" i="61"/>
  <c r="E17" i="61"/>
  <c r="E46" i="61"/>
  <c r="E81" i="61"/>
  <c r="E90" i="61"/>
  <c r="E113" i="61"/>
  <c r="E122" i="61"/>
  <c r="E29" i="61"/>
  <c r="E58" i="61"/>
  <c r="E104" i="61"/>
  <c r="E131" i="61"/>
  <c r="E135" i="61"/>
  <c r="E139" i="61"/>
  <c r="E143" i="61"/>
  <c r="E147" i="61"/>
  <c r="E151" i="61"/>
  <c r="E155" i="61"/>
  <c r="E159" i="61"/>
  <c r="E163" i="61"/>
  <c r="E167" i="61"/>
  <c r="E171" i="61"/>
  <c r="E175" i="61"/>
  <c r="E179" i="61"/>
  <c r="E183" i="61"/>
  <c r="E187" i="61"/>
  <c r="E191" i="61"/>
  <c r="E195" i="61"/>
  <c r="E199" i="61"/>
  <c r="E30" i="61"/>
  <c r="E65" i="61"/>
  <c r="E82" i="61"/>
  <c r="E105" i="61"/>
  <c r="E114" i="61"/>
  <c r="E13" i="61"/>
  <c r="E42" i="61"/>
  <c r="E77" i="61"/>
  <c r="E96" i="61"/>
  <c r="E128" i="61"/>
  <c r="E132" i="61"/>
  <c r="E136" i="61"/>
  <c r="E140" i="61"/>
  <c r="E144" i="61"/>
  <c r="E148" i="61"/>
  <c r="E152" i="61"/>
  <c r="E156" i="61"/>
  <c r="E160" i="61"/>
  <c r="E164" i="61"/>
  <c r="E25" i="61"/>
  <c r="E54" i="61"/>
  <c r="E101" i="61"/>
  <c r="E110" i="61"/>
  <c r="E26" i="61"/>
  <c r="E61" i="61"/>
  <c r="E88" i="61"/>
  <c r="E120" i="61"/>
  <c r="E129" i="61"/>
  <c r="E133" i="61"/>
  <c r="E137" i="61"/>
  <c r="E141" i="61"/>
  <c r="E145" i="61"/>
  <c r="E149" i="61"/>
  <c r="E153" i="61"/>
  <c r="E157" i="61"/>
  <c r="E161" i="61"/>
  <c r="E165" i="61"/>
  <c r="E169" i="61"/>
  <c r="E173" i="61"/>
  <c r="E177" i="61"/>
  <c r="E181" i="61"/>
  <c r="E185" i="61"/>
  <c r="E189" i="61"/>
  <c r="E193" i="61"/>
  <c r="E197" i="61"/>
  <c r="E201" i="61"/>
  <c r="E33" i="61"/>
  <c r="E62" i="61"/>
  <c r="E89" i="61"/>
  <c r="E98" i="61"/>
  <c r="E121" i="61"/>
  <c r="E10" i="61"/>
  <c r="E45" i="61"/>
  <c r="E74" i="61"/>
  <c r="E50" i="61"/>
  <c r="E84" i="61"/>
  <c r="E142" i="61"/>
  <c r="E218" i="61"/>
  <c r="E222" i="61"/>
  <c r="E226" i="61"/>
  <c r="E230" i="61"/>
  <c r="E234" i="61"/>
  <c r="E85" i="61"/>
  <c r="E94" i="61"/>
  <c r="E112" i="61"/>
  <c r="E180" i="61"/>
  <c r="E196" i="61"/>
  <c r="E214" i="61"/>
  <c r="E150" i="61"/>
  <c r="E210" i="61"/>
  <c r="E66" i="61"/>
  <c r="E130" i="61"/>
  <c r="E176" i="61"/>
  <c r="E192" i="61"/>
  <c r="E211" i="61"/>
  <c r="E78" i="61"/>
  <c r="E97" i="61"/>
  <c r="E106" i="61"/>
  <c r="E207" i="61"/>
  <c r="E9" i="61"/>
  <c r="E138" i="61"/>
  <c r="E166" i="61"/>
  <c r="E182" i="61"/>
  <c r="E198" i="61"/>
  <c r="E203" i="61"/>
  <c r="E240" i="61"/>
  <c r="E244" i="61"/>
  <c r="E248" i="61"/>
  <c r="E252" i="61"/>
  <c r="E256" i="61"/>
  <c r="E260" i="61"/>
  <c r="E264" i="61"/>
  <c r="E268" i="61"/>
  <c r="E272" i="61"/>
  <c r="E276" i="61"/>
  <c r="E280" i="61"/>
  <c r="E284" i="61"/>
  <c r="E288" i="61"/>
  <c r="E292" i="61"/>
  <c r="E296" i="61"/>
  <c r="E300" i="61"/>
  <c r="E21" i="61"/>
  <c r="E124" i="61"/>
  <c r="E216" i="61"/>
  <c r="E220" i="61"/>
  <c r="E224" i="61"/>
  <c r="E228" i="61"/>
  <c r="E232" i="61"/>
  <c r="E34" i="61"/>
  <c r="E69" i="61"/>
  <c r="E108" i="61"/>
  <c r="E125" i="61"/>
  <c r="E208" i="61"/>
  <c r="E37" i="61"/>
  <c r="E92" i="61"/>
  <c r="E118" i="61"/>
  <c r="E126" i="61"/>
  <c r="E162" i="61"/>
  <c r="E168" i="61"/>
  <c r="E184" i="61"/>
  <c r="E200" i="61"/>
  <c r="E213" i="61"/>
  <c r="E18" i="61"/>
  <c r="E73" i="61"/>
  <c r="E117" i="61"/>
  <c r="E134" i="61"/>
  <c r="E190" i="61"/>
  <c r="E241" i="61"/>
  <c r="E285" i="61"/>
  <c r="E294" i="61"/>
  <c r="E22" i="61"/>
  <c r="E49" i="61"/>
  <c r="E202" i="61"/>
  <c r="E209" i="61"/>
  <c r="E246" i="61"/>
  <c r="E251" i="61"/>
  <c r="E261" i="61"/>
  <c r="E266" i="61"/>
  <c r="E271" i="61"/>
  <c r="E281" i="61"/>
  <c r="E100" i="61"/>
  <c r="E154" i="61"/>
  <c r="E217" i="61"/>
  <c r="E223" i="61"/>
  <c r="E53" i="61"/>
  <c r="E194" i="61"/>
  <c r="E204" i="61"/>
  <c r="E229" i="61"/>
  <c r="E242" i="61"/>
  <c r="E247" i="61"/>
  <c r="E257" i="61"/>
  <c r="E286" i="61"/>
  <c r="E295" i="61"/>
  <c r="E57" i="61"/>
  <c r="E102" i="61"/>
  <c r="E170" i="61"/>
  <c r="E262" i="61"/>
  <c r="E267" i="61"/>
  <c r="E277" i="61"/>
  <c r="E282" i="61"/>
  <c r="E291" i="61"/>
  <c r="E172" i="61"/>
  <c r="E212" i="61"/>
  <c r="E243" i="61"/>
  <c r="E253" i="61"/>
  <c r="E86" i="61"/>
  <c r="E158" i="61"/>
  <c r="E205" i="61"/>
  <c r="E219" i="61"/>
  <c r="E258" i="61"/>
  <c r="E263" i="61"/>
  <c r="E273" i="61"/>
  <c r="E287" i="61"/>
  <c r="E301" i="61"/>
  <c r="E186" i="61"/>
  <c r="E206" i="61"/>
  <c r="E249" i="61"/>
  <c r="E283" i="61"/>
  <c r="E297" i="61"/>
  <c r="E38" i="61"/>
  <c r="E146" i="61"/>
  <c r="E174" i="61"/>
  <c r="E254" i="61"/>
  <c r="E259" i="61"/>
  <c r="E269" i="61"/>
  <c r="E41" i="61"/>
  <c r="E188" i="61"/>
  <c r="E274" i="61"/>
  <c r="E279" i="61"/>
  <c r="E293" i="61"/>
  <c r="E14" i="61"/>
  <c r="E231" i="61"/>
  <c r="E270" i="61"/>
  <c r="E290" i="61"/>
  <c r="E116" i="61"/>
  <c r="E178" i="61"/>
  <c r="E225" i="61"/>
  <c r="E250" i="61"/>
  <c r="E278" i="61"/>
  <c r="E298" i="61"/>
  <c r="E265" i="61"/>
  <c r="E233" i="61"/>
  <c r="E245" i="61"/>
  <c r="E70" i="61"/>
  <c r="E227" i="61"/>
  <c r="E299" i="61"/>
  <c r="E221" i="61"/>
  <c r="E93" i="61"/>
  <c r="E215" i="61"/>
  <c r="E255" i="61"/>
  <c r="E109" i="61"/>
  <c r="E289" i="61"/>
  <c r="E275" i="61"/>
  <c r="E3" i="61"/>
  <c r="D10" i="61"/>
  <c r="D14" i="61"/>
  <c r="D18" i="61"/>
  <c r="D22" i="61"/>
  <c r="D26" i="61"/>
  <c r="D30" i="61"/>
  <c r="D34" i="61"/>
  <c r="D38" i="61"/>
  <c r="D42" i="61"/>
  <c r="D46" i="61"/>
  <c r="D50" i="61"/>
  <c r="D54" i="61"/>
  <c r="D58" i="61"/>
  <c r="D62" i="61"/>
  <c r="D66" i="61"/>
  <c r="D70" i="61"/>
  <c r="D74" i="61"/>
  <c r="D78" i="61"/>
  <c r="D11" i="61"/>
  <c r="D29" i="61"/>
  <c r="D40" i="61"/>
  <c r="D75" i="61"/>
  <c r="D104" i="61"/>
  <c r="D131" i="61"/>
  <c r="D135" i="61"/>
  <c r="D139" i="61"/>
  <c r="D143" i="61"/>
  <c r="D147" i="61"/>
  <c r="D151" i="61"/>
  <c r="D155" i="61"/>
  <c r="D159" i="61"/>
  <c r="D163" i="61"/>
  <c r="D167" i="61"/>
  <c r="D171" i="61"/>
  <c r="D175" i="61"/>
  <c r="D179" i="61"/>
  <c r="D183" i="61"/>
  <c r="D187" i="61"/>
  <c r="D191" i="61"/>
  <c r="D195" i="61"/>
  <c r="D199" i="61"/>
  <c r="D203" i="61"/>
  <c r="D207" i="61"/>
  <c r="D211" i="61"/>
  <c r="D23" i="61"/>
  <c r="D41" i="61"/>
  <c r="D52" i="61"/>
  <c r="D86" i="61"/>
  <c r="D95" i="61"/>
  <c r="D109" i="61"/>
  <c r="D118" i="61"/>
  <c r="D127" i="61"/>
  <c r="D13" i="61"/>
  <c r="D24" i="61"/>
  <c r="D59" i="61"/>
  <c r="D77" i="61"/>
  <c r="D96" i="61"/>
  <c r="D128" i="61"/>
  <c r="D132" i="61"/>
  <c r="D136" i="61"/>
  <c r="D140" i="61"/>
  <c r="D144" i="61"/>
  <c r="D148" i="61"/>
  <c r="D152" i="61"/>
  <c r="D156" i="61"/>
  <c r="D160" i="61"/>
  <c r="D25" i="61"/>
  <c r="D36" i="61"/>
  <c r="D71" i="61"/>
  <c r="D87" i="61"/>
  <c r="D101" i="61"/>
  <c r="D110" i="61"/>
  <c r="D119" i="61"/>
  <c r="D19" i="61"/>
  <c r="D37" i="61"/>
  <c r="D48" i="61"/>
  <c r="D92" i="61"/>
  <c r="D124" i="61"/>
  <c r="D9" i="61"/>
  <c r="D20" i="61"/>
  <c r="D55" i="61"/>
  <c r="D73" i="61"/>
  <c r="D93" i="61"/>
  <c r="D102" i="61"/>
  <c r="D111" i="61"/>
  <c r="D125" i="61"/>
  <c r="D27" i="61"/>
  <c r="D45" i="61"/>
  <c r="D56" i="61"/>
  <c r="D112" i="61"/>
  <c r="D130" i="61"/>
  <c r="D134" i="61"/>
  <c r="D138" i="61"/>
  <c r="D142" i="61"/>
  <c r="D146" i="61"/>
  <c r="D150" i="61"/>
  <c r="D154" i="61"/>
  <c r="D158" i="61"/>
  <c r="D162" i="61"/>
  <c r="D166" i="61"/>
  <c r="D39" i="61"/>
  <c r="D57" i="61"/>
  <c r="D68" i="61"/>
  <c r="D85" i="61"/>
  <c r="D94" i="61"/>
  <c r="D103" i="61"/>
  <c r="D15" i="61"/>
  <c r="D120" i="61"/>
  <c r="D180" i="61"/>
  <c r="D196" i="61"/>
  <c r="D201" i="61"/>
  <c r="D214" i="61"/>
  <c r="D16" i="61"/>
  <c r="D51" i="61"/>
  <c r="D157" i="61"/>
  <c r="D210" i="61"/>
  <c r="D17" i="61"/>
  <c r="D28" i="61"/>
  <c r="D63" i="61"/>
  <c r="D121" i="61"/>
  <c r="D129" i="61"/>
  <c r="D164" i="61"/>
  <c r="D170" i="61"/>
  <c r="D186" i="61"/>
  <c r="D206" i="61"/>
  <c r="D31" i="61"/>
  <c r="D97" i="61"/>
  <c r="D106" i="61"/>
  <c r="D114" i="61"/>
  <c r="D122" i="61"/>
  <c r="D8" i="61"/>
  <c r="D43" i="61"/>
  <c r="D88" i="61"/>
  <c r="D115" i="61"/>
  <c r="D145" i="61"/>
  <c r="D182" i="61"/>
  <c r="D198" i="61"/>
  <c r="D21" i="61"/>
  <c r="D32" i="61"/>
  <c r="D67" i="61"/>
  <c r="D123" i="61"/>
  <c r="D177" i="61"/>
  <c r="D193" i="61"/>
  <c r="D33" i="61"/>
  <c r="D44" i="61"/>
  <c r="D79" i="61"/>
  <c r="D89" i="61"/>
  <c r="D98" i="61"/>
  <c r="D107" i="61"/>
  <c r="D116" i="61"/>
  <c r="D153" i="61"/>
  <c r="D172" i="61"/>
  <c r="D188" i="61"/>
  <c r="D212" i="61"/>
  <c r="D81" i="61"/>
  <c r="D90" i="61"/>
  <c r="D99" i="61"/>
  <c r="D117" i="61"/>
  <c r="D161" i="61"/>
  <c r="D178" i="61"/>
  <c r="D194" i="61"/>
  <c r="D204" i="61"/>
  <c r="D12" i="61"/>
  <c r="D49" i="61"/>
  <c r="D60" i="61"/>
  <c r="D83" i="61"/>
  <c r="D141" i="61"/>
  <c r="D209" i="61"/>
  <c r="D47" i="61"/>
  <c r="D202" i="61"/>
  <c r="D76" i="61"/>
  <c r="D100" i="61"/>
  <c r="D168" i="61"/>
  <c r="D192" i="61"/>
  <c r="D53" i="61"/>
  <c r="D80" i="61"/>
  <c r="D137" i="61"/>
  <c r="D181" i="61"/>
  <c r="D169" i="61"/>
  <c r="D82" i="61"/>
  <c r="D84" i="61"/>
  <c r="D105" i="61"/>
  <c r="D184" i="61"/>
  <c r="D205" i="61"/>
  <c r="D35" i="61"/>
  <c r="D61" i="61"/>
  <c r="D108" i="61"/>
  <c r="D126" i="61"/>
  <c r="D173" i="61"/>
  <c r="D197" i="61"/>
  <c r="D64" i="61"/>
  <c r="D174" i="61"/>
  <c r="D65" i="61"/>
  <c r="D69" i="61"/>
  <c r="D91" i="61"/>
  <c r="D200" i="61"/>
  <c r="D185" i="61"/>
  <c r="D208" i="61"/>
  <c r="D189" i="61"/>
  <c r="D133" i="61"/>
  <c r="D190" i="61"/>
  <c r="D72" i="61"/>
  <c r="D149" i="61"/>
  <c r="D213" i="61"/>
  <c r="D165" i="61"/>
  <c r="D113" i="61"/>
  <c r="D176" i="61"/>
  <c r="H236" i="61"/>
  <c r="J236" i="61"/>
  <c r="I236" i="61"/>
  <c r="D236" i="61"/>
  <c r="E236" i="61"/>
  <c r="F236" i="61"/>
  <c r="F1152" i="61"/>
  <c r="F1147" i="61"/>
  <c r="F1114" i="61"/>
  <c r="F1107" i="61"/>
  <c r="F1071" i="61"/>
  <c r="F1056" i="61"/>
  <c r="F1042" i="61"/>
  <c r="E1035" i="61"/>
  <c r="E1027" i="61"/>
  <c r="E1019" i="61"/>
  <c r="E1011" i="61"/>
  <c r="E959" i="61"/>
  <c r="E833" i="61"/>
  <c r="E825" i="61"/>
  <c r="E816" i="61"/>
  <c r="E780" i="61"/>
  <c r="E680" i="61"/>
  <c r="E657" i="61"/>
  <c r="F8" i="61"/>
  <c r="F12" i="61"/>
  <c r="F16" i="61"/>
  <c r="F20" i="61"/>
  <c r="F24" i="61"/>
  <c r="F28" i="61"/>
  <c r="F32" i="61"/>
  <c r="F36" i="61"/>
  <c r="F40" i="61"/>
  <c r="F44" i="61"/>
  <c r="F48" i="61"/>
  <c r="F52" i="61"/>
  <c r="F56" i="61"/>
  <c r="F60" i="61"/>
  <c r="F64" i="61"/>
  <c r="F68" i="61"/>
  <c r="F72" i="61"/>
  <c r="F76" i="61"/>
  <c r="F80" i="61"/>
  <c r="F34" i="61"/>
  <c r="F63" i="61"/>
  <c r="F69" i="61"/>
  <c r="F99" i="61"/>
  <c r="F108" i="61"/>
  <c r="F11" i="61"/>
  <c r="F17" i="61"/>
  <c r="F46" i="61"/>
  <c r="F75" i="61"/>
  <c r="F81" i="61"/>
  <c r="F90" i="61"/>
  <c r="F113" i="61"/>
  <c r="F122" i="61"/>
  <c r="F18" i="61"/>
  <c r="F47" i="61"/>
  <c r="F53" i="61"/>
  <c r="F91" i="61"/>
  <c r="F100" i="61"/>
  <c r="F123" i="61"/>
  <c r="F30" i="61"/>
  <c r="F59" i="61"/>
  <c r="F65" i="61"/>
  <c r="F82" i="61"/>
  <c r="F105" i="61"/>
  <c r="F114" i="61"/>
  <c r="F13" i="61"/>
  <c r="F42" i="61"/>
  <c r="F71" i="61"/>
  <c r="F77" i="61"/>
  <c r="F87" i="61"/>
  <c r="F96" i="61"/>
  <c r="F119" i="61"/>
  <c r="F128" i="61"/>
  <c r="F132" i="61"/>
  <c r="F136" i="61"/>
  <c r="F140" i="61"/>
  <c r="F144" i="61"/>
  <c r="F148" i="61"/>
  <c r="F152" i="61"/>
  <c r="F156" i="61"/>
  <c r="F160" i="61"/>
  <c r="F164" i="61"/>
  <c r="F168" i="61"/>
  <c r="F172" i="61"/>
  <c r="F176" i="61"/>
  <c r="F180" i="61"/>
  <c r="F184" i="61"/>
  <c r="F188" i="61"/>
  <c r="F192" i="61"/>
  <c r="F196" i="61"/>
  <c r="F14" i="61"/>
  <c r="F43" i="61"/>
  <c r="F49" i="61"/>
  <c r="F78" i="61"/>
  <c r="F97" i="61"/>
  <c r="F106" i="61"/>
  <c r="F15" i="61"/>
  <c r="F21" i="61"/>
  <c r="F50" i="61"/>
  <c r="F79" i="61"/>
  <c r="F84" i="61"/>
  <c r="F107" i="61"/>
  <c r="F116" i="61"/>
  <c r="F27" i="61"/>
  <c r="F33" i="61"/>
  <c r="F62" i="61"/>
  <c r="F89" i="61"/>
  <c r="F98" i="61"/>
  <c r="F38" i="61"/>
  <c r="F73" i="61"/>
  <c r="F93" i="61"/>
  <c r="F102" i="61"/>
  <c r="F149" i="61"/>
  <c r="F163" i="61"/>
  <c r="F169" i="61"/>
  <c r="F174" i="61"/>
  <c r="F185" i="61"/>
  <c r="F190" i="61"/>
  <c r="F205" i="61"/>
  <c r="F242" i="61"/>
  <c r="F246" i="61"/>
  <c r="F250" i="61"/>
  <c r="F254" i="61"/>
  <c r="F258" i="61"/>
  <c r="F262" i="61"/>
  <c r="F266" i="61"/>
  <c r="F270" i="61"/>
  <c r="F274" i="61"/>
  <c r="F278" i="61"/>
  <c r="F39" i="61"/>
  <c r="F74" i="61"/>
  <c r="F103" i="61"/>
  <c r="F120" i="61"/>
  <c r="F135" i="61"/>
  <c r="F142" i="61"/>
  <c r="F201" i="61"/>
  <c r="F218" i="61"/>
  <c r="F222" i="61"/>
  <c r="F226" i="61"/>
  <c r="F230" i="61"/>
  <c r="F234" i="61"/>
  <c r="F51" i="61"/>
  <c r="F85" i="61"/>
  <c r="F94" i="61"/>
  <c r="F112" i="61"/>
  <c r="F157" i="61"/>
  <c r="F175" i="61"/>
  <c r="F191" i="61"/>
  <c r="F214" i="61"/>
  <c r="F19" i="61"/>
  <c r="F54" i="61"/>
  <c r="F137" i="61"/>
  <c r="F151" i="61"/>
  <c r="F158" i="61"/>
  <c r="F165" i="61"/>
  <c r="F202" i="61"/>
  <c r="F215" i="61"/>
  <c r="F219" i="61"/>
  <c r="F223" i="61"/>
  <c r="F227" i="61"/>
  <c r="F231" i="61"/>
  <c r="F31" i="61"/>
  <c r="F66" i="61"/>
  <c r="F130" i="61"/>
  <c r="F171" i="61"/>
  <c r="F187" i="61"/>
  <c r="F211" i="61"/>
  <c r="F55" i="61"/>
  <c r="F88" i="61"/>
  <c r="F115" i="61"/>
  <c r="F145" i="61"/>
  <c r="F159" i="61"/>
  <c r="F207" i="61"/>
  <c r="F9" i="61"/>
  <c r="F67" i="61"/>
  <c r="F131" i="61"/>
  <c r="F138" i="61"/>
  <c r="F166" i="61"/>
  <c r="F177" i="61"/>
  <c r="F182" i="61"/>
  <c r="F193" i="61"/>
  <c r="F198" i="61"/>
  <c r="F203" i="61"/>
  <c r="F240" i="61"/>
  <c r="F244" i="61"/>
  <c r="F248" i="61"/>
  <c r="F252" i="61"/>
  <c r="F256" i="61"/>
  <c r="F260" i="61"/>
  <c r="F264" i="61"/>
  <c r="F268" i="61"/>
  <c r="F272" i="61"/>
  <c r="F276" i="61"/>
  <c r="F280" i="61"/>
  <c r="F284" i="61"/>
  <c r="F288" i="61"/>
  <c r="F292" i="61"/>
  <c r="F296" i="61"/>
  <c r="F300" i="61"/>
  <c r="F22" i="61"/>
  <c r="F57" i="61"/>
  <c r="F139" i="61"/>
  <c r="F146" i="61"/>
  <c r="F167" i="61"/>
  <c r="F183" i="61"/>
  <c r="F199" i="61"/>
  <c r="F212" i="61"/>
  <c r="F25" i="61"/>
  <c r="F101" i="61"/>
  <c r="F110" i="61"/>
  <c r="F217" i="61"/>
  <c r="F221" i="61"/>
  <c r="F225" i="61"/>
  <c r="F229" i="61"/>
  <c r="F233" i="61"/>
  <c r="F150" i="61"/>
  <c r="F178" i="61"/>
  <c r="F216" i="61"/>
  <c r="F275" i="61"/>
  <c r="F117" i="61"/>
  <c r="F134" i="61"/>
  <c r="F179" i="61"/>
  <c r="F228" i="61"/>
  <c r="F241" i="61"/>
  <c r="F285" i="61"/>
  <c r="F294" i="61"/>
  <c r="F23" i="61"/>
  <c r="F118" i="61"/>
  <c r="F153" i="61"/>
  <c r="F209" i="61"/>
  <c r="F251" i="61"/>
  <c r="F261" i="61"/>
  <c r="F271" i="61"/>
  <c r="F281" i="61"/>
  <c r="F290" i="61"/>
  <c r="F299" i="61"/>
  <c r="F26" i="61"/>
  <c r="F121" i="61"/>
  <c r="F154" i="61"/>
  <c r="F181" i="61"/>
  <c r="F210" i="61"/>
  <c r="F29" i="61"/>
  <c r="F155" i="61"/>
  <c r="F194" i="61"/>
  <c r="F204" i="61"/>
  <c r="F247" i="61"/>
  <c r="F257" i="61"/>
  <c r="F286" i="61"/>
  <c r="F295" i="61"/>
  <c r="F58" i="61"/>
  <c r="F83" i="61"/>
  <c r="F104" i="61"/>
  <c r="F124" i="61"/>
  <c r="F170" i="61"/>
  <c r="F195" i="61"/>
  <c r="F224" i="61"/>
  <c r="F267" i="61"/>
  <c r="F277" i="61"/>
  <c r="F125" i="61"/>
  <c r="F141" i="61"/>
  <c r="F282" i="61"/>
  <c r="F291" i="61"/>
  <c r="F243" i="61"/>
  <c r="F253" i="61"/>
  <c r="F37" i="61"/>
  <c r="F109" i="61"/>
  <c r="F127" i="61"/>
  <c r="F161" i="61"/>
  <c r="F213" i="61"/>
  <c r="F129" i="61"/>
  <c r="F186" i="61"/>
  <c r="F206" i="61"/>
  <c r="F220" i="61"/>
  <c r="F249" i="61"/>
  <c r="F283" i="61"/>
  <c r="F10" i="61"/>
  <c r="F111" i="61"/>
  <c r="F162" i="61"/>
  <c r="F232" i="61"/>
  <c r="F259" i="61"/>
  <c r="F269" i="61"/>
  <c r="F297" i="61"/>
  <c r="F35" i="61"/>
  <c r="F126" i="61"/>
  <c r="F41" i="61"/>
  <c r="F208" i="61"/>
  <c r="F45" i="61"/>
  <c r="F189" i="61"/>
  <c r="F133" i="61"/>
  <c r="F265" i="61"/>
  <c r="F61" i="61"/>
  <c r="F143" i="61"/>
  <c r="F197" i="61"/>
  <c r="F279" i="61"/>
  <c r="F147" i="61"/>
  <c r="F245" i="61"/>
  <c r="F273" i="61"/>
  <c r="F287" i="61"/>
  <c r="F293" i="61"/>
  <c r="F70" i="61"/>
  <c r="F200" i="61"/>
  <c r="F92" i="61"/>
  <c r="F95" i="61"/>
  <c r="F289" i="61"/>
  <c r="F86" i="61"/>
  <c r="F173" i="61"/>
  <c r="D1102" i="61"/>
  <c r="D1096" i="61"/>
  <c r="D1061" i="61"/>
  <c r="D1038" i="61"/>
  <c r="D1032" i="61"/>
  <c r="D997" i="61"/>
  <c r="D974" i="61"/>
  <c r="D968" i="61"/>
  <c r="D933" i="61"/>
  <c r="D895" i="61"/>
  <c r="D803" i="61"/>
  <c r="D771" i="61"/>
  <c r="D739" i="61"/>
  <c r="D646" i="61"/>
  <c r="D611" i="61"/>
  <c r="D574" i="61"/>
  <c r="D484" i="61"/>
  <c r="F301" i="61"/>
  <c r="F263" i="61"/>
  <c r="C9" i="61"/>
  <c r="C13" i="61"/>
  <c r="C17" i="61"/>
  <c r="C21" i="61"/>
  <c r="C25" i="61"/>
  <c r="C29" i="61"/>
  <c r="C33" i="61"/>
  <c r="C37" i="61"/>
  <c r="C41" i="61"/>
  <c r="C45" i="61"/>
  <c r="C49" i="61"/>
  <c r="C53" i="61"/>
  <c r="C57" i="61"/>
  <c r="C61" i="61"/>
  <c r="C65" i="61"/>
  <c r="C69" i="61"/>
  <c r="C73" i="61"/>
  <c r="C77" i="61"/>
  <c r="C81" i="61"/>
  <c r="C85" i="61"/>
  <c r="C89" i="61"/>
  <c r="C93" i="61"/>
  <c r="C97" i="61"/>
  <c r="C101" i="61"/>
  <c r="C105" i="61"/>
  <c r="C109" i="61"/>
  <c r="C113" i="61"/>
  <c r="C117" i="61"/>
  <c r="C121" i="61"/>
  <c r="C125" i="61"/>
  <c r="C23" i="61"/>
  <c r="C52" i="61"/>
  <c r="C58" i="61"/>
  <c r="C86" i="61"/>
  <c r="C95" i="61"/>
  <c r="C118" i="61"/>
  <c r="C127" i="61"/>
  <c r="C35" i="61"/>
  <c r="C64" i="61"/>
  <c r="C70" i="61"/>
  <c r="C100" i="61"/>
  <c r="C36" i="61"/>
  <c r="C42" i="61"/>
  <c r="C71" i="61"/>
  <c r="C87" i="61"/>
  <c r="C110" i="61"/>
  <c r="C119" i="61"/>
  <c r="C19" i="61"/>
  <c r="C48" i="61"/>
  <c r="C54" i="61"/>
  <c r="C92" i="61"/>
  <c r="C124" i="61"/>
  <c r="C31" i="61"/>
  <c r="C60" i="61"/>
  <c r="C66" i="61"/>
  <c r="C83" i="61"/>
  <c r="C106" i="61"/>
  <c r="C115" i="61"/>
  <c r="C32" i="61"/>
  <c r="C38" i="61"/>
  <c r="C67" i="61"/>
  <c r="C84" i="61"/>
  <c r="C116" i="61"/>
  <c r="C10" i="61"/>
  <c r="C39" i="61"/>
  <c r="C68" i="61"/>
  <c r="C74" i="61"/>
  <c r="C94" i="61"/>
  <c r="C103" i="61"/>
  <c r="C126" i="61"/>
  <c r="C16" i="61"/>
  <c r="C22" i="61"/>
  <c r="C51" i="61"/>
  <c r="C80" i="61"/>
  <c r="C108" i="61"/>
  <c r="C27" i="61"/>
  <c r="C62" i="61"/>
  <c r="C112" i="61"/>
  <c r="C128" i="61"/>
  <c r="C135" i="61"/>
  <c r="C157" i="61"/>
  <c r="C28" i="61"/>
  <c r="C63" i="61"/>
  <c r="C129" i="61"/>
  <c r="C150" i="61"/>
  <c r="C164" i="61"/>
  <c r="C170" i="61"/>
  <c r="C175" i="61"/>
  <c r="C186" i="61"/>
  <c r="C191" i="61"/>
  <c r="C40" i="61"/>
  <c r="C75" i="61"/>
  <c r="C104" i="61"/>
  <c r="C136" i="61"/>
  <c r="C143" i="61"/>
  <c r="C181" i="61"/>
  <c r="C197" i="61"/>
  <c r="C18" i="61"/>
  <c r="C8" i="61"/>
  <c r="C43" i="61"/>
  <c r="C78" i="61"/>
  <c r="C88" i="61"/>
  <c r="C145" i="61"/>
  <c r="C171" i="61"/>
  <c r="C182" i="61"/>
  <c r="C187" i="61"/>
  <c r="C198" i="61"/>
  <c r="C20" i="61"/>
  <c r="C55" i="61"/>
  <c r="C123" i="61"/>
  <c r="C138" i="61"/>
  <c r="C152" i="61"/>
  <c r="C159" i="61"/>
  <c r="C166" i="61"/>
  <c r="C177" i="61"/>
  <c r="C193" i="61"/>
  <c r="C44" i="61"/>
  <c r="C79" i="61"/>
  <c r="C98" i="61"/>
  <c r="C107" i="61"/>
  <c r="C131" i="61"/>
  <c r="C153" i="61"/>
  <c r="C172" i="61"/>
  <c r="C188" i="61"/>
  <c r="C56" i="61"/>
  <c r="C146" i="61"/>
  <c r="C160" i="61"/>
  <c r="C11" i="61"/>
  <c r="C46" i="61"/>
  <c r="C133" i="61"/>
  <c r="C154" i="61"/>
  <c r="C173" i="61"/>
  <c r="C189" i="61"/>
  <c r="C24" i="61"/>
  <c r="C14" i="61"/>
  <c r="C72" i="61"/>
  <c r="C134" i="61"/>
  <c r="C148" i="61"/>
  <c r="C155" i="61"/>
  <c r="C174" i="61"/>
  <c r="C179" i="61"/>
  <c r="C190" i="61"/>
  <c r="C195" i="61"/>
  <c r="C96" i="61"/>
  <c r="C167" i="61"/>
  <c r="C76" i="61"/>
  <c r="C99" i="61"/>
  <c r="C151" i="61"/>
  <c r="C168" i="61"/>
  <c r="C192" i="61"/>
  <c r="C50" i="61"/>
  <c r="C137" i="61"/>
  <c r="C180" i="61"/>
  <c r="C26" i="61"/>
  <c r="C120" i="61"/>
  <c r="C169" i="61"/>
  <c r="C194" i="61"/>
  <c r="C82" i="61"/>
  <c r="C102" i="61"/>
  <c r="C139" i="61"/>
  <c r="C122" i="61"/>
  <c r="C140" i="61"/>
  <c r="C183" i="61"/>
  <c r="C30" i="61"/>
  <c r="C141" i="61"/>
  <c r="C156" i="61"/>
  <c r="C184" i="61"/>
  <c r="C34" i="61"/>
  <c r="C59" i="61"/>
  <c r="C158" i="61"/>
  <c r="C196" i="61"/>
  <c r="C142" i="61"/>
  <c r="C185" i="61"/>
  <c r="C90" i="61"/>
  <c r="C144" i="61"/>
  <c r="C91" i="61"/>
  <c r="C111" i="61"/>
  <c r="C162" i="61"/>
  <c r="C130" i="61"/>
  <c r="C147" i="61"/>
  <c r="C176" i="61"/>
  <c r="C114" i="61"/>
  <c r="C178" i="61"/>
  <c r="C15" i="61"/>
  <c r="C132" i="61"/>
  <c r="C47" i="61"/>
  <c r="C149" i="61"/>
  <c r="C163" i="61"/>
  <c r="C165" i="61"/>
  <c r="H239" i="61"/>
  <c r="J239" i="61"/>
  <c r="I239" i="61"/>
  <c r="D239" i="61"/>
  <c r="E239" i="61"/>
  <c r="F239" i="61"/>
  <c r="D1134" i="61"/>
  <c r="D1118" i="61"/>
  <c r="D1089" i="61"/>
  <c r="D1066" i="61"/>
  <c r="D1060" i="61"/>
  <c r="D1025" i="61"/>
  <c r="D1002" i="61"/>
  <c r="D996" i="61"/>
  <c r="D961" i="61"/>
  <c r="D938" i="61"/>
  <c r="D932" i="61"/>
  <c r="D867" i="61"/>
  <c r="D840" i="61"/>
  <c r="D815" i="61"/>
  <c r="D808" i="61"/>
  <c r="D783" i="61"/>
  <c r="D776" i="61"/>
  <c r="D751" i="61"/>
  <c r="D744" i="61"/>
  <c r="D731" i="61"/>
  <c r="D715" i="61"/>
  <c r="D645" i="61"/>
  <c r="D618" i="61"/>
  <c r="D610" i="61"/>
  <c r="D395" i="61"/>
  <c r="D399" i="61"/>
  <c r="D403" i="61"/>
  <c r="D407" i="61"/>
  <c r="D411" i="61"/>
  <c r="D415" i="61"/>
  <c r="D419" i="61"/>
  <c r="D423" i="61"/>
  <c r="D467" i="61"/>
  <c r="D471" i="61"/>
  <c r="D475" i="61"/>
  <c r="D479" i="61"/>
  <c r="D483" i="61"/>
  <c r="D487" i="61"/>
  <c r="D491" i="61"/>
  <c r="D495" i="61"/>
  <c r="D499" i="61"/>
  <c r="D503" i="61"/>
  <c r="D507" i="61"/>
  <c r="D511" i="61"/>
  <c r="D515" i="61"/>
  <c r="D519" i="61"/>
  <c r="D523" i="61"/>
  <c r="D527" i="61"/>
  <c r="D531" i="61"/>
  <c r="D535" i="61"/>
  <c r="D397" i="61"/>
  <c r="D401" i="61"/>
  <c r="D405" i="61"/>
  <c r="D409" i="61"/>
  <c r="D413" i="61"/>
  <c r="D417" i="61"/>
  <c r="D421" i="61"/>
  <c r="D425" i="61"/>
  <c r="D465" i="61"/>
  <c r="D469" i="61"/>
  <c r="D473" i="61"/>
  <c r="D477" i="61"/>
  <c r="D481" i="61"/>
  <c r="D485" i="61"/>
  <c r="D489" i="61"/>
  <c r="D493" i="61"/>
  <c r="D497" i="61"/>
  <c r="D501" i="61"/>
  <c r="D505" i="61"/>
  <c r="D509" i="61"/>
  <c r="D513" i="61"/>
  <c r="D517" i="61"/>
  <c r="D521" i="61"/>
  <c r="D525" i="61"/>
  <c r="D529" i="61"/>
  <c r="D533" i="61"/>
  <c r="D396" i="61"/>
  <c r="D412" i="61"/>
  <c r="D476" i="61"/>
  <c r="D492" i="61"/>
  <c r="D508" i="61"/>
  <c r="D524" i="61"/>
  <c r="D408" i="61"/>
  <c r="D424" i="61"/>
  <c r="D472" i="61"/>
  <c r="D488" i="61"/>
  <c r="D504" i="61"/>
  <c r="D520" i="61"/>
  <c r="D398" i="61"/>
  <c r="D414" i="61"/>
  <c r="D478" i="61"/>
  <c r="D494" i="61"/>
  <c r="D510" i="61"/>
  <c r="D526" i="61"/>
  <c r="D536" i="61"/>
  <c r="D568" i="61"/>
  <c r="D572" i="61"/>
  <c r="D576" i="61"/>
  <c r="D580" i="61"/>
  <c r="D584" i="61"/>
  <c r="D588" i="61"/>
  <c r="D592" i="61"/>
  <c r="D596" i="61"/>
  <c r="D600" i="61"/>
  <c r="D604" i="61"/>
  <c r="D404" i="61"/>
  <c r="D418" i="61"/>
  <c r="D512" i="61"/>
  <c r="D532" i="61"/>
  <c r="D565" i="61"/>
  <c r="D581" i="61"/>
  <c r="D597" i="61"/>
  <c r="D632" i="61"/>
  <c r="D637" i="61"/>
  <c r="D642" i="61"/>
  <c r="D647" i="61"/>
  <c r="D696" i="61"/>
  <c r="D701" i="61"/>
  <c r="D706" i="61"/>
  <c r="D724" i="61"/>
  <c r="D506" i="61"/>
  <c r="D667" i="61"/>
  <c r="D711" i="61"/>
  <c r="D720" i="61"/>
  <c r="D737" i="61"/>
  <c r="D741" i="61"/>
  <c r="D745" i="61"/>
  <c r="D749" i="61"/>
  <c r="D753" i="61"/>
  <c r="D757" i="61"/>
  <c r="D761" i="61"/>
  <c r="D765" i="61"/>
  <c r="D769" i="61"/>
  <c r="D773" i="61"/>
  <c r="D777" i="61"/>
  <c r="D781" i="61"/>
  <c r="D785" i="61"/>
  <c r="D789" i="61"/>
  <c r="D793" i="61"/>
  <c r="D797" i="61"/>
  <c r="D801" i="61"/>
  <c r="D805" i="61"/>
  <c r="D809" i="61"/>
  <c r="D813" i="61"/>
  <c r="D817" i="61"/>
  <c r="D821" i="61"/>
  <c r="D825" i="61"/>
  <c r="D829" i="61"/>
  <c r="D833" i="61"/>
  <c r="D837" i="61"/>
  <c r="D841" i="61"/>
  <c r="D845" i="61"/>
  <c r="D849" i="61"/>
  <c r="D853" i="61"/>
  <c r="D857" i="61"/>
  <c r="D861" i="61"/>
  <c r="D865" i="61"/>
  <c r="D869" i="61"/>
  <c r="D873" i="61"/>
  <c r="D877" i="61"/>
  <c r="D881" i="61"/>
  <c r="D885" i="61"/>
  <c r="D889" i="61"/>
  <c r="D893" i="61"/>
  <c r="D897" i="61"/>
  <c r="D901" i="61"/>
  <c r="D905" i="61"/>
  <c r="D909" i="61"/>
  <c r="D913" i="61"/>
  <c r="D917" i="61"/>
  <c r="D921" i="61"/>
  <c r="D406" i="61"/>
  <c r="D480" i="61"/>
  <c r="D500" i="61"/>
  <c r="D514" i="61"/>
  <c r="D577" i="61"/>
  <c r="D593" i="61"/>
  <c r="D648" i="61"/>
  <c r="D725" i="61"/>
  <c r="D474" i="61"/>
  <c r="D534" i="61"/>
  <c r="D609" i="61"/>
  <c r="D614" i="61"/>
  <c r="D619" i="61"/>
  <c r="D668" i="61"/>
  <c r="D673" i="61"/>
  <c r="D678" i="61"/>
  <c r="D683" i="61"/>
  <c r="D712" i="61"/>
  <c r="D721" i="61"/>
  <c r="D734" i="61"/>
  <c r="D738" i="61"/>
  <c r="D742" i="61"/>
  <c r="D746" i="61"/>
  <c r="D750" i="61"/>
  <c r="D754" i="61"/>
  <c r="D758" i="61"/>
  <c r="D766" i="61"/>
  <c r="D770" i="61"/>
  <c r="D774" i="61"/>
  <c r="D778" i="61"/>
  <c r="D782" i="61"/>
  <c r="D786" i="61"/>
  <c r="D790" i="61"/>
  <c r="D794" i="61"/>
  <c r="D798" i="61"/>
  <c r="D802" i="61"/>
  <c r="D806" i="61"/>
  <c r="D810" i="61"/>
  <c r="D814" i="61"/>
  <c r="D818" i="61"/>
  <c r="D822" i="61"/>
  <c r="D826" i="61"/>
  <c r="D830" i="61"/>
  <c r="D834" i="61"/>
  <c r="D838" i="61"/>
  <c r="D842" i="61"/>
  <c r="D846" i="61"/>
  <c r="D850" i="61"/>
  <c r="D854" i="61"/>
  <c r="D858" i="61"/>
  <c r="D862" i="61"/>
  <c r="D866" i="61"/>
  <c r="D870" i="61"/>
  <c r="D874" i="61"/>
  <c r="D878" i="61"/>
  <c r="D882" i="61"/>
  <c r="D886" i="61"/>
  <c r="D890" i="61"/>
  <c r="D894" i="61"/>
  <c r="D898" i="61"/>
  <c r="D902" i="61"/>
  <c r="D906" i="61"/>
  <c r="D910" i="61"/>
  <c r="D914" i="61"/>
  <c r="D918" i="61"/>
  <c r="D420" i="61"/>
  <c r="D528" i="61"/>
  <c r="D567" i="61"/>
  <c r="D583" i="61"/>
  <c r="D599" i="61"/>
  <c r="D624" i="61"/>
  <c r="D629" i="61"/>
  <c r="D634" i="61"/>
  <c r="D639" i="61"/>
  <c r="D688" i="61"/>
  <c r="D693" i="61"/>
  <c r="D698" i="61"/>
  <c r="D703" i="61"/>
  <c r="D730" i="61"/>
  <c r="D400" i="61"/>
  <c r="D522" i="61"/>
  <c r="D578" i="61"/>
  <c r="D594" i="61"/>
  <c r="D644" i="61"/>
  <c r="D649" i="61"/>
  <c r="D708" i="61"/>
  <c r="D717" i="61"/>
  <c r="D726" i="61"/>
  <c r="D468" i="61"/>
  <c r="D416" i="61"/>
  <c r="D470" i="61"/>
  <c r="D537" i="61"/>
  <c r="D569" i="61"/>
  <c r="D585" i="61"/>
  <c r="D601" i="61"/>
  <c r="D616" i="61"/>
  <c r="D621" i="61"/>
  <c r="D626" i="61"/>
  <c r="D631" i="61"/>
  <c r="D680" i="61"/>
  <c r="D685" i="61"/>
  <c r="D690" i="61"/>
  <c r="D695" i="61"/>
  <c r="D714" i="61"/>
  <c r="D723" i="61"/>
  <c r="D464" i="61"/>
  <c r="D590" i="61"/>
  <c r="D598" i="61"/>
  <c r="D612" i="61"/>
  <c r="D641" i="61"/>
  <c r="D872" i="61"/>
  <c r="D887" i="61"/>
  <c r="D426" i="61"/>
  <c r="D575" i="61"/>
  <c r="D606" i="61"/>
  <c r="D635" i="61"/>
  <c r="D676" i="61"/>
  <c r="D705" i="61"/>
  <c r="D719" i="61"/>
  <c r="D743" i="61"/>
  <c r="D748" i="61"/>
  <c r="D759" i="61"/>
  <c r="D775" i="61"/>
  <c r="D780" i="61"/>
  <c r="D791" i="61"/>
  <c r="D796" i="61"/>
  <c r="D807" i="61"/>
  <c r="D812" i="61"/>
  <c r="D823" i="61"/>
  <c r="D828" i="61"/>
  <c r="D843" i="61"/>
  <c r="D892" i="61"/>
  <c r="D907" i="61"/>
  <c r="D538" i="61"/>
  <c r="D628" i="61"/>
  <c r="D643" i="61"/>
  <c r="D671" i="61"/>
  <c r="D839" i="61"/>
  <c r="D888" i="61"/>
  <c r="D903" i="61"/>
  <c r="D570" i="61"/>
  <c r="D608" i="61"/>
  <c r="D615" i="61"/>
  <c r="D665" i="61"/>
  <c r="D700" i="61"/>
  <c r="D727" i="61"/>
  <c r="D864" i="61"/>
  <c r="D879" i="61"/>
  <c r="D410" i="61"/>
  <c r="D586" i="61"/>
  <c r="D622" i="61"/>
  <c r="D630" i="61"/>
  <c r="D672" i="61"/>
  <c r="D679" i="61"/>
  <c r="D835" i="61"/>
  <c r="D884" i="61"/>
  <c r="D899" i="61"/>
  <c r="D923" i="61"/>
  <c r="D927" i="61"/>
  <c r="D931" i="61"/>
  <c r="D935" i="61"/>
  <c r="D939" i="61"/>
  <c r="D943" i="61"/>
  <c r="D947" i="61"/>
  <c r="D951" i="61"/>
  <c r="D955" i="61"/>
  <c r="D959" i="61"/>
  <c r="D963" i="61"/>
  <c r="D967" i="61"/>
  <c r="D971" i="61"/>
  <c r="D975" i="61"/>
  <c r="D979" i="61"/>
  <c r="D983" i="61"/>
  <c r="D987" i="61"/>
  <c r="D991" i="61"/>
  <c r="D995" i="61"/>
  <c r="D999" i="61"/>
  <c r="D1003" i="61"/>
  <c r="D1007" i="61"/>
  <c r="D1011" i="61"/>
  <c r="D1015" i="61"/>
  <c r="D1019" i="61"/>
  <c r="D1023" i="61"/>
  <c r="D1027" i="61"/>
  <c r="D1031" i="61"/>
  <c r="D1035" i="61"/>
  <c r="D1039" i="61"/>
  <c r="D1043" i="61"/>
  <c r="D1047" i="61"/>
  <c r="D1051" i="61"/>
  <c r="D1055" i="61"/>
  <c r="D1059" i="61"/>
  <c r="D1063" i="61"/>
  <c r="D1067" i="61"/>
  <c r="D1071" i="61"/>
  <c r="D1075" i="61"/>
  <c r="D1079" i="61"/>
  <c r="D1083" i="61"/>
  <c r="D1087" i="61"/>
  <c r="D1091" i="61"/>
  <c r="D1095" i="61"/>
  <c r="D1099" i="61"/>
  <c r="D1103" i="61"/>
  <c r="D1107" i="61"/>
  <c r="D1111" i="61"/>
  <c r="D1115" i="61"/>
  <c r="D1119" i="61"/>
  <c r="D1123" i="61"/>
  <c r="D1127" i="61"/>
  <c r="D1131" i="61"/>
  <c r="D1135" i="61"/>
  <c r="D1139" i="61"/>
  <c r="D490" i="61"/>
  <c r="D516" i="61"/>
  <c r="D573" i="61"/>
  <c r="D617" i="61"/>
  <c r="D710" i="61"/>
  <c r="D856" i="61"/>
  <c r="D871" i="61"/>
  <c r="D920" i="61"/>
  <c r="D1094" i="61"/>
  <c r="D1088" i="61"/>
  <c r="D1053" i="61"/>
  <c r="D1030" i="61"/>
  <c r="D1024" i="61"/>
  <c r="D989" i="61"/>
  <c r="D966" i="61"/>
  <c r="D960" i="61"/>
  <c r="D925" i="61"/>
  <c r="D852" i="61"/>
  <c r="D820" i="61"/>
  <c r="D788" i="61"/>
  <c r="D756" i="61"/>
  <c r="D713" i="61"/>
  <c r="D669" i="61"/>
  <c r="D571" i="61"/>
  <c r="G9" i="61"/>
  <c r="G13" i="61"/>
  <c r="G17" i="61"/>
  <c r="G21" i="61"/>
  <c r="G25" i="61"/>
  <c r="G29" i="61"/>
  <c r="G33" i="61"/>
  <c r="G37" i="61"/>
  <c r="G41" i="61"/>
  <c r="G45" i="61"/>
  <c r="G49" i="61"/>
  <c r="G53" i="61"/>
  <c r="G57" i="61"/>
  <c r="G61" i="61"/>
  <c r="G65" i="61"/>
  <c r="G69" i="61"/>
  <c r="G73" i="61"/>
  <c r="G77" i="61"/>
  <c r="G81" i="61"/>
  <c r="G85" i="61"/>
  <c r="G89" i="61"/>
  <c r="G93" i="61"/>
  <c r="G97" i="61"/>
  <c r="G101" i="61"/>
  <c r="G105" i="61"/>
  <c r="G109" i="61"/>
  <c r="G113" i="61"/>
  <c r="G117" i="61"/>
  <c r="G121" i="61"/>
  <c r="G125" i="61"/>
  <c r="G10" i="61"/>
  <c r="G14" i="61"/>
  <c r="G18" i="61"/>
  <c r="G22" i="61"/>
  <c r="G26" i="61"/>
  <c r="G30" i="61"/>
  <c r="G34" i="61"/>
  <c r="G38" i="61"/>
  <c r="G42" i="61"/>
  <c r="G46" i="61"/>
  <c r="G50" i="61"/>
  <c r="G54" i="61"/>
  <c r="G58" i="61"/>
  <c r="G62" i="61"/>
  <c r="G66" i="61"/>
  <c r="G70" i="61"/>
  <c r="G74" i="61"/>
  <c r="G78" i="61"/>
  <c r="G82" i="61"/>
  <c r="G86" i="61"/>
  <c r="G90" i="61"/>
  <c r="G11" i="61"/>
  <c r="G15" i="61"/>
  <c r="G19" i="61"/>
  <c r="G23" i="61"/>
  <c r="G27" i="61"/>
  <c r="G31" i="61"/>
  <c r="G35" i="61"/>
  <c r="G39" i="61"/>
  <c r="G43" i="61"/>
  <c r="G47" i="61"/>
  <c r="G51" i="61"/>
  <c r="G55" i="61"/>
  <c r="G59" i="61"/>
  <c r="G63" i="61"/>
  <c r="G67" i="61"/>
  <c r="G71" i="61"/>
  <c r="G75" i="61"/>
  <c r="G79" i="61"/>
  <c r="G83" i="61"/>
  <c r="G87" i="61"/>
  <c r="G91" i="61"/>
  <c r="G95" i="61"/>
  <c r="G99" i="61"/>
  <c r="G103" i="61"/>
  <c r="G107" i="61"/>
  <c r="G111" i="61"/>
  <c r="G115" i="61"/>
  <c r="G119" i="61"/>
  <c r="G123" i="61"/>
  <c r="G127" i="61"/>
  <c r="G131" i="61"/>
  <c r="G135" i="61"/>
  <c r="G139" i="61"/>
  <c r="G143" i="61"/>
  <c r="G147" i="61"/>
  <c r="G151" i="61"/>
  <c r="G155" i="61"/>
  <c r="G159" i="61"/>
  <c r="G163" i="61"/>
  <c r="G167" i="61"/>
  <c r="G171" i="61"/>
  <c r="G175" i="61"/>
  <c r="G179" i="61"/>
  <c r="G183" i="61"/>
  <c r="G187" i="61"/>
  <c r="G191" i="61"/>
  <c r="G195" i="61"/>
  <c r="G4" i="61"/>
  <c r="G8" i="61"/>
  <c r="G12" i="61"/>
  <c r="G16" i="61"/>
  <c r="G20" i="61"/>
  <c r="G24" i="61"/>
  <c r="G28" i="61"/>
  <c r="G32" i="61"/>
  <c r="G36" i="61"/>
  <c r="G40" i="61"/>
  <c r="G44" i="61"/>
  <c r="G48" i="61"/>
  <c r="G52" i="61"/>
  <c r="G56" i="61"/>
  <c r="G60" i="61"/>
  <c r="G64" i="61"/>
  <c r="G68" i="61"/>
  <c r="G72" i="61"/>
  <c r="G76" i="61"/>
  <c r="G80" i="61"/>
  <c r="G84" i="61"/>
  <c r="G88" i="61"/>
  <c r="G92" i="61"/>
  <c r="G144" i="61"/>
  <c r="G160" i="61"/>
  <c r="G176" i="61"/>
  <c r="G192" i="61"/>
  <c r="G129" i="61"/>
  <c r="G140" i="61"/>
  <c r="G156" i="61"/>
  <c r="G172" i="61"/>
  <c r="G188" i="61"/>
  <c r="G98" i="61"/>
  <c r="G106" i="61"/>
  <c r="G114" i="61"/>
  <c r="G122" i="61"/>
  <c r="G141" i="61"/>
  <c r="G146" i="61"/>
  <c r="G157" i="61"/>
  <c r="G162" i="61"/>
  <c r="G173" i="61"/>
  <c r="G178" i="61"/>
  <c r="G189" i="61"/>
  <c r="G194" i="61"/>
  <c r="G130" i="61"/>
  <c r="G148" i="61"/>
  <c r="G164" i="61"/>
  <c r="G180" i="61"/>
  <c r="G196" i="61"/>
  <c r="G94" i="61"/>
  <c r="G102" i="61"/>
  <c r="G110" i="61"/>
  <c r="G118" i="61"/>
  <c r="G126" i="61"/>
  <c r="G138" i="61"/>
  <c r="G149" i="61"/>
  <c r="G154" i="61"/>
  <c r="G165" i="61"/>
  <c r="G170" i="61"/>
  <c r="G181" i="61"/>
  <c r="G108" i="61"/>
  <c r="G158" i="61"/>
  <c r="G145" i="61"/>
  <c r="G186" i="61"/>
  <c r="G197" i="61"/>
  <c r="G133" i="61"/>
  <c r="G134" i="61"/>
  <c r="G177" i="61"/>
  <c r="G116" i="61"/>
  <c r="G190" i="61"/>
  <c r="G96" i="61"/>
  <c r="G136" i="61"/>
  <c r="G150" i="61"/>
  <c r="G124" i="61"/>
  <c r="G169" i="61"/>
  <c r="G152" i="61"/>
  <c r="G153" i="61"/>
  <c r="G182" i="61"/>
  <c r="G161" i="61"/>
  <c r="G104" i="61"/>
  <c r="G166" i="61"/>
  <c r="G142" i="61"/>
  <c r="G168" i="61"/>
  <c r="G112" i="61"/>
  <c r="G128" i="61"/>
  <c r="G174" i="61"/>
  <c r="G132" i="61"/>
  <c r="G100" i="61"/>
  <c r="G184" i="61"/>
  <c r="G193" i="61"/>
  <c r="G120" i="61"/>
  <c r="G137" i="61"/>
  <c r="G185" i="61"/>
  <c r="G198" i="61"/>
  <c r="C4" i="61"/>
  <c r="D1138" i="61"/>
  <c r="D1122" i="61"/>
  <c r="D1105" i="61"/>
  <c r="D1082" i="61"/>
  <c r="D1076" i="61"/>
  <c r="D1041" i="61"/>
  <c r="D1018" i="61"/>
  <c r="D1012" i="61"/>
  <c r="D977" i="61"/>
  <c r="D954" i="61"/>
  <c r="D948" i="61"/>
  <c r="D919" i="61"/>
  <c r="D859" i="61"/>
  <c r="D832" i="61"/>
  <c r="D800" i="61"/>
  <c r="D768" i="61"/>
  <c r="D736" i="61"/>
  <c r="D729" i="61"/>
  <c r="D704" i="61"/>
  <c r="D686" i="61"/>
  <c r="D677" i="61"/>
  <c r="D633" i="61"/>
  <c r="D607" i="61"/>
  <c r="F298" i="61"/>
  <c r="G593" i="61"/>
  <c r="G624" i="61"/>
  <c r="G766" i="61"/>
  <c r="D1126" i="61"/>
  <c r="D1098" i="61"/>
  <c r="D1092" i="61"/>
  <c r="D1057" i="61"/>
  <c r="D1034" i="61"/>
  <c r="D1028" i="61"/>
  <c r="D993" i="61"/>
  <c r="D970" i="61"/>
  <c r="D964" i="61"/>
  <c r="D929" i="61"/>
  <c r="D891" i="61"/>
  <c r="D824" i="61"/>
  <c r="D799" i="61"/>
  <c r="D792" i="61"/>
  <c r="D767" i="61"/>
  <c r="D760" i="61"/>
  <c r="D735" i="61"/>
  <c r="D692" i="61"/>
  <c r="D675" i="61"/>
  <c r="D605" i="61"/>
  <c r="D518" i="61"/>
  <c r="C161" i="61"/>
  <c r="G922" i="61"/>
  <c r="G830" i="61"/>
  <c r="G956" i="61"/>
  <c r="G734" i="61"/>
  <c r="G940" i="61"/>
  <c r="G702" i="61"/>
  <c r="G923" i="61"/>
  <c r="G906" i="61"/>
  <c r="G718" i="61"/>
  <c r="G614" i="61"/>
  <c r="G686" i="61"/>
  <c r="G955" i="61"/>
  <c r="G670" i="61"/>
  <c r="G654" i="61"/>
  <c r="G924" i="61"/>
  <c r="G894" i="61"/>
  <c r="G1156" i="61"/>
  <c r="G939" i="61"/>
  <c r="G878" i="61"/>
  <c r="G954" i="61"/>
  <c r="G862" i="61"/>
  <c r="G908" i="61"/>
  <c r="G846" i="61"/>
  <c r="G938" i="61"/>
  <c r="G814" i="61"/>
  <c r="G626" i="61"/>
  <c r="G798" i="61"/>
  <c r="G636" i="61"/>
  <c r="G907" i="61"/>
  <c r="G782" i="61"/>
  <c r="G750" i="61"/>
  <c r="G963" i="61"/>
  <c r="G946" i="61"/>
  <c r="G916" i="61"/>
  <c r="G899" i="61"/>
  <c r="G890" i="61"/>
  <c r="G858" i="61"/>
  <c r="G826" i="61"/>
  <c r="G794" i="61"/>
  <c r="G762" i="61"/>
  <c r="G730" i="61"/>
  <c r="G698" i="61"/>
  <c r="G666" i="61"/>
  <c r="G629" i="61"/>
  <c r="G610" i="61"/>
  <c r="G1159" i="61"/>
  <c r="G1155" i="61"/>
  <c r="G1151" i="61"/>
  <c r="G1147" i="61"/>
  <c r="G1143" i="61"/>
  <c r="G1139" i="61"/>
  <c r="G1135" i="61"/>
  <c r="G1131" i="61"/>
  <c r="G1127" i="61"/>
  <c r="G1123" i="61"/>
  <c r="G1119" i="61"/>
  <c r="G1115" i="61"/>
  <c r="G1111" i="61"/>
  <c r="G1107" i="61"/>
  <c r="G1103" i="61"/>
  <c r="G1099" i="61"/>
  <c r="G1095" i="61"/>
  <c r="G1091" i="61"/>
  <c r="G1087" i="61"/>
  <c r="G1083" i="61"/>
  <c r="G1079" i="61"/>
  <c r="G1075" i="61"/>
  <c r="G1071" i="61"/>
  <c r="G1067" i="61"/>
  <c r="G1063" i="61"/>
  <c r="G1059" i="61"/>
  <c r="G1055" i="61"/>
  <c r="G1051" i="61"/>
  <c r="G1047" i="61"/>
  <c r="G1043" i="61"/>
  <c r="G1039" i="61"/>
  <c r="G1035" i="61"/>
  <c r="G1031" i="61"/>
  <c r="G1027" i="61"/>
  <c r="G1023" i="61"/>
  <c r="G1019" i="61"/>
  <c r="G1015" i="61"/>
  <c r="G1011" i="61"/>
  <c r="G1007" i="61"/>
  <c r="G1003" i="61"/>
  <c r="G999" i="61"/>
  <c r="G995" i="61"/>
  <c r="G991" i="61"/>
  <c r="G987" i="61"/>
  <c r="G983" i="61"/>
  <c r="G979" i="61"/>
  <c r="G975" i="61"/>
  <c r="G971" i="61"/>
  <c r="G967" i="61"/>
  <c r="G950" i="61"/>
  <c r="G920" i="61"/>
  <c r="G903" i="61"/>
  <c r="G876" i="61"/>
  <c r="G844" i="61"/>
  <c r="G812" i="61"/>
  <c r="G780" i="61"/>
  <c r="G748" i="61"/>
  <c r="G716" i="61"/>
  <c r="G684" i="61"/>
  <c r="G652" i="61"/>
  <c r="G958" i="61"/>
  <c r="G928" i="61"/>
  <c r="G911" i="61"/>
  <c r="G880" i="61"/>
  <c r="G848" i="61"/>
  <c r="G816" i="61"/>
  <c r="G784" i="61"/>
  <c r="G752" i="61"/>
  <c r="G720" i="61"/>
  <c r="G688" i="61"/>
  <c r="G656" i="61"/>
  <c r="G638" i="61"/>
  <c r="G962" i="61"/>
  <c r="G932" i="61"/>
  <c r="G915" i="61"/>
  <c r="G898" i="61"/>
  <c r="G866" i="61"/>
  <c r="G834" i="61"/>
  <c r="G802" i="61"/>
  <c r="G770" i="61"/>
  <c r="G738" i="61"/>
  <c r="G706" i="61"/>
  <c r="G674" i="61"/>
  <c r="G642" i="61"/>
  <c r="G609" i="61"/>
  <c r="G580" i="61"/>
  <c r="G1158" i="61"/>
  <c r="G1154" i="61"/>
  <c r="G1150" i="61"/>
  <c r="G1146" i="61"/>
  <c r="G1142" i="61"/>
  <c r="G1138" i="61"/>
  <c r="G1134" i="61"/>
  <c r="G1130" i="61"/>
  <c r="G1126" i="61"/>
  <c r="G1122" i="61"/>
  <c r="G1118" i="61"/>
  <c r="G1114" i="61"/>
  <c r="G1110" i="61"/>
  <c r="G1106" i="61"/>
  <c r="G1102" i="61"/>
  <c r="G1098" i="61"/>
  <c r="G1094" i="61"/>
  <c r="G1090" i="61"/>
  <c r="G1086" i="61"/>
  <c r="G1082" i="61"/>
  <c r="G1078" i="61"/>
  <c r="G1074" i="61"/>
  <c r="G1070" i="61"/>
  <c r="G1066" i="61"/>
  <c r="G1062" i="61"/>
  <c r="G1058" i="61"/>
  <c r="G1054" i="61"/>
  <c r="G1050" i="61"/>
  <c r="G1046" i="61"/>
  <c r="G1042" i="61"/>
  <c r="G1038" i="61"/>
  <c r="G1034" i="61"/>
  <c r="G1030" i="61"/>
  <c r="G1026" i="61"/>
  <c r="G1022" i="61"/>
  <c r="G1018" i="61"/>
  <c r="G1014" i="61"/>
  <c r="G1010" i="61"/>
  <c r="G1006" i="61"/>
  <c r="G1002" i="61"/>
  <c r="G998" i="61"/>
  <c r="G994" i="61"/>
  <c r="G990" i="61"/>
  <c r="G986" i="61"/>
  <c r="G982" i="61"/>
  <c r="G978" i="61"/>
  <c r="G974" i="61"/>
  <c r="G970" i="61"/>
  <c r="G966" i="61"/>
  <c r="G936" i="61"/>
  <c r="G919" i="61"/>
  <c r="G902" i="61"/>
  <c r="G884" i="61"/>
  <c r="G852" i="61"/>
  <c r="G820" i="61"/>
  <c r="G788" i="61"/>
  <c r="G756" i="61"/>
  <c r="G724" i="61"/>
  <c r="G692" i="61"/>
  <c r="G660" i="61"/>
  <c r="G594" i="61"/>
  <c r="G870" i="61"/>
  <c r="G838" i="61"/>
  <c r="G806" i="61"/>
  <c r="G774" i="61"/>
  <c r="G742" i="61"/>
  <c r="G710" i="61"/>
  <c r="G678" i="61"/>
  <c r="G646" i="61"/>
  <c r="G944" i="61"/>
  <c r="G927" i="61"/>
  <c r="G910" i="61"/>
  <c r="G888" i="61"/>
  <c r="G856" i="61"/>
  <c r="G824" i="61"/>
  <c r="G792" i="61"/>
  <c r="G760" i="61"/>
  <c r="G728" i="61"/>
  <c r="G696" i="61"/>
  <c r="G664" i="61"/>
  <c r="G589" i="61"/>
  <c r="G948" i="61"/>
  <c r="G931" i="61"/>
  <c r="G914" i="61"/>
  <c r="G874" i="61"/>
  <c r="G842" i="61"/>
  <c r="G810" i="61"/>
  <c r="G778" i="61"/>
  <c r="G746" i="61"/>
  <c r="G714" i="61"/>
  <c r="G682" i="61"/>
  <c r="G650" i="61"/>
  <c r="G641" i="61"/>
  <c r="G608" i="61"/>
  <c r="G1157" i="61"/>
  <c r="G1153" i="61"/>
  <c r="G1149" i="61"/>
  <c r="G1145" i="61"/>
  <c r="G1141" i="61"/>
  <c r="G1137" i="61"/>
  <c r="G1133" i="61"/>
  <c r="G1129" i="61"/>
  <c r="G1125" i="61"/>
  <c r="G1121" i="61"/>
  <c r="G1117" i="61"/>
  <c r="G1113" i="61"/>
  <c r="G1109" i="61"/>
  <c r="G1105" i="61"/>
  <c r="G1101" i="61"/>
  <c r="G1097" i="61"/>
  <c r="G1093" i="61"/>
  <c r="G1089" i="61"/>
  <c r="G1085" i="61"/>
  <c r="G1081" i="61"/>
  <c r="G1077" i="61"/>
  <c r="G1073" i="61"/>
  <c r="G1069" i="61"/>
  <c r="G1065" i="61"/>
  <c r="G1061" i="61"/>
  <c r="G1057" i="61"/>
  <c r="G1053" i="61"/>
  <c r="G1049" i="61"/>
  <c r="G1045" i="61"/>
  <c r="G1041" i="61"/>
  <c r="G1037" i="61"/>
  <c r="G1033" i="61"/>
  <c r="G1029" i="61"/>
  <c r="G1025" i="61"/>
  <c r="G1021" i="61"/>
  <c r="G1017" i="61"/>
  <c r="G1013" i="61"/>
  <c r="G1009" i="61"/>
  <c r="G1005" i="61"/>
  <c r="G1001" i="61"/>
  <c r="G997" i="61"/>
  <c r="G993" i="61"/>
  <c r="G989" i="61"/>
  <c r="G985" i="61"/>
  <c r="G981" i="61"/>
  <c r="G977" i="61"/>
  <c r="G973" i="61"/>
  <c r="G969" i="61"/>
  <c r="G952" i="61"/>
  <c r="G935" i="61"/>
  <c r="G918" i="61"/>
  <c r="G892" i="61"/>
  <c r="G860" i="61"/>
  <c r="G828" i="61"/>
  <c r="G796" i="61"/>
  <c r="G764" i="61"/>
  <c r="G732" i="61"/>
  <c r="G700" i="61"/>
  <c r="G668" i="61"/>
  <c r="G612" i="61"/>
  <c r="G257" i="61"/>
  <c r="G581" i="61"/>
  <c r="G598" i="61"/>
  <c r="G628" i="61"/>
  <c r="G645" i="61"/>
  <c r="G649" i="61"/>
  <c r="G653" i="61"/>
  <c r="G657" i="61"/>
  <c r="G661" i="61"/>
  <c r="G665" i="61"/>
  <c r="G669" i="61"/>
  <c r="G673" i="61"/>
  <c r="G677" i="61"/>
  <c r="G681" i="61"/>
  <c r="G685" i="61"/>
  <c r="G689" i="61"/>
  <c r="G693" i="61"/>
  <c r="G697" i="61"/>
  <c r="G701" i="61"/>
  <c r="G705" i="61"/>
  <c r="G709" i="61"/>
  <c r="G713" i="61"/>
  <c r="G717" i="61"/>
  <c r="G721" i="61"/>
  <c r="G725" i="61"/>
  <c r="G729" i="61"/>
  <c r="G733" i="61"/>
  <c r="G737" i="61"/>
  <c r="G741" i="61"/>
  <c r="G745" i="61"/>
  <c r="G749" i="61"/>
  <c r="G753" i="61"/>
  <c r="G757" i="61"/>
  <c r="G761" i="61"/>
  <c r="G765" i="61"/>
  <c r="G769" i="61"/>
  <c r="G773" i="61"/>
  <c r="G777" i="61"/>
  <c r="G781" i="61"/>
  <c r="G785" i="61"/>
  <c r="G789" i="61"/>
  <c r="G793" i="61"/>
  <c r="G797" i="61"/>
  <c r="G801" i="61"/>
  <c r="G805" i="61"/>
  <c r="G809" i="61"/>
  <c r="G813" i="61"/>
  <c r="G817" i="61"/>
  <c r="G821" i="61"/>
  <c r="G825" i="61"/>
  <c r="G829" i="61"/>
  <c r="G833" i="61"/>
  <c r="G837" i="61"/>
  <c r="G841" i="61"/>
  <c r="G845" i="61"/>
  <c r="G849" i="61"/>
  <c r="G853" i="61"/>
  <c r="G857" i="61"/>
  <c r="G861" i="61"/>
  <c r="G865" i="61"/>
  <c r="G869" i="61"/>
  <c r="G873" i="61"/>
  <c r="G877" i="61"/>
  <c r="G881" i="61"/>
  <c r="G885" i="61"/>
  <c r="G889" i="61"/>
  <c r="G893" i="61"/>
  <c r="G897" i="61"/>
  <c r="G901" i="61"/>
  <c r="G905" i="61"/>
  <c r="G909" i="61"/>
  <c r="G913" i="61"/>
  <c r="G917" i="61"/>
  <c r="G921" i="61"/>
  <c r="G925" i="61"/>
  <c r="G929" i="61"/>
  <c r="G933" i="61"/>
  <c r="G937" i="61"/>
  <c r="G941" i="61"/>
  <c r="G945" i="61"/>
  <c r="G949" i="61"/>
  <c r="G953" i="61"/>
  <c r="G957" i="61"/>
  <c r="G961" i="61"/>
  <c r="G965" i="61"/>
  <c r="G590" i="61"/>
  <c r="G620" i="61"/>
  <c r="G637" i="61"/>
  <c r="G586" i="61"/>
  <c r="G616" i="61"/>
  <c r="G633" i="61"/>
  <c r="G604" i="61"/>
  <c r="G600" i="61"/>
  <c r="G617" i="61"/>
  <c r="G634" i="61"/>
  <c r="G596" i="61"/>
  <c r="G613" i="61"/>
  <c r="G630" i="61"/>
  <c r="G647" i="61"/>
  <c r="G651" i="61"/>
  <c r="G655" i="61"/>
  <c r="G659" i="61"/>
  <c r="G663" i="61"/>
  <c r="G667" i="61"/>
  <c r="G671" i="61"/>
  <c r="G675" i="61"/>
  <c r="G679" i="61"/>
  <c r="G683" i="61"/>
  <c r="G687" i="61"/>
  <c r="G691" i="61"/>
  <c r="G695" i="61"/>
  <c r="G699" i="61"/>
  <c r="G703" i="61"/>
  <c r="G707" i="61"/>
  <c r="G711" i="61"/>
  <c r="G715" i="61"/>
  <c r="G719" i="61"/>
  <c r="G723" i="61"/>
  <c r="G727" i="61"/>
  <c r="G731" i="61"/>
  <c r="G735" i="61"/>
  <c r="G739" i="61"/>
  <c r="G743" i="61"/>
  <c r="G747" i="61"/>
  <c r="G751" i="61"/>
  <c r="G755" i="61"/>
  <c r="G759" i="61"/>
  <c r="G763" i="61"/>
  <c r="G767" i="61"/>
  <c r="G771" i="61"/>
  <c r="G775" i="61"/>
  <c r="G779" i="61"/>
  <c r="G783" i="61"/>
  <c r="G787" i="61"/>
  <c r="G791" i="61"/>
  <c r="G795" i="61"/>
  <c r="G799" i="61"/>
  <c r="G803" i="61"/>
  <c r="G807" i="61"/>
  <c r="G811" i="61"/>
  <c r="G815" i="61"/>
  <c r="G819" i="61"/>
  <c r="G823" i="61"/>
  <c r="G827" i="61"/>
  <c r="G831" i="61"/>
  <c r="G835" i="61"/>
  <c r="G839" i="61"/>
  <c r="G843" i="61"/>
  <c r="G847" i="61"/>
  <c r="G851" i="61"/>
  <c r="G855" i="61"/>
  <c r="G859" i="61"/>
  <c r="G863" i="61"/>
  <c r="G867" i="61"/>
  <c r="G871" i="61"/>
  <c r="G875" i="61"/>
  <c r="G879" i="61"/>
  <c r="G883" i="61"/>
  <c r="G887" i="61"/>
  <c r="G891" i="61"/>
  <c r="G895" i="61"/>
  <c r="G588" i="61"/>
  <c r="G605" i="61"/>
  <c r="G622" i="61"/>
  <c r="G584" i="61"/>
  <c r="G601" i="61"/>
  <c r="G618" i="61"/>
  <c r="G585" i="61"/>
  <c r="G602" i="61"/>
  <c r="G632" i="61"/>
  <c r="G960" i="61"/>
  <c r="G943" i="61"/>
  <c r="G926" i="61"/>
  <c r="G896" i="61"/>
  <c r="G864" i="61"/>
  <c r="G832" i="61"/>
  <c r="G800" i="61"/>
  <c r="G768" i="61"/>
  <c r="G736" i="61"/>
  <c r="G704" i="61"/>
  <c r="G672" i="61"/>
  <c r="G597" i="61"/>
  <c r="G578" i="61"/>
  <c r="G964" i="61"/>
  <c r="G947" i="61"/>
  <c r="G930" i="61"/>
  <c r="G900" i="61"/>
  <c r="G882" i="61"/>
  <c r="G850" i="61"/>
  <c r="G818" i="61"/>
  <c r="G786" i="61"/>
  <c r="G754" i="61"/>
  <c r="G722" i="61"/>
  <c r="G690" i="61"/>
  <c r="G658" i="61"/>
  <c r="G640" i="61"/>
  <c r="G621" i="61"/>
  <c r="G1152" i="61"/>
  <c r="G1148" i="61"/>
  <c r="G1144" i="61"/>
  <c r="G1140" i="61"/>
  <c r="G1136" i="61"/>
  <c r="G1132" i="61"/>
  <c r="G1128" i="61"/>
  <c r="G1124" i="61"/>
  <c r="G1120" i="61"/>
  <c r="G1116" i="61"/>
  <c r="G1112" i="61"/>
  <c r="G1108" i="61"/>
  <c r="G1104" i="61"/>
  <c r="G1100" i="61"/>
  <c r="G1096" i="61"/>
  <c r="G1092" i="61"/>
  <c r="G1088" i="61"/>
  <c r="G1084" i="61"/>
  <c r="G1080" i="61"/>
  <c r="G1076" i="61"/>
  <c r="G1072" i="61"/>
  <c r="G1068" i="61"/>
  <c r="G1064" i="61"/>
  <c r="G1060" i="61"/>
  <c r="G1056" i="61"/>
  <c r="G1052" i="61"/>
  <c r="G1048" i="61"/>
  <c r="G1044" i="61"/>
  <c r="G1040" i="61"/>
  <c r="G1036" i="61"/>
  <c r="G1032" i="61"/>
  <c r="G1028" i="61"/>
  <c r="G1024" i="61"/>
  <c r="G1020" i="61"/>
  <c r="G1016" i="61"/>
  <c r="G1012" i="61"/>
  <c r="G1008" i="61"/>
  <c r="G1004" i="61"/>
  <c r="G1000" i="61"/>
  <c r="G996" i="61"/>
  <c r="G992" i="61"/>
  <c r="G988" i="61"/>
  <c r="G984" i="61"/>
  <c r="G980" i="61"/>
  <c r="G976" i="61"/>
  <c r="G972" i="61"/>
  <c r="G968" i="61"/>
  <c r="G951" i="61"/>
  <c r="G934" i="61"/>
  <c r="G904" i="61"/>
  <c r="G868" i="61"/>
  <c r="G836" i="61"/>
  <c r="G804" i="61"/>
  <c r="G772" i="61"/>
  <c r="G740" i="61"/>
  <c r="G708" i="61"/>
  <c r="G676" i="61"/>
  <c r="G644" i="61"/>
  <c r="G592" i="61"/>
  <c r="G582" i="61"/>
  <c r="G886" i="61"/>
  <c r="G854" i="61"/>
  <c r="G822" i="61"/>
  <c r="G790" i="61"/>
  <c r="G758" i="61"/>
  <c r="G726" i="61"/>
  <c r="G694" i="61"/>
  <c r="G662" i="61"/>
  <c r="G625" i="61"/>
  <c r="G959" i="61"/>
  <c r="G942" i="61"/>
  <c r="G912" i="61"/>
  <c r="G872" i="61"/>
  <c r="G840" i="61"/>
  <c r="G808" i="61"/>
  <c r="G776" i="61"/>
  <c r="G744" i="61"/>
  <c r="G712" i="61"/>
  <c r="G680" i="61"/>
  <c r="G648" i="61"/>
  <c r="G606" i="61"/>
  <c r="G577" i="61"/>
  <c r="G569" i="61"/>
  <c r="G262" i="61"/>
  <c r="G350" i="61"/>
  <c r="G571" i="61"/>
  <c r="G570" i="61"/>
  <c r="G279" i="61"/>
  <c r="G643" i="61"/>
  <c r="G639" i="61"/>
  <c r="G635" i="61"/>
  <c r="G631" i="61"/>
  <c r="G627" i="61"/>
  <c r="G623" i="61"/>
  <c r="G619" i="61"/>
  <c r="G615" i="61"/>
  <c r="G611" i="61"/>
  <c r="G607" i="61"/>
  <c r="G603" i="61"/>
  <c r="G599" i="61"/>
  <c r="G595" i="61"/>
  <c r="G591" i="61"/>
  <c r="G587" i="61"/>
  <c r="G583" i="61"/>
  <c r="G579" i="61"/>
  <c r="G326" i="61"/>
  <c r="G353" i="61"/>
  <c r="G343" i="61"/>
  <c r="G305" i="61"/>
  <c r="G266" i="61"/>
  <c r="G562" i="61"/>
  <c r="G558" i="61"/>
  <c r="G333" i="61"/>
  <c r="G309" i="61"/>
  <c r="G245" i="61"/>
  <c r="G566" i="61"/>
  <c r="G347" i="61"/>
  <c r="G323" i="61"/>
  <c r="G275" i="61"/>
  <c r="G318" i="61"/>
  <c r="G313" i="61"/>
  <c r="G294" i="61"/>
  <c r="G289" i="61"/>
  <c r="G561" i="61"/>
  <c r="G557" i="61"/>
  <c r="G269" i="61"/>
  <c r="G565" i="61"/>
  <c r="G341" i="61"/>
  <c r="G322" i="61"/>
  <c r="G303" i="61"/>
  <c r="G283" i="61"/>
  <c r="G238" i="61"/>
  <c r="G573" i="61"/>
  <c r="G560" i="61"/>
  <c r="G335" i="61"/>
  <c r="G311" i="61"/>
  <c r="G247" i="61"/>
  <c r="G330" i="61"/>
  <c r="G306" i="61"/>
  <c r="G277" i="61"/>
  <c r="G563" i="61"/>
  <c r="G559" i="61"/>
  <c r="G339" i="61"/>
  <c r="G301" i="61"/>
  <c r="G286" i="61"/>
  <c r="G249" i="61"/>
  <c r="G351" i="61"/>
  <c r="G334" i="61"/>
  <c r="G317" i="61"/>
  <c r="G287" i="61"/>
  <c r="G270" i="61"/>
  <c r="G253" i="61"/>
  <c r="G338" i="61"/>
  <c r="G321" i="61"/>
  <c r="G291" i="61"/>
  <c r="G274" i="61"/>
  <c r="G236" i="61"/>
  <c r="G240" i="61"/>
  <c r="G244" i="61"/>
  <c r="G248" i="61"/>
  <c r="G252" i="61"/>
  <c r="G256" i="61"/>
  <c r="G260" i="61"/>
  <c r="G264" i="61"/>
  <c r="G268" i="61"/>
  <c r="G272" i="61"/>
  <c r="G276" i="61"/>
  <c r="G280" i="61"/>
  <c r="G284" i="61"/>
  <c r="G288" i="61"/>
  <c r="G292" i="61"/>
  <c r="G296" i="61"/>
  <c r="G300" i="61"/>
  <c r="G304" i="61"/>
  <c r="G308" i="61"/>
  <c r="G312" i="61"/>
  <c r="G316" i="61"/>
  <c r="G320" i="61"/>
  <c r="G324" i="61"/>
  <c r="G328" i="61"/>
  <c r="G332" i="61"/>
  <c r="G336" i="61"/>
  <c r="G340" i="61"/>
  <c r="G344" i="61"/>
  <c r="G348" i="61"/>
  <c r="G352" i="61"/>
  <c r="G552" i="61"/>
  <c r="G556" i="61"/>
  <c r="G564" i="61"/>
  <c r="G568" i="61"/>
  <c r="G572" i="61"/>
  <c r="G576" i="61"/>
  <c r="G239" i="61"/>
  <c r="G243" i="61"/>
  <c r="G342" i="61"/>
  <c r="G325" i="61"/>
  <c r="G295" i="61"/>
  <c r="G278" i="61"/>
  <c r="G261" i="61"/>
  <c r="G555" i="61"/>
  <c r="G346" i="61"/>
  <c r="G329" i="61"/>
  <c r="G299" i="61"/>
  <c r="G282" i="61"/>
  <c r="G265" i="61"/>
  <c r="G567" i="61"/>
  <c r="G337" i="61"/>
  <c r="G307" i="61"/>
  <c r="G290" i="61"/>
  <c r="G273" i="61"/>
  <c r="G575" i="61"/>
  <c r="G554" i="61"/>
  <c r="G345" i="61"/>
  <c r="G315" i="61"/>
  <c r="G298" i="61"/>
  <c r="G281" i="61"/>
  <c r="G251" i="61"/>
  <c r="G349" i="61"/>
  <c r="G319" i="61"/>
  <c r="G302" i="61"/>
  <c r="G285" i="61"/>
  <c r="G255" i="61"/>
  <c r="G242" i="61"/>
  <c r="G259" i="61"/>
  <c r="G327" i="61"/>
  <c r="G310" i="61"/>
  <c r="G293" i="61"/>
  <c r="G263" i="61"/>
  <c r="G246" i="61"/>
  <c r="G237" i="61"/>
  <c r="G574" i="61"/>
  <c r="G553" i="61"/>
  <c r="G331" i="61"/>
  <c r="G314" i="61"/>
  <c r="G297" i="61"/>
  <c r="G267" i="61"/>
  <c r="G250" i="61"/>
  <c r="G271" i="61"/>
  <c r="G254" i="61"/>
  <c r="G241" i="61"/>
  <c r="G258" i="61"/>
  <c r="Q166" i="5"/>
  <c r="O166" i="5"/>
  <c r="O52" i="5"/>
  <c r="Q52" i="5"/>
  <c r="T166" i="5" l="1"/>
  <c r="T52" i="5"/>
  <c r="T51" i="5"/>
  <c r="T50" i="5"/>
  <c r="T49" i="5"/>
  <c r="T163" i="5"/>
  <c r="T164" i="5"/>
  <c r="T165" i="5"/>
  <c r="Y49" i="5"/>
  <c r="Y163" i="5"/>
  <c r="W163" i="5" l="1"/>
  <c r="W49" i="5"/>
  <c r="Y154" i="98"/>
  <c r="V154" i="98" s="1"/>
  <c r="Y151" i="98"/>
  <c r="V151" i="98" s="1"/>
  <c r="Y146" i="98"/>
  <c r="Y145" i="98"/>
  <c r="V145" i="98" s="1"/>
  <c r="Y142" i="98"/>
  <c r="V142" i="98" s="1"/>
  <c r="X115" i="98"/>
  <c r="X114" i="98"/>
  <c r="V97" i="98"/>
  <c r="V90" i="98"/>
  <c r="M69" i="98"/>
  <c r="M65" i="98"/>
  <c r="M62" i="98"/>
  <c r="M61" i="98"/>
  <c r="E58" i="98"/>
  <c r="K57" i="98"/>
  <c r="K56" i="98"/>
  <c r="E55" i="98"/>
  <c r="K54" i="98"/>
  <c r="K53" i="98"/>
  <c r="K52" i="98"/>
  <c r="N51" i="98"/>
  <c r="K51" i="98"/>
  <c r="E50" i="98"/>
  <c r="E49" i="98"/>
  <c r="E48" i="98"/>
  <c r="E47" i="98"/>
  <c r="K45" i="98"/>
  <c r="K44" i="98"/>
  <c r="K43" i="98"/>
  <c r="K42" i="98"/>
  <c r="K41" i="98"/>
  <c r="N40" i="98"/>
  <c r="K40" i="98"/>
  <c r="E39" i="98"/>
  <c r="E38" i="98"/>
  <c r="E37" i="98"/>
  <c r="K35" i="98"/>
  <c r="K26" i="98"/>
  <c r="V31" i="98"/>
  <c r="V24" i="98"/>
  <c r="X119" i="98" l="1"/>
  <c r="X116" i="98"/>
  <c r="O55" i="3" l="1"/>
  <c r="AM18" i="97"/>
  <c r="C19" i="76"/>
  <c r="G50" i="89" l="1"/>
  <c r="AE61" i="97"/>
  <c r="AL24" i="97"/>
  <c r="AP28" i="97" l="1"/>
  <c r="AT42" i="97"/>
  <c r="AT40" i="97"/>
  <c r="AT37" i="97"/>
  <c r="AT34" i="97"/>
  <c r="AM47" i="97"/>
  <c r="AQ47" i="97"/>
  <c r="L85" i="13"/>
  <c r="AT43" i="97" l="1"/>
  <c r="F59" i="30"/>
  <c r="AS43" i="97" l="1"/>
  <c r="AT45" i="97" s="1"/>
  <c r="AJ61" i="97"/>
  <c r="AM58" i="97"/>
  <c r="AE59" i="97" s="1"/>
  <c r="AS44" i="97" l="1"/>
  <c r="AM15" i="97"/>
  <c r="AE15" i="97" s="1"/>
  <c r="AJ66" i="97"/>
  <c r="I63" i="97"/>
  <c r="AJ22" i="97"/>
  <c r="D19" i="97"/>
  <c r="AJ15" i="97"/>
  <c r="AC3" i="97"/>
  <c r="AV127" i="76"/>
  <c r="D141" i="76"/>
  <c r="AV73" i="76"/>
  <c r="AV51" i="76"/>
  <c r="AM19" i="97" l="1"/>
  <c r="N22" i="1"/>
  <c r="N7" i="1"/>
  <c r="N5" i="1"/>
  <c r="N4" i="1"/>
  <c r="I3" i="1"/>
  <c r="I9" i="1"/>
  <c r="I10" i="1"/>
  <c r="I11" i="1"/>
  <c r="I12" i="1"/>
  <c r="I13" i="1"/>
  <c r="I14" i="1"/>
  <c r="I15" i="1"/>
  <c r="I16" i="1"/>
  <c r="I17" i="1"/>
  <c r="I18" i="1"/>
  <c r="I19" i="1"/>
  <c r="I20" i="1"/>
  <c r="I21" i="1"/>
  <c r="I4" i="1" l="1"/>
  <c r="I5" i="1"/>
  <c r="I22" i="1"/>
  <c r="AE22" i="97"/>
  <c r="AS45" i="97" s="1"/>
  <c r="X30" i="97"/>
  <c r="X31" i="97" s="1"/>
  <c r="X20" i="97"/>
  <c r="X41" i="97"/>
  <c r="X42" i="97" s="1"/>
  <c r="AE65" i="97"/>
  <c r="N8" i="1"/>
  <c r="I7" i="1"/>
  <c r="AE60" i="97"/>
  <c r="AE62" i="97" s="1"/>
  <c r="X48" i="97" s="1"/>
  <c r="AE50" i="97" s="1"/>
  <c r="G11" i="40"/>
  <c r="G6" i="40"/>
  <c r="AO255" i="96"/>
  <c r="AJ243" i="96"/>
  <c r="Y234" i="96"/>
  <c r="F234" i="96"/>
  <c r="AH233" i="96"/>
  <c r="O233" i="96"/>
  <c r="Z217" i="96"/>
  <c r="S217" i="96"/>
  <c r="F217" i="96"/>
  <c r="AH216" i="96"/>
  <c r="K216" i="96"/>
  <c r="B189" i="96"/>
  <c r="AO188" i="96"/>
  <c r="AD181" i="96"/>
  <c r="AD180" i="96"/>
  <c r="BB177" i="96"/>
  <c r="AZ177" i="96"/>
  <c r="AJ172" i="96"/>
  <c r="AJ175" i="96" s="1"/>
  <c r="AK177" i="96" s="1"/>
  <c r="BD176" i="96" s="1"/>
  <c r="AD172" i="96"/>
  <c r="AD175" i="96" s="1"/>
  <c r="AE177" i="96" s="1"/>
  <c r="BB176" i="96" s="1"/>
  <c r="V172" i="96"/>
  <c r="AJ156" i="96"/>
  <c r="BE149" i="96" s="1"/>
  <c r="AD156" i="96"/>
  <c r="BE148" i="96" s="1"/>
  <c r="V156" i="96"/>
  <c r="BE147" i="96" s="1"/>
  <c r="BB153" i="96"/>
  <c r="BA153" i="96"/>
  <c r="AZ153" i="96"/>
  <c r="BB151" i="96"/>
  <c r="BA151" i="96"/>
  <c r="AZ151" i="96"/>
  <c r="BB150" i="96"/>
  <c r="BA150" i="96"/>
  <c r="AZ150" i="96"/>
  <c r="AR149" i="96"/>
  <c r="AR148" i="96"/>
  <c r="AR147" i="96"/>
  <c r="D139" i="96"/>
  <c r="H131" i="96"/>
  <c r="AI130" i="96"/>
  <c r="AO128" i="96"/>
  <c r="AJ116" i="96"/>
  <c r="Y107" i="96"/>
  <c r="F107" i="96"/>
  <c r="AH106" i="96"/>
  <c r="O106" i="96"/>
  <c r="AJ108" i="96" s="1"/>
  <c r="Z90" i="96"/>
  <c r="S90" i="96"/>
  <c r="F90" i="96"/>
  <c r="AH89" i="96"/>
  <c r="K89" i="96"/>
  <c r="AH91" i="96" s="1"/>
  <c r="B62" i="96"/>
  <c r="AO61" i="96"/>
  <c r="AD54" i="96"/>
  <c r="AD53" i="96"/>
  <c r="BD50" i="96"/>
  <c r="BB50" i="96"/>
  <c r="AZ50" i="96"/>
  <c r="AJ45" i="96"/>
  <c r="AJ48" i="96" s="1"/>
  <c r="AK50" i="96" s="1"/>
  <c r="BD49" i="96" s="1"/>
  <c r="AD45" i="96"/>
  <c r="AD48" i="96" s="1"/>
  <c r="AE50" i="96" s="1"/>
  <c r="BB49" i="96" s="1"/>
  <c r="V45" i="96"/>
  <c r="V48" i="96" s="1"/>
  <c r="AZ48" i="96" s="1"/>
  <c r="AZ51" i="96" s="1"/>
  <c r="AJ29" i="96"/>
  <c r="BE22" i="96" s="1"/>
  <c r="AD29" i="96"/>
  <c r="BE21" i="96" s="1"/>
  <c r="V29" i="96"/>
  <c r="BE20" i="96" s="1"/>
  <c r="BB26" i="96"/>
  <c r="BA26" i="96"/>
  <c r="AZ26" i="96"/>
  <c r="BB24" i="96"/>
  <c r="BA24" i="96"/>
  <c r="AZ24" i="96"/>
  <c r="BB23" i="96"/>
  <c r="BA23" i="96"/>
  <c r="AZ23" i="96"/>
  <c r="AR22" i="96"/>
  <c r="AR21" i="96"/>
  <c r="AR20" i="96"/>
  <c r="D12" i="96"/>
  <c r="H4" i="96"/>
  <c r="AI3" i="96"/>
  <c r="G218" i="60"/>
  <c r="AK109" i="96" l="1"/>
  <c r="AJ110" i="96" s="1"/>
  <c r="AI92" i="96"/>
  <c r="AD55" i="96"/>
  <c r="BE23" i="96"/>
  <c r="I23" i="96" s="1"/>
  <c r="BC151" i="96"/>
  <c r="AD179" i="96" s="1"/>
  <c r="AH218" i="96"/>
  <c r="BC23" i="96"/>
  <c r="AD51" i="96" s="1"/>
  <c r="G29" i="96"/>
  <c r="AI219" i="96"/>
  <c r="AD182" i="96"/>
  <c r="G156" i="96"/>
  <c r="AK236" i="96"/>
  <c r="I8" i="1"/>
  <c r="AS46" i="97"/>
  <c r="AS48" i="97" s="1"/>
  <c r="AS51" i="97" s="1"/>
  <c r="AR150" i="96"/>
  <c r="AR152" i="96" s="1"/>
  <c r="AH93" i="96"/>
  <c r="BC150" i="96"/>
  <c r="AD178" i="96" s="1"/>
  <c r="V175" i="96"/>
  <c r="AZ175" i="96" s="1"/>
  <c r="AZ178" i="96" s="1"/>
  <c r="AJ235" i="96"/>
  <c r="AR23" i="96"/>
  <c r="AR26" i="96" s="1"/>
  <c r="BC24" i="96"/>
  <c r="AD52" i="96" s="1"/>
  <c r="BE150" i="96"/>
  <c r="I150" i="96" s="1"/>
  <c r="BA175" i="96"/>
  <c r="BB175" i="96"/>
  <c r="BB178" i="96" s="1"/>
  <c r="BC175" i="96"/>
  <c r="BA48" i="96"/>
  <c r="BB48" i="96"/>
  <c r="BB51" i="96" s="1"/>
  <c r="BC48" i="96"/>
  <c r="BD48" i="96"/>
  <c r="BD51" i="96" s="1"/>
  <c r="BD175" i="96"/>
  <c r="W50" i="96"/>
  <c r="AZ49" i="96" s="1"/>
  <c r="AK58" i="96" s="1"/>
  <c r="AK57" i="96" s="1"/>
  <c r="AY48" i="96"/>
  <c r="I75" i="69"/>
  <c r="AE83" i="69"/>
  <c r="AD83" i="69"/>
  <c r="AC83" i="69"/>
  <c r="AB83" i="69"/>
  <c r="AA83" i="69"/>
  <c r="AE80" i="69"/>
  <c r="AD80" i="69"/>
  <c r="AC80" i="69"/>
  <c r="AB80" i="69"/>
  <c r="AA80" i="69"/>
  <c r="AE79" i="69"/>
  <c r="AD79" i="69"/>
  <c r="AC79" i="69"/>
  <c r="AB79" i="69"/>
  <c r="AA79" i="69"/>
  <c r="AE78" i="69"/>
  <c r="AD78" i="69"/>
  <c r="AC78" i="69"/>
  <c r="AB78" i="69"/>
  <c r="AA78" i="69"/>
  <c r="AE77" i="69"/>
  <c r="AD77" i="69"/>
  <c r="AC77" i="69"/>
  <c r="AB77" i="69"/>
  <c r="AA77" i="69"/>
  <c r="AE76" i="69"/>
  <c r="AD76" i="69"/>
  <c r="AC76" i="69"/>
  <c r="AB76" i="69"/>
  <c r="AA76" i="69"/>
  <c r="AE74" i="69"/>
  <c r="AD74" i="69"/>
  <c r="AC74" i="69"/>
  <c r="AB74" i="69"/>
  <c r="AA74" i="69"/>
  <c r="AE73" i="69"/>
  <c r="AD73" i="69"/>
  <c r="AC73" i="69"/>
  <c r="AB73" i="69"/>
  <c r="AA73" i="69"/>
  <c r="AE72" i="69"/>
  <c r="AD72" i="69"/>
  <c r="AC72" i="69"/>
  <c r="AB72" i="69"/>
  <c r="AA72" i="69"/>
  <c r="AE71" i="69"/>
  <c r="AD71" i="69"/>
  <c r="AC71" i="69"/>
  <c r="AB71" i="69"/>
  <c r="AA71" i="69"/>
  <c r="AE70" i="69"/>
  <c r="AD70" i="69"/>
  <c r="AC70" i="69"/>
  <c r="AB70" i="69"/>
  <c r="AA70" i="69"/>
  <c r="AE69" i="69"/>
  <c r="AD69" i="69"/>
  <c r="AC69" i="69"/>
  <c r="AB69" i="69"/>
  <c r="AA69" i="69"/>
  <c r="AE67" i="69"/>
  <c r="AD67" i="69"/>
  <c r="AC67" i="69"/>
  <c r="AB67" i="69"/>
  <c r="AA67" i="69"/>
  <c r="AE66" i="69"/>
  <c r="AD66" i="69"/>
  <c r="AC66" i="69"/>
  <c r="AB66" i="69"/>
  <c r="AA66" i="69"/>
  <c r="AE65" i="69"/>
  <c r="AD65" i="69"/>
  <c r="AC65" i="69"/>
  <c r="AB65" i="69"/>
  <c r="AA65" i="69"/>
  <c r="AE53" i="69"/>
  <c r="AD53" i="69"/>
  <c r="AC53" i="69"/>
  <c r="AB53" i="69"/>
  <c r="AA53" i="69"/>
  <c r="AE50" i="69"/>
  <c r="AD50" i="69"/>
  <c r="AC50" i="69"/>
  <c r="AB50" i="69"/>
  <c r="AA50" i="69"/>
  <c r="AE49" i="69"/>
  <c r="AD49" i="69"/>
  <c r="AC49" i="69"/>
  <c r="AB49" i="69"/>
  <c r="AA49" i="69"/>
  <c r="AE48" i="69"/>
  <c r="AD48" i="69"/>
  <c r="AC48" i="69"/>
  <c r="AB48" i="69"/>
  <c r="AA48" i="69"/>
  <c r="AE47" i="69"/>
  <c r="AD47" i="69"/>
  <c r="AC47" i="69"/>
  <c r="AB47" i="69"/>
  <c r="AA47" i="69"/>
  <c r="AE46" i="69"/>
  <c r="AD46" i="69"/>
  <c r="AC46" i="69"/>
  <c r="AB46" i="69"/>
  <c r="AA46" i="69"/>
  <c r="AE44" i="69"/>
  <c r="AD44" i="69"/>
  <c r="AC44" i="69"/>
  <c r="AB44" i="69"/>
  <c r="AA44" i="69"/>
  <c r="AE43" i="69"/>
  <c r="AD43" i="69"/>
  <c r="AC43" i="69"/>
  <c r="AB43" i="69"/>
  <c r="AA43" i="69"/>
  <c r="AE42" i="69"/>
  <c r="AD42" i="69"/>
  <c r="AC42" i="69"/>
  <c r="AB42" i="69"/>
  <c r="AA42" i="69"/>
  <c r="AE41" i="69"/>
  <c r="AD41" i="69"/>
  <c r="AC41" i="69"/>
  <c r="AB41" i="69"/>
  <c r="AA41" i="69"/>
  <c r="AE40" i="69"/>
  <c r="AD40" i="69"/>
  <c r="AC40" i="69"/>
  <c r="AB40" i="69"/>
  <c r="AA40" i="69"/>
  <c r="AE39" i="69"/>
  <c r="AD39" i="69"/>
  <c r="AC39" i="69"/>
  <c r="AB39" i="69"/>
  <c r="AA39" i="69"/>
  <c r="AE37" i="69"/>
  <c r="AD37" i="69"/>
  <c r="AC37" i="69"/>
  <c r="AB37" i="69"/>
  <c r="AA37" i="69"/>
  <c r="AE36" i="69"/>
  <c r="AD36" i="69"/>
  <c r="AC36" i="69"/>
  <c r="AB36" i="69"/>
  <c r="AA36" i="69"/>
  <c r="AE35" i="69"/>
  <c r="AD35" i="69"/>
  <c r="AC35" i="69"/>
  <c r="AB35" i="69"/>
  <c r="AA35" i="69"/>
  <c r="AB6" i="69"/>
  <c r="AC6" i="69"/>
  <c r="AD6" i="69"/>
  <c r="AE6" i="69"/>
  <c r="AB7" i="69"/>
  <c r="AC7" i="69"/>
  <c r="AD7" i="69"/>
  <c r="AE7" i="69"/>
  <c r="AB8" i="69"/>
  <c r="AC8" i="69"/>
  <c r="AD8" i="69"/>
  <c r="AE8" i="69"/>
  <c r="AB10" i="69"/>
  <c r="AC10" i="69"/>
  <c r="AD10" i="69"/>
  <c r="AE10" i="69"/>
  <c r="AB11" i="69"/>
  <c r="AC11" i="69"/>
  <c r="AD11" i="69"/>
  <c r="AE11" i="69"/>
  <c r="AB12" i="69"/>
  <c r="AC12" i="69"/>
  <c r="AD12" i="69"/>
  <c r="AE12" i="69"/>
  <c r="AB13" i="69"/>
  <c r="AC13" i="69"/>
  <c r="AD13" i="69"/>
  <c r="AE13" i="69"/>
  <c r="AB14" i="69"/>
  <c r="AC14" i="69"/>
  <c r="AD14" i="69"/>
  <c r="AE14" i="69"/>
  <c r="AB15" i="69"/>
  <c r="AC15" i="69"/>
  <c r="AD15" i="69"/>
  <c r="AE15" i="69"/>
  <c r="AB17" i="69"/>
  <c r="AC17" i="69"/>
  <c r="AD17" i="69"/>
  <c r="AE17" i="69"/>
  <c r="AB18" i="69"/>
  <c r="AC18" i="69"/>
  <c r="AD18" i="69"/>
  <c r="AE18" i="69"/>
  <c r="AB19" i="69"/>
  <c r="AC19" i="69"/>
  <c r="AD19" i="69"/>
  <c r="AE19" i="69"/>
  <c r="AB20" i="69"/>
  <c r="AC20" i="69"/>
  <c r="AD20" i="69"/>
  <c r="AE20" i="69"/>
  <c r="AB21" i="69"/>
  <c r="AC21" i="69"/>
  <c r="AD21" i="69"/>
  <c r="AE21" i="69"/>
  <c r="AB24" i="69"/>
  <c r="AC24" i="69"/>
  <c r="AD24" i="69"/>
  <c r="AE24" i="69"/>
  <c r="AA24" i="69"/>
  <c r="AA17" i="69"/>
  <c r="AA10" i="69"/>
  <c r="AA7" i="69"/>
  <c r="AA8" i="69"/>
  <c r="AA11" i="69"/>
  <c r="AA12" i="69"/>
  <c r="AA13" i="69"/>
  <c r="AA14" i="69"/>
  <c r="AA15" i="69"/>
  <c r="AA18" i="69"/>
  <c r="AA19" i="69"/>
  <c r="AA20" i="69"/>
  <c r="AA21" i="69"/>
  <c r="AA6" i="69"/>
  <c r="AS53" i="97" l="1"/>
  <c r="R35" i="97" s="1"/>
  <c r="R41" i="97" s="1"/>
  <c r="AE44" i="97" s="1"/>
  <c r="AV119" i="96"/>
  <c r="AJ119" i="96" s="1"/>
  <c r="H102" i="70"/>
  <c r="H103" i="70"/>
  <c r="AH220" i="96"/>
  <c r="AJ237" i="96"/>
  <c r="BD178" i="96"/>
  <c r="BD177" i="96"/>
  <c r="I70" i="69"/>
  <c r="H96" i="70"/>
  <c r="I69" i="69"/>
  <c r="H92" i="70"/>
  <c r="H104" i="70"/>
  <c r="I76" i="69"/>
  <c r="H100" i="70"/>
  <c r="I67" i="69"/>
  <c r="H93" i="70"/>
  <c r="H105" i="70"/>
  <c r="I66" i="69"/>
  <c r="H99" i="70"/>
  <c r="I65" i="69"/>
  <c r="H97" i="70"/>
  <c r="AR153" i="96"/>
  <c r="H94" i="70"/>
  <c r="I78" i="69"/>
  <c r="I77" i="69"/>
  <c r="AY175" i="96"/>
  <c r="AJ183" i="96" s="1"/>
  <c r="AR25" i="96"/>
  <c r="H108" i="70"/>
  <c r="I74" i="69"/>
  <c r="H98" i="70"/>
  <c r="AJ56" i="96"/>
  <c r="AJ60" i="96" s="1"/>
  <c r="I73" i="69"/>
  <c r="I71" i="69"/>
  <c r="H95" i="70"/>
  <c r="W177" i="96"/>
  <c r="AZ176" i="96" s="1"/>
  <c r="H90" i="70"/>
  <c r="H91" i="70"/>
  <c r="R29" i="97"/>
  <c r="I53" i="1"/>
  <c r="I52" i="1"/>
  <c r="I51" i="1"/>
  <c r="I50" i="1"/>
  <c r="I49" i="1"/>
  <c r="I48" i="1"/>
  <c r="I47" i="1"/>
  <c r="I46" i="1"/>
  <c r="I45" i="1"/>
  <c r="I44" i="1"/>
  <c r="I43" i="1"/>
  <c r="I42" i="1"/>
  <c r="I41" i="1"/>
  <c r="I40" i="1"/>
  <c r="I39" i="1"/>
  <c r="I38" i="1"/>
  <c r="I37" i="1"/>
  <c r="I36" i="1"/>
  <c r="I35" i="1"/>
  <c r="I34" i="1"/>
  <c r="I33" i="1"/>
  <c r="I32" i="1"/>
  <c r="I24" i="1"/>
  <c r="I23" i="1"/>
  <c r="AN165" i="62"/>
  <c r="AH164" i="62"/>
  <c r="AN164" i="62"/>
  <c r="AL163" i="62"/>
  <c r="AV246" i="96" l="1"/>
  <c r="AJ246" i="96" s="1"/>
  <c r="AK185" i="96"/>
  <c r="AK184" i="96" s="1"/>
  <c r="AE29" i="97"/>
  <c r="R30" i="97" s="1"/>
  <c r="AE32" i="97" s="1"/>
  <c r="S8" i="37"/>
  <c r="AJ187" i="96" l="1"/>
  <c r="AV247" i="96" s="1"/>
  <c r="AN48" i="2"/>
  <c r="AM136" i="62"/>
  <c r="K40" i="23" l="1"/>
  <c r="K294" i="60"/>
  <c r="J21" i="67"/>
  <c r="K106" i="60"/>
  <c r="L106" i="60"/>
  <c r="D399" i="60"/>
  <c r="L50" i="30"/>
  <c r="K50" i="30"/>
  <c r="J50" i="30"/>
  <c r="I50" i="30"/>
  <c r="H50" i="30"/>
  <c r="G50" i="30"/>
  <c r="F50" i="30"/>
  <c r="E50" i="30"/>
  <c r="D50" i="30"/>
  <c r="L23" i="30"/>
  <c r="K23" i="30"/>
  <c r="J23" i="30"/>
  <c r="I23" i="30"/>
  <c r="H23" i="30"/>
  <c r="G23" i="30"/>
  <c r="F23" i="30"/>
  <c r="E23" i="30"/>
  <c r="D23" i="30"/>
  <c r="D52" i="30" l="1"/>
  <c r="D25" i="30"/>
  <c r="D155" i="76"/>
  <c r="D241" i="60" l="1"/>
  <c r="D231" i="60"/>
  <c r="D229" i="60"/>
  <c r="D223" i="60"/>
  <c r="D216" i="60"/>
  <c r="G197" i="60"/>
  <c r="D195" i="60"/>
  <c r="D194" i="60"/>
  <c r="D192" i="60"/>
  <c r="D189" i="60"/>
  <c r="K163" i="60" l="1"/>
  <c r="N65" i="60" l="1"/>
  <c r="A63" i="60"/>
  <c r="M39" i="60"/>
  <c r="D181" i="60"/>
  <c r="D180" i="60"/>
  <c r="D178" i="60"/>
  <c r="G175" i="60"/>
  <c r="D175" i="60"/>
  <c r="D167" i="60"/>
  <c r="D166" i="60"/>
  <c r="D164" i="60"/>
  <c r="D163" i="60"/>
  <c r="M30" i="95"/>
  <c r="M29" i="95"/>
  <c r="M28" i="95"/>
  <c r="M27" i="95"/>
  <c r="M26" i="95"/>
  <c r="M25" i="95"/>
  <c r="M24" i="95"/>
  <c r="M23" i="95"/>
  <c r="M22" i="95"/>
  <c r="M21" i="95"/>
  <c r="M20" i="95"/>
  <c r="M19" i="95"/>
  <c r="M18" i="95"/>
  <c r="M17" i="95"/>
  <c r="M16" i="95"/>
  <c r="M15" i="95"/>
  <c r="M10" i="95"/>
  <c r="M9" i="95"/>
  <c r="M8" i="95"/>
  <c r="M7" i="95"/>
  <c r="M59" i="33"/>
  <c r="S74" i="3"/>
  <c r="S69" i="3" l="1"/>
  <c r="S68" i="3"/>
  <c r="BO7" i="95"/>
  <c r="AC22" i="80"/>
  <c r="AC23" i="80"/>
  <c r="AC24" i="80"/>
  <c r="AC25" i="80"/>
  <c r="AC26" i="80"/>
  <c r="AC27" i="80"/>
  <c r="AC28" i="80"/>
  <c r="AC29" i="80"/>
  <c r="AC31" i="80"/>
  <c r="AC19" i="80"/>
  <c r="AC20" i="80"/>
  <c r="AC18" i="80"/>
  <c r="AN46" i="78"/>
  <c r="AN47" i="78"/>
  <c r="AN48" i="78"/>
  <c r="AN45" i="78"/>
  <c r="BR16" i="95"/>
  <c r="BR17" i="95"/>
  <c r="BR18" i="95"/>
  <c r="BR19" i="95"/>
  <c r="BR20" i="95"/>
  <c r="BR21" i="95"/>
  <c r="BR22" i="95"/>
  <c r="BR23" i="95"/>
  <c r="BR24" i="95"/>
  <c r="BR25" i="95"/>
  <c r="BR26" i="95"/>
  <c r="BR27" i="95"/>
  <c r="BR28" i="95"/>
  <c r="BR29" i="95"/>
  <c r="BR30" i="95"/>
  <c r="BR15" i="95"/>
  <c r="BR10" i="95"/>
  <c r="BR9" i="95"/>
  <c r="BR8" i="95"/>
  <c r="BR7" i="95"/>
  <c r="BO30" i="95"/>
  <c r="BO28" i="95"/>
  <c r="BO27" i="95"/>
  <c r="BO26" i="95"/>
  <c r="BO25" i="95"/>
  <c r="BO24" i="95"/>
  <c r="BO23" i="95"/>
  <c r="BO22" i="95"/>
  <c r="BO21" i="95"/>
  <c r="BO20" i="95"/>
  <c r="BO19" i="95"/>
  <c r="BO18" i="95"/>
  <c r="BO17" i="95"/>
  <c r="BO16" i="95"/>
  <c r="BO15" i="95"/>
  <c r="BO29" i="95"/>
  <c r="BO10" i="95"/>
  <c r="BO9" i="95"/>
  <c r="BO8" i="95"/>
  <c r="D40" i="78" l="1"/>
  <c r="S70" i="3"/>
  <c r="BR3" i="95"/>
  <c r="AI1" i="95" s="1"/>
  <c r="BO3" i="95"/>
  <c r="M1" i="95" s="1"/>
  <c r="AH338" i="68"/>
  <c r="AH337" i="68"/>
  <c r="AH335" i="68"/>
  <c r="AH334" i="68"/>
  <c r="AH332" i="68"/>
  <c r="AH330" i="68"/>
  <c r="AH329" i="68"/>
  <c r="AH327" i="68"/>
  <c r="AH326" i="68"/>
  <c r="AH325" i="68"/>
  <c r="AH323" i="68"/>
  <c r="AK75" i="68"/>
  <c r="AM75" i="68"/>
  <c r="AO75" i="68"/>
  <c r="AQ75" i="68"/>
  <c r="AK76" i="68"/>
  <c r="AM76" i="68"/>
  <c r="AO76" i="68"/>
  <c r="AQ76" i="68"/>
  <c r="AQ82" i="68"/>
  <c r="AO82" i="68"/>
  <c r="AM82" i="68"/>
  <c r="AK82" i="68"/>
  <c r="AQ81" i="68"/>
  <c r="AO81" i="68"/>
  <c r="AM81" i="68"/>
  <c r="AK81" i="68"/>
  <c r="D76" i="68"/>
  <c r="CH146" i="68" l="1"/>
  <c r="CL150" i="68"/>
  <c r="CH145" i="68"/>
  <c r="CI149" i="68"/>
  <c r="CI148" i="68"/>
  <c r="CF150" i="68"/>
  <c r="BZ150" i="68"/>
  <c r="CB146" i="68"/>
  <c r="CB145" i="68"/>
  <c r="CC149" i="68"/>
  <c r="CC148" i="68"/>
  <c r="BV145" i="68"/>
  <c r="BV146" i="68"/>
  <c r="BY147" i="68" s="1"/>
  <c r="BW149" i="68"/>
  <c r="BW148" i="68"/>
  <c r="BT150" i="68"/>
  <c r="BP145" i="68"/>
  <c r="BP146" i="68"/>
  <c r="BR147" i="68" s="1"/>
  <c r="BQ149" i="68"/>
  <c r="BQ148" i="68"/>
  <c r="AQ251" i="68"/>
  <c r="AO251" i="68"/>
  <c r="AM251" i="68"/>
  <c r="AK251" i="68"/>
  <c r="AC248" i="68"/>
  <c r="CL164" i="68"/>
  <c r="CF164" i="68"/>
  <c r="BZ164" i="68"/>
  <c r="CH159" i="68"/>
  <c r="CB159" i="68"/>
  <c r="BV159" i="68"/>
  <c r="CI163" i="68"/>
  <c r="CI162" i="68"/>
  <c r="CC163" i="68"/>
  <c r="CC162" i="68"/>
  <c r="BW163" i="68"/>
  <c r="BW162" i="68"/>
  <c r="BT164" i="68"/>
  <c r="BP159" i="68"/>
  <c r="BQ163" i="68"/>
  <c r="BQ162" i="68"/>
  <c r="AC259" i="68"/>
  <c r="AC256" i="68"/>
  <c r="AC236" i="68"/>
  <c r="AQ182" i="68"/>
  <c r="AQ184" i="68" s="1"/>
  <c r="AO182" i="68"/>
  <c r="AO184" i="68" s="1"/>
  <c r="AM182" i="68"/>
  <c r="AM184" i="68" s="1"/>
  <c r="AK182" i="68"/>
  <c r="AK184" i="68" s="1"/>
  <c r="AC180" i="68"/>
  <c r="AC174" i="68"/>
  <c r="AC178" i="68"/>
  <c r="AC172" i="68"/>
  <c r="AB158" i="68"/>
  <c r="B231" i="68"/>
  <c r="Y34" i="68"/>
  <c r="Y33" i="68"/>
  <c r="Y32" i="68"/>
  <c r="Y31" i="68"/>
  <c r="Y30" i="68"/>
  <c r="CC147" i="68" l="1"/>
  <c r="BS147" i="68"/>
  <c r="CD147" i="68"/>
  <c r="CB149" i="68" s="1"/>
  <c r="BQ147" i="68"/>
  <c r="BT147" i="68"/>
  <c r="BP149" i="68" s="1"/>
  <c r="CE147" i="68"/>
  <c r="CF147" i="68"/>
  <c r="CI147" i="68"/>
  <c r="CJ147" i="68"/>
  <c r="CH149" i="68" s="1"/>
  <c r="CK147" i="68"/>
  <c r="CL147" i="68"/>
  <c r="BZ147" i="68"/>
  <c r="BW147" i="68"/>
  <c r="BX147" i="68"/>
  <c r="Y35" i="68"/>
  <c r="AC38" i="68"/>
  <c r="BV149" i="68" l="1"/>
  <c r="Z30" i="68"/>
  <c r="P73" i="68"/>
  <c r="P188" i="68" s="1"/>
  <c r="BB58" i="58"/>
  <c r="AL31" i="58"/>
  <c r="AQ61" i="58"/>
  <c r="AA63" i="58"/>
  <c r="V63" i="58"/>
  <c r="Q63" i="58"/>
  <c r="AA62" i="58"/>
  <c r="V62" i="58"/>
  <c r="Q62" i="58"/>
  <c r="AA61" i="58"/>
  <c r="V61" i="58"/>
  <c r="Q61" i="58"/>
  <c r="AA60" i="58"/>
  <c r="V60" i="58"/>
  <c r="Q60" i="58"/>
  <c r="AA59" i="58"/>
  <c r="V59" i="58"/>
  <c r="Q59" i="58"/>
  <c r="AA58" i="58"/>
  <c r="V58" i="58"/>
  <c r="Q58" i="58"/>
  <c r="AA57" i="58"/>
  <c r="V57" i="58"/>
  <c r="Q57" i="58"/>
  <c r="AA56" i="58"/>
  <c r="V56" i="58"/>
  <c r="Q56" i="58"/>
  <c r="AA55" i="58"/>
  <c r="V55" i="58"/>
  <c r="Q55" i="58"/>
  <c r="AA54" i="58"/>
  <c r="V54" i="58"/>
  <c r="Q54" i="58"/>
  <c r="AA53" i="58"/>
  <c r="V53" i="58"/>
  <c r="Q53" i="58"/>
  <c r="AA52" i="58"/>
  <c r="V52" i="58"/>
  <c r="Q52" i="58"/>
  <c r="AA47" i="58"/>
  <c r="V47" i="58"/>
  <c r="Q47" i="58"/>
  <c r="AM16" i="58"/>
  <c r="AJ18" i="58" s="1"/>
  <c r="H48" i="53"/>
  <c r="B11" i="82"/>
  <c r="AL7" i="82"/>
  <c r="E63" i="71"/>
  <c r="E126" i="71"/>
  <c r="C117" i="71"/>
  <c r="C54" i="71"/>
  <c r="M102" i="71"/>
  <c r="C82" i="71"/>
  <c r="C20" i="71"/>
  <c r="E183" i="91"/>
  <c r="D79" i="91"/>
  <c r="AL145" i="91"/>
  <c r="AL41" i="91"/>
  <c r="D187" i="91"/>
  <c r="D186" i="91"/>
  <c r="Y199" i="91"/>
  <c r="D199" i="91"/>
  <c r="D198" i="91"/>
  <c r="D166" i="91"/>
  <c r="D165" i="91"/>
  <c r="D164" i="91"/>
  <c r="D145" i="91"/>
  <c r="D41" i="91"/>
  <c r="D148" i="91"/>
  <c r="D146" i="91"/>
  <c r="D44" i="91"/>
  <c r="Y95" i="91"/>
  <c r="D95" i="91"/>
  <c r="D94" i="91"/>
  <c r="D61" i="91"/>
  <c r="D62" i="91"/>
  <c r="D60" i="91"/>
  <c r="AM18" i="58" l="1"/>
  <c r="AY115" i="2"/>
  <c r="AZ115" i="2" s="1"/>
  <c r="F129" i="91"/>
  <c r="F25" i="91"/>
  <c r="AB182" i="62"/>
  <c r="P159" i="62"/>
  <c r="D16" i="37"/>
  <c r="E8" i="37"/>
  <c r="AZ116" i="2" l="1"/>
  <c r="D134" i="91"/>
  <c r="D141" i="91"/>
  <c r="D37" i="91"/>
  <c r="D30" i="91"/>
  <c r="AY116" i="2"/>
  <c r="AG4" i="3"/>
  <c r="I29" i="15"/>
  <c r="Z36" i="2"/>
  <c r="E1" i="87"/>
  <c r="X19" i="59"/>
  <c r="R44" i="59" s="1"/>
  <c r="S11" i="59"/>
  <c r="R76" i="59"/>
  <c r="R209" i="59"/>
  <c r="R206" i="59"/>
  <c r="R203" i="59"/>
  <c r="R199" i="59"/>
  <c r="W201" i="59"/>
  <c r="M80" i="59"/>
  <c r="R77" i="59"/>
  <c r="R73" i="59"/>
  <c r="R60" i="59"/>
  <c r="R182" i="59" s="1"/>
  <c r="T162" i="59"/>
  <c r="T163" i="59"/>
  <c r="T164" i="59"/>
  <c r="T165" i="59"/>
  <c r="T166" i="59"/>
  <c r="T167" i="59"/>
  <c r="T168" i="59"/>
  <c r="T169" i="59"/>
  <c r="T170" i="59"/>
  <c r="T171" i="59"/>
  <c r="T161" i="59"/>
  <c r="T40" i="59"/>
  <c r="T41" i="59"/>
  <c r="T39" i="59"/>
  <c r="R42" i="59"/>
  <c r="P159" i="59"/>
  <c r="W155" i="59"/>
  <c r="E117" i="59"/>
  <c r="M97" i="59"/>
  <c r="C94" i="59"/>
  <c r="C92" i="59"/>
  <c r="N86" i="59"/>
  <c r="O86" i="59"/>
  <c r="P86" i="59"/>
  <c r="C75" i="59"/>
  <c r="C74" i="59"/>
  <c r="L69" i="59"/>
  <c r="S66" i="59"/>
  <c r="W33" i="59"/>
  <c r="D202" i="59"/>
  <c r="D201" i="59"/>
  <c r="D198" i="59"/>
  <c r="D197" i="59"/>
  <c r="R200" i="59"/>
  <c r="D200" i="59"/>
  <c r="F218" i="59"/>
  <c r="F219" i="59"/>
  <c r="F220" i="59"/>
  <c r="F221" i="59"/>
  <c r="F222" i="59"/>
  <c r="F223" i="59"/>
  <c r="F224" i="59"/>
  <c r="F225" i="59"/>
  <c r="F226" i="59"/>
  <c r="F227" i="59"/>
  <c r="F228" i="59"/>
  <c r="F229" i="59"/>
  <c r="F230" i="59"/>
  <c r="F231" i="59"/>
  <c r="F217" i="59"/>
  <c r="C56" i="59"/>
  <c r="D53" i="59"/>
  <c r="D51" i="59"/>
  <c r="D50" i="59"/>
  <c r="S35" i="59"/>
  <c r="B32" i="59"/>
  <c r="B31" i="59"/>
  <c r="S15" i="59"/>
  <c r="E332" i="76"/>
  <c r="E331" i="76"/>
  <c r="E330" i="76"/>
  <c r="E329" i="76"/>
  <c r="C205" i="76"/>
  <c r="AS205" i="76" s="1"/>
  <c r="G260" i="76"/>
  <c r="R178" i="59" l="1"/>
  <c r="R180" i="59"/>
  <c r="R184" i="59" s="1"/>
  <c r="T42" i="59"/>
  <c r="U40" i="59"/>
  <c r="X44" i="59" s="1"/>
  <c r="B209" i="59"/>
  <c r="R234" i="59" s="1"/>
  <c r="AH75" i="92"/>
  <c r="E18" i="92"/>
  <c r="E10" i="92"/>
  <c r="E51" i="92"/>
  <c r="E50" i="92"/>
  <c r="C63" i="92" s="1"/>
  <c r="F76" i="92"/>
  <c r="F75" i="92"/>
  <c r="F74" i="92"/>
  <c r="F67" i="92"/>
  <c r="F66" i="92"/>
  <c r="F65" i="92"/>
  <c r="F58" i="92"/>
  <c r="F56" i="92"/>
  <c r="F57" i="92"/>
  <c r="F47" i="92"/>
  <c r="F48" i="92"/>
  <c r="F46" i="92"/>
  <c r="C43" i="92"/>
  <c r="E31" i="92"/>
  <c r="E26" i="92"/>
  <c r="R213" i="59" l="1"/>
  <c r="G257" i="76"/>
  <c r="K253" i="76"/>
  <c r="G248" i="76"/>
  <c r="D126" i="76"/>
  <c r="AO146" i="76"/>
  <c r="B119" i="76"/>
  <c r="D51" i="76"/>
  <c r="D39" i="76"/>
  <c r="D37" i="76"/>
  <c r="O7" i="14" l="1"/>
  <c r="O6" i="14"/>
  <c r="I20" i="14"/>
  <c r="I16" i="14"/>
  <c r="AZ107" i="2" l="1"/>
  <c r="AZ127" i="2"/>
  <c r="D137" i="60" l="1"/>
  <c r="D129" i="60"/>
  <c r="A128" i="60" l="1"/>
  <c r="A121" i="60"/>
  <c r="A343" i="60"/>
  <c r="E67" i="13"/>
  <c r="AC67" i="79"/>
  <c r="AC65" i="79"/>
  <c r="AC64" i="79"/>
  <c r="AC62" i="79"/>
  <c r="AC60" i="79"/>
  <c r="AC58" i="79"/>
  <c r="AC56" i="79"/>
  <c r="AC55" i="79"/>
  <c r="AC54" i="79"/>
  <c r="AC53" i="79"/>
  <c r="AC51" i="79"/>
  <c r="AC49" i="79"/>
  <c r="AC47" i="79"/>
  <c r="AC45" i="79"/>
  <c r="AC41" i="79"/>
  <c r="AC39" i="79"/>
  <c r="AC20" i="79"/>
  <c r="E41" i="79"/>
  <c r="AA18" i="78"/>
  <c r="B15" i="12"/>
  <c r="B8" i="12"/>
  <c r="AN92" i="78"/>
  <c r="AO92" i="78"/>
  <c r="AP92" i="78"/>
  <c r="AQ92" i="78"/>
  <c r="AR92" i="78"/>
  <c r="AS92" i="78"/>
  <c r="AT92" i="78"/>
  <c r="AU92" i="78"/>
  <c r="AV92" i="78"/>
  <c r="AW92" i="78"/>
  <c r="AJ92" i="78"/>
  <c r="AY92" i="78" s="1"/>
  <c r="AK92" i="78"/>
  <c r="AZ92" i="78" s="1"/>
  <c r="AL92" i="78"/>
  <c r="BA92" i="78" s="1"/>
  <c r="AM92" i="78"/>
  <c r="AC20" i="78" l="1"/>
  <c r="G88" i="2"/>
  <c r="G74" i="2"/>
  <c r="G73" i="2"/>
  <c r="AA41" i="2"/>
  <c r="AA40" i="2"/>
  <c r="G61" i="89"/>
  <c r="AH37" i="76"/>
  <c r="G94" i="76"/>
  <c r="D95" i="76"/>
  <c r="D91" i="76"/>
  <c r="C33" i="76"/>
  <c r="BI16" i="95"/>
  <c r="BJ16" i="95" s="1"/>
  <c r="BI17" i="95"/>
  <c r="BJ17" i="95" s="1"/>
  <c r="BI18" i="95"/>
  <c r="BJ18" i="95" s="1"/>
  <c r="BI19" i="95"/>
  <c r="BJ19" i="95" s="1"/>
  <c r="BI20" i="95"/>
  <c r="BK20" i="95" s="1"/>
  <c r="BI21" i="95"/>
  <c r="BJ21" i="95" s="1"/>
  <c r="BI22" i="95"/>
  <c r="BJ22" i="95" s="1"/>
  <c r="BI23" i="95"/>
  <c r="BK23" i="95" s="1"/>
  <c r="BI24" i="95"/>
  <c r="BJ24" i="95" s="1"/>
  <c r="BI25" i="95"/>
  <c r="BJ25" i="95" s="1"/>
  <c r="BI26" i="95"/>
  <c r="BK26" i="95" s="1"/>
  <c r="BI27" i="95"/>
  <c r="BK27" i="95" s="1"/>
  <c r="BI28" i="95"/>
  <c r="BJ28" i="95" s="1"/>
  <c r="BI29" i="95"/>
  <c r="BJ29" i="95" s="1"/>
  <c r="BI30" i="95"/>
  <c r="BJ30" i="95" s="1"/>
  <c r="BI15" i="95"/>
  <c r="BJ15" i="95" s="1"/>
  <c r="BI8" i="95"/>
  <c r="BJ8" i="95" s="1"/>
  <c r="BI9" i="95"/>
  <c r="BK9" i="95" s="1"/>
  <c r="BI10" i="95"/>
  <c r="BJ10" i="95" s="1"/>
  <c r="BI7" i="95"/>
  <c r="BK7" i="95" s="1"/>
  <c r="BH30" i="95"/>
  <c r="BH29" i="95"/>
  <c r="BH28" i="95"/>
  <c r="BH27" i="95"/>
  <c r="BH26" i="95"/>
  <c r="BH25" i="95"/>
  <c r="BH24" i="95"/>
  <c r="BH23" i="95"/>
  <c r="BH22" i="95"/>
  <c r="BH21" i="95"/>
  <c r="BH20" i="95"/>
  <c r="BH19" i="95"/>
  <c r="BH18" i="95"/>
  <c r="BH17" i="95"/>
  <c r="BH16" i="95"/>
  <c r="BH15" i="95"/>
  <c r="BH10" i="95"/>
  <c r="BH9" i="95"/>
  <c r="BH8" i="95"/>
  <c r="BH7" i="95"/>
  <c r="AF36" i="2"/>
  <c r="AF35" i="2"/>
  <c r="AF34" i="2"/>
  <c r="AF33" i="2"/>
  <c r="S34" i="2"/>
  <c r="S35" i="2"/>
  <c r="S36" i="2"/>
  <c r="S33" i="2"/>
  <c r="Z34" i="2"/>
  <c r="Z35" i="2"/>
  <c r="Z33" i="2"/>
  <c r="M34" i="2"/>
  <c r="M35" i="2"/>
  <c r="M36" i="2"/>
  <c r="M33" i="2"/>
  <c r="E34" i="2"/>
  <c r="E35" i="2"/>
  <c r="E36" i="2"/>
  <c r="E33" i="2"/>
  <c r="AO30" i="95"/>
  <c r="AO29" i="95"/>
  <c r="AO28" i="95"/>
  <c r="AO27" i="95"/>
  <c r="AO26" i="95"/>
  <c r="AO25" i="95"/>
  <c r="AO24" i="95"/>
  <c r="AO23" i="95"/>
  <c r="AO22" i="95"/>
  <c r="AO21" i="95"/>
  <c r="AO20" i="95"/>
  <c r="AO19" i="95"/>
  <c r="AO18" i="95"/>
  <c r="AO17" i="95"/>
  <c r="AO16" i="95"/>
  <c r="AO15" i="95"/>
  <c r="AO8" i="95"/>
  <c r="AO9" i="95"/>
  <c r="AO10" i="95"/>
  <c r="AO7" i="95"/>
  <c r="AL41" i="76" l="1"/>
  <c r="AL61" i="76" s="1"/>
  <c r="BK29" i="95"/>
  <c r="BK25" i="95"/>
  <c r="BJ26" i="95"/>
  <c r="BK17" i="95"/>
  <c r="BJ9" i="95"/>
  <c r="BK16" i="95"/>
  <c r="BK21" i="95"/>
  <c r="BJ20" i="95"/>
  <c r="BK19" i="95"/>
  <c r="BK28" i="95"/>
  <c r="BK18" i="95"/>
  <c r="BJ27" i="95"/>
  <c r="BK24" i="95"/>
  <c r="BJ23" i="95"/>
  <c r="BK30" i="95"/>
  <c r="BK22" i="95"/>
  <c r="AS32" i="95"/>
  <c r="Y12" i="95" s="1"/>
  <c r="BK15" i="95"/>
  <c r="BK8" i="95"/>
  <c r="BK10" i="95"/>
  <c r="BI11" i="95"/>
  <c r="Y4" i="95" s="1"/>
  <c r="BJ7" i="95"/>
  <c r="AR32" i="95"/>
  <c r="BH11" i="95"/>
  <c r="M4" i="95"/>
  <c r="BL17" i="95"/>
  <c r="BL18" i="95"/>
  <c r="BL19" i="95"/>
  <c r="BL20" i="95"/>
  <c r="BL21" i="95"/>
  <c r="BL22" i="95"/>
  <c r="BL23" i="95"/>
  <c r="BL24" i="95"/>
  <c r="BL25" i="95"/>
  <c r="BL26" i="95"/>
  <c r="BL27" i="95"/>
  <c r="BL28" i="95"/>
  <c r="BL29" i="95"/>
  <c r="BL30" i="95"/>
  <c r="BL16" i="95"/>
  <c r="BL15" i="95"/>
  <c r="BL8" i="95"/>
  <c r="BL9" i="95"/>
  <c r="BL10" i="95"/>
  <c r="BL7" i="95"/>
  <c r="AO12" i="95"/>
  <c r="AO4" i="95"/>
  <c r="C204" i="76" l="1"/>
  <c r="AS204" i="76" s="1"/>
  <c r="AL62" i="76"/>
  <c r="AL42" i="76"/>
  <c r="AT32" i="95"/>
  <c r="BK11" i="95"/>
  <c r="BJ11" i="95"/>
  <c r="AU32" i="95"/>
  <c r="AS33" i="95"/>
  <c r="AR33" i="95"/>
  <c r="AQ35" i="95" s="1"/>
  <c r="B106" i="60" s="1"/>
  <c r="BM23" i="95"/>
  <c r="BM22" i="95"/>
  <c r="BM24" i="95"/>
  <c r="BM21" i="95"/>
  <c r="BM7" i="95"/>
  <c r="BM20" i="95"/>
  <c r="BM19" i="95"/>
  <c r="BM9" i="95"/>
  <c r="BM18" i="95"/>
  <c r="BM8" i="95"/>
  <c r="BM17" i="95"/>
  <c r="BM15" i="95"/>
  <c r="BM16" i="95"/>
  <c r="BM30" i="95"/>
  <c r="BM29" i="95"/>
  <c r="BM28" i="95"/>
  <c r="BM27" i="95"/>
  <c r="BM10" i="95"/>
  <c r="BM26" i="95"/>
  <c r="BM25" i="95"/>
  <c r="AQ51" i="76" l="1"/>
  <c r="AR51" i="76"/>
  <c r="AR50" i="76"/>
  <c r="AR49" i="76"/>
  <c r="AQ73" i="76"/>
  <c r="AR73" i="76"/>
  <c r="AR72" i="76"/>
  <c r="AR71" i="76"/>
  <c r="AT33" i="95"/>
  <c r="D10" i="95"/>
  <c r="D36" i="2" s="1"/>
  <c r="AU33" i="95"/>
  <c r="AQ37" i="95" s="1"/>
  <c r="BN28" i="95"/>
  <c r="BN27" i="95"/>
  <c r="BN8" i="95"/>
  <c r="BN30" i="95"/>
  <c r="BN9" i="95"/>
  <c r="BN29" i="95"/>
  <c r="BN15" i="95"/>
  <c r="BN19" i="95"/>
  <c r="BN20" i="95"/>
  <c r="BN25" i="95"/>
  <c r="BN24" i="95"/>
  <c r="BN23" i="95"/>
  <c r="BN16" i="95"/>
  <c r="BN17" i="95"/>
  <c r="BN18" i="95"/>
  <c r="BN7" i="95"/>
  <c r="BN21" i="95"/>
  <c r="BN26" i="95"/>
  <c r="BN10" i="95"/>
  <c r="BN22" i="95"/>
  <c r="D49" i="76"/>
  <c r="F96" i="76"/>
  <c r="AL83" i="76"/>
  <c r="AO118" i="76"/>
  <c r="D72" i="76"/>
  <c r="B60" i="76"/>
  <c r="AE194" i="76"/>
  <c r="D177" i="76"/>
  <c r="AJ165" i="76"/>
  <c r="D151" i="76"/>
  <c r="D149" i="76"/>
  <c r="AJ37" i="2"/>
  <c r="AJ38" i="2"/>
  <c r="C24" i="76"/>
  <c r="AG73" i="79"/>
  <c r="AN20" i="79"/>
  <c r="G77" i="2"/>
  <c r="B21" i="2"/>
  <c r="AL57" i="80"/>
  <c r="AL55" i="80"/>
  <c r="AL51" i="80"/>
  <c r="AL49" i="80"/>
  <c r="AL47" i="80"/>
  <c r="AL46" i="80"/>
  <c r="AL44" i="80"/>
  <c r="D55" i="80"/>
  <c r="D46" i="80"/>
  <c r="B37" i="80"/>
  <c r="AG36" i="80"/>
  <c r="X107" i="23"/>
  <c r="X106" i="23"/>
  <c r="AK78" i="23"/>
  <c r="AK19" i="23"/>
  <c r="X108" i="23"/>
  <c r="D84" i="23"/>
  <c r="D25" i="23"/>
  <c r="D139" i="84"/>
  <c r="D12" i="84"/>
  <c r="AH66" i="3"/>
  <c r="Y77" i="3"/>
  <c r="Y76" i="3"/>
  <c r="W70" i="3"/>
  <c r="S51" i="3"/>
  <c r="W55" i="3"/>
  <c r="V55" i="3"/>
  <c r="V53" i="3"/>
  <c r="W54" i="3"/>
  <c r="AC83" i="78"/>
  <c r="AC38" i="78"/>
  <c r="AC37" i="78"/>
  <c r="AC36" i="78"/>
  <c r="AC35" i="78"/>
  <c r="AC34" i="78"/>
  <c r="AC32" i="78"/>
  <c r="AC29" i="78"/>
  <c r="AC28" i="78"/>
  <c r="AC27" i="78"/>
  <c r="AC26" i="78"/>
  <c r="AC25" i="78"/>
  <c r="AC22" i="78"/>
  <c r="AC21" i="78"/>
  <c r="AC81" i="78"/>
  <c r="AC79" i="78"/>
  <c r="AC78" i="78"/>
  <c r="AC75" i="78"/>
  <c r="AC73" i="78"/>
  <c r="AC72" i="78"/>
  <c r="AC71" i="78"/>
  <c r="AC69" i="78"/>
  <c r="AC68" i="78"/>
  <c r="AC66" i="78"/>
  <c r="AC64" i="78"/>
  <c r="B45" i="78"/>
  <c r="AG44" i="78"/>
  <c r="BS8" i="95" l="1"/>
  <c r="BT8" i="95" s="1"/>
  <c r="AQ36" i="95"/>
  <c r="AC84" i="78"/>
  <c r="BU15" i="95"/>
  <c r="BP15" i="95"/>
  <c r="BW15" i="95" s="1"/>
  <c r="BS16" i="95"/>
  <c r="BP16" i="95"/>
  <c r="BW16" i="95" s="1"/>
  <c r="BS23" i="95"/>
  <c r="BP23" i="95"/>
  <c r="BW23" i="95" s="1"/>
  <c r="BU24" i="95"/>
  <c r="BP24" i="95"/>
  <c r="BW24" i="95" s="1"/>
  <c r="BU28" i="95"/>
  <c r="BP28" i="95"/>
  <c r="BW28" i="95" s="1"/>
  <c r="BU17" i="95"/>
  <c r="BP17" i="95"/>
  <c r="BW17" i="95" s="1"/>
  <c r="BS19" i="95"/>
  <c r="BP19" i="95"/>
  <c r="BW19" i="95" s="1"/>
  <c r="BU27" i="95"/>
  <c r="BP27" i="95"/>
  <c r="BW27" i="95" s="1"/>
  <c r="BS18" i="95"/>
  <c r="BP18" i="95"/>
  <c r="BW18" i="95" s="1"/>
  <c r="BS25" i="95"/>
  <c r="BP25" i="95"/>
  <c r="BW25" i="95" s="1"/>
  <c r="BS29" i="95"/>
  <c r="BP29" i="95"/>
  <c r="BW29" i="95" s="1"/>
  <c r="BS26" i="95"/>
  <c r="BP26" i="95"/>
  <c r="BW26" i="95" s="1"/>
  <c r="BU20" i="95"/>
  <c r="BP20" i="95"/>
  <c r="BW20" i="95" s="1"/>
  <c r="BU21" i="95"/>
  <c r="BP21" i="95"/>
  <c r="BW21" i="95" s="1"/>
  <c r="BU22" i="95"/>
  <c r="BP22" i="95"/>
  <c r="BW22" i="95" s="1"/>
  <c r="BS30" i="95"/>
  <c r="BP30" i="95"/>
  <c r="BW30" i="95" s="1"/>
  <c r="BS10" i="95"/>
  <c r="BP10" i="95"/>
  <c r="BW10" i="95" s="1"/>
  <c r="BU9" i="95"/>
  <c r="BP9" i="95"/>
  <c r="BW9" i="95" s="1"/>
  <c r="BU7" i="95"/>
  <c r="BP7" i="95"/>
  <c r="BW7" i="95" s="1"/>
  <c r="BU8" i="95"/>
  <c r="BP8" i="95"/>
  <c r="BW8" i="95" s="1"/>
  <c r="AL34" i="2"/>
  <c r="BU10" i="95"/>
  <c r="BU19" i="95"/>
  <c r="BS9" i="95"/>
  <c r="BU26" i="95"/>
  <c r="BU25" i="95"/>
  <c r="BU16" i="95"/>
  <c r="BS17" i="95"/>
  <c r="BU29" i="95"/>
  <c r="BS27" i="95"/>
  <c r="BS15" i="95"/>
  <c r="BS7" i="95"/>
  <c r="BS24" i="95"/>
  <c r="BU30" i="95"/>
  <c r="BS20" i="95"/>
  <c r="BU23" i="95"/>
  <c r="BS22" i="95"/>
  <c r="BS28" i="95"/>
  <c r="BU18" i="95"/>
  <c r="BS21" i="95"/>
  <c r="AQ8" i="95" l="1"/>
  <c r="BT24" i="95"/>
  <c r="AQ24" i="95" s="1"/>
  <c r="BT25" i="95"/>
  <c r="AQ25" i="95" s="1"/>
  <c r="BT20" i="95"/>
  <c r="AQ20" i="95" s="1"/>
  <c r="BT23" i="95"/>
  <c r="AQ23" i="95" s="1"/>
  <c r="BT21" i="95"/>
  <c r="AQ21" i="95" s="1"/>
  <c r="BT27" i="95"/>
  <c r="AQ27" i="95" s="1"/>
  <c r="BT22" i="95"/>
  <c r="AQ22" i="95" s="1"/>
  <c r="BT30" i="95"/>
  <c r="AQ30" i="95" s="1"/>
  <c r="BT29" i="95"/>
  <c r="AQ29" i="95" s="1"/>
  <c r="BT28" i="95"/>
  <c r="AQ28" i="95" s="1"/>
  <c r="BT26" i="95"/>
  <c r="AQ26" i="95" s="1"/>
  <c r="BT9" i="95"/>
  <c r="AQ9" i="95" s="1"/>
  <c r="BT10" i="95"/>
  <c r="AQ10" i="95" s="1"/>
  <c r="BT7" i="95"/>
  <c r="AQ7" i="95" s="1"/>
  <c r="BT15" i="95"/>
  <c r="AQ15" i="95" s="1"/>
  <c r="BT16" i="95"/>
  <c r="AQ16" i="95" s="1"/>
  <c r="BD41" i="95"/>
  <c r="AH52" i="92" s="1"/>
  <c r="BT18" i="95"/>
  <c r="AQ18" i="95" s="1"/>
  <c r="BT17" i="95"/>
  <c r="AQ17" i="95" s="1"/>
  <c r="BT19" i="95"/>
  <c r="AQ19" i="95" s="1"/>
  <c r="AL33" i="2"/>
  <c r="AY32" i="95"/>
  <c r="BP11" i="95"/>
  <c r="BF36" i="95"/>
  <c r="AE23" i="76" s="1"/>
  <c r="AL24" i="76" s="1"/>
  <c r="BD36" i="95"/>
  <c r="AE18" i="76" l="1"/>
  <c r="BE36" i="95"/>
  <c r="AE19" i="76" s="1"/>
  <c r="AK149" i="76" s="1"/>
  <c r="AY33" i="95"/>
  <c r="C211" i="76" l="1"/>
  <c r="AS211" i="76" s="1"/>
  <c r="AK155" i="76"/>
  <c r="AE20" i="76"/>
  <c r="AS67" i="76"/>
  <c r="BG378" i="74"/>
  <c r="BG248" i="74"/>
  <c r="BG118" i="74"/>
  <c r="AK151" i="76" l="1"/>
  <c r="AK153" i="76" s="1"/>
  <c r="AK157" i="76" s="1"/>
  <c r="AC12" i="78"/>
  <c r="C23" i="93" l="1"/>
  <c r="AL26" i="82" l="1"/>
  <c r="AL25" i="82"/>
  <c r="W25" i="82" s="1"/>
  <c r="AL43" i="82" l="1"/>
  <c r="AL27" i="82"/>
  <c r="W27" i="82" l="1"/>
  <c r="AL28" i="82" s="1"/>
  <c r="AL47" i="78"/>
  <c r="F1" i="55" l="1"/>
  <c r="C1" i="2" s="1"/>
  <c r="H37" i="87" l="1"/>
  <c r="H34" i="87"/>
  <c r="H32" i="87"/>
  <c r="H31" i="87"/>
  <c r="H30" i="87"/>
  <c r="H29" i="87"/>
  <c r="H28" i="87"/>
  <c r="H26" i="87"/>
  <c r="H25" i="87"/>
  <c r="I18" i="87"/>
  <c r="I15" i="87"/>
  <c r="I13" i="87"/>
  <c r="I12" i="87"/>
  <c r="I11" i="87"/>
  <c r="I10" i="87"/>
  <c r="I9" i="87"/>
  <c r="I7" i="87"/>
  <c r="I6" i="87"/>
  <c r="AC13" i="78"/>
  <c r="I37" i="87" l="1"/>
  <c r="I30" i="87"/>
  <c r="I31" i="87"/>
  <c r="Q28" i="56" s="1"/>
  <c r="I32" i="87"/>
  <c r="I29" i="87"/>
  <c r="I34" i="87"/>
  <c r="I26" i="87"/>
  <c r="I28" i="87"/>
  <c r="I25" i="87"/>
  <c r="X117" i="5"/>
  <c r="Q24" i="56" l="1"/>
  <c r="AX15" i="2"/>
  <c r="AX13" i="2"/>
  <c r="AX14" i="2"/>
  <c r="K33" i="59" l="1"/>
  <c r="Z60" i="23" l="1"/>
  <c r="O80" i="6"/>
  <c r="P79" i="37" l="1"/>
  <c r="AR34" i="2"/>
  <c r="AR33" i="2"/>
  <c r="AR32" i="2"/>
  <c r="AR31" i="2"/>
  <c r="AH32" i="68" l="1"/>
  <c r="AM214" i="68" l="1"/>
  <c r="AK214" i="68"/>
  <c r="AI214" i="68"/>
  <c r="R166" i="68"/>
  <c r="V166" i="68"/>
  <c r="T166" i="68"/>
  <c r="P166" i="68"/>
  <c r="E66" i="68" l="1"/>
  <c r="F72" i="30" l="1"/>
  <c r="E72" i="30"/>
  <c r="D72" i="30"/>
  <c r="F71" i="30"/>
  <c r="E71" i="30"/>
  <c r="D71" i="30"/>
  <c r="O45" i="30"/>
  <c r="N45" i="30"/>
  <c r="M45" i="30"/>
  <c r="O44" i="30"/>
  <c r="N44" i="30"/>
  <c r="M44" i="30"/>
  <c r="O18" i="30"/>
  <c r="N18" i="30"/>
  <c r="M18" i="30"/>
  <c r="O17" i="30"/>
  <c r="N17" i="30"/>
  <c r="M17" i="30"/>
  <c r="G89" i="15" l="1"/>
  <c r="D31" i="40" l="1"/>
  <c r="D32" i="40" l="1"/>
  <c r="G31" i="40"/>
  <c r="C20" i="40"/>
  <c r="AL62" i="91" l="1"/>
  <c r="AL166" i="91"/>
  <c r="AL47" i="91"/>
  <c r="G45" i="89" l="1"/>
  <c r="AJ119" i="93" l="1"/>
  <c r="AD118" i="93"/>
  <c r="C117" i="93"/>
  <c r="C114" i="93"/>
  <c r="AG95" i="93"/>
  <c r="AC95" i="93"/>
  <c r="Y95" i="93"/>
  <c r="U95" i="93"/>
  <c r="Q95" i="93"/>
  <c r="M95" i="93"/>
  <c r="AF85" i="93"/>
  <c r="V20" i="93" s="1"/>
  <c r="AD21" i="93" s="1"/>
  <c r="AA84" i="93"/>
  <c r="AD58" i="93" s="1"/>
  <c r="B64" i="93"/>
  <c r="AJ63" i="93"/>
  <c r="AM55" i="93"/>
  <c r="AM54" i="93"/>
  <c r="AM53" i="93"/>
  <c r="AM52" i="93"/>
  <c r="B52" i="93"/>
  <c r="AM51" i="93"/>
  <c r="AM50" i="93"/>
  <c r="AM49" i="93"/>
  <c r="AM48" i="93"/>
  <c r="AM47" i="93"/>
  <c r="AM46" i="93"/>
  <c r="AM45" i="93"/>
  <c r="AM44" i="93"/>
  <c r="AM43" i="93"/>
  <c r="AM42" i="93"/>
  <c r="AM41" i="93"/>
  <c r="B39" i="93"/>
  <c r="AM35" i="93"/>
  <c r="C35" i="93"/>
  <c r="AM32" i="93"/>
  <c r="AM31" i="93"/>
  <c r="AM30" i="93"/>
  <c r="C26" i="93"/>
  <c r="AD14" i="93"/>
  <c r="AD16" i="93" s="1"/>
  <c r="AD24" i="93" s="1"/>
  <c r="AC3" i="93"/>
  <c r="AM59" i="93" l="1"/>
  <c r="AM36" i="93"/>
  <c r="AD22" i="93"/>
  <c r="AD25" i="93" s="1"/>
  <c r="W26" i="93" l="1"/>
  <c r="AD60" i="93"/>
  <c r="AL116" i="91" l="1"/>
  <c r="AL11" i="91"/>
  <c r="F65" i="30"/>
  <c r="F74" i="30"/>
  <c r="F66" i="30"/>
  <c r="F60" i="30"/>
  <c r="AS30" i="30"/>
  <c r="AS32" i="30" s="1"/>
  <c r="AR30" i="30"/>
  <c r="AR32" i="30" s="1"/>
  <c r="AQ30" i="30"/>
  <c r="AQ32" i="30" s="1"/>
  <c r="AP30" i="30"/>
  <c r="AP32" i="30" s="1"/>
  <c r="AO30" i="30"/>
  <c r="AO32" i="30" s="1"/>
  <c r="AN30" i="30"/>
  <c r="AN32" i="30" s="1"/>
  <c r="AM30" i="30"/>
  <c r="AM32" i="30" s="1"/>
  <c r="AL30" i="30"/>
  <c r="AL32" i="30" s="1"/>
  <c r="AK30" i="30"/>
  <c r="AK32" i="30" s="1"/>
  <c r="O50" i="30"/>
  <c r="N50" i="30"/>
  <c r="M50" i="30"/>
  <c r="O47" i="30"/>
  <c r="N47" i="30"/>
  <c r="M47" i="30"/>
  <c r="O38" i="30"/>
  <c r="N38" i="30"/>
  <c r="M38" i="30"/>
  <c r="O33" i="30"/>
  <c r="N33" i="30"/>
  <c r="M33" i="30"/>
  <c r="AL3" i="30"/>
  <c r="AL5" i="30" s="1"/>
  <c r="AM3" i="30"/>
  <c r="AM5" i="30" s="1"/>
  <c r="AN3" i="30"/>
  <c r="AN5" i="30" s="1"/>
  <c r="AO3" i="30"/>
  <c r="AO5" i="30" s="1"/>
  <c r="AP3" i="30"/>
  <c r="AP5" i="30" s="1"/>
  <c r="AQ3" i="30"/>
  <c r="AQ5" i="30" s="1"/>
  <c r="AR3" i="30"/>
  <c r="AR5" i="30" s="1"/>
  <c r="AS3" i="30"/>
  <c r="AS5" i="30" s="1"/>
  <c r="AK3" i="30"/>
  <c r="AK5" i="30" s="1"/>
  <c r="AA3" i="30"/>
  <c r="O23" i="30"/>
  <c r="O20" i="30"/>
  <c r="O11" i="30"/>
  <c r="O6" i="30"/>
  <c r="AI30" i="30"/>
  <c r="AH30" i="30"/>
  <c r="AG30" i="30"/>
  <c r="AF30" i="30"/>
  <c r="AE30" i="30"/>
  <c r="AD30" i="30"/>
  <c r="AC30" i="30"/>
  <c r="AB30" i="30"/>
  <c r="AA30" i="30"/>
  <c r="AI3" i="30"/>
  <c r="AH3" i="30"/>
  <c r="AG3" i="30"/>
  <c r="AF3" i="30"/>
  <c r="AE3" i="30"/>
  <c r="AD3" i="30"/>
  <c r="AC3" i="30"/>
  <c r="AB3" i="30"/>
  <c r="V3" i="30"/>
  <c r="O5" i="30" l="1"/>
  <c r="O32" i="30"/>
  <c r="AC45" i="30"/>
  <c r="AC32" i="30"/>
  <c r="AC51" i="30"/>
  <c r="AC42" i="30"/>
  <c r="AC39" i="30"/>
  <c r="AC35" i="30"/>
  <c r="AC34" i="30"/>
  <c r="AC46" i="30"/>
  <c r="AC49" i="30"/>
  <c r="AC43" i="30"/>
  <c r="AC40" i="30"/>
  <c r="AC36" i="30"/>
  <c r="AC44" i="30"/>
  <c r="AC31" i="30"/>
  <c r="AC48" i="30"/>
  <c r="AC41" i="30"/>
  <c r="AC37" i="30"/>
  <c r="AP19" i="30"/>
  <c r="AP11" i="30"/>
  <c r="AP18" i="30"/>
  <c r="AP17" i="30"/>
  <c r="AP21" i="30"/>
  <c r="AP9" i="30"/>
  <c r="AP16" i="30"/>
  <c r="AP10" i="30"/>
  <c r="AP15" i="30"/>
  <c r="AP12" i="30"/>
  <c r="AP24" i="30"/>
  <c r="AP14" i="30"/>
  <c r="AP8" i="30"/>
  <c r="AP4" i="30"/>
  <c r="AP22" i="30"/>
  <c r="AP13" i="30"/>
  <c r="AP7" i="30"/>
  <c r="AN21" i="30"/>
  <c r="AN12" i="30"/>
  <c r="AN7" i="30"/>
  <c r="AN19" i="30"/>
  <c r="AN11" i="30"/>
  <c r="AN22" i="30"/>
  <c r="AN10" i="30"/>
  <c r="AN18" i="30"/>
  <c r="AN13" i="30"/>
  <c r="AN17" i="30"/>
  <c r="AN16" i="30"/>
  <c r="AN15" i="30"/>
  <c r="AN9" i="30"/>
  <c r="AN24" i="30"/>
  <c r="AN14" i="30"/>
  <c r="AN8" i="30"/>
  <c r="AN4" i="30"/>
  <c r="AN48" i="30"/>
  <c r="AN51" i="30"/>
  <c r="AN44" i="30"/>
  <c r="AN31" i="30"/>
  <c r="AN41" i="30"/>
  <c r="AN46" i="30"/>
  <c r="AN37" i="30"/>
  <c r="AN34" i="30"/>
  <c r="AN49" i="30"/>
  <c r="AN45" i="30"/>
  <c r="AN42" i="30"/>
  <c r="AN39" i="30"/>
  <c r="AN35" i="30"/>
  <c r="AN36" i="30"/>
  <c r="AN43" i="30"/>
  <c r="AN40" i="30"/>
  <c r="AO51" i="30"/>
  <c r="AO44" i="30"/>
  <c r="AO31" i="30"/>
  <c r="AO41" i="30"/>
  <c r="AO48" i="30"/>
  <c r="AO37" i="30"/>
  <c r="AO34" i="30"/>
  <c r="AO49" i="30"/>
  <c r="AO45" i="30"/>
  <c r="AO42" i="30"/>
  <c r="AO39" i="30"/>
  <c r="AO35" i="30"/>
  <c r="AO43" i="30"/>
  <c r="AO46" i="30"/>
  <c r="AO40" i="30"/>
  <c r="AO36" i="30"/>
  <c r="AO24" i="30"/>
  <c r="AO19" i="30"/>
  <c r="AO11" i="30"/>
  <c r="AO9" i="30"/>
  <c r="AO4" i="30"/>
  <c r="AO18" i="30"/>
  <c r="AO13" i="30"/>
  <c r="AO17" i="30"/>
  <c r="AO21" i="30"/>
  <c r="AO16" i="30"/>
  <c r="AO10" i="30"/>
  <c r="AO12" i="30"/>
  <c r="AO15" i="30"/>
  <c r="AO8" i="30"/>
  <c r="AO7" i="30"/>
  <c r="AO14" i="30"/>
  <c r="AO22" i="30"/>
  <c r="V17" i="30"/>
  <c r="V16" i="30"/>
  <c r="V10" i="30"/>
  <c r="V7" i="30"/>
  <c r="V15" i="30"/>
  <c r="V9" i="30"/>
  <c r="V5" i="30"/>
  <c r="V18" i="30"/>
  <c r="V24" i="30"/>
  <c r="V14" i="30"/>
  <c r="V8" i="30"/>
  <c r="V4" i="30"/>
  <c r="V22" i="30"/>
  <c r="V13" i="30"/>
  <c r="V21" i="30"/>
  <c r="V12" i="30"/>
  <c r="V19" i="30"/>
  <c r="AP41" i="30"/>
  <c r="AP37" i="30"/>
  <c r="AP34" i="30"/>
  <c r="AP49" i="30"/>
  <c r="AP45" i="30"/>
  <c r="AP42" i="30"/>
  <c r="AP39" i="30"/>
  <c r="AP35" i="30"/>
  <c r="AP46" i="30"/>
  <c r="AP48" i="30"/>
  <c r="AP43" i="30"/>
  <c r="AP40" i="30"/>
  <c r="AP31" i="30"/>
  <c r="AP36" i="30"/>
  <c r="AP51" i="30"/>
  <c r="AP44" i="30"/>
  <c r="AD42" i="30"/>
  <c r="AD39" i="30"/>
  <c r="AD35" i="30"/>
  <c r="AD41" i="30"/>
  <c r="AD46" i="30"/>
  <c r="AD49" i="30"/>
  <c r="AD43" i="30"/>
  <c r="AD40" i="30"/>
  <c r="AD36" i="30"/>
  <c r="AD48" i="30"/>
  <c r="AD45" i="30"/>
  <c r="AD51" i="30"/>
  <c r="AD44" i="30"/>
  <c r="AD31" i="30"/>
  <c r="AD37" i="30"/>
  <c r="AD32" i="30"/>
  <c r="AD34" i="30"/>
  <c r="AF35" i="30"/>
  <c r="AF46" i="30"/>
  <c r="AF43" i="30"/>
  <c r="AF40" i="30"/>
  <c r="AF42" i="30"/>
  <c r="AF36" i="30"/>
  <c r="AF48" i="30"/>
  <c r="AF51" i="30"/>
  <c r="AF44" i="30"/>
  <c r="AF31" i="30"/>
  <c r="AF41" i="30"/>
  <c r="AF37" i="30"/>
  <c r="AF34" i="30"/>
  <c r="AF39" i="30"/>
  <c r="AF49" i="30"/>
  <c r="AF45" i="30"/>
  <c r="AF32" i="30"/>
  <c r="AR34" i="30"/>
  <c r="AR49" i="30"/>
  <c r="AR45" i="30"/>
  <c r="AR42" i="30"/>
  <c r="AR39" i="30"/>
  <c r="AR35" i="30"/>
  <c r="AR46" i="30"/>
  <c r="AR43" i="30"/>
  <c r="AR40" i="30"/>
  <c r="AR37" i="30"/>
  <c r="AR36" i="30"/>
  <c r="AR48" i="30"/>
  <c r="AR41" i="30"/>
  <c r="AR51" i="30"/>
  <c r="AR44" i="30"/>
  <c r="AR31" i="30"/>
  <c r="AE39" i="30"/>
  <c r="AE35" i="30"/>
  <c r="AE46" i="30"/>
  <c r="AE43" i="30"/>
  <c r="AE40" i="30"/>
  <c r="AE36" i="30"/>
  <c r="AE32" i="30"/>
  <c r="AE48" i="30"/>
  <c r="AE51" i="30"/>
  <c r="AE44" i="30"/>
  <c r="AE31" i="30"/>
  <c r="AE37" i="30"/>
  <c r="AE41" i="30"/>
  <c r="AE34" i="30"/>
  <c r="AE45" i="30"/>
  <c r="AE49" i="30"/>
  <c r="AE42" i="30"/>
  <c r="AD15" i="30"/>
  <c r="AD9" i="30"/>
  <c r="AD5" i="30"/>
  <c r="AD24" i="30"/>
  <c r="AD14" i="30"/>
  <c r="AD8" i="30"/>
  <c r="AD4" i="30"/>
  <c r="AD22" i="30"/>
  <c r="AD13" i="30"/>
  <c r="AD7" i="30"/>
  <c r="AD21" i="30"/>
  <c r="AD12" i="30"/>
  <c r="AD10" i="30"/>
  <c r="AD19" i="30"/>
  <c r="AD18" i="30"/>
  <c r="AD17" i="30"/>
  <c r="AD16" i="30"/>
  <c r="AS49" i="30"/>
  <c r="AS45" i="30"/>
  <c r="AS42" i="30"/>
  <c r="AS34" i="30"/>
  <c r="AS39" i="30"/>
  <c r="AS35" i="30"/>
  <c r="AS46" i="30"/>
  <c r="AS48" i="30"/>
  <c r="AS43" i="30"/>
  <c r="AS40" i="30"/>
  <c r="AS36" i="30"/>
  <c r="AS51" i="30"/>
  <c r="AS44" i="30"/>
  <c r="AS31" i="30"/>
  <c r="AS41" i="30"/>
  <c r="AS37" i="30"/>
  <c r="AE10" i="30"/>
  <c r="AE15" i="30"/>
  <c r="AE24" i="30"/>
  <c r="AE14" i="30"/>
  <c r="AE8" i="30"/>
  <c r="AE4" i="30"/>
  <c r="AE17" i="30"/>
  <c r="AE22" i="30"/>
  <c r="AE13" i="30"/>
  <c r="AE7" i="30"/>
  <c r="AE21" i="30"/>
  <c r="AE12" i="30"/>
  <c r="AE19" i="30"/>
  <c r="AE18" i="30"/>
  <c r="AE16" i="30"/>
  <c r="AE5" i="30"/>
  <c r="AE9" i="30"/>
  <c r="AF24" i="30"/>
  <c r="AF14" i="30"/>
  <c r="AF8" i="30"/>
  <c r="AF4" i="30"/>
  <c r="AF9" i="30"/>
  <c r="AF22" i="30"/>
  <c r="AF13" i="30"/>
  <c r="AF7" i="30"/>
  <c r="AF21" i="30"/>
  <c r="AF12" i="30"/>
  <c r="AF19" i="30"/>
  <c r="AF18" i="30"/>
  <c r="AF15" i="30"/>
  <c r="AF17" i="30"/>
  <c r="AF5" i="30"/>
  <c r="AF16" i="30"/>
  <c r="AF10" i="30"/>
  <c r="AM36" i="30"/>
  <c r="AM48" i="30"/>
  <c r="AM51" i="30"/>
  <c r="AM44" i="30"/>
  <c r="AM31" i="30"/>
  <c r="AM40" i="30"/>
  <c r="AM41" i="30"/>
  <c r="AM37" i="30"/>
  <c r="AM34" i="30"/>
  <c r="AM49" i="30"/>
  <c r="AM45" i="30"/>
  <c r="AM42" i="30"/>
  <c r="AM39" i="30"/>
  <c r="AM35" i="30"/>
  <c r="AM46" i="30"/>
  <c r="AM43" i="30"/>
  <c r="AI43" i="30"/>
  <c r="AI46" i="30"/>
  <c r="AI40" i="30"/>
  <c r="AI36" i="30"/>
  <c r="AI48" i="30"/>
  <c r="AI51" i="30"/>
  <c r="AI44" i="30"/>
  <c r="AI31" i="30"/>
  <c r="AI41" i="30"/>
  <c r="AI37" i="30"/>
  <c r="AI34" i="30"/>
  <c r="AI49" i="30"/>
  <c r="AI42" i="30"/>
  <c r="AI45" i="30"/>
  <c r="AI32" i="30"/>
  <c r="AI39" i="30"/>
  <c r="AI35" i="30"/>
  <c r="AL36" i="30"/>
  <c r="AL43" i="30"/>
  <c r="AL48" i="30"/>
  <c r="AL51" i="30"/>
  <c r="AL44" i="30"/>
  <c r="AL31" i="30"/>
  <c r="AL41" i="30"/>
  <c r="AL37" i="30"/>
  <c r="AL40" i="30"/>
  <c r="AL34" i="30"/>
  <c r="AL35" i="30"/>
  <c r="AL49" i="30"/>
  <c r="AL45" i="30"/>
  <c r="AL42" i="30"/>
  <c r="AL39" i="30"/>
  <c r="AL46" i="30"/>
  <c r="AQ37" i="30"/>
  <c r="AQ44" i="30"/>
  <c r="AQ34" i="30"/>
  <c r="AQ31" i="30"/>
  <c r="AQ49" i="30"/>
  <c r="AQ36" i="30"/>
  <c r="AQ45" i="30"/>
  <c r="AQ42" i="30"/>
  <c r="AQ39" i="30"/>
  <c r="AQ51" i="30"/>
  <c r="AQ35" i="30"/>
  <c r="AQ46" i="30"/>
  <c r="AQ43" i="30"/>
  <c r="AQ40" i="30"/>
  <c r="AQ41" i="30"/>
  <c r="AQ48" i="30"/>
  <c r="AH22" i="30"/>
  <c r="AH13" i="30"/>
  <c r="AH7" i="30"/>
  <c r="AH21" i="30"/>
  <c r="AH12" i="30"/>
  <c r="AH19" i="30"/>
  <c r="AH18" i="30"/>
  <c r="AH8" i="30"/>
  <c r="AH17" i="30"/>
  <c r="AH16" i="30"/>
  <c r="AH10" i="30"/>
  <c r="AH15" i="30"/>
  <c r="AH9" i="30"/>
  <c r="AH5" i="30"/>
  <c r="AH24" i="30"/>
  <c r="AH14" i="30"/>
  <c r="AH4" i="30"/>
  <c r="AI21" i="30"/>
  <c r="AI12" i="30"/>
  <c r="AI19" i="30"/>
  <c r="AI15" i="30"/>
  <c r="AI4" i="30"/>
  <c r="AI18" i="30"/>
  <c r="AI9" i="30"/>
  <c r="AI17" i="30"/>
  <c r="AI10" i="30"/>
  <c r="AI5" i="30"/>
  <c r="AI7" i="30"/>
  <c r="AI16" i="30"/>
  <c r="AI22" i="30"/>
  <c r="AI13" i="30"/>
  <c r="AI14" i="30"/>
  <c r="AI8" i="30"/>
  <c r="AI24" i="30"/>
  <c r="AS17" i="30"/>
  <c r="AS7" i="30"/>
  <c r="AS16" i="30"/>
  <c r="AS10" i="30"/>
  <c r="AS15" i="30"/>
  <c r="AS9" i="30"/>
  <c r="AS24" i="30"/>
  <c r="AS14" i="30"/>
  <c r="AS8" i="30"/>
  <c r="AS4" i="30"/>
  <c r="AS21" i="30"/>
  <c r="AS22" i="30"/>
  <c r="AS13" i="30"/>
  <c r="AS12" i="30"/>
  <c r="AS19" i="30"/>
  <c r="AS11" i="30"/>
  <c r="AS18" i="30"/>
  <c r="AG46" i="30"/>
  <c r="AG43" i="30"/>
  <c r="AG40" i="30"/>
  <c r="AG36" i="30"/>
  <c r="AG49" i="30"/>
  <c r="AG48" i="30"/>
  <c r="AG51" i="30"/>
  <c r="AG44" i="30"/>
  <c r="AG31" i="30"/>
  <c r="AG39" i="30"/>
  <c r="AG41" i="30"/>
  <c r="AG35" i="30"/>
  <c r="AG37" i="30"/>
  <c r="AG34" i="30"/>
  <c r="AG45" i="30"/>
  <c r="AG32" i="30"/>
  <c r="AG42" i="30"/>
  <c r="AG22" i="30"/>
  <c r="AG13" i="30"/>
  <c r="AG7" i="30"/>
  <c r="AG4" i="30"/>
  <c r="AG8" i="30"/>
  <c r="AG21" i="30"/>
  <c r="AG12" i="30"/>
  <c r="AG24" i="30"/>
  <c r="AG19" i="30"/>
  <c r="AG9" i="30"/>
  <c r="AG18" i="30"/>
  <c r="AG10" i="30"/>
  <c r="AG17" i="30"/>
  <c r="AG16" i="30"/>
  <c r="AG14" i="30"/>
  <c r="AG15" i="30"/>
  <c r="AG5" i="30"/>
  <c r="AR18" i="30"/>
  <c r="AR17" i="30"/>
  <c r="AR11" i="30"/>
  <c r="AR16" i="30"/>
  <c r="AR10" i="30"/>
  <c r="AR15" i="30"/>
  <c r="AR9" i="30"/>
  <c r="AR8" i="30"/>
  <c r="AR4" i="30"/>
  <c r="AR19" i="30"/>
  <c r="AR24" i="30"/>
  <c r="AR14" i="30"/>
  <c r="AR22" i="30"/>
  <c r="AR13" i="30"/>
  <c r="AR7" i="30"/>
  <c r="AR21" i="30"/>
  <c r="AR12" i="30"/>
  <c r="AK40" i="30"/>
  <c r="AK36" i="30"/>
  <c r="AK48" i="30"/>
  <c r="AK51" i="30"/>
  <c r="AK44" i="30"/>
  <c r="AK31" i="30"/>
  <c r="AK41" i="30"/>
  <c r="AK37" i="30"/>
  <c r="AK34" i="30"/>
  <c r="AK49" i="30"/>
  <c r="AK45" i="30"/>
  <c r="AK39" i="30"/>
  <c r="AK42" i="30"/>
  <c r="AK46" i="30"/>
  <c r="AK35" i="30"/>
  <c r="AK43" i="30"/>
  <c r="AH46" i="30"/>
  <c r="AH43" i="30"/>
  <c r="AH32" i="30"/>
  <c r="AH40" i="30"/>
  <c r="AH36" i="30"/>
  <c r="AH45" i="30"/>
  <c r="AH35" i="30"/>
  <c r="AH48" i="30"/>
  <c r="AH51" i="30"/>
  <c r="AH44" i="30"/>
  <c r="AH31" i="30"/>
  <c r="AH41" i="30"/>
  <c r="AH37" i="30"/>
  <c r="AH34" i="30"/>
  <c r="AH49" i="30"/>
  <c r="AH42" i="30"/>
  <c r="AH39" i="30"/>
  <c r="AA34" i="30"/>
  <c r="AA49" i="30"/>
  <c r="AA45" i="30"/>
  <c r="AA32" i="30"/>
  <c r="AA42" i="30"/>
  <c r="AA39" i="30"/>
  <c r="AA35" i="30"/>
  <c r="AA37" i="30"/>
  <c r="AA46" i="30"/>
  <c r="AA43" i="30"/>
  <c r="AA40" i="30"/>
  <c r="AA36" i="30"/>
  <c r="AA48" i="30"/>
  <c r="AA41" i="30"/>
  <c r="AA51" i="30"/>
  <c r="AA44" i="30"/>
  <c r="AA31" i="30"/>
  <c r="AB49" i="30"/>
  <c r="AB45" i="30"/>
  <c r="AB32" i="30"/>
  <c r="AB42" i="30"/>
  <c r="AB39" i="30"/>
  <c r="AB35" i="30"/>
  <c r="AB48" i="30"/>
  <c r="AB37" i="30"/>
  <c r="AB46" i="30"/>
  <c r="AB43" i="30"/>
  <c r="AB34" i="30"/>
  <c r="AB40" i="30"/>
  <c r="AB36" i="30"/>
  <c r="AB51" i="30"/>
  <c r="AB44" i="30"/>
  <c r="AB31" i="30"/>
  <c r="AB41" i="30"/>
  <c r="AQ18" i="30"/>
  <c r="AQ19" i="30"/>
  <c r="AQ17" i="30"/>
  <c r="AQ11" i="30"/>
  <c r="AQ22" i="30"/>
  <c r="AQ7" i="30"/>
  <c r="AQ16" i="30"/>
  <c r="AQ10" i="30"/>
  <c r="AQ4" i="30"/>
  <c r="AQ13" i="30"/>
  <c r="AQ15" i="30"/>
  <c r="AQ9" i="30"/>
  <c r="AQ24" i="30"/>
  <c r="AQ14" i="30"/>
  <c r="AQ8" i="30"/>
  <c r="AQ12" i="30"/>
  <c r="AQ21" i="30"/>
  <c r="AM18" i="30"/>
  <c r="AM22" i="30"/>
  <c r="AM13" i="30"/>
  <c r="AM7" i="30"/>
  <c r="AM16" i="30"/>
  <c r="AM10" i="30"/>
  <c r="AM19" i="30"/>
  <c r="AM11" i="30"/>
  <c r="AM4" i="30"/>
  <c r="AM24" i="30"/>
  <c r="AM14" i="30"/>
  <c r="AM8" i="30"/>
  <c r="AM17" i="30"/>
  <c r="AM21" i="30"/>
  <c r="AM15" i="30"/>
  <c r="AM9" i="30"/>
  <c r="AM12" i="30"/>
  <c r="AC22" i="30"/>
  <c r="AC13" i="30"/>
  <c r="AC7" i="30"/>
  <c r="AC16" i="30"/>
  <c r="AC10" i="30"/>
  <c r="AC19" i="30"/>
  <c r="AC4" i="30"/>
  <c r="AC24" i="30"/>
  <c r="AC14" i="30"/>
  <c r="AC8" i="30"/>
  <c r="AC9" i="30"/>
  <c r="AC17" i="30"/>
  <c r="AC21" i="30"/>
  <c r="AC12" i="30"/>
  <c r="AC5" i="30"/>
  <c r="AC18" i="30"/>
  <c r="AC15" i="30"/>
  <c r="AB4" i="30"/>
  <c r="AB24" i="30"/>
  <c r="AB19" i="30"/>
  <c r="AB18" i="30"/>
  <c r="AB17" i="30"/>
  <c r="AB10" i="30"/>
  <c r="AB8" i="30"/>
  <c r="AB5" i="30"/>
  <c r="AB22" i="30"/>
  <c r="AB15" i="30"/>
  <c r="AB13" i="30"/>
  <c r="AB16" i="30"/>
  <c r="AB21" i="30"/>
  <c r="AB14" i="30"/>
  <c r="AB12" i="30"/>
  <c r="AB7" i="30"/>
  <c r="AB9" i="30"/>
  <c r="AL7" i="30"/>
  <c r="AL15" i="30"/>
  <c r="AL14" i="30"/>
  <c r="AL12" i="30"/>
  <c r="AL10" i="30"/>
  <c r="AL22" i="30"/>
  <c r="AL16" i="30"/>
  <c r="AL11" i="30"/>
  <c r="AL8" i="30"/>
  <c r="AL4" i="30"/>
  <c r="AL24" i="30"/>
  <c r="AL19" i="30"/>
  <c r="AL18" i="30"/>
  <c r="AL17" i="30"/>
  <c r="AL9" i="30"/>
  <c r="AL21" i="30"/>
  <c r="AL13" i="30"/>
  <c r="AA12" i="30"/>
  <c r="AA5" i="30"/>
  <c r="AA24" i="30"/>
  <c r="AA19" i="30"/>
  <c r="AA7" i="30"/>
  <c r="AA16" i="30"/>
  <c r="AA10" i="30"/>
  <c r="AA13" i="30"/>
  <c r="AA21" i="30"/>
  <c r="AA17" i="30"/>
  <c r="AA14" i="30"/>
  <c r="AA8" i="30"/>
  <c r="AA22" i="30"/>
  <c r="AA4" i="30"/>
  <c r="AA18" i="30"/>
  <c r="AA15" i="30"/>
  <c r="AA9" i="30"/>
  <c r="AK17" i="30"/>
  <c r="AK14" i="30"/>
  <c r="AK8" i="30"/>
  <c r="AK11" i="30"/>
  <c r="AK4" i="30"/>
  <c r="AK15" i="30"/>
  <c r="AK13" i="30"/>
  <c r="AK22" i="30"/>
  <c r="AK9" i="30"/>
  <c r="AK18" i="30"/>
  <c r="AK12" i="30"/>
  <c r="AK24" i="30"/>
  <c r="AK7" i="30"/>
  <c r="AK19" i="30"/>
  <c r="AK16" i="30"/>
  <c r="AK10" i="30"/>
  <c r="AK21" i="30"/>
  <c r="AL115" i="91"/>
  <c r="G26" i="60"/>
  <c r="N4" i="30" l="1"/>
  <c r="O13" i="30"/>
  <c r="N12" i="30"/>
  <c r="N5" i="30"/>
  <c r="N40" i="30"/>
  <c r="N13" i="30"/>
  <c r="O7" i="30"/>
  <c r="N14" i="30"/>
  <c r="N9" i="30"/>
  <c r="O12" i="30"/>
  <c r="O15" i="30"/>
  <c r="O4" i="30"/>
  <c r="AE73" i="91" s="1"/>
  <c r="N43" i="30"/>
  <c r="N48" i="30"/>
  <c r="N10" i="30"/>
  <c r="N7" i="30"/>
  <c r="O22" i="30"/>
  <c r="O19" i="30"/>
  <c r="N19" i="30"/>
  <c r="N16" i="30"/>
  <c r="N15" i="30"/>
  <c r="O24" i="30"/>
  <c r="N31" i="30"/>
  <c r="N24" i="30"/>
  <c r="O14" i="30"/>
  <c r="N8" i="30"/>
  <c r="N37" i="30"/>
  <c r="N39" i="30"/>
  <c r="O9" i="30"/>
  <c r="N32" i="30"/>
  <c r="O10" i="30"/>
  <c r="N35" i="30"/>
  <c r="N46" i="30"/>
  <c r="O8" i="30"/>
  <c r="O16" i="30"/>
  <c r="N49" i="30"/>
  <c r="N34" i="30"/>
  <c r="N42" i="30"/>
  <c r="N51" i="30"/>
  <c r="N41" i="30"/>
  <c r="N36" i="30"/>
  <c r="N22" i="30"/>
  <c r="N21" i="30"/>
  <c r="O21" i="30"/>
  <c r="AZ129" i="2"/>
  <c r="AZ128" i="2"/>
  <c r="AZ109" i="2"/>
  <c r="AZ108" i="2"/>
  <c r="R109" i="23"/>
  <c r="C35" i="92"/>
  <c r="C23" i="92"/>
  <c r="AI24" i="92" l="1"/>
  <c r="AI23" i="92"/>
  <c r="AK82" i="23" l="1"/>
  <c r="AK23" i="23"/>
  <c r="X31" i="23" l="1"/>
  <c r="G50" i="15" l="1"/>
  <c r="G42" i="15"/>
  <c r="D16" i="15"/>
  <c r="L102" i="71" l="1"/>
  <c r="C88" i="71"/>
  <c r="C87" i="71"/>
  <c r="K85" i="71"/>
  <c r="J84" i="71"/>
  <c r="L39" i="71"/>
  <c r="K23" i="71"/>
  <c r="J22" i="71"/>
  <c r="D5" i="89" l="1"/>
  <c r="D19" i="60" l="1"/>
  <c r="D16" i="60"/>
  <c r="D13" i="60"/>
  <c r="D10" i="60"/>
  <c r="C77" i="71" l="1"/>
  <c r="C15" i="71"/>
  <c r="W33" i="82" l="1"/>
  <c r="K189" i="68" l="1"/>
  <c r="P198" i="68" s="1"/>
  <c r="D36" i="68" l="1"/>
  <c r="C14" i="68"/>
  <c r="G30" i="89" l="1"/>
  <c r="AI35" i="92"/>
  <c r="E25" i="92"/>
  <c r="C44" i="92" s="1"/>
  <c r="AI13" i="92"/>
  <c r="E17" i="92" s="1"/>
  <c r="E13" i="92"/>
  <c r="E15" i="92" l="1"/>
  <c r="C15" i="92" s="1"/>
  <c r="C17" i="92"/>
  <c r="AI43" i="92" s="1"/>
  <c r="V24" i="71"/>
  <c r="AH66" i="92" l="1"/>
  <c r="AH57" i="92"/>
  <c r="E21" i="92"/>
  <c r="C21" i="92" s="1"/>
  <c r="E28" i="92" s="1"/>
  <c r="C28" i="92" s="1"/>
  <c r="E33" i="92" s="1"/>
  <c r="C33" i="92" s="1"/>
  <c r="AJ6" i="23"/>
  <c r="E41" i="92" l="1"/>
  <c r="AI41" i="92" s="1"/>
  <c r="AI28" i="92"/>
  <c r="AI33" i="92"/>
  <c r="Q65" i="23"/>
  <c r="Q6" i="23"/>
  <c r="C41" i="92" l="1"/>
  <c r="H131" i="84"/>
  <c r="AH47" i="92" l="1"/>
  <c r="AH53" i="92" s="1"/>
  <c r="AH11" i="92" s="1"/>
  <c r="K40" i="36"/>
  <c r="J40" i="36"/>
  <c r="X116" i="5"/>
  <c r="M121" i="5" s="1"/>
  <c r="X2" i="5"/>
  <c r="M7" i="5" s="1"/>
  <c r="AN52" i="2" l="1"/>
  <c r="AN53" i="2" s="1"/>
  <c r="Z119" i="23" l="1"/>
  <c r="X115" i="23"/>
  <c r="AH114" i="23"/>
  <c r="X114" i="23"/>
  <c r="B113" i="23"/>
  <c r="B112" i="23"/>
  <c r="T111" i="23"/>
  <c r="AB110" i="23"/>
  <c r="AB109" i="23"/>
  <c r="X109" i="23"/>
  <c r="X83" i="23" s="1"/>
  <c r="AB108" i="23"/>
  <c r="B107" i="23"/>
  <c r="D103" i="23"/>
  <c r="D100" i="23"/>
  <c r="J99" i="23"/>
  <c r="X96" i="23"/>
  <c r="X95" i="23"/>
  <c r="X94" i="23"/>
  <c r="D91" i="23"/>
  <c r="AM90" i="23"/>
  <c r="AL90" i="23"/>
  <c r="X90" i="23"/>
  <c r="D93" i="23" s="1"/>
  <c r="D88" i="23"/>
  <c r="X87" i="23"/>
  <c r="X88" i="23" s="1"/>
  <c r="D85" i="23"/>
  <c r="D82" i="23"/>
  <c r="D81" i="23"/>
  <c r="AJ76" i="23"/>
  <c r="X75" i="23"/>
  <c r="E71" i="23"/>
  <c r="AE65" i="23"/>
  <c r="B64" i="23"/>
  <c r="W62" i="23"/>
  <c r="Y69" i="5"/>
  <c r="R30" i="52" l="1"/>
  <c r="Y124" i="5"/>
  <c r="Y122" i="5"/>
  <c r="Y120" i="5"/>
  <c r="AL48" i="23" s="1"/>
  <c r="AL107" i="23" s="1"/>
  <c r="Y10" i="5"/>
  <c r="Y8" i="5"/>
  <c r="Y6" i="5"/>
  <c r="AL47" i="23" s="1"/>
  <c r="AL66" i="23" l="1"/>
  <c r="AD66" i="23" s="1"/>
  <c r="AJ66" i="23" s="1"/>
  <c r="AL7" i="23"/>
  <c r="AL106" i="23"/>
  <c r="AL64" i="23"/>
  <c r="AM47" i="23"/>
  <c r="AM106" i="23" s="1"/>
  <c r="AM48" i="23"/>
  <c r="AM107" i="23" s="1"/>
  <c r="AL5" i="23"/>
  <c r="Y11" i="5"/>
  <c r="W5" i="5" s="1"/>
  <c r="Y125" i="5"/>
  <c r="W119" i="5" s="1"/>
  <c r="AJ64" i="23" l="1"/>
  <c r="AN116" i="23" s="1"/>
  <c r="AM94" i="23"/>
  <c r="AL94" i="23"/>
  <c r="AL35" i="23"/>
  <c r="AM35" i="23"/>
  <c r="AJ5" i="23"/>
  <c r="AE6" i="56"/>
  <c r="T9" i="56" s="1"/>
  <c r="AM31" i="23"/>
  <c r="AL31" i="23"/>
  <c r="AL116" i="23" l="1"/>
  <c r="AN94" i="23"/>
  <c r="X76" i="23"/>
  <c r="W65" i="23"/>
  <c r="AG64" i="23"/>
  <c r="AJ7" i="23"/>
  <c r="AM115" i="23" l="1"/>
  <c r="W6" i="23"/>
  <c r="AN35" i="23"/>
  <c r="AB18" i="23" s="1"/>
  <c r="AB77" i="23"/>
  <c r="AD81" i="23"/>
  <c r="AG5" i="23"/>
  <c r="AD22" i="23" l="1"/>
  <c r="D28" i="82" l="1"/>
  <c r="D35" i="82"/>
  <c r="D40" i="82"/>
  <c r="AF122" i="43" l="1"/>
  <c r="AF61" i="43"/>
  <c r="AF122" i="49"/>
  <c r="AF61" i="49"/>
  <c r="AF122" i="50"/>
  <c r="AF61" i="50"/>
  <c r="AF122" i="88"/>
  <c r="K116" i="71" l="1"/>
  <c r="C116" i="71"/>
  <c r="C52" i="71"/>
  <c r="K53" i="71"/>
  <c r="C30" i="71"/>
  <c r="C26" i="71"/>
  <c r="C25" i="71"/>
  <c r="AP59" i="76"/>
  <c r="D78" i="91"/>
  <c r="D185" i="62"/>
  <c r="D183" i="62"/>
  <c r="C43" i="59" l="1"/>
  <c r="J42" i="59"/>
  <c r="AQ250" i="74" l="1"/>
  <c r="AQ120" i="74"/>
  <c r="R50" i="23" l="1"/>
  <c r="D32" i="23"/>
  <c r="AJ17" i="23" l="1"/>
  <c r="E12" i="23"/>
  <c r="D23" i="23"/>
  <c r="AE24" i="56"/>
  <c r="D44" i="23"/>
  <c r="X35" i="23"/>
  <c r="X28" i="23"/>
  <c r="X29" i="23" s="1"/>
  <c r="R29" i="52" l="1"/>
  <c r="X16" i="23"/>
  <c r="X50" i="23" l="1"/>
  <c r="X56" i="23"/>
  <c r="AB51" i="23"/>
  <c r="AB50" i="23"/>
  <c r="AB49" i="23"/>
  <c r="X24" i="23" l="1"/>
  <c r="J43" i="67"/>
  <c r="X17" i="23"/>
  <c r="D26" i="23"/>
  <c r="D22" i="23"/>
  <c r="T52" i="23" l="1"/>
  <c r="X55" i="23"/>
  <c r="B54" i="23"/>
  <c r="B53" i="23"/>
  <c r="B48" i="23"/>
  <c r="D41" i="23"/>
  <c r="X37" i="23"/>
  <c r="X36" i="23"/>
  <c r="D34" i="23"/>
  <c r="D29" i="23"/>
  <c r="AL16" i="80"/>
  <c r="G49" i="86"/>
  <c r="G52" i="86"/>
  <c r="AB74" i="86"/>
  <c r="AB117" i="23" l="1"/>
  <c r="AB116" i="23"/>
  <c r="AB115" i="23"/>
  <c r="AB58" i="23"/>
  <c r="AB57" i="23"/>
  <c r="AB56" i="23"/>
  <c r="C14" i="56"/>
  <c r="AB118" i="56"/>
  <c r="B61" i="56"/>
  <c r="AB60" i="56"/>
  <c r="AB106" i="37"/>
  <c r="AO190" i="68"/>
  <c r="AM190" i="68"/>
  <c r="AK190" i="68"/>
  <c r="AQ190" i="68" s="1"/>
  <c r="Z61" i="37" l="1"/>
  <c r="L2" i="98" l="1"/>
  <c r="AO255" i="84"/>
  <c r="AO128" i="84"/>
  <c r="B189" i="84"/>
  <c r="AO188" i="84"/>
  <c r="B62" i="84"/>
  <c r="AO61" i="84"/>
  <c r="V8" i="37"/>
  <c r="U26" i="6" l="1"/>
  <c r="U46" i="6"/>
  <c r="U85" i="6"/>
  <c r="P100" i="6" l="1"/>
  <c r="B54" i="6"/>
  <c r="P52" i="6"/>
  <c r="J15" i="5"/>
  <c r="U63" i="5"/>
  <c r="U115" i="5"/>
  <c r="U229" i="5"/>
  <c r="B64" i="5"/>
  <c r="B178" i="5"/>
  <c r="U177" i="5"/>
  <c r="O83" i="4"/>
  <c r="W26" i="3"/>
  <c r="AC3" i="3"/>
  <c r="S73" i="3"/>
  <c r="S75" i="3"/>
  <c r="S71" i="3"/>
  <c r="S77" i="3" l="1"/>
  <c r="O66" i="3"/>
  <c r="J59" i="3" l="1"/>
  <c r="E39" i="14"/>
  <c r="AG34" i="79" l="1"/>
  <c r="AG88" i="78" l="1"/>
  <c r="AC92" i="2" l="1"/>
  <c r="AB89" i="2" l="1"/>
  <c r="BG4" i="2"/>
  <c r="BF4" i="2"/>
  <c r="BE4" i="2"/>
  <c r="BD4" i="2"/>
  <c r="BC4" i="2"/>
  <c r="BG6" i="2"/>
  <c r="BF6" i="2"/>
  <c r="BE6" i="2"/>
  <c r="BD6" i="2"/>
  <c r="BG3" i="2"/>
  <c r="BF3" i="2"/>
  <c r="BE3" i="2"/>
  <c r="BD3" i="2"/>
  <c r="BC6" i="2"/>
  <c r="BC3" i="2"/>
  <c r="B40" i="13"/>
  <c r="AG61" i="80"/>
  <c r="G71" i="2"/>
  <c r="AB38" i="2" l="1"/>
  <c r="AB39" i="2"/>
  <c r="AB41" i="2"/>
  <c r="C57" i="52" l="1"/>
  <c r="C48" i="52"/>
  <c r="G11" i="89" l="1"/>
  <c r="G12" i="89"/>
  <c r="G13" i="89"/>
  <c r="G14" i="89"/>
  <c r="G15" i="89"/>
  <c r="G16" i="89"/>
  <c r="G17" i="89"/>
  <c r="G18" i="89"/>
  <c r="G22" i="89"/>
  <c r="G23" i="89"/>
  <c r="G24" i="89"/>
  <c r="G25" i="89"/>
  <c r="G26" i="89"/>
  <c r="G27" i="89"/>
  <c r="G19" i="89"/>
  <c r="G28" i="89"/>
  <c r="G29" i="89"/>
  <c r="G20" i="89"/>
  <c r="G21" i="89"/>
  <c r="G31" i="89"/>
  <c r="G32" i="89"/>
  <c r="G33" i="89"/>
  <c r="G34" i="89"/>
  <c r="G35" i="89"/>
  <c r="G36" i="89"/>
  <c r="G38" i="89"/>
  <c r="G39" i="89"/>
  <c r="G40" i="89"/>
  <c r="G41" i="89"/>
  <c r="G42" i="89"/>
  <c r="G43" i="89"/>
  <c r="G44" i="89"/>
  <c r="G46" i="89"/>
  <c r="G47" i="89"/>
  <c r="G48" i="89"/>
  <c r="G49" i="89"/>
  <c r="G51" i="89"/>
  <c r="G53" i="89"/>
  <c r="G54" i="89"/>
  <c r="G55" i="89"/>
  <c r="G56" i="89"/>
  <c r="G57" i="89"/>
  <c r="G58" i="89"/>
  <c r="G59" i="89"/>
  <c r="G60" i="89"/>
  <c r="G62" i="89"/>
  <c r="G63" i="89"/>
  <c r="G64" i="89"/>
  <c r="G10" i="89"/>
  <c r="R63" i="33" l="1"/>
  <c r="R30" i="30" l="1"/>
  <c r="S30" i="30"/>
  <c r="T30" i="30"/>
  <c r="U30" i="30"/>
  <c r="V30" i="30"/>
  <c r="W30" i="30"/>
  <c r="X30" i="30"/>
  <c r="Y30" i="30"/>
  <c r="Q30" i="30"/>
  <c r="R3" i="30"/>
  <c r="S3" i="30"/>
  <c r="T3" i="30"/>
  <c r="U3" i="30"/>
  <c r="W3" i="30"/>
  <c r="X3" i="30"/>
  <c r="Y3" i="30"/>
  <c r="Q3" i="30"/>
  <c r="Y37" i="30" l="1"/>
  <c r="Y31" i="30"/>
  <c r="Y34" i="30"/>
  <c r="Y41" i="30"/>
  <c r="Y49" i="30"/>
  <c r="Y45" i="30"/>
  <c r="Y32" i="30"/>
  <c r="Y42" i="30"/>
  <c r="Y39" i="30"/>
  <c r="Y35" i="30"/>
  <c r="Y44" i="30"/>
  <c r="Y50" i="30"/>
  <c r="Y36" i="30"/>
  <c r="Y51" i="30"/>
  <c r="Y46" i="30"/>
  <c r="Y43" i="30"/>
  <c r="Y40" i="30"/>
  <c r="Y48" i="30"/>
  <c r="X16" i="30"/>
  <c r="X10" i="30"/>
  <c r="X12" i="30"/>
  <c r="X15" i="30"/>
  <c r="X9" i="30"/>
  <c r="X5" i="30"/>
  <c r="X24" i="30"/>
  <c r="X14" i="30"/>
  <c r="X8" i="30"/>
  <c r="X4" i="30"/>
  <c r="X17" i="30"/>
  <c r="X22" i="30"/>
  <c r="X13" i="30"/>
  <c r="X7" i="30"/>
  <c r="X21" i="30"/>
  <c r="X19" i="30"/>
  <c r="X18" i="30"/>
  <c r="V48" i="30"/>
  <c r="V51" i="30"/>
  <c r="V44" i="30"/>
  <c r="V31" i="30"/>
  <c r="V41" i="30"/>
  <c r="V37" i="30"/>
  <c r="V34" i="30"/>
  <c r="V49" i="30"/>
  <c r="V45" i="30"/>
  <c r="V32" i="30"/>
  <c r="V42" i="30"/>
  <c r="V46" i="30"/>
  <c r="V39" i="30"/>
  <c r="V35" i="30"/>
  <c r="V50" i="30"/>
  <c r="V43" i="30"/>
  <c r="V36" i="30"/>
  <c r="V40" i="30"/>
  <c r="U12" i="30"/>
  <c r="U17" i="30"/>
  <c r="U16" i="30"/>
  <c r="U10" i="30"/>
  <c r="U15" i="30"/>
  <c r="U9" i="30"/>
  <c r="U5" i="30"/>
  <c r="U7" i="30"/>
  <c r="U4" i="30"/>
  <c r="U24" i="30"/>
  <c r="U14" i="30"/>
  <c r="U8" i="30"/>
  <c r="U22" i="30"/>
  <c r="U13" i="30"/>
  <c r="U21" i="30"/>
  <c r="U18" i="30"/>
  <c r="U19" i="30"/>
  <c r="Q46" i="30"/>
  <c r="Q43" i="30"/>
  <c r="Q40" i="30"/>
  <c r="Q50" i="30"/>
  <c r="Q36" i="30"/>
  <c r="Q48" i="30"/>
  <c r="Q32" i="30"/>
  <c r="Q51" i="30"/>
  <c r="Q44" i="30"/>
  <c r="Q31" i="30"/>
  <c r="Q41" i="30"/>
  <c r="Q37" i="30"/>
  <c r="Q34" i="30"/>
  <c r="Q49" i="30"/>
  <c r="Q45" i="30"/>
  <c r="Q35" i="30"/>
  <c r="Q42" i="30"/>
  <c r="Q39" i="30"/>
  <c r="U48" i="30"/>
  <c r="U51" i="30"/>
  <c r="U44" i="30"/>
  <c r="U31" i="30"/>
  <c r="U41" i="30"/>
  <c r="U37" i="30"/>
  <c r="U40" i="30"/>
  <c r="U34" i="30"/>
  <c r="M34" i="30" s="1"/>
  <c r="U49" i="30"/>
  <c r="U45" i="30"/>
  <c r="U32" i="30"/>
  <c r="U42" i="30"/>
  <c r="U50" i="30"/>
  <c r="U39" i="30"/>
  <c r="U35" i="30"/>
  <c r="U46" i="30"/>
  <c r="U43" i="30"/>
  <c r="U36" i="30"/>
  <c r="W16" i="30"/>
  <c r="W10" i="30"/>
  <c r="W15" i="30"/>
  <c r="W9" i="30"/>
  <c r="W5" i="30"/>
  <c r="W17" i="30"/>
  <c r="W24" i="30"/>
  <c r="W14" i="30"/>
  <c r="W8" i="30"/>
  <c r="W4" i="30"/>
  <c r="W22" i="30"/>
  <c r="W13" i="30"/>
  <c r="W7" i="30"/>
  <c r="W21" i="30"/>
  <c r="W12" i="30"/>
  <c r="W19" i="30"/>
  <c r="W18" i="30"/>
  <c r="T36" i="30"/>
  <c r="T48" i="30"/>
  <c r="T51" i="30"/>
  <c r="T44" i="30"/>
  <c r="T31" i="30"/>
  <c r="T35" i="30"/>
  <c r="T40" i="30"/>
  <c r="T41" i="30"/>
  <c r="T37" i="30"/>
  <c r="T34" i="30"/>
  <c r="T49" i="30"/>
  <c r="T45" i="30"/>
  <c r="T32" i="30"/>
  <c r="T42" i="30"/>
  <c r="T39" i="30"/>
  <c r="T50" i="30"/>
  <c r="T43" i="30"/>
  <c r="T46" i="30"/>
  <c r="Y15" i="30"/>
  <c r="Y9" i="30"/>
  <c r="Y5" i="30"/>
  <c r="Y24" i="30"/>
  <c r="Y14" i="30"/>
  <c r="Y8" i="30"/>
  <c r="Y4" i="30"/>
  <c r="Y22" i="30"/>
  <c r="Y13" i="30"/>
  <c r="Y7" i="30"/>
  <c r="Y16" i="30"/>
  <c r="Y21" i="30"/>
  <c r="Y12" i="30"/>
  <c r="Y18" i="30"/>
  <c r="Y19" i="30"/>
  <c r="Y10" i="30"/>
  <c r="Y17" i="30"/>
  <c r="W51" i="30"/>
  <c r="W44" i="30"/>
  <c r="W31" i="30"/>
  <c r="W41" i="30"/>
  <c r="W37" i="30"/>
  <c r="W34" i="30"/>
  <c r="W49" i="30"/>
  <c r="W45" i="30"/>
  <c r="W32" i="30"/>
  <c r="W42" i="30"/>
  <c r="W48" i="30"/>
  <c r="W39" i="30"/>
  <c r="W35" i="30"/>
  <c r="W43" i="30"/>
  <c r="W50" i="30"/>
  <c r="W46" i="30"/>
  <c r="W40" i="30"/>
  <c r="W36" i="30"/>
  <c r="S40" i="30"/>
  <c r="S36" i="30"/>
  <c r="S48" i="30"/>
  <c r="S46" i="30"/>
  <c r="S51" i="30"/>
  <c r="S44" i="30"/>
  <c r="S31" i="30"/>
  <c r="S41" i="30"/>
  <c r="S37" i="30"/>
  <c r="S34" i="30"/>
  <c r="S49" i="30"/>
  <c r="S39" i="30"/>
  <c r="S45" i="30"/>
  <c r="S32" i="30"/>
  <c r="S42" i="30"/>
  <c r="S43" i="30"/>
  <c r="S35" i="30"/>
  <c r="S50" i="30"/>
  <c r="T18" i="30"/>
  <c r="T8" i="30"/>
  <c r="T17" i="30"/>
  <c r="T16" i="30"/>
  <c r="T10" i="30"/>
  <c r="T14" i="30"/>
  <c r="T15" i="30"/>
  <c r="T9" i="30"/>
  <c r="T5" i="30"/>
  <c r="T24" i="30"/>
  <c r="T4" i="30"/>
  <c r="T22" i="30"/>
  <c r="T13" i="30"/>
  <c r="T7" i="30"/>
  <c r="T21" i="30"/>
  <c r="T12" i="30"/>
  <c r="T19" i="30"/>
  <c r="X41" i="30"/>
  <c r="X37" i="30"/>
  <c r="X34" i="30"/>
  <c r="X49" i="30"/>
  <c r="X31" i="30"/>
  <c r="X45" i="30"/>
  <c r="X32" i="30"/>
  <c r="X40" i="30"/>
  <c r="X42" i="30"/>
  <c r="X39" i="30"/>
  <c r="X35" i="30"/>
  <c r="X51" i="30"/>
  <c r="X50" i="30"/>
  <c r="X46" i="30"/>
  <c r="X43" i="30"/>
  <c r="X44" i="30"/>
  <c r="X36" i="30"/>
  <c r="X48" i="30"/>
  <c r="R43" i="30"/>
  <c r="R40" i="30"/>
  <c r="R36" i="30"/>
  <c r="R50" i="30"/>
  <c r="R46" i="30"/>
  <c r="R48" i="30"/>
  <c r="R51" i="30"/>
  <c r="R44" i="30"/>
  <c r="R31" i="30"/>
  <c r="R41" i="30"/>
  <c r="R37" i="30"/>
  <c r="M37" i="30" s="1"/>
  <c r="R34" i="30"/>
  <c r="R49" i="30"/>
  <c r="R42" i="30"/>
  <c r="R45" i="30"/>
  <c r="R32" i="30"/>
  <c r="R39" i="30"/>
  <c r="R35" i="30"/>
  <c r="S16" i="30"/>
  <c r="S10" i="30"/>
  <c r="S19" i="30"/>
  <c r="S4" i="30"/>
  <c r="S18" i="30"/>
  <c r="S24" i="30"/>
  <c r="S14" i="30"/>
  <c r="S8" i="30"/>
  <c r="S17" i="30"/>
  <c r="S21" i="30"/>
  <c r="S12" i="30"/>
  <c r="S5" i="30"/>
  <c r="S15" i="30"/>
  <c r="S9" i="30"/>
  <c r="S22" i="30"/>
  <c r="S13" i="30"/>
  <c r="S7" i="30"/>
  <c r="R24" i="30"/>
  <c r="R19" i="30"/>
  <c r="R17" i="30"/>
  <c r="R15" i="30"/>
  <c r="R13" i="30"/>
  <c r="R10" i="30"/>
  <c r="R21" i="30"/>
  <c r="M21" i="30" s="1"/>
  <c r="R18" i="30"/>
  <c r="R8" i="30"/>
  <c r="R5" i="30"/>
  <c r="R14" i="30"/>
  <c r="R9" i="30"/>
  <c r="R22" i="30"/>
  <c r="R12" i="30"/>
  <c r="R16" i="30"/>
  <c r="R4" i="30"/>
  <c r="R7" i="30"/>
  <c r="Q21" i="30"/>
  <c r="Q17" i="30"/>
  <c r="Q14" i="30"/>
  <c r="Q8" i="30"/>
  <c r="Q22" i="30"/>
  <c r="Q16" i="30"/>
  <c r="Q4" i="30"/>
  <c r="Q18" i="30"/>
  <c r="Q15" i="30"/>
  <c r="Q9" i="30"/>
  <c r="Q12" i="30"/>
  <c r="Q5" i="30"/>
  <c r="Q24" i="30"/>
  <c r="Q10" i="30"/>
  <c r="Q19" i="30"/>
  <c r="Q13" i="30"/>
  <c r="Q7" i="30"/>
  <c r="M36" i="30" l="1"/>
  <c r="M41" i="30"/>
  <c r="M49" i="30"/>
  <c r="M31" i="30"/>
  <c r="M39" i="30"/>
  <c r="M46" i="30"/>
  <c r="M51" i="30"/>
  <c r="M32" i="30"/>
  <c r="M43" i="30"/>
  <c r="M42" i="30"/>
  <c r="M40" i="30"/>
  <c r="M35" i="30"/>
  <c r="M48" i="30"/>
  <c r="M16" i="30"/>
  <c r="M24" i="30"/>
  <c r="M5" i="30"/>
  <c r="M9" i="30"/>
  <c r="M10" i="30"/>
  <c r="M7" i="30"/>
  <c r="M14" i="30"/>
  <c r="M19" i="30"/>
  <c r="M8" i="30"/>
  <c r="M22" i="30"/>
  <c r="M12" i="30"/>
  <c r="M15" i="30"/>
  <c r="O40" i="30"/>
  <c r="F67" i="30" s="1"/>
  <c r="O48" i="30"/>
  <c r="F75" i="30" s="1"/>
  <c r="O49" i="30"/>
  <c r="F76" i="30" s="1"/>
  <c r="O41" i="30"/>
  <c r="F68" i="30" s="1"/>
  <c r="O35" i="30"/>
  <c r="F62" i="30" s="1"/>
  <c r="O36" i="30"/>
  <c r="F63" i="30" s="1"/>
  <c r="O42" i="30"/>
  <c r="F69" i="30" s="1"/>
  <c r="O31" i="30"/>
  <c r="AE177" i="91" s="1"/>
  <c r="O46" i="30"/>
  <c r="F73" i="30" s="1"/>
  <c r="O34" i="30"/>
  <c r="F61" i="30" s="1"/>
  <c r="O39" i="30"/>
  <c r="O43" i="30"/>
  <c r="F70" i="30" s="1"/>
  <c r="O51" i="30"/>
  <c r="F78" i="30" s="1"/>
  <c r="O37" i="30"/>
  <c r="F64" i="30" s="1"/>
  <c r="AL15" i="78"/>
  <c r="AN14" i="79"/>
  <c r="AN15" i="79"/>
  <c r="AN16" i="79"/>
  <c r="AM13" i="91" l="1"/>
  <c r="AM117" i="91"/>
  <c r="F58" i="30"/>
  <c r="J15" i="87"/>
  <c r="J35" i="87" s="1"/>
  <c r="J13" i="87"/>
  <c r="J33" i="87" s="1"/>
  <c r="AL122" i="91" l="1"/>
  <c r="AL118" i="91"/>
  <c r="AL121" i="91"/>
  <c r="AL120" i="91"/>
  <c r="AL119" i="91"/>
  <c r="AL17" i="91"/>
  <c r="AL14" i="91"/>
  <c r="AL18" i="91"/>
  <c r="AL16" i="91"/>
  <c r="AL15" i="91"/>
  <c r="AM134" i="91"/>
  <c r="AM135" i="91" l="1"/>
  <c r="AE178" i="91" s="1"/>
  <c r="AM177" i="91"/>
  <c r="AM30" i="91"/>
  <c r="AM31" i="91" l="1"/>
  <c r="AE74" i="91" s="1"/>
  <c r="AM73" i="91"/>
  <c r="AE87" i="91"/>
  <c r="AM87" i="91" s="1"/>
  <c r="AJ214" i="91"/>
  <c r="AE202" i="91"/>
  <c r="I201" i="91"/>
  <c r="AE197" i="91"/>
  <c r="AE194" i="91"/>
  <c r="AE191" i="91"/>
  <c r="AM191" i="91" s="1"/>
  <c r="X189" i="91"/>
  <c r="E182" i="91"/>
  <c r="I179" i="91"/>
  <c r="D176" i="91"/>
  <c r="E174" i="91"/>
  <c r="E173" i="91"/>
  <c r="B172" i="91"/>
  <c r="AJ171" i="91"/>
  <c r="I167" i="91"/>
  <c r="M162" i="91"/>
  <c r="Y156" i="91"/>
  <c r="D153" i="91"/>
  <c r="AL153" i="91"/>
  <c r="D144" i="91"/>
  <c r="D137" i="91"/>
  <c r="D133" i="91"/>
  <c r="F132" i="91"/>
  <c r="F131" i="91"/>
  <c r="F128" i="91"/>
  <c r="F127" i="91"/>
  <c r="F126" i="91"/>
  <c r="B116" i="91"/>
  <c r="AC112" i="91"/>
  <c r="Y52" i="91"/>
  <c r="F24" i="91"/>
  <c r="F22" i="91"/>
  <c r="F27" i="91"/>
  <c r="I97" i="91"/>
  <c r="X85" i="91"/>
  <c r="D83" i="91"/>
  <c r="D82" i="91"/>
  <c r="I75" i="91"/>
  <c r="D72" i="91"/>
  <c r="E70" i="91"/>
  <c r="E69" i="91"/>
  <c r="B68" i="91"/>
  <c r="D42" i="91"/>
  <c r="F28" i="91"/>
  <c r="F23" i="91"/>
  <c r="I63" i="91"/>
  <c r="AE136" i="91" l="1"/>
  <c r="AE32" i="91"/>
  <c r="AE90" i="91"/>
  <c r="AE93" i="91" s="1"/>
  <c r="AE98" i="91" s="1"/>
  <c r="M58" i="91"/>
  <c r="D33" i="91"/>
  <c r="D49" i="91"/>
  <c r="D40" i="91"/>
  <c r="D29" i="91"/>
  <c r="B12" i="91"/>
  <c r="AJ110" i="91"/>
  <c r="AJ67" i="91"/>
  <c r="AC8" i="91"/>
  <c r="AY278" i="90" l="1"/>
  <c r="AY275" i="90"/>
  <c r="AR273" i="90"/>
  <c r="AR272" i="90"/>
  <c r="AR271" i="90"/>
  <c r="AR270" i="90"/>
  <c r="AR268" i="90"/>
  <c r="AQ265" i="90"/>
  <c r="AQ262" i="90"/>
  <c r="AY219" i="90"/>
  <c r="AY216" i="90"/>
  <c r="AR214" i="90"/>
  <c r="AR213" i="90"/>
  <c r="AR212" i="90"/>
  <c r="AR211" i="90"/>
  <c r="AR209" i="90"/>
  <c r="AQ206" i="90"/>
  <c r="AQ203" i="90"/>
  <c r="AY160" i="90"/>
  <c r="AY157" i="90"/>
  <c r="AR155" i="90"/>
  <c r="AR154" i="90"/>
  <c r="AR153" i="90"/>
  <c r="AR152" i="90"/>
  <c r="AR150" i="90"/>
  <c r="AQ147" i="90"/>
  <c r="AQ144" i="90"/>
  <c r="AH283" i="90" l="1"/>
  <c r="AH224" i="90"/>
  <c r="AH165" i="90"/>
  <c r="AO280" i="90" l="1"/>
  <c r="AO281" i="90"/>
  <c r="AJ292" i="90"/>
  <c r="D286" i="90"/>
  <c r="D285" i="90"/>
  <c r="R284" i="90"/>
  <c r="AC277" i="90"/>
  <c r="E276" i="90"/>
  <c r="AE291" i="90"/>
  <c r="AO45" i="90" s="1"/>
  <c r="AC274" i="90"/>
  <c r="E274" i="90"/>
  <c r="T270" i="90"/>
  <c r="E269" i="90"/>
  <c r="E266" i="90"/>
  <c r="AC265" i="90"/>
  <c r="V256" i="90"/>
  <c r="E256" i="90"/>
  <c r="V253" i="90"/>
  <c r="E253" i="90"/>
  <c r="B234" i="90"/>
  <c r="AJ233" i="90"/>
  <c r="D227" i="90"/>
  <c r="D226" i="90"/>
  <c r="R225" i="90"/>
  <c r="AC218" i="90"/>
  <c r="E217" i="90"/>
  <c r="AE232" i="90"/>
  <c r="AC215" i="90"/>
  <c r="E215" i="90"/>
  <c r="T211" i="90"/>
  <c r="E210" i="90"/>
  <c r="E207" i="90"/>
  <c r="AC206" i="90"/>
  <c r="V197" i="90"/>
  <c r="E197" i="90"/>
  <c r="V194" i="90"/>
  <c r="E194" i="90"/>
  <c r="B175" i="90"/>
  <c r="AJ174" i="90"/>
  <c r="D168" i="90"/>
  <c r="D167" i="90"/>
  <c r="R166" i="90"/>
  <c r="AC159" i="90"/>
  <c r="E158" i="90"/>
  <c r="AE173" i="90"/>
  <c r="AC156" i="90"/>
  <c r="E156" i="90"/>
  <c r="T152" i="90"/>
  <c r="E151" i="90"/>
  <c r="E148" i="90"/>
  <c r="AC147" i="90"/>
  <c r="V138" i="90"/>
  <c r="E138" i="90"/>
  <c r="V135" i="90"/>
  <c r="E135" i="90"/>
  <c r="B116" i="90"/>
  <c r="D108" i="90"/>
  <c r="R107" i="90"/>
  <c r="D109" i="90"/>
  <c r="D39" i="90"/>
  <c r="D38" i="90"/>
  <c r="AE284" i="90" l="1"/>
  <c r="AE285" i="90" s="1"/>
  <c r="AE225" i="90"/>
  <c r="AE226" i="90" s="1"/>
  <c r="AE166" i="90"/>
  <c r="AO222" i="90"/>
  <c r="AO221" i="90"/>
  <c r="AO163" i="90"/>
  <c r="AO162" i="90"/>
  <c r="AO44" i="90"/>
  <c r="AO43" i="90"/>
  <c r="AH106" i="90"/>
  <c r="AC100" i="90"/>
  <c r="AC97" i="90"/>
  <c r="AC88" i="90"/>
  <c r="E99" i="90"/>
  <c r="E97" i="90"/>
  <c r="E92" i="90"/>
  <c r="E89" i="90"/>
  <c r="V76" i="90"/>
  <c r="V79" i="90"/>
  <c r="E79" i="90"/>
  <c r="E76" i="90"/>
  <c r="AB165" i="90" l="1"/>
  <c r="AB224" i="90"/>
  <c r="AB283" i="90"/>
  <c r="AE167" i="90"/>
  <c r="AE286" i="90"/>
  <c r="AE288" i="90" s="1"/>
  <c r="AE227" i="90"/>
  <c r="AE229" i="90" s="1"/>
  <c r="AO103" i="90"/>
  <c r="AY98" i="90"/>
  <c r="AY101" i="90" s="1"/>
  <c r="AE107" i="90" s="1"/>
  <c r="AB106" i="90" s="1"/>
  <c r="AR96" i="90"/>
  <c r="AR95" i="90"/>
  <c r="AR94" i="90"/>
  <c r="AR93" i="90"/>
  <c r="AR91" i="90"/>
  <c r="AQ88" i="90"/>
  <c r="AQ85" i="90"/>
  <c r="S94" i="71"/>
  <c r="V84" i="71"/>
  <c r="V82" i="71"/>
  <c r="U82" i="71"/>
  <c r="U24" i="71"/>
  <c r="U84" i="71" s="1"/>
  <c r="U23" i="71"/>
  <c r="U83" i="71" s="1"/>
  <c r="V23" i="71"/>
  <c r="V83" i="71" s="1"/>
  <c r="AE114" i="90" l="1"/>
  <c r="AO42" i="90" s="1"/>
  <c r="AE108" i="90"/>
  <c r="AE109" i="90" s="1"/>
  <c r="AE168" i="90"/>
  <c r="AE170" i="90" s="1"/>
  <c r="AE30" i="90"/>
  <c r="D47" i="90"/>
  <c r="D40" i="90"/>
  <c r="O32" i="90"/>
  <c r="D23" i="90"/>
  <c r="D15" i="90"/>
  <c r="AE111" i="90" l="1"/>
  <c r="AO16" i="90"/>
  <c r="AO15" i="90"/>
  <c r="AO14" i="90"/>
  <c r="B57" i="90"/>
  <c r="AJ115" i="90"/>
  <c r="AJ56" i="90"/>
  <c r="AC3" i="90"/>
  <c r="C12" i="75" l="1"/>
  <c r="C9" i="75"/>
  <c r="AO13" i="90" l="1"/>
  <c r="AO17" i="90" s="1"/>
  <c r="AO46" i="90"/>
  <c r="AH12" i="90" l="1"/>
  <c r="AE36" i="90"/>
  <c r="E33" i="12"/>
  <c r="E36" i="12"/>
  <c r="B55" i="15"/>
  <c r="D65" i="15"/>
  <c r="D64" i="15"/>
  <c r="AE37" i="90" l="1"/>
  <c r="AE14" i="90"/>
  <c r="AK36" i="2" l="1"/>
  <c r="AK35" i="2"/>
  <c r="AK34" i="2"/>
  <c r="AK33" i="2"/>
  <c r="AQ34" i="2" l="1"/>
  <c r="AQ33" i="2"/>
  <c r="AQ32" i="2"/>
  <c r="AQ31" i="2"/>
  <c r="C45" i="12" l="1"/>
  <c r="C51" i="12"/>
  <c r="D19" i="3" l="1"/>
  <c r="I2" i="36" l="1"/>
  <c r="C26" i="12" l="1"/>
  <c r="CH167" i="68" l="1"/>
  <c r="CB167" i="68"/>
  <c r="BV167" i="68"/>
  <c r="BP167" i="68"/>
  <c r="CH138" i="68"/>
  <c r="CB138" i="68"/>
  <c r="BV138" i="68"/>
  <c r="BP138" i="68"/>
  <c r="CH152" i="68"/>
  <c r="CB152" i="68"/>
  <c r="BV152" i="68"/>
  <c r="BP152" i="68"/>
  <c r="AC228" i="68"/>
  <c r="AQ214" i="68"/>
  <c r="AC216" i="68"/>
  <c r="AC215" i="68"/>
  <c r="AC217" i="68"/>
  <c r="AC218" i="68"/>
  <c r="L4" i="65"/>
  <c r="N28" i="65"/>
  <c r="D28" i="65" s="1"/>
  <c r="K34" i="33"/>
  <c r="K21" i="33"/>
  <c r="E13" i="65" l="1"/>
  <c r="AW279" i="68"/>
  <c r="AX279" i="68"/>
  <c r="AY279" i="68"/>
  <c r="AZ279" i="68"/>
  <c r="E9" i="65"/>
  <c r="AN10" i="78"/>
  <c r="AI12" i="78" s="1"/>
  <c r="AN52" i="78"/>
  <c r="AI56" i="78" s="1"/>
  <c r="AT32" i="2" l="1"/>
  <c r="AT33" i="2"/>
  <c r="AT34" i="2"/>
  <c r="AS33" i="2"/>
  <c r="AT31" i="2"/>
  <c r="AS32" i="2" l="1"/>
  <c r="AN35" i="2"/>
  <c r="AJ190" i="62" l="1"/>
  <c r="D159" i="62"/>
  <c r="AE159" i="62"/>
  <c r="C95" i="62"/>
  <c r="BV168" i="68" l="1"/>
  <c r="CH168" i="68"/>
  <c r="CB168" i="68"/>
  <c r="CE169" i="68" s="1"/>
  <c r="BP168" i="68"/>
  <c r="CI171" i="68"/>
  <c r="CI170" i="68"/>
  <c r="CC171" i="68"/>
  <c r="CC170" i="68"/>
  <c r="CD169" i="68" l="1"/>
  <c r="CJ169" i="68"/>
  <c r="CK169" i="68"/>
  <c r="CL169" i="68"/>
  <c r="CI169" i="68"/>
  <c r="CF169" i="68"/>
  <c r="CC169" i="68"/>
  <c r="CI142" i="68"/>
  <c r="CI141" i="68"/>
  <c r="CC142" i="68"/>
  <c r="CC141" i="68"/>
  <c r="CI156" i="68"/>
  <c r="CI155" i="68"/>
  <c r="CC156" i="68"/>
  <c r="CC155" i="68"/>
  <c r="AB276" i="68"/>
  <c r="AQ176" i="68"/>
  <c r="AQ186" i="68" s="1"/>
  <c r="AO176" i="68"/>
  <c r="AO186" i="68" s="1"/>
  <c r="AM176" i="68"/>
  <c r="AM186" i="68" s="1"/>
  <c r="AK176" i="68"/>
  <c r="AK186" i="68" s="1"/>
  <c r="AZ266" i="68"/>
  <c r="AY266" i="68"/>
  <c r="AX266" i="68"/>
  <c r="AW266" i="68"/>
  <c r="AE6" i="23"/>
  <c r="E25" i="70"/>
  <c r="F25" i="70"/>
  <c r="G25" i="70"/>
  <c r="H25" i="70"/>
  <c r="G109" i="70"/>
  <c r="F109" i="70"/>
  <c r="E109" i="70"/>
  <c r="D109" i="70"/>
  <c r="H81" i="70"/>
  <c r="G81" i="70"/>
  <c r="F81" i="70"/>
  <c r="E81" i="70"/>
  <c r="D81" i="70"/>
  <c r="H53" i="70"/>
  <c r="G53" i="70"/>
  <c r="F53" i="70"/>
  <c r="E53" i="70"/>
  <c r="D53" i="70"/>
  <c r="D25" i="70"/>
  <c r="CB171" i="68" l="1"/>
  <c r="CH171" i="68"/>
  <c r="I25" i="70"/>
  <c r="I6" i="70" s="1"/>
  <c r="I109" i="70"/>
  <c r="I81" i="70"/>
  <c r="I63" i="70" s="1"/>
  <c r="I53" i="70"/>
  <c r="AL8" i="2"/>
  <c r="I7" i="70" l="1"/>
  <c r="I35" i="70"/>
  <c r="I34" i="70"/>
  <c r="I90" i="70"/>
  <c r="I91" i="70"/>
  <c r="I62" i="70"/>
  <c r="D132" i="37" l="1"/>
  <c r="D128" i="37"/>
  <c r="S122" i="37"/>
  <c r="D121" i="37"/>
  <c r="D117" i="37"/>
  <c r="K101" i="37"/>
  <c r="E100" i="37"/>
  <c r="B100" i="37"/>
  <c r="K99" i="37"/>
  <c r="E99" i="37"/>
  <c r="B99" i="37"/>
  <c r="L98" i="37"/>
  <c r="E98" i="37"/>
  <c r="B98" i="37"/>
  <c r="AG46" i="82" l="1"/>
  <c r="D10" i="63" l="1"/>
  <c r="A39" i="60"/>
  <c r="T21" i="12" l="1"/>
  <c r="U29" i="12"/>
  <c r="R32" i="12" s="1"/>
  <c r="T18" i="12"/>
  <c r="B19" i="12" s="1"/>
  <c r="M2" i="12"/>
  <c r="S28" i="12"/>
  <c r="S29" i="12"/>
  <c r="E37" i="12"/>
  <c r="BE105" i="2"/>
  <c r="BB105" i="2" s="1"/>
  <c r="BB125" i="2" l="1"/>
  <c r="R33" i="12"/>
  <c r="R31" i="12"/>
  <c r="I60" i="12"/>
  <c r="H60" i="12" s="1"/>
  <c r="I58" i="12"/>
  <c r="H58" i="12" s="1"/>
  <c r="E64" i="12"/>
  <c r="E65" i="12"/>
  <c r="D60" i="12"/>
  <c r="D58" i="12"/>
  <c r="C48" i="12"/>
  <c r="C29" i="12"/>
  <c r="C28" i="12"/>
  <c r="B17" i="12"/>
  <c r="B16" i="12"/>
  <c r="B14" i="12"/>
  <c r="B13" i="12"/>
  <c r="B12" i="12"/>
  <c r="B10" i="12"/>
  <c r="C38" i="52" l="1"/>
  <c r="I114" i="70" l="1"/>
  <c r="AH106" i="2" l="1"/>
  <c r="AN44" i="2"/>
  <c r="AK18" i="2"/>
  <c r="AO71" i="58" l="1"/>
  <c r="AE65" i="58" s="1"/>
  <c r="C22" i="40" l="1"/>
  <c r="AY377" i="74" l="1"/>
  <c r="BE376" i="74"/>
  <c r="AY376" i="74"/>
  <c r="AY375" i="74"/>
  <c r="BE374" i="74"/>
  <c r="AY374" i="74"/>
  <c r="AY373" i="74"/>
  <c r="BE372" i="74"/>
  <c r="AY372" i="74"/>
  <c r="AY371" i="74"/>
  <c r="BE370" i="74"/>
  <c r="AY370" i="74"/>
  <c r="AY369" i="74"/>
  <c r="AY247" i="74"/>
  <c r="BE246" i="74"/>
  <c r="AY246" i="74"/>
  <c r="AY245" i="74"/>
  <c r="BE244" i="74"/>
  <c r="AY244" i="74"/>
  <c r="AY243" i="74"/>
  <c r="BE242" i="74"/>
  <c r="AY242" i="74"/>
  <c r="AY241" i="74"/>
  <c r="BE240" i="74"/>
  <c r="AY240" i="74"/>
  <c r="AY239" i="74"/>
  <c r="AY116" i="74"/>
  <c r="AY114" i="74"/>
  <c r="AY112" i="74"/>
  <c r="AY117" i="74"/>
  <c r="BE116" i="74"/>
  <c r="AY115" i="74"/>
  <c r="BE114" i="74"/>
  <c r="AY113" i="74"/>
  <c r="BE112" i="74"/>
  <c r="AY111" i="74"/>
  <c r="BE110" i="74"/>
  <c r="AY110" i="74"/>
  <c r="AY109" i="74"/>
  <c r="AM338" i="74" l="1"/>
  <c r="AM337" i="74"/>
  <c r="AM336" i="74"/>
  <c r="AM208" i="74"/>
  <c r="AM207" i="74"/>
  <c r="AM206" i="74"/>
  <c r="AM77" i="74"/>
  <c r="AM76" i="74"/>
  <c r="AM75" i="74"/>
  <c r="C2" i="2" l="1"/>
  <c r="E1" i="51"/>
  <c r="G212" i="68" l="1"/>
  <c r="AR149" i="84" l="1"/>
  <c r="AR148" i="84"/>
  <c r="AR147" i="84"/>
  <c r="AR22" i="84"/>
  <c r="AR21" i="84"/>
  <c r="AR20" i="84"/>
  <c r="AR23" i="84" l="1"/>
  <c r="AR25" i="84" s="1"/>
  <c r="AR150" i="84"/>
  <c r="Y136" i="5"/>
  <c r="Y22" i="5"/>
  <c r="AP3" i="2"/>
  <c r="Y8" i="97" l="1"/>
  <c r="Y8" i="99"/>
  <c r="AG135" i="96"/>
  <c r="AG8" i="96"/>
  <c r="Y137" i="5"/>
  <c r="Y138" i="5"/>
  <c r="Y23" i="5"/>
  <c r="Y24" i="5"/>
  <c r="AR153" i="84"/>
  <c r="AR152" i="84"/>
  <c r="Y117" i="91"/>
  <c r="Y13" i="91"/>
  <c r="AC118" i="90"/>
  <c r="AC236" i="90"/>
  <c r="AC177" i="90"/>
  <c r="AC59" i="90"/>
  <c r="Y8" i="90"/>
  <c r="V64" i="88"/>
  <c r="V64" i="50"/>
  <c r="V64" i="49"/>
  <c r="V64" i="43"/>
  <c r="AB8" i="78"/>
  <c r="Y9" i="62"/>
  <c r="AR26" i="84"/>
  <c r="N15" i="3"/>
  <c r="AA277" i="74"/>
  <c r="V11" i="43"/>
  <c r="V11" i="49"/>
  <c r="V11" i="50"/>
  <c r="V11" i="88"/>
  <c r="K14" i="52"/>
  <c r="H21" i="4"/>
  <c r="S11" i="68"/>
  <c r="O9" i="59"/>
  <c r="L11" i="53"/>
  <c r="L8" i="6"/>
  <c r="AB8" i="79"/>
  <c r="AG8" i="84"/>
  <c r="Q128" i="59"/>
  <c r="AB8" i="80"/>
  <c r="AG135" i="84"/>
  <c r="T19" i="86"/>
  <c r="K10" i="33"/>
  <c r="Y8" i="82"/>
  <c r="AA16" i="74"/>
  <c r="AJ9" i="76"/>
  <c r="AA147" i="74"/>
  <c r="L9" i="71"/>
  <c r="Y10" i="58"/>
  <c r="Y139" i="5" l="1"/>
  <c r="Y140" i="5"/>
  <c r="Y141" i="5" l="1"/>
  <c r="J26" i="67" s="1"/>
  <c r="Z11" i="2"/>
  <c r="AQ7" i="2" l="1"/>
  <c r="M10" i="15" l="1"/>
  <c r="A338" i="74" l="1"/>
  <c r="A337" i="74"/>
  <c r="A336" i="74"/>
  <c r="A208" i="74"/>
  <c r="A207" i="74"/>
  <c r="A206" i="74"/>
  <c r="A77" i="74"/>
  <c r="A76" i="74"/>
  <c r="A75" i="74"/>
  <c r="A339" i="74" l="1"/>
  <c r="A78" i="74"/>
  <c r="A209" i="74"/>
  <c r="U35" i="88" l="1"/>
  <c r="Q35" i="88"/>
  <c r="M35" i="88"/>
  <c r="J35" i="88"/>
  <c r="AU35" i="88" s="1"/>
  <c r="B35" i="88"/>
  <c r="AX43" i="6"/>
  <c r="AX41" i="6"/>
  <c r="AX21" i="6"/>
  <c r="AS43" i="6"/>
  <c r="AS41" i="6"/>
  <c r="AS21" i="6"/>
  <c r="AN43" i="6"/>
  <c r="AN41" i="6"/>
  <c r="AN21" i="6"/>
  <c r="AI43" i="6"/>
  <c r="AI41" i="6"/>
  <c r="AI21" i="6"/>
  <c r="AH41" i="6"/>
  <c r="AH39" i="6"/>
  <c r="AH21" i="6"/>
  <c r="AH19" i="6"/>
  <c r="AC43" i="6"/>
  <c r="AC41" i="6"/>
  <c r="AC21" i="6"/>
  <c r="AA115" i="88"/>
  <c r="Y115" i="88"/>
  <c r="U115" i="88"/>
  <c r="Q115" i="88"/>
  <c r="M115" i="88"/>
  <c r="J115" i="88"/>
  <c r="B115" i="88"/>
  <c r="AA114" i="88"/>
  <c r="Y114" i="88"/>
  <c r="U114" i="88"/>
  <c r="Q114" i="88"/>
  <c r="M114" i="88"/>
  <c r="J114" i="88"/>
  <c r="AU114" i="88" s="1"/>
  <c r="B114" i="88"/>
  <c r="AA113" i="88"/>
  <c r="Y113" i="88"/>
  <c r="U113" i="88"/>
  <c r="Q113" i="88"/>
  <c r="M113" i="88"/>
  <c r="AW113" i="88" s="1"/>
  <c r="J113" i="88"/>
  <c r="AS113" i="88" s="1"/>
  <c r="B113" i="88"/>
  <c r="AA112" i="88"/>
  <c r="Y112" i="88"/>
  <c r="U112" i="88"/>
  <c r="Q112" i="88"/>
  <c r="M112" i="88"/>
  <c r="AX112" i="88" s="1"/>
  <c r="J112" i="88"/>
  <c r="AT112" i="88" s="1"/>
  <c r="B112" i="88"/>
  <c r="AA111" i="88"/>
  <c r="Y111" i="88"/>
  <c r="U111" i="88"/>
  <c r="Q111" i="88"/>
  <c r="M111" i="88"/>
  <c r="AW111" i="88" s="1"/>
  <c r="J111" i="88"/>
  <c r="AS111" i="88" s="1"/>
  <c r="B111" i="88"/>
  <c r="AA110" i="88"/>
  <c r="Y110" i="88"/>
  <c r="U110" i="88"/>
  <c r="Q110" i="88"/>
  <c r="M110" i="88"/>
  <c r="J110" i="88"/>
  <c r="AT110" i="88" s="1"/>
  <c r="B110" i="88"/>
  <c r="AA109" i="88"/>
  <c r="Y109" i="88"/>
  <c r="U109" i="88"/>
  <c r="Q109" i="88"/>
  <c r="M109" i="88"/>
  <c r="AW109" i="88" s="1"/>
  <c r="J109" i="88"/>
  <c r="AS109" i="88" s="1"/>
  <c r="B109" i="88"/>
  <c r="AA108" i="88"/>
  <c r="Y108" i="88"/>
  <c r="U108" i="88"/>
  <c r="Q108" i="88"/>
  <c r="M108" i="88"/>
  <c r="AX108" i="88" s="1"/>
  <c r="J108" i="88"/>
  <c r="AU108" i="88" s="1"/>
  <c r="B108" i="88"/>
  <c r="AA107" i="88"/>
  <c r="Y107" i="88"/>
  <c r="U107" i="88"/>
  <c r="Q107" i="88"/>
  <c r="M107" i="88"/>
  <c r="AW107" i="88" s="1"/>
  <c r="J107" i="88"/>
  <c r="B107" i="88"/>
  <c r="AA106" i="88"/>
  <c r="Y106" i="88"/>
  <c r="U106" i="88"/>
  <c r="Q106" i="88"/>
  <c r="M106" i="88"/>
  <c r="J106" i="88"/>
  <c r="AT106" i="88" s="1"/>
  <c r="B106" i="88"/>
  <c r="AA105" i="88"/>
  <c r="Y105" i="88"/>
  <c r="U105" i="88"/>
  <c r="Q105" i="88"/>
  <c r="M105" i="88"/>
  <c r="AW105" i="88" s="1"/>
  <c r="J105" i="88"/>
  <c r="AS105" i="88" s="1"/>
  <c r="B105" i="88"/>
  <c r="AA104" i="88"/>
  <c r="Y104" i="88"/>
  <c r="U104" i="88"/>
  <c r="Q104" i="88"/>
  <c r="M104" i="88"/>
  <c r="AX104" i="88" s="1"/>
  <c r="J104" i="88"/>
  <c r="AU104" i="88" s="1"/>
  <c r="B104" i="88"/>
  <c r="AA103" i="88"/>
  <c r="Y103" i="88"/>
  <c r="U103" i="88"/>
  <c r="Q103" i="88"/>
  <c r="M103" i="88"/>
  <c r="AW103" i="88" s="1"/>
  <c r="J103" i="88"/>
  <c r="AS103" i="88" s="1"/>
  <c r="B103" i="88"/>
  <c r="AA102" i="88"/>
  <c r="Y102" i="88"/>
  <c r="U102" i="88"/>
  <c r="Q102" i="88"/>
  <c r="M102" i="88"/>
  <c r="AY102" i="88" s="1"/>
  <c r="J102" i="88"/>
  <c r="B102" i="88"/>
  <c r="AA101" i="88"/>
  <c r="Y101" i="88"/>
  <c r="U101" i="88"/>
  <c r="Q101" i="88"/>
  <c r="M101" i="88"/>
  <c r="J101" i="88"/>
  <c r="AS101" i="88" s="1"/>
  <c r="B101" i="88"/>
  <c r="AA100" i="88"/>
  <c r="Y100" i="88"/>
  <c r="U100" i="88"/>
  <c r="Q100" i="88"/>
  <c r="M100" i="88"/>
  <c r="AY100" i="88" s="1"/>
  <c r="J100" i="88"/>
  <c r="AU100" i="88" s="1"/>
  <c r="B100" i="88"/>
  <c r="AA99" i="88"/>
  <c r="Y99" i="88"/>
  <c r="U99" i="88"/>
  <c r="Q99" i="88"/>
  <c r="M99" i="88"/>
  <c r="AX99" i="88" s="1"/>
  <c r="J99" i="88"/>
  <c r="B99" i="88"/>
  <c r="AA98" i="88"/>
  <c r="Y98" i="88"/>
  <c r="U98" i="88"/>
  <c r="Q98" i="88"/>
  <c r="M98" i="88"/>
  <c r="AY98" i="88" s="1"/>
  <c r="J98" i="88"/>
  <c r="B98" i="88"/>
  <c r="AA97" i="88"/>
  <c r="Y97" i="88"/>
  <c r="U97" i="88"/>
  <c r="Q97" i="88"/>
  <c r="M97" i="88"/>
  <c r="AW97" i="88" s="1"/>
  <c r="J97" i="88"/>
  <c r="B97" i="88"/>
  <c r="AA96" i="88"/>
  <c r="Y96" i="88"/>
  <c r="U96" i="88"/>
  <c r="Q96" i="88"/>
  <c r="M96" i="88"/>
  <c r="AY96" i="88" s="1"/>
  <c r="J96" i="88"/>
  <c r="AS96" i="88" s="1"/>
  <c r="B96" i="88"/>
  <c r="AA95" i="88"/>
  <c r="Y95" i="88"/>
  <c r="U95" i="88"/>
  <c r="Q95" i="88"/>
  <c r="M95" i="88"/>
  <c r="AX95" i="88" s="1"/>
  <c r="J95" i="88"/>
  <c r="B95" i="88"/>
  <c r="AA94" i="88"/>
  <c r="Y94" i="88"/>
  <c r="U94" i="88"/>
  <c r="Q94" i="88"/>
  <c r="M94" i="88"/>
  <c r="AY94" i="88" s="1"/>
  <c r="J94" i="88"/>
  <c r="B94" i="88"/>
  <c r="AA93" i="88"/>
  <c r="Y93" i="88"/>
  <c r="U93" i="88"/>
  <c r="Q93" i="88"/>
  <c r="M93" i="88"/>
  <c r="AY93" i="88" s="1"/>
  <c r="J93" i="88"/>
  <c r="AS93" i="88" s="1"/>
  <c r="B93" i="88"/>
  <c r="AA92" i="88"/>
  <c r="Y92" i="88"/>
  <c r="U92" i="88"/>
  <c r="Q92" i="88"/>
  <c r="M92" i="88"/>
  <c r="AY92" i="88" s="1"/>
  <c r="J92" i="88"/>
  <c r="AU92" i="88" s="1"/>
  <c r="B92" i="88"/>
  <c r="AA91" i="88"/>
  <c r="Y91" i="88"/>
  <c r="U91" i="88"/>
  <c r="Q91" i="88"/>
  <c r="M91" i="88"/>
  <c r="AY91" i="88" s="1"/>
  <c r="J91" i="88"/>
  <c r="B91" i="88"/>
  <c r="AA90" i="88"/>
  <c r="Y90" i="88"/>
  <c r="U90" i="88"/>
  <c r="Q90" i="88"/>
  <c r="M90" i="88"/>
  <c r="AY90" i="88" s="1"/>
  <c r="J90" i="88"/>
  <c r="B90" i="88"/>
  <c r="AA89" i="88"/>
  <c r="Y89" i="88"/>
  <c r="U89" i="88"/>
  <c r="Q89" i="88"/>
  <c r="M89" i="88"/>
  <c r="AY89" i="88" s="1"/>
  <c r="J89" i="88"/>
  <c r="B89" i="88"/>
  <c r="AA88" i="88"/>
  <c r="Y88" i="88"/>
  <c r="U88" i="88"/>
  <c r="Q88" i="88"/>
  <c r="M88" i="88"/>
  <c r="AY88" i="88" s="1"/>
  <c r="J88" i="88"/>
  <c r="AU88" i="88" s="1"/>
  <c r="B88" i="88"/>
  <c r="AH82" i="88"/>
  <c r="B82" i="88"/>
  <c r="B80" i="88"/>
  <c r="B78" i="88"/>
  <c r="B62" i="88"/>
  <c r="AF61" i="88"/>
  <c r="AA54" i="88"/>
  <c r="Y54" i="88"/>
  <c r="U54" i="88"/>
  <c r="Q54" i="88"/>
  <c r="M54" i="88"/>
  <c r="AY54" i="88" s="1"/>
  <c r="J54" i="88"/>
  <c r="AS54" i="88" s="1"/>
  <c r="B54" i="88"/>
  <c r="AA53" i="88"/>
  <c r="Y53" i="88"/>
  <c r="U53" i="88"/>
  <c r="Q53" i="88"/>
  <c r="M53" i="88"/>
  <c r="AY53" i="88" s="1"/>
  <c r="J53" i="88"/>
  <c r="AU53" i="88" s="1"/>
  <c r="B53" i="88"/>
  <c r="AA52" i="88"/>
  <c r="Y52" i="88"/>
  <c r="U52" i="88"/>
  <c r="Q52" i="88"/>
  <c r="M52" i="88"/>
  <c r="AY52" i="88" s="1"/>
  <c r="J52" i="88"/>
  <c r="B52" i="88"/>
  <c r="AA51" i="88"/>
  <c r="Y51" i="88"/>
  <c r="U51" i="88"/>
  <c r="Q51" i="88"/>
  <c r="M51" i="88"/>
  <c r="AY51" i="88" s="1"/>
  <c r="J51" i="88"/>
  <c r="B51" i="88"/>
  <c r="AA50" i="88"/>
  <c r="Y50" i="88"/>
  <c r="U50" i="88"/>
  <c r="Q50" i="88"/>
  <c r="M50" i="88"/>
  <c r="AY50" i="88" s="1"/>
  <c r="J50" i="88"/>
  <c r="B50" i="88"/>
  <c r="AA49" i="88"/>
  <c r="Y49" i="88"/>
  <c r="U49" i="88"/>
  <c r="Q49" i="88"/>
  <c r="M49" i="88"/>
  <c r="AY49" i="88" s="1"/>
  <c r="J49" i="88"/>
  <c r="AU49" i="88" s="1"/>
  <c r="B49" i="88"/>
  <c r="AA48" i="88"/>
  <c r="Y48" i="88"/>
  <c r="U48" i="88"/>
  <c r="Q48" i="88"/>
  <c r="M48" i="88"/>
  <c r="AX48" i="88" s="1"/>
  <c r="J48" i="88"/>
  <c r="B48" i="88"/>
  <c r="AA47" i="88"/>
  <c r="Y47" i="88"/>
  <c r="U47" i="88"/>
  <c r="Q47" i="88"/>
  <c r="M47" i="88"/>
  <c r="AY47" i="88" s="1"/>
  <c r="J47" i="88"/>
  <c r="B47" i="88"/>
  <c r="AA46" i="88"/>
  <c r="Y46" i="88"/>
  <c r="U46" i="88"/>
  <c r="Q46" i="88"/>
  <c r="M46" i="88"/>
  <c r="J46" i="88"/>
  <c r="AS46" i="88" s="1"/>
  <c r="B46" i="88"/>
  <c r="AA45" i="88"/>
  <c r="Y45" i="88"/>
  <c r="U45" i="88"/>
  <c r="Q45" i="88"/>
  <c r="M45" i="88"/>
  <c r="AY45" i="88" s="1"/>
  <c r="J45" i="88"/>
  <c r="AU45" i="88" s="1"/>
  <c r="B45" i="88"/>
  <c r="AA44" i="88"/>
  <c r="Y44" i="88"/>
  <c r="U44" i="88"/>
  <c r="Q44" i="88"/>
  <c r="M44" i="88"/>
  <c r="AX44" i="88" s="1"/>
  <c r="J44" i="88"/>
  <c r="B44" i="88"/>
  <c r="AA43" i="88"/>
  <c r="Y43" i="88"/>
  <c r="U43" i="88"/>
  <c r="Q43" i="88"/>
  <c r="M43" i="88"/>
  <c r="AY43" i="88" s="1"/>
  <c r="J43" i="88"/>
  <c r="B43" i="88"/>
  <c r="AA42" i="88"/>
  <c r="Y42" i="88"/>
  <c r="U42" i="88"/>
  <c r="Q42" i="88"/>
  <c r="M42" i="88"/>
  <c r="AW42" i="88" s="1"/>
  <c r="J42" i="88"/>
  <c r="AS42" i="88" s="1"/>
  <c r="B42" i="88"/>
  <c r="AA41" i="88"/>
  <c r="Y41" i="88"/>
  <c r="U41" i="88"/>
  <c r="Q41" i="88"/>
  <c r="M41" i="88"/>
  <c r="AY41" i="88" s="1"/>
  <c r="J41" i="88"/>
  <c r="AU41" i="88" s="1"/>
  <c r="B41" i="88"/>
  <c r="AA40" i="88"/>
  <c r="Y40" i="88"/>
  <c r="U40" i="88"/>
  <c r="Q40" i="88"/>
  <c r="M40" i="88"/>
  <c r="AY40" i="88" s="1"/>
  <c r="J40" i="88"/>
  <c r="AT40" i="88" s="1"/>
  <c r="B40" i="88"/>
  <c r="AA39" i="88"/>
  <c r="Y39" i="88"/>
  <c r="U39" i="88"/>
  <c r="Q39" i="88"/>
  <c r="M39" i="88"/>
  <c r="J39" i="88"/>
  <c r="AS39" i="88" s="1"/>
  <c r="B39" i="88"/>
  <c r="AA38" i="88"/>
  <c r="Y38" i="88"/>
  <c r="U38" i="88"/>
  <c r="Q38" i="88"/>
  <c r="M38" i="88"/>
  <c r="AY38" i="88" s="1"/>
  <c r="J38" i="88"/>
  <c r="AT38" i="88" s="1"/>
  <c r="B38" i="88"/>
  <c r="AA37" i="88"/>
  <c r="Y37" i="88"/>
  <c r="U37" i="88"/>
  <c r="Q37" i="88"/>
  <c r="M37" i="88"/>
  <c r="J37" i="88"/>
  <c r="AU37" i="88" s="1"/>
  <c r="B37" i="88"/>
  <c r="AA36" i="88"/>
  <c r="Y36" i="88"/>
  <c r="U36" i="88"/>
  <c r="Q36" i="88"/>
  <c r="M36" i="88"/>
  <c r="AY36" i="88" s="1"/>
  <c r="J36" i="88"/>
  <c r="AT36" i="88" s="1"/>
  <c r="B36" i="88"/>
  <c r="AS35" i="88"/>
  <c r="AA35" i="88"/>
  <c r="Y35" i="88"/>
  <c r="AH29" i="88"/>
  <c r="B29" i="88"/>
  <c r="B27" i="88"/>
  <c r="B25" i="88"/>
  <c r="AB5" i="88"/>
  <c r="AC35" i="88" l="1"/>
  <c r="A35" i="88" s="1"/>
  <c r="AC112" i="88"/>
  <c r="AS41" i="88"/>
  <c r="AC93" i="88"/>
  <c r="AC89" i="88"/>
  <c r="AC107" i="88"/>
  <c r="AT108" i="88"/>
  <c r="AC102" i="88"/>
  <c r="A102" i="88" s="1"/>
  <c r="AC111" i="88"/>
  <c r="A111" i="88" s="1"/>
  <c r="AC106" i="88"/>
  <c r="A106" i="88" s="1"/>
  <c r="AC115" i="88"/>
  <c r="A115" i="88" s="1"/>
  <c r="AC98" i="88"/>
  <c r="AC104" i="88"/>
  <c r="A104" i="88" s="1"/>
  <c r="AC113" i="88"/>
  <c r="A113" i="88" s="1"/>
  <c r="AC110" i="88"/>
  <c r="A110" i="88" s="1"/>
  <c r="AC90" i="88"/>
  <c r="A90" i="88" s="1"/>
  <c r="AC99" i="88"/>
  <c r="A99" i="88" s="1"/>
  <c r="AC95" i="88"/>
  <c r="A95" i="88" s="1"/>
  <c r="AS40" i="88"/>
  <c r="AW91" i="88"/>
  <c r="AG94" i="88"/>
  <c r="AC96" i="88"/>
  <c r="AC103" i="88"/>
  <c r="A103" i="88" s="1"/>
  <c r="AC94" i="88"/>
  <c r="A94" i="88" s="1"/>
  <c r="AC38" i="88"/>
  <c r="A38" i="88" s="1"/>
  <c r="AC39" i="88"/>
  <c r="A39" i="88" s="1"/>
  <c r="AC40" i="88"/>
  <c r="A40" i="88" s="1"/>
  <c r="AC41" i="88"/>
  <c r="A41" i="88" s="1"/>
  <c r="AC42" i="88"/>
  <c r="A42" i="88" s="1"/>
  <c r="AC50" i="88"/>
  <c r="A50" i="88" s="1"/>
  <c r="AC37" i="88"/>
  <c r="A37" i="88" s="1"/>
  <c r="AC49" i="88"/>
  <c r="A49" i="88" s="1"/>
  <c r="AC88" i="88"/>
  <c r="A88" i="88" s="1"/>
  <c r="AG95" i="88"/>
  <c r="AC97" i="88"/>
  <c r="A97" i="88" s="1"/>
  <c r="AC105" i="88"/>
  <c r="A105" i="88" s="1"/>
  <c r="AC114" i="88"/>
  <c r="A114" i="88" s="1"/>
  <c r="AC51" i="88"/>
  <c r="A51" i="88" s="1"/>
  <c r="AC48" i="88"/>
  <c r="A48" i="88" s="1"/>
  <c r="AC47" i="88"/>
  <c r="A47" i="88" s="1"/>
  <c r="AC36" i="88"/>
  <c r="A36" i="88" s="1"/>
  <c r="AS38" i="88"/>
  <c r="AC46" i="88"/>
  <c r="A46" i="88" s="1"/>
  <c r="AC54" i="88"/>
  <c r="A54" i="88" s="1"/>
  <c r="AC45" i="88"/>
  <c r="A45" i="88" s="1"/>
  <c r="AC53" i="88"/>
  <c r="A53" i="88" s="1"/>
  <c r="AC101" i="88"/>
  <c r="A101" i="88" s="1"/>
  <c r="AS114" i="88"/>
  <c r="AC43" i="88"/>
  <c r="A43" i="88" s="1"/>
  <c r="AC44" i="88"/>
  <c r="A44" i="88" s="1"/>
  <c r="AC52" i="88"/>
  <c r="A52" i="88" s="1"/>
  <c r="AC91" i="88"/>
  <c r="A91" i="88" s="1"/>
  <c r="AC92" i="88"/>
  <c r="A92" i="88" s="1"/>
  <c r="AC100" i="88"/>
  <c r="A100" i="88" s="1"/>
  <c r="AC108" i="88"/>
  <c r="AC109" i="88"/>
  <c r="A109" i="88" s="1"/>
  <c r="AT114" i="88"/>
  <c r="AI35" i="88"/>
  <c r="AX97" i="88"/>
  <c r="AW98" i="88"/>
  <c r="AW94" i="88"/>
  <c r="AW95" i="88"/>
  <c r="AG97" i="88"/>
  <c r="AX91" i="88"/>
  <c r="AY95" i="88"/>
  <c r="AS88" i="88"/>
  <c r="AG102" i="88"/>
  <c r="AS108" i="88"/>
  <c r="A82" i="88"/>
  <c r="R82" i="88" s="1"/>
  <c r="AG91" i="88"/>
  <c r="AY44" i="88"/>
  <c r="AS100" i="88"/>
  <c r="AW102" i="88"/>
  <c r="AG107" i="88"/>
  <c r="AG115" i="88"/>
  <c r="AG89" i="88"/>
  <c r="A93" i="88"/>
  <c r="A98" i="88"/>
  <c r="A107" i="88"/>
  <c r="A89" i="88"/>
  <c r="AS89" i="88"/>
  <c r="AY107" i="88"/>
  <c r="AU110" i="88"/>
  <c r="AU112" i="88"/>
  <c r="AX89" i="88"/>
  <c r="AI90" i="88"/>
  <c r="AU96" i="88"/>
  <c r="AX98" i="88"/>
  <c r="AI101" i="88"/>
  <c r="AS104" i="88"/>
  <c r="AG109" i="88"/>
  <c r="AY99" i="88"/>
  <c r="AU106" i="88"/>
  <c r="AW44" i="88"/>
  <c r="AX88" i="88"/>
  <c r="AW90" i="88"/>
  <c r="AS92" i="88"/>
  <c r="AX93" i="88"/>
  <c r="AI94" i="88"/>
  <c r="AX96" i="88"/>
  <c r="AG98" i="88"/>
  <c r="AW99" i="88"/>
  <c r="AT104" i="88"/>
  <c r="AG105" i="88"/>
  <c r="AY105" i="88"/>
  <c r="AS106" i="88"/>
  <c r="AS110" i="88"/>
  <c r="AS112" i="88"/>
  <c r="AG90" i="88"/>
  <c r="AX90" i="88"/>
  <c r="AS97" i="88"/>
  <c r="BA97" i="88" s="1"/>
  <c r="AG99" i="88"/>
  <c r="AX107" i="88"/>
  <c r="AG113" i="88"/>
  <c r="AY113" i="88"/>
  <c r="AW47" i="88"/>
  <c r="AW48" i="88"/>
  <c r="AI51" i="88"/>
  <c r="AY48" i="88"/>
  <c r="AX49" i="88"/>
  <c r="AW51" i="88"/>
  <c r="AI43" i="88"/>
  <c r="AI46" i="88"/>
  <c r="AI48" i="88"/>
  <c r="AX51" i="88"/>
  <c r="AS50" i="88"/>
  <c r="AX36" i="88"/>
  <c r="AT39" i="88"/>
  <c r="AX50" i="88"/>
  <c r="AS37" i="88"/>
  <c r="AI39" i="88"/>
  <c r="AU39" i="88"/>
  <c r="AX42" i="88"/>
  <c r="AS49" i="88"/>
  <c r="AT37" i="88"/>
  <c r="AI37" i="88"/>
  <c r="AU40" i="88"/>
  <c r="AW43" i="88"/>
  <c r="AW52" i="88"/>
  <c r="AX52" i="88"/>
  <c r="AU36" i="88"/>
  <c r="AX40" i="88"/>
  <c r="AU38" i="88"/>
  <c r="AS45" i="88"/>
  <c r="AS53" i="88"/>
  <c r="AS36" i="88"/>
  <c r="AX38" i="88"/>
  <c r="AX41" i="88"/>
  <c r="AT35" i="88"/>
  <c r="A29" i="88"/>
  <c r="R29" i="88" s="1"/>
  <c r="BA42" i="88"/>
  <c r="AW35" i="88"/>
  <c r="AI36" i="88"/>
  <c r="AW37" i="88"/>
  <c r="AI38" i="88"/>
  <c r="AW39" i="88"/>
  <c r="AI40" i="88"/>
  <c r="AY42" i="88"/>
  <c r="AX43" i="88"/>
  <c r="AW45" i="88"/>
  <c r="AW46" i="88"/>
  <c r="AU47" i="88"/>
  <c r="AS48" i="88"/>
  <c r="AT49" i="88"/>
  <c r="AU50" i="88"/>
  <c r="AT50" i="88"/>
  <c r="AI50" i="88"/>
  <c r="AS51" i="88"/>
  <c r="BA51" i="88" s="1"/>
  <c r="AG51" i="88" s="1"/>
  <c r="AI53" i="88"/>
  <c r="AT88" i="88"/>
  <c r="AU89" i="88"/>
  <c r="AT89" i="88"/>
  <c r="AI89" i="88"/>
  <c r="AS90" i="88"/>
  <c r="AI92" i="88"/>
  <c r="AY97" i="88"/>
  <c r="AW100" i="88"/>
  <c r="AW101" i="88"/>
  <c r="AU102" i="88"/>
  <c r="AX103" i="88"/>
  <c r="BA105" i="88"/>
  <c r="AU109" i="88"/>
  <c r="AT109" i="88"/>
  <c r="AI109" i="88"/>
  <c r="AG110" i="88"/>
  <c r="AX111" i="88"/>
  <c r="A112" i="88"/>
  <c r="BA113" i="88"/>
  <c r="AI104" i="88"/>
  <c r="AY104" i="88"/>
  <c r="AW104" i="88"/>
  <c r="AI112" i="88"/>
  <c r="AY112" i="88"/>
  <c r="AW112" i="88"/>
  <c r="AX35" i="88"/>
  <c r="AX37" i="88"/>
  <c r="AX39" i="88"/>
  <c r="AX45" i="88"/>
  <c r="AX46" i="88"/>
  <c r="AT51" i="88"/>
  <c r="AU52" i="88"/>
  <c r="AT52" i="88"/>
  <c r="AI52" i="88"/>
  <c r="AT90" i="88"/>
  <c r="AU91" i="88"/>
  <c r="AT91" i="88"/>
  <c r="AI91" i="88"/>
  <c r="AG93" i="88"/>
  <c r="AX100" i="88"/>
  <c r="AX101" i="88"/>
  <c r="AY103" i="88"/>
  <c r="AI110" i="88"/>
  <c r="AY110" i="88"/>
  <c r="AW110" i="88"/>
  <c r="AY111" i="88"/>
  <c r="AU115" i="88"/>
  <c r="AT115" i="88"/>
  <c r="AI115" i="88"/>
  <c r="AT102" i="88"/>
  <c r="AY35" i="88"/>
  <c r="AY37" i="88"/>
  <c r="AY39" i="88"/>
  <c r="AI41" i="88"/>
  <c r="AY46" i="88"/>
  <c r="AX47" i="88"/>
  <c r="AW49" i="88"/>
  <c r="AW50" i="88"/>
  <c r="AU51" i="88"/>
  <c r="AS52" i="88"/>
  <c r="AT53" i="88"/>
  <c r="AU54" i="88"/>
  <c r="AT54" i="88"/>
  <c r="AI54" i="88"/>
  <c r="AW88" i="88"/>
  <c r="AW89" i="88"/>
  <c r="AU90" i="88"/>
  <c r="AS91" i="88"/>
  <c r="AG92" i="88"/>
  <c r="AT92" i="88"/>
  <c r="AU93" i="88"/>
  <c r="AT93" i="88"/>
  <c r="AI93" i="88"/>
  <c r="AS94" i="88"/>
  <c r="AI96" i="88"/>
  <c r="AY101" i="88"/>
  <c r="AX102" i="88"/>
  <c r="BA103" i="88"/>
  <c r="AU107" i="88"/>
  <c r="AT107" i="88"/>
  <c r="AI107" i="88"/>
  <c r="AG108" i="88"/>
  <c r="AX109" i="88"/>
  <c r="AX110" i="88"/>
  <c r="BA111" i="88"/>
  <c r="AX115" i="88"/>
  <c r="AW115" i="88"/>
  <c r="AS115" i="88"/>
  <c r="AT94" i="88"/>
  <c r="AU95" i="88"/>
  <c r="AT95" i="88"/>
  <c r="AI95" i="88"/>
  <c r="AI98" i="88"/>
  <c r="AS107" i="88"/>
  <c r="AI108" i="88"/>
  <c r="AY108" i="88"/>
  <c r="AW108" i="88"/>
  <c r="AY109" i="88"/>
  <c r="AY115" i="88"/>
  <c r="AU48" i="88"/>
  <c r="AT48" i="88"/>
  <c r="AW36" i="88"/>
  <c r="AW38" i="88"/>
  <c r="AW40" i="88"/>
  <c r="AT41" i="88"/>
  <c r="AU42" i="88"/>
  <c r="AT42" i="88"/>
  <c r="AI42" i="88"/>
  <c r="AS43" i="88"/>
  <c r="AI45" i="88"/>
  <c r="AW53" i="88"/>
  <c r="AW54" i="88"/>
  <c r="AW92" i="88"/>
  <c r="AW93" i="88"/>
  <c r="AU94" i="88"/>
  <c r="AS95" i="88"/>
  <c r="AG96" i="88"/>
  <c r="AT96" i="88"/>
  <c r="AU97" i="88"/>
  <c r="AT97" i="88"/>
  <c r="AI97" i="88"/>
  <c r="AS98" i="88"/>
  <c r="AI100" i="88"/>
  <c r="AU105" i="88"/>
  <c r="AT105" i="88"/>
  <c r="AI105" i="88"/>
  <c r="AG106" i="88"/>
  <c r="A108" i="88"/>
  <c r="BA109" i="88"/>
  <c r="AU113" i="88"/>
  <c r="AT113" i="88"/>
  <c r="AI113" i="88"/>
  <c r="AG114" i="88"/>
  <c r="AT47" i="88"/>
  <c r="AT43" i="88"/>
  <c r="AU44" i="88"/>
  <c r="AT44" i="88"/>
  <c r="AI44" i="88"/>
  <c r="AI47" i="88"/>
  <c r="AX53" i="88"/>
  <c r="AX54" i="88"/>
  <c r="AX92" i="88"/>
  <c r="AT98" i="88"/>
  <c r="AU99" i="88"/>
  <c r="AT99" i="88"/>
  <c r="AI99" i="88"/>
  <c r="AG101" i="88"/>
  <c r="AI102" i="88"/>
  <c r="AG103" i="88"/>
  <c r="AI106" i="88"/>
  <c r="AY106" i="88"/>
  <c r="AW106" i="88"/>
  <c r="AG111" i="88"/>
  <c r="AI114" i="88"/>
  <c r="AY114" i="88"/>
  <c r="AW114" i="88"/>
  <c r="AW41" i="88"/>
  <c r="AU43" i="88"/>
  <c r="AS44" i="88"/>
  <c r="AT45" i="88"/>
  <c r="AU46" i="88"/>
  <c r="AT46" i="88"/>
  <c r="AS47" i="88"/>
  <c r="AI49" i="88"/>
  <c r="AI88" i="88"/>
  <c r="AX94" i="88"/>
  <c r="A96" i="88"/>
  <c r="AW96" i="88"/>
  <c r="AU98" i="88"/>
  <c r="AS99" i="88"/>
  <c r="AG100" i="88"/>
  <c r="AT100" i="88"/>
  <c r="AU101" i="88"/>
  <c r="AT101" i="88"/>
  <c r="AS102" i="88"/>
  <c r="AU103" i="88"/>
  <c r="AT103" i="88"/>
  <c r="AI103" i="88"/>
  <c r="AG104" i="88"/>
  <c r="AX105" i="88"/>
  <c r="AX106" i="88"/>
  <c r="AU111" i="88"/>
  <c r="AT111" i="88"/>
  <c r="AI111" i="88"/>
  <c r="AG112" i="88"/>
  <c r="AX113" i="88"/>
  <c r="AX114" i="88"/>
  <c r="BA98" i="88" l="1"/>
  <c r="BA94" i="88"/>
  <c r="BA47" i="88"/>
  <c r="BC51" i="88"/>
  <c r="BA48" i="88"/>
  <c r="BB113" i="88"/>
  <c r="BB51" i="88"/>
  <c r="BA102" i="88"/>
  <c r="BB99" i="88"/>
  <c r="BB109" i="88"/>
  <c r="BB90" i="88"/>
  <c r="BA90" i="88"/>
  <c r="BB103" i="88"/>
  <c r="BC90" i="88"/>
  <c r="BB48" i="88"/>
  <c r="BB107" i="88"/>
  <c r="BC109" i="88"/>
  <c r="BB91" i="88"/>
  <c r="BB52" i="88"/>
  <c r="BB111" i="88"/>
  <c r="BC97" i="88"/>
  <c r="BC95" i="88"/>
  <c r="BB102" i="88"/>
  <c r="BB105" i="88"/>
  <c r="BC44" i="88"/>
  <c r="BC98" i="88"/>
  <c r="BA99" i="88"/>
  <c r="BC103" i="88"/>
  <c r="BC111" i="88"/>
  <c r="BC105" i="88"/>
  <c r="BC42" i="88"/>
  <c r="BC48" i="88"/>
  <c r="AG48" i="88" s="1"/>
  <c r="BB44" i="88"/>
  <c r="BA43" i="88"/>
  <c r="BC54" i="88"/>
  <c r="BA54" i="88"/>
  <c r="AG54" i="88" s="1"/>
  <c r="BB54" i="88"/>
  <c r="BB110" i="88"/>
  <c r="BA110" i="88"/>
  <c r="BC110" i="88"/>
  <c r="BB112" i="88"/>
  <c r="BA112" i="88"/>
  <c r="BC112" i="88"/>
  <c r="BA95" i="88"/>
  <c r="BB97" i="88"/>
  <c r="BC114" i="88"/>
  <c r="BB114" i="88"/>
  <c r="BA114" i="88"/>
  <c r="BA53" i="88"/>
  <c r="BB53" i="88"/>
  <c r="BC53" i="88"/>
  <c r="BC115" i="88"/>
  <c r="BB115" i="88"/>
  <c r="BA115" i="88"/>
  <c r="BB94" i="88"/>
  <c r="BB89" i="88"/>
  <c r="BA89" i="88"/>
  <c r="BC89" i="88"/>
  <c r="BA44" i="88"/>
  <c r="AG44" i="88" s="1"/>
  <c r="BB42" i="88"/>
  <c r="BC94" i="88"/>
  <c r="BA88" i="88"/>
  <c r="BC88" i="88"/>
  <c r="BB88" i="88"/>
  <c r="BC43" i="88"/>
  <c r="BC91" i="88"/>
  <c r="BC52" i="88"/>
  <c r="BC39" i="88"/>
  <c r="BB39" i="88"/>
  <c r="BA39" i="88"/>
  <c r="AG39" i="88" s="1"/>
  <c r="BB50" i="88"/>
  <c r="BA50" i="88"/>
  <c r="BC50" i="88"/>
  <c r="BB98" i="88"/>
  <c r="BB43" i="88"/>
  <c r="BB104" i="88"/>
  <c r="BA104" i="88"/>
  <c r="BC104" i="88"/>
  <c r="BC101" i="88"/>
  <c r="BB101" i="88"/>
  <c r="BA101" i="88"/>
  <c r="BC46" i="88"/>
  <c r="BB46" i="88"/>
  <c r="BA46" i="88"/>
  <c r="A55" i="88"/>
  <c r="BB106" i="88"/>
  <c r="BA106" i="88"/>
  <c r="BC106" i="88"/>
  <c r="BA96" i="88"/>
  <c r="BC96" i="88"/>
  <c r="BB96" i="88"/>
  <c r="BA41" i="88"/>
  <c r="BC41" i="88"/>
  <c r="BB41" i="88"/>
  <c r="BA93" i="88"/>
  <c r="BC93" i="88"/>
  <c r="BB93" i="88"/>
  <c r="BC102" i="88"/>
  <c r="A116" i="88"/>
  <c r="AC39" i="6" s="1"/>
  <c r="BA49" i="88"/>
  <c r="BC49" i="88"/>
  <c r="BB49" i="88"/>
  <c r="BB95" i="88"/>
  <c r="BA100" i="88"/>
  <c r="BC100" i="88"/>
  <c r="BB100" i="88"/>
  <c r="BA45" i="88"/>
  <c r="AG45" i="88" s="1"/>
  <c r="BC45" i="88"/>
  <c r="BB45" i="88"/>
  <c r="BC37" i="88"/>
  <c r="BA37" i="88"/>
  <c r="BB37" i="88"/>
  <c r="BC113" i="88"/>
  <c r="BC99" i="88"/>
  <c r="BA36" i="88"/>
  <c r="AG36" i="88" s="1"/>
  <c r="BC36" i="88"/>
  <c r="BB36" i="88"/>
  <c r="BB47" i="88"/>
  <c r="AG47" i="88" s="1"/>
  <c r="BA92" i="88"/>
  <c r="BB92" i="88"/>
  <c r="BC92" i="88"/>
  <c r="BC47" i="88"/>
  <c r="BA40" i="88"/>
  <c r="AG40" i="88" s="1"/>
  <c r="BC40" i="88"/>
  <c r="BB40" i="88"/>
  <c r="BA107" i="88"/>
  <c r="BB108" i="88"/>
  <c r="BA108" i="88"/>
  <c r="BC108" i="88"/>
  <c r="BA38" i="88"/>
  <c r="BC38" i="88"/>
  <c r="BB38" i="88"/>
  <c r="BC107" i="88"/>
  <c r="BC35" i="88"/>
  <c r="BA35" i="88"/>
  <c r="AG35" i="88" s="1"/>
  <c r="BB35" i="88"/>
  <c r="BA91" i="88"/>
  <c r="BA52" i="88"/>
  <c r="AG52" i="88" s="1"/>
  <c r="AG88" i="88" l="1"/>
  <c r="AG69" i="88" s="1"/>
  <c r="AC19" i="6"/>
  <c r="AC23" i="6"/>
  <c r="AG50" i="88"/>
  <c r="AG37" i="88"/>
  <c r="AG43" i="88"/>
  <c r="AG38" i="88"/>
  <c r="AG53" i="88"/>
  <c r="AG49" i="88"/>
  <c r="AG41" i="88"/>
  <c r="AG46" i="88"/>
  <c r="AG42" i="88"/>
  <c r="Q55" i="88"/>
  <c r="AC55" i="88"/>
  <c r="AA55" i="88"/>
  <c r="U55" i="88"/>
  <c r="AA116" i="88"/>
  <c r="AS39" i="6" s="1"/>
  <c r="U116" i="88"/>
  <c r="AN39" i="6" s="1"/>
  <c r="Q116" i="88"/>
  <c r="AI39" i="6" s="1"/>
  <c r="AC116" i="88"/>
  <c r="AX39" i="6" s="1"/>
  <c r="O28" i="3"/>
  <c r="O27" i="3"/>
  <c r="AN19" i="6" l="1"/>
  <c r="AN23" i="6"/>
  <c r="AS19" i="6"/>
  <c r="AS23" i="6"/>
  <c r="AX19" i="6"/>
  <c r="AX23" i="6"/>
  <c r="AI19" i="6"/>
  <c r="AI23" i="6"/>
  <c r="AG16" i="88"/>
  <c r="C32" i="40"/>
  <c r="AH35" i="3" l="1"/>
  <c r="AH38" i="3" s="1"/>
  <c r="AC18" i="78"/>
  <c r="AL19" i="78" s="1"/>
  <c r="I20" i="87"/>
  <c r="AL49" i="78" l="1"/>
  <c r="J54" i="67"/>
  <c r="S45" i="3"/>
  <c r="S42" i="3" s="1"/>
  <c r="W47" i="3"/>
  <c r="W45" i="3"/>
  <c r="V47" i="3"/>
  <c r="V45" i="3"/>
  <c r="M38" i="3" l="1"/>
  <c r="S44" i="3"/>
  <c r="AY105" i="2"/>
  <c r="AE14" i="99" l="1"/>
  <c r="AE10" i="3"/>
  <c r="S39" i="3"/>
  <c r="S62" i="15"/>
  <c r="I41" i="69" l="1"/>
  <c r="I12" i="69"/>
  <c r="I72" i="70"/>
  <c r="I44" i="70"/>
  <c r="I16" i="70"/>
  <c r="AQ8" i="74" l="1"/>
  <c r="V10" i="53" l="1"/>
  <c r="V9" i="53"/>
  <c r="V8" i="53"/>
  <c r="U6" i="53"/>
  <c r="W12" i="3" l="1"/>
  <c r="AA19" i="68" l="1"/>
  <c r="AA23" i="68" s="1"/>
  <c r="D152" i="68" l="1"/>
  <c r="B177" i="68" l="1"/>
  <c r="B64" i="68" l="1"/>
  <c r="B62" i="68"/>
  <c r="B60" i="68"/>
  <c r="Z20" i="68"/>
  <c r="Z12" i="68"/>
  <c r="Z9" i="68"/>
  <c r="AC19" i="68"/>
  <c r="G109" i="68" l="1"/>
  <c r="P135" i="68"/>
  <c r="V123" i="68"/>
  <c r="T123" i="68"/>
  <c r="R123" i="68"/>
  <c r="P123" i="68"/>
  <c r="V135" i="68"/>
  <c r="T135" i="68"/>
  <c r="R135" i="68"/>
  <c r="AJ243" i="84"/>
  <c r="Y234" i="84"/>
  <c r="F234" i="84"/>
  <c r="AH233" i="84"/>
  <c r="O233" i="84"/>
  <c r="Z217" i="84"/>
  <c r="S217" i="84"/>
  <c r="F217" i="84"/>
  <c r="AH216" i="84"/>
  <c r="K216" i="84"/>
  <c r="AD181" i="84"/>
  <c r="AD180" i="84"/>
  <c r="BB177" i="84"/>
  <c r="AZ177" i="84"/>
  <c r="AJ172" i="84"/>
  <c r="AJ175" i="84" s="1"/>
  <c r="AK177" i="84" s="1"/>
  <c r="AD172" i="84"/>
  <c r="AD175" i="84" s="1"/>
  <c r="AE177" i="84" s="1"/>
  <c r="V172" i="84"/>
  <c r="AJ156" i="84"/>
  <c r="BE149" i="84" s="1"/>
  <c r="AD156" i="84"/>
  <c r="BE148" i="84" s="1"/>
  <c r="V156" i="84"/>
  <c r="BE147" i="84" s="1"/>
  <c r="BB153" i="84"/>
  <c r="BA153" i="84"/>
  <c r="AZ153" i="84"/>
  <c r="BB151" i="84"/>
  <c r="BA151" i="84"/>
  <c r="AZ151" i="84"/>
  <c r="BB150" i="84"/>
  <c r="BA150" i="84"/>
  <c r="AZ150" i="84"/>
  <c r="AI130" i="84"/>
  <c r="BD175" i="84" l="1"/>
  <c r="BD178" i="84" s="1"/>
  <c r="AK236" i="84"/>
  <c r="AJ235" i="84"/>
  <c r="AD182" i="84"/>
  <c r="AH218" i="84"/>
  <c r="BD177" i="84"/>
  <c r="BC151" i="84"/>
  <c r="AD179" i="84" s="1"/>
  <c r="BE150" i="84"/>
  <c r="I150" i="84" s="1"/>
  <c r="AI219" i="84"/>
  <c r="BB175" i="84"/>
  <c r="BB178" i="84" s="1"/>
  <c r="BB176" i="84"/>
  <c r="BA175" i="84"/>
  <c r="AJ237" i="84"/>
  <c r="BC150" i="84"/>
  <c r="AD178" i="84" s="1"/>
  <c r="BD176" i="84"/>
  <c r="BC175" i="84"/>
  <c r="V175" i="84"/>
  <c r="W177" i="84" s="1"/>
  <c r="AH220" i="84" l="1"/>
  <c r="AV246" i="84" s="1"/>
  <c r="AJ246" i="84" s="1"/>
  <c r="AY175" i="84"/>
  <c r="AJ183" i="84" s="1"/>
  <c r="AZ175" i="84"/>
  <c r="AZ178" i="84" s="1"/>
  <c r="AZ176" i="84" l="1"/>
  <c r="AK185" i="84" s="1"/>
  <c r="P146" i="68"/>
  <c r="T146" i="68"/>
  <c r="R146" i="68"/>
  <c r="AJ187" i="84" l="1"/>
  <c r="AK184" i="84"/>
  <c r="V73" i="33"/>
  <c r="AH87" i="33"/>
  <c r="W72" i="33"/>
  <c r="C59" i="53" l="1"/>
  <c r="C47" i="53"/>
  <c r="E66" i="30" l="1"/>
  <c r="D66" i="30"/>
  <c r="E54" i="30"/>
  <c r="F54" i="30"/>
  <c r="G54" i="30"/>
  <c r="H54" i="30"/>
  <c r="I54" i="30"/>
  <c r="J54" i="30"/>
  <c r="K54" i="30"/>
  <c r="L54" i="30"/>
  <c r="D54" i="30"/>
  <c r="E27" i="30"/>
  <c r="F27" i="30"/>
  <c r="G27" i="30"/>
  <c r="H27" i="30"/>
  <c r="I27" i="30"/>
  <c r="J27" i="30"/>
  <c r="K27" i="30"/>
  <c r="L27" i="30"/>
  <c r="D27" i="30"/>
  <c r="O54" i="30" l="1"/>
  <c r="O27" i="30"/>
  <c r="N54" i="30"/>
  <c r="N27" i="30"/>
  <c r="F77" i="30" l="1"/>
  <c r="E77" i="30"/>
  <c r="E7" i="37"/>
  <c r="N6" i="30" l="1"/>
  <c r="M6" i="30"/>
  <c r="E60" i="30"/>
  <c r="D60" i="30"/>
  <c r="C31" i="40" l="1"/>
  <c r="W28" i="3" l="1"/>
  <c r="W29" i="3"/>
  <c r="W99" i="59" l="1"/>
  <c r="W98" i="59"/>
  <c r="C99" i="59"/>
  <c r="C79" i="59"/>
  <c r="AD312" i="74"/>
  <c r="W312" i="74"/>
  <c r="P312" i="74"/>
  <c r="AD182" i="74"/>
  <c r="W182" i="74"/>
  <c r="P182" i="74"/>
  <c r="AD51" i="74"/>
  <c r="W51" i="74"/>
  <c r="P51" i="74"/>
  <c r="AB116" i="33" l="1"/>
  <c r="W116" i="33"/>
  <c r="AI130" i="62"/>
  <c r="W128" i="62"/>
  <c r="Y81" i="56" l="1"/>
  <c r="H43" i="4" l="1"/>
  <c r="K34" i="63"/>
  <c r="D403" i="60"/>
  <c r="D449" i="60"/>
  <c r="D373" i="60"/>
  <c r="D47" i="14" l="1"/>
  <c r="F30" i="14"/>
  <c r="C123" i="86" l="1"/>
  <c r="AB127" i="86"/>
  <c r="C100" i="86"/>
  <c r="D89" i="86"/>
  <c r="I10" i="86"/>
  <c r="I8" i="86"/>
  <c r="I6" i="86"/>
  <c r="P10" i="86"/>
  <c r="P8" i="86"/>
  <c r="P6" i="86"/>
  <c r="J3" i="86"/>
  <c r="Z83" i="86"/>
  <c r="Z82" i="86"/>
  <c r="Z81" i="86"/>
  <c r="Z80" i="86"/>
  <c r="Z89" i="86"/>
  <c r="Z87" i="86"/>
  <c r="Z85" i="86"/>
  <c r="Z77" i="86"/>
  <c r="B75" i="86"/>
  <c r="D68" i="86"/>
  <c r="D66" i="86"/>
  <c r="B49" i="86"/>
  <c r="B38" i="86"/>
  <c r="B28" i="86"/>
  <c r="H27" i="86"/>
  <c r="B20" i="86"/>
  <c r="AB75" i="86"/>
  <c r="X14" i="86"/>
  <c r="AA31" i="86" l="1"/>
  <c r="E8" i="86"/>
  <c r="E10" i="86"/>
  <c r="R8" i="86"/>
  <c r="AH47" i="68"/>
  <c r="Q52" i="43" l="1"/>
  <c r="E49" i="3" l="1"/>
  <c r="C14" i="37" l="1"/>
  <c r="AD22" i="71" l="1"/>
  <c r="AD85" i="71"/>
  <c r="AD103" i="71" s="1"/>
  <c r="AJ85" i="71" l="1"/>
  <c r="AJ22" i="71"/>
  <c r="AD23" i="71" l="1"/>
  <c r="U90" i="71"/>
  <c r="AD86" i="71"/>
  <c r="D28" i="60"/>
  <c r="D27" i="60"/>
  <c r="AD24" i="71" l="1"/>
  <c r="AD25" i="71" s="1"/>
  <c r="AD26" i="71" s="1"/>
  <c r="AD27" i="71" s="1"/>
  <c r="AD28" i="71" s="1"/>
  <c r="AD29" i="71" s="1"/>
  <c r="AD30" i="71" s="1"/>
  <c r="AD31" i="71" s="1"/>
  <c r="AD32" i="71" s="1"/>
  <c r="AD33" i="71" s="1"/>
  <c r="AD87" i="71"/>
  <c r="AD88" i="71" s="1"/>
  <c r="AD89" i="71" s="1"/>
  <c r="AD90" i="71" s="1"/>
  <c r="AD91" i="71" s="1"/>
  <c r="AD92" i="71" s="1"/>
  <c r="AD93" i="71" s="1"/>
  <c r="AD94" i="71" s="1"/>
  <c r="AD95" i="71" s="1"/>
  <c r="AD96" i="71" s="1"/>
  <c r="AD104" i="71"/>
  <c r="AI104" i="71" s="1"/>
  <c r="X102" i="71"/>
  <c r="AI103" i="71" l="1"/>
  <c r="AB40" i="71" l="1"/>
  <c r="AD107" i="71" l="1"/>
  <c r="V90" i="71"/>
  <c r="AD110" i="71"/>
  <c r="Q7" i="71"/>
  <c r="L71" i="71" s="1"/>
  <c r="T5" i="71"/>
  <c r="AD108" i="71" l="1"/>
  <c r="AD111" i="71"/>
  <c r="Q8" i="71"/>
  <c r="AD109" i="71" l="1"/>
  <c r="C22" i="71" l="1"/>
  <c r="Z86" i="71" l="1"/>
  <c r="Z87" i="71" s="1"/>
  <c r="Z88" i="71" s="1"/>
  <c r="Z89" i="71" s="1"/>
  <c r="Z90" i="71" s="1"/>
  <c r="Z91" i="71" s="1"/>
  <c r="Z92" i="71" s="1"/>
  <c r="Z93" i="71" s="1"/>
  <c r="Z94" i="71" s="1"/>
  <c r="Z95" i="71" s="1"/>
  <c r="Z96" i="71" s="1"/>
  <c r="Z23" i="71"/>
  <c r="Z24" i="71" s="1"/>
  <c r="Z25" i="71" s="1"/>
  <c r="Z26" i="71" s="1"/>
  <c r="Z27" i="71" s="1"/>
  <c r="Z28" i="71" s="1"/>
  <c r="Z29" i="71" s="1"/>
  <c r="Z30" i="71" s="1"/>
  <c r="Z31" i="71" s="1"/>
  <c r="Z32" i="71" s="1"/>
  <c r="Z33" i="71" s="1"/>
  <c r="P84" i="71" l="1"/>
  <c r="C84" i="71" l="1"/>
  <c r="AA88" i="43"/>
  <c r="Y88" i="43"/>
  <c r="U88" i="43"/>
  <c r="Q88" i="43"/>
  <c r="M88" i="43"/>
  <c r="J88" i="43"/>
  <c r="B88" i="43"/>
  <c r="AC88" i="43" l="1"/>
  <c r="J129" i="5"/>
  <c r="G129" i="5"/>
  <c r="C17" i="5"/>
  <c r="G15" i="5"/>
  <c r="D145" i="60" l="1"/>
  <c r="M101" i="60"/>
  <c r="M96" i="60"/>
  <c r="D100" i="60"/>
  <c r="D99" i="60"/>
  <c r="D103" i="60"/>
  <c r="D24" i="60"/>
  <c r="Y127" i="37" l="1"/>
  <c r="Y126" i="37"/>
  <c r="Y120" i="37"/>
  <c r="Y119" i="37"/>
  <c r="AB114" i="37"/>
  <c r="Y114" i="37" s="1"/>
  <c r="AB111" i="37"/>
  <c r="Y111" i="37" s="1"/>
  <c r="AB105" i="37"/>
  <c r="Y105" i="37" s="1"/>
  <c r="AB102" i="37"/>
  <c r="Y102" i="37" s="1"/>
  <c r="W54" i="33"/>
  <c r="V50" i="33"/>
  <c r="V46" i="33"/>
  <c r="I17" i="63"/>
  <c r="I15" i="63"/>
  <c r="Y144" i="37" l="1"/>
  <c r="Y143" i="37"/>
  <c r="Y135" i="37"/>
  <c r="Y134" i="37"/>
  <c r="AA75" i="37"/>
  <c r="AA74" i="37"/>
  <c r="I78" i="37"/>
  <c r="W73" i="37"/>
  <c r="AA76" i="37" l="1"/>
  <c r="AA79" i="37"/>
  <c r="AP24" i="2" l="1"/>
  <c r="BG113" i="2"/>
  <c r="BG119" i="2" s="1"/>
  <c r="BF122" i="2"/>
  <c r="BG122" i="2" s="1"/>
  <c r="BG120" i="2" s="1"/>
  <c r="AU14" i="2"/>
  <c r="AU12" i="2"/>
  <c r="AC106" i="68"/>
  <c r="AB106" i="68" s="1"/>
  <c r="BG7" i="2" l="1"/>
  <c r="BF7" i="2"/>
  <c r="BE7" i="2"/>
  <c r="AE6" i="3"/>
  <c r="W14" i="3"/>
  <c r="AD12" i="3"/>
  <c r="AD10" i="3"/>
  <c r="AD8" i="3"/>
  <c r="AG12" i="3"/>
  <c r="AG10" i="3"/>
  <c r="AG8" i="3"/>
  <c r="AH6" i="3"/>
  <c r="E29" i="3"/>
  <c r="BG121" i="2" l="1"/>
  <c r="AM25" i="2" s="1"/>
  <c r="BF8" i="2"/>
  <c r="AE105" i="68" s="1"/>
  <c r="D63" i="4"/>
  <c r="D60" i="4"/>
  <c r="D59" i="4"/>
  <c r="D57" i="4"/>
  <c r="D55" i="4"/>
  <c r="D54" i="4"/>
  <c r="D50" i="4"/>
  <c r="E113" i="70"/>
  <c r="D62" i="4" s="1"/>
  <c r="F113" i="70"/>
  <c r="G113" i="70"/>
  <c r="D64" i="4" s="1"/>
  <c r="D113" i="70"/>
  <c r="D61" i="4" s="1"/>
  <c r="E85" i="70"/>
  <c r="F85" i="70"/>
  <c r="D58" i="4" s="1"/>
  <c r="G85" i="70"/>
  <c r="H85" i="70"/>
  <c r="D85" i="70"/>
  <c r="D56" i="4" s="1"/>
  <c r="E57" i="70"/>
  <c r="D52" i="4" s="1"/>
  <c r="F57" i="70"/>
  <c r="D53" i="4" s="1"/>
  <c r="G57" i="70"/>
  <c r="H57" i="70"/>
  <c r="D57" i="70"/>
  <c r="D51" i="4" s="1"/>
  <c r="F29" i="70"/>
  <c r="D48" i="4" s="1"/>
  <c r="G29" i="70"/>
  <c r="D49" i="4" s="1"/>
  <c r="H29" i="70"/>
  <c r="AB105" i="68" l="1"/>
  <c r="H54" i="1" l="1"/>
  <c r="G54" i="1"/>
  <c r="F54" i="1"/>
  <c r="E54" i="1"/>
  <c r="D54" i="1"/>
  <c r="C54" i="1"/>
  <c r="E25" i="1"/>
  <c r="F25" i="1"/>
  <c r="G25" i="1"/>
  <c r="I54" i="1" l="1"/>
  <c r="L1" i="1"/>
  <c r="N6" i="1" s="1"/>
  <c r="H25" i="1" s="1"/>
  <c r="I6" i="1" l="1"/>
  <c r="C63" i="1" s="1"/>
  <c r="X18" i="59"/>
  <c r="C94" i="15" l="1"/>
  <c r="AY55" i="2"/>
  <c r="AY54" i="2"/>
  <c r="D68" i="15"/>
  <c r="D69" i="15"/>
  <c r="D66" i="15"/>
  <c r="G51" i="15"/>
  <c r="G43" i="15"/>
  <c r="AI96" i="78"/>
  <c r="AI93" i="78" l="1"/>
  <c r="AI110" i="78"/>
  <c r="AI107" i="78"/>
  <c r="AI105" i="78"/>
  <c r="AI103" i="78"/>
  <c r="AI101" i="78"/>
  <c r="AI98" i="78"/>
  <c r="AI94" i="78"/>
  <c r="AI92" i="78"/>
  <c r="AX92" i="78" s="1"/>
  <c r="N6" i="60" l="1"/>
  <c r="I26" i="65"/>
  <c r="M22" i="65"/>
  <c r="M18" i="65"/>
  <c r="G16" i="65"/>
  <c r="A13" i="65"/>
  <c r="A9" i="65"/>
  <c r="H11" i="65"/>
  <c r="H7" i="65"/>
  <c r="E6" i="14"/>
  <c r="C30" i="40" l="1"/>
  <c r="C29" i="40"/>
  <c r="D17" i="40"/>
  <c r="C17" i="40"/>
  <c r="BW142" i="68"/>
  <c r="BQ142" i="68"/>
  <c r="BW141" i="68"/>
  <c r="BQ141" i="68"/>
  <c r="BW171" i="68"/>
  <c r="BW170" i="68"/>
  <c r="BQ171" i="68"/>
  <c r="BQ170" i="68"/>
  <c r="BW156" i="68"/>
  <c r="BW155" i="68"/>
  <c r="BQ156" i="68"/>
  <c r="BQ155" i="68"/>
  <c r="AX272" i="68"/>
  <c r="AZ269" i="68"/>
  <c r="AY269" i="68"/>
  <c r="AX269" i="68"/>
  <c r="AW269" i="68"/>
  <c r="AZ264" i="68"/>
  <c r="AZ268" i="68" s="1"/>
  <c r="AY264" i="68"/>
  <c r="AY268" i="68" s="1"/>
  <c r="AX264" i="68"/>
  <c r="AX268" i="68" s="1"/>
  <c r="AW264" i="68"/>
  <c r="AW268" i="68" s="1"/>
  <c r="AW270" i="68" l="1"/>
  <c r="AY270" i="68"/>
  <c r="AZ270" i="68"/>
  <c r="AX270" i="68"/>
  <c r="AO192" i="68"/>
  <c r="AY272" i="68"/>
  <c r="AQ192" i="68"/>
  <c r="AZ272" i="68"/>
  <c r="AK192" i="68"/>
  <c r="AW272" i="68"/>
  <c r="AM192" i="68"/>
  <c r="AI298" i="68" l="1"/>
  <c r="AC294" i="68"/>
  <c r="AP282" i="68"/>
  <c r="AN282" i="68"/>
  <c r="AL282" i="68"/>
  <c r="AJ282" i="68"/>
  <c r="AC192" i="68" l="1"/>
  <c r="AC194" i="68"/>
  <c r="AC191" i="68"/>
  <c r="BQ169" i="68" l="1"/>
  <c r="BS169" i="68"/>
  <c r="BT169" i="68"/>
  <c r="BR169" i="68"/>
  <c r="BW169" i="68"/>
  <c r="BX169" i="68"/>
  <c r="BY169" i="68"/>
  <c r="BZ169" i="68"/>
  <c r="V8" i="36"/>
  <c r="V44" i="36"/>
  <c r="V43" i="36"/>
  <c r="V42" i="36"/>
  <c r="V41" i="36"/>
  <c r="V40" i="36"/>
  <c r="V39" i="36"/>
  <c r="V33" i="36"/>
  <c r="V32" i="36"/>
  <c r="V31" i="36"/>
  <c r="V30" i="36"/>
  <c r="V29" i="36"/>
  <c r="V28" i="36"/>
  <c r="V23" i="36"/>
  <c r="V22" i="36"/>
  <c r="V21" i="36"/>
  <c r="V20" i="36"/>
  <c r="V19" i="36"/>
  <c r="V18" i="36"/>
  <c r="V13" i="36"/>
  <c r="V12" i="36"/>
  <c r="V11" i="36"/>
  <c r="V10" i="36"/>
  <c r="V9" i="36"/>
  <c r="BV171" i="68" l="1"/>
  <c r="BP171" i="68"/>
  <c r="AR131" i="74"/>
  <c r="AR128" i="74"/>
  <c r="AR392" i="74"/>
  <c r="AR391" i="74"/>
  <c r="AR262" i="74"/>
  <c r="AR258" i="74"/>
  <c r="AL351" i="74"/>
  <c r="AL350" i="74"/>
  <c r="AL221" i="74"/>
  <c r="AL220" i="74"/>
  <c r="C332" i="74"/>
  <c r="B291" i="74"/>
  <c r="W283" i="74"/>
  <c r="K283" i="74"/>
  <c r="C283" i="74"/>
  <c r="AI281" i="74"/>
  <c r="W281" i="74"/>
  <c r="K281" i="74"/>
  <c r="C281" i="74"/>
  <c r="B161" i="74"/>
  <c r="W153" i="74"/>
  <c r="K153" i="74"/>
  <c r="C153" i="74"/>
  <c r="AI151" i="74"/>
  <c r="W151" i="74"/>
  <c r="K151" i="74"/>
  <c r="C151" i="74"/>
  <c r="AL91" i="74"/>
  <c r="AL90" i="74"/>
  <c r="AI20" i="74"/>
  <c r="W22" i="74"/>
  <c r="W20" i="74"/>
  <c r="K22" i="74"/>
  <c r="K20" i="74"/>
  <c r="AO151" i="74" l="1"/>
  <c r="AO281" i="74"/>
  <c r="R11" i="59"/>
  <c r="R57" i="59" l="1"/>
  <c r="AL192" i="74"/>
  <c r="A280" i="74"/>
  <c r="AO284" i="74"/>
  <c r="AL167" i="74"/>
  <c r="AO154" i="74"/>
  <c r="AL297" i="74"/>
  <c r="AL322" i="74"/>
  <c r="AL193" i="74" l="1"/>
  <c r="AL323" i="74"/>
  <c r="AJ157" i="76" l="1"/>
  <c r="AJ155" i="76"/>
  <c r="AJ153" i="76"/>
  <c r="AJ151" i="76"/>
  <c r="AJ149" i="76"/>
  <c r="T228" i="5"/>
  <c r="T159" i="5" s="1"/>
  <c r="T161" i="5" s="1"/>
  <c r="Y216" i="5"/>
  <c r="W216" i="5" s="1"/>
  <c r="Y214" i="5"/>
  <c r="W214" i="5" s="1"/>
  <c r="Y212" i="5"/>
  <c r="W212" i="5" s="1"/>
  <c r="Y210" i="5"/>
  <c r="W210" i="5" s="1"/>
  <c r="C207" i="5"/>
  <c r="T195" i="5"/>
  <c r="T200" i="5" s="1"/>
  <c r="T140" i="5" s="1"/>
  <c r="U178" i="5"/>
  <c r="Y181" i="5"/>
  <c r="H156" i="5"/>
  <c r="H155" i="5"/>
  <c r="H153" i="5"/>
  <c r="S150" i="5"/>
  <c r="H150" i="5"/>
  <c r="H149" i="5"/>
  <c r="H148" i="5"/>
  <c r="H147" i="5"/>
  <c r="S146" i="5"/>
  <c r="S145" i="5"/>
  <c r="H145" i="5"/>
  <c r="T139" i="5"/>
  <c r="C133" i="5"/>
  <c r="C132" i="5"/>
  <c r="C131" i="5"/>
  <c r="R117" i="5"/>
  <c r="T141" i="5" l="1"/>
  <c r="T143" i="5" s="1"/>
  <c r="T162" i="5" s="1"/>
  <c r="Y208" i="5"/>
  <c r="W208" i="5" s="1"/>
  <c r="AA166" i="5" l="1"/>
  <c r="AA168" i="5" s="1"/>
  <c r="AA170" i="5" s="1"/>
  <c r="AA177" i="5" s="1"/>
  <c r="AM25" i="97"/>
  <c r="AL46" i="23"/>
  <c r="AL105" i="23" s="1"/>
  <c r="AL45" i="23"/>
  <c r="AL104" i="23" l="1"/>
  <c r="V113" i="68"/>
  <c r="T113" i="68"/>
  <c r="R113" i="68"/>
  <c r="P113" i="68"/>
  <c r="K219" i="68"/>
  <c r="K218" i="68"/>
  <c r="K209" i="68"/>
  <c r="K208" i="68"/>
  <c r="K199" i="68"/>
  <c r="K198" i="68"/>
  <c r="K188" i="68"/>
  <c r="V73" i="68"/>
  <c r="V179" i="68" s="1"/>
  <c r="T73" i="68"/>
  <c r="T179" i="68" s="1"/>
  <c r="R73" i="68"/>
  <c r="P179" i="68"/>
  <c r="W251" i="68" l="1"/>
  <c r="R179" i="68"/>
  <c r="R188" i="68"/>
  <c r="L88" i="2"/>
  <c r="P34" i="33" l="1"/>
  <c r="C119" i="33" l="1"/>
  <c r="C115" i="33"/>
  <c r="C111" i="33"/>
  <c r="C38" i="33" l="1"/>
  <c r="L35" i="33"/>
  <c r="L34" i="33"/>
  <c r="L33" i="33"/>
  <c r="L32" i="33"/>
  <c r="L31" i="33"/>
  <c r="L30" i="33"/>
  <c r="L29" i="33"/>
  <c r="L28" i="33"/>
  <c r="L27" i="33"/>
  <c r="L26" i="33"/>
  <c r="L25" i="33"/>
  <c r="L24" i="33"/>
  <c r="L23" i="33"/>
  <c r="L22" i="33"/>
  <c r="L21" i="33"/>
  <c r="L20" i="33"/>
  <c r="L19" i="33"/>
  <c r="L18" i="33"/>
  <c r="L17" i="33"/>
  <c r="L14" i="33" l="1"/>
  <c r="C81" i="71"/>
  <c r="AP2" i="2" l="1"/>
  <c r="AL7" i="2"/>
  <c r="AL6" i="2"/>
  <c r="O8" i="14"/>
  <c r="AP6" i="2"/>
  <c r="AP7" i="2"/>
  <c r="O5" i="14" l="1"/>
  <c r="O4" i="14"/>
  <c r="O3" i="14"/>
  <c r="AA59" i="78"/>
  <c r="K42" i="2"/>
  <c r="H35" i="14"/>
  <c r="P26" i="14"/>
  <c r="M9" i="2"/>
  <c r="M28" i="40"/>
  <c r="P8" i="14"/>
  <c r="N16" i="65" l="1"/>
  <c r="AJ3" i="2" l="1"/>
  <c r="AJ6" i="2"/>
  <c r="N63" i="3" l="1"/>
  <c r="AJ116" i="84" l="1"/>
  <c r="AH106" i="84"/>
  <c r="Y107" i="84"/>
  <c r="O106" i="84"/>
  <c r="F107" i="84"/>
  <c r="F90" i="84"/>
  <c r="K89" i="84"/>
  <c r="S90" i="84"/>
  <c r="Z90" i="84"/>
  <c r="AH89" i="84"/>
  <c r="AJ45" i="84"/>
  <c r="AJ48" i="84" s="1"/>
  <c r="AK50" i="84" s="1"/>
  <c r="AD45" i="84"/>
  <c r="AD48" i="84" s="1"/>
  <c r="AE50" i="84" s="1"/>
  <c r="AD54" i="84"/>
  <c r="AD53" i="84"/>
  <c r="V45" i="84"/>
  <c r="BB26" i="84"/>
  <c r="BA26" i="84"/>
  <c r="AZ26" i="84"/>
  <c r="V29" i="84"/>
  <c r="AJ29" i="84"/>
  <c r="BE22" i="84" s="1"/>
  <c r="AD29" i="84"/>
  <c r="BE21" i="84" s="1"/>
  <c r="BB24" i="84"/>
  <c r="BB23" i="84"/>
  <c r="BA24" i="84"/>
  <c r="BA23" i="84"/>
  <c r="AZ24" i="84"/>
  <c r="AZ23" i="84"/>
  <c r="H4" i="84"/>
  <c r="AI3" i="84"/>
  <c r="BB49" i="84" l="1"/>
  <c r="BD48" i="84"/>
  <c r="BD51" i="84" s="1"/>
  <c r="BD49" i="84"/>
  <c r="AH91" i="84"/>
  <c r="V48" i="84"/>
  <c r="W50" i="84" s="1"/>
  <c r="AD55" i="84"/>
  <c r="G156" i="84"/>
  <c r="AI92" i="84"/>
  <c r="AH93" i="84" s="1"/>
  <c r="AJ108" i="84"/>
  <c r="AK109" i="84"/>
  <c r="BD50" i="84"/>
  <c r="BC48" i="84"/>
  <c r="G29" i="84"/>
  <c r="BC24" i="84"/>
  <c r="AD52" i="84" s="1"/>
  <c r="BC23" i="84"/>
  <c r="AD51" i="84" s="1"/>
  <c r="AZ49" i="84" l="1"/>
  <c r="AJ110" i="84"/>
  <c r="AV119" i="84" s="1"/>
  <c r="AJ119" i="84" s="1"/>
  <c r="AY48" i="84"/>
  <c r="AZ48" i="84"/>
  <c r="BA48" i="84"/>
  <c r="AJ56" i="84" s="1"/>
  <c r="BB48" i="84"/>
  <c r="AZ51" i="84" l="1"/>
  <c r="AZ50" i="84"/>
  <c r="BB51" i="84"/>
  <c r="BB50" i="84"/>
  <c r="AK58" i="84" s="1"/>
  <c r="AM9" i="2"/>
  <c r="B8" i="97" l="1"/>
  <c r="B8" i="99"/>
  <c r="B8" i="93"/>
  <c r="B135" i="96"/>
  <c r="AR190" i="96" s="1"/>
  <c r="AQ191" i="96" s="1"/>
  <c r="B8" i="96"/>
  <c r="AR63" i="96" s="1"/>
  <c r="AQ64" i="96" s="1"/>
  <c r="B118" i="90"/>
  <c r="B236" i="90"/>
  <c r="B177" i="90"/>
  <c r="B59" i="90"/>
  <c r="B8" i="82"/>
  <c r="B8" i="90"/>
  <c r="B64" i="88"/>
  <c r="B11" i="88"/>
  <c r="B135" i="84"/>
  <c r="AR190" i="84" s="1"/>
  <c r="AQ191" i="84" s="1"/>
  <c r="B11" i="68"/>
  <c r="B19" i="86"/>
  <c r="B15" i="3"/>
  <c r="B8" i="84"/>
  <c r="AR63" i="84" s="1"/>
  <c r="AQ64" i="84" s="1"/>
  <c r="AK57" i="84" l="1"/>
  <c r="AJ60" i="84"/>
  <c r="AJ1" i="2"/>
  <c r="AJ4" i="2"/>
  <c r="AJ2" i="2"/>
  <c r="AZ2" i="2"/>
  <c r="AB85" i="2"/>
  <c r="AB84" i="2"/>
  <c r="U90" i="2"/>
  <c r="U88" i="2"/>
  <c r="AB65" i="2"/>
  <c r="AB64" i="2"/>
  <c r="AV120" i="84" l="1"/>
  <c r="BB123" i="2"/>
  <c r="BB103" i="2"/>
  <c r="BB124" i="2"/>
  <c r="BB104" i="2"/>
  <c r="AJ7" i="2"/>
  <c r="Y12" i="99" s="1"/>
  <c r="AB63" i="2"/>
  <c r="AV28" i="76" l="1"/>
  <c r="AL28" i="76" s="1"/>
  <c r="F4" i="2"/>
  <c r="AL134" i="76"/>
  <c r="BA120" i="2"/>
  <c r="X16" i="90"/>
  <c r="AE66" i="23"/>
  <c r="AJ8" i="2"/>
  <c r="AE7" i="23"/>
  <c r="AJ9" i="2"/>
  <c r="AB40" i="2"/>
  <c r="L39" i="2"/>
  <c r="L38" i="2"/>
  <c r="AK163" i="76" l="1"/>
  <c r="AK165" i="76" s="1"/>
  <c r="AK170" i="76"/>
  <c r="F3" i="2"/>
  <c r="AB42" i="2"/>
  <c r="AM4" i="2"/>
  <c r="Z4" i="2"/>
  <c r="L40" i="2"/>
  <c r="L42" i="2" l="1"/>
  <c r="AB3" i="82"/>
  <c r="AB3" i="80" l="1"/>
  <c r="AB3" i="79"/>
  <c r="AB3" i="78" l="1"/>
  <c r="R64" i="33" l="1"/>
  <c r="C122" i="33" s="1"/>
  <c r="O22" i="3"/>
  <c r="AJ3" i="76" l="1"/>
  <c r="N58" i="3" l="1"/>
  <c r="I64" i="4" l="1"/>
  <c r="I63" i="4"/>
  <c r="I62" i="4"/>
  <c r="I61" i="4"/>
  <c r="I60" i="4"/>
  <c r="I59" i="4"/>
  <c r="I58" i="4"/>
  <c r="I57" i="4"/>
  <c r="I56" i="4"/>
  <c r="I101" i="70" l="1"/>
  <c r="N47" i="6" l="1"/>
  <c r="N39" i="2"/>
  <c r="H84" i="70"/>
  <c r="G84" i="70"/>
  <c r="F84" i="70"/>
  <c r="E84" i="70"/>
  <c r="D84" i="70"/>
  <c r="H83" i="70"/>
  <c r="G83" i="70"/>
  <c r="F83" i="70"/>
  <c r="E83" i="70"/>
  <c r="D83" i="70"/>
  <c r="H82" i="70"/>
  <c r="G82" i="70"/>
  <c r="F82" i="70"/>
  <c r="E82" i="70"/>
  <c r="D82" i="70"/>
  <c r="V20" i="98" l="1"/>
  <c r="V86" i="98"/>
  <c r="X113" i="98"/>
  <c r="X117" i="98" s="1"/>
  <c r="R8" i="98"/>
  <c r="C8" i="98" s="1"/>
  <c r="H113" i="70"/>
  <c r="AA73" i="37"/>
  <c r="AA77" i="37" s="1"/>
  <c r="AA61" i="37"/>
  <c r="R50" i="33"/>
  <c r="C114" i="59"/>
  <c r="H56" i="1" l="1"/>
  <c r="H55" i="1"/>
  <c r="H27" i="1"/>
  <c r="H26" i="1"/>
  <c r="G56" i="1"/>
  <c r="G55" i="1"/>
  <c r="G27" i="1"/>
  <c r="G26" i="1"/>
  <c r="AL34" i="23" l="1"/>
  <c r="AL93" i="23"/>
  <c r="AM93" i="23"/>
  <c r="AM34" i="23"/>
  <c r="C57" i="1"/>
  <c r="J35" i="1"/>
  <c r="U8" i="37"/>
  <c r="U7" i="37"/>
  <c r="AN34" i="23" l="1"/>
  <c r="AN93" i="23"/>
  <c r="Q21" i="53" l="1"/>
  <c r="P21" i="53"/>
  <c r="N21" i="53" s="1"/>
  <c r="D26" i="30"/>
  <c r="L53" i="30"/>
  <c r="K53" i="30"/>
  <c r="J53" i="30"/>
  <c r="I53" i="30"/>
  <c r="H53" i="30"/>
  <c r="G53" i="30"/>
  <c r="F53" i="30"/>
  <c r="E53" i="30"/>
  <c r="D53" i="30"/>
  <c r="L26" i="30"/>
  <c r="K26" i="30"/>
  <c r="J26" i="30"/>
  <c r="I26" i="30"/>
  <c r="H26" i="30"/>
  <c r="G26" i="30"/>
  <c r="F26" i="30"/>
  <c r="E26" i="30"/>
  <c r="O53" i="30" l="1"/>
  <c r="O26" i="30"/>
  <c r="N53" i="30"/>
  <c r="N19" i="53"/>
  <c r="N20" i="53"/>
  <c r="N18" i="53"/>
  <c r="N26" i="30"/>
  <c r="H85" i="69"/>
  <c r="I39" i="4" s="1"/>
  <c r="G85" i="69"/>
  <c r="I38" i="4" s="1"/>
  <c r="F85" i="69"/>
  <c r="I37" i="4" s="1"/>
  <c r="E85" i="69"/>
  <c r="I36" i="4" s="1"/>
  <c r="D85" i="69"/>
  <c r="I35" i="4" s="1"/>
  <c r="H55" i="69"/>
  <c r="I34" i="4" s="1"/>
  <c r="G55" i="69"/>
  <c r="I33" i="4" s="1"/>
  <c r="F55" i="69"/>
  <c r="I32" i="4" s="1"/>
  <c r="E55" i="69"/>
  <c r="I31" i="4" s="1"/>
  <c r="D55" i="69"/>
  <c r="I30" i="4" s="1"/>
  <c r="H26" i="69"/>
  <c r="I29" i="4" s="1"/>
  <c r="G26" i="69"/>
  <c r="I28" i="4" s="1"/>
  <c r="F26" i="69"/>
  <c r="I27" i="4" s="1"/>
  <c r="E26" i="69"/>
  <c r="I26" i="4" s="1"/>
  <c r="D26" i="69"/>
  <c r="I25" i="4" s="1"/>
  <c r="E65" i="30" l="1"/>
  <c r="I55" i="4"/>
  <c r="I54" i="4"/>
  <c r="I53" i="4"/>
  <c r="I52" i="4"/>
  <c r="I51" i="4"/>
  <c r="I50" i="4"/>
  <c r="I49" i="4"/>
  <c r="I48" i="4"/>
  <c r="I47" i="4"/>
  <c r="I46" i="4"/>
  <c r="E110" i="70" l="1"/>
  <c r="F110" i="70"/>
  <c r="G110" i="70"/>
  <c r="E111" i="70"/>
  <c r="F111" i="70"/>
  <c r="G111" i="70"/>
  <c r="E112" i="70"/>
  <c r="F112" i="70"/>
  <c r="G112" i="70"/>
  <c r="D112" i="70"/>
  <c r="D111" i="70"/>
  <c r="D110" i="70"/>
  <c r="E54" i="70"/>
  <c r="F54" i="70"/>
  <c r="G54" i="70"/>
  <c r="H54" i="70"/>
  <c r="E55" i="70"/>
  <c r="F55" i="70"/>
  <c r="G55" i="70"/>
  <c r="H55" i="70"/>
  <c r="E56" i="70"/>
  <c r="F56" i="70"/>
  <c r="G56" i="70"/>
  <c r="H56" i="70"/>
  <c r="D56" i="70"/>
  <c r="D55" i="70"/>
  <c r="D54" i="70"/>
  <c r="E26" i="70"/>
  <c r="F26" i="70"/>
  <c r="G26" i="70"/>
  <c r="H26" i="70"/>
  <c r="E27" i="70"/>
  <c r="F27" i="70"/>
  <c r="G27" i="70"/>
  <c r="H27" i="70"/>
  <c r="E28" i="70"/>
  <c r="F28" i="70"/>
  <c r="G28" i="70"/>
  <c r="H28" i="70"/>
  <c r="D28" i="70"/>
  <c r="D27" i="70"/>
  <c r="D26" i="70"/>
  <c r="E86" i="69"/>
  <c r="F86" i="69"/>
  <c r="G86" i="69"/>
  <c r="H86" i="69"/>
  <c r="E87" i="69"/>
  <c r="F87" i="69"/>
  <c r="G87" i="69"/>
  <c r="H87" i="69"/>
  <c r="E88" i="69"/>
  <c r="F88" i="69"/>
  <c r="G88" i="69"/>
  <c r="H88" i="69"/>
  <c r="D88" i="69"/>
  <c r="D87" i="69"/>
  <c r="D86" i="69"/>
  <c r="E56" i="69"/>
  <c r="F56" i="69"/>
  <c r="G56" i="69"/>
  <c r="H56" i="69"/>
  <c r="E57" i="69"/>
  <c r="F57" i="69"/>
  <c r="G57" i="69"/>
  <c r="H57" i="69"/>
  <c r="E58" i="69"/>
  <c r="F58" i="69"/>
  <c r="G58" i="69"/>
  <c r="H58" i="69"/>
  <c r="D58" i="69"/>
  <c r="D57" i="69"/>
  <c r="D56" i="69"/>
  <c r="E27" i="69"/>
  <c r="F27" i="69"/>
  <c r="D27" i="4" s="1"/>
  <c r="G27" i="69"/>
  <c r="H27" i="69"/>
  <c r="E28" i="69"/>
  <c r="F28" i="69"/>
  <c r="G28" i="69"/>
  <c r="H28" i="69"/>
  <c r="E29" i="69"/>
  <c r="F29" i="69"/>
  <c r="G29" i="69"/>
  <c r="H29" i="69"/>
  <c r="D29" i="69"/>
  <c r="D28" i="69"/>
  <c r="D27" i="69"/>
  <c r="D29" i="70" l="1"/>
  <c r="D46" i="4" s="1"/>
  <c r="E29" i="70"/>
  <c r="D47" i="4" s="1"/>
  <c r="N17" i="6" l="1"/>
  <c r="N37" i="6"/>
  <c r="M20" i="71" l="1"/>
  <c r="H101" i="70" l="1"/>
  <c r="H106" i="70"/>
  <c r="I80" i="69"/>
  <c r="I81" i="69"/>
  <c r="I83" i="69"/>
  <c r="N38" i="2"/>
  <c r="AC55" i="78"/>
  <c r="H114" i="70"/>
  <c r="I115" i="70" s="1"/>
  <c r="J17" i="14" l="1"/>
  <c r="AU32" i="58"/>
  <c r="I25" i="40"/>
  <c r="J24" i="87"/>
  <c r="J72" i="69"/>
  <c r="I89" i="70"/>
  <c r="E30" i="69"/>
  <c r="D26" i="4" s="1"/>
  <c r="G89" i="69"/>
  <c r="D38" i="4" s="1"/>
  <c r="H89" i="69"/>
  <c r="D39" i="4" s="1"/>
  <c r="G30" i="69"/>
  <c r="D28" i="4" s="1"/>
  <c r="E89" i="69"/>
  <c r="D36" i="4" s="1"/>
  <c r="H30" i="69"/>
  <c r="D29" i="4" s="1"/>
  <c r="F30" i="69"/>
  <c r="D30" i="69"/>
  <c r="D25" i="4" s="1"/>
  <c r="D89" i="69"/>
  <c r="D35" i="4" s="1"/>
  <c r="D59" i="69"/>
  <c r="D30" i="4" s="1"/>
  <c r="F89" i="69"/>
  <c r="D37" i="4" s="1"/>
  <c r="H59" i="69"/>
  <c r="D34" i="4" s="1"/>
  <c r="G59" i="69"/>
  <c r="D33" i="4" s="1"/>
  <c r="F59" i="69"/>
  <c r="D32" i="4" s="1"/>
  <c r="E59" i="69"/>
  <c r="D31" i="4" s="1"/>
  <c r="P1" i="52" l="1"/>
  <c r="B58" i="1" l="1"/>
  <c r="B29" i="1"/>
  <c r="W28" i="2" l="1"/>
  <c r="AD315" i="74" l="1"/>
  <c r="W315" i="74"/>
  <c r="P315" i="74"/>
  <c r="AD185" i="74"/>
  <c r="W185" i="74"/>
  <c r="P185" i="74"/>
  <c r="AD54" i="74"/>
  <c r="W54" i="74"/>
  <c r="P54" i="74"/>
  <c r="AO340" i="74"/>
  <c r="C330" i="74"/>
  <c r="C328" i="74"/>
  <c r="AO210" i="74"/>
  <c r="C200" i="74"/>
  <c r="C198" i="74"/>
  <c r="AM78" i="74" l="1"/>
  <c r="AM209" i="74"/>
  <c r="AM339" i="74"/>
  <c r="AO399" i="74"/>
  <c r="B341" i="74"/>
  <c r="AI272" i="74"/>
  <c r="C22" i="74"/>
  <c r="C20" i="74"/>
  <c r="AO270" i="74"/>
  <c r="B211" i="74"/>
  <c r="AI142" i="74"/>
  <c r="C69" i="74"/>
  <c r="C67" i="74"/>
  <c r="AO8" i="74" l="1"/>
  <c r="AQ75" i="74" s="1"/>
  <c r="AQ9" i="74"/>
  <c r="A8" i="74"/>
  <c r="A282" i="74"/>
  <c r="AB214" i="74"/>
  <c r="AB219" i="74" s="1"/>
  <c r="AL225" i="74" s="1"/>
  <c r="A152" i="74"/>
  <c r="AB344" i="74"/>
  <c r="AB349" i="74" s="1"/>
  <c r="AL355" i="74" s="1"/>
  <c r="AB84" i="74"/>
  <c r="B72" i="74"/>
  <c r="AO20" i="74"/>
  <c r="AL254" i="74" s="1"/>
  <c r="P316" i="74"/>
  <c r="P322" i="74" s="1"/>
  <c r="W316" i="74"/>
  <c r="W322" i="74" s="1"/>
  <c r="AD186" i="74"/>
  <c r="AD192" i="74" s="1"/>
  <c r="AD316" i="74"/>
  <c r="AD322" i="74" s="1"/>
  <c r="P186" i="74"/>
  <c r="P192" i="74" s="1"/>
  <c r="W186" i="74"/>
  <c r="W192" i="74" s="1"/>
  <c r="AL7" i="80" l="1"/>
  <c r="AQ15" i="74"/>
  <c r="AQ36" i="74"/>
  <c r="AL36" i="74"/>
  <c r="AQ21" i="74"/>
  <c r="AQ13" i="74"/>
  <c r="A21" i="74"/>
  <c r="A4" i="74"/>
  <c r="AO23" i="74"/>
  <c r="J64" i="69"/>
  <c r="AQ14" i="74"/>
  <c r="AQ11" i="74"/>
  <c r="B8" i="74"/>
  <c r="AG8" i="74"/>
  <c r="AL124" i="74"/>
  <c r="AQ18" i="74"/>
  <c r="AL384" i="74"/>
  <c r="AB358" i="74"/>
  <c r="AB364" i="74" s="1"/>
  <c r="AB365" i="74" s="1"/>
  <c r="AB228" i="74"/>
  <c r="AB234" i="74" s="1"/>
  <c r="AB235" i="74" s="1"/>
  <c r="AO139" i="74"/>
  <c r="B81" i="74"/>
  <c r="AQ364" i="74" l="1"/>
  <c r="AB367" i="74"/>
  <c r="AL370" i="74" s="1"/>
  <c r="AQ234" i="74"/>
  <c r="AB237" i="74"/>
  <c r="AL245" i="74"/>
  <c r="AL374" i="74"/>
  <c r="AQ10" i="74"/>
  <c r="B4" i="74"/>
  <c r="AB89" i="74"/>
  <c r="AL95" i="74" s="1"/>
  <c r="AO79" i="74"/>
  <c r="AD55" i="74"/>
  <c r="W55" i="74"/>
  <c r="P55" i="74"/>
  <c r="AI11" i="74"/>
  <c r="A2" i="74" l="1"/>
  <c r="B2" i="74" s="1"/>
  <c r="AD61" i="74"/>
  <c r="W61" i="74"/>
  <c r="P61" i="74"/>
  <c r="AL61" i="74" s="1"/>
  <c r="AL62" i="74" s="1"/>
  <c r="AB98" i="74" l="1"/>
  <c r="AB104" i="74" l="1"/>
  <c r="AB105" i="74" s="1"/>
  <c r="AL124" i="73"/>
  <c r="AK124" i="73"/>
  <c r="BG119" i="74" l="1"/>
  <c r="AQ104" i="74"/>
  <c r="AK123" i="73"/>
  <c r="AA55" i="56" l="1"/>
  <c r="X55" i="56"/>
  <c r="D11" i="63"/>
  <c r="M16" i="13"/>
  <c r="O16" i="13"/>
  <c r="AB55" i="56" l="1"/>
  <c r="AB86" i="71"/>
  <c r="X84" i="71"/>
  <c r="AI22" i="71"/>
  <c r="AB23" i="71"/>
  <c r="AB24" i="71" s="1"/>
  <c r="AB25" i="71" s="1"/>
  <c r="AB26" i="71" s="1"/>
  <c r="AB27" i="71" s="1"/>
  <c r="AB28" i="71" s="1"/>
  <c r="AB29" i="71" s="1"/>
  <c r="X21" i="71"/>
  <c r="AB30" i="71" l="1"/>
  <c r="AB31" i="71" s="1"/>
  <c r="AB32" i="71" s="1"/>
  <c r="AB33" i="71" s="1"/>
  <c r="AJ29" i="71"/>
  <c r="AB87" i="71"/>
  <c r="AJ86" i="71"/>
  <c r="AJ23" i="71"/>
  <c r="AK22" i="71"/>
  <c r="AI85" i="71"/>
  <c r="AB88" i="71" l="1"/>
  <c r="AJ87" i="71"/>
  <c r="AJ24" i="71"/>
  <c r="AD105" i="71"/>
  <c r="AK23" i="71"/>
  <c r="AI86" i="71"/>
  <c r="AI23" i="71"/>
  <c r="AB89" i="71" l="1"/>
  <c r="AJ88" i="71"/>
  <c r="AJ25" i="71"/>
  <c r="AI105" i="71"/>
  <c r="AD106" i="71"/>
  <c r="AK24" i="71"/>
  <c r="AI87" i="71"/>
  <c r="AI24" i="71"/>
  <c r="AB11" i="68"/>
  <c r="AB90" i="71" l="1"/>
  <c r="AJ89" i="71"/>
  <c r="AJ26" i="71"/>
  <c r="AK25" i="71"/>
  <c r="AI88" i="71"/>
  <c r="AI25" i="71"/>
  <c r="R65" i="33"/>
  <c r="R61" i="33"/>
  <c r="AB91" i="71" l="1"/>
  <c r="AJ90" i="71"/>
  <c r="AJ27" i="71"/>
  <c r="AK26" i="71"/>
  <c r="AI89" i="71"/>
  <c r="AI26" i="71"/>
  <c r="AB92" i="71" l="1"/>
  <c r="AJ91" i="71"/>
  <c r="AJ28" i="71"/>
  <c r="AK27" i="71"/>
  <c r="AI90" i="71"/>
  <c r="AI27" i="71"/>
  <c r="D28" i="37"/>
  <c r="C4" i="37"/>
  <c r="AB93" i="71" l="1"/>
  <c r="AJ92" i="71"/>
  <c r="AJ30" i="71"/>
  <c r="AK28" i="71"/>
  <c r="AI91" i="71"/>
  <c r="AI28" i="71"/>
  <c r="J45" i="68"/>
  <c r="N41" i="68"/>
  <c r="AB94" i="71" l="1"/>
  <c r="AJ93" i="71"/>
  <c r="AJ31" i="71"/>
  <c r="AI92" i="71"/>
  <c r="AI29" i="71"/>
  <c r="C112" i="68"/>
  <c r="AB95" i="71" l="1"/>
  <c r="AJ94" i="71"/>
  <c r="AJ33" i="71"/>
  <c r="AJ32" i="71"/>
  <c r="AK29" i="71"/>
  <c r="AD112" i="71"/>
  <c r="AK30" i="71"/>
  <c r="AI93" i="71"/>
  <c r="AI30" i="71"/>
  <c r="AB96" i="71" l="1"/>
  <c r="AJ96" i="71" s="1"/>
  <c r="AJ95" i="71"/>
  <c r="AD113" i="71"/>
  <c r="AK31" i="71"/>
  <c r="AI94" i="71"/>
  <c r="AI31" i="71"/>
  <c r="AD114" i="71" l="1"/>
  <c r="AI95" i="71"/>
  <c r="AI32" i="71"/>
  <c r="K44" i="36"/>
  <c r="K43" i="36"/>
  <c r="K42" i="36"/>
  <c r="K41" i="36"/>
  <c r="J43" i="36"/>
  <c r="J42" i="36"/>
  <c r="J41" i="36"/>
  <c r="O45" i="36"/>
  <c r="N45" i="36"/>
  <c r="O44" i="36"/>
  <c r="N44" i="36"/>
  <c r="O43" i="36"/>
  <c r="N43" i="36"/>
  <c r="O42" i="36"/>
  <c r="N42" i="36"/>
  <c r="O41" i="36"/>
  <c r="N41" i="36"/>
  <c r="J32" i="36"/>
  <c r="J31" i="36"/>
  <c r="J30" i="36"/>
  <c r="K33" i="36"/>
  <c r="K32" i="36"/>
  <c r="K31" i="36"/>
  <c r="K30" i="36"/>
  <c r="O34" i="36"/>
  <c r="N34" i="36"/>
  <c r="O33" i="36"/>
  <c r="N33" i="36"/>
  <c r="O32" i="36"/>
  <c r="N32" i="36"/>
  <c r="O31" i="36"/>
  <c r="N31" i="36"/>
  <c r="AK32" i="71" l="1"/>
  <c r="AI96" i="71"/>
  <c r="AI97" i="71" s="1"/>
  <c r="AI98" i="71" s="1"/>
  <c r="AJ34" i="71"/>
  <c r="AI33" i="71"/>
  <c r="P44" i="36"/>
  <c r="L43" i="36" s="1"/>
  <c r="P41" i="36"/>
  <c r="P45" i="36"/>
  <c r="L44" i="36" s="1"/>
  <c r="P31" i="36"/>
  <c r="L30" i="36" s="1"/>
  <c r="P42" i="36"/>
  <c r="P32" i="36"/>
  <c r="L31" i="36" s="1"/>
  <c r="P43" i="36"/>
  <c r="L42" i="36" s="1"/>
  <c r="P33" i="36"/>
  <c r="L32" i="36" s="1"/>
  <c r="K23" i="36"/>
  <c r="K22" i="36"/>
  <c r="K21" i="36"/>
  <c r="K20" i="36"/>
  <c r="K19" i="36"/>
  <c r="J22" i="36"/>
  <c r="J21" i="36"/>
  <c r="J20" i="36"/>
  <c r="J19" i="36"/>
  <c r="P34" i="36"/>
  <c r="L33" i="36" s="1"/>
  <c r="O24" i="36"/>
  <c r="O23" i="36"/>
  <c r="O22" i="36"/>
  <c r="O21" i="36"/>
  <c r="O20" i="36"/>
  <c r="N24" i="36"/>
  <c r="N23" i="36"/>
  <c r="N22" i="36"/>
  <c r="N21" i="36"/>
  <c r="N20" i="36"/>
  <c r="J11" i="36"/>
  <c r="J10" i="36"/>
  <c r="J9" i="36"/>
  <c r="K12" i="36"/>
  <c r="K11" i="36"/>
  <c r="K10" i="36"/>
  <c r="K9" i="36"/>
  <c r="O13" i="36"/>
  <c r="O12" i="36"/>
  <c r="O11" i="36"/>
  <c r="O10" i="36"/>
  <c r="O9" i="36"/>
  <c r="N9" i="36"/>
  <c r="N13" i="36"/>
  <c r="N12" i="36"/>
  <c r="N10" i="36"/>
  <c r="N11" i="36"/>
  <c r="L41" i="36" l="1"/>
  <c r="L40" i="36"/>
  <c r="AJ97" i="71"/>
  <c r="AJ98" i="71" s="1"/>
  <c r="AK33" i="71"/>
  <c r="AK34" i="71" s="1"/>
  <c r="AJ35" i="71"/>
  <c r="AI34" i="71"/>
  <c r="P20" i="36"/>
  <c r="L19" i="36" s="1"/>
  <c r="P23" i="36"/>
  <c r="L22" i="36" s="1"/>
  <c r="P22" i="36"/>
  <c r="L21" i="36" s="1"/>
  <c r="P24" i="36"/>
  <c r="L23" i="36" s="1"/>
  <c r="P11" i="36"/>
  <c r="L10" i="36" s="1"/>
  <c r="P12" i="36"/>
  <c r="L11" i="36" s="1"/>
  <c r="P13" i="36"/>
  <c r="L12" i="36" s="1"/>
  <c r="P21" i="36"/>
  <c r="L20" i="36" s="1"/>
  <c r="P9" i="36"/>
  <c r="P10" i="36"/>
  <c r="L9" i="36" s="1"/>
  <c r="E56" i="1"/>
  <c r="D56" i="1"/>
  <c r="C56" i="1"/>
  <c r="B56" i="1"/>
  <c r="F56" i="1"/>
  <c r="E27" i="1"/>
  <c r="D27" i="1"/>
  <c r="C27" i="1"/>
  <c r="F27" i="1"/>
  <c r="B27" i="1"/>
  <c r="C4" i="52"/>
  <c r="F55" i="1"/>
  <c r="E55" i="1"/>
  <c r="D55" i="1"/>
  <c r="C55" i="1"/>
  <c r="B55" i="1"/>
  <c r="B26" i="1"/>
  <c r="D26" i="1"/>
  <c r="E26" i="1"/>
  <c r="F26" i="1"/>
  <c r="C26" i="1"/>
  <c r="C3" i="52"/>
  <c r="AI35" i="71" l="1"/>
  <c r="I55" i="1"/>
  <c r="P3" i="52" s="1"/>
  <c r="B3" i="52" s="1"/>
  <c r="I56" i="1"/>
  <c r="C76" i="1"/>
  <c r="P4" i="52" s="1"/>
  <c r="C77" i="1"/>
  <c r="Y53" i="56"/>
  <c r="Y21" i="56"/>
  <c r="C15" i="56"/>
  <c r="Y102" i="5" l="1"/>
  <c r="W102" i="5" s="1"/>
  <c r="Y100" i="5"/>
  <c r="W100" i="5" s="1"/>
  <c r="Y98" i="5"/>
  <c r="W98" i="5" s="1"/>
  <c r="Y96" i="5"/>
  <c r="W96" i="5" s="1"/>
  <c r="Y94" i="5" l="1"/>
  <c r="W94" i="5" s="1"/>
  <c r="AL10" i="2" l="1"/>
  <c r="AL17" i="2" l="1"/>
  <c r="AL25" i="2"/>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1532" i="36"/>
  <c r="A1533" i="36"/>
  <c r="A1534" i="36"/>
  <c r="A1535" i="36"/>
  <c r="A1536" i="36"/>
  <c r="A1537" i="36"/>
  <c r="A1538" i="36"/>
  <c r="A1539" i="36"/>
  <c r="A1540" i="36"/>
  <c r="A1541" i="36"/>
  <c r="A1542" i="36"/>
  <c r="A1543" i="36"/>
  <c r="A1544" i="36"/>
  <c r="A1545" i="36"/>
  <c r="A1546" i="36"/>
  <c r="A1547" i="36"/>
  <c r="A1548" i="36"/>
  <c r="A1549" i="36"/>
  <c r="A1550" i="36"/>
  <c r="A1551" i="36"/>
  <c r="A1552" i="36"/>
  <c r="A1553" i="36"/>
  <c r="A1554" i="36"/>
  <c r="A1555" i="36"/>
  <c r="A1556" i="36"/>
  <c r="A1557" i="36"/>
  <c r="A1558" i="36"/>
  <c r="A1559" i="36"/>
  <c r="A1560" i="36"/>
  <c r="A1561" i="36"/>
  <c r="A1562" i="36"/>
  <c r="A1563" i="36"/>
  <c r="A1564" i="36"/>
  <c r="A1565" i="36"/>
  <c r="A1566" i="36"/>
  <c r="A1567" i="36"/>
  <c r="A1568" i="36"/>
  <c r="A1569" i="36"/>
  <c r="A1570" i="36"/>
  <c r="A1571" i="36"/>
  <c r="A1572" i="36"/>
  <c r="A1573" i="36"/>
  <c r="A1574" i="36"/>
  <c r="A1575" i="36"/>
  <c r="A1576" i="36"/>
  <c r="A1577" i="36"/>
  <c r="A1578" i="36"/>
  <c r="A1579" i="36"/>
  <c r="A1580" i="36"/>
  <c r="A1581" i="36"/>
  <c r="A1582" i="36"/>
  <c r="A1583" i="36"/>
  <c r="A1584" i="36"/>
  <c r="A1585" i="36"/>
  <c r="A1586" i="36"/>
  <c r="A1587" i="36"/>
  <c r="A1588" i="36"/>
  <c r="A1589" i="36"/>
  <c r="A1590" i="36"/>
  <c r="A1591" i="36"/>
  <c r="A1592" i="36"/>
  <c r="A1593" i="36"/>
  <c r="A1594" i="36"/>
  <c r="A1595" i="36"/>
  <c r="A1596" i="36"/>
  <c r="A1597" i="36"/>
  <c r="A1598" i="36"/>
  <c r="A1599" i="36"/>
  <c r="A1600" i="36"/>
  <c r="A1601" i="36"/>
  <c r="A1602" i="36"/>
  <c r="A1603" i="36"/>
  <c r="A1604" i="36"/>
  <c r="A1605" i="36"/>
  <c r="A1606" i="36"/>
  <c r="A1607" i="36"/>
  <c r="A1608" i="36"/>
  <c r="A1609" i="36"/>
  <c r="A1610" i="36"/>
  <c r="A1611" i="36"/>
  <c r="A1612" i="36"/>
  <c r="A1613" i="36"/>
  <c r="A1614" i="36"/>
  <c r="A1615" i="36"/>
  <c r="A1616" i="36"/>
  <c r="A1617" i="36"/>
  <c r="A1618" i="36"/>
  <c r="A1619" i="36"/>
  <c r="A1620" i="36"/>
  <c r="A1621" i="36"/>
  <c r="A1622" i="36"/>
  <c r="A1623" i="36"/>
  <c r="A1624" i="36"/>
  <c r="A1625" i="36"/>
  <c r="A1626" i="36"/>
  <c r="A1627" i="36"/>
  <c r="A1628" i="36"/>
  <c r="A1629" i="36"/>
  <c r="A1630" i="36"/>
  <c r="A1631" i="36"/>
  <c r="A1632" i="36"/>
  <c r="A1633" i="36"/>
  <c r="A1634" i="36"/>
  <c r="A1635" i="36"/>
  <c r="A1636" i="36"/>
  <c r="A1637" i="36"/>
  <c r="A1638" i="36"/>
  <c r="A1639" i="36"/>
  <c r="A1640" i="36"/>
  <c r="A1641" i="36"/>
  <c r="A1642" i="36"/>
  <c r="A1643" i="36"/>
  <c r="A1644" i="36"/>
  <c r="A1645" i="36"/>
  <c r="A1646" i="36"/>
  <c r="A1647" i="36"/>
  <c r="A1648" i="36"/>
  <c r="A1649" i="36"/>
  <c r="A1650" i="36"/>
  <c r="A1651" i="36"/>
  <c r="A1652" i="36"/>
  <c r="A1653" i="36"/>
  <c r="A1654" i="36"/>
  <c r="A1655" i="36"/>
  <c r="A1656" i="36"/>
  <c r="A1657" i="36"/>
  <c r="A1658" i="36"/>
  <c r="A1659" i="36"/>
  <c r="A1660" i="36"/>
  <c r="A1661" i="36"/>
  <c r="A1662" i="36"/>
  <c r="A1663" i="36"/>
  <c r="A1664" i="36"/>
  <c r="A1665" i="36"/>
  <c r="A1666" i="36"/>
  <c r="A1667" i="36"/>
  <c r="A1668" i="36"/>
  <c r="A1669" i="36"/>
  <c r="A1670" i="36"/>
  <c r="A1671" i="36"/>
  <c r="A1672" i="36"/>
  <c r="A1673" i="36"/>
  <c r="A1674" i="36"/>
  <c r="A1675" i="36"/>
  <c r="A1676" i="36"/>
  <c r="A1677" i="36"/>
  <c r="A1678" i="36"/>
  <c r="A1679" i="36"/>
  <c r="A1680" i="36"/>
  <c r="A1681" i="36"/>
  <c r="A1682" i="36"/>
  <c r="A1683" i="36"/>
  <c r="A1684" i="36"/>
  <c r="A1685" i="36"/>
  <c r="A1686" i="36"/>
  <c r="A1687" i="36"/>
  <c r="A1688" i="36"/>
  <c r="A1689" i="36"/>
  <c r="A1690" i="36"/>
  <c r="A1691" i="36"/>
  <c r="A1692" i="36"/>
  <c r="A1693" i="36"/>
  <c r="A1694" i="36"/>
  <c r="A1695" i="36"/>
  <c r="A1696" i="36"/>
  <c r="A1697" i="36"/>
  <c r="A1698" i="36"/>
  <c r="A1699" i="36"/>
  <c r="A1700" i="36"/>
  <c r="A1701" i="36"/>
  <c r="A1702" i="36"/>
  <c r="A1703" i="36"/>
  <c r="A1704" i="36"/>
  <c r="A1705" i="36"/>
  <c r="A1706" i="36"/>
  <c r="A1707" i="36"/>
  <c r="A1708" i="36"/>
  <c r="A1709" i="36"/>
  <c r="A1710" i="36"/>
  <c r="A1711" i="36"/>
  <c r="A1712" i="36"/>
  <c r="A1713" i="36"/>
  <c r="A1714" i="36"/>
  <c r="A1715" i="36"/>
  <c r="A1716" i="36"/>
  <c r="A1717" i="36"/>
  <c r="A1718" i="36"/>
  <c r="A1719" i="36"/>
  <c r="A1720" i="36"/>
  <c r="A1721" i="36"/>
  <c r="A1722" i="36"/>
  <c r="A1723" i="36"/>
  <c r="A1724" i="36"/>
  <c r="A1725" i="36"/>
  <c r="A1726" i="36"/>
  <c r="A1727" i="36"/>
  <c r="A1728" i="36"/>
  <c r="A1729" i="36"/>
  <c r="A1730" i="36"/>
  <c r="A1731" i="36"/>
  <c r="A1732" i="36"/>
  <c r="A1733" i="36"/>
  <c r="A1734" i="36"/>
  <c r="A1735" i="36"/>
  <c r="A1736" i="36"/>
  <c r="A1737" i="36"/>
  <c r="A1738" i="36"/>
  <c r="A1739" i="36"/>
  <c r="A1740" i="36"/>
  <c r="A1741" i="36"/>
  <c r="A1742" i="36"/>
  <c r="A1743" i="36"/>
  <c r="A1744" i="36"/>
  <c r="A1745" i="36"/>
  <c r="A1746" i="36"/>
  <c r="A1747" i="36"/>
  <c r="A1748" i="36"/>
  <c r="A1749" i="36"/>
  <c r="A1750" i="36"/>
  <c r="A1751" i="36"/>
  <c r="A1752" i="36"/>
  <c r="A1753" i="36"/>
  <c r="A1754" i="36"/>
  <c r="A1755" i="36"/>
  <c r="A1756" i="36"/>
  <c r="A1757" i="36"/>
  <c r="A1758" i="36"/>
  <c r="A1759" i="36"/>
  <c r="A1760" i="36"/>
  <c r="A1761" i="36"/>
  <c r="A1762" i="36"/>
  <c r="A1763" i="36"/>
  <c r="A1764" i="36"/>
  <c r="A1765" i="36"/>
  <c r="A1766" i="36"/>
  <c r="A1767" i="36"/>
  <c r="A1768" i="36"/>
  <c r="A1769" i="36"/>
  <c r="A1770" i="36"/>
  <c r="A1771" i="36"/>
  <c r="A1772" i="36"/>
  <c r="A1773" i="36"/>
  <c r="A1774" i="36"/>
  <c r="A1775" i="36"/>
  <c r="A1776" i="36"/>
  <c r="A1777" i="36"/>
  <c r="A1778" i="36"/>
  <c r="A1779" i="36"/>
  <c r="A1780" i="36"/>
  <c r="A1781" i="36"/>
  <c r="A1782" i="36"/>
  <c r="A1783" i="36"/>
  <c r="A1784" i="36"/>
  <c r="A1785" i="36"/>
  <c r="A1786" i="36"/>
  <c r="A1787" i="36"/>
  <c r="A1788" i="36"/>
  <c r="A1789" i="36"/>
  <c r="A1790" i="36"/>
  <c r="A1791" i="36"/>
  <c r="A1792" i="36"/>
  <c r="A1793" i="36"/>
  <c r="A1794" i="36"/>
  <c r="A1795" i="36"/>
  <c r="A1796" i="36"/>
  <c r="A1797" i="36"/>
  <c r="A1798" i="36"/>
  <c r="A1799" i="36"/>
  <c r="A1800" i="36"/>
  <c r="A1801" i="36"/>
  <c r="A1802" i="36"/>
  <c r="A1803" i="36"/>
  <c r="A1804" i="36"/>
  <c r="A1805" i="36"/>
  <c r="A1806" i="36"/>
  <c r="A1807" i="36"/>
  <c r="A1808" i="36"/>
  <c r="A1809" i="36"/>
  <c r="A1810" i="36"/>
  <c r="A1811" i="36"/>
  <c r="A1812" i="36"/>
  <c r="A1813" i="36"/>
  <c r="A1814" i="36"/>
  <c r="A1815" i="36"/>
  <c r="A1816" i="36"/>
  <c r="A1817" i="36"/>
  <c r="A1818" i="36"/>
  <c r="A1819" i="36"/>
  <c r="A1820" i="36"/>
  <c r="A1821" i="36"/>
  <c r="A1822" i="36"/>
  <c r="A1823" i="36"/>
  <c r="A1824" i="36"/>
  <c r="A1825" i="36"/>
  <c r="A1826" i="36"/>
  <c r="A1827" i="36"/>
  <c r="A1828" i="36"/>
  <c r="A1829" i="36"/>
  <c r="A1830" i="36"/>
  <c r="A1831" i="36"/>
  <c r="A1832" i="36"/>
  <c r="A1833" i="36"/>
  <c r="A1834" i="36"/>
  <c r="A1835" i="36"/>
  <c r="A1836" i="36"/>
  <c r="A1837" i="36"/>
  <c r="A1838" i="36"/>
  <c r="A1839" i="36"/>
  <c r="A1840" i="36"/>
  <c r="A1841" i="36"/>
  <c r="A1842" i="36"/>
  <c r="A1843" i="36"/>
  <c r="A1844" i="36"/>
  <c r="A1845" i="36"/>
  <c r="A1846" i="36"/>
  <c r="A1847" i="36"/>
  <c r="A1848" i="36"/>
  <c r="A1849" i="36"/>
  <c r="A1850" i="36"/>
  <c r="A1851" i="36"/>
  <c r="A1852" i="36"/>
  <c r="A1853" i="36"/>
  <c r="A1854" i="36"/>
  <c r="A1855" i="36"/>
  <c r="A1856" i="36"/>
  <c r="A1857" i="36"/>
  <c r="A1858" i="36"/>
  <c r="A1859" i="36"/>
  <c r="A1860" i="36"/>
  <c r="A1861" i="36"/>
  <c r="A1862" i="36"/>
  <c r="A1863" i="36"/>
  <c r="A1864" i="36"/>
  <c r="A1865" i="36"/>
  <c r="A1866" i="36"/>
  <c r="A1867" i="36"/>
  <c r="A1868" i="36"/>
  <c r="A1869" i="36"/>
  <c r="A1870" i="36"/>
  <c r="A1871" i="36"/>
  <c r="A1872" i="36"/>
  <c r="A1873" i="36"/>
  <c r="A1874" i="36"/>
  <c r="A1875" i="36"/>
  <c r="A1876" i="36"/>
  <c r="A1877" i="36"/>
  <c r="A1878" i="36"/>
  <c r="A1879" i="36"/>
  <c r="A1880" i="36"/>
  <c r="A1881" i="36"/>
  <c r="A1882" i="36"/>
  <c r="A1883" i="36"/>
  <c r="A1884" i="36"/>
  <c r="A1885" i="36"/>
  <c r="A1886" i="36"/>
  <c r="A1887" i="36"/>
  <c r="A1888" i="36"/>
  <c r="A1889" i="36"/>
  <c r="A1890" i="36"/>
  <c r="A1891" i="36"/>
  <c r="A1892" i="36"/>
  <c r="A1893" i="36"/>
  <c r="A1894" i="36"/>
  <c r="A1895" i="36"/>
  <c r="A1896" i="36"/>
  <c r="A1897" i="36"/>
  <c r="A1898" i="36"/>
  <c r="A1899" i="36"/>
  <c r="A1900" i="36"/>
  <c r="A1901" i="36"/>
  <c r="A1902" i="36"/>
  <c r="A1903" i="36"/>
  <c r="A1904" i="36"/>
  <c r="A1905" i="36"/>
  <c r="A1906" i="36"/>
  <c r="A1907" i="36"/>
  <c r="A1908" i="36"/>
  <c r="A1909" i="36"/>
  <c r="A1910" i="36"/>
  <c r="A1911" i="36"/>
  <c r="A1912" i="36"/>
  <c r="A1913" i="36"/>
  <c r="A1914" i="36"/>
  <c r="A1915" i="36"/>
  <c r="A1916" i="36"/>
  <c r="A1917" i="36"/>
  <c r="A1918" i="36"/>
  <c r="A1919" i="36"/>
  <c r="A1920" i="36"/>
  <c r="A1921" i="36"/>
  <c r="A1922" i="36"/>
  <c r="A1923" i="36"/>
  <c r="A1924" i="36"/>
  <c r="A1925" i="36"/>
  <c r="A1926" i="36"/>
  <c r="A1927" i="36"/>
  <c r="A1928" i="36"/>
  <c r="A1929" i="36"/>
  <c r="A1930" i="36"/>
  <c r="A1931" i="36"/>
  <c r="A1932" i="36"/>
  <c r="A1933" i="36"/>
  <c r="A1934" i="36"/>
  <c r="A1935" i="36"/>
  <c r="A1936" i="36"/>
  <c r="A1937" i="36"/>
  <c r="A1938" i="36"/>
  <c r="A1939" i="36"/>
  <c r="A1940" i="36"/>
  <c r="A1941" i="36"/>
  <c r="A1942" i="36"/>
  <c r="A1943" i="36"/>
  <c r="A1944" i="36"/>
  <c r="A1945" i="36"/>
  <c r="A1946" i="36"/>
  <c r="A1947" i="36"/>
  <c r="A1948" i="36"/>
  <c r="A1949" i="36"/>
  <c r="A1950" i="36"/>
  <c r="A1951" i="36"/>
  <c r="A1952" i="36"/>
  <c r="A1953" i="36"/>
  <c r="A1954" i="36"/>
  <c r="A1955" i="36"/>
  <c r="A1956" i="36"/>
  <c r="A1957" i="36"/>
  <c r="A1958" i="36"/>
  <c r="A1959" i="36"/>
  <c r="A1960" i="36"/>
  <c r="A1961" i="36"/>
  <c r="A1962" i="36"/>
  <c r="A1963" i="36"/>
  <c r="A1964" i="36"/>
  <c r="A1965" i="36"/>
  <c r="A1966" i="36"/>
  <c r="A1967" i="36"/>
  <c r="A1968" i="36"/>
  <c r="A1969" i="36"/>
  <c r="A1970" i="36"/>
  <c r="A1971" i="36"/>
  <c r="A1972" i="36"/>
  <c r="A1973" i="36"/>
  <c r="A1974" i="36"/>
  <c r="A1975" i="36"/>
  <c r="A1976" i="36"/>
  <c r="A1977" i="36"/>
  <c r="A1978" i="36"/>
  <c r="A1979" i="36"/>
  <c r="A1980" i="36"/>
  <c r="A1981" i="36"/>
  <c r="A1982" i="36"/>
  <c r="A1983" i="36"/>
  <c r="A1984" i="36"/>
  <c r="A1985" i="36"/>
  <c r="A1986" i="36"/>
  <c r="A1987" i="36"/>
  <c r="A1988" i="36"/>
  <c r="A1989" i="36"/>
  <c r="A1990" i="36"/>
  <c r="A1991" i="36"/>
  <c r="A1992" i="36"/>
  <c r="A1993" i="36"/>
  <c r="A1994" i="36"/>
  <c r="A1995" i="36"/>
  <c r="A1996" i="36"/>
  <c r="A1997" i="36"/>
  <c r="A1998" i="36"/>
  <c r="A1999" i="36"/>
  <c r="A2000" i="36"/>
  <c r="A2001" i="36"/>
  <c r="A2002" i="36"/>
  <c r="A2003" i="36"/>
  <c r="A2004" i="36"/>
  <c r="A2005" i="36"/>
  <c r="A2006" i="36"/>
  <c r="A2007" i="36"/>
  <c r="A2008" i="36"/>
  <c r="A2009" i="36"/>
  <c r="A2010" i="36"/>
  <c r="A2011" i="36"/>
  <c r="A2012" i="36"/>
  <c r="A2013" i="36"/>
  <c r="A2014" i="36"/>
  <c r="A2015" i="36"/>
  <c r="A2016" i="36"/>
  <c r="A2017" i="36"/>
  <c r="A2018" i="36"/>
  <c r="A2019" i="36"/>
  <c r="A2020" i="36"/>
  <c r="A2021" i="36"/>
  <c r="A2022" i="36"/>
  <c r="A2023" i="36"/>
  <c r="A2024" i="36"/>
  <c r="A2025" i="36"/>
  <c r="A2026" i="36"/>
  <c r="A2027" i="36"/>
  <c r="A2028" i="36"/>
  <c r="A2029" i="36"/>
  <c r="A2030" i="36"/>
  <c r="A2031" i="36"/>
  <c r="A2032" i="36"/>
  <c r="A2033" i="36"/>
  <c r="A2034" i="36"/>
  <c r="A2035" i="36"/>
  <c r="A2036" i="36"/>
  <c r="A2037" i="36"/>
  <c r="A2038" i="36"/>
  <c r="A2039" i="36"/>
  <c r="A2040" i="36"/>
  <c r="A2041" i="36"/>
  <c r="A2042" i="36"/>
  <c r="A2043" i="36"/>
  <c r="A2044" i="36"/>
  <c r="A2045" i="36"/>
  <c r="A2046" i="36"/>
  <c r="A2047" i="36"/>
  <c r="A2048" i="36"/>
  <c r="A2049" i="36"/>
  <c r="A2050" i="36"/>
  <c r="A2051" i="36"/>
  <c r="A2052" i="36"/>
  <c r="A2053" i="36"/>
  <c r="A2054" i="36"/>
  <c r="A2055" i="36"/>
  <c r="A2056" i="36"/>
  <c r="A2057" i="36"/>
  <c r="A2058" i="36"/>
  <c r="A2059" i="36"/>
  <c r="A2060" i="36"/>
  <c r="A2061" i="36"/>
  <c r="A2062" i="36"/>
  <c r="A2063" i="36"/>
  <c r="A2" i="36"/>
  <c r="AL24" i="2" l="1"/>
  <c r="AX17" i="2"/>
  <c r="AX16" i="2"/>
  <c r="G2061" i="36"/>
  <c r="F2061" i="36"/>
  <c r="E2061" i="36"/>
  <c r="D2061" i="36"/>
  <c r="G2053" i="36"/>
  <c r="F2053" i="36"/>
  <c r="E2053" i="36"/>
  <c r="D2053" i="36"/>
  <c r="G2045" i="36"/>
  <c r="F2045" i="36"/>
  <c r="E2045" i="36"/>
  <c r="D2045" i="36"/>
  <c r="G2037" i="36"/>
  <c r="F2037" i="36"/>
  <c r="E2037" i="36"/>
  <c r="D2037" i="36"/>
  <c r="G2029" i="36"/>
  <c r="F2029" i="36"/>
  <c r="E2029" i="36"/>
  <c r="D2029" i="36"/>
  <c r="G2021" i="36"/>
  <c r="F2021" i="36"/>
  <c r="E2021" i="36"/>
  <c r="D2021" i="36"/>
  <c r="G2013" i="36"/>
  <c r="F2013" i="36"/>
  <c r="E2013" i="36"/>
  <c r="D2013" i="36"/>
  <c r="G2005" i="36"/>
  <c r="F2005" i="36"/>
  <c r="E2005" i="36"/>
  <c r="D2005" i="36"/>
  <c r="G1997" i="36"/>
  <c r="F1997" i="36"/>
  <c r="E1997" i="36"/>
  <c r="D1997" i="36"/>
  <c r="G1989" i="36"/>
  <c r="F1989" i="36"/>
  <c r="E1989" i="36"/>
  <c r="D1989" i="36"/>
  <c r="G1981" i="36"/>
  <c r="F1981" i="36"/>
  <c r="E1981" i="36"/>
  <c r="D1981" i="36"/>
  <c r="G1973" i="36"/>
  <c r="F1973" i="36"/>
  <c r="E1973" i="36"/>
  <c r="D1973" i="36"/>
  <c r="G1965" i="36"/>
  <c r="F1965" i="36"/>
  <c r="E1965" i="36"/>
  <c r="D1965" i="36"/>
  <c r="G1957" i="36"/>
  <c r="F1957" i="36"/>
  <c r="E1957" i="36"/>
  <c r="D1957" i="36"/>
  <c r="G1953" i="36"/>
  <c r="F1953" i="36"/>
  <c r="E1953" i="36"/>
  <c r="D1953" i="36"/>
  <c r="G1945" i="36"/>
  <c r="F1945" i="36"/>
  <c r="E1945" i="36"/>
  <c r="D1945" i="36"/>
  <c r="G1937" i="36"/>
  <c r="F1937" i="36"/>
  <c r="E1937" i="36"/>
  <c r="D1937" i="36"/>
  <c r="G1929" i="36"/>
  <c r="F1929" i="36"/>
  <c r="E1929" i="36"/>
  <c r="D1929" i="36"/>
  <c r="G1921" i="36"/>
  <c r="F1921" i="36"/>
  <c r="E1921" i="36"/>
  <c r="D1921" i="36"/>
  <c r="G1913" i="36"/>
  <c r="F1913" i="36"/>
  <c r="D1913" i="36"/>
  <c r="E1913" i="36"/>
  <c r="G1905" i="36"/>
  <c r="F1905" i="36"/>
  <c r="D1905" i="36"/>
  <c r="E1905" i="36"/>
  <c r="G1901" i="36"/>
  <c r="F1901" i="36"/>
  <c r="D1901" i="36"/>
  <c r="E1901" i="36"/>
  <c r="G1893" i="36"/>
  <c r="F1893" i="36"/>
  <c r="D1893" i="36"/>
  <c r="E1893" i="36"/>
  <c r="G1885" i="36"/>
  <c r="F1885" i="36"/>
  <c r="D1885" i="36"/>
  <c r="E1885" i="36"/>
  <c r="G1877" i="36"/>
  <c r="F1877" i="36"/>
  <c r="D1877" i="36"/>
  <c r="E1877" i="36"/>
  <c r="G1869" i="36"/>
  <c r="F1869" i="36"/>
  <c r="D1869" i="36"/>
  <c r="E1869" i="36"/>
  <c r="G1861" i="36"/>
  <c r="F1861" i="36"/>
  <c r="D1861" i="36"/>
  <c r="E1861" i="36"/>
  <c r="G1857" i="36"/>
  <c r="F1857" i="36"/>
  <c r="D1857" i="36"/>
  <c r="E1857" i="36"/>
  <c r="G1849" i="36"/>
  <c r="F1849" i="36"/>
  <c r="D1849" i="36"/>
  <c r="E1849" i="36"/>
  <c r="G1841" i="36"/>
  <c r="F1841" i="36"/>
  <c r="D1841" i="36"/>
  <c r="E1841" i="36"/>
  <c r="G1833" i="36"/>
  <c r="F1833" i="36"/>
  <c r="D1833" i="36"/>
  <c r="E1833" i="36"/>
  <c r="G1825" i="36"/>
  <c r="F1825" i="36"/>
  <c r="D1825" i="36"/>
  <c r="E1825" i="36"/>
  <c r="G1817" i="36"/>
  <c r="F1817" i="36"/>
  <c r="D1817" i="36"/>
  <c r="E1817" i="36"/>
  <c r="G1809" i="36"/>
  <c r="F1809" i="36"/>
  <c r="D1809" i="36"/>
  <c r="E1809" i="36"/>
  <c r="G1801" i="36"/>
  <c r="F1801" i="36"/>
  <c r="D1801" i="36"/>
  <c r="E1801" i="36"/>
  <c r="G1793" i="36"/>
  <c r="F1793" i="36"/>
  <c r="D1793" i="36"/>
  <c r="E1793" i="36"/>
  <c r="G1785" i="36"/>
  <c r="F1785" i="36"/>
  <c r="D1785" i="36"/>
  <c r="E1785" i="36"/>
  <c r="G1781" i="36"/>
  <c r="F1781" i="36"/>
  <c r="D1781" i="36"/>
  <c r="E1781" i="36"/>
  <c r="G1773" i="36"/>
  <c r="F1773" i="36"/>
  <c r="D1773" i="36"/>
  <c r="E1773" i="36"/>
  <c r="G1765" i="36"/>
  <c r="F1765" i="36"/>
  <c r="D1765" i="36"/>
  <c r="E1765" i="36"/>
  <c r="G1757" i="36"/>
  <c r="F1757" i="36"/>
  <c r="D1757" i="36"/>
  <c r="E1757" i="36"/>
  <c r="G1749" i="36"/>
  <c r="F1749" i="36"/>
  <c r="D1749" i="36"/>
  <c r="E1749" i="36"/>
  <c r="G1741" i="36"/>
  <c r="F1741" i="36"/>
  <c r="D1741" i="36"/>
  <c r="E1741" i="36"/>
  <c r="G1733" i="36"/>
  <c r="F1733" i="36"/>
  <c r="D1733" i="36"/>
  <c r="E1733" i="36"/>
  <c r="G1725" i="36"/>
  <c r="F1725" i="36"/>
  <c r="D1725" i="36"/>
  <c r="E1725" i="36"/>
  <c r="G1717" i="36"/>
  <c r="F1717" i="36"/>
  <c r="D1717" i="36"/>
  <c r="E1717" i="36"/>
  <c r="G1709" i="36"/>
  <c r="F1709" i="36"/>
  <c r="D1709" i="36"/>
  <c r="E1709" i="36"/>
  <c r="G1701" i="36"/>
  <c r="F1701" i="36"/>
  <c r="D1701" i="36"/>
  <c r="E1701" i="36"/>
  <c r="G1693" i="36"/>
  <c r="F1693" i="36"/>
  <c r="D1693" i="36"/>
  <c r="E1693" i="36"/>
  <c r="G1685" i="36"/>
  <c r="F1685" i="36"/>
  <c r="D1685" i="36"/>
  <c r="E1685" i="36"/>
  <c r="G1677" i="36"/>
  <c r="F1677" i="36"/>
  <c r="D1677" i="36"/>
  <c r="E1677" i="36"/>
  <c r="G1669" i="36"/>
  <c r="F1669" i="36"/>
  <c r="E1669" i="36"/>
  <c r="D1669" i="36"/>
  <c r="G1661" i="36"/>
  <c r="F1661" i="36"/>
  <c r="E1661" i="36"/>
  <c r="D1661" i="36"/>
  <c r="G1653" i="36"/>
  <c r="F1653" i="36"/>
  <c r="E1653" i="36"/>
  <c r="D1653" i="36"/>
  <c r="G1645" i="36"/>
  <c r="F1645" i="36"/>
  <c r="E1645" i="36"/>
  <c r="D1645" i="36"/>
  <c r="G1637" i="36"/>
  <c r="F1637" i="36"/>
  <c r="E1637" i="36"/>
  <c r="D1637" i="36"/>
  <c r="G1629" i="36"/>
  <c r="F1629" i="36"/>
  <c r="E1629" i="36"/>
  <c r="D1629" i="36"/>
  <c r="G1621" i="36"/>
  <c r="F1621" i="36"/>
  <c r="E1621" i="36"/>
  <c r="D1621" i="36"/>
  <c r="G1613" i="36"/>
  <c r="F1613" i="36"/>
  <c r="E1613" i="36"/>
  <c r="D1613" i="36"/>
  <c r="G1605" i="36"/>
  <c r="F1605" i="36"/>
  <c r="E1605" i="36"/>
  <c r="D1605" i="36"/>
  <c r="G1597" i="36"/>
  <c r="F1597" i="36"/>
  <c r="E1597" i="36"/>
  <c r="D1597" i="36"/>
  <c r="G1593" i="36"/>
  <c r="F1593" i="36"/>
  <c r="E1593" i="36"/>
  <c r="D1593" i="36"/>
  <c r="G1585" i="36"/>
  <c r="F1585" i="36"/>
  <c r="E1585" i="36"/>
  <c r="D1585" i="36"/>
  <c r="G1577" i="36"/>
  <c r="F1577" i="36"/>
  <c r="E1577" i="36"/>
  <c r="D1577" i="36"/>
  <c r="G1569" i="36"/>
  <c r="F1569" i="36"/>
  <c r="E1569" i="36"/>
  <c r="D1569" i="36"/>
  <c r="G1557" i="36"/>
  <c r="F1557" i="36"/>
  <c r="E1557" i="36"/>
  <c r="D1557" i="36"/>
  <c r="G1549" i="36"/>
  <c r="F1549" i="36"/>
  <c r="E1549" i="36"/>
  <c r="D1549" i="36"/>
  <c r="G1541" i="36"/>
  <c r="F1541" i="36"/>
  <c r="E1541" i="36"/>
  <c r="D1541" i="36"/>
  <c r="G1529" i="36"/>
  <c r="F1529" i="36"/>
  <c r="E1529" i="36"/>
  <c r="D1529" i="36"/>
  <c r="G1517" i="36"/>
  <c r="F1517" i="36"/>
  <c r="E1517" i="36"/>
  <c r="D1517" i="36"/>
  <c r="G1505" i="36"/>
  <c r="F1505" i="36"/>
  <c r="E1505" i="36"/>
  <c r="D1505" i="36"/>
  <c r="G1497" i="36"/>
  <c r="F1497" i="36"/>
  <c r="E1497" i="36"/>
  <c r="D1497" i="36"/>
  <c r="G1485" i="36"/>
  <c r="F1485" i="36"/>
  <c r="E1485" i="36"/>
  <c r="D1485" i="36"/>
  <c r="G1473" i="36"/>
  <c r="F1473" i="36"/>
  <c r="E1473" i="36"/>
  <c r="D1473" i="36"/>
  <c r="G1461" i="36"/>
  <c r="F1461" i="36"/>
  <c r="E1461" i="36"/>
  <c r="D1461" i="36"/>
  <c r="G1449" i="36"/>
  <c r="F1449" i="36"/>
  <c r="E1449" i="36"/>
  <c r="D1449" i="36"/>
  <c r="G1437" i="36"/>
  <c r="F1437" i="36"/>
  <c r="E1437" i="36"/>
  <c r="D1437" i="36"/>
  <c r="G1425" i="36"/>
  <c r="F1425" i="36"/>
  <c r="E1425" i="36"/>
  <c r="D1425" i="36"/>
  <c r="G1413" i="36"/>
  <c r="F1413" i="36"/>
  <c r="E1413" i="36"/>
  <c r="D1413" i="36"/>
  <c r="G1401" i="36"/>
  <c r="F1401" i="36"/>
  <c r="E1401" i="36"/>
  <c r="D1401" i="36"/>
  <c r="G1393" i="36"/>
  <c r="F1393" i="36"/>
  <c r="E1393" i="36"/>
  <c r="D1393" i="36"/>
  <c r="G1381" i="36"/>
  <c r="F1381" i="36"/>
  <c r="E1381" i="36"/>
  <c r="D1381" i="36"/>
  <c r="G1369" i="36"/>
  <c r="F1369" i="36"/>
  <c r="E1369" i="36"/>
  <c r="D1369" i="36"/>
  <c r="G1357" i="36"/>
  <c r="F1357" i="36"/>
  <c r="E1357" i="36"/>
  <c r="D1357" i="36"/>
  <c r="G1345" i="36"/>
  <c r="F1345" i="36"/>
  <c r="E1345" i="36"/>
  <c r="D1345" i="36"/>
  <c r="G1333" i="36"/>
  <c r="F1333" i="36"/>
  <c r="E1333" i="36"/>
  <c r="D1333" i="36"/>
  <c r="G1325" i="36"/>
  <c r="F1325" i="36"/>
  <c r="E1325" i="36"/>
  <c r="D1325" i="36"/>
  <c r="G1317" i="36"/>
  <c r="F1317" i="36"/>
  <c r="E1317" i="36"/>
  <c r="D1317" i="36"/>
  <c r="G1305" i="36"/>
  <c r="F1305" i="36"/>
  <c r="E1305" i="36"/>
  <c r="D1305" i="36"/>
  <c r="G1293" i="36"/>
  <c r="F1293" i="36"/>
  <c r="E1293" i="36"/>
  <c r="D1293" i="36"/>
  <c r="G1281" i="36"/>
  <c r="F1281" i="36"/>
  <c r="E1281" i="36"/>
  <c r="D1281" i="36"/>
  <c r="G1265" i="36"/>
  <c r="F1265" i="36"/>
  <c r="E1265" i="36"/>
  <c r="D1265" i="36"/>
  <c r="G1257" i="36"/>
  <c r="F1257" i="36"/>
  <c r="E1257" i="36"/>
  <c r="D1257" i="36"/>
  <c r="G1245" i="36"/>
  <c r="F1245" i="36"/>
  <c r="E1245" i="36"/>
  <c r="D1245" i="36"/>
  <c r="G1233" i="36"/>
  <c r="F1233" i="36"/>
  <c r="E1233" i="36"/>
  <c r="D1233" i="36"/>
  <c r="G1221" i="36"/>
  <c r="F1221" i="36"/>
  <c r="E1221" i="36"/>
  <c r="D1221" i="36"/>
  <c r="G1213" i="36"/>
  <c r="F1213" i="36"/>
  <c r="E1213" i="36"/>
  <c r="D1213" i="36"/>
  <c r="G1201" i="36"/>
  <c r="F1201" i="36"/>
  <c r="E1201" i="36"/>
  <c r="D1201" i="36"/>
  <c r="G1189" i="36"/>
  <c r="F1189" i="36"/>
  <c r="E1189" i="36"/>
  <c r="D1189" i="36"/>
  <c r="G1173" i="36"/>
  <c r="F1173" i="36"/>
  <c r="E1173" i="36"/>
  <c r="D1173" i="36"/>
  <c r="G1165" i="36"/>
  <c r="F1165" i="36"/>
  <c r="E1165" i="36"/>
  <c r="D1165" i="36"/>
  <c r="G1149" i="36"/>
  <c r="F1149" i="36"/>
  <c r="E1149" i="36"/>
  <c r="D1149" i="36"/>
  <c r="G1137" i="36"/>
  <c r="F1137" i="36"/>
  <c r="E1137" i="36"/>
  <c r="D1137" i="36"/>
  <c r="G1125" i="36"/>
  <c r="F1125" i="36"/>
  <c r="E1125" i="36"/>
  <c r="D1125" i="36"/>
  <c r="G1117" i="36"/>
  <c r="F1117" i="36"/>
  <c r="E1117" i="36"/>
  <c r="D1117" i="36"/>
  <c r="G1105" i="36"/>
  <c r="F1105" i="36"/>
  <c r="E1105" i="36"/>
  <c r="D1105" i="36"/>
  <c r="G1097" i="36"/>
  <c r="F1097" i="36"/>
  <c r="E1097" i="36"/>
  <c r="D1097" i="36"/>
  <c r="G1085" i="36"/>
  <c r="F1085" i="36"/>
  <c r="E1085" i="36"/>
  <c r="D1085" i="36"/>
  <c r="G1069" i="36"/>
  <c r="F1069" i="36"/>
  <c r="E1069" i="36"/>
  <c r="D1069" i="36"/>
  <c r="G1057" i="36"/>
  <c r="F1057" i="36"/>
  <c r="E1057" i="36"/>
  <c r="D1057" i="36"/>
  <c r="G1045" i="36"/>
  <c r="F1045" i="36"/>
  <c r="E1045" i="36"/>
  <c r="D1045" i="36"/>
  <c r="G1033" i="36"/>
  <c r="F1033" i="36"/>
  <c r="E1033" i="36"/>
  <c r="D1033" i="36"/>
  <c r="G1021" i="36"/>
  <c r="F1021" i="36"/>
  <c r="E1021" i="36"/>
  <c r="D1021" i="36"/>
  <c r="G1013" i="36"/>
  <c r="F1013" i="36"/>
  <c r="E1013" i="36"/>
  <c r="D1013" i="36"/>
  <c r="G1005" i="36"/>
  <c r="F1005" i="36"/>
  <c r="E1005" i="36"/>
  <c r="D1005" i="36"/>
  <c r="G993" i="36"/>
  <c r="F993" i="36"/>
  <c r="E993" i="36"/>
  <c r="D993" i="36"/>
  <c r="G981" i="36"/>
  <c r="F981" i="36"/>
  <c r="E981" i="36"/>
  <c r="D981" i="36"/>
  <c r="G969" i="36"/>
  <c r="F969" i="36"/>
  <c r="E969" i="36"/>
  <c r="D969" i="36"/>
  <c r="G957" i="36"/>
  <c r="F957" i="36"/>
  <c r="E957" i="36"/>
  <c r="D957" i="36"/>
  <c r="G945" i="36"/>
  <c r="F945" i="36"/>
  <c r="E945" i="36"/>
  <c r="D945" i="36"/>
  <c r="G937" i="36"/>
  <c r="F937" i="36"/>
  <c r="E937" i="36"/>
  <c r="D937" i="36"/>
  <c r="G921" i="36"/>
  <c r="F921" i="36"/>
  <c r="E921" i="36"/>
  <c r="D921" i="36"/>
  <c r="G909" i="36"/>
  <c r="F909" i="36"/>
  <c r="E909" i="36"/>
  <c r="D909" i="36"/>
  <c r="G897" i="36"/>
  <c r="F897" i="36"/>
  <c r="E897" i="36"/>
  <c r="D897" i="36"/>
  <c r="G885" i="36"/>
  <c r="F885" i="36"/>
  <c r="E885" i="36"/>
  <c r="D885" i="36"/>
  <c r="G873" i="36"/>
  <c r="F873" i="36"/>
  <c r="E873" i="36"/>
  <c r="D873" i="36"/>
  <c r="G861" i="36"/>
  <c r="F861" i="36"/>
  <c r="E861" i="36"/>
  <c r="D861" i="36"/>
  <c r="G853" i="36"/>
  <c r="F853" i="36"/>
  <c r="E853" i="36"/>
  <c r="D853" i="36"/>
  <c r="G841" i="36"/>
  <c r="F841" i="36"/>
  <c r="E841" i="36"/>
  <c r="D841" i="36"/>
  <c r="G829" i="36"/>
  <c r="F829" i="36"/>
  <c r="E829" i="36"/>
  <c r="D829" i="36"/>
  <c r="G821" i="36"/>
  <c r="F821" i="36"/>
  <c r="E821" i="36"/>
  <c r="D821" i="36"/>
  <c r="G809" i="36"/>
  <c r="F809" i="36"/>
  <c r="E809" i="36"/>
  <c r="D809" i="36"/>
  <c r="G797" i="36"/>
  <c r="F797" i="36"/>
  <c r="E797" i="36"/>
  <c r="D797" i="36"/>
  <c r="G789" i="36"/>
  <c r="F789" i="36"/>
  <c r="E789" i="36"/>
  <c r="D789" i="36"/>
  <c r="G777" i="36"/>
  <c r="F777" i="36"/>
  <c r="E777" i="36"/>
  <c r="D777" i="36"/>
  <c r="G765" i="36"/>
  <c r="F765" i="36"/>
  <c r="E765" i="36"/>
  <c r="D765" i="36"/>
  <c r="G753" i="36"/>
  <c r="F753" i="36"/>
  <c r="E753" i="36"/>
  <c r="D753" i="36"/>
  <c r="G741" i="36"/>
  <c r="F741" i="36"/>
  <c r="E741" i="36"/>
  <c r="D741" i="36"/>
  <c r="G725" i="36"/>
  <c r="F725" i="36"/>
  <c r="E725" i="36"/>
  <c r="D725" i="36"/>
  <c r="G717" i="36"/>
  <c r="F717" i="36"/>
  <c r="E717" i="36"/>
  <c r="D717" i="36"/>
  <c r="G705" i="36"/>
  <c r="F705" i="36"/>
  <c r="E705" i="36"/>
  <c r="D705" i="36"/>
  <c r="G697" i="36"/>
  <c r="F697" i="36"/>
  <c r="E697" i="36"/>
  <c r="D697" i="36"/>
  <c r="G685" i="36"/>
  <c r="F685" i="36"/>
  <c r="E685" i="36"/>
  <c r="D685" i="36"/>
  <c r="G673" i="36"/>
  <c r="F673" i="36"/>
  <c r="E673" i="36"/>
  <c r="D673" i="36"/>
  <c r="G661" i="36"/>
  <c r="F661" i="36"/>
  <c r="E661" i="36"/>
  <c r="D661" i="36"/>
  <c r="G653" i="36"/>
  <c r="F653" i="36"/>
  <c r="E653" i="36"/>
  <c r="D653" i="36"/>
  <c r="G637" i="36"/>
  <c r="F637" i="36"/>
  <c r="E637" i="36"/>
  <c r="D637" i="36"/>
  <c r="G625" i="36"/>
  <c r="F625" i="36"/>
  <c r="E625" i="36"/>
  <c r="D625" i="36"/>
  <c r="G613" i="36"/>
  <c r="F613" i="36"/>
  <c r="E613" i="36"/>
  <c r="D613" i="36"/>
  <c r="G601" i="36"/>
  <c r="F601" i="36"/>
  <c r="E601" i="36"/>
  <c r="D601" i="36"/>
  <c r="G589" i="36"/>
  <c r="F589" i="36"/>
  <c r="E589" i="36"/>
  <c r="D589" i="36"/>
  <c r="G577" i="36"/>
  <c r="F577" i="36"/>
  <c r="E577" i="36"/>
  <c r="D577" i="36"/>
  <c r="G565" i="36"/>
  <c r="F565" i="36"/>
  <c r="E565" i="36"/>
  <c r="D565" i="36"/>
  <c r="G553" i="36"/>
  <c r="F553" i="36"/>
  <c r="E553" i="36"/>
  <c r="D553" i="36"/>
  <c r="G541" i="36"/>
  <c r="F541" i="36"/>
  <c r="E541" i="36"/>
  <c r="D541" i="36"/>
  <c r="G537" i="36"/>
  <c r="F537" i="36"/>
  <c r="E537" i="36"/>
  <c r="D537" i="36"/>
  <c r="G521" i="36"/>
  <c r="F521" i="36"/>
  <c r="E521" i="36"/>
  <c r="D521" i="36"/>
  <c r="G509" i="36"/>
  <c r="F509" i="36"/>
  <c r="E509" i="36"/>
  <c r="D509" i="36"/>
  <c r="G501" i="36"/>
  <c r="F501" i="36"/>
  <c r="E501" i="36"/>
  <c r="D501" i="36"/>
  <c r="G489" i="36"/>
  <c r="F489" i="36"/>
  <c r="E489" i="36"/>
  <c r="D489" i="36"/>
  <c r="G477" i="36"/>
  <c r="F477" i="36"/>
  <c r="E477" i="36"/>
  <c r="D477" i="36"/>
  <c r="G469" i="36"/>
  <c r="F469" i="36"/>
  <c r="E469" i="36"/>
  <c r="D469" i="36"/>
  <c r="G457" i="36"/>
  <c r="F457" i="36"/>
  <c r="E457" i="36"/>
  <c r="D457" i="36"/>
  <c r="G445" i="36"/>
  <c r="F445" i="36"/>
  <c r="E445" i="36"/>
  <c r="D445" i="36"/>
  <c r="G433" i="36"/>
  <c r="F433" i="36"/>
  <c r="E433" i="36"/>
  <c r="D433" i="36"/>
  <c r="G417" i="36"/>
  <c r="F417" i="36"/>
  <c r="E417" i="36"/>
  <c r="D417" i="36"/>
  <c r="G405" i="36"/>
  <c r="F405" i="36"/>
  <c r="E405" i="36"/>
  <c r="D405" i="36"/>
  <c r="G397" i="36"/>
  <c r="F397" i="36"/>
  <c r="E397" i="36"/>
  <c r="D397" i="36"/>
  <c r="G385" i="36"/>
  <c r="F385" i="36"/>
  <c r="E385" i="36"/>
  <c r="D385" i="36"/>
  <c r="G373" i="36"/>
  <c r="F373" i="36"/>
  <c r="E373" i="36"/>
  <c r="D373" i="36"/>
  <c r="G361" i="36"/>
  <c r="F361" i="36"/>
  <c r="E361" i="36"/>
  <c r="D361" i="36"/>
  <c r="G349" i="36"/>
  <c r="F349" i="36"/>
  <c r="E349" i="36"/>
  <c r="D349" i="36"/>
  <c r="G337" i="36"/>
  <c r="F337" i="36"/>
  <c r="E337" i="36"/>
  <c r="D337" i="36"/>
  <c r="G325" i="36"/>
  <c r="F325" i="36"/>
  <c r="E325" i="36"/>
  <c r="D325" i="36"/>
  <c r="G309" i="36"/>
  <c r="F309" i="36"/>
  <c r="E309" i="36"/>
  <c r="D309" i="36"/>
  <c r="G297" i="36"/>
  <c r="F297" i="36"/>
  <c r="E297" i="36"/>
  <c r="D297" i="36"/>
  <c r="G285" i="36"/>
  <c r="F285" i="36"/>
  <c r="E285" i="36"/>
  <c r="D285" i="36"/>
  <c r="G273" i="36"/>
  <c r="F273" i="36"/>
  <c r="E273" i="36"/>
  <c r="D273" i="36"/>
  <c r="G261" i="36"/>
  <c r="F261" i="36"/>
  <c r="E261" i="36"/>
  <c r="D261" i="36"/>
  <c r="G249" i="36"/>
  <c r="F249" i="36"/>
  <c r="E249" i="36"/>
  <c r="D249" i="36"/>
  <c r="G237" i="36"/>
  <c r="F237" i="36"/>
  <c r="E237" i="36"/>
  <c r="D237" i="36"/>
  <c r="G229" i="36"/>
  <c r="F229" i="36"/>
  <c r="E229" i="36"/>
  <c r="D229" i="36"/>
  <c r="G217" i="36"/>
  <c r="F217" i="36"/>
  <c r="E217" i="36"/>
  <c r="D217" i="36"/>
  <c r="G201" i="36"/>
  <c r="F201" i="36"/>
  <c r="E201" i="36"/>
  <c r="D201" i="36"/>
  <c r="G189" i="36"/>
  <c r="F189" i="36"/>
  <c r="E189" i="36"/>
  <c r="D189" i="36"/>
  <c r="G177" i="36"/>
  <c r="F177" i="36"/>
  <c r="E177" i="36"/>
  <c r="D177" i="36"/>
  <c r="G165" i="36"/>
  <c r="F165" i="36"/>
  <c r="E165" i="36"/>
  <c r="D165" i="36"/>
  <c r="G153" i="36"/>
  <c r="F153" i="36"/>
  <c r="E153" i="36"/>
  <c r="D153" i="36"/>
  <c r="G145" i="36"/>
  <c r="F145" i="36"/>
  <c r="E145" i="36"/>
  <c r="D145" i="36"/>
  <c r="G133" i="36"/>
  <c r="F133" i="36"/>
  <c r="E133" i="36"/>
  <c r="D133" i="36"/>
  <c r="G121" i="36"/>
  <c r="F121" i="36"/>
  <c r="E121" i="36"/>
  <c r="D121" i="36"/>
  <c r="G109" i="36"/>
  <c r="F109" i="36"/>
  <c r="E109" i="36"/>
  <c r="D109" i="36"/>
  <c r="G93" i="36"/>
  <c r="F93" i="36"/>
  <c r="E93" i="36"/>
  <c r="D93" i="36"/>
  <c r="G81" i="36"/>
  <c r="F81" i="36"/>
  <c r="E81" i="36"/>
  <c r="D81" i="36"/>
  <c r="G73" i="36"/>
  <c r="F73" i="36"/>
  <c r="E73" i="36"/>
  <c r="D73" i="36"/>
  <c r="G61" i="36"/>
  <c r="F61" i="36"/>
  <c r="E61" i="36"/>
  <c r="D61" i="36"/>
  <c r="G45" i="36"/>
  <c r="F45" i="36"/>
  <c r="E45" i="36"/>
  <c r="D45" i="36"/>
  <c r="G37" i="36"/>
  <c r="F37" i="36"/>
  <c r="E37" i="36"/>
  <c r="D37" i="36"/>
  <c r="G2" i="36"/>
  <c r="F2" i="36"/>
  <c r="E2" i="36"/>
  <c r="D2" i="36"/>
  <c r="G2052" i="36"/>
  <c r="F2052" i="36"/>
  <c r="E2052" i="36"/>
  <c r="D2052" i="36"/>
  <c r="G2040" i="36"/>
  <c r="F2040" i="36"/>
  <c r="E2040" i="36"/>
  <c r="D2040" i="36"/>
  <c r="G2028" i="36"/>
  <c r="F2028" i="36"/>
  <c r="E2028" i="36"/>
  <c r="D2028" i="36"/>
  <c r="G2016" i="36"/>
  <c r="F2016" i="36"/>
  <c r="E2016" i="36"/>
  <c r="D2016" i="36"/>
  <c r="G2004" i="36"/>
  <c r="E2004" i="36"/>
  <c r="F2004" i="36"/>
  <c r="D2004" i="36"/>
  <c r="G1992" i="36"/>
  <c r="F1992" i="36"/>
  <c r="E1992" i="36"/>
  <c r="D1992" i="36"/>
  <c r="G1980" i="36"/>
  <c r="F1980" i="36"/>
  <c r="E1980" i="36"/>
  <c r="D1980" i="36"/>
  <c r="G1968" i="36"/>
  <c r="F1968" i="36"/>
  <c r="E1968" i="36"/>
  <c r="D1968" i="36"/>
  <c r="G1956" i="36"/>
  <c r="E1956" i="36"/>
  <c r="D1956" i="36"/>
  <c r="F1956" i="36"/>
  <c r="G1940" i="36"/>
  <c r="E1940" i="36"/>
  <c r="F1940" i="36"/>
  <c r="D1940" i="36"/>
  <c r="G1928" i="36"/>
  <c r="F1928" i="36"/>
  <c r="E1928" i="36"/>
  <c r="D1928" i="36"/>
  <c r="G1916" i="36"/>
  <c r="F1916" i="36"/>
  <c r="E1916" i="36"/>
  <c r="D1916" i="36"/>
  <c r="G1904" i="36"/>
  <c r="F1904" i="36"/>
  <c r="E1904" i="36"/>
  <c r="D1904" i="36"/>
  <c r="G1892" i="36"/>
  <c r="E1892" i="36"/>
  <c r="F1892" i="36"/>
  <c r="D1892" i="36"/>
  <c r="G1876" i="36"/>
  <c r="E1876" i="36"/>
  <c r="F1876" i="36"/>
  <c r="D1876" i="36"/>
  <c r="G1864" i="36"/>
  <c r="F1864" i="36"/>
  <c r="E1864" i="36"/>
  <c r="D1864" i="36"/>
  <c r="G1852" i="36"/>
  <c r="F1852" i="36"/>
  <c r="E1852" i="36"/>
  <c r="D1852" i="36"/>
  <c r="G1840" i="36"/>
  <c r="F1840" i="36"/>
  <c r="E1840" i="36"/>
  <c r="D1840" i="36"/>
  <c r="G1828" i="36"/>
  <c r="E1828" i="36"/>
  <c r="D1828" i="36"/>
  <c r="F1828" i="36"/>
  <c r="G1816" i="36"/>
  <c r="F1816" i="36"/>
  <c r="E1816" i="36"/>
  <c r="D1816" i="36"/>
  <c r="G1800" i="36"/>
  <c r="F1800" i="36"/>
  <c r="E1800" i="36"/>
  <c r="D1800" i="36"/>
  <c r="G1788" i="36"/>
  <c r="F1788" i="36"/>
  <c r="E1788" i="36"/>
  <c r="D1788" i="36"/>
  <c r="G1776" i="36"/>
  <c r="F1776" i="36"/>
  <c r="E1776" i="36"/>
  <c r="D1776" i="36"/>
  <c r="G1764" i="36"/>
  <c r="E1764" i="36"/>
  <c r="D1764" i="36"/>
  <c r="F1764" i="36"/>
  <c r="G1752" i="36"/>
  <c r="F1752" i="36"/>
  <c r="E1752" i="36"/>
  <c r="D1752" i="36"/>
  <c r="G1740" i="36"/>
  <c r="F1740" i="36"/>
  <c r="E1740" i="36"/>
  <c r="D1740" i="36"/>
  <c r="G1728" i="36"/>
  <c r="F1728" i="36"/>
  <c r="E1728" i="36"/>
  <c r="D1728" i="36"/>
  <c r="G1716" i="36"/>
  <c r="F1716" i="36"/>
  <c r="E1716" i="36"/>
  <c r="D1716" i="36"/>
  <c r="G1700" i="36"/>
  <c r="F1700" i="36"/>
  <c r="E1700" i="36"/>
  <c r="D1700" i="36"/>
  <c r="G1688" i="36"/>
  <c r="F1688" i="36"/>
  <c r="E1688" i="36"/>
  <c r="D1688" i="36"/>
  <c r="G1676" i="36"/>
  <c r="F1676" i="36"/>
  <c r="E1676" i="36"/>
  <c r="D1676" i="36"/>
  <c r="G1664" i="36"/>
  <c r="F1664" i="36"/>
  <c r="E1664" i="36"/>
  <c r="D1664" i="36"/>
  <c r="G1652" i="36"/>
  <c r="E1652" i="36"/>
  <c r="F1652" i="36"/>
  <c r="D1652" i="36"/>
  <c r="G1640" i="36"/>
  <c r="F1640" i="36"/>
  <c r="E1640" i="36"/>
  <c r="D1640" i="36"/>
  <c r="G1628" i="36"/>
  <c r="F1628" i="36"/>
  <c r="E1628" i="36"/>
  <c r="D1628" i="36"/>
  <c r="G1616" i="36"/>
  <c r="F1616" i="36"/>
  <c r="E1616" i="36"/>
  <c r="D1616" i="36"/>
  <c r="G1600" i="36"/>
  <c r="F1600" i="36"/>
  <c r="E1600" i="36"/>
  <c r="D1600" i="36"/>
  <c r="G1588" i="36"/>
  <c r="F1588" i="36"/>
  <c r="E1588" i="36"/>
  <c r="D1588" i="36"/>
  <c r="G1576" i="36"/>
  <c r="F1576" i="36"/>
  <c r="E1576" i="36"/>
  <c r="D1576" i="36"/>
  <c r="G1564" i="36"/>
  <c r="F1564" i="36"/>
  <c r="E1564" i="36"/>
  <c r="D1564" i="36"/>
  <c r="G1552" i="36"/>
  <c r="F1552" i="36"/>
  <c r="E1552" i="36"/>
  <c r="D1552" i="36"/>
  <c r="G1540" i="36"/>
  <c r="F1540" i="36"/>
  <c r="E1540" i="36"/>
  <c r="D1540" i="36"/>
  <c r="G1528" i="36"/>
  <c r="F1528" i="36"/>
  <c r="E1528" i="36"/>
  <c r="D1528" i="36"/>
  <c r="G1512" i="36"/>
  <c r="F1512" i="36"/>
  <c r="E1512" i="36"/>
  <c r="D1512" i="36"/>
  <c r="G1500" i="36"/>
  <c r="F1500" i="36"/>
  <c r="E1500" i="36"/>
  <c r="D1500" i="36"/>
  <c r="G1488" i="36"/>
  <c r="F1488" i="36"/>
  <c r="E1488" i="36"/>
  <c r="D1488" i="36"/>
  <c r="G1484" i="36"/>
  <c r="F1484" i="36"/>
  <c r="E1484" i="36"/>
  <c r="D1484" i="36"/>
  <c r="G1472" i="36"/>
  <c r="F1472" i="36"/>
  <c r="E1472" i="36"/>
  <c r="D1472" i="36"/>
  <c r="G1460" i="36"/>
  <c r="F1460" i="36"/>
  <c r="E1460" i="36"/>
  <c r="D1460" i="36"/>
  <c r="G1448" i="36"/>
  <c r="F1448" i="36"/>
  <c r="E1448" i="36"/>
  <c r="D1448" i="36"/>
  <c r="G1432" i="36"/>
  <c r="F1432" i="36"/>
  <c r="E1432" i="36"/>
  <c r="D1432" i="36"/>
  <c r="G1424" i="36"/>
  <c r="F1424" i="36"/>
  <c r="E1424" i="36"/>
  <c r="D1424" i="36"/>
  <c r="G1412" i="36"/>
  <c r="F1412" i="36"/>
  <c r="E1412" i="36"/>
  <c r="D1412" i="36"/>
  <c r="G1396" i="36"/>
  <c r="F1396" i="36"/>
  <c r="E1396" i="36"/>
  <c r="D1396" i="36"/>
  <c r="G1388" i="36"/>
  <c r="F1388" i="36"/>
  <c r="E1388" i="36"/>
  <c r="D1388" i="36"/>
  <c r="G1376" i="36"/>
  <c r="F1376" i="36"/>
  <c r="E1376" i="36"/>
  <c r="D1376" i="36"/>
  <c r="G1364" i="36"/>
  <c r="F1364" i="36"/>
  <c r="D1364" i="36"/>
  <c r="E1364" i="36"/>
  <c r="G1352" i="36"/>
  <c r="F1352" i="36"/>
  <c r="E1352" i="36"/>
  <c r="D1352" i="36"/>
  <c r="G1336" i="36"/>
  <c r="F1336" i="36"/>
  <c r="E1336" i="36"/>
  <c r="D1336" i="36"/>
  <c r="G1324" i="36"/>
  <c r="F1324" i="36"/>
  <c r="E1324" i="36"/>
  <c r="D1324" i="36"/>
  <c r="G1308" i="36"/>
  <c r="F1308" i="36"/>
  <c r="E1308" i="36"/>
  <c r="D1308" i="36"/>
  <c r="G1300" i="36"/>
  <c r="F1300" i="36"/>
  <c r="D1300" i="36"/>
  <c r="E1300" i="36"/>
  <c r="G1288" i="36"/>
  <c r="F1288" i="36"/>
  <c r="E1288" i="36"/>
  <c r="D1288" i="36"/>
  <c r="G1280" i="36"/>
  <c r="F1280" i="36"/>
  <c r="E1280" i="36"/>
  <c r="D1280" i="36"/>
  <c r="G1268" i="36"/>
  <c r="F1268" i="36"/>
  <c r="D1268" i="36"/>
  <c r="E1268" i="36"/>
  <c r="G1260" i="36"/>
  <c r="F1260" i="36"/>
  <c r="E1260" i="36"/>
  <c r="D1260" i="36"/>
  <c r="G1252" i="36"/>
  <c r="F1252" i="36"/>
  <c r="D1252" i="36"/>
  <c r="E1252" i="36"/>
  <c r="G1244" i="36"/>
  <c r="F1244" i="36"/>
  <c r="E1244" i="36"/>
  <c r="D1244" i="36"/>
  <c r="G1236" i="36"/>
  <c r="F1236" i="36"/>
  <c r="D1236" i="36"/>
  <c r="E1236" i="36"/>
  <c r="G1228" i="36"/>
  <c r="F1228" i="36"/>
  <c r="E1228" i="36"/>
  <c r="D1228" i="36"/>
  <c r="G1224" i="36"/>
  <c r="F1224" i="36"/>
  <c r="E1224" i="36"/>
  <c r="D1224" i="36"/>
  <c r="G1220" i="36"/>
  <c r="F1220" i="36"/>
  <c r="E1220" i="36"/>
  <c r="D1220" i="36"/>
  <c r="G1216" i="36"/>
  <c r="F1216" i="36"/>
  <c r="E1216" i="36"/>
  <c r="D1216" i="36"/>
  <c r="G1212" i="36"/>
  <c r="F1212" i="36"/>
  <c r="E1212" i="36"/>
  <c r="D1212" i="36"/>
  <c r="G1208" i="36"/>
  <c r="F1208" i="36"/>
  <c r="E1208" i="36"/>
  <c r="D1208" i="36"/>
  <c r="G1204" i="36"/>
  <c r="F1204" i="36"/>
  <c r="D1204" i="36"/>
  <c r="E1204" i="36"/>
  <c r="G1200" i="36"/>
  <c r="F1200" i="36"/>
  <c r="E1200" i="36"/>
  <c r="D1200" i="36"/>
  <c r="G1196" i="36"/>
  <c r="F1196" i="36"/>
  <c r="E1196" i="36"/>
  <c r="D1196" i="36"/>
  <c r="G1192" i="36"/>
  <c r="F1192" i="36"/>
  <c r="E1192" i="36"/>
  <c r="D1192" i="36"/>
  <c r="G1188" i="36"/>
  <c r="F1188" i="36"/>
  <c r="D1188" i="36"/>
  <c r="E1188" i="36"/>
  <c r="G1184" i="36"/>
  <c r="F1184" i="36"/>
  <c r="E1184" i="36"/>
  <c r="D1184" i="36"/>
  <c r="G1180" i="36"/>
  <c r="F1180" i="36"/>
  <c r="E1180" i="36"/>
  <c r="D1180" i="36"/>
  <c r="G1176" i="36"/>
  <c r="F1176" i="36"/>
  <c r="E1176" i="36"/>
  <c r="D1176" i="36"/>
  <c r="G1172" i="36"/>
  <c r="F1172" i="36"/>
  <c r="D1172" i="36"/>
  <c r="E1172" i="36"/>
  <c r="G1168" i="36"/>
  <c r="F1168" i="36"/>
  <c r="E1168" i="36"/>
  <c r="D1168" i="36"/>
  <c r="G1156" i="36"/>
  <c r="F1156" i="36"/>
  <c r="E1156" i="36"/>
  <c r="D1156" i="36"/>
  <c r="G1152" i="36"/>
  <c r="F1152" i="36"/>
  <c r="E1152" i="36"/>
  <c r="D1152" i="36"/>
  <c r="G1148" i="36"/>
  <c r="F1148" i="36"/>
  <c r="E1148" i="36"/>
  <c r="D1148" i="36"/>
  <c r="G1144" i="36"/>
  <c r="F1144" i="36"/>
  <c r="E1144" i="36"/>
  <c r="D1144" i="36"/>
  <c r="G1140" i="36"/>
  <c r="F1140" i="36"/>
  <c r="D1140" i="36"/>
  <c r="E1140" i="36"/>
  <c r="G1136" i="36"/>
  <c r="F1136" i="36"/>
  <c r="E1136" i="36"/>
  <c r="D1136" i="36"/>
  <c r="G1132" i="36"/>
  <c r="F1132" i="36"/>
  <c r="E1132" i="36"/>
  <c r="D1132" i="36"/>
  <c r="G1128" i="36"/>
  <c r="F1128" i="36"/>
  <c r="E1128" i="36"/>
  <c r="D1128" i="36"/>
  <c r="G1124" i="36"/>
  <c r="F1124" i="36"/>
  <c r="D1124" i="36"/>
  <c r="E1124" i="36"/>
  <c r="G1120" i="36"/>
  <c r="F1120" i="36"/>
  <c r="E1120" i="36"/>
  <c r="D1120" i="36"/>
  <c r="G1116" i="36"/>
  <c r="F1116" i="36"/>
  <c r="E1116" i="36"/>
  <c r="D1116" i="36"/>
  <c r="G1112" i="36"/>
  <c r="F1112" i="36"/>
  <c r="E1112" i="36"/>
  <c r="D1112" i="36"/>
  <c r="G1108" i="36"/>
  <c r="F1108" i="36"/>
  <c r="D1108" i="36"/>
  <c r="E1108" i="36"/>
  <c r="G1104" i="36"/>
  <c r="F1104" i="36"/>
  <c r="E1104" i="36"/>
  <c r="D1104" i="36"/>
  <c r="G1100" i="36"/>
  <c r="F1100" i="36"/>
  <c r="E1100" i="36"/>
  <c r="D1100" i="36"/>
  <c r="G1096" i="36"/>
  <c r="F1096" i="36"/>
  <c r="E1096" i="36"/>
  <c r="D1096" i="36"/>
  <c r="G1092" i="36"/>
  <c r="F1092" i="36"/>
  <c r="E1092" i="36"/>
  <c r="D1092" i="36"/>
  <c r="G1088" i="36"/>
  <c r="F1088" i="36"/>
  <c r="E1088" i="36"/>
  <c r="D1088" i="36"/>
  <c r="G1084" i="36"/>
  <c r="F1084" i="36"/>
  <c r="E1084" i="36"/>
  <c r="D1084" i="36"/>
  <c r="G1080" i="36"/>
  <c r="F1080" i="36"/>
  <c r="E1080" i="36"/>
  <c r="D1080" i="36"/>
  <c r="G1076" i="36"/>
  <c r="F1076" i="36"/>
  <c r="D1076" i="36"/>
  <c r="E1076" i="36"/>
  <c r="G1072" i="36"/>
  <c r="F1072" i="36"/>
  <c r="E1072" i="36"/>
  <c r="D1072" i="36"/>
  <c r="G1068" i="36"/>
  <c r="F1068" i="36"/>
  <c r="E1068" i="36"/>
  <c r="D1068" i="36"/>
  <c r="G1064" i="36"/>
  <c r="F1064" i="36"/>
  <c r="E1064" i="36"/>
  <c r="D1064" i="36"/>
  <c r="G1060" i="36"/>
  <c r="F1060" i="36"/>
  <c r="D1060" i="36"/>
  <c r="E1060" i="36"/>
  <c r="G1056" i="36"/>
  <c r="F1056" i="36"/>
  <c r="E1056" i="36"/>
  <c r="D1056" i="36"/>
  <c r="G1052" i="36"/>
  <c r="F1052" i="36"/>
  <c r="E1052" i="36"/>
  <c r="D1052" i="36"/>
  <c r="G1048" i="36"/>
  <c r="F1048" i="36"/>
  <c r="E1048" i="36"/>
  <c r="D1048" i="36"/>
  <c r="G1044" i="36"/>
  <c r="F1044" i="36"/>
  <c r="D1044" i="36"/>
  <c r="E1044" i="36"/>
  <c r="G1040" i="36"/>
  <c r="F1040" i="36"/>
  <c r="E1040" i="36"/>
  <c r="D1040" i="36"/>
  <c r="G1036" i="36"/>
  <c r="F1036" i="36"/>
  <c r="E1036" i="36"/>
  <c r="D1036" i="36"/>
  <c r="G1032" i="36"/>
  <c r="F1032" i="36"/>
  <c r="E1032" i="36"/>
  <c r="D1032" i="36"/>
  <c r="G1028" i="36"/>
  <c r="F1028" i="36"/>
  <c r="E1028" i="36"/>
  <c r="D1028" i="36"/>
  <c r="G1024" i="36"/>
  <c r="F1024" i="36"/>
  <c r="E1024" i="36"/>
  <c r="D1024" i="36"/>
  <c r="G1020" i="36"/>
  <c r="F1020" i="36"/>
  <c r="E1020" i="36"/>
  <c r="D1020" i="36"/>
  <c r="G1016" i="36"/>
  <c r="F1016" i="36"/>
  <c r="E1016" i="36"/>
  <c r="D1016" i="36"/>
  <c r="G1012" i="36"/>
  <c r="F1012" i="36"/>
  <c r="D1012" i="36"/>
  <c r="E1012" i="36"/>
  <c r="G1008" i="36"/>
  <c r="F1008" i="36"/>
  <c r="E1008" i="36"/>
  <c r="D1008" i="36"/>
  <c r="G1004" i="36"/>
  <c r="F1004" i="36"/>
  <c r="E1004" i="36"/>
  <c r="D1004" i="36"/>
  <c r="G1000" i="36"/>
  <c r="F1000" i="36"/>
  <c r="E1000" i="36"/>
  <c r="D1000" i="36"/>
  <c r="G996" i="36"/>
  <c r="F996" i="36"/>
  <c r="D996" i="36"/>
  <c r="E996" i="36"/>
  <c r="G992" i="36"/>
  <c r="F992" i="36"/>
  <c r="E992" i="36"/>
  <c r="D992" i="36"/>
  <c r="G988" i="36"/>
  <c r="F988" i="36"/>
  <c r="E988" i="36"/>
  <c r="D988" i="36"/>
  <c r="G984" i="36"/>
  <c r="F984" i="36"/>
  <c r="E984" i="36"/>
  <c r="D984" i="36"/>
  <c r="G980" i="36"/>
  <c r="F980" i="36"/>
  <c r="D980" i="36"/>
  <c r="E980" i="36"/>
  <c r="G976" i="36"/>
  <c r="F976" i="36"/>
  <c r="E976" i="36"/>
  <c r="D976" i="36"/>
  <c r="G972" i="36"/>
  <c r="F972" i="36"/>
  <c r="E972" i="36"/>
  <c r="D972" i="36"/>
  <c r="G968" i="36"/>
  <c r="F968" i="36"/>
  <c r="E968" i="36"/>
  <c r="D968" i="36"/>
  <c r="G964" i="36"/>
  <c r="F964" i="36"/>
  <c r="E964" i="36"/>
  <c r="D964" i="36"/>
  <c r="G960" i="36"/>
  <c r="F960" i="36"/>
  <c r="E960" i="36"/>
  <c r="D960" i="36"/>
  <c r="G956" i="36"/>
  <c r="F956" i="36"/>
  <c r="E956" i="36"/>
  <c r="D956" i="36"/>
  <c r="G952" i="36"/>
  <c r="F952" i="36"/>
  <c r="E952" i="36"/>
  <c r="D952" i="36"/>
  <c r="G948" i="36"/>
  <c r="F948" i="36"/>
  <c r="D948" i="36"/>
  <c r="E948" i="36"/>
  <c r="G944" i="36"/>
  <c r="F944" i="36"/>
  <c r="E944" i="36"/>
  <c r="D944" i="36"/>
  <c r="G940" i="36"/>
  <c r="F940" i="36"/>
  <c r="E940" i="36"/>
  <c r="D940" i="36"/>
  <c r="G936" i="36"/>
  <c r="F936" i="36"/>
  <c r="E936" i="36"/>
  <c r="D936" i="36"/>
  <c r="G932" i="36"/>
  <c r="F932" i="36"/>
  <c r="D932" i="36"/>
  <c r="E932" i="36"/>
  <c r="G928" i="36"/>
  <c r="F928" i="36"/>
  <c r="E928" i="36"/>
  <c r="D928" i="36"/>
  <c r="G924" i="36"/>
  <c r="F924" i="36"/>
  <c r="E924" i="36"/>
  <c r="D924" i="36"/>
  <c r="G920" i="36"/>
  <c r="F920" i="36"/>
  <c r="E920" i="36"/>
  <c r="D920" i="36"/>
  <c r="G916" i="36"/>
  <c r="F916" i="36"/>
  <c r="D916" i="36"/>
  <c r="E916" i="36"/>
  <c r="G912" i="36"/>
  <c r="F912" i="36"/>
  <c r="E912" i="36"/>
  <c r="D912" i="36"/>
  <c r="G908" i="36"/>
  <c r="F908" i="36"/>
  <c r="E908" i="36"/>
  <c r="D908" i="36"/>
  <c r="G904" i="36"/>
  <c r="F904" i="36"/>
  <c r="E904" i="36"/>
  <c r="D904" i="36"/>
  <c r="G900" i="36"/>
  <c r="F900" i="36"/>
  <c r="E900" i="36"/>
  <c r="D900" i="36"/>
  <c r="G896" i="36"/>
  <c r="F896" i="36"/>
  <c r="E896" i="36"/>
  <c r="D896" i="36"/>
  <c r="G892" i="36"/>
  <c r="F892" i="36"/>
  <c r="E892" i="36"/>
  <c r="D892" i="36"/>
  <c r="G888" i="36"/>
  <c r="F888" i="36"/>
  <c r="E888" i="36"/>
  <c r="D888" i="36"/>
  <c r="G884" i="36"/>
  <c r="F884" i="36"/>
  <c r="D884" i="36"/>
  <c r="E884" i="36"/>
  <c r="G880" i="36"/>
  <c r="F880" i="36"/>
  <c r="E880" i="36"/>
  <c r="D880" i="36"/>
  <c r="G876" i="36"/>
  <c r="F876" i="36"/>
  <c r="E876" i="36"/>
  <c r="D876" i="36"/>
  <c r="G872" i="36"/>
  <c r="F872" i="36"/>
  <c r="E872" i="36"/>
  <c r="D872" i="36"/>
  <c r="G868" i="36"/>
  <c r="F868" i="36"/>
  <c r="D868" i="36"/>
  <c r="E868" i="36"/>
  <c r="G864" i="36"/>
  <c r="F864" i="36"/>
  <c r="E864" i="36"/>
  <c r="D864" i="36"/>
  <c r="G860" i="36"/>
  <c r="F860" i="36"/>
  <c r="E860" i="36"/>
  <c r="D860" i="36"/>
  <c r="G856" i="36"/>
  <c r="F856" i="36"/>
  <c r="E856" i="36"/>
  <c r="D856" i="36"/>
  <c r="G852" i="36"/>
  <c r="F852" i="36"/>
  <c r="D852" i="36"/>
  <c r="E852" i="36"/>
  <c r="G848" i="36"/>
  <c r="F848" i="36"/>
  <c r="E848" i="36"/>
  <c r="D848" i="36"/>
  <c r="G844" i="36"/>
  <c r="F844" i="36"/>
  <c r="E844" i="36"/>
  <c r="D844" i="36"/>
  <c r="G840" i="36"/>
  <c r="F840" i="36"/>
  <c r="E840" i="36"/>
  <c r="D840" i="36"/>
  <c r="G836" i="36"/>
  <c r="F836" i="36"/>
  <c r="E836" i="36"/>
  <c r="D836" i="36"/>
  <c r="G832" i="36"/>
  <c r="F832" i="36"/>
  <c r="E832" i="36"/>
  <c r="D832" i="36"/>
  <c r="G828" i="36"/>
  <c r="F828" i="36"/>
  <c r="E828" i="36"/>
  <c r="D828" i="36"/>
  <c r="G824" i="36"/>
  <c r="F824" i="36"/>
  <c r="E824" i="36"/>
  <c r="D824" i="36"/>
  <c r="G820" i="36"/>
  <c r="F820" i="36"/>
  <c r="D820" i="36"/>
  <c r="E820" i="36"/>
  <c r="G816" i="36"/>
  <c r="F816" i="36"/>
  <c r="E816" i="36"/>
  <c r="D816" i="36"/>
  <c r="G812" i="36"/>
  <c r="F812" i="36"/>
  <c r="E812" i="36"/>
  <c r="D812" i="36"/>
  <c r="G808" i="36"/>
  <c r="F808" i="36"/>
  <c r="E808" i="36"/>
  <c r="D808" i="36"/>
  <c r="G804" i="36"/>
  <c r="F804" i="36"/>
  <c r="D804" i="36"/>
  <c r="E804" i="36"/>
  <c r="G800" i="36"/>
  <c r="F800" i="36"/>
  <c r="E800" i="36"/>
  <c r="D800" i="36"/>
  <c r="G796" i="36"/>
  <c r="F796" i="36"/>
  <c r="E796" i="36"/>
  <c r="D796" i="36"/>
  <c r="G792" i="36"/>
  <c r="F792" i="36"/>
  <c r="E792" i="36"/>
  <c r="D792" i="36"/>
  <c r="G788" i="36"/>
  <c r="F788" i="36"/>
  <c r="D788" i="36"/>
  <c r="E788" i="36"/>
  <c r="G784" i="36"/>
  <c r="F784" i="36"/>
  <c r="E784" i="36"/>
  <c r="D784" i="36"/>
  <c r="G780" i="36"/>
  <c r="F780" i="36"/>
  <c r="E780" i="36"/>
  <c r="D780" i="36"/>
  <c r="G776" i="36"/>
  <c r="F776" i="36"/>
  <c r="E776" i="36"/>
  <c r="D776" i="36"/>
  <c r="G772" i="36"/>
  <c r="F772" i="36"/>
  <c r="E772" i="36"/>
  <c r="D772" i="36"/>
  <c r="G768" i="36"/>
  <c r="F768" i="36"/>
  <c r="E768" i="36"/>
  <c r="D768" i="36"/>
  <c r="G764" i="36"/>
  <c r="F764" i="36"/>
  <c r="E764" i="36"/>
  <c r="D764" i="36"/>
  <c r="G760" i="36"/>
  <c r="F760" i="36"/>
  <c r="E760" i="36"/>
  <c r="D760" i="36"/>
  <c r="G756" i="36"/>
  <c r="F756" i="36"/>
  <c r="D756" i="36"/>
  <c r="E756" i="36"/>
  <c r="G752" i="36"/>
  <c r="F752" i="36"/>
  <c r="E752" i="36"/>
  <c r="D752" i="36"/>
  <c r="G748" i="36"/>
  <c r="F748" i="36"/>
  <c r="E748" i="36"/>
  <c r="D748" i="36"/>
  <c r="G744" i="36"/>
  <c r="F744" i="36"/>
  <c r="E744" i="36"/>
  <c r="D744" i="36"/>
  <c r="G740" i="36"/>
  <c r="F740" i="36"/>
  <c r="D740" i="36"/>
  <c r="E740" i="36"/>
  <c r="G736" i="36"/>
  <c r="F736" i="36"/>
  <c r="E736" i="36"/>
  <c r="D736" i="36"/>
  <c r="G732" i="36"/>
  <c r="F732" i="36"/>
  <c r="E732" i="36"/>
  <c r="D732" i="36"/>
  <c r="G728" i="36"/>
  <c r="F728" i="36"/>
  <c r="E728" i="36"/>
  <c r="D728" i="36"/>
  <c r="G724" i="36"/>
  <c r="F724" i="36"/>
  <c r="D724" i="36"/>
  <c r="E724" i="36"/>
  <c r="G720" i="36"/>
  <c r="F720" i="36"/>
  <c r="E720" i="36"/>
  <c r="D720" i="36"/>
  <c r="G716" i="36"/>
  <c r="F716" i="36"/>
  <c r="E716" i="36"/>
  <c r="D716" i="36"/>
  <c r="G712" i="36"/>
  <c r="F712" i="36"/>
  <c r="E712" i="36"/>
  <c r="D712" i="36"/>
  <c r="G708" i="36"/>
  <c r="F708" i="36"/>
  <c r="E708" i="36"/>
  <c r="D708" i="36"/>
  <c r="G704" i="36"/>
  <c r="F704" i="36"/>
  <c r="E704" i="36"/>
  <c r="D704" i="36"/>
  <c r="G700" i="36"/>
  <c r="F700" i="36"/>
  <c r="E700" i="36"/>
  <c r="D700" i="36"/>
  <c r="G696" i="36"/>
  <c r="F696" i="36"/>
  <c r="E696" i="36"/>
  <c r="D696" i="36"/>
  <c r="G692" i="36"/>
  <c r="F692" i="36"/>
  <c r="D692" i="36"/>
  <c r="E692" i="36"/>
  <c r="G688" i="36"/>
  <c r="F688" i="36"/>
  <c r="E688" i="36"/>
  <c r="D688" i="36"/>
  <c r="G684" i="36"/>
  <c r="F684" i="36"/>
  <c r="E684" i="36"/>
  <c r="D684" i="36"/>
  <c r="G680" i="36"/>
  <c r="F680" i="36"/>
  <c r="E680" i="36"/>
  <c r="D680" i="36"/>
  <c r="G676" i="36"/>
  <c r="F676" i="36"/>
  <c r="D676" i="36"/>
  <c r="E676" i="36"/>
  <c r="G672" i="36"/>
  <c r="F672" i="36"/>
  <c r="E672" i="36"/>
  <c r="D672" i="36"/>
  <c r="G668" i="36"/>
  <c r="F668" i="36"/>
  <c r="E668" i="36"/>
  <c r="D668" i="36"/>
  <c r="G664" i="36"/>
  <c r="F664" i="36"/>
  <c r="E664" i="36"/>
  <c r="D664" i="36"/>
  <c r="G660" i="36"/>
  <c r="F660" i="36"/>
  <c r="D660" i="36"/>
  <c r="E660" i="36"/>
  <c r="G656" i="36"/>
  <c r="F656" i="36"/>
  <c r="E656" i="36"/>
  <c r="D656" i="36"/>
  <c r="G652" i="36"/>
  <c r="F652" i="36"/>
  <c r="E652" i="36"/>
  <c r="D652" i="36"/>
  <c r="G648" i="36"/>
  <c r="F648" i="36"/>
  <c r="E648" i="36"/>
  <c r="D648" i="36"/>
  <c r="G644" i="36"/>
  <c r="F644" i="36"/>
  <c r="E644" i="36"/>
  <c r="D644" i="36"/>
  <c r="G640" i="36"/>
  <c r="F640" i="36"/>
  <c r="E640" i="36"/>
  <c r="D640" i="36"/>
  <c r="G636" i="36"/>
  <c r="F636" i="36"/>
  <c r="E636" i="36"/>
  <c r="D636" i="36"/>
  <c r="G632" i="36"/>
  <c r="F632" i="36"/>
  <c r="E632" i="36"/>
  <c r="D632" i="36"/>
  <c r="G628" i="36"/>
  <c r="F628" i="36"/>
  <c r="D628" i="36"/>
  <c r="E628" i="36"/>
  <c r="G624" i="36"/>
  <c r="F624" i="36"/>
  <c r="E624" i="36"/>
  <c r="D624" i="36"/>
  <c r="G620" i="36"/>
  <c r="F620" i="36"/>
  <c r="E620" i="36"/>
  <c r="D620" i="36"/>
  <c r="G616" i="36"/>
  <c r="F616" i="36"/>
  <c r="E616" i="36"/>
  <c r="D616" i="36"/>
  <c r="G612" i="36"/>
  <c r="F612" i="36"/>
  <c r="D612" i="36"/>
  <c r="E612" i="36"/>
  <c r="G608" i="36"/>
  <c r="F608" i="36"/>
  <c r="E608" i="36"/>
  <c r="D608" i="36"/>
  <c r="G604" i="36"/>
  <c r="F604" i="36"/>
  <c r="E604" i="36"/>
  <c r="D604" i="36"/>
  <c r="G600" i="36"/>
  <c r="F600" i="36"/>
  <c r="E600" i="36"/>
  <c r="D600" i="36"/>
  <c r="G596" i="36"/>
  <c r="E596" i="36"/>
  <c r="F596" i="36"/>
  <c r="D596" i="36"/>
  <c r="G592" i="36"/>
  <c r="F592" i="36"/>
  <c r="E592" i="36"/>
  <c r="D592" i="36"/>
  <c r="G588" i="36"/>
  <c r="F588" i="36"/>
  <c r="E588" i="36"/>
  <c r="D588" i="36"/>
  <c r="G584" i="36"/>
  <c r="F584" i="36"/>
  <c r="E584" i="36"/>
  <c r="D584" i="36"/>
  <c r="G580" i="36"/>
  <c r="F580" i="36"/>
  <c r="E580" i="36"/>
  <c r="D580" i="36"/>
  <c r="G576" i="36"/>
  <c r="F576" i="36"/>
  <c r="E576" i="36"/>
  <c r="D576" i="36"/>
  <c r="G572" i="36"/>
  <c r="E572" i="36"/>
  <c r="F572" i="36"/>
  <c r="D572" i="36"/>
  <c r="G568" i="36"/>
  <c r="F568" i="36"/>
  <c r="E568" i="36"/>
  <c r="D568" i="36"/>
  <c r="G564" i="36"/>
  <c r="E564" i="36"/>
  <c r="F564" i="36"/>
  <c r="D564" i="36"/>
  <c r="G560" i="36"/>
  <c r="F560" i="36"/>
  <c r="E560" i="36"/>
  <c r="D560" i="36"/>
  <c r="G556" i="36"/>
  <c r="F556" i="36"/>
  <c r="E556" i="36"/>
  <c r="D556" i="36"/>
  <c r="G552" i="36"/>
  <c r="F552" i="36"/>
  <c r="E552" i="36"/>
  <c r="D552" i="36"/>
  <c r="G548" i="36"/>
  <c r="F548" i="36"/>
  <c r="E548" i="36"/>
  <c r="D548" i="36"/>
  <c r="G544" i="36"/>
  <c r="F544" i="36"/>
  <c r="E544" i="36"/>
  <c r="D544" i="36"/>
  <c r="G540" i="36"/>
  <c r="E540" i="36"/>
  <c r="F540" i="36"/>
  <c r="D540" i="36"/>
  <c r="G536" i="36"/>
  <c r="F536" i="36"/>
  <c r="E536" i="36"/>
  <c r="D536" i="36"/>
  <c r="G532" i="36"/>
  <c r="E532" i="36"/>
  <c r="F532" i="36"/>
  <c r="D532" i="36"/>
  <c r="G528" i="36"/>
  <c r="F528" i="36"/>
  <c r="E528" i="36"/>
  <c r="D528" i="36"/>
  <c r="G524" i="36"/>
  <c r="F524" i="36"/>
  <c r="E524" i="36"/>
  <c r="D524" i="36"/>
  <c r="G520" i="36"/>
  <c r="F520" i="36"/>
  <c r="E520" i="36"/>
  <c r="D520" i="36"/>
  <c r="G516" i="36"/>
  <c r="F516" i="36"/>
  <c r="E516" i="36"/>
  <c r="D516" i="36"/>
  <c r="G512" i="36"/>
  <c r="F512" i="36"/>
  <c r="E512" i="36"/>
  <c r="D512" i="36"/>
  <c r="G508" i="36"/>
  <c r="E508" i="36"/>
  <c r="F508" i="36"/>
  <c r="D508" i="36"/>
  <c r="G504" i="36"/>
  <c r="F504" i="36"/>
  <c r="E504" i="36"/>
  <c r="D504" i="36"/>
  <c r="G500" i="36"/>
  <c r="E500" i="36"/>
  <c r="F500" i="36"/>
  <c r="D500" i="36"/>
  <c r="G496" i="36"/>
  <c r="F496" i="36"/>
  <c r="E496" i="36"/>
  <c r="D496" i="36"/>
  <c r="G492" i="36"/>
  <c r="F492" i="36"/>
  <c r="E492" i="36"/>
  <c r="D492" i="36"/>
  <c r="G488" i="36"/>
  <c r="F488" i="36"/>
  <c r="E488" i="36"/>
  <c r="D488" i="36"/>
  <c r="G484" i="36"/>
  <c r="F484" i="36"/>
  <c r="E484" i="36"/>
  <c r="D484" i="36"/>
  <c r="G480" i="36"/>
  <c r="F480" i="36"/>
  <c r="E480" i="36"/>
  <c r="D480" i="36"/>
  <c r="G476" i="36"/>
  <c r="E476" i="36"/>
  <c r="F476" i="36"/>
  <c r="D476" i="36"/>
  <c r="G472" i="36"/>
  <c r="F472" i="36"/>
  <c r="E472" i="36"/>
  <c r="D472" i="36"/>
  <c r="G468" i="36"/>
  <c r="E468" i="36"/>
  <c r="F468" i="36"/>
  <c r="D468" i="36"/>
  <c r="G464" i="36"/>
  <c r="F464" i="36"/>
  <c r="E464" i="36"/>
  <c r="D464" i="36"/>
  <c r="G460" i="36"/>
  <c r="F460" i="36"/>
  <c r="E460" i="36"/>
  <c r="D460" i="36"/>
  <c r="G456" i="36"/>
  <c r="F456" i="36"/>
  <c r="E456" i="36"/>
  <c r="D456" i="36"/>
  <c r="G452" i="36"/>
  <c r="F452" i="36"/>
  <c r="E452" i="36"/>
  <c r="D452" i="36"/>
  <c r="G448" i="36"/>
  <c r="F448" i="36"/>
  <c r="E448" i="36"/>
  <c r="D448" i="36"/>
  <c r="G444" i="36"/>
  <c r="E444" i="36"/>
  <c r="F444" i="36"/>
  <c r="D444" i="36"/>
  <c r="G440" i="36"/>
  <c r="F440" i="36"/>
  <c r="E440" i="36"/>
  <c r="D440" i="36"/>
  <c r="G436" i="36"/>
  <c r="E436" i="36"/>
  <c r="F436" i="36"/>
  <c r="D436" i="36"/>
  <c r="G432" i="36"/>
  <c r="F432" i="36"/>
  <c r="E432" i="36"/>
  <c r="D432" i="36"/>
  <c r="G428" i="36"/>
  <c r="F428" i="36"/>
  <c r="E428" i="36"/>
  <c r="D428" i="36"/>
  <c r="G424" i="36"/>
  <c r="F424" i="36"/>
  <c r="E424" i="36"/>
  <c r="D424" i="36"/>
  <c r="G420" i="36"/>
  <c r="F420" i="36"/>
  <c r="E420" i="36"/>
  <c r="D420" i="36"/>
  <c r="G416" i="36"/>
  <c r="F416" i="36"/>
  <c r="E416" i="36"/>
  <c r="D416" i="36"/>
  <c r="G412" i="36"/>
  <c r="E412" i="36"/>
  <c r="F412" i="36"/>
  <c r="D412" i="36"/>
  <c r="G408" i="36"/>
  <c r="F408" i="36"/>
  <c r="E408" i="36"/>
  <c r="D408" i="36"/>
  <c r="G404" i="36"/>
  <c r="E404" i="36"/>
  <c r="F404" i="36"/>
  <c r="D404" i="36"/>
  <c r="G400" i="36"/>
  <c r="F400" i="36"/>
  <c r="E400" i="36"/>
  <c r="D400" i="36"/>
  <c r="G396" i="36"/>
  <c r="F396" i="36"/>
  <c r="E396" i="36"/>
  <c r="D396" i="36"/>
  <c r="G392" i="36"/>
  <c r="F392" i="36"/>
  <c r="E392" i="36"/>
  <c r="D392" i="36"/>
  <c r="G388" i="36"/>
  <c r="F388" i="36"/>
  <c r="E388" i="36"/>
  <c r="D388" i="36"/>
  <c r="G384" i="36"/>
  <c r="F384" i="36"/>
  <c r="E384" i="36"/>
  <c r="D384" i="36"/>
  <c r="G380" i="36"/>
  <c r="F380" i="36"/>
  <c r="E380" i="36"/>
  <c r="D380" i="36"/>
  <c r="G376" i="36"/>
  <c r="F376" i="36"/>
  <c r="E376" i="36"/>
  <c r="D376" i="36"/>
  <c r="G372" i="36"/>
  <c r="F372" i="36"/>
  <c r="E372" i="36"/>
  <c r="D372" i="36"/>
  <c r="G368" i="36"/>
  <c r="F368" i="36"/>
  <c r="E368" i="36"/>
  <c r="D368" i="36"/>
  <c r="G364" i="36"/>
  <c r="F364" i="36"/>
  <c r="E364" i="36"/>
  <c r="D364" i="36"/>
  <c r="G360" i="36"/>
  <c r="E360" i="36"/>
  <c r="F360" i="36"/>
  <c r="D360" i="36"/>
  <c r="G356" i="36"/>
  <c r="F356" i="36"/>
  <c r="E356" i="36"/>
  <c r="D356" i="36"/>
  <c r="G352" i="36"/>
  <c r="F352" i="36"/>
  <c r="E352" i="36"/>
  <c r="D352" i="36"/>
  <c r="G348" i="36"/>
  <c r="F348" i="36"/>
  <c r="E348" i="36"/>
  <c r="D348" i="36"/>
  <c r="G344" i="36"/>
  <c r="E344" i="36"/>
  <c r="F344" i="36"/>
  <c r="D344" i="36"/>
  <c r="G340" i="36"/>
  <c r="F340" i="36"/>
  <c r="E340" i="36"/>
  <c r="D340" i="36"/>
  <c r="G336" i="36"/>
  <c r="F336" i="36"/>
  <c r="E336" i="36"/>
  <c r="D336" i="36"/>
  <c r="G332" i="36"/>
  <c r="F332" i="36"/>
  <c r="E332" i="36"/>
  <c r="D332" i="36"/>
  <c r="G328" i="36"/>
  <c r="F328" i="36"/>
  <c r="E328" i="36"/>
  <c r="D328" i="36"/>
  <c r="G324" i="36"/>
  <c r="F324" i="36"/>
  <c r="E324" i="36"/>
  <c r="D324" i="36"/>
  <c r="G320" i="36"/>
  <c r="F320" i="36"/>
  <c r="E320" i="36"/>
  <c r="D320" i="36"/>
  <c r="G316" i="36"/>
  <c r="F316" i="36"/>
  <c r="E316" i="36"/>
  <c r="D316" i="36"/>
  <c r="G312" i="36"/>
  <c r="F312" i="36"/>
  <c r="E312" i="36"/>
  <c r="D312" i="36"/>
  <c r="G308" i="36"/>
  <c r="F308" i="36"/>
  <c r="E308" i="36"/>
  <c r="D308" i="36"/>
  <c r="G304" i="36"/>
  <c r="F304" i="36"/>
  <c r="E304" i="36"/>
  <c r="D304" i="36"/>
  <c r="G300" i="36"/>
  <c r="F300" i="36"/>
  <c r="E300" i="36"/>
  <c r="D300" i="36"/>
  <c r="G296" i="36"/>
  <c r="E296" i="36"/>
  <c r="F296" i="36"/>
  <c r="D296" i="36"/>
  <c r="G292" i="36"/>
  <c r="F292" i="36"/>
  <c r="E292" i="36"/>
  <c r="D292" i="36"/>
  <c r="G288" i="36"/>
  <c r="F288" i="36"/>
  <c r="E288" i="36"/>
  <c r="D288" i="36"/>
  <c r="G284" i="36"/>
  <c r="F284" i="36"/>
  <c r="E284" i="36"/>
  <c r="D284" i="36"/>
  <c r="G280" i="36"/>
  <c r="E280" i="36"/>
  <c r="F280" i="36"/>
  <c r="D280" i="36"/>
  <c r="G276" i="36"/>
  <c r="F276" i="36"/>
  <c r="E276" i="36"/>
  <c r="D276" i="36"/>
  <c r="G272" i="36"/>
  <c r="F272" i="36"/>
  <c r="E272" i="36"/>
  <c r="D272" i="36"/>
  <c r="G268" i="36"/>
  <c r="F268" i="36"/>
  <c r="E268" i="36"/>
  <c r="D268" i="36"/>
  <c r="G264" i="36"/>
  <c r="F264" i="36"/>
  <c r="E264" i="36"/>
  <c r="D264" i="36"/>
  <c r="G260" i="36"/>
  <c r="F260" i="36"/>
  <c r="E260" i="36"/>
  <c r="D260" i="36"/>
  <c r="G256" i="36"/>
  <c r="F256" i="36"/>
  <c r="E256" i="36"/>
  <c r="D256" i="36"/>
  <c r="G252" i="36"/>
  <c r="F252" i="36"/>
  <c r="E252" i="36"/>
  <c r="D252" i="36"/>
  <c r="G248" i="36"/>
  <c r="F248" i="36"/>
  <c r="E248" i="36"/>
  <c r="D248" i="36"/>
  <c r="G244" i="36"/>
  <c r="F244" i="36"/>
  <c r="E244" i="36"/>
  <c r="D244" i="36"/>
  <c r="G240" i="36"/>
  <c r="F240" i="36"/>
  <c r="E240" i="36"/>
  <c r="D240" i="36"/>
  <c r="G236" i="36"/>
  <c r="F236" i="36"/>
  <c r="E236" i="36"/>
  <c r="D236" i="36"/>
  <c r="G232" i="36"/>
  <c r="E232" i="36"/>
  <c r="F232" i="36"/>
  <c r="D232" i="36"/>
  <c r="G228" i="36"/>
  <c r="F228" i="36"/>
  <c r="E228" i="36"/>
  <c r="D228" i="36"/>
  <c r="G224" i="36"/>
  <c r="F224" i="36"/>
  <c r="E224" i="36"/>
  <c r="D224" i="36"/>
  <c r="G220" i="36"/>
  <c r="F220" i="36"/>
  <c r="E220" i="36"/>
  <c r="D220" i="36"/>
  <c r="G216" i="36"/>
  <c r="E216" i="36"/>
  <c r="F216" i="36"/>
  <c r="D216" i="36"/>
  <c r="G212" i="36"/>
  <c r="F212" i="36"/>
  <c r="E212" i="36"/>
  <c r="D212" i="36"/>
  <c r="G208" i="36"/>
  <c r="F208" i="36"/>
  <c r="E208" i="36"/>
  <c r="D208" i="36"/>
  <c r="G204" i="36"/>
  <c r="F204" i="36"/>
  <c r="E204" i="36"/>
  <c r="D204" i="36"/>
  <c r="G200" i="36"/>
  <c r="F200" i="36"/>
  <c r="E200" i="36"/>
  <c r="D200" i="36"/>
  <c r="G196" i="36"/>
  <c r="F196" i="36"/>
  <c r="E196" i="36"/>
  <c r="D196" i="36"/>
  <c r="G192" i="36"/>
  <c r="F192" i="36"/>
  <c r="E192" i="36"/>
  <c r="D192" i="36"/>
  <c r="G188" i="36"/>
  <c r="F188" i="36"/>
  <c r="E188" i="36"/>
  <c r="D188" i="36"/>
  <c r="G184" i="36"/>
  <c r="F184" i="36"/>
  <c r="E184" i="36"/>
  <c r="D184" i="36"/>
  <c r="G180" i="36"/>
  <c r="F180" i="36"/>
  <c r="E180" i="36"/>
  <c r="D180" i="36"/>
  <c r="G176" i="36"/>
  <c r="F176" i="36"/>
  <c r="E176" i="36"/>
  <c r="D176" i="36"/>
  <c r="G172" i="36"/>
  <c r="F172" i="36"/>
  <c r="E172" i="36"/>
  <c r="D172" i="36"/>
  <c r="G168" i="36"/>
  <c r="E168" i="36"/>
  <c r="F168" i="36"/>
  <c r="D168" i="36"/>
  <c r="G164" i="36"/>
  <c r="F164" i="36"/>
  <c r="E164" i="36"/>
  <c r="D164" i="36"/>
  <c r="G160" i="36"/>
  <c r="F160" i="36"/>
  <c r="E160" i="36"/>
  <c r="D160" i="36"/>
  <c r="G156" i="36"/>
  <c r="F156" i="36"/>
  <c r="E156" i="36"/>
  <c r="D156" i="36"/>
  <c r="G152" i="36"/>
  <c r="E152" i="36"/>
  <c r="F152" i="36"/>
  <c r="D152" i="36"/>
  <c r="G148" i="36"/>
  <c r="F148" i="36"/>
  <c r="E148" i="36"/>
  <c r="D148" i="36"/>
  <c r="G144" i="36"/>
  <c r="F144" i="36"/>
  <c r="E144" i="36"/>
  <c r="D144" i="36"/>
  <c r="G140" i="36"/>
  <c r="F140" i="36"/>
  <c r="E140" i="36"/>
  <c r="D140" i="36"/>
  <c r="G136" i="36"/>
  <c r="F136" i="36"/>
  <c r="E136" i="36"/>
  <c r="D136" i="36"/>
  <c r="G132" i="36"/>
  <c r="F132" i="36"/>
  <c r="E132" i="36"/>
  <c r="D132" i="36"/>
  <c r="G128" i="36"/>
  <c r="F128" i="36"/>
  <c r="E128" i="36"/>
  <c r="D128" i="36"/>
  <c r="G124" i="36"/>
  <c r="F124" i="36"/>
  <c r="E124" i="36"/>
  <c r="D124" i="36"/>
  <c r="G120" i="36"/>
  <c r="F120" i="36"/>
  <c r="E120" i="36"/>
  <c r="D120" i="36"/>
  <c r="G116" i="36"/>
  <c r="F116" i="36"/>
  <c r="E116" i="36"/>
  <c r="D116" i="36"/>
  <c r="G112" i="36"/>
  <c r="F112" i="36"/>
  <c r="E112" i="36"/>
  <c r="D112" i="36"/>
  <c r="G108" i="36"/>
  <c r="F108" i="36"/>
  <c r="E108" i="36"/>
  <c r="D108" i="36"/>
  <c r="G104" i="36"/>
  <c r="E104" i="36"/>
  <c r="F104" i="36"/>
  <c r="D104" i="36"/>
  <c r="G100" i="36"/>
  <c r="F100" i="36"/>
  <c r="E100" i="36"/>
  <c r="D100" i="36"/>
  <c r="G96" i="36"/>
  <c r="F96" i="36"/>
  <c r="E96" i="36"/>
  <c r="D96" i="36"/>
  <c r="G92" i="36"/>
  <c r="F92" i="36"/>
  <c r="E92" i="36"/>
  <c r="D92" i="36"/>
  <c r="G88" i="36"/>
  <c r="E88" i="36"/>
  <c r="F88" i="36"/>
  <c r="D88" i="36"/>
  <c r="G84" i="36"/>
  <c r="F84" i="36"/>
  <c r="E84" i="36"/>
  <c r="D84" i="36"/>
  <c r="G80" i="36"/>
  <c r="F80" i="36"/>
  <c r="E80" i="36"/>
  <c r="D80" i="36"/>
  <c r="G76" i="36"/>
  <c r="F76" i="36"/>
  <c r="E76" i="36"/>
  <c r="D76" i="36"/>
  <c r="G72" i="36"/>
  <c r="F72" i="36"/>
  <c r="E72" i="36"/>
  <c r="D72" i="36"/>
  <c r="G68" i="36"/>
  <c r="F68" i="36"/>
  <c r="E68" i="36"/>
  <c r="D68" i="36"/>
  <c r="G64" i="36"/>
  <c r="F64" i="36"/>
  <c r="E64" i="36"/>
  <c r="D64" i="36"/>
  <c r="G60" i="36"/>
  <c r="F60" i="36"/>
  <c r="E60" i="36"/>
  <c r="D60" i="36"/>
  <c r="G56" i="36"/>
  <c r="F56" i="36"/>
  <c r="E56" i="36"/>
  <c r="D56" i="36"/>
  <c r="G52" i="36"/>
  <c r="F52" i="36"/>
  <c r="E52" i="36"/>
  <c r="D52" i="36"/>
  <c r="G48" i="36"/>
  <c r="F48" i="36"/>
  <c r="E48" i="36"/>
  <c r="D48" i="36"/>
  <c r="G44" i="36"/>
  <c r="F44" i="36"/>
  <c r="E44" i="36"/>
  <c r="D44" i="36"/>
  <c r="G40" i="36"/>
  <c r="E40" i="36"/>
  <c r="F40" i="36"/>
  <c r="D40" i="36"/>
  <c r="G36" i="36"/>
  <c r="F36" i="36"/>
  <c r="E36" i="36"/>
  <c r="D36" i="36"/>
  <c r="G32" i="36"/>
  <c r="F32" i="36"/>
  <c r="E32" i="36"/>
  <c r="D32" i="36"/>
  <c r="G28" i="36"/>
  <c r="F28" i="36"/>
  <c r="E28" i="36"/>
  <c r="D28" i="36"/>
  <c r="G24" i="36"/>
  <c r="E24" i="36"/>
  <c r="F24" i="36"/>
  <c r="D24" i="36"/>
  <c r="G20" i="36"/>
  <c r="F20" i="36"/>
  <c r="E20" i="36"/>
  <c r="D20" i="36"/>
  <c r="G16" i="36"/>
  <c r="F16" i="36"/>
  <c r="E16" i="36"/>
  <c r="D16" i="36"/>
  <c r="G12" i="36"/>
  <c r="F12" i="36"/>
  <c r="E12" i="36"/>
  <c r="D12" i="36"/>
  <c r="G8" i="36"/>
  <c r="F8" i="36"/>
  <c r="E8" i="36"/>
  <c r="D8" i="36"/>
  <c r="G4" i="36"/>
  <c r="F4" i="36"/>
  <c r="E4" i="36"/>
  <c r="D4" i="36"/>
  <c r="G1533" i="36"/>
  <c r="F1533" i="36"/>
  <c r="E1533" i="36"/>
  <c r="D1533" i="36"/>
  <c r="G1525" i="36"/>
  <c r="F1525" i="36"/>
  <c r="E1525" i="36"/>
  <c r="D1525" i="36"/>
  <c r="G1513" i="36"/>
  <c r="F1513" i="36"/>
  <c r="E1513" i="36"/>
  <c r="D1513" i="36"/>
  <c r="G1501" i="36"/>
  <c r="F1501" i="36"/>
  <c r="E1501" i="36"/>
  <c r="D1501" i="36"/>
  <c r="G1489" i="36"/>
  <c r="F1489" i="36"/>
  <c r="E1489" i="36"/>
  <c r="D1489" i="36"/>
  <c r="G1477" i="36"/>
  <c r="F1477" i="36"/>
  <c r="E1477" i="36"/>
  <c r="D1477" i="36"/>
  <c r="G1465" i="36"/>
  <c r="F1465" i="36"/>
  <c r="E1465" i="36"/>
  <c r="D1465" i="36"/>
  <c r="G1453" i="36"/>
  <c r="F1453" i="36"/>
  <c r="E1453" i="36"/>
  <c r="D1453" i="36"/>
  <c r="G1441" i="36"/>
  <c r="F1441" i="36"/>
  <c r="E1441" i="36"/>
  <c r="D1441" i="36"/>
  <c r="G1429" i="36"/>
  <c r="F1429" i="36"/>
  <c r="E1429" i="36"/>
  <c r="D1429" i="36"/>
  <c r="G1417" i="36"/>
  <c r="F1417" i="36"/>
  <c r="E1417" i="36"/>
  <c r="D1417" i="36"/>
  <c r="G1409" i="36"/>
  <c r="F1409" i="36"/>
  <c r="E1409" i="36"/>
  <c r="D1409" i="36"/>
  <c r="G1397" i="36"/>
  <c r="F1397" i="36"/>
  <c r="E1397" i="36"/>
  <c r="D1397" i="36"/>
  <c r="G1385" i="36"/>
  <c r="F1385" i="36"/>
  <c r="E1385" i="36"/>
  <c r="D1385" i="36"/>
  <c r="G1373" i="36"/>
  <c r="F1373" i="36"/>
  <c r="E1373" i="36"/>
  <c r="D1373" i="36"/>
  <c r="G1361" i="36"/>
  <c r="F1361" i="36"/>
  <c r="E1361" i="36"/>
  <c r="D1361" i="36"/>
  <c r="G1353" i="36"/>
  <c r="F1353" i="36"/>
  <c r="E1353" i="36"/>
  <c r="D1353" i="36"/>
  <c r="G1341" i="36"/>
  <c r="F1341" i="36"/>
  <c r="E1341" i="36"/>
  <c r="D1341" i="36"/>
  <c r="G1329" i="36"/>
  <c r="F1329" i="36"/>
  <c r="E1329" i="36"/>
  <c r="D1329" i="36"/>
  <c r="G1313" i="36"/>
  <c r="F1313" i="36"/>
  <c r="E1313" i="36"/>
  <c r="D1313" i="36"/>
  <c r="G1301" i="36"/>
  <c r="F1301" i="36"/>
  <c r="E1301" i="36"/>
  <c r="D1301" i="36"/>
  <c r="G1289" i="36"/>
  <c r="F1289" i="36"/>
  <c r="E1289" i="36"/>
  <c r="D1289" i="36"/>
  <c r="G1277" i="36"/>
  <c r="F1277" i="36"/>
  <c r="E1277" i="36"/>
  <c r="D1277" i="36"/>
  <c r="G1269" i="36"/>
  <c r="F1269" i="36"/>
  <c r="E1269" i="36"/>
  <c r="D1269" i="36"/>
  <c r="G1253" i="36"/>
  <c r="F1253" i="36"/>
  <c r="E1253" i="36"/>
  <c r="D1253" i="36"/>
  <c r="G1241" i="36"/>
  <c r="F1241" i="36"/>
  <c r="E1241" i="36"/>
  <c r="D1241" i="36"/>
  <c r="G1229" i="36"/>
  <c r="F1229" i="36"/>
  <c r="E1229" i="36"/>
  <c r="D1229" i="36"/>
  <c r="G1217" i="36"/>
  <c r="F1217" i="36"/>
  <c r="E1217" i="36"/>
  <c r="D1217" i="36"/>
  <c r="G1205" i="36"/>
  <c r="F1205" i="36"/>
  <c r="E1205" i="36"/>
  <c r="D1205" i="36"/>
  <c r="G1197" i="36"/>
  <c r="F1197" i="36"/>
  <c r="E1197" i="36"/>
  <c r="D1197" i="36"/>
  <c r="G1185" i="36"/>
  <c r="F1185" i="36"/>
  <c r="E1185" i="36"/>
  <c r="D1185" i="36"/>
  <c r="G1177" i="36"/>
  <c r="F1177" i="36"/>
  <c r="E1177" i="36"/>
  <c r="D1177" i="36"/>
  <c r="G1161" i="36"/>
  <c r="F1161" i="36"/>
  <c r="E1161" i="36"/>
  <c r="D1161" i="36"/>
  <c r="G1153" i="36"/>
  <c r="F1153" i="36"/>
  <c r="E1153" i="36"/>
  <c r="D1153" i="36"/>
  <c r="G1141" i="36"/>
  <c r="F1141" i="36"/>
  <c r="E1141" i="36"/>
  <c r="D1141" i="36"/>
  <c r="G1129" i="36"/>
  <c r="F1129" i="36"/>
  <c r="E1129" i="36"/>
  <c r="D1129" i="36"/>
  <c r="G1113" i="36"/>
  <c r="F1113" i="36"/>
  <c r="E1113" i="36"/>
  <c r="D1113" i="36"/>
  <c r="G1101" i="36"/>
  <c r="F1101" i="36"/>
  <c r="E1101" i="36"/>
  <c r="D1101" i="36"/>
  <c r="G1089" i="36"/>
  <c r="F1089" i="36"/>
  <c r="E1089" i="36"/>
  <c r="D1089" i="36"/>
  <c r="G1077" i="36"/>
  <c r="F1077" i="36"/>
  <c r="E1077" i="36"/>
  <c r="D1077" i="36"/>
  <c r="G1073" i="36"/>
  <c r="F1073" i="36"/>
  <c r="E1073" i="36"/>
  <c r="D1073" i="36"/>
  <c r="G1061" i="36"/>
  <c r="F1061" i="36"/>
  <c r="E1061" i="36"/>
  <c r="D1061" i="36"/>
  <c r="G1049" i="36"/>
  <c r="F1049" i="36"/>
  <c r="E1049" i="36"/>
  <c r="D1049" i="36"/>
  <c r="G1037" i="36"/>
  <c r="F1037" i="36"/>
  <c r="E1037" i="36"/>
  <c r="D1037" i="36"/>
  <c r="G1025" i="36"/>
  <c r="F1025" i="36"/>
  <c r="E1025" i="36"/>
  <c r="D1025" i="36"/>
  <c r="G1009" i="36"/>
  <c r="F1009" i="36"/>
  <c r="E1009" i="36"/>
  <c r="D1009" i="36"/>
  <c r="G997" i="36"/>
  <c r="F997" i="36"/>
  <c r="E997" i="36"/>
  <c r="D997" i="36"/>
  <c r="G989" i="36"/>
  <c r="F989" i="36"/>
  <c r="E989" i="36"/>
  <c r="D989" i="36"/>
  <c r="G977" i="36"/>
  <c r="F977" i="36"/>
  <c r="E977" i="36"/>
  <c r="D977" i="36"/>
  <c r="G965" i="36"/>
  <c r="F965" i="36"/>
  <c r="E965" i="36"/>
  <c r="D965" i="36"/>
  <c r="G953" i="36"/>
  <c r="F953" i="36"/>
  <c r="E953" i="36"/>
  <c r="D953" i="36"/>
  <c r="G941" i="36"/>
  <c r="F941" i="36"/>
  <c r="E941" i="36"/>
  <c r="D941" i="36"/>
  <c r="G933" i="36"/>
  <c r="F933" i="36"/>
  <c r="E933" i="36"/>
  <c r="D933" i="36"/>
  <c r="G925" i="36"/>
  <c r="F925" i="36"/>
  <c r="E925" i="36"/>
  <c r="D925" i="36"/>
  <c r="G913" i="36"/>
  <c r="F913" i="36"/>
  <c r="E913" i="36"/>
  <c r="D913" i="36"/>
  <c r="G901" i="36"/>
  <c r="F901" i="36"/>
  <c r="E901" i="36"/>
  <c r="D901" i="36"/>
  <c r="G889" i="36"/>
  <c r="F889" i="36"/>
  <c r="E889" i="36"/>
  <c r="D889" i="36"/>
  <c r="G877" i="36"/>
  <c r="F877" i="36"/>
  <c r="E877" i="36"/>
  <c r="D877" i="36"/>
  <c r="G865" i="36"/>
  <c r="F865" i="36"/>
  <c r="E865" i="36"/>
  <c r="D865" i="36"/>
  <c r="G857" i="36"/>
  <c r="F857" i="36"/>
  <c r="E857" i="36"/>
  <c r="D857" i="36"/>
  <c r="G845" i="36"/>
  <c r="F845" i="36"/>
  <c r="E845" i="36"/>
  <c r="D845" i="36"/>
  <c r="G833" i="36"/>
  <c r="F833" i="36"/>
  <c r="E833" i="36"/>
  <c r="D833" i="36"/>
  <c r="G817" i="36"/>
  <c r="F817" i="36"/>
  <c r="E817" i="36"/>
  <c r="D817" i="36"/>
  <c r="G805" i="36"/>
  <c r="F805" i="36"/>
  <c r="E805" i="36"/>
  <c r="D805" i="36"/>
  <c r="G793" i="36"/>
  <c r="F793" i="36"/>
  <c r="E793" i="36"/>
  <c r="D793" i="36"/>
  <c r="G785" i="36"/>
  <c r="F785" i="36"/>
  <c r="E785" i="36"/>
  <c r="D785" i="36"/>
  <c r="G773" i="36"/>
  <c r="F773" i="36"/>
  <c r="E773" i="36"/>
  <c r="D773" i="36"/>
  <c r="G761" i="36"/>
  <c r="F761" i="36"/>
  <c r="E761" i="36"/>
  <c r="D761" i="36"/>
  <c r="G749" i="36"/>
  <c r="F749" i="36"/>
  <c r="E749" i="36"/>
  <c r="D749" i="36"/>
  <c r="G737" i="36"/>
  <c r="F737" i="36"/>
  <c r="E737" i="36"/>
  <c r="D737" i="36"/>
  <c r="G729" i="36"/>
  <c r="F729" i="36"/>
  <c r="E729" i="36"/>
  <c r="D729" i="36"/>
  <c r="G721" i="36"/>
  <c r="F721" i="36"/>
  <c r="E721" i="36"/>
  <c r="D721" i="36"/>
  <c r="G709" i="36"/>
  <c r="F709" i="36"/>
  <c r="E709" i="36"/>
  <c r="D709" i="36"/>
  <c r="G693" i="36"/>
  <c r="F693" i="36"/>
  <c r="E693" i="36"/>
  <c r="D693" i="36"/>
  <c r="G681" i="36"/>
  <c r="F681" i="36"/>
  <c r="E681" i="36"/>
  <c r="D681" i="36"/>
  <c r="G669" i="36"/>
  <c r="F669" i="36"/>
  <c r="E669" i="36"/>
  <c r="D669" i="36"/>
  <c r="G657" i="36"/>
  <c r="F657" i="36"/>
  <c r="E657" i="36"/>
  <c r="D657" i="36"/>
  <c r="G645" i="36"/>
  <c r="F645" i="36"/>
  <c r="E645" i="36"/>
  <c r="D645" i="36"/>
  <c r="G641" i="36"/>
  <c r="F641" i="36"/>
  <c r="E641" i="36"/>
  <c r="D641" i="36"/>
  <c r="F629" i="36"/>
  <c r="G629" i="36"/>
  <c r="E629" i="36"/>
  <c r="D629" i="36"/>
  <c r="G617" i="36"/>
  <c r="F617" i="36"/>
  <c r="E617" i="36"/>
  <c r="D617" i="36"/>
  <c r="G605" i="36"/>
  <c r="F605" i="36"/>
  <c r="E605" i="36"/>
  <c r="D605" i="36"/>
  <c r="G593" i="36"/>
  <c r="F593" i="36"/>
  <c r="E593" i="36"/>
  <c r="D593" i="36"/>
  <c r="G581" i="36"/>
  <c r="F581" i="36"/>
  <c r="E581" i="36"/>
  <c r="D581" i="36"/>
  <c r="G569" i="36"/>
  <c r="F569" i="36"/>
  <c r="E569" i="36"/>
  <c r="D569" i="36"/>
  <c r="G557" i="36"/>
  <c r="F557" i="36"/>
  <c r="E557" i="36"/>
  <c r="D557" i="36"/>
  <c r="G545" i="36"/>
  <c r="F545" i="36"/>
  <c r="E545" i="36"/>
  <c r="D545" i="36"/>
  <c r="G529" i="36"/>
  <c r="F529" i="36"/>
  <c r="E529" i="36"/>
  <c r="D529" i="36"/>
  <c r="G525" i="36"/>
  <c r="F525" i="36"/>
  <c r="E525" i="36"/>
  <c r="D525" i="36"/>
  <c r="G513" i="36"/>
  <c r="F513" i="36"/>
  <c r="E513" i="36"/>
  <c r="D513" i="36"/>
  <c r="G497" i="36"/>
  <c r="F497" i="36"/>
  <c r="E497" i="36"/>
  <c r="D497" i="36"/>
  <c r="G485" i="36"/>
  <c r="F485" i="36"/>
  <c r="E485" i="36"/>
  <c r="D485" i="36"/>
  <c r="G473" i="36"/>
  <c r="F473" i="36"/>
  <c r="E473" i="36"/>
  <c r="D473" i="36"/>
  <c r="G465" i="36"/>
  <c r="F465" i="36"/>
  <c r="E465" i="36"/>
  <c r="D465" i="36"/>
  <c r="G453" i="36"/>
  <c r="F453" i="36"/>
  <c r="E453" i="36"/>
  <c r="D453" i="36"/>
  <c r="G441" i="36"/>
  <c r="F441" i="36"/>
  <c r="E441" i="36"/>
  <c r="D441" i="36"/>
  <c r="G429" i="36"/>
  <c r="F429" i="36"/>
  <c r="E429" i="36"/>
  <c r="D429" i="36"/>
  <c r="G421" i="36"/>
  <c r="F421" i="36"/>
  <c r="E421" i="36"/>
  <c r="D421" i="36"/>
  <c r="G409" i="36"/>
  <c r="F409" i="36"/>
  <c r="E409" i="36"/>
  <c r="D409" i="36"/>
  <c r="G393" i="36"/>
  <c r="F393" i="36"/>
  <c r="E393" i="36"/>
  <c r="D393" i="36"/>
  <c r="G381" i="36"/>
  <c r="F381" i="36"/>
  <c r="E381" i="36"/>
  <c r="D381" i="36"/>
  <c r="G369" i="36"/>
  <c r="F369" i="36"/>
  <c r="E369" i="36"/>
  <c r="D369" i="36"/>
  <c r="G357" i="36"/>
  <c r="F357" i="36"/>
  <c r="E357" i="36"/>
  <c r="D357" i="36"/>
  <c r="G345" i="36"/>
  <c r="F345" i="36"/>
  <c r="E345" i="36"/>
  <c r="D345" i="36"/>
  <c r="G333" i="36"/>
  <c r="F333" i="36"/>
  <c r="E333" i="36"/>
  <c r="D333" i="36"/>
  <c r="G321" i="36"/>
  <c r="F321" i="36"/>
  <c r="E321" i="36"/>
  <c r="D321" i="36"/>
  <c r="G313" i="36"/>
  <c r="F313" i="36"/>
  <c r="E313" i="36"/>
  <c r="D313" i="36"/>
  <c r="G301" i="36"/>
  <c r="F301" i="36"/>
  <c r="E301" i="36"/>
  <c r="D301" i="36"/>
  <c r="G289" i="36"/>
  <c r="F289" i="36"/>
  <c r="E289" i="36"/>
  <c r="D289" i="36"/>
  <c r="G277" i="36"/>
  <c r="F277" i="36"/>
  <c r="E277" i="36"/>
  <c r="D277" i="36"/>
  <c r="G265" i="36"/>
  <c r="F265" i="36"/>
  <c r="E265" i="36"/>
  <c r="D265" i="36"/>
  <c r="G253" i="36"/>
  <c r="F253" i="36"/>
  <c r="E253" i="36"/>
  <c r="D253" i="36"/>
  <c r="G245" i="36"/>
  <c r="F245" i="36"/>
  <c r="E245" i="36"/>
  <c r="D245" i="36"/>
  <c r="G233" i="36"/>
  <c r="F233" i="36"/>
  <c r="E233" i="36"/>
  <c r="D233" i="36"/>
  <c r="G221" i="36"/>
  <c r="F221" i="36"/>
  <c r="E221" i="36"/>
  <c r="D221" i="36"/>
  <c r="G213" i="36"/>
  <c r="F213" i="36"/>
  <c r="E213" i="36"/>
  <c r="D213" i="36"/>
  <c r="G205" i="36"/>
  <c r="F205" i="36"/>
  <c r="E205" i="36"/>
  <c r="D205" i="36"/>
  <c r="G193" i="36"/>
  <c r="F193" i="36"/>
  <c r="E193" i="36"/>
  <c r="D193" i="36"/>
  <c r="G181" i="36"/>
  <c r="F181" i="36"/>
  <c r="E181" i="36"/>
  <c r="D181" i="36"/>
  <c r="G169" i="36"/>
  <c r="F169" i="36"/>
  <c r="E169" i="36"/>
  <c r="D169" i="36"/>
  <c r="G157" i="36"/>
  <c r="F157" i="36"/>
  <c r="E157" i="36"/>
  <c r="D157" i="36"/>
  <c r="G141" i="36"/>
  <c r="F141" i="36"/>
  <c r="E141" i="36"/>
  <c r="D141" i="36"/>
  <c r="G129" i="36"/>
  <c r="F129" i="36"/>
  <c r="E129" i="36"/>
  <c r="D129" i="36"/>
  <c r="G117" i="36"/>
  <c r="F117" i="36"/>
  <c r="E117" i="36"/>
  <c r="D117" i="36"/>
  <c r="G105" i="36"/>
  <c r="F105" i="36"/>
  <c r="E105" i="36"/>
  <c r="D105" i="36"/>
  <c r="G97" i="36"/>
  <c r="F97" i="36"/>
  <c r="E97" i="36"/>
  <c r="D97" i="36"/>
  <c r="G85" i="36"/>
  <c r="F85" i="36"/>
  <c r="E85" i="36"/>
  <c r="D85" i="36"/>
  <c r="G69" i="36"/>
  <c r="F69" i="36"/>
  <c r="E69" i="36"/>
  <c r="D69" i="36"/>
  <c r="G57" i="36"/>
  <c r="F57" i="36"/>
  <c r="E57" i="36"/>
  <c r="D57" i="36"/>
  <c r="G53" i="36"/>
  <c r="F53" i="36"/>
  <c r="E53" i="36"/>
  <c r="D53" i="36"/>
  <c r="G33" i="36"/>
  <c r="F33" i="36"/>
  <c r="E33" i="36"/>
  <c r="D33" i="36"/>
  <c r="G2060" i="36"/>
  <c r="F2060" i="36"/>
  <c r="E2060" i="36"/>
  <c r="D2060" i="36"/>
  <c r="G2048" i="36"/>
  <c r="F2048" i="36"/>
  <c r="E2048" i="36"/>
  <c r="D2048" i="36"/>
  <c r="G2036" i="36"/>
  <c r="F2036" i="36"/>
  <c r="E2036" i="36"/>
  <c r="D2036" i="36"/>
  <c r="G2024" i="36"/>
  <c r="F2024" i="36"/>
  <c r="E2024" i="36"/>
  <c r="D2024" i="36"/>
  <c r="G2012" i="36"/>
  <c r="F2012" i="36"/>
  <c r="E2012" i="36"/>
  <c r="D2012" i="36"/>
  <c r="G2000" i="36"/>
  <c r="F2000" i="36"/>
  <c r="E2000" i="36"/>
  <c r="D2000" i="36"/>
  <c r="G1988" i="36"/>
  <c r="F1988" i="36"/>
  <c r="E1988" i="36"/>
  <c r="D1988" i="36"/>
  <c r="G1976" i="36"/>
  <c r="F1976" i="36"/>
  <c r="E1976" i="36"/>
  <c r="D1976" i="36"/>
  <c r="G1964" i="36"/>
  <c r="F1964" i="36"/>
  <c r="E1964" i="36"/>
  <c r="D1964" i="36"/>
  <c r="G1952" i="36"/>
  <c r="F1952" i="36"/>
  <c r="E1952" i="36"/>
  <c r="D1952" i="36"/>
  <c r="G1944" i="36"/>
  <c r="F1944" i="36"/>
  <c r="E1944" i="36"/>
  <c r="D1944" i="36"/>
  <c r="G1932" i="36"/>
  <c r="F1932" i="36"/>
  <c r="E1932" i="36"/>
  <c r="D1932" i="36"/>
  <c r="G1920" i="36"/>
  <c r="F1920" i="36"/>
  <c r="E1920" i="36"/>
  <c r="D1920" i="36"/>
  <c r="G1908" i="36"/>
  <c r="F1908" i="36"/>
  <c r="E1908" i="36"/>
  <c r="D1908" i="36"/>
  <c r="G1896" i="36"/>
  <c r="F1896" i="36"/>
  <c r="E1896" i="36"/>
  <c r="D1896" i="36"/>
  <c r="G1888" i="36"/>
  <c r="F1888" i="36"/>
  <c r="E1888" i="36"/>
  <c r="D1888" i="36"/>
  <c r="G1880" i="36"/>
  <c r="F1880" i="36"/>
  <c r="E1880" i="36"/>
  <c r="D1880" i="36"/>
  <c r="G1868" i="36"/>
  <c r="F1868" i="36"/>
  <c r="E1868" i="36"/>
  <c r="D1868" i="36"/>
  <c r="G1856" i="36"/>
  <c r="F1856" i="36"/>
  <c r="E1856" i="36"/>
  <c r="D1856" i="36"/>
  <c r="G1844" i="36"/>
  <c r="F1844" i="36"/>
  <c r="E1844" i="36"/>
  <c r="D1844" i="36"/>
  <c r="G1832" i="36"/>
  <c r="F1832" i="36"/>
  <c r="E1832" i="36"/>
  <c r="D1832" i="36"/>
  <c r="G1824" i="36"/>
  <c r="F1824" i="36"/>
  <c r="E1824" i="36"/>
  <c r="D1824" i="36"/>
  <c r="G1812" i="36"/>
  <c r="E1812" i="36"/>
  <c r="F1812" i="36"/>
  <c r="D1812" i="36"/>
  <c r="G1804" i="36"/>
  <c r="F1804" i="36"/>
  <c r="E1804" i="36"/>
  <c r="D1804" i="36"/>
  <c r="G1792" i="36"/>
  <c r="F1792" i="36"/>
  <c r="E1792" i="36"/>
  <c r="D1792" i="36"/>
  <c r="G1780" i="36"/>
  <c r="F1780" i="36"/>
  <c r="E1780" i="36"/>
  <c r="D1780" i="36"/>
  <c r="G1768" i="36"/>
  <c r="F1768" i="36"/>
  <c r="E1768" i="36"/>
  <c r="D1768" i="36"/>
  <c r="G1760" i="36"/>
  <c r="F1760" i="36"/>
  <c r="E1760" i="36"/>
  <c r="D1760" i="36"/>
  <c r="G1748" i="36"/>
  <c r="E1748" i="36"/>
  <c r="F1748" i="36"/>
  <c r="D1748" i="36"/>
  <c r="G1736" i="36"/>
  <c r="F1736" i="36"/>
  <c r="E1736" i="36"/>
  <c r="D1736" i="36"/>
  <c r="G1724" i="36"/>
  <c r="F1724" i="36"/>
  <c r="E1724" i="36"/>
  <c r="D1724" i="36"/>
  <c r="G1712" i="36"/>
  <c r="F1712" i="36"/>
  <c r="E1712" i="36"/>
  <c r="D1712" i="36"/>
  <c r="G1704" i="36"/>
  <c r="F1704" i="36"/>
  <c r="E1704" i="36"/>
  <c r="D1704" i="36"/>
  <c r="G1692" i="36"/>
  <c r="F1692" i="36"/>
  <c r="E1692" i="36"/>
  <c r="D1692" i="36"/>
  <c r="G1680" i="36"/>
  <c r="F1680" i="36"/>
  <c r="E1680" i="36"/>
  <c r="D1680" i="36"/>
  <c r="G1668" i="36"/>
  <c r="F1668" i="36"/>
  <c r="E1668" i="36"/>
  <c r="D1668" i="36"/>
  <c r="G1660" i="36"/>
  <c r="F1660" i="36"/>
  <c r="E1660" i="36"/>
  <c r="D1660" i="36"/>
  <c r="G1648" i="36"/>
  <c r="F1648" i="36"/>
  <c r="E1648" i="36"/>
  <c r="D1648" i="36"/>
  <c r="G1636" i="36"/>
  <c r="F1636" i="36"/>
  <c r="E1636" i="36"/>
  <c r="D1636" i="36"/>
  <c r="G1620" i="36"/>
  <c r="E1620" i="36"/>
  <c r="F1620" i="36"/>
  <c r="D1620" i="36"/>
  <c r="G1608" i="36"/>
  <c r="F1608" i="36"/>
  <c r="E1608" i="36"/>
  <c r="D1608" i="36"/>
  <c r="G1596" i="36"/>
  <c r="F1596" i="36"/>
  <c r="E1596" i="36"/>
  <c r="D1596" i="36"/>
  <c r="G1584" i="36"/>
  <c r="F1584" i="36"/>
  <c r="E1584" i="36"/>
  <c r="D1584" i="36"/>
  <c r="G1572" i="36"/>
  <c r="F1572" i="36"/>
  <c r="E1572" i="36"/>
  <c r="D1572" i="36"/>
  <c r="G1560" i="36"/>
  <c r="F1560" i="36"/>
  <c r="E1560" i="36"/>
  <c r="D1560" i="36"/>
  <c r="G1548" i="36"/>
  <c r="F1548" i="36"/>
  <c r="E1548" i="36"/>
  <c r="D1548" i="36"/>
  <c r="G1536" i="36"/>
  <c r="F1536" i="36"/>
  <c r="E1536" i="36"/>
  <c r="D1536" i="36"/>
  <c r="G1524" i="36"/>
  <c r="E1524" i="36"/>
  <c r="F1524" i="36"/>
  <c r="D1524" i="36"/>
  <c r="G1516" i="36"/>
  <c r="F1516" i="36"/>
  <c r="E1516" i="36"/>
  <c r="D1516" i="36"/>
  <c r="G1504" i="36"/>
  <c r="F1504" i="36"/>
  <c r="E1504" i="36"/>
  <c r="D1504" i="36"/>
  <c r="G1496" i="36"/>
  <c r="F1496" i="36"/>
  <c r="E1496" i="36"/>
  <c r="D1496" i="36"/>
  <c r="G1480" i="36"/>
  <c r="F1480" i="36"/>
  <c r="E1480" i="36"/>
  <c r="D1480" i="36"/>
  <c r="G1468" i="36"/>
  <c r="F1468" i="36"/>
  <c r="E1468" i="36"/>
  <c r="D1468" i="36"/>
  <c r="G1456" i="36"/>
  <c r="F1456" i="36"/>
  <c r="E1456" i="36"/>
  <c r="D1456" i="36"/>
  <c r="G1444" i="36"/>
  <c r="F1444" i="36"/>
  <c r="E1444" i="36"/>
  <c r="D1444" i="36"/>
  <c r="G1436" i="36"/>
  <c r="F1436" i="36"/>
  <c r="E1436" i="36"/>
  <c r="D1436" i="36"/>
  <c r="G1420" i="36"/>
  <c r="F1420" i="36"/>
  <c r="E1420" i="36"/>
  <c r="D1420" i="36"/>
  <c r="G1408" i="36"/>
  <c r="F1408" i="36"/>
  <c r="E1408" i="36"/>
  <c r="D1408" i="36"/>
  <c r="G1400" i="36"/>
  <c r="F1400" i="36"/>
  <c r="E1400" i="36"/>
  <c r="D1400" i="36"/>
  <c r="G1384" i="36"/>
  <c r="F1384" i="36"/>
  <c r="E1384" i="36"/>
  <c r="D1384" i="36"/>
  <c r="G1372" i="36"/>
  <c r="F1372" i="36"/>
  <c r="E1372" i="36"/>
  <c r="D1372" i="36"/>
  <c r="G1360" i="36"/>
  <c r="F1360" i="36"/>
  <c r="E1360" i="36"/>
  <c r="D1360" i="36"/>
  <c r="G1348" i="36"/>
  <c r="F1348" i="36"/>
  <c r="E1348" i="36"/>
  <c r="D1348" i="36"/>
  <c r="G1340" i="36"/>
  <c r="F1340" i="36"/>
  <c r="E1340" i="36"/>
  <c r="D1340" i="36"/>
  <c r="G1328" i="36"/>
  <c r="F1328" i="36"/>
  <c r="E1328" i="36"/>
  <c r="D1328" i="36"/>
  <c r="G1316" i="36"/>
  <c r="F1316" i="36"/>
  <c r="D1316" i="36"/>
  <c r="E1316" i="36"/>
  <c r="G1304" i="36"/>
  <c r="F1304" i="36"/>
  <c r="E1304" i="36"/>
  <c r="D1304" i="36"/>
  <c r="G1292" i="36"/>
  <c r="F1292" i="36"/>
  <c r="E1292" i="36"/>
  <c r="D1292" i="36"/>
  <c r="G1284" i="36"/>
  <c r="F1284" i="36"/>
  <c r="E1284" i="36"/>
  <c r="D1284" i="36"/>
  <c r="G1276" i="36"/>
  <c r="F1276" i="36"/>
  <c r="E1276" i="36"/>
  <c r="D1276" i="36"/>
  <c r="G1264" i="36"/>
  <c r="F1264" i="36"/>
  <c r="E1264" i="36"/>
  <c r="D1264" i="36"/>
  <c r="G1256" i="36"/>
  <c r="F1256" i="36"/>
  <c r="E1256" i="36"/>
  <c r="D1256" i="36"/>
  <c r="G1248" i="36"/>
  <c r="F1248" i="36"/>
  <c r="E1248" i="36"/>
  <c r="D1248" i="36"/>
  <c r="G1240" i="36"/>
  <c r="F1240" i="36"/>
  <c r="E1240" i="36"/>
  <c r="D1240" i="36"/>
  <c r="G1232" i="36"/>
  <c r="F1232" i="36"/>
  <c r="E1232" i="36"/>
  <c r="D1232" i="36"/>
  <c r="G1164" i="36"/>
  <c r="F1164" i="36"/>
  <c r="E1164" i="36"/>
  <c r="D1164" i="36"/>
  <c r="G2063" i="36"/>
  <c r="F2063" i="36"/>
  <c r="E2063" i="36"/>
  <c r="D2063" i="36"/>
  <c r="G2055" i="36"/>
  <c r="F2055" i="36"/>
  <c r="E2055" i="36"/>
  <c r="D2055" i="36"/>
  <c r="G2047" i="36"/>
  <c r="F2047" i="36"/>
  <c r="E2047" i="36"/>
  <c r="D2047" i="36"/>
  <c r="G2039" i="36"/>
  <c r="F2039" i="36"/>
  <c r="E2039" i="36"/>
  <c r="D2039" i="36"/>
  <c r="G2027" i="36"/>
  <c r="F2027" i="36"/>
  <c r="E2027" i="36"/>
  <c r="D2027" i="36"/>
  <c r="G2019" i="36"/>
  <c r="F2019" i="36"/>
  <c r="E2019" i="36"/>
  <c r="D2019" i="36"/>
  <c r="G2011" i="36"/>
  <c r="F2011" i="36"/>
  <c r="E2011" i="36"/>
  <c r="D2011" i="36"/>
  <c r="G1999" i="36"/>
  <c r="F1999" i="36"/>
  <c r="E1999" i="36"/>
  <c r="D1999" i="36"/>
  <c r="G1991" i="36"/>
  <c r="F1991" i="36"/>
  <c r="E1991" i="36"/>
  <c r="D1991" i="36"/>
  <c r="G1983" i="36"/>
  <c r="F1983" i="36"/>
  <c r="E1983" i="36"/>
  <c r="D1983" i="36"/>
  <c r="G1971" i="36"/>
  <c r="F1971" i="36"/>
  <c r="E1971" i="36"/>
  <c r="D1971" i="36"/>
  <c r="G1959" i="36"/>
  <c r="F1959" i="36"/>
  <c r="E1959" i="36"/>
  <c r="D1959" i="36"/>
  <c r="G1951" i="36"/>
  <c r="F1951" i="36"/>
  <c r="E1951" i="36"/>
  <c r="D1951" i="36"/>
  <c r="G1939" i="36"/>
  <c r="F1939" i="36"/>
  <c r="E1939" i="36"/>
  <c r="D1939" i="36"/>
  <c r="G1931" i="36"/>
  <c r="F1931" i="36"/>
  <c r="E1931" i="36"/>
  <c r="D1931" i="36"/>
  <c r="G1923" i="36"/>
  <c r="F1923" i="36"/>
  <c r="E1923" i="36"/>
  <c r="D1923" i="36"/>
  <c r="G1915" i="36"/>
  <c r="F1915" i="36"/>
  <c r="E1915" i="36"/>
  <c r="D1915" i="36"/>
  <c r="G1907" i="36"/>
  <c r="F1907" i="36"/>
  <c r="E1907" i="36"/>
  <c r="D1907" i="36"/>
  <c r="G1895" i="36"/>
  <c r="F1895" i="36"/>
  <c r="E1895" i="36"/>
  <c r="D1895" i="36"/>
  <c r="G1887" i="36"/>
  <c r="F1887" i="36"/>
  <c r="E1887" i="36"/>
  <c r="D1887" i="36"/>
  <c r="G1879" i="36"/>
  <c r="F1879" i="36"/>
  <c r="E1879" i="36"/>
  <c r="D1879" i="36"/>
  <c r="G1871" i="36"/>
  <c r="F1871" i="36"/>
  <c r="E1871" i="36"/>
  <c r="D1871" i="36"/>
  <c r="G1863" i="36"/>
  <c r="F1863" i="36"/>
  <c r="E1863" i="36"/>
  <c r="D1863" i="36"/>
  <c r="G1855" i="36"/>
  <c r="F1855" i="36"/>
  <c r="E1855" i="36"/>
  <c r="D1855" i="36"/>
  <c r="G1843" i="36"/>
  <c r="F1843" i="36"/>
  <c r="E1843" i="36"/>
  <c r="D1843" i="36"/>
  <c r="G1835" i="36"/>
  <c r="F1835" i="36"/>
  <c r="E1835" i="36"/>
  <c r="D1835" i="36"/>
  <c r="G1827" i="36"/>
  <c r="F1827" i="36"/>
  <c r="E1827" i="36"/>
  <c r="D1827" i="36"/>
  <c r="G1819" i="36"/>
  <c r="F1819" i="36"/>
  <c r="E1819" i="36"/>
  <c r="D1819" i="36"/>
  <c r="G1811" i="36"/>
  <c r="F1811" i="36"/>
  <c r="E1811" i="36"/>
  <c r="D1811" i="36"/>
  <c r="G1799" i="36"/>
  <c r="F1799" i="36"/>
  <c r="E1799" i="36"/>
  <c r="D1799" i="36"/>
  <c r="G1791" i="36"/>
  <c r="F1791" i="36"/>
  <c r="E1791" i="36"/>
  <c r="D1791" i="36"/>
  <c r="F1783" i="36"/>
  <c r="G1783" i="36"/>
  <c r="E1783" i="36"/>
  <c r="D1783" i="36"/>
  <c r="G1775" i="36"/>
  <c r="F1775" i="36"/>
  <c r="E1775" i="36"/>
  <c r="D1775" i="36"/>
  <c r="G1767" i="36"/>
  <c r="F1767" i="36"/>
  <c r="E1767" i="36"/>
  <c r="D1767" i="36"/>
  <c r="G1759" i="36"/>
  <c r="F1759" i="36"/>
  <c r="E1759" i="36"/>
  <c r="D1759" i="36"/>
  <c r="G1751" i="36"/>
  <c r="F1751" i="36"/>
  <c r="E1751" i="36"/>
  <c r="D1751" i="36"/>
  <c r="G1743" i="36"/>
  <c r="F1743" i="36"/>
  <c r="E1743" i="36"/>
  <c r="D1743" i="36"/>
  <c r="G1731" i="36"/>
  <c r="F1731" i="36"/>
  <c r="E1731" i="36"/>
  <c r="D1731" i="36"/>
  <c r="G1723" i="36"/>
  <c r="F1723" i="36"/>
  <c r="E1723" i="36"/>
  <c r="D1723" i="36"/>
  <c r="G1715" i="36"/>
  <c r="F1715" i="36"/>
  <c r="E1715" i="36"/>
  <c r="D1715" i="36"/>
  <c r="G1703" i="36"/>
  <c r="F1703" i="36"/>
  <c r="E1703" i="36"/>
  <c r="D1703" i="36"/>
  <c r="G1691" i="36"/>
  <c r="F1691" i="36"/>
  <c r="E1691" i="36"/>
  <c r="D1691" i="36"/>
  <c r="G1683" i="36"/>
  <c r="F1683" i="36"/>
  <c r="E1683" i="36"/>
  <c r="D1683" i="36"/>
  <c r="G1671" i="36"/>
  <c r="F1671" i="36"/>
  <c r="E1671" i="36"/>
  <c r="D1671" i="36"/>
  <c r="G1663" i="36"/>
  <c r="F1663" i="36"/>
  <c r="E1663" i="36"/>
  <c r="D1663" i="36"/>
  <c r="F1655" i="36"/>
  <c r="G1655" i="36"/>
  <c r="E1655" i="36"/>
  <c r="D1655" i="36"/>
  <c r="G1647" i="36"/>
  <c r="F1647" i="36"/>
  <c r="E1647" i="36"/>
  <c r="D1647" i="36"/>
  <c r="G1639" i="36"/>
  <c r="F1639" i="36"/>
  <c r="E1639" i="36"/>
  <c r="D1639" i="36"/>
  <c r="G1627" i="36"/>
  <c r="F1627" i="36"/>
  <c r="E1627" i="36"/>
  <c r="D1627" i="36"/>
  <c r="G1619" i="36"/>
  <c r="F1619" i="36"/>
  <c r="E1619" i="36"/>
  <c r="D1619" i="36"/>
  <c r="G1607" i="36"/>
  <c r="F1607" i="36"/>
  <c r="E1607" i="36"/>
  <c r="D1607" i="36"/>
  <c r="G1599" i="36"/>
  <c r="F1599" i="36"/>
  <c r="E1599" i="36"/>
  <c r="D1599" i="36"/>
  <c r="F1591" i="36"/>
  <c r="G1591" i="36"/>
  <c r="E1591" i="36"/>
  <c r="D1591" i="36"/>
  <c r="G1579" i="36"/>
  <c r="F1579" i="36"/>
  <c r="E1579" i="36"/>
  <c r="D1579" i="36"/>
  <c r="G1571" i="36"/>
  <c r="F1571" i="36"/>
  <c r="E1571" i="36"/>
  <c r="D1571" i="36"/>
  <c r="G1563" i="36"/>
  <c r="F1563" i="36"/>
  <c r="E1563" i="36"/>
  <c r="D1563" i="36"/>
  <c r="G1555" i="36"/>
  <c r="F1555" i="36"/>
  <c r="E1555" i="36"/>
  <c r="D1555" i="36"/>
  <c r="G1547" i="36"/>
  <c r="F1547" i="36"/>
  <c r="E1547" i="36"/>
  <c r="D1547" i="36"/>
  <c r="G1539" i="36"/>
  <c r="F1539" i="36"/>
  <c r="E1539" i="36"/>
  <c r="D1539" i="36"/>
  <c r="F1527" i="36"/>
  <c r="G1527" i="36"/>
  <c r="E1527" i="36"/>
  <c r="D1527" i="36"/>
  <c r="G1519" i="36"/>
  <c r="F1519" i="36"/>
  <c r="E1519" i="36"/>
  <c r="D1519" i="36"/>
  <c r="G1511" i="36"/>
  <c r="F1511" i="36"/>
  <c r="E1511" i="36"/>
  <c r="D1511" i="36"/>
  <c r="G1503" i="36"/>
  <c r="F1503" i="36"/>
  <c r="E1503" i="36"/>
  <c r="D1503" i="36"/>
  <c r="G1491" i="36"/>
  <c r="F1491" i="36"/>
  <c r="E1491" i="36"/>
  <c r="D1491" i="36"/>
  <c r="G1487" i="36"/>
  <c r="F1487" i="36"/>
  <c r="E1487" i="36"/>
  <c r="D1487" i="36"/>
  <c r="G1479" i="36"/>
  <c r="F1479" i="36"/>
  <c r="E1479" i="36"/>
  <c r="D1479" i="36"/>
  <c r="G1475" i="36"/>
  <c r="F1475" i="36"/>
  <c r="E1475" i="36"/>
  <c r="D1475" i="36"/>
  <c r="G1471" i="36"/>
  <c r="F1471" i="36"/>
  <c r="E1471" i="36"/>
  <c r="D1471" i="36"/>
  <c r="G1467" i="36"/>
  <c r="F1467" i="36"/>
  <c r="E1467" i="36"/>
  <c r="D1467" i="36"/>
  <c r="F1463" i="36"/>
  <c r="G1463" i="36"/>
  <c r="E1463" i="36"/>
  <c r="D1463" i="36"/>
  <c r="G1459" i="36"/>
  <c r="F1459" i="36"/>
  <c r="E1459" i="36"/>
  <c r="D1459" i="36"/>
  <c r="G1455" i="36"/>
  <c r="F1455" i="36"/>
  <c r="E1455" i="36"/>
  <c r="D1455" i="36"/>
  <c r="G1451" i="36"/>
  <c r="F1451" i="36"/>
  <c r="E1451" i="36"/>
  <c r="D1451" i="36"/>
  <c r="G1447" i="36"/>
  <c r="F1447" i="36"/>
  <c r="E1447" i="36"/>
  <c r="D1447" i="36"/>
  <c r="G1443" i="36"/>
  <c r="F1443" i="36"/>
  <c r="E1443" i="36"/>
  <c r="D1443" i="36"/>
  <c r="G1435" i="36"/>
  <c r="F1435" i="36"/>
  <c r="E1435" i="36"/>
  <c r="D1435" i="36"/>
  <c r="G1431" i="36"/>
  <c r="F1431" i="36"/>
  <c r="E1431" i="36"/>
  <c r="D1431" i="36"/>
  <c r="G1427" i="36"/>
  <c r="F1427" i="36"/>
  <c r="E1427" i="36"/>
  <c r="D1427" i="36"/>
  <c r="G1423" i="36"/>
  <c r="F1423" i="36"/>
  <c r="E1423" i="36"/>
  <c r="D1423" i="36"/>
  <c r="G1419" i="36"/>
  <c r="F1419" i="36"/>
  <c r="E1419" i="36"/>
  <c r="D1419" i="36"/>
  <c r="G1415" i="36"/>
  <c r="F1415" i="36"/>
  <c r="E1415" i="36"/>
  <c r="D1415" i="36"/>
  <c r="G1411" i="36"/>
  <c r="F1411" i="36"/>
  <c r="E1411" i="36"/>
  <c r="D1411" i="36"/>
  <c r="G1407" i="36"/>
  <c r="F1407" i="36"/>
  <c r="E1407" i="36"/>
  <c r="D1407" i="36"/>
  <c r="G1403" i="36"/>
  <c r="F1403" i="36"/>
  <c r="E1403" i="36"/>
  <c r="D1403" i="36"/>
  <c r="G1399" i="36"/>
  <c r="F1399" i="36"/>
  <c r="E1399" i="36"/>
  <c r="D1399" i="36"/>
  <c r="G1395" i="36"/>
  <c r="F1395" i="36"/>
  <c r="E1395" i="36"/>
  <c r="D1395" i="36"/>
  <c r="G1391" i="36"/>
  <c r="F1391" i="36"/>
  <c r="E1391" i="36"/>
  <c r="D1391" i="36"/>
  <c r="G1387" i="36"/>
  <c r="F1387" i="36"/>
  <c r="E1387" i="36"/>
  <c r="D1387" i="36"/>
  <c r="G1383" i="36"/>
  <c r="F1383" i="36"/>
  <c r="E1383" i="36"/>
  <c r="D1383" i="36"/>
  <c r="G1379" i="36"/>
  <c r="F1379" i="36"/>
  <c r="E1379" i="36"/>
  <c r="D1379" i="36"/>
  <c r="G1375" i="36"/>
  <c r="F1375" i="36"/>
  <c r="E1375" i="36"/>
  <c r="D1375" i="36"/>
  <c r="G1371" i="36"/>
  <c r="F1371" i="36"/>
  <c r="E1371" i="36"/>
  <c r="D1371" i="36"/>
  <c r="G1367" i="36"/>
  <c r="F1367" i="36"/>
  <c r="E1367" i="36"/>
  <c r="D1367" i="36"/>
  <c r="G1363" i="36"/>
  <c r="F1363" i="36"/>
  <c r="E1363" i="36"/>
  <c r="D1363" i="36"/>
  <c r="G1359" i="36"/>
  <c r="F1359" i="36"/>
  <c r="E1359" i="36"/>
  <c r="D1359" i="36"/>
  <c r="G1355" i="36"/>
  <c r="F1355" i="36"/>
  <c r="E1355" i="36"/>
  <c r="D1355" i="36"/>
  <c r="G1351" i="36"/>
  <c r="F1351" i="36"/>
  <c r="E1351" i="36"/>
  <c r="D1351" i="36"/>
  <c r="G1347" i="36"/>
  <c r="F1347" i="36"/>
  <c r="E1347" i="36"/>
  <c r="D1347" i="36"/>
  <c r="G1343" i="36"/>
  <c r="F1343" i="36"/>
  <c r="E1343" i="36"/>
  <c r="D1343" i="36"/>
  <c r="G1339" i="36"/>
  <c r="F1339" i="36"/>
  <c r="E1339" i="36"/>
  <c r="D1339" i="36"/>
  <c r="G1335" i="36"/>
  <c r="F1335" i="36"/>
  <c r="E1335" i="36"/>
  <c r="D1335" i="36"/>
  <c r="G1331" i="36"/>
  <c r="F1331" i="36"/>
  <c r="E1331" i="36"/>
  <c r="D1331" i="36"/>
  <c r="G1327" i="36"/>
  <c r="F1327" i="36"/>
  <c r="E1327" i="36"/>
  <c r="D1327" i="36"/>
  <c r="G1323" i="36"/>
  <c r="F1323" i="36"/>
  <c r="E1323" i="36"/>
  <c r="D1323" i="36"/>
  <c r="G1319" i="36"/>
  <c r="F1319" i="36"/>
  <c r="E1319" i="36"/>
  <c r="D1319" i="36"/>
  <c r="G1315" i="36"/>
  <c r="F1315" i="36"/>
  <c r="E1315" i="36"/>
  <c r="D1315" i="36"/>
  <c r="G1311" i="36"/>
  <c r="F1311" i="36"/>
  <c r="E1311" i="36"/>
  <c r="D1311" i="36"/>
  <c r="G1307" i="36"/>
  <c r="F1307" i="36"/>
  <c r="E1307" i="36"/>
  <c r="D1307" i="36"/>
  <c r="G1303" i="36"/>
  <c r="F1303" i="36"/>
  <c r="E1303" i="36"/>
  <c r="D1303" i="36"/>
  <c r="G1299" i="36"/>
  <c r="F1299" i="36"/>
  <c r="E1299" i="36"/>
  <c r="D1299" i="36"/>
  <c r="G1295" i="36"/>
  <c r="F1295" i="36"/>
  <c r="E1295" i="36"/>
  <c r="D1295" i="36"/>
  <c r="G1291" i="36"/>
  <c r="F1291" i="36"/>
  <c r="E1291" i="36"/>
  <c r="D1291" i="36"/>
  <c r="G1287" i="36"/>
  <c r="F1287" i="36"/>
  <c r="E1287" i="36"/>
  <c r="D1287" i="36"/>
  <c r="G1283" i="36"/>
  <c r="F1283" i="36"/>
  <c r="E1283" i="36"/>
  <c r="D1283" i="36"/>
  <c r="G1279" i="36"/>
  <c r="F1279" i="36"/>
  <c r="E1279" i="36"/>
  <c r="D1279" i="36"/>
  <c r="G1275" i="36"/>
  <c r="F1275" i="36"/>
  <c r="E1275" i="36"/>
  <c r="D1275" i="36"/>
  <c r="G1271" i="36"/>
  <c r="F1271" i="36"/>
  <c r="E1271" i="36"/>
  <c r="D1271" i="36"/>
  <c r="G1267" i="36"/>
  <c r="F1267" i="36"/>
  <c r="E1267" i="36"/>
  <c r="D1267" i="36"/>
  <c r="G1263" i="36"/>
  <c r="F1263" i="36"/>
  <c r="E1263" i="36"/>
  <c r="D1263" i="36"/>
  <c r="G1259" i="36"/>
  <c r="F1259" i="36"/>
  <c r="E1259" i="36"/>
  <c r="D1259" i="36"/>
  <c r="G1255" i="36"/>
  <c r="F1255" i="36"/>
  <c r="E1255" i="36"/>
  <c r="D1255" i="36"/>
  <c r="G1251" i="36"/>
  <c r="F1251" i="36"/>
  <c r="E1251" i="36"/>
  <c r="D1251" i="36"/>
  <c r="G1247" i="36"/>
  <c r="F1247" i="36"/>
  <c r="E1247" i="36"/>
  <c r="D1247" i="36"/>
  <c r="G1243" i="36"/>
  <c r="F1243" i="36"/>
  <c r="E1243" i="36"/>
  <c r="D1243" i="36"/>
  <c r="G1239" i="36"/>
  <c r="F1239" i="36"/>
  <c r="E1239" i="36"/>
  <c r="D1239" i="36"/>
  <c r="G1235" i="36"/>
  <c r="F1235" i="36"/>
  <c r="E1235" i="36"/>
  <c r="D1235" i="36"/>
  <c r="G1231" i="36"/>
  <c r="F1231" i="36"/>
  <c r="E1231" i="36"/>
  <c r="D1231" i="36"/>
  <c r="G1227" i="36"/>
  <c r="F1227" i="36"/>
  <c r="E1227" i="36"/>
  <c r="D1227" i="36"/>
  <c r="G1223" i="36"/>
  <c r="F1223" i="36"/>
  <c r="E1223" i="36"/>
  <c r="D1223" i="36"/>
  <c r="G1219" i="36"/>
  <c r="F1219" i="36"/>
  <c r="E1219" i="36"/>
  <c r="D1219" i="36"/>
  <c r="G1215" i="36"/>
  <c r="F1215" i="36"/>
  <c r="E1215" i="36"/>
  <c r="D1215" i="36"/>
  <c r="G1211" i="36"/>
  <c r="F1211" i="36"/>
  <c r="E1211" i="36"/>
  <c r="D1211" i="36"/>
  <c r="G1207" i="36"/>
  <c r="F1207" i="36"/>
  <c r="E1207" i="36"/>
  <c r="D1207" i="36"/>
  <c r="G1203" i="36"/>
  <c r="F1203" i="36"/>
  <c r="E1203" i="36"/>
  <c r="D1203" i="36"/>
  <c r="G1199" i="36"/>
  <c r="F1199" i="36"/>
  <c r="E1199" i="36"/>
  <c r="D1199" i="36"/>
  <c r="G1195" i="36"/>
  <c r="F1195" i="36"/>
  <c r="E1195" i="36"/>
  <c r="D1195" i="36"/>
  <c r="G1191" i="36"/>
  <c r="F1191" i="36"/>
  <c r="E1191" i="36"/>
  <c r="D1191" i="36"/>
  <c r="G1187" i="36"/>
  <c r="F1187" i="36"/>
  <c r="E1187" i="36"/>
  <c r="D1187" i="36"/>
  <c r="G1183" i="36"/>
  <c r="F1183" i="36"/>
  <c r="E1183" i="36"/>
  <c r="D1183" i="36"/>
  <c r="G1179" i="36"/>
  <c r="F1179" i="36"/>
  <c r="E1179" i="36"/>
  <c r="D1179" i="36"/>
  <c r="G1175" i="36"/>
  <c r="F1175" i="36"/>
  <c r="E1175" i="36"/>
  <c r="D1175" i="36"/>
  <c r="G1171" i="36"/>
  <c r="F1171" i="36"/>
  <c r="E1171" i="36"/>
  <c r="D1171" i="36"/>
  <c r="G1167" i="36"/>
  <c r="F1167" i="36"/>
  <c r="E1167" i="36"/>
  <c r="D1167" i="36"/>
  <c r="G1163" i="36"/>
  <c r="F1163" i="36"/>
  <c r="E1163" i="36"/>
  <c r="D1163" i="36"/>
  <c r="G1159" i="36"/>
  <c r="F1159" i="36"/>
  <c r="E1159" i="36"/>
  <c r="D1159" i="36"/>
  <c r="G1155" i="36"/>
  <c r="F1155" i="36"/>
  <c r="E1155" i="36"/>
  <c r="D1155" i="36"/>
  <c r="G1151" i="36"/>
  <c r="F1151" i="36"/>
  <c r="E1151" i="36"/>
  <c r="D1151" i="36"/>
  <c r="G1147" i="36"/>
  <c r="F1147" i="36"/>
  <c r="E1147" i="36"/>
  <c r="D1147" i="36"/>
  <c r="G1143" i="36"/>
  <c r="F1143" i="36"/>
  <c r="E1143" i="36"/>
  <c r="D1143" i="36"/>
  <c r="G1139" i="36"/>
  <c r="F1139" i="36"/>
  <c r="E1139" i="36"/>
  <c r="D1139" i="36"/>
  <c r="G1135" i="36"/>
  <c r="F1135" i="36"/>
  <c r="E1135" i="36"/>
  <c r="D1135" i="36"/>
  <c r="G1131" i="36"/>
  <c r="F1131" i="36"/>
  <c r="E1131" i="36"/>
  <c r="D1131" i="36"/>
  <c r="G1127" i="36"/>
  <c r="F1127" i="36"/>
  <c r="E1127" i="36"/>
  <c r="D1127" i="36"/>
  <c r="G1123" i="36"/>
  <c r="F1123" i="36"/>
  <c r="E1123" i="36"/>
  <c r="D1123" i="36"/>
  <c r="G1119" i="36"/>
  <c r="F1119" i="36"/>
  <c r="E1119" i="36"/>
  <c r="D1119" i="36"/>
  <c r="G1115" i="36"/>
  <c r="F1115" i="36"/>
  <c r="E1115" i="36"/>
  <c r="D1115" i="36"/>
  <c r="G1111" i="36"/>
  <c r="F1111" i="36"/>
  <c r="E1111" i="36"/>
  <c r="D1111" i="36"/>
  <c r="G1107" i="36"/>
  <c r="F1107" i="36"/>
  <c r="E1107" i="36"/>
  <c r="D1107" i="36"/>
  <c r="G1103" i="36"/>
  <c r="F1103" i="36"/>
  <c r="E1103" i="36"/>
  <c r="D1103" i="36"/>
  <c r="G1099" i="36"/>
  <c r="F1099" i="36"/>
  <c r="E1099" i="36"/>
  <c r="D1099" i="36"/>
  <c r="G1095" i="36"/>
  <c r="F1095" i="36"/>
  <c r="E1095" i="36"/>
  <c r="D1095" i="36"/>
  <c r="G1091" i="36"/>
  <c r="F1091" i="36"/>
  <c r="E1091" i="36"/>
  <c r="D1091" i="36"/>
  <c r="G1087" i="36"/>
  <c r="F1087" i="36"/>
  <c r="E1087" i="36"/>
  <c r="D1087" i="36"/>
  <c r="G1083" i="36"/>
  <c r="F1083" i="36"/>
  <c r="E1083" i="36"/>
  <c r="D1083" i="36"/>
  <c r="G1079" i="36"/>
  <c r="F1079" i="36"/>
  <c r="E1079" i="36"/>
  <c r="D1079" i="36"/>
  <c r="G1075" i="36"/>
  <c r="F1075" i="36"/>
  <c r="E1075" i="36"/>
  <c r="D1075" i="36"/>
  <c r="G1071" i="36"/>
  <c r="F1071" i="36"/>
  <c r="E1071" i="36"/>
  <c r="D1071" i="36"/>
  <c r="G1067" i="36"/>
  <c r="F1067" i="36"/>
  <c r="E1067" i="36"/>
  <c r="D1067" i="36"/>
  <c r="G1063" i="36"/>
  <c r="F1063" i="36"/>
  <c r="E1063" i="36"/>
  <c r="D1063" i="36"/>
  <c r="G1059" i="36"/>
  <c r="F1059" i="36"/>
  <c r="E1059" i="36"/>
  <c r="D1059" i="36"/>
  <c r="G1055" i="36"/>
  <c r="F1055" i="36"/>
  <c r="E1055" i="36"/>
  <c r="D1055" i="36"/>
  <c r="G1051" i="36"/>
  <c r="F1051" i="36"/>
  <c r="E1051" i="36"/>
  <c r="D1051" i="36"/>
  <c r="G1047" i="36"/>
  <c r="F1047" i="36"/>
  <c r="E1047" i="36"/>
  <c r="D1047" i="36"/>
  <c r="G1043" i="36"/>
  <c r="F1043" i="36"/>
  <c r="E1043" i="36"/>
  <c r="D1043" i="36"/>
  <c r="G1039" i="36"/>
  <c r="F1039" i="36"/>
  <c r="E1039" i="36"/>
  <c r="D1039" i="36"/>
  <c r="G1035" i="36"/>
  <c r="F1035" i="36"/>
  <c r="E1035" i="36"/>
  <c r="D1035" i="36"/>
  <c r="G1031" i="36"/>
  <c r="F1031" i="36"/>
  <c r="E1031" i="36"/>
  <c r="D1031" i="36"/>
  <c r="G1027" i="36"/>
  <c r="F1027" i="36"/>
  <c r="E1027" i="36"/>
  <c r="D1027" i="36"/>
  <c r="G1023" i="36"/>
  <c r="F1023" i="36"/>
  <c r="E1023" i="36"/>
  <c r="D1023" i="36"/>
  <c r="G1019" i="36"/>
  <c r="F1019" i="36"/>
  <c r="E1019" i="36"/>
  <c r="D1019" i="36"/>
  <c r="G1015" i="36"/>
  <c r="F1015" i="36"/>
  <c r="E1015" i="36"/>
  <c r="D1015" i="36"/>
  <c r="G1011" i="36"/>
  <c r="F1011" i="36"/>
  <c r="E1011" i="36"/>
  <c r="D1011" i="36"/>
  <c r="G1007" i="36"/>
  <c r="F1007" i="36"/>
  <c r="E1007" i="36"/>
  <c r="D1007" i="36"/>
  <c r="G1003" i="36"/>
  <c r="F1003" i="36"/>
  <c r="E1003" i="36"/>
  <c r="D1003" i="36"/>
  <c r="G999" i="36"/>
  <c r="F999" i="36"/>
  <c r="E999" i="36"/>
  <c r="D999" i="36"/>
  <c r="G995" i="36"/>
  <c r="F995" i="36"/>
  <c r="E995" i="36"/>
  <c r="D995" i="36"/>
  <c r="G991" i="36"/>
  <c r="F991" i="36"/>
  <c r="E991" i="36"/>
  <c r="D991" i="36"/>
  <c r="G987" i="36"/>
  <c r="F987" i="36"/>
  <c r="E987" i="36"/>
  <c r="D987" i="36"/>
  <c r="G983" i="36"/>
  <c r="F983" i="36"/>
  <c r="E983" i="36"/>
  <c r="D983" i="36"/>
  <c r="G979" i="36"/>
  <c r="F979" i="36"/>
  <c r="E979" i="36"/>
  <c r="D979" i="36"/>
  <c r="G975" i="36"/>
  <c r="F975" i="36"/>
  <c r="E975" i="36"/>
  <c r="D975" i="36"/>
  <c r="G971" i="36"/>
  <c r="F971" i="36"/>
  <c r="E971" i="36"/>
  <c r="D971" i="36"/>
  <c r="G967" i="36"/>
  <c r="F967" i="36"/>
  <c r="E967" i="36"/>
  <c r="D967" i="36"/>
  <c r="G963" i="36"/>
  <c r="F963" i="36"/>
  <c r="E963" i="36"/>
  <c r="D963" i="36"/>
  <c r="G959" i="36"/>
  <c r="F959" i="36"/>
  <c r="E959" i="36"/>
  <c r="D959" i="36"/>
  <c r="G955" i="36"/>
  <c r="F955" i="36"/>
  <c r="E955" i="36"/>
  <c r="D955" i="36"/>
  <c r="G951" i="36"/>
  <c r="F951" i="36"/>
  <c r="E951" i="36"/>
  <c r="D951" i="36"/>
  <c r="G947" i="36"/>
  <c r="F947" i="36"/>
  <c r="E947" i="36"/>
  <c r="D947" i="36"/>
  <c r="G943" i="36"/>
  <c r="F943" i="36"/>
  <c r="E943" i="36"/>
  <c r="D943" i="36"/>
  <c r="G939" i="36"/>
  <c r="F939" i="36"/>
  <c r="E939" i="36"/>
  <c r="D939" i="36"/>
  <c r="G935" i="36"/>
  <c r="F935" i="36"/>
  <c r="E935" i="36"/>
  <c r="D935" i="36"/>
  <c r="G931" i="36"/>
  <c r="F931" i="36"/>
  <c r="E931" i="36"/>
  <c r="D931" i="36"/>
  <c r="G927" i="36"/>
  <c r="F927" i="36"/>
  <c r="E927" i="36"/>
  <c r="D927" i="36"/>
  <c r="G923" i="36"/>
  <c r="F923" i="36"/>
  <c r="E923" i="36"/>
  <c r="D923" i="36"/>
  <c r="G919" i="36"/>
  <c r="F919" i="36"/>
  <c r="E919" i="36"/>
  <c r="D919" i="36"/>
  <c r="G915" i="36"/>
  <c r="F915" i="36"/>
  <c r="E915" i="36"/>
  <c r="D915" i="36"/>
  <c r="G911" i="36"/>
  <c r="F911" i="36"/>
  <c r="E911" i="36"/>
  <c r="D911" i="36"/>
  <c r="G907" i="36"/>
  <c r="F907" i="36"/>
  <c r="E907" i="36"/>
  <c r="D907" i="36"/>
  <c r="G903" i="36"/>
  <c r="F903" i="36"/>
  <c r="E903" i="36"/>
  <c r="D903" i="36"/>
  <c r="G899" i="36"/>
  <c r="F899" i="36"/>
  <c r="E899" i="36"/>
  <c r="D899" i="36"/>
  <c r="G895" i="36"/>
  <c r="F895" i="36"/>
  <c r="E895" i="36"/>
  <c r="D895" i="36"/>
  <c r="G891" i="36"/>
  <c r="F891" i="36"/>
  <c r="E891" i="36"/>
  <c r="D891" i="36"/>
  <c r="G887" i="36"/>
  <c r="F887" i="36"/>
  <c r="E887" i="36"/>
  <c r="D887" i="36"/>
  <c r="G883" i="36"/>
  <c r="F883" i="36"/>
  <c r="E883" i="36"/>
  <c r="D883" i="36"/>
  <c r="G879" i="36"/>
  <c r="F879" i="36"/>
  <c r="E879" i="36"/>
  <c r="D879" i="36"/>
  <c r="G875" i="36"/>
  <c r="F875" i="36"/>
  <c r="E875" i="36"/>
  <c r="D875" i="36"/>
  <c r="G871" i="36"/>
  <c r="F871" i="36"/>
  <c r="E871" i="36"/>
  <c r="D871" i="36"/>
  <c r="G867" i="36"/>
  <c r="F867" i="36"/>
  <c r="E867" i="36"/>
  <c r="D867" i="36"/>
  <c r="G863" i="36"/>
  <c r="F863" i="36"/>
  <c r="E863" i="36"/>
  <c r="D863" i="36"/>
  <c r="G859" i="36"/>
  <c r="F859" i="36"/>
  <c r="E859" i="36"/>
  <c r="D859" i="36"/>
  <c r="G855" i="36"/>
  <c r="F855" i="36"/>
  <c r="E855" i="36"/>
  <c r="D855" i="36"/>
  <c r="G851" i="36"/>
  <c r="F851" i="36"/>
  <c r="E851" i="36"/>
  <c r="D851" i="36"/>
  <c r="G847" i="36"/>
  <c r="F847" i="36"/>
  <c r="E847" i="36"/>
  <c r="D847" i="36"/>
  <c r="G843" i="36"/>
  <c r="F843" i="36"/>
  <c r="E843" i="36"/>
  <c r="D843" i="36"/>
  <c r="G839" i="36"/>
  <c r="F839" i="36"/>
  <c r="E839" i="36"/>
  <c r="D839" i="36"/>
  <c r="G835" i="36"/>
  <c r="F835" i="36"/>
  <c r="E835" i="36"/>
  <c r="D835" i="36"/>
  <c r="G831" i="36"/>
  <c r="F831" i="36"/>
  <c r="E831" i="36"/>
  <c r="D831" i="36"/>
  <c r="G827" i="36"/>
  <c r="F827" i="36"/>
  <c r="E827" i="36"/>
  <c r="D827" i="36"/>
  <c r="G823" i="36"/>
  <c r="F823" i="36"/>
  <c r="E823" i="36"/>
  <c r="D823" i="36"/>
  <c r="G819" i="36"/>
  <c r="F819" i="36"/>
  <c r="E819" i="36"/>
  <c r="D819" i="36"/>
  <c r="G815" i="36"/>
  <c r="F815" i="36"/>
  <c r="E815" i="36"/>
  <c r="D815" i="36"/>
  <c r="G811" i="36"/>
  <c r="F811" i="36"/>
  <c r="E811" i="36"/>
  <c r="D811" i="36"/>
  <c r="G807" i="36"/>
  <c r="F807" i="36"/>
  <c r="E807" i="36"/>
  <c r="D807" i="36"/>
  <c r="G803" i="36"/>
  <c r="F803" i="36"/>
  <c r="E803" i="36"/>
  <c r="D803" i="36"/>
  <c r="G799" i="36"/>
  <c r="F799" i="36"/>
  <c r="E799" i="36"/>
  <c r="D799" i="36"/>
  <c r="G795" i="36"/>
  <c r="F795" i="36"/>
  <c r="E795" i="36"/>
  <c r="D795" i="36"/>
  <c r="G791" i="36"/>
  <c r="F791" i="36"/>
  <c r="E791" i="36"/>
  <c r="D791" i="36"/>
  <c r="G787" i="36"/>
  <c r="F787" i="36"/>
  <c r="E787" i="36"/>
  <c r="D787" i="36"/>
  <c r="G783" i="36"/>
  <c r="F783" i="36"/>
  <c r="E783" i="36"/>
  <c r="D783" i="36"/>
  <c r="G779" i="36"/>
  <c r="F779" i="36"/>
  <c r="E779" i="36"/>
  <c r="D779" i="36"/>
  <c r="G775" i="36"/>
  <c r="F775" i="36"/>
  <c r="E775" i="36"/>
  <c r="D775" i="36"/>
  <c r="G771" i="36"/>
  <c r="F771" i="36"/>
  <c r="E771" i="36"/>
  <c r="D771" i="36"/>
  <c r="G767" i="36"/>
  <c r="F767" i="36"/>
  <c r="E767" i="36"/>
  <c r="D767" i="36"/>
  <c r="G763" i="36"/>
  <c r="F763" i="36"/>
  <c r="E763" i="36"/>
  <c r="D763" i="36"/>
  <c r="G759" i="36"/>
  <c r="F759" i="36"/>
  <c r="E759" i="36"/>
  <c r="D759" i="36"/>
  <c r="G755" i="36"/>
  <c r="F755" i="36"/>
  <c r="E755" i="36"/>
  <c r="D755" i="36"/>
  <c r="G751" i="36"/>
  <c r="F751" i="36"/>
  <c r="E751" i="36"/>
  <c r="D751" i="36"/>
  <c r="G747" i="36"/>
  <c r="F747" i="36"/>
  <c r="E747" i="36"/>
  <c r="D747" i="36"/>
  <c r="G743" i="36"/>
  <c r="F743" i="36"/>
  <c r="E743" i="36"/>
  <c r="D743" i="36"/>
  <c r="G739" i="36"/>
  <c r="F739" i="36"/>
  <c r="E739" i="36"/>
  <c r="D739" i="36"/>
  <c r="G735" i="36"/>
  <c r="F735" i="36"/>
  <c r="E735" i="36"/>
  <c r="D735" i="36"/>
  <c r="G731" i="36"/>
  <c r="F731" i="36"/>
  <c r="E731" i="36"/>
  <c r="D731" i="36"/>
  <c r="G727" i="36"/>
  <c r="F727" i="36"/>
  <c r="E727" i="36"/>
  <c r="D727" i="36"/>
  <c r="G723" i="36"/>
  <c r="F723" i="36"/>
  <c r="E723" i="36"/>
  <c r="D723" i="36"/>
  <c r="G719" i="36"/>
  <c r="F719" i="36"/>
  <c r="E719" i="36"/>
  <c r="D719" i="36"/>
  <c r="G715" i="36"/>
  <c r="F715" i="36"/>
  <c r="E715" i="36"/>
  <c r="D715" i="36"/>
  <c r="G711" i="36"/>
  <c r="F711" i="36"/>
  <c r="E711" i="36"/>
  <c r="D711" i="36"/>
  <c r="G707" i="36"/>
  <c r="F707" i="36"/>
  <c r="E707" i="36"/>
  <c r="D707" i="36"/>
  <c r="G703" i="36"/>
  <c r="F703" i="36"/>
  <c r="E703" i="36"/>
  <c r="D703" i="36"/>
  <c r="G699" i="36"/>
  <c r="F699" i="36"/>
  <c r="E699" i="36"/>
  <c r="D699" i="36"/>
  <c r="G695" i="36"/>
  <c r="F695" i="36"/>
  <c r="E695" i="36"/>
  <c r="D695" i="36"/>
  <c r="G691" i="36"/>
  <c r="F691" i="36"/>
  <c r="E691" i="36"/>
  <c r="D691" i="36"/>
  <c r="G687" i="36"/>
  <c r="F687" i="36"/>
  <c r="E687" i="36"/>
  <c r="D687" i="36"/>
  <c r="G683" i="36"/>
  <c r="F683" i="36"/>
  <c r="E683" i="36"/>
  <c r="D683" i="36"/>
  <c r="G679" i="36"/>
  <c r="F679" i="36"/>
  <c r="E679" i="36"/>
  <c r="D679" i="36"/>
  <c r="G675" i="36"/>
  <c r="F675" i="36"/>
  <c r="E675" i="36"/>
  <c r="D675" i="36"/>
  <c r="G671" i="36"/>
  <c r="F671" i="36"/>
  <c r="E671" i="36"/>
  <c r="D671" i="36"/>
  <c r="G667" i="36"/>
  <c r="F667" i="36"/>
  <c r="E667" i="36"/>
  <c r="D667" i="36"/>
  <c r="G663" i="36"/>
  <c r="F663" i="36"/>
  <c r="E663" i="36"/>
  <c r="D663" i="36"/>
  <c r="G659" i="36"/>
  <c r="F659" i="36"/>
  <c r="E659" i="36"/>
  <c r="D659" i="36"/>
  <c r="G655" i="36"/>
  <c r="F655" i="36"/>
  <c r="E655" i="36"/>
  <c r="D655" i="36"/>
  <c r="G651" i="36"/>
  <c r="F651" i="36"/>
  <c r="E651" i="36"/>
  <c r="D651" i="36"/>
  <c r="G647" i="36"/>
  <c r="F647" i="36"/>
  <c r="E647" i="36"/>
  <c r="D647" i="36"/>
  <c r="G643" i="36"/>
  <c r="F643" i="36"/>
  <c r="E643" i="36"/>
  <c r="D643" i="36"/>
  <c r="G639" i="36"/>
  <c r="F639" i="36"/>
  <c r="E639" i="36"/>
  <c r="D639" i="36"/>
  <c r="G635" i="36"/>
  <c r="F635" i="36"/>
  <c r="E635" i="36"/>
  <c r="D635" i="36"/>
  <c r="G631" i="36"/>
  <c r="F631" i="36"/>
  <c r="E631" i="36"/>
  <c r="D631" i="36"/>
  <c r="G627" i="36"/>
  <c r="F627" i="36"/>
  <c r="E627" i="36"/>
  <c r="D627" i="36"/>
  <c r="G623" i="36"/>
  <c r="F623" i="36"/>
  <c r="E623" i="36"/>
  <c r="D623" i="36"/>
  <c r="G619" i="36"/>
  <c r="F619" i="36"/>
  <c r="E619" i="36"/>
  <c r="D619" i="36"/>
  <c r="G615" i="36"/>
  <c r="F615" i="36"/>
  <c r="E615" i="36"/>
  <c r="D615" i="36"/>
  <c r="G611" i="36"/>
  <c r="F611" i="36"/>
  <c r="E611" i="36"/>
  <c r="D611" i="36"/>
  <c r="G607" i="36"/>
  <c r="F607" i="36"/>
  <c r="E607" i="36"/>
  <c r="D607" i="36"/>
  <c r="G603" i="36"/>
  <c r="F603" i="36"/>
  <c r="E603" i="36"/>
  <c r="D603" i="36"/>
  <c r="G599" i="36"/>
  <c r="F599" i="36"/>
  <c r="E599" i="36"/>
  <c r="D599" i="36"/>
  <c r="G595" i="36"/>
  <c r="F595" i="36"/>
  <c r="E595" i="36"/>
  <c r="D595" i="36"/>
  <c r="G591" i="36"/>
  <c r="F591" i="36"/>
  <c r="E591" i="36"/>
  <c r="D591" i="36"/>
  <c r="G587" i="36"/>
  <c r="F587" i="36"/>
  <c r="E587" i="36"/>
  <c r="D587" i="36"/>
  <c r="G583" i="36"/>
  <c r="F583" i="36"/>
  <c r="E583" i="36"/>
  <c r="D583" i="36"/>
  <c r="G579" i="36"/>
  <c r="F579" i="36"/>
  <c r="E579" i="36"/>
  <c r="D579" i="36"/>
  <c r="G575" i="36"/>
  <c r="F575" i="36"/>
  <c r="E575" i="36"/>
  <c r="D575" i="36"/>
  <c r="G571" i="36"/>
  <c r="F571" i="36"/>
  <c r="E571" i="36"/>
  <c r="D571" i="36"/>
  <c r="G567" i="36"/>
  <c r="F567" i="36"/>
  <c r="E567" i="36"/>
  <c r="D567" i="36"/>
  <c r="G563" i="36"/>
  <c r="F563" i="36"/>
  <c r="E563" i="36"/>
  <c r="D563" i="36"/>
  <c r="G559" i="36"/>
  <c r="F559" i="36"/>
  <c r="E559" i="36"/>
  <c r="D559" i="36"/>
  <c r="G555" i="36"/>
  <c r="F555" i="36"/>
  <c r="E555" i="36"/>
  <c r="D555" i="36"/>
  <c r="G551" i="36"/>
  <c r="F551" i="36"/>
  <c r="E551" i="36"/>
  <c r="D551" i="36"/>
  <c r="G547" i="36"/>
  <c r="F547" i="36"/>
  <c r="E547" i="36"/>
  <c r="D547" i="36"/>
  <c r="G543" i="36"/>
  <c r="F543" i="36"/>
  <c r="E543" i="36"/>
  <c r="D543" i="36"/>
  <c r="G539" i="36"/>
  <c r="F539" i="36"/>
  <c r="E539" i="36"/>
  <c r="D539" i="36"/>
  <c r="G535" i="36"/>
  <c r="F535" i="36"/>
  <c r="E535" i="36"/>
  <c r="D535" i="36"/>
  <c r="G531" i="36"/>
  <c r="F531" i="36"/>
  <c r="E531" i="36"/>
  <c r="D531" i="36"/>
  <c r="G527" i="36"/>
  <c r="F527" i="36"/>
  <c r="E527" i="36"/>
  <c r="D527" i="36"/>
  <c r="G523" i="36"/>
  <c r="F523" i="36"/>
  <c r="E523" i="36"/>
  <c r="D523" i="36"/>
  <c r="G519" i="36"/>
  <c r="F519" i="36"/>
  <c r="E519" i="36"/>
  <c r="D519" i="36"/>
  <c r="G515" i="36"/>
  <c r="F515" i="36"/>
  <c r="E515" i="36"/>
  <c r="D515" i="36"/>
  <c r="G511" i="36"/>
  <c r="F511" i="36"/>
  <c r="E511" i="36"/>
  <c r="D511" i="36"/>
  <c r="G507" i="36"/>
  <c r="F507" i="36"/>
  <c r="E507" i="36"/>
  <c r="D507" i="36"/>
  <c r="G503" i="36"/>
  <c r="F503" i="36"/>
  <c r="E503" i="36"/>
  <c r="D503" i="36"/>
  <c r="G499" i="36"/>
  <c r="F499" i="36"/>
  <c r="E499" i="36"/>
  <c r="D499" i="36"/>
  <c r="G495" i="36"/>
  <c r="F495" i="36"/>
  <c r="E495" i="36"/>
  <c r="D495" i="36"/>
  <c r="G491" i="36"/>
  <c r="F491" i="36"/>
  <c r="E491" i="36"/>
  <c r="D491" i="36"/>
  <c r="G487" i="36"/>
  <c r="F487" i="36"/>
  <c r="E487" i="36"/>
  <c r="D487" i="36"/>
  <c r="G483" i="36"/>
  <c r="F483" i="36"/>
  <c r="E483" i="36"/>
  <c r="D483" i="36"/>
  <c r="G479" i="36"/>
  <c r="F479" i="36"/>
  <c r="E479" i="36"/>
  <c r="D479" i="36"/>
  <c r="G475" i="36"/>
  <c r="F475" i="36"/>
  <c r="E475" i="36"/>
  <c r="D475" i="36"/>
  <c r="G471" i="36"/>
  <c r="F471" i="36"/>
  <c r="E471" i="36"/>
  <c r="D471" i="36"/>
  <c r="G467" i="36"/>
  <c r="F467" i="36"/>
  <c r="E467" i="36"/>
  <c r="D467" i="36"/>
  <c r="G463" i="36"/>
  <c r="F463" i="36"/>
  <c r="E463" i="36"/>
  <c r="D463" i="36"/>
  <c r="G459" i="36"/>
  <c r="F459" i="36"/>
  <c r="E459" i="36"/>
  <c r="D459" i="36"/>
  <c r="G455" i="36"/>
  <c r="F455" i="36"/>
  <c r="E455" i="36"/>
  <c r="D455" i="36"/>
  <c r="G451" i="36"/>
  <c r="F451" i="36"/>
  <c r="E451" i="36"/>
  <c r="D451" i="36"/>
  <c r="G447" i="36"/>
  <c r="F447" i="36"/>
  <c r="E447" i="36"/>
  <c r="D447" i="36"/>
  <c r="G443" i="36"/>
  <c r="F443" i="36"/>
  <c r="E443" i="36"/>
  <c r="D443" i="36"/>
  <c r="G439" i="36"/>
  <c r="F439" i="36"/>
  <c r="E439" i="36"/>
  <c r="D439" i="36"/>
  <c r="G435" i="36"/>
  <c r="F435" i="36"/>
  <c r="E435" i="36"/>
  <c r="D435" i="36"/>
  <c r="G431" i="36"/>
  <c r="F431" i="36"/>
  <c r="E431" i="36"/>
  <c r="D431" i="36"/>
  <c r="G427" i="36"/>
  <c r="F427" i="36"/>
  <c r="E427" i="36"/>
  <c r="D427" i="36"/>
  <c r="G423" i="36"/>
  <c r="F423" i="36"/>
  <c r="E423" i="36"/>
  <c r="D423" i="36"/>
  <c r="G419" i="36"/>
  <c r="F419" i="36"/>
  <c r="E419" i="36"/>
  <c r="D419" i="36"/>
  <c r="G415" i="36"/>
  <c r="F415" i="36"/>
  <c r="E415" i="36"/>
  <c r="D415" i="36"/>
  <c r="G411" i="36"/>
  <c r="F411" i="36"/>
  <c r="E411" i="36"/>
  <c r="D411" i="36"/>
  <c r="G407" i="36"/>
  <c r="F407" i="36"/>
  <c r="E407" i="36"/>
  <c r="D407" i="36"/>
  <c r="G403" i="36"/>
  <c r="F403" i="36"/>
  <c r="E403" i="36"/>
  <c r="D403" i="36"/>
  <c r="G399" i="36"/>
  <c r="F399" i="36"/>
  <c r="E399" i="36"/>
  <c r="D399" i="36"/>
  <c r="G395" i="36"/>
  <c r="F395" i="36"/>
  <c r="E395" i="36"/>
  <c r="D395" i="36"/>
  <c r="G391" i="36"/>
  <c r="F391" i="36"/>
  <c r="E391" i="36"/>
  <c r="D391" i="36"/>
  <c r="G387" i="36"/>
  <c r="F387" i="36"/>
  <c r="E387" i="36"/>
  <c r="D387" i="36"/>
  <c r="G383" i="36"/>
  <c r="F383" i="36"/>
  <c r="E383" i="36"/>
  <c r="D383" i="36"/>
  <c r="G379" i="36"/>
  <c r="F379" i="36"/>
  <c r="E379" i="36"/>
  <c r="D379" i="36"/>
  <c r="G375" i="36"/>
  <c r="F375" i="36"/>
  <c r="E375" i="36"/>
  <c r="D375" i="36"/>
  <c r="G371" i="36"/>
  <c r="F371" i="36"/>
  <c r="E371" i="36"/>
  <c r="D371" i="36"/>
  <c r="G367" i="36"/>
  <c r="F367" i="36"/>
  <c r="E367" i="36"/>
  <c r="D367" i="36"/>
  <c r="G363" i="36"/>
  <c r="F363" i="36"/>
  <c r="E363" i="36"/>
  <c r="D363" i="36"/>
  <c r="G359" i="36"/>
  <c r="F359" i="36"/>
  <c r="E359" i="36"/>
  <c r="D359" i="36"/>
  <c r="G355" i="36"/>
  <c r="F355" i="36"/>
  <c r="E355" i="36"/>
  <c r="D355" i="36"/>
  <c r="G351" i="36"/>
  <c r="F351" i="36"/>
  <c r="E351" i="36"/>
  <c r="D351" i="36"/>
  <c r="G347" i="36"/>
  <c r="F347" i="36"/>
  <c r="E347" i="36"/>
  <c r="D347" i="36"/>
  <c r="G343" i="36"/>
  <c r="F343" i="36"/>
  <c r="E343" i="36"/>
  <c r="D343" i="36"/>
  <c r="G339" i="36"/>
  <c r="F339" i="36"/>
  <c r="E339" i="36"/>
  <c r="D339" i="36"/>
  <c r="G335" i="36"/>
  <c r="F335" i="36"/>
  <c r="E335" i="36"/>
  <c r="D335" i="36"/>
  <c r="G331" i="36"/>
  <c r="F331" i="36"/>
  <c r="E331" i="36"/>
  <c r="D331" i="36"/>
  <c r="G327" i="36"/>
  <c r="F327" i="36"/>
  <c r="E327" i="36"/>
  <c r="D327" i="36"/>
  <c r="G323" i="36"/>
  <c r="F323" i="36"/>
  <c r="E323" i="36"/>
  <c r="D323" i="36"/>
  <c r="G319" i="36"/>
  <c r="F319" i="36"/>
  <c r="E319" i="36"/>
  <c r="D319" i="36"/>
  <c r="G315" i="36"/>
  <c r="F315" i="36"/>
  <c r="E315" i="36"/>
  <c r="D315" i="36"/>
  <c r="G311" i="36"/>
  <c r="F311" i="36"/>
  <c r="E311" i="36"/>
  <c r="D311" i="36"/>
  <c r="G307" i="36"/>
  <c r="F307" i="36"/>
  <c r="E307" i="36"/>
  <c r="D307" i="36"/>
  <c r="G303" i="36"/>
  <c r="F303" i="36"/>
  <c r="E303" i="36"/>
  <c r="D303" i="36"/>
  <c r="G299" i="36"/>
  <c r="F299" i="36"/>
  <c r="E299" i="36"/>
  <c r="D299" i="36"/>
  <c r="G295" i="36"/>
  <c r="F295" i="36"/>
  <c r="E295" i="36"/>
  <c r="D295" i="36"/>
  <c r="G291" i="36"/>
  <c r="F291" i="36"/>
  <c r="E291" i="36"/>
  <c r="D291" i="36"/>
  <c r="G287" i="36"/>
  <c r="F287" i="36"/>
  <c r="E287" i="36"/>
  <c r="D287" i="36"/>
  <c r="G283" i="36"/>
  <c r="F283" i="36"/>
  <c r="E283" i="36"/>
  <c r="D283" i="36"/>
  <c r="G279" i="36"/>
  <c r="F279" i="36"/>
  <c r="E279" i="36"/>
  <c r="D279" i="36"/>
  <c r="G275" i="36"/>
  <c r="F275" i="36"/>
  <c r="E275" i="36"/>
  <c r="D275" i="36"/>
  <c r="G271" i="36"/>
  <c r="F271" i="36"/>
  <c r="E271" i="36"/>
  <c r="D271" i="36"/>
  <c r="G267" i="36"/>
  <c r="F267" i="36"/>
  <c r="E267" i="36"/>
  <c r="D267" i="36"/>
  <c r="G263" i="36"/>
  <c r="F263" i="36"/>
  <c r="E263" i="36"/>
  <c r="D263" i="36"/>
  <c r="G259" i="36"/>
  <c r="F259" i="36"/>
  <c r="E259" i="36"/>
  <c r="D259" i="36"/>
  <c r="G255" i="36"/>
  <c r="F255" i="36"/>
  <c r="E255" i="36"/>
  <c r="D255" i="36"/>
  <c r="G251" i="36"/>
  <c r="F251" i="36"/>
  <c r="E251" i="36"/>
  <c r="D251" i="36"/>
  <c r="G247" i="36"/>
  <c r="F247" i="36"/>
  <c r="E247" i="36"/>
  <c r="D247" i="36"/>
  <c r="G243" i="36"/>
  <c r="F243" i="36"/>
  <c r="E243" i="36"/>
  <c r="D243" i="36"/>
  <c r="G239" i="36"/>
  <c r="F239" i="36"/>
  <c r="E239" i="36"/>
  <c r="D239" i="36"/>
  <c r="G235" i="36"/>
  <c r="F235" i="36"/>
  <c r="E235" i="36"/>
  <c r="D235" i="36"/>
  <c r="G231" i="36"/>
  <c r="F231" i="36"/>
  <c r="E231" i="36"/>
  <c r="D231" i="36"/>
  <c r="G227" i="36"/>
  <c r="F227" i="36"/>
  <c r="E227" i="36"/>
  <c r="D227" i="36"/>
  <c r="G223" i="36"/>
  <c r="F223" i="36"/>
  <c r="E223" i="36"/>
  <c r="D223" i="36"/>
  <c r="G219" i="36"/>
  <c r="F219" i="36"/>
  <c r="E219" i="36"/>
  <c r="D219" i="36"/>
  <c r="G215" i="36"/>
  <c r="F215" i="36"/>
  <c r="E215" i="36"/>
  <c r="D215" i="36"/>
  <c r="G211" i="36"/>
  <c r="F211" i="36"/>
  <c r="E211" i="36"/>
  <c r="D211" i="36"/>
  <c r="G207" i="36"/>
  <c r="F207" i="36"/>
  <c r="E207" i="36"/>
  <c r="D207" i="36"/>
  <c r="G203" i="36"/>
  <c r="F203" i="36"/>
  <c r="E203" i="36"/>
  <c r="D203" i="36"/>
  <c r="G199" i="36"/>
  <c r="F199" i="36"/>
  <c r="E199" i="36"/>
  <c r="D199" i="36"/>
  <c r="G195" i="36"/>
  <c r="F195" i="36"/>
  <c r="E195" i="36"/>
  <c r="D195" i="36"/>
  <c r="G191" i="36"/>
  <c r="F191" i="36"/>
  <c r="E191" i="36"/>
  <c r="D191" i="36"/>
  <c r="G187" i="36"/>
  <c r="F187" i="36"/>
  <c r="E187" i="36"/>
  <c r="D187" i="36"/>
  <c r="G183" i="36"/>
  <c r="F183" i="36"/>
  <c r="E183" i="36"/>
  <c r="D183" i="36"/>
  <c r="G179" i="36"/>
  <c r="F179" i="36"/>
  <c r="E179" i="36"/>
  <c r="D179" i="36"/>
  <c r="G175" i="36"/>
  <c r="F175" i="36"/>
  <c r="E175" i="36"/>
  <c r="D175" i="36"/>
  <c r="G171" i="36"/>
  <c r="F171" i="36"/>
  <c r="E171" i="36"/>
  <c r="D171" i="36"/>
  <c r="G167" i="36"/>
  <c r="F167" i="36"/>
  <c r="E167" i="36"/>
  <c r="D167" i="36"/>
  <c r="G163" i="36"/>
  <c r="F163" i="36"/>
  <c r="E163" i="36"/>
  <c r="D163" i="36"/>
  <c r="G159" i="36"/>
  <c r="F159" i="36"/>
  <c r="E159" i="36"/>
  <c r="D159" i="36"/>
  <c r="G155" i="36"/>
  <c r="F155" i="36"/>
  <c r="E155" i="36"/>
  <c r="D155" i="36"/>
  <c r="G151" i="36"/>
  <c r="F151" i="36"/>
  <c r="E151" i="36"/>
  <c r="D151" i="36"/>
  <c r="G147" i="36"/>
  <c r="F147" i="36"/>
  <c r="E147" i="36"/>
  <c r="D147" i="36"/>
  <c r="G143" i="36"/>
  <c r="F143" i="36"/>
  <c r="E143" i="36"/>
  <c r="D143" i="36"/>
  <c r="G139" i="36"/>
  <c r="F139" i="36"/>
  <c r="E139" i="36"/>
  <c r="D139" i="36"/>
  <c r="G135" i="36"/>
  <c r="F135" i="36"/>
  <c r="E135" i="36"/>
  <c r="D135" i="36"/>
  <c r="G131" i="36"/>
  <c r="F131" i="36"/>
  <c r="E131" i="36"/>
  <c r="D131" i="36"/>
  <c r="G127" i="36"/>
  <c r="F127" i="36"/>
  <c r="E127" i="36"/>
  <c r="D127" i="36"/>
  <c r="G123" i="36"/>
  <c r="F123" i="36"/>
  <c r="E123" i="36"/>
  <c r="D123" i="36"/>
  <c r="G119" i="36"/>
  <c r="F119" i="36"/>
  <c r="E119" i="36"/>
  <c r="D119" i="36"/>
  <c r="G115" i="36"/>
  <c r="F115" i="36"/>
  <c r="E115" i="36"/>
  <c r="D115" i="36"/>
  <c r="G111" i="36"/>
  <c r="F111" i="36"/>
  <c r="E111" i="36"/>
  <c r="D111" i="36"/>
  <c r="G107" i="36"/>
  <c r="F107" i="36"/>
  <c r="E107" i="36"/>
  <c r="D107" i="36"/>
  <c r="G103" i="36"/>
  <c r="F103" i="36"/>
  <c r="E103" i="36"/>
  <c r="D103" i="36"/>
  <c r="G99" i="36"/>
  <c r="F99" i="36"/>
  <c r="E99" i="36"/>
  <c r="D99" i="36"/>
  <c r="G95" i="36"/>
  <c r="F95" i="36"/>
  <c r="E95" i="36"/>
  <c r="D95" i="36"/>
  <c r="G91" i="36"/>
  <c r="F91" i="36"/>
  <c r="E91" i="36"/>
  <c r="D91" i="36"/>
  <c r="G87" i="36"/>
  <c r="F87" i="36"/>
  <c r="E87" i="36"/>
  <c r="D87" i="36"/>
  <c r="G83" i="36"/>
  <c r="F83" i="36"/>
  <c r="E83" i="36"/>
  <c r="D83" i="36"/>
  <c r="G79" i="36"/>
  <c r="F79" i="36"/>
  <c r="E79" i="36"/>
  <c r="D79" i="36"/>
  <c r="G75" i="36"/>
  <c r="F75" i="36"/>
  <c r="E75" i="36"/>
  <c r="D75" i="36"/>
  <c r="G71" i="36"/>
  <c r="F71" i="36"/>
  <c r="E71" i="36"/>
  <c r="D71" i="36"/>
  <c r="G67" i="36"/>
  <c r="F67" i="36"/>
  <c r="E67" i="36"/>
  <c r="D67" i="36"/>
  <c r="G63" i="36"/>
  <c r="F63" i="36"/>
  <c r="E63" i="36"/>
  <c r="D63" i="36"/>
  <c r="G59" i="36"/>
  <c r="F59" i="36"/>
  <c r="E59" i="36"/>
  <c r="D59" i="36"/>
  <c r="G55" i="36"/>
  <c r="F55" i="36"/>
  <c r="E55" i="36"/>
  <c r="D55" i="36"/>
  <c r="G51" i="36"/>
  <c r="F51" i="36"/>
  <c r="E51" i="36"/>
  <c r="D51" i="36"/>
  <c r="G47" i="36"/>
  <c r="F47" i="36"/>
  <c r="E47" i="36"/>
  <c r="D47" i="36"/>
  <c r="G43" i="36"/>
  <c r="F43" i="36"/>
  <c r="E43" i="36"/>
  <c r="D43" i="36"/>
  <c r="G39" i="36"/>
  <c r="F39" i="36"/>
  <c r="E39" i="36"/>
  <c r="D39" i="36"/>
  <c r="G35" i="36"/>
  <c r="F35" i="36"/>
  <c r="E35" i="36"/>
  <c r="D35" i="36"/>
  <c r="G31" i="36"/>
  <c r="F31" i="36"/>
  <c r="E31" i="36"/>
  <c r="D31" i="36"/>
  <c r="G27" i="36"/>
  <c r="F27" i="36"/>
  <c r="E27" i="36"/>
  <c r="D27" i="36"/>
  <c r="G23" i="36"/>
  <c r="F23" i="36"/>
  <c r="E23" i="36"/>
  <c r="D23" i="36"/>
  <c r="G19" i="36"/>
  <c r="F19" i="36"/>
  <c r="E19" i="36"/>
  <c r="D19" i="36"/>
  <c r="G15" i="36"/>
  <c r="F15" i="36"/>
  <c r="E15" i="36"/>
  <c r="D15" i="36"/>
  <c r="G11" i="36"/>
  <c r="F11" i="36"/>
  <c r="E11" i="36"/>
  <c r="D11" i="36"/>
  <c r="G7" i="36"/>
  <c r="F7" i="36"/>
  <c r="E7" i="36"/>
  <c r="D7" i="36"/>
  <c r="F3" i="36"/>
  <c r="E3" i="36"/>
  <c r="G3" i="36"/>
  <c r="D3" i="36"/>
  <c r="G2057" i="36"/>
  <c r="F2057" i="36"/>
  <c r="E2057" i="36"/>
  <c r="D2057" i="36"/>
  <c r="G2049" i="36"/>
  <c r="F2049" i="36"/>
  <c r="E2049" i="36"/>
  <c r="D2049" i="36"/>
  <c r="G2041" i="36"/>
  <c r="F2041" i="36"/>
  <c r="E2041" i="36"/>
  <c r="D2041" i="36"/>
  <c r="G2033" i="36"/>
  <c r="F2033" i="36"/>
  <c r="E2033" i="36"/>
  <c r="D2033" i="36"/>
  <c r="G2025" i="36"/>
  <c r="F2025" i="36"/>
  <c r="E2025" i="36"/>
  <c r="D2025" i="36"/>
  <c r="G2017" i="36"/>
  <c r="F2017" i="36"/>
  <c r="E2017" i="36"/>
  <c r="D2017" i="36"/>
  <c r="G2009" i="36"/>
  <c r="F2009" i="36"/>
  <c r="E2009" i="36"/>
  <c r="D2009" i="36"/>
  <c r="G2001" i="36"/>
  <c r="F2001" i="36"/>
  <c r="E2001" i="36"/>
  <c r="D2001" i="36"/>
  <c r="G1993" i="36"/>
  <c r="F1993" i="36"/>
  <c r="E1993" i="36"/>
  <c r="D1993" i="36"/>
  <c r="G1985" i="36"/>
  <c r="F1985" i="36"/>
  <c r="E1985" i="36"/>
  <c r="D1985" i="36"/>
  <c r="G1977" i="36"/>
  <c r="F1977" i="36"/>
  <c r="E1977" i="36"/>
  <c r="D1977" i="36"/>
  <c r="G1969" i="36"/>
  <c r="F1969" i="36"/>
  <c r="E1969" i="36"/>
  <c r="D1969" i="36"/>
  <c r="G1961" i="36"/>
  <c r="F1961" i="36"/>
  <c r="E1961" i="36"/>
  <c r="D1961" i="36"/>
  <c r="G1949" i="36"/>
  <c r="F1949" i="36"/>
  <c r="E1949" i="36"/>
  <c r="D1949" i="36"/>
  <c r="G1941" i="36"/>
  <c r="F1941" i="36"/>
  <c r="E1941" i="36"/>
  <c r="D1941" i="36"/>
  <c r="G1933" i="36"/>
  <c r="F1933" i="36"/>
  <c r="E1933" i="36"/>
  <c r="D1933" i="36"/>
  <c r="G1925" i="36"/>
  <c r="F1925" i="36"/>
  <c r="E1925" i="36"/>
  <c r="D1925" i="36"/>
  <c r="G1917" i="36"/>
  <c r="F1917" i="36"/>
  <c r="D1917" i="36"/>
  <c r="E1917" i="36"/>
  <c r="G1909" i="36"/>
  <c r="F1909" i="36"/>
  <c r="D1909" i="36"/>
  <c r="E1909" i="36"/>
  <c r="G1897" i="36"/>
  <c r="F1897" i="36"/>
  <c r="D1897" i="36"/>
  <c r="E1897" i="36"/>
  <c r="G1889" i="36"/>
  <c r="F1889" i="36"/>
  <c r="D1889" i="36"/>
  <c r="E1889" i="36"/>
  <c r="G1881" i="36"/>
  <c r="F1881" i="36"/>
  <c r="D1881" i="36"/>
  <c r="E1881" i="36"/>
  <c r="G1873" i="36"/>
  <c r="F1873" i="36"/>
  <c r="D1873" i="36"/>
  <c r="E1873" i="36"/>
  <c r="G1865" i="36"/>
  <c r="F1865" i="36"/>
  <c r="D1865" i="36"/>
  <c r="E1865" i="36"/>
  <c r="G1853" i="36"/>
  <c r="F1853" i="36"/>
  <c r="D1853" i="36"/>
  <c r="E1853" i="36"/>
  <c r="G1845" i="36"/>
  <c r="F1845" i="36"/>
  <c r="D1845" i="36"/>
  <c r="E1845" i="36"/>
  <c r="G1837" i="36"/>
  <c r="F1837" i="36"/>
  <c r="D1837" i="36"/>
  <c r="E1837" i="36"/>
  <c r="G1829" i="36"/>
  <c r="F1829" i="36"/>
  <c r="D1829" i="36"/>
  <c r="E1829" i="36"/>
  <c r="G1821" i="36"/>
  <c r="F1821" i="36"/>
  <c r="D1821" i="36"/>
  <c r="E1821" i="36"/>
  <c r="G1813" i="36"/>
  <c r="F1813" i="36"/>
  <c r="D1813" i="36"/>
  <c r="E1813" i="36"/>
  <c r="G1805" i="36"/>
  <c r="F1805" i="36"/>
  <c r="D1805" i="36"/>
  <c r="E1805" i="36"/>
  <c r="G1797" i="36"/>
  <c r="F1797" i="36"/>
  <c r="D1797" i="36"/>
  <c r="E1797" i="36"/>
  <c r="G1789" i="36"/>
  <c r="F1789" i="36"/>
  <c r="D1789" i="36"/>
  <c r="E1789" i="36"/>
  <c r="G1777" i="36"/>
  <c r="F1777" i="36"/>
  <c r="D1777" i="36"/>
  <c r="E1777" i="36"/>
  <c r="G1769" i="36"/>
  <c r="F1769" i="36"/>
  <c r="D1769" i="36"/>
  <c r="E1769" i="36"/>
  <c r="G1761" i="36"/>
  <c r="F1761" i="36"/>
  <c r="D1761" i="36"/>
  <c r="E1761" i="36"/>
  <c r="G1753" i="36"/>
  <c r="F1753" i="36"/>
  <c r="D1753" i="36"/>
  <c r="E1753" i="36"/>
  <c r="G1745" i="36"/>
  <c r="F1745" i="36"/>
  <c r="D1745" i="36"/>
  <c r="E1745" i="36"/>
  <c r="G1737" i="36"/>
  <c r="F1737" i="36"/>
  <c r="D1737" i="36"/>
  <c r="E1737" i="36"/>
  <c r="G1729" i="36"/>
  <c r="F1729" i="36"/>
  <c r="D1729" i="36"/>
  <c r="E1729" i="36"/>
  <c r="G1721" i="36"/>
  <c r="F1721" i="36"/>
  <c r="D1721" i="36"/>
  <c r="E1721" i="36"/>
  <c r="G1713" i="36"/>
  <c r="F1713" i="36"/>
  <c r="D1713" i="36"/>
  <c r="E1713" i="36"/>
  <c r="G1705" i="36"/>
  <c r="F1705" i="36"/>
  <c r="D1705" i="36"/>
  <c r="E1705" i="36"/>
  <c r="G1697" i="36"/>
  <c r="F1697" i="36"/>
  <c r="D1697" i="36"/>
  <c r="E1697" i="36"/>
  <c r="G1689" i="36"/>
  <c r="F1689" i="36"/>
  <c r="D1689" i="36"/>
  <c r="E1689" i="36"/>
  <c r="G1681" i="36"/>
  <c r="F1681" i="36"/>
  <c r="D1681" i="36"/>
  <c r="E1681" i="36"/>
  <c r="G1673" i="36"/>
  <c r="F1673" i="36"/>
  <c r="E1673" i="36"/>
  <c r="D1673" i="36"/>
  <c r="G1665" i="36"/>
  <c r="F1665" i="36"/>
  <c r="E1665" i="36"/>
  <c r="D1665" i="36"/>
  <c r="G1657" i="36"/>
  <c r="F1657" i="36"/>
  <c r="E1657" i="36"/>
  <c r="D1657" i="36"/>
  <c r="G1649" i="36"/>
  <c r="F1649" i="36"/>
  <c r="E1649" i="36"/>
  <c r="D1649" i="36"/>
  <c r="G1641" i="36"/>
  <c r="F1641" i="36"/>
  <c r="E1641" i="36"/>
  <c r="D1641" i="36"/>
  <c r="G1633" i="36"/>
  <c r="F1633" i="36"/>
  <c r="E1633" i="36"/>
  <c r="D1633" i="36"/>
  <c r="G1625" i="36"/>
  <c r="F1625" i="36"/>
  <c r="E1625" i="36"/>
  <c r="D1625" i="36"/>
  <c r="G1617" i="36"/>
  <c r="F1617" i="36"/>
  <c r="E1617" i="36"/>
  <c r="D1617" i="36"/>
  <c r="G1609" i="36"/>
  <c r="F1609" i="36"/>
  <c r="E1609" i="36"/>
  <c r="D1609" i="36"/>
  <c r="G1601" i="36"/>
  <c r="F1601" i="36"/>
  <c r="E1601" i="36"/>
  <c r="D1601" i="36"/>
  <c r="G1589" i="36"/>
  <c r="F1589" i="36"/>
  <c r="E1589" i="36"/>
  <c r="D1589" i="36"/>
  <c r="G1581" i="36"/>
  <c r="F1581" i="36"/>
  <c r="E1581" i="36"/>
  <c r="D1581" i="36"/>
  <c r="G1573" i="36"/>
  <c r="F1573" i="36"/>
  <c r="E1573" i="36"/>
  <c r="D1573" i="36"/>
  <c r="G1565" i="36"/>
  <c r="F1565" i="36"/>
  <c r="E1565" i="36"/>
  <c r="D1565" i="36"/>
  <c r="G1561" i="36"/>
  <c r="F1561" i="36"/>
  <c r="E1561" i="36"/>
  <c r="D1561" i="36"/>
  <c r="G1553" i="36"/>
  <c r="F1553" i="36"/>
  <c r="E1553" i="36"/>
  <c r="D1553" i="36"/>
  <c r="G1545" i="36"/>
  <c r="F1545" i="36"/>
  <c r="E1545" i="36"/>
  <c r="D1545" i="36"/>
  <c r="G1537" i="36"/>
  <c r="F1537" i="36"/>
  <c r="E1537" i="36"/>
  <c r="D1537" i="36"/>
  <c r="G1521" i="36"/>
  <c r="F1521" i="36"/>
  <c r="E1521" i="36"/>
  <c r="D1521" i="36"/>
  <c r="G1509" i="36"/>
  <c r="F1509" i="36"/>
  <c r="E1509" i="36"/>
  <c r="D1509" i="36"/>
  <c r="G1493" i="36"/>
  <c r="F1493" i="36"/>
  <c r="E1493" i="36"/>
  <c r="D1493" i="36"/>
  <c r="G1481" i="36"/>
  <c r="F1481" i="36"/>
  <c r="E1481" i="36"/>
  <c r="D1481" i="36"/>
  <c r="G1469" i="36"/>
  <c r="F1469" i="36"/>
  <c r="E1469" i="36"/>
  <c r="D1469" i="36"/>
  <c r="G1457" i="36"/>
  <c r="F1457" i="36"/>
  <c r="E1457" i="36"/>
  <c r="D1457" i="36"/>
  <c r="G1445" i="36"/>
  <c r="F1445" i="36"/>
  <c r="E1445" i="36"/>
  <c r="D1445" i="36"/>
  <c r="G1433" i="36"/>
  <c r="F1433" i="36"/>
  <c r="E1433" i="36"/>
  <c r="D1433" i="36"/>
  <c r="G1421" i="36"/>
  <c r="F1421" i="36"/>
  <c r="E1421" i="36"/>
  <c r="D1421" i="36"/>
  <c r="G1405" i="36"/>
  <c r="F1405" i="36"/>
  <c r="E1405" i="36"/>
  <c r="D1405" i="36"/>
  <c r="G1389" i="36"/>
  <c r="F1389" i="36"/>
  <c r="E1389" i="36"/>
  <c r="D1389" i="36"/>
  <c r="G1377" i="36"/>
  <c r="F1377" i="36"/>
  <c r="E1377" i="36"/>
  <c r="D1377" i="36"/>
  <c r="G1365" i="36"/>
  <c r="F1365" i="36"/>
  <c r="E1365" i="36"/>
  <c r="D1365" i="36"/>
  <c r="G1349" i="36"/>
  <c r="F1349" i="36"/>
  <c r="E1349" i="36"/>
  <c r="D1349" i="36"/>
  <c r="G1337" i="36"/>
  <c r="F1337" i="36"/>
  <c r="E1337" i="36"/>
  <c r="D1337" i="36"/>
  <c r="G1321" i="36"/>
  <c r="F1321" i="36"/>
  <c r="E1321" i="36"/>
  <c r="D1321" i="36"/>
  <c r="G1309" i="36"/>
  <c r="F1309" i="36"/>
  <c r="E1309" i="36"/>
  <c r="D1309" i="36"/>
  <c r="G1297" i="36"/>
  <c r="F1297" i="36"/>
  <c r="E1297" i="36"/>
  <c r="D1297" i="36"/>
  <c r="G1285" i="36"/>
  <c r="F1285" i="36"/>
  <c r="E1285" i="36"/>
  <c r="D1285" i="36"/>
  <c r="G1273" i="36"/>
  <c r="F1273" i="36"/>
  <c r="E1273" i="36"/>
  <c r="D1273" i="36"/>
  <c r="G1261" i="36"/>
  <c r="F1261" i="36"/>
  <c r="E1261" i="36"/>
  <c r="D1261" i="36"/>
  <c r="G1249" i="36"/>
  <c r="F1249" i="36"/>
  <c r="E1249" i="36"/>
  <c r="D1249" i="36"/>
  <c r="G1237" i="36"/>
  <c r="F1237" i="36"/>
  <c r="E1237" i="36"/>
  <c r="D1237" i="36"/>
  <c r="G1225" i="36"/>
  <c r="F1225" i="36"/>
  <c r="E1225" i="36"/>
  <c r="D1225" i="36"/>
  <c r="G1209" i="36"/>
  <c r="F1209" i="36"/>
  <c r="E1209" i="36"/>
  <c r="D1209" i="36"/>
  <c r="G1193" i="36"/>
  <c r="F1193" i="36"/>
  <c r="E1193" i="36"/>
  <c r="D1193" i="36"/>
  <c r="G1181" i="36"/>
  <c r="F1181" i="36"/>
  <c r="E1181" i="36"/>
  <c r="D1181" i="36"/>
  <c r="G1169" i="36"/>
  <c r="F1169" i="36"/>
  <c r="E1169" i="36"/>
  <c r="D1169" i="36"/>
  <c r="G1157" i="36"/>
  <c r="F1157" i="36"/>
  <c r="E1157" i="36"/>
  <c r="D1157" i="36"/>
  <c r="G1145" i="36"/>
  <c r="F1145" i="36"/>
  <c r="E1145" i="36"/>
  <c r="D1145" i="36"/>
  <c r="G1133" i="36"/>
  <c r="F1133" i="36"/>
  <c r="E1133" i="36"/>
  <c r="D1133" i="36"/>
  <c r="G1121" i="36"/>
  <c r="F1121" i="36"/>
  <c r="E1121" i="36"/>
  <c r="D1121" i="36"/>
  <c r="G1109" i="36"/>
  <c r="F1109" i="36"/>
  <c r="E1109" i="36"/>
  <c r="D1109" i="36"/>
  <c r="G1093" i="36"/>
  <c r="F1093" i="36"/>
  <c r="E1093" i="36"/>
  <c r="D1093" i="36"/>
  <c r="G1081" i="36"/>
  <c r="F1081" i="36"/>
  <c r="E1081" i="36"/>
  <c r="D1081" i="36"/>
  <c r="G1065" i="36"/>
  <c r="F1065" i="36"/>
  <c r="E1065" i="36"/>
  <c r="D1065" i="36"/>
  <c r="G1053" i="36"/>
  <c r="F1053" i="36"/>
  <c r="E1053" i="36"/>
  <c r="D1053" i="36"/>
  <c r="G1041" i="36"/>
  <c r="F1041" i="36"/>
  <c r="E1041" i="36"/>
  <c r="D1041" i="36"/>
  <c r="G1029" i="36"/>
  <c r="F1029" i="36"/>
  <c r="E1029" i="36"/>
  <c r="D1029" i="36"/>
  <c r="G1017" i="36"/>
  <c r="F1017" i="36"/>
  <c r="E1017" i="36"/>
  <c r="D1017" i="36"/>
  <c r="G1001" i="36"/>
  <c r="F1001" i="36"/>
  <c r="E1001" i="36"/>
  <c r="D1001" i="36"/>
  <c r="G985" i="36"/>
  <c r="F985" i="36"/>
  <c r="E985" i="36"/>
  <c r="D985" i="36"/>
  <c r="G973" i="36"/>
  <c r="F973" i="36"/>
  <c r="E973" i="36"/>
  <c r="D973" i="36"/>
  <c r="G961" i="36"/>
  <c r="F961" i="36"/>
  <c r="E961" i="36"/>
  <c r="D961" i="36"/>
  <c r="G949" i="36"/>
  <c r="F949" i="36"/>
  <c r="E949" i="36"/>
  <c r="D949" i="36"/>
  <c r="G929" i="36"/>
  <c r="F929" i="36"/>
  <c r="E929" i="36"/>
  <c r="D929" i="36"/>
  <c r="G917" i="36"/>
  <c r="F917" i="36"/>
  <c r="E917" i="36"/>
  <c r="D917" i="36"/>
  <c r="G905" i="36"/>
  <c r="F905" i="36"/>
  <c r="E905" i="36"/>
  <c r="D905" i="36"/>
  <c r="G893" i="36"/>
  <c r="F893" i="36"/>
  <c r="E893" i="36"/>
  <c r="D893" i="36"/>
  <c r="G881" i="36"/>
  <c r="F881" i="36"/>
  <c r="E881" i="36"/>
  <c r="D881" i="36"/>
  <c r="G869" i="36"/>
  <c r="F869" i="36"/>
  <c r="E869" i="36"/>
  <c r="D869" i="36"/>
  <c r="G849" i="36"/>
  <c r="F849" i="36"/>
  <c r="E849" i="36"/>
  <c r="D849" i="36"/>
  <c r="G837" i="36"/>
  <c r="F837" i="36"/>
  <c r="E837" i="36"/>
  <c r="D837" i="36"/>
  <c r="G825" i="36"/>
  <c r="F825" i="36"/>
  <c r="E825" i="36"/>
  <c r="D825" i="36"/>
  <c r="G813" i="36"/>
  <c r="F813" i="36"/>
  <c r="E813" i="36"/>
  <c r="D813" i="36"/>
  <c r="G801" i="36"/>
  <c r="F801" i="36"/>
  <c r="E801" i="36"/>
  <c r="D801" i="36"/>
  <c r="G781" i="36"/>
  <c r="F781" i="36"/>
  <c r="E781" i="36"/>
  <c r="D781" i="36"/>
  <c r="G769" i="36"/>
  <c r="F769" i="36"/>
  <c r="E769" i="36"/>
  <c r="D769" i="36"/>
  <c r="G757" i="36"/>
  <c r="F757" i="36"/>
  <c r="E757" i="36"/>
  <c r="D757" i="36"/>
  <c r="G745" i="36"/>
  <c r="F745" i="36"/>
  <c r="E745" i="36"/>
  <c r="D745" i="36"/>
  <c r="G733" i="36"/>
  <c r="F733" i="36"/>
  <c r="E733" i="36"/>
  <c r="D733" i="36"/>
  <c r="G713" i="36"/>
  <c r="F713" i="36"/>
  <c r="E713" i="36"/>
  <c r="D713" i="36"/>
  <c r="G701" i="36"/>
  <c r="F701" i="36"/>
  <c r="E701" i="36"/>
  <c r="D701" i="36"/>
  <c r="G689" i="36"/>
  <c r="F689" i="36"/>
  <c r="E689" i="36"/>
  <c r="D689" i="36"/>
  <c r="G677" i="36"/>
  <c r="F677" i="36"/>
  <c r="E677" i="36"/>
  <c r="D677" i="36"/>
  <c r="G665" i="36"/>
  <c r="F665" i="36"/>
  <c r="E665" i="36"/>
  <c r="D665" i="36"/>
  <c r="G649" i="36"/>
  <c r="F649" i="36"/>
  <c r="E649" i="36"/>
  <c r="D649" i="36"/>
  <c r="G633" i="36"/>
  <c r="F633" i="36"/>
  <c r="E633" i="36"/>
  <c r="D633" i="36"/>
  <c r="G621" i="36"/>
  <c r="F621" i="36"/>
  <c r="E621" i="36"/>
  <c r="D621" i="36"/>
  <c r="G609" i="36"/>
  <c r="F609" i="36"/>
  <c r="E609" i="36"/>
  <c r="D609" i="36"/>
  <c r="G597" i="36"/>
  <c r="F597" i="36"/>
  <c r="E597" i="36"/>
  <c r="D597" i="36"/>
  <c r="G585" i="36"/>
  <c r="F585" i="36"/>
  <c r="E585" i="36"/>
  <c r="D585" i="36"/>
  <c r="G573" i="36"/>
  <c r="F573" i="36"/>
  <c r="E573" i="36"/>
  <c r="D573" i="36"/>
  <c r="G561" i="36"/>
  <c r="F561" i="36"/>
  <c r="E561" i="36"/>
  <c r="D561" i="36"/>
  <c r="G549" i="36"/>
  <c r="F549" i="36"/>
  <c r="E549" i="36"/>
  <c r="D549" i="36"/>
  <c r="G533" i="36"/>
  <c r="F533" i="36"/>
  <c r="E533" i="36"/>
  <c r="D533" i="36"/>
  <c r="G517" i="36"/>
  <c r="F517" i="36"/>
  <c r="E517" i="36"/>
  <c r="D517" i="36"/>
  <c r="G505" i="36"/>
  <c r="F505" i="36"/>
  <c r="E505" i="36"/>
  <c r="D505" i="36"/>
  <c r="G493" i="36"/>
  <c r="F493" i="36"/>
  <c r="E493" i="36"/>
  <c r="D493" i="36"/>
  <c r="G481" i="36"/>
  <c r="F481" i="36"/>
  <c r="E481" i="36"/>
  <c r="D481" i="36"/>
  <c r="G461" i="36"/>
  <c r="F461" i="36"/>
  <c r="E461" i="36"/>
  <c r="D461" i="36"/>
  <c r="G449" i="36"/>
  <c r="F449" i="36"/>
  <c r="E449" i="36"/>
  <c r="D449" i="36"/>
  <c r="G437" i="36"/>
  <c r="F437" i="36"/>
  <c r="E437" i="36"/>
  <c r="D437" i="36"/>
  <c r="G425" i="36"/>
  <c r="F425" i="36"/>
  <c r="E425" i="36"/>
  <c r="D425" i="36"/>
  <c r="G413" i="36"/>
  <c r="F413" i="36"/>
  <c r="E413" i="36"/>
  <c r="D413" i="36"/>
  <c r="G401" i="36"/>
  <c r="F401" i="36"/>
  <c r="E401" i="36"/>
  <c r="D401" i="36"/>
  <c r="G389" i="36"/>
  <c r="F389" i="36"/>
  <c r="E389" i="36"/>
  <c r="D389" i="36"/>
  <c r="G377" i="36"/>
  <c r="F377" i="36"/>
  <c r="E377" i="36"/>
  <c r="D377" i="36"/>
  <c r="G365" i="36"/>
  <c r="F365" i="36"/>
  <c r="E365" i="36"/>
  <c r="D365" i="36"/>
  <c r="G353" i="36"/>
  <c r="F353" i="36"/>
  <c r="E353" i="36"/>
  <c r="D353" i="36"/>
  <c r="G341" i="36"/>
  <c r="F341" i="36"/>
  <c r="E341" i="36"/>
  <c r="D341" i="36"/>
  <c r="G329" i="36"/>
  <c r="F329" i="36"/>
  <c r="E329" i="36"/>
  <c r="D329" i="36"/>
  <c r="G317" i="36"/>
  <c r="F317" i="36"/>
  <c r="E317" i="36"/>
  <c r="D317" i="36"/>
  <c r="G305" i="36"/>
  <c r="F305" i="36"/>
  <c r="E305" i="36"/>
  <c r="D305" i="36"/>
  <c r="G293" i="36"/>
  <c r="F293" i="36"/>
  <c r="E293" i="36"/>
  <c r="D293" i="36"/>
  <c r="G281" i="36"/>
  <c r="F281" i="36"/>
  <c r="E281" i="36"/>
  <c r="D281" i="36"/>
  <c r="G269" i="36"/>
  <c r="F269" i="36"/>
  <c r="E269" i="36"/>
  <c r="D269" i="36"/>
  <c r="G257" i="36"/>
  <c r="F257" i="36"/>
  <c r="E257" i="36"/>
  <c r="D257" i="36"/>
  <c r="G241" i="36"/>
  <c r="F241" i="36"/>
  <c r="E241" i="36"/>
  <c r="D241" i="36"/>
  <c r="G225" i="36"/>
  <c r="F225" i="36"/>
  <c r="E225" i="36"/>
  <c r="D225" i="36"/>
  <c r="G209" i="36"/>
  <c r="F209" i="36"/>
  <c r="E209" i="36"/>
  <c r="D209" i="36"/>
  <c r="G197" i="36"/>
  <c r="F197" i="36"/>
  <c r="E197" i="36"/>
  <c r="D197" i="36"/>
  <c r="G185" i="36"/>
  <c r="F185" i="36"/>
  <c r="E185" i="36"/>
  <c r="D185" i="36"/>
  <c r="G173" i="36"/>
  <c r="F173" i="36"/>
  <c r="E173" i="36"/>
  <c r="D173" i="36"/>
  <c r="G161" i="36"/>
  <c r="F161" i="36"/>
  <c r="E161" i="36"/>
  <c r="D161" i="36"/>
  <c r="G149" i="36"/>
  <c r="F149" i="36"/>
  <c r="E149" i="36"/>
  <c r="D149" i="36"/>
  <c r="G137" i="36"/>
  <c r="F137" i="36"/>
  <c r="E137" i="36"/>
  <c r="D137" i="36"/>
  <c r="G125" i="36"/>
  <c r="F125" i="36"/>
  <c r="E125" i="36"/>
  <c r="D125" i="36"/>
  <c r="G113" i="36"/>
  <c r="F113" i="36"/>
  <c r="E113" i="36"/>
  <c r="D113" i="36"/>
  <c r="G101" i="36"/>
  <c r="F101" i="36"/>
  <c r="E101" i="36"/>
  <c r="D101" i="36"/>
  <c r="G89" i="36"/>
  <c r="F89" i="36"/>
  <c r="E89" i="36"/>
  <c r="D89" i="36"/>
  <c r="G77" i="36"/>
  <c r="F77" i="36"/>
  <c r="E77" i="36"/>
  <c r="D77" i="36"/>
  <c r="G65" i="36"/>
  <c r="F65" i="36"/>
  <c r="E65" i="36"/>
  <c r="D65" i="36"/>
  <c r="G49" i="36"/>
  <c r="F49" i="36"/>
  <c r="E49" i="36"/>
  <c r="D49" i="36"/>
  <c r="G41" i="36"/>
  <c r="F41" i="36"/>
  <c r="E41" i="36"/>
  <c r="D41" i="36"/>
  <c r="G29" i="36"/>
  <c r="F29" i="36"/>
  <c r="E29" i="36"/>
  <c r="D29" i="36"/>
  <c r="G25" i="36"/>
  <c r="F25" i="36"/>
  <c r="E25" i="36"/>
  <c r="D25" i="36"/>
  <c r="G21" i="36"/>
  <c r="F21" i="36"/>
  <c r="E21" i="36"/>
  <c r="D21" i="36"/>
  <c r="G17" i="36"/>
  <c r="F17" i="36"/>
  <c r="E17" i="36"/>
  <c r="D17" i="36"/>
  <c r="G13" i="36"/>
  <c r="F13" i="36"/>
  <c r="E13" i="36"/>
  <c r="D13" i="36"/>
  <c r="G9" i="36"/>
  <c r="F9" i="36"/>
  <c r="E9" i="36"/>
  <c r="D9" i="36"/>
  <c r="G5" i="36"/>
  <c r="F5" i="36"/>
  <c r="E5" i="36"/>
  <c r="D5" i="36"/>
  <c r="G2056" i="36"/>
  <c r="F2056" i="36"/>
  <c r="E2056" i="36"/>
  <c r="D2056" i="36"/>
  <c r="G2044" i="36"/>
  <c r="F2044" i="36"/>
  <c r="E2044" i="36"/>
  <c r="D2044" i="36"/>
  <c r="G2032" i="36"/>
  <c r="F2032" i="36"/>
  <c r="E2032" i="36"/>
  <c r="D2032" i="36"/>
  <c r="G2020" i="36"/>
  <c r="E2020" i="36"/>
  <c r="D2020" i="36"/>
  <c r="F2020" i="36"/>
  <c r="G2008" i="36"/>
  <c r="F2008" i="36"/>
  <c r="E2008" i="36"/>
  <c r="D2008" i="36"/>
  <c r="G1996" i="36"/>
  <c r="F1996" i="36"/>
  <c r="E1996" i="36"/>
  <c r="D1996" i="36"/>
  <c r="G1984" i="36"/>
  <c r="F1984" i="36"/>
  <c r="E1984" i="36"/>
  <c r="D1984" i="36"/>
  <c r="G1972" i="36"/>
  <c r="F1972" i="36"/>
  <c r="E1972" i="36"/>
  <c r="D1972" i="36"/>
  <c r="G1960" i="36"/>
  <c r="F1960" i="36"/>
  <c r="E1960" i="36"/>
  <c r="D1960" i="36"/>
  <c r="G1948" i="36"/>
  <c r="F1948" i="36"/>
  <c r="E1948" i="36"/>
  <c r="D1948" i="36"/>
  <c r="G1936" i="36"/>
  <c r="F1936" i="36"/>
  <c r="E1936" i="36"/>
  <c r="D1936" i="36"/>
  <c r="G1924" i="36"/>
  <c r="F1924" i="36"/>
  <c r="E1924" i="36"/>
  <c r="D1924" i="36"/>
  <c r="G1912" i="36"/>
  <c r="F1912" i="36"/>
  <c r="E1912" i="36"/>
  <c r="D1912" i="36"/>
  <c r="G1900" i="36"/>
  <c r="F1900" i="36"/>
  <c r="E1900" i="36"/>
  <c r="D1900" i="36"/>
  <c r="G1884" i="36"/>
  <c r="F1884" i="36"/>
  <c r="E1884" i="36"/>
  <c r="D1884" i="36"/>
  <c r="G1872" i="36"/>
  <c r="F1872" i="36"/>
  <c r="E1872" i="36"/>
  <c r="D1872" i="36"/>
  <c r="G1860" i="36"/>
  <c r="F1860" i="36"/>
  <c r="E1860" i="36"/>
  <c r="D1860" i="36"/>
  <c r="G1848" i="36"/>
  <c r="F1848" i="36"/>
  <c r="E1848" i="36"/>
  <c r="D1848" i="36"/>
  <c r="G1836" i="36"/>
  <c r="F1836" i="36"/>
  <c r="E1836" i="36"/>
  <c r="D1836" i="36"/>
  <c r="G1820" i="36"/>
  <c r="F1820" i="36"/>
  <c r="E1820" i="36"/>
  <c r="D1820" i="36"/>
  <c r="G1808" i="36"/>
  <c r="F1808" i="36"/>
  <c r="E1808" i="36"/>
  <c r="D1808" i="36"/>
  <c r="G1796" i="36"/>
  <c r="F1796" i="36"/>
  <c r="E1796" i="36"/>
  <c r="D1796" i="36"/>
  <c r="G1784" i="36"/>
  <c r="F1784" i="36"/>
  <c r="E1784" i="36"/>
  <c r="D1784" i="36"/>
  <c r="G1772" i="36"/>
  <c r="F1772" i="36"/>
  <c r="E1772" i="36"/>
  <c r="D1772" i="36"/>
  <c r="G1756" i="36"/>
  <c r="F1756" i="36"/>
  <c r="E1756" i="36"/>
  <c r="D1756" i="36"/>
  <c r="G1744" i="36"/>
  <c r="F1744" i="36"/>
  <c r="E1744" i="36"/>
  <c r="D1744" i="36"/>
  <c r="G1732" i="36"/>
  <c r="F1732" i="36"/>
  <c r="E1732" i="36"/>
  <c r="D1732" i="36"/>
  <c r="G1720" i="36"/>
  <c r="F1720" i="36"/>
  <c r="E1720" i="36"/>
  <c r="D1720" i="36"/>
  <c r="G1708" i="36"/>
  <c r="F1708" i="36"/>
  <c r="E1708" i="36"/>
  <c r="D1708" i="36"/>
  <c r="G1696" i="36"/>
  <c r="F1696" i="36"/>
  <c r="E1696" i="36"/>
  <c r="D1696" i="36"/>
  <c r="G1684" i="36"/>
  <c r="E1684" i="36"/>
  <c r="D1684" i="36"/>
  <c r="F1684" i="36"/>
  <c r="G1672" i="36"/>
  <c r="F1672" i="36"/>
  <c r="E1672" i="36"/>
  <c r="D1672" i="36"/>
  <c r="G1656" i="36"/>
  <c r="F1656" i="36"/>
  <c r="E1656" i="36"/>
  <c r="D1656" i="36"/>
  <c r="G1644" i="36"/>
  <c r="F1644" i="36"/>
  <c r="E1644" i="36"/>
  <c r="D1644" i="36"/>
  <c r="G1632" i="36"/>
  <c r="F1632" i="36"/>
  <c r="E1632" i="36"/>
  <c r="D1632" i="36"/>
  <c r="G1624" i="36"/>
  <c r="F1624" i="36"/>
  <c r="E1624" i="36"/>
  <c r="D1624" i="36"/>
  <c r="G1612" i="36"/>
  <c r="F1612" i="36"/>
  <c r="E1612" i="36"/>
  <c r="D1612" i="36"/>
  <c r="G1604" i="36"/>
  <c r="F1604" i="36"/>
  <c r="E1604" i="36"/>
  <c r="D1604" i="36"/>
  <c r="G1592" i="36"/>
  <c r="F1592" i="36"/>
  <c r="E1592" i="36"/>
  <c r="D1592" i="36"/>
  <c r="G1580" i="36"/>
  <c r="F1580" i="36"/>
  <c r="E1580" i="36"/>
  <c r="D1580" i="36"/>
  <c r="G1568" i="36"/>
  <c r="F1568" i="36"/>
  <c r="E1568" i="36"/>
  <c r="D1568" i="36"/>
  <c r="G1556" i="36"/>
  <c r="E1556" i="36"/>
  <c r="F1556" i="36"/>
  <c r="D1556" i="36"/>
  <c r="G1544" i="36"/>
  <c r="F1544" i="36"/>
  <c r="E1544" i="36"/>
  <c r="D1544" i="36"/>
  <c r="G1532" i="36"/>
  <c r="F1532" i="36"/>
  <c r="E1532" i="36"/>
  <c r="D1532" i="36"/>
  <c r="G1520" i="36"/>
  <c r="F1520" i="36"/>
  <c r="E1520" i="36"/>
  <c r="D1520" i="36"/>
  <c r="G1508" i="36"/>
  <c r="F1508" i="36"/>
  <c r="E1508" i="36"/>
  <c r="D1508" i="36"/>
  <c r="G1492" i="36"/>
  <c r="E1492" i="36"/>
  <c r="F1492" i="36"/>
  <c r="D1492" i="36"/>
  <c r="G1476" i="36"/>
  <c r="F1476" i="36"/>
  <c r="E1476" i="36"/>
  <c r="D1476" i="36"/>
  <c r="G1464" i="36"/>
  <c r="F1464" i="36"/>
  <c r="E1464" i="36"/>
  <c r="D1464" i="36"/>
  <c r="G1452" i="36"/>
  <c r="F1452" i="36"/>
  <c r="E1452" i="36"/>
  <c r="D1452" i="36"/>
  <c r="G1440" i="36"/>
  <c r="F1440" i="36"/>
  <c r="E1440" i="36"/>
  <c r="D1440" i="36"/>
  <c r="G1428" i="36"/>
  <c r="E1428" i="36"/>
  <c r="D1428" i="36"/>
  <c r="F1428" i="36"/>
  <c r="G1416" i="36"/>
  <c r="F1416" i="36"/>
  <c r="E1416" i="36"/>
  <c r="D1416" i="36"/>
  <c r="G1404" i="36"/>
  <c r="F1404" i="36"/>
  <c r="E1404" i="36"/>
  <c r="D1404" i="36"/>
  <c r="G1392" i="36"/>
  <c r="F1392" i="36"/>
  <c r="E1392" i="36"/>
  <c r="D1392" i="36"/>
  <c r="G1380" i="36"/>
  <c r="F1380" i="36"/>
  <c r="D1380" i="36"/>
  <c r="E1380" i="36"/>
  <c r="G1368" i="36"/>
  <c r="F1368" i="36"/>
  <c r="E1368" i="36"/>
  <c r="D1368" i="36"/>
  <c r="G1356" i="36"/>
  <c r="F1356" i="36"/>
  <c r="E1356" i="36"/>
  <c r="D1356" i="36"/>
  <c r="G1344" i="36"/>
  <c r="F1344" i="36"/>
  <c r="E1344" i="36"/>
  <c r="D1344" i="36"/>
  <c r="G1332" i="36"/>
  <c r="F1332" i="36"/>
  <c r="D1332" i="36"/>
  <c r="E1332" i="36"/>
  <c r="G1320" i="36"/>
  <c r="F1320" i="36"/>
  <c r="E1320" i="36"/>
  <c r="D1320" i="36"/>
  <c r="G1312" i="36"/>
  <c r="F1312" i="36"/>
  <c r="E1312" i="36"/>
  <c r="D1312" i="36"/>
  <c r="G1296" i="36"/>
  <c r="F1296" i="36"/>
  <c r="E1296" i="36"/>
  <c r="D1296" i="36"/>
  <c r="G1272" i="36"/>
  <c r="F1272" i="36"/>
  <c r="E1272" i="36"/>
  <c r="D1272" i="36"/>
  <c r="G1160" i="36"/>
  <c r="F1160" i="36"/>
  <c r="E1160" i="36"/>
  <c r="D1160" i="36"/>
  <c r="G2059" i="36"/>
  <c r="F2059" i="36"/>
  <c r="E2059" i="36"/>
  <c r="D2059" i="36"/>
  <c r="G2051" i="36"/>
  <c r="F2051" i="36"/>
  <c r="E2051" i="36"/>
  <c r="D2051" i="36"/>
  <c r="G2043" i="36"/>
  <c r="F2043" i="36"/>
  <c r="E2043" i="36"/>
  <c r="D2043" i="36"/>
  <c r="G2035" i="36"/>
  <c r="F2035" i="36"/>
  <c r="E2035" i="36"/>
  <c r="D2035" i="36"/>
  <c r="G2031" i="36"/>
  <c r="F2031" i="36"/>
  <c r="E2031" i="36"/>
  <c r="D2031" i="36"/>
  <c r="G2023" i="36"/>
  <c r="F2023" i="36"/>
  <c r="E2023" i="36"/>
  <c r="D2023" i="36"/>
  <c r="G2015" i="36"/>
  <c r="F2015" i="36"/>
  <c r="E2015" i="36"/>
  <c r="D2015" i="36"/>
  <c r="G2007" i="36"/>
  <c r="F2007" i="36"/>
  <c r="E2007" i="36"/>
  <c r="D2007" i="36"/>
  <c r="G2003" i="36"/>
  <c r="F2003" i="36"/>
  <c r="E2003" i="36"/>
  <c r="D2003" i="36"/>
  <c r="G1995" i="36"/>
  <c r="F1995" i="36"/>
  <c r="E1995" i="36"/>
  <c r="D1995" i="36"/>
  <c r="G1987" i="36"/>
  <c r="F1987" i="36"/>
  <c r="E1987" i="36"/>
  <c r="D1987" i="36"/>
  <c r="G1979" i="36"/>
  <c r="F1979" i="36"/>
  <c r="E1979" i="36"/>
  <c r="D1979" i="36"/>
  <c r="G1975" i="36"/>
  <c r="F1975" i="36"/>
  <c r="E1975" i="36"/>
  <c r="D1975" i="36"/>
  <c r="G1967" i="36"/>
  <c r="F1967" i="36"/>
  <c r="E1967" i="36"/>
  <c r="D1967" i="36"/>
  <c r="G1963" i="36"/>
  <c r="F1963" i="36"/>
  <c r="E1963" i="36"/>
  <c r="D1963" i="36"/>
  <c r="G1955" i="36"/>
  <c r="F1955" i="36"/>
  <c r="E1955" i="36"/>
  <c r="D1955" i="36"/>
  <c r="G1947" i="36"/>
  <c r="F1947" i="36"/>
  <c r="E1947" i="36"/>
  <c r="D1947" i="36"/>
  <c r="G1943" i="36"/>
  <c r="F1943" i="36"/>
  <c r="E1943" i="36"/>
  <c r="D1943" i="36"/>
  <c r="G1935" i="36"/>
  <c r="F1935" i="36"/>
  <c r="E1935" i="36"/>
  <c r="D1935" i="36"/>
  <c r="G1927" i="36"/>
  <c r="F1927" i="36"/>
  <c r="E1927" i="36"/>
  <c r="D1927" i="36"/>
  <c r="G1919" i="36"/>
  <c r="F1919" i="36"/>
  <c r="E1919" i="36"/>
  <c r="D1919" i="36"/>
  <c r="G1911" i="36"/>
  <c r="F1911" i="36"/>
  <c r="E1911" i="36"/>
  <c r="D1911" i="36"/>
  <c r="G1903" i="36"/>
  <c r="F1903" i="36"/>
  <c r="E1903" i="36"/>
  <c r="D1903" i="36"/>
  <c r="G1899" i="36"/>
  <c r="F1899" i="36"/>
  <c r="E1899" i="36"/>
  <c r="D1899" i="36"/>
  <c r="G1891" i="36"/>
  <c r="F1891" i="36"/>
  <c r="E1891" i="36"/>
  <c r="D1891" i="36"/>
  <c r="G1883" i="36"/>
  <c r="F1883" i="36"/>
  <c r="E1883" i="36"/>
  <c r="D1883" i="36"/>
  <c r="G1875" i="36"/>
  <c r="F1875" i="36"/>
  <c r="E1875" i="36"/>
  <c r="D1875" i="36"/>
  <c r="G1867" i="36"/>
  <c r="F1867" i="36"/>
  <c r="E1867" i="36"/>
  <c r="D1867" i="36"/>
  <c r="G1859" i="36"/>
  <c r="F1859" i="36"/>
  <c r="E1859" i="36"/>
  <c r="D1859" i="36"/>
  <c r="G1851" i="36"/>
  <c r="F1851" i="36"/>
  <c r="E1851" i="36"/>
  <c r="D1851" i="36"/>
  <c r="G1847" i="36"/>
  <c r="F1847" i="36"/>
  <c r="E1847" i="36"/>
  <c r="D1847" i="36"/>
  <c r="G1839" i="36"/>
  <c r="F1839" i="36"/>
  <c r="E1839" i="36"/>
  <c r="D1839" i="36"/>
  <c r="G1831" i="36"/>
  <c r="F1831" i="36"/>
  <c r="E1831" i="36"/>
  <c r="D1831" i="36"/>
  <c r="G1823" i="36"/>
  <c r="F1823" i="36"/>
  <c r="E1823" i="36"/>
  <c r="D1823" i="36"/>
  <c r="G1815" i="36"/>
  <c r="F1815" i="36"/>
  <c r="E1815" i="36"/>
  <c r="D1815" i="36"/>
  <c r="G1807" i="36"/>
  <c r="F1807" i="36"/>
  <c r="E1807" i="36"/>
  <c r="D1807" i="36"/>
  <c r="G1803" i="36"/>
  <c r="F1803" i="36"/>
  <c r="E1803" i="36"/>
  <c r="D1803" i="36"/>
  <c r="G1795" i="36"/>
  <c r="F1795" i="36"/>
  <c r="E1795" i="36"/>
  <c r="D1795" i="36"/>
  <c r="G1787" i="36"/>
  <c r="F1787" i="36"/>
  <c r="E1787" i="36"/>
  <c r="D1787" i="36"/>
  <c r="G1779" i="36"/>
  <c r="F1779" i="36"/>
  <c r="E1779" i="36"/>
  <c r="D1779" i="36"/>
  <c r="G1771" i="36"/>
  <c r="F1771" i="36"/>
  <c r="E1771" i="36"/>
  <c r="D1771" i="36"/>
  <c r="G1763" i="36"/>
  <c r="F1763" i="36"/>
  <c r="E1763" i="36"/>
  <c r="D1763" i="36"/>
  <c r="G1755" i="36"/>
  <c r="F1755" i="36"/>
  <c r="E1755" i="36"/>
  <c r="D1755" i="36"/>
  <c r="G1747" i="36"/>
  <c r="F1747" i="36"/>
  <c r="E1747" i="36"/>
  <c r="D1747" i="36"/>
  <c r="G1739" i="36"/>
  <c r="F1739" i="36"/>
  <c r="E1739" i="36"/>
  <c r="D1739" i="36"/>
  <c r="G1735" i="36"/>
  <c r="F1735" i="36"/>
  <c r="E1735" i="36"/>
  <c r="D1735" i="36"/>
  <c r="G1727" i="36"/>
  <c r="F1727" i="36"/>
  <c r="E1727" i="36"/>
  <c r="D1727" i="36"/>
  <c r="G1719" i="36"/>
  <c r="F1719" i="36"/>
  <c r="E1719" i="36"/>
  <c r="D1719" i="36"/>
  <c r="G1711" i="36"/>
  <c r="F1711" i="36"/>
  <c r="E1711" i="36"/>
  <c r="D1711" i="36"/>
  <c r="G1707" i="36"/>
  <c r="F1707" i="36"/>
  <c r="E1707" i="36"/>
  <c r="D1707" i="36"/>
  <c r="G1699" i="36"/>
  <c r="F1699" i="36"/>
  <c r="E1699" i="36"/>
  <c r="D1699" i="36"/>
  <c r="G1695" i="36"/>
  <c r="F1695" i="36"/>
  <c r="E1695" i="36"/>
  <c r="D1695" i="36"/>
  <c r="G1687" i="36"/>
  <c r="F1687" i="36"/>
  <c r="E1687" i="36"/>
  <c r="D1687" i="36"/>
  <c r="G1679" i="36"/>
  <c r="F1679" i="36"/>
  <c r="E1679" i="36"/>
  <c r="D1679" i="36"/>
  <c r="G1675" i="36"/>
  <c r="F1675" i="36"/>
  <c r="E1675" i="36"/>
  <c r="D1675" i="36"/>
  <c r="G1667" i="36"/>
  <c r="F1667" i="36"/>
  <c r="E1667" i="36"/>
  <c r="D1667" i="36"/>
  <c r="G1659" i="36"/>
  <c r="F1659" i="36"/>
  <c r="E1659" i="36"/>
  <c r="D1659" i="36"/>
  <c r="G1651" i="36"/>
  <c r="F1651" i="36"/>
  <c r="E1651" i="36"/>
  <c r="D1651" i="36"/>
  <c r="G1643" i="36"/>
  <c r="F1643" i="36"/>
  <c r="E1643" i="36"/>
  <c r="D1643" i="36"/>
  <c r="G1635" i="36"/>
  <c r="F1635" i="36"/>
  <c r="E1635" i="36"/>
  <c r="D1635" i="36"/>
  <c r="G1631" i="36"/>
  <c r="F1631" i="36"/>
  <c r="E1631" i="36"/>
  <c r="D1631" i="36"/>
  <c r="G1623" i="36"/>
  <c r="F1623" i="36"/>
  <c r="E1623" i="36"/>
  <c r="D1623" i="36"/>
  <c r="G1615" i="36"/>
  <c r="F1615" i="36"/>
  <c r="E1615" i="36"/>
  <c r="D1615" i="36"/>
  <c r="G1611" i="36"/>
  <c r="F1611" i="36"/>
  <c r="E1611" i="36"/>
  <c r="D1611" i="36"/>
  <c r="G1603" i="36"/>
  <c r="F1603" i="36"/>
  <c r="E1603" i="36"/>
  <c r="D1603" i="36"/>
  <c r="G1595" i="36"/>
  <c r="F1595" i="36"/>
  <c r="E1595" i="36"/>
  <c r="D1595" i="36"/>
  <c r="G1587" i="36"/>
  <c r="F1587" i="36"/>
  <c r="E1587" i="36"/>
  <c r="D1587" i="36"/>
  <c r="G1583" i="36"/>
  <c r="F1583" i="36"/>
  <c r="E1583" i="36"/>
  <c r="D1583" i="36"/>
  <c r="G1575" i="36"/>
  <c r="F1575" i="36"/>
  <c r="E1575" i="36"/>
  <c r="D1575" i="36"/>
  <c r="G1567" i="36"/>
  <c r="F1567" i="36"/>
  <c r="E1567" i="36"/>
  <c r="D1567" i="36"/>
  <c r="G1559" i="36"/>
  <c r="F1559" i="36"/>
  <c r="E1559" i="36"/>
  <c r="D1559" i="36"/>
  <c r="G1551" i="36"/>
  <c r="F1551" i="36"/>
  <c r="E1551" i="36"/>
  <c r="D1551" i="36"/>
  <c r="G1543" i="36"/>
  <c r="F1543" i="36"/>
  <c r="E1543" i="36"/>
  <c r="D1543" i="36"/>
  <c r="G1535" i="36"/>
  <c r="F1535" i="36"/>
  <c r="E1535" i="36"/>
  <c r="D1535" i="36"/>
  <c r="G1531" i="36"/>
  <c r="F1531" i="36"/>
  <c r="E1531" i="36"/>
  <c r="D1531" i="36"/>
  <c r="G1523" i="36"/>
  <c r="F1523" i="36"/>
  <c r="E1523" i="36"/>
  <c r="D1523" i="36"/>
  <c r="G1515" i="36"/>
  <c r="F1515" i="36"/>
  <c r="E1515" i="36"/>
  <c r="D1515" i="36"/>
  <c r="G1507" i="36"/>
  <c r="F1507" i="36"/>
  <c r="E1507" i="36"/>
  <c r="D1507" i="36"/>
  <c r="G1499" i="36"/>
  <c r="F1499" i="36"/>
  <c r="E1499" i="36"/>
  <c r="D1499" i="36"/>
  <c r="G1495" i="36"/>
  <c r="F1495" i="36"/>
  <c r="E1495" i="36"/>
  <c r="D1495" i="36"/>
  <c r="G1483" i="36"/>
  <c r="F1483" i="36"/>
  <c r="E1483" i="36"/>
  <c r="D1483" i="36"/>
  <c r="G1439" i="36"/>
  <c r="F1439" i="36"/>
  <c r="E1439" i="36"/>
  <c r="D1439" i="36"/>
  <c r="G2062" i="36"/>
  <c r="F2062" i="36"/>
  <c r="E2062" i="36"/>
  <c r="D2062" i="36"/>
  <c r="G2058" i="36"/>
  <c r="F2058" i="36"/>
  <c r="E2058" i="36"/>
  <c r="D2058" i="36"/>
  <c r="G2054" i="36"/>
  <c r="F2054" i="36"/>
  <c r="E2054" i="36"/>
  <c r="D2054" i="36"/>
  <c r="G2050" i="36"/>
  <c r="F2050" i="36"/>
  <c r="E2050" i="36"/>
  <c r="D2050" i="36"/>
  <c r="G2046" i="36"/>
  <c r="F2046" i="36"/>
  <c r="E2046" i="36"/>
  <c r="D2046" i="36"/>
  <c r="G2042" i="36"/>
  <c r="F2042" i="36"/>
  <c r="E2042" i="36"/>
  <c r="D2042" i="36"/>
  <c r="F2038" i="36"/>
  <c r="G2038" i="36"/>
  <c r="E2038" i="36"/>
  <c r="D2038" i="36"/>
  <c r="G2034" i="36"/>
  <c r="F2034" i="36"/>
  <c r="E2034" i="36"/>
  <c r="D2034" i="36"/>
  <c r="G2030" i="36"/>
  <c r="F2030" i="36"/>
  <c r="E2030" i="36"/>
  <c r="D2030" i="36"/>
  <c r="G2026" i="36"/>
  <c r="F2026" i="36"/>
  <c r="D2026" i="36"/>
  <c r="E2026" i="36"/>
  <c r="F2022" i="36"/>
  <c r="G2022" i="36"/>
  <c r="E2022" i="36"/>
  <c r="D2022" i="36"/>
  <c r="G2018" i="36"/>
  <c r="F2018" i="36"/>
  <c r="E2018" i="36"/>
  <c r="D2018" i="36"/>
  <c r="G2014" i="36"/>
  <c r="F2014" i="36"/>
  <c r="E2014" i="36"/>
  <c r="D2014" i="36"/>
  <c r="G2010" i="36"/>
  <c r="F2010" i="36"/>
  <c r="E2010" i="36"/>
  <c r="D2010" i="36"/>
  <c r="G2006" i="36"/>
  <c r="F2006" i="36"/>
  <c r="E2006" i="36"/>
  <c r="D2006" i="36"/>
  <c r="G2002" i="36"/>
  <c r="F2002" i="36"/>
  <c r="E2002" i="36"/>
  <c r="D2002" i="36"/>
  <c r="G1998" i="36"/>
  <c r="F1998" i="36"/>
  <c r="E1998" i="36"/>
  <c r="D1998" i="36"/>
  <c r="G1994" i="36"/>
  <c r="F1994" i="36"/>
  <c r="D1994" i="36"/>
  <c r="E1994" i="36"/>
  <c r="G1990" i="36"/>
  <c r="F1990" i="36"/>
  <c r="E1990" i="36"/>
  <c r="D1990" i="36"/>
  <c r="G1986" i="36"/>
  <c r="F1986" i="36"/>
  <c r="E1986" i="36"/>
  <c r="D1986" i="36"/>
  <c r="G1982" i="36"/>
  <c r="F1982" i="36"/>
  <c r="E1982" i="36"/>
  <c r="D1982" i="36"/>
  <c r="G1978" i="36"/>
  <c r="F1978" i="36"/>
  <c r="E1978" i="36"/>
  <c r="D1978" i="36"/>
  <c r="F1974" i="36"/>
  <c r="G1974" i="36"/>
  <c r="E1974" i="36"/>
  <c r="D1974" i="36"/>
  <c r="G1970" i="36"/>
  <c r="F1970" i="36"/>
  <c r="E1970" i="36"/>
  <c r="D1970" i="36"/>
  <c r="G1966" i="36"/>
  <c r="F1966" i="36"/>
  <c r="E1966" i="36"/>
  <c r="D1966" i="36"/>
  <c r="G1962" i="36"/>
  <c r="F1962" i="36"/>
  <c r="E1962" i="36"/>
  <c r="D1962" i="36"/>
  <c r="F1958" i="36"/>
  <c r="G1958" i="36"/>
  <c r="D1958" i="36"/>
  <c r="E1958" i="36"/>
  <c r="G1954" i="36"/>
  <c r="F1954" i="36"/>
  <c r="E1954" i="36"/>
  <c r="D1954" i="36"/>
  <c r="G1950" i="36"/>
  <c r="F1950" i="36"/>
  <c r="E1950" i="36"/>
  <c r="D1950" i="36"/>
  <c r="G1946" i="36"/>
  <c r="F1946" i="36"/>
  <c r="E1946" i="36"/>
  <c r="D1946" i="36"/>
  <c r="G1942" i="36"/>
  <c r="F1942" i="36"/>
  <c r="D1942" i="36"/>
  <c r="E1942" i="36"/>
  <c r="G1938" i="36"/>
  <c r="F1938" i="36"/>
  <c r="E1938" i="36"/>
  <c r="D1938" i="36"/>
  <c r="G1934" i="36"/>
  <c r="F1934" i="36"/>
  <c r="D1934" i="36"/>
  <c r="E1934" i="36"/>
  <c r="G1930" i="36"/>
  <c r="F1930" i="36"/>
  <c r="E1930" i="36"/>
  <c r="D1930" i="36"/>
  <c r="G1926" i="36"/>
  <c r="F1926" i="36"/>
  <c r="D1926" i="36"/>
  <c r="E1926" i="36"/>
  <c r="G1922" i="36"/>
  <c r="F1922" i="36"/>
  <c r="D1922" i="36"/>
  <c r="E1922" i="36"/>
  <c r="G1918" i="36"/>
  <c r="F1918" i="36"/>
  <c r="D1918" i="36"/>
  <c r="E1918" i="36"/>
  <c r="G1914" i="36"/>
  <c r="F1914" i="36"/>
  <c r="D1914" i="36"/>
  <c r="E1914" i="36"/>
  <c r="G1910" i="36"/>
  <c r="F1910" i="36"/>
  <c r="D1910" i="36"/>
  <c r="E1910" i="36"/>
  <c r="G1906" i="36"/>
  <c r="F1906" i="36"/>
  <c r="D1906" i="36"/>
  <c r="E1906" i="36"/>
  <c r="G1902" i="36"/>
  <c r="F1902" i="36"/>
  <c r="D1902" i="36"/>
  <c r="E1902" i="36"/>
  <c r="G1898" i="36"/>
  <c r="F1898" i="36"/>
  <c r="D1898" i="36"/>
  <c r="E1898" i="36"/>
  <c r="G1894" i="36"/>
  <c r="F1894" i="36"/>
  <c r="D1894" i="36"/>
  <c r="E1894" i="36"/>
  <c r="G1890" i="36"/>
  <c r="F1890" i="36"/>
  <c r="D1890" i="36"/>
  <c r="E1890" i="36"/>
  <c r="G1886" i="36"/>
  <c r="F1886" i="36"/>
  <c r="D1886" i="36"/>
  <c r="E1886" i="36"/>
  <c r="G1882" i="36"/>
  <c r="F1882" i="36"/>
  <c r="D1882" i="36"/>
  <c r="E1882" i="36"/>
  <c r="G1878" i="36"/>
  <c r="F1878" i="36"/>
  <c r="D1878" i="36"/>
  <c r="E1878" i="36"/>
  <c r="G1874" i="36"/>
  <c r="F1874" i="36"/>
  <c r="D1874" i="36"/>
  <c r="E1874" i="36"/>
  <c r="G1870" i="36"/>
  <c r="F1870" i="36"/>
  <c r="D1870" i="36"/>
  <c r="E1870" i="36"/>
  <c r="G1866" i="36"/>
  <c r="F1866" i="36"/>
  <c r="D1866" i="36"/>
  <c r="E1866" i="36"/>
  <c r="G1862" i="36"/>
  <c r="F1862" i="36"/>
  <c r="D1862" i="36"/>
  <c r="E1862" i="36"/>
  <c r="G1858" i="36"/>
  <c r="F1858" i="36"/>
  <c r="D1858" i="36"/>
  <c r="E1858" i="36"/>
  <c r="G1854" i="36"/>
  <c r="F1854" i="36"/>
  <c r="D1854" i="36"/>
  <c r="E1854" i="36"/>
  <c r="G1850" i="36"/>
  <c r="F1850" i="36"/>
  <c r="D1850" i="36"/>
  <c r="E1850" i="36"/>
  <c r="G1846" i="36"/>
  <c r="F1846" i="36"/>
  <c r="D1846" i="36"/>
  <c r="E1846" i="36"/>
  <c r="G1842" i="36"/>
  <c r="F1842" i="36"/>
  <c r="D1842" i="36"/>
  <c r="E1842" i="36"/>
  <c r="G1838" i="36"/>
  <c r="F1838" i="36"/>
  <c r="D1838" i="36"/>
  <c r="E1838" i="36"/>
  <c r="G1834" i="36"/>
  <c r="F1834" i="36"/>
  <c r="D1834" i="36"/>
  <c r="E1834" i="36"/>
  <c r="G1830" i="36"/>
  <c r="F1830" i="36"/>
  <c r="D1830" i="36"/>
  <c r="E1830" i="36"/>
  <c r="G1826" i="36"/>
  <c r="F1826" i="36"/>
  <c r="D1826" i="36"/>
  <c r="E1826" i="36"/>
  <c r="G1822" i="36"/>
  <c r="F1822" i="36"/>
  <c r="D1822" i="36"/>
  <c r="E1822" i="36"/>
  <c r="G1818" i="36"/>
  <c r="F1818" i="36"/>
  <c r="D1818" i="36"/>
  <c r="E1818" i="36"/>
  <c r="G1814" i="36"/>
  <c r="F1814" i="36"/>
  <c r="D1814" i="36"/>
  <c r="E1814" i="36"/>
  <c r="G1810" i="36"/>
  <c r="F1810" i="36"/>
  <c r="D1810" i="36"/>
  <c r="E1810" i="36"/>
  <c r="G1806" i="36"/>
  <c r="F1806" i="36"/>
  <c r="D1806" i="36"/>
  <c r="E1806" i="36"/>
  <c r="G1802" i="36"/>
  <c r="F1802" i="36"/>
  <c r="D1802" i="36"/>
  <c r="E1802" i="36"/>
  <c r="G1798" i="36"/>
  <c r="F1798" i="36"/>
  <c r="D1798" i="36"/>
  <c r="E1798" i="36"/>
  <c r="G1794" i="36"/>
  <c r="F1794" i="36"/>
  <c r="D1794" i="36"/>
  <c r="E1794" i="36"/>
  <c r="G1790" i="36"/>
  <c r="F1790" i="36"/>
  <c r="D1790" i="36"/>
  <c r="E1790" i="36"/>
  <c r="G1786" i="36"/>
  <c r="F1786" i="36"/>
  <c r="D1786" i="36"/>
  <c r="E1786" i="36"/>
  <c r="G1782" i="36"/>
  <c r="F1782" i="36"/>
  <c r="D1782" i="36"/>
  <c r="E1782" i="36"/>
  <c r="G1778" i="36"/>
  <c r="F1778" i="36"/>
  <c r="D1778" i="36"/>
  <c r="E1778" i="36"/>
  <c r="G1774" i="36"/>
  <c r="F1774" i="36"/>
  <c r="D1774" i="36"/>
  <c r="E1774" i="36"/>
  <c r="G1770" i="36"/>
  <c r="F1770" i="36"/>
  <c r="D1770" i="36"/>
  <c r="E1770" i="36"/>
  <c r="G1766" i="36"/>
  <c r="F1766" i="36"/>
  <c r="D1766" i="36"/>
  <c r="E1766" i="36"/>
  <c r="G1762" i="36"/>
  <c r="F1762" i="36"/>
  <c r="D1762" i="36"/>
  <c r="E1762" i="36"/>
  <c r="G1758" i="36"/>
  <c r="F1758" i="36"/>
  <c r="D1758" i="36"/>
  <c r="E1758" i="36"/>
  <c r="G1754" i="36"/>
  <c r="F1754" i="36"/>
  <c r="D1754" i="36"/>
  <c r="E1754" i="36"/>
  <c r="G1750" i="36"/>
  <c r="F1750" i="36"/>
  <c r="D1750" i="36"/>
  <c r="E1750" i="36"/>
  <c r="G1746" i="36"/>
  <c r="F1746" i="36"/>
  <c r="D1746" i="36"/>
  <c r="E1746" i="36"/>
  <c r="G1742" i="36"/>
  <c r="F1742" i="36"/>
  <c r="D1742" i="36"/>
  <c r="E1742" i="36"/>
  <c r="G1738" i="36"/>
  <c r="F1738" i="36"/>
  <c r="D1738" i="36"/>
  <c r="E1738" i="36"/>
  <c r="G1734" i="36"/>
  <c r="F1734" i="36"/>
  <c r="D1734" i="36"/>
  <c r="E1734" i="36"/>
  <c r="G1730" i="36"/>
  <c r="F1730" i="36"/>
  <c r="D1730" i="36"/>
  <c r="E1730" i="36"/>
  <c r="G1726" i="36"/>
  <c r="F1726" i="36"/>
  <c r="D1726" i="36"/>
  <c r="E1726" i="36"/>
  <c r="G1722" i="36"/>
  <c r="F1722" i="36"/>
  <c r="D1722" i="36"/>
  <c r="E1722" i="36"/>
  <c r="G1718" i="36"/>
  <c r="F1718" i="36"/>
  <c r="D1718" i="36"/>
  <c r="E1718" i="36"/>
  <c r="G1714" i="36"/>
  <c r="F1714" i="36"/>
  <c r="D1714" i="36"/>
  <c r="E1714" i="36"/>
  <c r="G1710" i="36"/>
  <c r="F1710" i="36"/>
  <c r="D1710" i="36"/>
  <c r="E1710" i="36"/>
  <c r="G1706" i="36"/>
  <c r="F1706" i="36"/>
  <c r="D1706" i="36"/>
  <c r="E1706" i="36"/>
  <c r="G1702" i="36"/>
  <c r="F1702" i="36"/>
  <c r="D1702" i="36"/>
  <c r="E1702" i="36"/>
  <c r="G1698" i="36"/>
  <c r="F1698" i="36"/>
  <c r="D1698" i="36"/>
  <c r="E1698" i="36"/>
  <c r="G1694" i="36"/>
  <c r="F1694" i="36"/>
  <c r="D1694" i="36"/>
  <c r="E1694" i="36"/>
  <c r="G1690" i="36"/>
  <c r="F1690" i="36"/>
  <c r="D1690" i="36"/>
  <c r="E1690" i="36"/>
  <c r="G1686" i="36"/>
  <c r="F1686" i="36"/>
  <c r="D1686" i="36"/>
  <c r="E1686" i="36"/>
  <c r="G1682" i="36"/>
  <c r="F1682" i="36"/>
  <c r="D1682" i="36"/>
  <c r="E1682" i="36"/>
  <c r="G1678" i="36"/>
  <c r="F1678" i="36"/>
  <c r="D1678" i="36"/>
  <c r="E1678" i="36"/>
  <c r="G1674" i="36"/>
  <c r="F1674" i="36"/>
  <c r="D1674" i="36"/>
  <c r="E1674" i="36"/>
  <c r="G1670" i="36"/>
  <c r="F1670" i="36"/>
  <c r="E1670" i="36"/>
  <c r="D1670" i="36"/>
  <c r="G1666" i="36"/>
  <c r="F1666" i="36"/>
  <c r="D1666" i="36"/>
  <c r="E1666" i="36"/>
  <c r="G1662" i="36"/>
  <c r="F1662" i="36"/>
  <c r="E1662" i="36"/>
  <c r="D1662" i="36"/>
  <c r="G1658" i="36"/>
  <c r="F1658" i="36"/>
  <c r="D1658" i="36"/>
  <c r="E1658" i="36"/>
  <c r="G1654" i="36"/>
  <c r="F1654" i="36"/>
  <c r="E1654" i="36"/>
  <c r="D1654" i="36"/>
  <c r="G1650" i="36"/>
  <c r="F1650" i="36"/>
  <c r="D1650" i="36"/>
  <c r="E1650" i="36"/>
  <c r="G1646" i="36"/>
  <c r="F1646" i="36"/>
  <c r="E1646" i="36"/>
  <c r="D1646" i="36"/>
  <c r="G1642" i="36"/>
  <c r="F1642" i="36"/>
  <c r="D1642" i="36"/>
  <c r="E1642" i="36"/>
  <c r="G1638" i="36"/>
  <c r="F1638" i="36"/>
  <c r="E1638" i="36"/>
  <c r="D1638" i="36"/>
  <c r="G1634" i="36"/>
  <c r="F1634" i="36"/>
  <c r="D1634" i="36"/>
  <c r="E1634" i="36"/>
  <c r="G1630" i="36"/>
  <c r="F1630" i="36"/>
  <c r="E1630" i="36"/>
  <c r="D1630" i="36"/>
  <c r="G1626" i="36"/>
  <c r="F1626" i="36"/>
  <c r="D1626" i="36"/>
  <c r="E1626" i="36"/>
  <c r="G1622" i="36"/>
  <c r="F1622" i="36"/>
  <c r="E1622" i="36"/>
  <c r="D1622" i="36"/>
  <c r="G1618" i="36"/>
  <c r="F1618" i="36"/>
  <c r="D1618" i="36"/>
  <c r="E1618" i="36"/>
  <c r="G1614" i="36"/>
  <c r="F1614" i="36"/>
  <c r="E1614" i="36"/>
  <c r="D1614" i="36"/>
  <c r="G1610" i="36"/>
  <c r="F1610" i="36"/>
  <c r="D1610" i="36"/>
  <c r="E1610" i="36"/>
  <c r="G1606" i="36"/>
  <c r="F1606" i="36"/>
  <c r="E1606" i="36"/>
  <c r="D1606" i="36"/>
  <c r="G1602" i="36"/>
  <c r="F1602" i="36"/>
  <c r="D1602" i="36"/>
  <c r="E1602" i="36"/>
  <c r="G1598" i="36"/>
  <c r="F1598" i="36"/>
  <c r="E1598" i="36"/>
  <c r="D1598" i="36"/>
  <c r="G1594" i="36"/>
  <c r="F1594" i="36"/>
  <c r="D1594" i="36"/>
  <c r="E1594" i="36"/>
  <c r="G1590" i="36"/>
  <c r="F1590" i="36"/>
  <c r="E1590" i="36"/>
  <c r="D1590" i="36"/>
  <c r="G1586" i="36"/>
  <c r="F1586" i="36"/>
  <c r="D1586" i="36"/>
  <c r="E1586" i="36"/>
  <c r="G1582" i="36"/>
  <c r="F1582" i="36"/>
  <c r="E1582" i="36"/>
  <c r="D1582" i="36"/>
  <c r="G1578" i="36"/>
  <c r="F1578" i="36"/>
  <c r="D1578" i="36"/>
  <c r="E1578" i="36"/>
  <c r="G1574" i="36"/>
  <c r="F1574" i="36"/>
  <c r="E1574" i="36"/>
  <c r="D1574" i="36"/>
  <c r="G1570" i="36"/>
  <c r="F1570" i="36"/>
  <c r="D1570" i="36"/>
  <c r="E1570" i="36"/>
  <c r="G1566" i="36"/>
  <c r="F1566" i="36"/>
  <c r="E1566" i="36"/>
  <c r="D1566" i="36"/>
  <c r="G1562" i="36"/>
  <c r="F1562" i="36"/>
  <c r="D1562" i="36"/>
  <c r="E1562" i="36"/>
  <c r="G1558" i="36"/>
  <c r="F1558" i="36"/>
  <c r="E1558" i="36"/>
  <c r="D1558" i="36"/>
  <c r="G1554" i="36"/>
  <c r="F1554" i="36"/>
  <c r="D1554" i="36"/>
  <c r="E1554" i="36"/>
  <c r="G1550" i="36"/>
  <c r="F1550" i="36"/>
  <c r="E1550" i="36"/>
  <c r="D1550" i="36"/>
  <c r="G1546" i="36"/>
  <c r="F1546" i="36"/>
  <c r="D1546" i="36"/>
  <c r="E1546" i="36"/>
  <c r="G1542" i="36"/>
  <c r="F1542" i="36"/>
  <c r="E1542" i="36"/>
  <c r="D1542" i="36"/>
  <c r="G1538" i="36"/>
  <c r="F1538" i="36"/>
  <c r="D1538" i="36"/>
  <c r="E1538" i="36"/>
  <c r="G1534" i="36"/>
  <c r="F1534" i="36"/>
  <c r="E1534" i="36"/>
  <c r="D1534" i="36"/>
  <c r="G1530" i="36"/>
  <c r="F1530" i="36"/>
  <c r="D1530" i="36"/>
  <c r="E1530" i="36"/>
  <c r="G1526" i="36"/>
  <c r="F1526" i="36"/>
  <c r="E1526" i="36"/>
  <c r="D1526" i="36"/>
  <c r="G1522" i="36"/>
  <c r="F1522" i="36"/>
  <c r="D1522" i="36"/>
  <c r="E1522" i="36"/>
  <c r="G1518" i="36"/>
  <c r="F1518" i="36"/>
  <c r="E1518" i="36"/>
  <c r="D1518" i="36"/>
  <c r="G1514" i="36"/>
  <c r="F1514" i="36"/>
  <c r="D1514" i="36"/>
  <c r="E1514" i="36"/>
  <c r="G1510" i="36"/>
  <c r="F1510" i="36"/>
  <c r="E1510" i="36"/>
  <c r="D1510" i="36"/>
  <c r="G1506" i="36"/>
  <c r="F1506" i="36"/>
  <c r="D1506" i="36"/>
  <c r="E1506" i="36"/>
  <c r="G1502" i="36"/>
  <c r="F1502" i="36"/>
  <c r="E1502" i="36"/>
  <c r="D1502" i="36"/>
  <c r="G1498" i="36"/>
  <c r="F1498" i="36"/>
  <c r="D1498" i="36"/>
  <c r="E1498" i="36"/>
  <c r="G1494" i="36"/>
  <c r="F1494" i="36"/>
  <c r="E1494" i="36"/>
  <c r="D1494" i="36"/>
  <c r="G1490" i="36"/>
  <c r="F1490" i="36"/>
  <c r="D1490" i="36"/>
  <c r="E1490" i="36"/>
  <c r="G1486" i="36"/>
  <c r="F1486" i="36"/>
  <c r="E1486" i="36"/>
  <c r="D1486" i="36"/>
  <c r="G1482" i="36"/>
  <c r="F1482" i="36"/>
  <c r="D1482" i="36"/>
  <c r="E1482" i="36"/>
  <c r="G1478" i="36"/>
  <c r="F1478" i="36"/>
  <c r="E1478" i="36"/>
  <c r="D1478" i="36"/>
  <c r="G1474" i="36"/>
  <c r="F1474" i="36"/>
  <c r="D1474" i="36"/>
  <c r="E1474" i="36"/>
  <c r="G1470" i="36"/>
  <c r="F1470" i="36"/>
  <c r="E1470" i="36"/>
  <c r="D1470" i="36"/>
  <c r="G1466" i="36"/>
  <c r="F1466" i="36"/>
  <c r="D1466" i="36"/>
  <c r="E1466" i="36"/>
  <c r="G1462" i="36"/>
  <c r="F1462" i="36"/>
  <c r="E1462" i="36"/>
  <c r="D1462" i="36"/>
  <c r="G1458" i="36"/>
  <c r="F1458" i="36"/>
  <c r="D1458" i="36"/>
  <c r="E1458" i="36"/>
  <c r="G1454" i="36"/>
  <c r="F1454" i="36"/>
  <c r="E1454" i="36"/>
  <c r="D1454" i="36"/>
  <c r="G1450" i="36"/>
  <c r="F1450" i="36"/>
  <c r="D1450" i="36"/>
  <c r="E1450" i="36"/>
  <c r="G1446" i="36"/>
  <c r="F1446" i="36"/>
  <c r="E1446" i="36"/>
  <c r="D1446" i="36"/>
  <c r="G1442" i="36"/>
  <c r="F1442" i="36"/>
  <c r="D1442" i="36"/>
  <c r="E1442" i="36"/>
  <c r="G1438" i="36"/>
  <c r="F1438" i="36"/>
  <c r="E1438" i="36"/>
  <c r="D1438" i="36"/>
  <c r="G1434" i="36"/>
  <c r="F1434" i="36"/>
  <c r="D1434" i="36"/>
  <c r="E1434" i="36"/>
  <c r="G1430" i="36"/>
  <c r="F1430" i="36"/>
  <c r="E1430" i="36"/>
  <c r="D1430" i="36"/>
  <c r="G1426" i="36"/>
  <c r="F1426" i="36"/>
  <c r="D1426" i="36"/>
  <c r="E1426" i="36"/>
  <c r="G1422" i="36"/>
  <c r="F1422" i="36"/>
  <c r="E1422" i="36"/>
  <c r="D1422" i="36"/>
  <c r="G1418" i="36"/>
  <c r="F1418" i="36"/>
  <c r="D1418" i="36"/>
  <c r="E1418" i="36"/>
  <c r="G1414" i="36"/>
  <c r="F1414" i="36"/>
  <c r="E1414" i="36"/>
  <c r="D1414" i="36"/>
  <c r="G1410" i="36"/>
  <c r="F1410" i="36"/>
  <c r="D1410" i="36"/>
  <c r="E1410" i="36"/>
  <c r="G1406" i="36"/>
  <c r="F1406" i="36"/>
  <c r="E1406" i="36"/>
  <c r="D1406" i="36"/>
  <c r="G1402" i="36"/>
  <c r="F1402" i="36"/>
  <c r="D1402" i="36"/>
  <c r="E1402" i="36"/>
  <c r="G1398" i="36"/>
  <c r="F1398" i="36"/>
  <c r="E1398" i="36"/>
  <c r="D1398" i="36"/>
  <c r="G1394" i="36"/>
  <c r="F1394" i="36"/>
  <c r="D1394" i="36"/>
  <c r="E1394" i="36"/>
  <c r="G1390" i="36"/>
  <c r="F1390" i="36"/>
  <c r="E1390" i="36"/>
  <c r="D1390" i="36"/>
  <c r="G1386" i="36"/>
  <c r="F1386" i="36"/>
  <c r="E1386" i="36"/>
  <c r="D1386" i="36"/>
  <c r="G1382" i="36"/>
  <c r="F1382" i="36"/>
  <c r="E1382" i="36"/>
  <c r="D1382" i="36"/>
  <c r="G1378" i="36"/>
  <c r="F1378" i="36"/>
  <c r="E1378" i="36"/>
  <c r="D1378" i="36"/>
  <c r="G1374" i="36"/>
  <c r="F1374" i="36"/>
  <c r="E1374" i="36"/>
  <c r="D1374" i="36"/>
  <c r="G1370" i="36"/>
  <c r="F1370" i="36"/>
  <c r="E1370" i="36"/>
  <c r="D1370" i="36"/>
  <c r="G1366" i="36"/>
  <c r="F1366" i="36"/>
  <c r="E1366" i="36"/>
  <c r="D1366" i="36"/>
  <c r="G1362" i="36"/>
  <c r="F1362" i="36"/>
  <c r="E1362" i="36"/>
  <c r="D1362" i="36"/>
  <c r="G1358" i="36"/>
  <c r="F1358" i="36"/>
  <c r="E1358" i="36"/>
  <c r="D1358" i="36"/>
  <c r="G1354" i="36"/>
  <c r="F1354" i="36"/>
  <c r="E1354" i="36"/>
  <c r="D1354" i="36"/>
  <c r="G1350" i="36"/>
  <c r="F1350" i="36"/>
  <c r="E1350" i="36"/>
  <c r="D1350" i="36"/>
  <c r="G1346" i="36"/>
  <c r="F1346" i="36"/>
  <c r="E1346" i="36"/>
  <c r="D1346" i="36"/>
  <c r="G1342" i="36"/>
  <c r="F1342" i="36"/>
  <c r="E1342" i="36"/>
  <c r="D1342" i="36"/>
  <c r="G1338" i="36"/>
  <c r="F1338" i="36"/>
  <c r="E1338" i="36"/>
  <c r="D1338" i="36"/>
  <c r="G1334" i="36"/>
  <c r="F1334" i="36"/>
  <c r="E1334" i="36"/>
  <c r="D1334" i="36"/>
  <c r="G1330" i="36"/>
  <c r="F1330" i="36"/>
  <c r="E1330" i="36"/>
  <c r="D1330" i="36"/>
  <c r="G1326" i="36"/>
  <c r="F1326" i="36"/>
  <c r="E1326" i="36"/>
  <c r="D1326" i="36"/>
  <c r="G1322" i="36"/>
  <c r="F1322" i="36"/>
  <c r="E1322" i="36"/>
  <c r="D1322" i="36"/>
  <c r="G1318" i="36"/>
  <c r="F1318" i="36"/>
  <c r="E1318" i="36"/>
  <c r="D1318" i="36"/>
  <c r="G1314" i="36"/>
  <c r="F1314" i="36"/>
  <c r="E1314" i="36"/>
  <c r="D1314" i="36"/>
  <c r="G1310" i="36"/>
  <c r="F1310" i="36"/>
  <c r="E1310" i="36"/>
  <c r="D1310" i="36"/>
  <c r="G1306" i="36"/>
  <c r="F1306" i="36"/>
  <c r="E1306" i="36"/>
  <c r="D1306" i="36"/>
  <c r="G1302" i="36"/>
  <c r="F1302" i="36"/>
  <c r="E1302" i="36"/>
  <c r="D1302" i="36"/>
  <c r="G1298" i="36"/>
  <c r="F1298" i="36"/>
  <c r="E1298" i="36"/>
  <c r="D1298" i="36"/>
  <c r="G1294" i="36"/>
  <c r="F1294" i="36"/>
  <c r="E1294" i="36"/>
  <c r="D1294" i="36"/>
  <c r="G1290" i="36"/>
  <c r="F1290" i="36"/>
  <c r="E1290" i="36"/>
  <c r="D1290" i="36"/>
  <c r="G1286" i="36"/>
  <c r="F1286" i="36"/>
  <c r="E1286" i="36"/>
  <c r="D1286" i="36"/>
  <c r="G1282" i="36"/>
  <c r="F1282" i="36"/>
  <c r="E1282" i="36"/>
  <c r="D1282" i="36"/>
  <c r="G1278" i="36"/>
  <c r="F1278" i="36"/>
  <c r="E1278" i="36"/>
  <c r="D1278" i="36"/>
  <c r="F1274" i="36"/>
  <c r="G1274" i="36"/>
  <c r="E1274" i="36"/>
  <c r="D1274" i="36"/>
  <c r="G1270" i="36"/>
  <c r="F1270" i="36"/>
  <c r="E1270" i="36"/>
  <c r="D1270" i="36"/>
  <c r="G1266" i="36"/>
  <c r="F1266" i="36"/>
  <c r="E1266" i="36"/>
  <c r="D1266" i="36"/>
  <c r="G1262" i="36"/>
  <c r="F1262" i="36"/>
  <c r="E1262" i="36"/>
  <c r="D1262" i="36"/>
  <c r="G1258" i="36"/>
  <c r="F1258" i="36"/>
  <c r="E1258" i="36"/>
  <c r="D1258" i="36"/>
  <c r="G1254" i="36"/>
  <c r="F1254" i="36"/>
  <c r="E1254" i="36"/>
  <c r="D1254" i="36"/>
  <c r="G1250" i="36"/>
  <c r="F1250" i="36"/>
  <c r="E1250" i="36"/>
  <c r="D1250" i="36"/>
  <c r="G1246" i="36"/>
  <c r="F1246" i="36"/>
  <c r="E1246" i="36"/>
  <c r="D1246" i="36"/>
  <c r="G1242" i="36"/>
  <c r="F1242" i="36"/>
  <c r="E1242" i="36"/>
  <c r="D1242" i="36"/>
  <c r="G1238" i="36"/>
  <c r="F1238" i="36"/>
  <c r="E1238" i="36"/>
  <c r="D1238" i="36"/>
  <c r="G1234" i="36"/>
  <c r="F1234" i="36"/>
  <c r="E1234" i="36"/>
  <c r="D1234" i="36"/>
  <c r="G1230" i="36"/>
  <c r="F1230" i="36"/>
  <c r="E1230" i="36"/>
  <c r="D1230" i="36"/>
  <c r="G1226" i="36"/>
  <c r="F1226" i="36"/>
  <c r="E1226" i="36"/>
  <c r="D1226" i="36"/>
  <c r="G1222" i="36"/>
  <c r="F1222" i="36"/>
  <c r="E1222" i="36"/>
  <c r="D1222" i="36"/>
  <c r="G1218" i="36"/>
  <c r="F1218" i="36"/>
  <c r="E1218" i="36"/>
  <c r="D1218" i="36"/>
  <c r="G1214" i="36"/>
  <c r="F1214" i="36"/>
  <c r="E1214" i="36"/>
  <c r="D1214" i="36"/>
  <c r="F1210" i="36"/>
  <c r="G1210" i="36"/>
  <c r="E1210" i="36"/>
  <c r="D1210" i="36"/>
  <c r="G1206" i="36"/>
  <c r="F1206" i="36"/>
  <c r="E1206" i="36"/>
  <c r="D1206" i="36"/>
  <c r="G1202" i="36"/>
  <c r="F1202" i="36"/>
  <c r="E1202" i="36"/>
  <c r="D1202" i="36"/>
  <c r="G1198" i="36"/>
  <c r="F1198" i="36"/>
  <c r="E1198" i="36"/>
  <c r="D1198" i="36"/>
  <c r="G1194" i="36"/>
  <c r="F1194" i="36"/>
  <c r="E1194" i="36"/>
  <c r="D1194" i="36"/>
  <c r="G1190" i="36"/>
  <c r="F1190" i="36"/>
  <c r="E1190" i="36"/>
  <c r="D1190" i="36"/>
  <c r="G1186" i="36"/>
  <c r="F1186" i="36"/>
  <c r="E1186" i="36"/>
  <c r="D1186" i="36"/>
  <c r="G1182" i="36"/>
  <c r="F1182" i="36"/>
  <c r="E1182" i="36"/>
  <c r="D1182" i="36"/>
  <c r="G1178" i="36"/>
  <c r="F1178" i="36"/>
  <c r="E1178" i="36"/>
  <c r="D1178" i="36"/>
  <c r="G1174" i="36"/>
  <c r="F1174" i="36"/>
  <c r="E1174" i="36"/>
  <c r="D1174" i="36"/>
  <c r="G1170" i="36"/>
  <c r="F1170" i="36"/>
  <c r="E1170" i="36"/>
  <c r="D1170" i="36"/>
  <c r="G1166" i="36"/>
  <c r="F1166" i="36"/>
  <c r="E1166" i="36"/>
  <c r="D1166" i="36"/>
  <c r="G1162" i="36"/>
  <c r="F1162" i="36"/>
  <c r="E1162" i="36"/>
  <c r="D1162" i="36"/>
  <c r="G1158" i="36"/>
  <c r="F1158" i="36"/>
  <c r="E1158" i="36"/>
  <c r="D1158" i="36"/>
  <c r="G1154" i="36"/>
  <c r="F1154" i="36"/>
  <c r="E1154" i="36"/>
  <c r="D1154" i="36"/>
  <c r="G1150" i="36"/>
  <c r="F1150" i="36"/>
  <c r="E1150" i="36"/>
  <c r="D1150" i="36"/>
  <c r="G1146" i="36"/>
  <c r="F1146" i="36"/>
  <c r="E1146" i="36"/>
  <c r="D1146" i="36"/>
  <c r="G1142" i="36"/>
  <c r="F1142" i="36"/>
  <c r="E1142" i="36"/>
  <c r="D1142" i="36"/>
  <c r="G1138" i="36"/>
  <c r="F1138" i="36"/>
  <c r="E1138" i="36"/>
  <c r="D1138" i="36"/>
  <c r="G1134" i="36"/>
  <c r="F1134" i="36"/>
  <c r="E1134" i="36"/>
  <c r="D1134" i="36"/>
  <c r="G1130" i="36"/>
  <c r="F1130" i="36"/>
  <c r="E1130" i="36"/>
  <c r="D1130" i="36"/>
  <c r="G1126" i="36"/>
  <c r="F1126" i="36"/>
  <c r="E1126" i="36"/>
  <c r="D1126" i="36"/>
  <c r="G1122" i="36"/>
  <c r="F1122" i="36"/>
  <c r="E1122" i="36"/>
  <c r="D1122" i="36"/>
  <c r="G1118" i="36"/>
  <c r="F1118" i="36"/>
  <c r="E1118" i="36"/>
  <c r="D1118" i="36"/>
  <c r="G1114" i="36"/>
  <c r="F1114" i="36"/>
  <c r="E1114" i="36"/>
  <c r="D1114" i="36"/>
  <c r="G1110" i="36"/>
  <c r="F1110" i="36"/>
  <c r="E1110" i="36"/>
  <c r="D1110" i="36"/>
  <c r="G1106" i="36"/>
  <c r="F1106" i="36"/>
  <c r="E1106" i="36"/>
  <c r="D1106" i="36"/>
  <c r="G1102" i="36"/>
  <c r="F1102" i="36"/>
  <c r="E1102" i="36"/>
  <c r="D1102" i="36"/>
  <c r="G1098" i="36"/>
  <c r="F1098" i="36"/>
  <c r="E1098" i="36"/>
  <c r="D1098" i="36"/>
  <c r="G1094" i="36"/>
  <c r="F1094" i="36"/>
  <c r="E1094" i="36"/>
  <c r="D1094" i="36"/>
  <c r="G1090" i="36"/>
  <c r="F1090" i="36"/>
  <c r="E1090" i="36"/>
  <c r="D1090" i="36"/>
  <c r="G1086" i="36"/>
  <c r="F1086" i="36"/>
  <c r="E1086" i="36"/>
  <c r="D1086" i="36"/>
  <c r="G1082" i="36"/>
  <c r="F1082" i="36"/>
  <c r="E1082" i="36"/>
  <c r="D1082" i="36"/>
  <c r="G1078" i="36"/>
  <c r="F1078" i="36"/>
  <c r="E1078" i="36"/>
  <c r="D1078" i="36"/>
  <c r="G1074" i="36"/>
  <c r="F1074" i="36"/>
  <c r="E1074" i="36"/>
  <c r="D1074" i="36"/>
  <c r="G1070" i="36"/>
  <c r="F1070" i="36"/>
  <c r="E1070" i="36"/>
  <c r="D1070" i="36"/>
  <c r="G1066" i="36"/>
  <c r="F1066" i="36"/>
  <c r="E1066" i="36"/>
  <c r="D1066" i="36"/>
  <c r="G1062" i="36"/>
  <c r="F1062" i="36"/>
  <c r="E1062" i="36"/>
  <c r="D1062" i="36"/>
  <c r="G1058" i="36"/>
  <c r="F1058" i="36"/>
  <c r="E1058" i="36"/>
  <c r="D1058" i="36"/>
  <c r="G1054" i="36"/>
  <c r="F1054" i="36"/>
  <c r="E1054" i="36"/>
  <c r="D1054" i="36"/>
  <c r="G1050" i="36"/>
  <c r="F1050" i="36"/>
  <c r="E1050" i="36"/>
  <c r="D1050" i="36"/>
  <c r="G1046" i="36"/>
  <c r="F1046" i="36"/>
  <c r="E1046" i="36"/>
  <c r="D1046" i="36"/>
  <c r="G1042" i="36"/>
  <c r="F1042" i="36"/>
  <c r="E1042" i="36"/>
  <c r="D1042" i="36"/>
  <c r="G1038" i="36"/>
  <c r="F1038" i="36"/>
  <c r="E1038" i="36"/>
  <c r="D1038" i="36"/>
  <c r="G1034" i="36"/>
  <c r="F1034" i="36"/>
  <c r="E1034" i="36"/>
  <c r="D1034" i="36"/>
  <c r="G1030" i="36"/>
  <c r="F1030" i="36"/>
  <c r="E1030" i="36"/>
  <c r="D1030" i="36"/>
  <c r="G1026" i="36"/>
  <c r="F1026" i="36"/>
  <c r="E1026" i="36"/>
  <c r="D1026" i="36"/>
  <c r="G1022" i="36"/>
  <c r="F1022" i="36"/>
  <c r="E1022" i="36"/>
  <c r="D1022" i="36"/>
  <c r="F1018" i="36"/>
  <c r="G1018" i="36"/>
  <c r="E1018" i="36"/>
  <c r="D1018" i="36"/>
  <c r="G1014" i="36"/>
  <c r="F1014" i="36"/>
  <c r="E1014" i="36"/>
  <c r="D1014" i="36"/>
  <c r="G1010" i="36"/>
  <c r="F1010" i="36"/>
  <c r="E1010" i="36"/>
  <c r="D1010" i="36"/>
  <c r="G1006" i="36"/>
  <c r="F1006" i="36"/>
  <c r="E1006" i="36"/>
  <c r="D1006" i="36"/>
  <c r="G1002" i="36"/>
  <c r="F1002" i="36"/>
  <c r="E1002" i="36"/>
  <c r="D1002" i="36"/>
  <c r="G998" i="36"/>
  <c r="F998" i="36"/>
  <c r="E998" i="36"/>
  <c r="D998" i="36"/>
  <c r="G994" i="36"/>
  <c r="F994" i="36"/>
  <c r="E994" i="36"/>
  <c r="D994" i="36"/>
  <c r="G990" i="36"/>
  <c r="F990" i="36"/>
  <c r="E990" i="36"/>
  <c r="D990" i="36"/>
  <c r="G986" i="36"/>
  <c r="F986" i="36"/>
  <c r="E986" i="36"/>
  <c r="D986" i="36"/>
  <c r="G982" i="36"/>
  <c r="F982" i="36"/>
  <c r="E982" i="36"/>
  <c r="D982" i="36"/>
  <c r="G978" i="36"/>
  <c r="F978" i="36"/>
  <c r="E978" i="36"/>
  <c r="D978" i="36"/>
  <c r="G974" i="36"/>
  <c r="F974" i="36"/>
  <c r="E974" i="36"/>
  <c r="D974" i="36"/>
  <c r="G970" i="36"/>
  <c r="F970" i="36"/>
  <c r="E970" i="36"/>
  <c r="D970" i="36"/>
  <c r="G966" i="36"/>
  <c r="F966" i="36"/>
  <c r="E966" i="36"/>
  <c r="D966" i="36"/>
  <c r="G962" i="36"/>
  <c r="F962" i="36"/>
  <c r="E962" i="36"/>
  <c r="D962" i="36"/>
  <c r="G958" i="36"/>
  <c r="F958" i="36"/>
  <c r="E958" i="36"/>
  <c r="D958" i="36"/>
  <c r="F954" i="36"/>
  <c r="G954" i="36"/>
  <c r="E954" i="36"/>
  <c r="D954" i="36"/>
  <c r="G950" i="36"/>
  <c r="F950" i="36"/>
  <c r="E950" i="36"/>
  <c r="D950" i="36"/>
  <c r="G946" i="36"/>
  <c r="F946" i="36"/>
  <c r="E946" i="36"/>
  <c r="D946" i="36"/>
  <c r="G942" i="36"/>
  <c r="F942" i="36"/>
  <c r="E942" i="36"/>
  <c r="D942" i="36"/>
  <c r="G938" i="36"/>
  <c r="F938" i="36"/>
  <c r="E938" i="36"/>
  <c r="D938" i="36"/>
  <c r="G934" i="36"/>
  <c r="F934" i="36"/>
  <c r="E934" i="36"/>
  <c r="D934" i="36"/>
  <c r="G930" i="36"/>
  <c r="F930" i="36"/>
  <c r="E930" i="36"/>
  <c r="D930" i="36"/>
  <c r="G926" i="36"/>
  <c r="F926" i="36"/>
  <c r="E926" i="36"/>
  <c r="D926" i="36"/>
  <c r="G922" i="36"/>
  <c r="F922" i="36"/>
  <c r="E922" i="36"/>
  <c r="D922" i="36"/>
  <c r="G918" i="36"/>
  <c r="F918" i="36"/>
  <c r="E918" i="36"/>
  <c r="D918" i="36"/>
  <c r="G914" i="36"/>
  <c r="F914" i="36"/>
  <c r="E914" i="36"/>
  <c r="D914" i="36"/>
  <c r="G910" i="36"/>
  <c r="F910" i="36"/>
  <c r="E910" i="36"/>
  <c r="D910" i="36"/>
  <c r="G906" i="36"/>
  <c r="F906" i="36"/>
  <c r="E906" i="36"/>
  <c r="D906" i="36"/>
  <c r="G902" i="36"/>
  <c r="F902" i="36"/>
  <c r="E902" i="36"/>
  <c r="D902" i="36"/>
  <c r="G898" i="36"/>
  <c r="F898" i="36"/>
  <c r="E898" i="36"/>
  <c r="D898" i="36"/>
  <c r="G894" i="36"/>
  <c r="F894" i="36"/>
  <c r="E894" i="36"/>
  <c r="D894" i="36"/>
  <c r="G890" i="36"/>
  <c r="F890" i="36"/>
  <c r="E890" i="36"/>
  <c r="D890" i="36"/>
  <c r="G886" i="36"/>
  <c r="F886" i="36"/>
  <c r="E886" i="36"/>
  <c r="D886" i="36"/>
  <c r="G882" i="36"/>
  <c r="F882" i="36"/>
  <c r="E882" i="36"/>
  <c r="D882" i="36"/>
  <c r="G878" i="36"/>
  <c r="F878" i="36"/>
  <c r="E878" i="36"/>
  <c r="D878" i="36"/>
  <c r="G874" i="36"/>
  <c r="F874" i="36"/>
  <c r="E874" i="36"/>
  <c r="D874" i="36"/>
  <c r="G870" i="36"/>
  <c r="F870" i="36"/>
  <c r="E870" i="36"/>
  <c r="D870" i="36"/>
  <c r="G866" i="36"/>
  <c r="F866" i="36"/>
  <c r="E866" i="36"/>
  <c r="D866" i="36"/>
  <c r="G862" i="36"/>
  <c r="F862" i="36"/>
  <c r="E862" i="36"/>
  <c r="D862" i="36"/>
  <c r="G858" i="36"/>
  <c r="F858" i="36"/>
  <c r="E858" i="36"/>
  <c r="D858" i="36"/>
  <c r="G854" i="36"/>
  <c r="F854" i="36"/>
  <c r="E854" i="36"/>
  <c r="D854" i="36"/>
  <c r="G850" i="36"/>
  <c r="F850" i="36"/>
  <c r="E850" i="36"/>
  <c r="D850" i="36"/>
  <c r="G846" i="36"/>
  <c r="F846" i="36"/>
  <c r="E846" i="36"/>
  <c r="D846" i="36"/>
  <c r="G842" i="36"/>
  <c r="F842" i="36"/>
  <c r="E842" i="36"/>
  <c r="D842" i="36"/>
  <c r="G838" i="36"/>
  <c r="F838" i="36"/>
  <c r="E838" i="36"/>
  <c r="D838" i="36"/>
  <c r="G834" i="36"/>
  <c r="F834" i="36"/>
  <c r="E834" i="36"/>
  <c r="D834" i="36"/>
  <c r="G830" i="36"/>
  <c r="F830" i="36"/>
  <c r="E830" i="36"/>
  <c r="D830" i="36"/>
  <c r="G826" i="36"/>
  <c r="F826" i="36"/>
  <c r="E826" i="36"/>
  <c r="D826" i="36"/>
  <c r="G822" i="36"/>
  <c r="F822" i="36"/>
  <c r="E822" i="36"/>
  <c r="D822" i="36"/>
  <c r="G818" i="36"/>
  <c r="F818" i="36"/>
  <c r="E818" i="36"/>
  <c r="D818" i="36"/>
  <c r="G814" i="36"/>
  <c r="F814" i="36"/>
  <c r="E814" i="36"/>
  <c r="D814" i="36"/>
  <c r="G810" i="36"/>
  <c r="F810" i="36"/>
  <c r="E810" i="36"/>
  <c r="D810" i="36"/>
  <c r="G806" i="36"/>
  <c r="F806" i="36"/>
  <c r="E806" i="36"/>
  <c r="D806" i="36"/>
  <c r="G802" i="36"/>
  <c r="F802" i="36"/>
  <c r="E802" i="36"/>
  <c r="D802" i="36"/>
  <c r="G798" i="36"/>
  <c r="F798" i="36"/>
  <c r="E798" i="36"/>
  <c r="D798" i="36"/>
  <c r="G794" i="36"/>
  <c r="F794" i="36"/>
  <c r="E794" i="36"/>
  <c r="D794" i="36"/>
  <c r="G790" i="36"/>
  <c r="F790" i="36"/>
  <c r="E790" i="36"/>
  <c r="D790" i="36"/>
  <c r="G786" i="36"/>
  <c r="F786" i="36"/>
  <c r="E786" i="36"/>
  <c r="D786" i="36"/>
  <c r="G782" i="36"/>
  <c r="F782" i="36"/>
  <c r="E782" i="36"/>
  <c r="D782" i="36"/>
  <c r="G778" i="36"/>
  <c r="F778" i="36"/>
  <c r="E778" i="36"/>
  <c r="D778" i="36"/>
  <c r="G774" i="36"/>
  <c r="F774" i="36"/>
  <c r="E774" i="36"/>
  <c r="D774" i="36"/>
  <c r="G770" i="36"/>
  <c r="F770" i="36"/>
  <c r="E770" i="36"/>
  <c r="D770" i="36"/>
  <c r="G766" i="36"/>
  <c r="F766" i="36"/>
  <c r="E766" i="36"/>
  <c r="D766" i="36"/>
  <c r="G762" i="36"/>
  <c r="F762" i="36"/>
  <c r="E762" i="36"/>
  <c r="D762" i="36"/>
  <c r="G758" i="36"/>
  <c r="F758" i="36"/>
  <c r="E758" i="36"/>
  <c r="D758" i="36"/>
  <c r="G754" i="36"/>
  <c r="F754" i="36"/>
  <c r="E754" i="36"/>
  <c r="D754" i="36"/>
  <c r="G750" i="36"/>
  <c r="F750" i="36"/>
  <c r="E750" i="36"/>
  <c r="D750" i="36"/>
  <c r="G746" i="36"/>
  <c r="F746" i="36"/>
  <c r="E746" i="36"/>
  <c r="D746" i="36"/>
  <c r="G742" i="36"/>
  <c r="F742" i="36"/>
  <c r="E742" i="36"/>
  <c r="D742" i="36"/>
  <c r="G738" i="36"/>
  <c r="F738" i="36"/>
  <c r="E738" i="36"/>
  <c r="D738" i="36"/>
  <c r="G734" i="36"/>
  <c r="F734" i="36"/>
  <c r="E734" i="36"/>
  <c r="D734" i="36"/>
  <c r="G730" i="36"/>
  <c r="F730" i="36"/>
  <c r="E730" i="36"/>
  <c r="D730" i="36"/>
  <c r="G726" i="36"/>
  <c r="F726" i="36"/>
  <c r="E726" i="36"/>
  <c r="D726" i="36"/>
  <c r="G722" i="36"/>
  <c r="F722" i="36"/>
  <c r="E722" i="36"/>
  <c r="D722" i="36"/>
  <c r="G718" i="36"/>
  <c r="F718" i="36"/>
  <c r="E718" i="36"/>
  <c r="D718" i="36"/>
  <c r="G714" i="36"/>
  <c r="F714" i="36"/>
  <c r="E714" i="36"/>
  <c r="D714" i="36"/>
  <c r="G710" i="36"/>
  <c r="F710" i="36"/>
  <c r="E710" i="36"/>
  <c r="D710" i="36"/>
  <c r="G706" i="36"/>
  <c r="F706" i="36"/>
  <c r="E706" i="36"/>
  <c r="D706" i="36"/>
  <c r="G702" i="36"/>
  <c r="F702" i="36"/>
  <c r="E702" i="36"/>
  <c r="D702" i="36"/>
  <c r="G698" i="36"/>
  <c r="F698" i="36"/>
  <c r="E698" i="36"/>
  <c r="D698" i="36"/>
  <c r="G694" i="36"/>
  <c r="F694" i="36"/>
  <c r="E694" i="36"/>
  <c r="D694" i="36"/>
  <c r="G690" i="36"/>
  <c r="F690" i="36"/>
  <c r="E690" i="36"/>
  <c r="D690" i="36"/>
  <c r="G686" i="36"/>
  <c r="F686" i="36"/>
  <c r="E686" i="36"/>
  <c r="D686" i="36"/>
  <c r="G682" i="36"/>
  <c r="F682" i="36"/>
  <c r="E682" i="36"/>
  <c r="D682" i="36"/>
  <c r="G678" i="36"/>
  <c r="F678" i="36"/>
  <c r="E678" i="36"/>
  <c r="D678" i="36"/>
  <c r="G674" i="36"/>
  <c r="F674" i="36"/>
  <c r="E674" i="36"/>
  <c r="D674" i="36"/>
  <c r="G670" i="36"/>
  <c r="F670" i="36"/>
  <c r="E670" i="36"/>
  <c r="D670" i="36"/>
  <c r="G666" i="36"/>
  <c r="F666" i="36"/>
  <c r="E666" i="36"/>
  <c r="D666" i="36"/>
  <c r="G662" i="36"/>
  <c r="F662" i="36"/>
  <c r="E662" i="36"/>
  <c r="D662" i="36"/>
  <c r="G658" i="36"/>
  <c r="F658" i="36"/>
  <c r="E658" i="36"/>
  <c r="D658" i="36"/>
  <c r="G654" i="36"/>
  <c r="F654" i="36"/>
  <c r="E654" i="36"/>
  <c r="D654" i="36"/>
  <c r="G650" i="36"/>
  <c r="F650" i="36"/>
  <c r="E650" i="36"/>
  <c r="D650" i="36"/>
  <c r="G646" i="36"/>
  <c r="F646" i="36"/>
  <c r="E646" i="36"/>
  <c r="D646" i="36"/>
  <c r="G642" i="36"/>
  <c r="F642" i="36"/>
  <c r="E642" i="36"/>
  <c r="D642" i="36"/>
  <c r="G638" i="36"/>
  <c r="F638" i="36"/>
  <c r="E638" i="36"/>
  <c r="D638" i="36"/>
  <c r="G634" i="36"/>
  <c r="F634" i="36"/>
  <c r="E634" i="36"/>
  <c r="D634" i="36"/>
  <c r="G630" i="36"/>
  <c r="F630" i="36"/>
  <c r="E630" i="36"/>
  <c r="D630" i="36"/>
  <c r="G626" i="36"/>
  <c r="F626" i="36"/>
  <c r="E626" i="36"/>
  <c r="D626" i="36"/>
  <c r="G622" i="36"/>
  <c r="F622" i="36"/>
  <c r="E622" i="36"/>
  <c r="D622" i="36"/>
  <c r="G618" i="36"/>
  <c r="F618" i="36"/>
  <c r="E618" i="36"/>
  <c r="D618" i="36"/>
  <c r="G614" i="36"/>
  <c r="F614" i="36"/>
  <c r="E614" i="36"/>
  <c r="D614" i="36"/>
  <c r="G610" i="36"/>
  <c r="F610" i="36"/>
  <c r="E610" i="36"/>
  <c r="D610" i="36"/>
  <c r="G606" i="36"/>
  <c r="F606" i="36"/>
  <c r="E606" i="36"/>
  <c r="D606" i="36"/>
  <c r="G602" i="36"/>
  <c r="F602" i="36"/>
  <c r="E602" i="36"/>
  <c r="D602" i="36"/>
  <c r="G598" i="36"/>
  <c r="F598" i="36"/>
  <c r="E598" i="36"/>
  <c r="D598" i="36"/>
  <c r="G594" i="36"/>
  <c r="F594" i="36"/>
  <c r="D594" i="36"/>
  <c r="E594" i="36"/>
  <c r="G590" i="36"/>
  <c r="F590" i="36"/>
  <c r="E590" i="36"/>
  <c r="D590" i="36"/>
  <c r="G586" i="36"/>
  <c r="F586" i="36"/>
  <c r="D586" i="36"/>
  <c r="E586" i="36"/>
  <c r="G582" i="36"/>
  <c r="F582" i="36"/>
  <c r="E582" i="36"/>
  <c r="D582" i="36"/>
  <c r="G578" i="36"/>
  <c r="F578" i="36"/>
  <c r="E578" i="36"/>
  <c r="D578" i="36"/>
  <c r="G574" i="36"/>
  <c r="F574" i="36"/>
  <c r="E574" i="36"/>
  <c r="D574" i="36"/>
  <c r="G570" i="36"/>
  <c r="F570" i="36"/>
  <c r="E570" i="36"/>
  <c r="D570" i="36"/>
  <c r="G566" i="36"/>
  <c r="F566" i="36"/>
  <c r="E566" i="36"/>
  <c r="D566" i="36"/>
  <c r="G562" i="36"/>
  <c r="F562" i="36"/>
  <c r="D562" i="36"/>
  <c r="E562" i="36"/>
  <c r="G558" i="36"/>
  <c r="F558" i="36"/>
  <c r="E558" i="36"/>
  <c r="D558" i="36"/>
  <c r="G554" i="36"/>
  <c r="F554" i="36"/>
  <c r="D554" i="36"/>
  <c r="E554" i="36"/>
  <c r="G550" i="36"/>
  <c r="F550" i="36"/>
  <c r="E550" i="36"/>
  <c r="D550" i="36"/>
  <c r="G546" i="36"/>
  <c r="F546" i="36"/>
  <c r="E546" i="36"/>
  <c r="D546" i="36"/>
  <c r="G542" i="36"/>
  <c r="F542" i="36"/>
  <c r="E542" i="36"/>
  <c r="D542" i="36"/>
  <c r="G538" i="36"/>
  <c r="F538" i="36"/>
  <c r="E538" i="36"/>
  <c r="D538" i="36"/>
  <c r="G534" i="36"/>
  <c r="F534" i="36"/>
  <c r="E534" i="36"/>
  <c r="D534" i="36"/>
  <c r="G530" i="36"/>
  <c r="F530" i="36"/>
  <c r="D530" i="36"/>
  <c r="E530" i="36"/>
  <c r="G526" i="36"/>
  <c r="F526" i="36"/>
  <c r="E526" i="36"/>
  <c r="D526" i="36"/>
  <c r="G522" i="36"/>
  <c r="F522" i="36"/>
  <c r="E522" i="36"/>
  <c r="D522" i="36"/>
  <c r="G518" i="36"/>
  <c r="F518" i="36"/>
  <c r="D518" i="36"/>
  <c r="E518" i="36"/>
  <c r="G514" i="36"/>
  <c r="F514" i="36"/>
  <c r="E514" i="36"/>
  <c r="D514" i="36"/>
  <c r="G510" i="36"/>
  <c r="F510" i="36"/>
  <c r="E510" i="36"/>
  <c r="D510" i="36"/>
  <c r="G506" i="36"/>
  <c r="F506" i="36"/>
  <c r="E506" i="36"/>
  <c r="D506" i="36"/>
  <c r="G502" i="36"/>
  <c r="F502" i="36"/>
  <c r="E502" i="36"/>
  <c r="D502" i="36"/>
  <c r="G498" i="36"/>
  <c r="F498" i="36"/>
  <c r="E498" i="36"/>
  <c r="D498" i="36"/>
  <c r="G494" i="36"/>
  <c r="F494" i="36"/>
  <c r="E494" i="36"/>
  <c r="D494" i="36"/>
  <c r="G490" i="36"/>
  <c r="F490" i="36"/>
  <c r="E490" i="36"/>
  <c r="D490" i="36"/>
  <c r="G486" i="36"/>
  <c r="F486" i="36"/>
  <c r="E486" i="36"/>
  <c r="D486" i="36"/>
  <c r="G482" i="36"/>
  <c r="F482" i="36"/>
  <c r="E482" i="36"/>
  <c r="D482" i="36"/>
  <c r="G478" i="36"/>
  <c r="F478" i="36"/>
  <c r="E478" i="36"/>
  <c r="D478" i="36"/>
  <c r="G474" i="36"/>
  <c r="F474" i="36"/>
  <c r="E474" i="36"/>
  <c r="D474" i="36"/>
  <c r="G470" i="36"/>
  <c r="F470" i="36"/>
  <c r="D470" i="36"/>
  <c r="E470" i="36"/>
  <c r="G466" i="36"/>
  <c r="F466" i="36"/>
  <c r="E466" i="36"/>
  <c r="D466" i="36"/>
  <c r="G462" i="36"/>
  <c r="F462" i="36"/>
  <c r="E462" i="36"/>
  <c r="D462" i="36"/>
  <c r="G458" i="36"/>
  <c r="F458" i="36"/>
  <c r="E458" i="36"/>
  <c r="D458" i="36"/>
  <c r="G454" i="36"/>
  <c r="F454" i="36"/>
  <c r="D454" i="36"/>
  <c r="E454" i="36"/>
  <c r="G450" i="36"/>
  <c r="F450" i="36"/>
  <c r="E450" i="36"/>
  <c r="D450" i="36"/>
  <c r="G446" i="36"/>
  <c r="F446" i="36"/>
  <c r="E446" i="36"/>
  <c r="D446" i="36"/>
  <c r="G442" i="36"/>
  <c r="F442" i="36"/>
  <c r="E442" i="36"/>
  <c r="D442" i="36"/>
  <c r="G438" i="36"/>
  <c r="F438" i="36"/>
  <c r="E438" i="36"/>
  <c r="D438" i="36"/>
  <c r="G434" i="36"/>
  <c r="F434" i="36"/>
  <c r="E434" i="36"/>
  <c r="D434" i="36"/>
  <c r="G430" i="36"/>
  <c r="F430" i="36"/>
  <c r="E430" i="36"/>
  <c r="D430" i="36"/>
  <c r="G426" i="36"/>
  <c r="F426" i="36"/>
  <c r="E426" i="36"/>
  <c r="D426" i="36"/>
  <c r="G422" i="36"/>
  <c r="F422" i="36"/>
  <c r="E422" i="36"/>
  <c r="D422" i="36"/>
  <c r="G418" i="36"/>
  <c r="F418" i="36"/>
  <c r="E418" i="36"/>
  <c r="D418" i="36"/>
  <c r="G414" i="36"/>
  <c r="F414" i="36"/>
  <c r="E414" i="36"/>
  <c r="D414" i="36"/>
  <c r="G410" i="36"/>
  <c r="F410" i="36"/>
  <c r="E410" i="36"/>
  <c r="D410" i="36"/>
  <c r="G406" i="36"/>
  <c r="F406" i="36"/>
  <c r="D406" i="36"/>
  <c r="E406" i="36"/>
  <c r="G402" i="36"/>
  <c r="F402" i="36"/>
  <c r="E402" i="36"/>
  <c r="D402" i="36"/>
  <c r="G398" i="36"/>
  <c r="F398" i="36"/>
  <c r="E398" i="36"/>
  <c r="D398" i="36"/>
  <c r="G394" i="36"/>
  <c r="F394" i="36"/>
  <c r="E394" i="36"/>
  <c r="D394" i="36"/>
  <c r="G390" i="36"/>
  <c r="F390" i="36"/>
  <c r="D390" i="36"/>
  <c r="E390" i="36"/>
  <c r="G386" i="36"/>
  <c r="F386" i="36"/>
  <c r="E386" i="36"/>
  <c r="D386" i="36"/>
  <c r="G382" i="36"/>
  <c r="F382" i="36"/>
  <c r="E382" i="36"/>
  <c r="D382" i="36"/>
  <c r="G378" i="36"/>
  <c r="F378" i="36"/>
  <c r="E378" i="36"/>
  <c r="D378" i="36"/>
  <c r="G374" i="36"/>
  <c r="F374" i="36"/>
  <c r="E374" i="36"/>
  <c r="D374" i="36"/>
  <c r="G370" i="36"/>
  <c r="F370" i="36"/>
  <c r="E370" i="36"/>
  <c r="D370" i="36"/>
  <c r="G366" i="36"/>
  <c r="F366" i="36"/>
  <c r="E366" i="36"/>
  <c r="D366" i="36"/>
  <c r="G362" i="36"/>
  <c r="F362" i="36"/>
  <c r="E362" i="36"/>
  <c r="D362" i="36"/>
  <c r="G358" i="36"/>
  <c r="F358" i="36"/>
  <c r="E358" i="36"/>
  <c r="D358" i="36"/>
  <c r="G354" i="36"/>
  <c r="F354" i="36"/>
  <c r="E354" i="36"/>
  <c r="D354" i="36"/>
  <c r="G350" i="36"/>
  <c r="F350" i="36"/>
  <c r="E350" i="36"/>
  <c r="D350" i="36"/>
  <c r="G346" i="36"/>
  <c r="F346" i="36"/>
  <c r="E346" i="36"/>
  <c r="D346" i="36"/>
  <c r="G342" i="36"/>
  <c r="F342" i="36"/>
  <c r="D342" i="36"/>
  <c r="E342" i="36"/>
  <c r="G338" i="36"/>
  <c r="F338" i="36"/>
  <c r="E338" i="36"/>
  <c r="D338" i="36"/>
  <c r="G334" i="36"/>
  <c r="F334" i="36"/>
  <c r="E334" i="36"/>
  <c r="D334" i="36"/>
  <c r="G330" i="36"/>
  <c r="F330" i="36"/>
  <c r="E330" i="36"/>
  <c r="D330" i="36"/>
  <c r="G326" i="36"/>
  <c r="F326" i="36"/>
  <c r="D326" i="36"/>
  <c r="E326" i="36"/>
  <c r="G322" i="36"/>
  <c r="F322" i="36"/>
  <c r="E322" i="36"/>
  <c r="D322" i="36"/>
  <c r="G318" i="36"/>
  <c r="F318" i="36"/>
  <c r="E318" i="36"/>
  <c r="D318" i="36"/>
  <c r="G314" i="36"/>
  <c r="F314" i="36"/>
  <c r="E314" i="36"/>
  <c r="D314" i="36"/>
  <c r="G310" i="36"/>
  <c r="F310" i="36"/>
  <c r="E310" i="36"/>
  <c r="D310" i="36"/>
  <c r="G306" i="36"/>
  <c r="F306" i="36"/>
  <c r="E306" i="36"/>
  <c r="D306" i="36"/>
  <c r="G302" i="36"/>
  <c r="F302" i="36"/>
  <c r="E302" i="36"/>
  <c r="D302" i="36"/>
  <c r="G298" i="36"/>
  <c r="F298" i="36"/>
  <c r="E298" i="36"/>
  <c r="D298" i="36"/>
  <c r="G294" i="36"/>
  <c r="F294" i="36"/>
  <c r="E294" i="36"/>
  <c r="D294" i="36"/>
  <c r="G290" i="36"/>
  <c r="F290" i="36"/>
  <c r="E290" i="36"/>
  <c r="D290" i="36"/>
  <c r="G286" i="36"/>
  <c r="F286" i="36"/>
  <c r="E286" i="36"/>
  <c r="D286" i="36"/>
  <c r="G282" i="36"/>
  <c r="F282" i="36"/>
  <c r="E282" i="36"/>
  <c r="D282" i="36"/>
  <c r="G278" i="36"/>
  <c r="F278" i="36"/>
  <c r="D278" i="36"/>
  <c r="E278" i="36"/>
  <c r="G274" i="36"/>
  <c r="F274" i="36"/>
  <c r="E274" i="36"/>
  <c r="D274" i="36"/>
  <c r="G270" i="36"/>
  <c r="F270" i="36"/>
  <c r="E270" i="36"/>
  <c r="D270" i="36"/>
  <c r="G266" i="36"/>
  <c r="F266" i="36"/>
  <c r="E266" i="36"/>
  <c r="D266" i="36"/>
  <c r="G262" i="36"/>
  <c r="F262" i="36"/>
  <c r="D262" i="36"/>
  <c r="E262" i="36"/>
  <c r="G258" i="36"/>
  <c r="F258" i="36"/>
  <c r="E258" i="36"/>
  <c r="D258" i="36"/>
  <c r="G254" i="36"/>
  <c r="F254" i="36"/>
  <c r="E254" i="36"/>
  <c r="D254" i="36"/>
  <c r="G250" i="36"/>
  <c r="F250" i="36"/>
  <c r="E250" i="36"/>
  <c r="D250" i="36"/>
  <c r="G246" i="36"/>
  <c r="F246" i="36"/>
  <c r="E246" i="36"/>
  <c r="D246" i="36"/>
  <c r="G242" i="36"/>
  <c r="F242" i="36"/>
  <c r="E242" i="36"/>
  <c r="D242" i="36"/>
  <c r="G238" i="36"/>
  <c r="F238" i="36"/>
  <c r="E238" i="36"/>
  <c r="D238" i="36"/>
  <c r="G234" i="36"/>
  <c r="F234" i="36"/>
  <c r="E234" i="36"/>
  <c r="D234" i="36"/>
  <c r="G230" i="36"/>
  <c r="F230" i="36"/>
  <c r="E230" i="36"/>
  <c r="D230" i="36"/>
  <c r="G226" i="36"/>
  <c r="F226" i="36"/>
  <c r="E226" i="36"/>
  <c r="D226" i="36"/>
  <c r="G222" i="36"/>
  <c r="F222" i="36"/>
  <c r="E222" i="36"/>
  <c r="D222" i="36"/>
  <c r="G218" i="36"/>
  <c r="F218" i="36"/>
  <c r="E218" i="36"/>
  <c r="D218" i="36"/>
  <c r="G214" i="36"/>
  <c r="F214" i="36"/>
  <c r="D214" i="36"/>
  <c r="E214" i="36"/>
  <c r="G210" i="36"/>
  <c r="F210" i="36"/>
  <c r="E210" i="36"/>
  <c r="D210" i="36"/>
  <c r="G206" i="36"/>
  <c r="F206" i="36"/>
  <c r="E206" i="36"/>
  <c r="D206" i="36"/>
  <c r="G202" i="36"/>
  <c r="F202" i="36"/>
  <c r="E202" i="36"/>
  <c r="D202" i="36"/>
  <c r="G198" i="36"/>
  <c r="F198" i="36"/>
  <c r="D198" i="36"/>
  <c r="E198" i="36"/>
  <c r="G194" i="36"/>
  <c r="F194" i="36"/>
  <c r="E194" i="36"/>
  <c r="D194" i="36"/>
  <c r="G190" i="36"/>
  <c r="F190" i="36"/>
  <c r="E190" i="36"/>
  <c r="D190" i="36"/>
  <c r="G186" i="36"/>
  <c r="F186" i="36"/>
  <c r="E186" i="36"/>
  <c r="D186" i="36"/>
  <c r="G182" i="36"/>
  <c r="F182" i="36"/>
  <c r="E182" i="36"/>
  <c r="D182" i="36"/>
  <c r="G178" i="36"/>
  <c r="F178" i="36"/>
  <c r="E178" i="36"/>
  <c r="D178" i="36"/>
  <c r="G174" i="36"/>
  <c r="F174" i="36"/>
  <c r="E174" i="36"/>
  <c r="D174" i="36"/>
  <c r="G170" i="36"/>
  <c r="F170" i="36"/>
  <c r="E170" i="36"/>
  <c r="D170" i="36"/>
  <c r="G166" i="36"/>
  <c r="F166" i="36"/>
  <c r="E166" i="36"/>
  <c r="D166" i="36"/>
  <c r="G162" i="36"/>
  <c r="F162" i="36"/>
  <c r="E162" i="36"/>
  <c r="D162" i="36"/>
  <c r="G158" i="36"/>
  <c r="F158" i="36"/>
  <c r="E158" i="36"/>
  <c r="D158" i="36"/>
  <c r="G154" i="36"/>
  <c r="F154" i="36"/>
  <c r="E154" i="36"/>
  <c r="D154" i="36"/>
  <c r="G150" i="36"/>
  <c r="F150" i="36"/>
  <c r="D150" i="36"/>
  <c r="E150" i="36"/>
  <c r="G146" i="36"/>
  <c r="F146" i="36"/>
  <c r="E146" i="36"/>
  <c r="D146" i="36"/>
  <c r="G142" i="36"/>
  <c r="F142" i="36"/>
  <c r="E142" i="36"/>
  <c r="D142" i="36"/>
  <c r="G138" i="36"/>
  <c r="F138" i="36"/>
  <c r="E138" i="36"/>
  <c r="D138" i="36"/>
  <c r="G134" i="36"/>
  <c r="F134" i="36"/>
  <c r="D134" i="36"/>
  <c r="E134" i="36"/>
  <c r="G130" i="36"/>
  <c r="F130" i="36"/>
  <c r="E130" i="36"/>
  <c r="D130" i="36"/>
  <c r="G126" i="36"/>
  <c r="F126" i="36"/>
  <c r="E126" i="36"/>
  <c r="D126" i="36"/>
  <c r="G122" i="36"/>
  <c r="F122" i="36"/>
  <c r="E122" i="36"/>
  <c r="D122" i="36"/>
  <c r="G118" i="36"/>
  <c r="F118" i="36"/>
  <c r="E118" i="36"/>
  <c r="D118" i="36"/>
  <c r="G114" i="36"/>
  <c r="F114" i="36"/>
  <c r="E114" i="36"/>
  <c r="D114" i="36"/>
  <c r="G110" i="36"/>
  <c r="F110" i="36"/>
  <c r="E110" i="36"/>
  <c r="D110" i="36"/>
  <c r="G106" i="36"/>
  <c r="F106" i="36"/>
  <c r="E106" i="36"/>
  <c r="D106" i="36"/>
  <c r="G102" i="36"/>
  <c r="F102" i="36"/>
  <c r="E102" i="36"/>
  <c r="D102" i="36"/>
  <c r="G98" i="36"/>
  <c r="F98" i="36"/>
  <c r="E98" i="36"/>
  <c r="D98" i="36"/>
  <c r="G94" i="36"/>
  <c r="F94" i="36"/>
  <c r="E94" i="36"/>
  <c r="D94" i="36"/>
  <c r="G90" i="36"/>
  <c r="F90" i="36"/>
  <c r="E90" i="36"/>
  <c r="D90" i="36"/>
  <c r="G86" i="36"/>
  <c r="F86" i="36"/>
  <c r="D86" i="36"/>
  <c r="E86" i="36"/>
  <c r="G82" i="36"/>
  <c r="F82" i="36"/>
  <c r="E82" i="36"/>
  <c r="D82" i="36"/>
  <c r="G78" i="36"/>
  <c r="F78" i="36"/>
  <c r="E78" i="36"/>
  <c r="D78" i="36"/>
  <c r="G74" i="36"/>
  <c r="F74" i="36"/>
  <c r="E74" i="36"/>
  <c r="D74" i="36"/>
  <c r="G70" i="36"/>
  <c r="F70" i="36"/>
  <c r="D70" i="36"/>
  <c r="E70" i="36"/>
  <c r="G66" i="36"/>
  <c r="F66" i="36"/>
  <c r="E66" i="36"/>
  <c r="D66" i="36"/>
  <c r="G62" i="36"/>
  <c r="F62" i="36"/>
  <c r="E62" i="36"/>
  <c r="D62" i="36"/>
  <c r="G58" i="36"/>
  <c r="F58" i="36"/>
  <c r="E58" i="36"/>
  <c r="D58" i="36"/>
  <c r="G54" i="36"/>
  <c r="F54" i="36"/>
  <c r="E54" i="36"/>
  <c r="D54" i="36"/>
  <c r="G50" i="36"/>
  <c r="F50" i="36"/>
  <c r="E50" i="36"/>
  <c r="D50" i="36"/>
  <c r="G46" i="36"/>
  <c r="F46" i="36"/>
  <c r="E46" i="36"/>
  <c r="D46" i="36"/>
  <c r="G42" i="36"/>
  <c r="F42" i="36"/>
  <c r="E42" i="36"/>
  <c r="D42" i="36"/>
  <c r="G38" i="36"/>
  <c r="F38" i="36"/>
  <c r="E38" i="36"/>
  <c r="D38" i="36"/>
  <c r="G34" i="36"/>
  <c r="F34" i="36"/>
  <c r="E34" i="36"/>
  <c r="D34" i="36"/>
  <c r="G30" i="36"/>
  <c r="F30" i="36"/>
  <c r="E30" i="36"/>
  <c r="D30" i="36"/>
  <c r="G26" i="36"/>
  <c r="F26" i="36"/>
  <c r="E26" i="36"/>
  <c r="D26" i="36"/>
  <c r="G22" i="36"/>
  <c r="F22" i="36"/>
  <c r="D22" i="36"/>
  <c r="E22" i="36"/>
  <c r="G18" i="36"/>
  <c r="F18" i="36"/>
  <c r="E18" i="36"/>
  <c r="D18" i="36"/>
  <c r="G14" i="36"/>
  <c r="F14" i="36"/>
  <c r="E14" i="36"/>
  <c r="D14" i="36"/>
  <c r="G10" i="36"/>
  <c r="F10" i="36"/>
  <c r="E10" i="36"/>
  <c r="D10" i="36"/>
  <c r="G6" i="36"/>
  <c r="F6" i="36"/>
  <c r="D6" i="36"/>
  <c r="E6" i="36"/>
  <c r="CC146" i="68" l="1"/>
  <c r="BW146" i="68"/>
  <c r="CI146" i="68"/>
  <c r="BQ146" i="68"/>
  <c r="BX146" i="68"/>
  <c r="BV148" i="68" s="1"/>
  <c r="BZ149" i="68" s="1"/>
  <c r="AM264" i="68" s="1"/>
  <c r="CJ146" i="68"/>
  <c r="CH148" i="68" s="1"/>
  <c r="CL149" i="68" s="1"/>
  <c r="AQ264" i="68" s="1"/>
  <c r="BR146" i="68"/>
  <c r="BP148" i="68" s="1"/>
  <c r="BT149" i="68" s="1"/>
  <c r="AK264" i="68" s="1"/>
  <c r="CD146" i="68"/>
  <c r="CB148" i="68" s="1"/>
  <c r="CF149" i="68" s="1"/>
  <c r="AO264" i="68" s="1"/>
  <c r="BY146" i="68"/>
  <c r="BS146" i="68"/>
  <c r="CE146" i="68"/>
  <c r="CK146" i="68"/>
  <c r="BZ146" i="68"/>
  <c r="CL146" i="68"/>
  <c r="BT146" i="68"/>
  <c r="CF146" i="68"/>
  <c r="CC168" i="68"/>
  <c r="CI168" i="68"/>
  <c r="CD168" i="68"/>
  <c r="CJ168" i="68"/>
  <c r="CE168" i="68"/>
  <c r="CK168" i="68"/>
  <c r="CF168" i="68"/>
  <c r="CL168" i="68"/>
  <c r="BQ168" i="68"/>
  <c r="BW168" i="68"/>
  <c r="BX168" i="68"/>
  <c r="BR168" i="68"/>
  <c r="BS168" i="68"/>
  <c r="BY168" i="68"/>
  <c r="BZ168" i="68"/>
  <c r="BT168" i="68"/>
  <c r="M74" i="6"/>
  <c r="CH170" i="68" l="1"/>
  <c r="CL171" i="68" s="1"/>
  <c r="AQ301" i="68" s="1"/>
  <c r="CB170" i="68"/>
  <c r="CF171" i="68" s="1"/>
  <c r="AO301" i="68" s="1"/>
  <c r="BV170" i="68"/>
  <c r="BZ171" i="68" s="1"/>
  <c r="AM301" i="68" s="1"/>
  <c r="BP170" i="68"/>
  <c r="BT171" i="68" s="1"/>
  <c r="AK301" i="68" s="1"/>
  <c r="Z8" i="68"/>
  <c r="Z7" i="68"/>
  <c r="E17" i="65" l="1"/>
  <c r="E18" i="65"/>
  <c r="Q116" i="71" l="1"/>
  <c r="Q115" i="71"/>
  <c r="Q114" i="71"/>
  <c r="M128" i="71" l="1"/>
  <c r="L127" i="71"/>
  <c r="M125" i="71"/>
  <c r="L125" i="71"/>
  <c r="L123" i="71"/>
  <c r="L122" i="71"/>
  <c r="C115" i="71"/>
  <c r="L113" i="71"/>
  <c r="L111" i="71"/>
  <c r="M110" i="71"/>
  <c r="M113" i="71" s="1"/>
  <c r="M118" i="71" s="1"/>
  <c r="L106" i="71"/>
  <c r="C106" i="71"/>
  <c r="L101" i="71"/>
  <c r="M100" i="71"/>
  <c r="L100" i="71"/>
  <c r="M99" i="71"/>
  <c r="J99" i="71"/>
  <c r="M98" i="71"/>
  <c r="J98" i="71"/>
  <c r="C98" i="71"/>
  <c r="L97" i="71"/>
  <c r="L96" i="71"/>
  <c r="C95" i="71"/>
  <c r="C94" i="71"/>
  <c r="L93" i="71"/>
  <c r="C92" i="71"/>
  <c r="L90" i="71"/>
  <c r="L89" i="71"/>
  <c r="L86" i="71"/>
  <c r="L83" i="71"/>
  <c r="P79" i="71"/>
  <c r="P77" i="71"/>
  <c r="L67" i="71"/>
  <c r="M62" i="71"/>
  <c r="Q53" i="71"/>
  <c r="Q52" i="71"/>
  <c r="Q51" i="71"/>
  <c r="C53" i="71"/>
  <c r="M47" i="71"/>
  <c r="M50" i="71" s="1"/>
  <c r="C35" i="71"/>
  <c r="C32" i="71"/>
  <c r="C31" i="71"/>
  <c r="C19" i="71"/>
  <c r="C43" i="71"/>
  <c r="M37" i="71"/>
  <c r="M65" i="71"/>
  <c r="L64" i="71"/>
  <c r="L62" i="71"/>
  <c r="L60" i="71"/>
  <c r="L59" i="71"/>
  <c r="L50" i="71"/>
  <c r="L48" i="71"/>
  <c r="L43" i="71"/>
  <c r="L38" i="71"/>
  <c r="L37" i="71"/>
  <c r="J36" i="71"/>
  <c r="J35" i="71"/>
  <c r="M36" i="71"/>
  <c r="M35" i="71"/>
  <c r="L34" i="71"/>
  <c r="L33" i="71"/>
  <c r="L30" i="71"/>
  <c r="P17" i="71"/>
  <c r="P15" i="71"/>
  <c r="L28" i="71"/>
  <c r="L27" i="71"/>
  <c r="L24" i="71"/>
  <c r="L21" i="71"/>
  <c r="L5" i="71"/>
  <c r="K147" i="71" l="1"/>
  <c r="M55" i="71"/>
  <c r="K144" i="71" s="1"/>
  <c r="W42" i="79" s="1"/>
  <c r="AC42" i="79" s="1"/>
  <c r="K141" i="71"/>
  <c r="M64" i="71"/>
  <c r="P75" i="71"/>
  <c r="M127" i="71"/>
  <c r="K150" i="71" s="1"/>
  <c r="W44" i="79" s="1"/>
  <c r="P13" i="71"/>
  <c r="Z9" i="59"/>
  <c r="Z8" i="59"/>
  <c r="Z7" i="59"/>
  <c r="N39" i="78" l="1"/>
  <c r="W40" i="78"/>
  <c r="AC40" i="78" s="1"/>
  <c r="AC44" i="79"/>
  <c r="AC68" i="79" s="1"/>
  <c r="AL46" i="78"/>
  <c r="W24" i="78"/>
  <c r="AC24" i="78" s="1"/>
  <c r="Q75" i="71"/>
  <c r="Q77" i="71"/>
  <c r="Q15" i="71"/>
  <c r="Q13" i="71"/>
  <c r="AH49" i="68" l="1"/>
  <c r="AB6" i="68"/>
  <c r="B65" i="3"/>
  <c r="P46" i="37" l="1"/>
  <c r="H107" i="70" l="1"/>
  <c r="I82" i="69"/>
  <c r="I79" i="69"/>
  <c r="I72" i="69"/>
  <c r="BD121" i="2" l="1"/>
  <c r="BD101" i="2"/>
  <c r="W264" i="68" l="1"/>
  <c r="W265" i="68"/>
  <c r="W268" i="68"/>
  <c r="W269" i="68"/>
  <c r="W270" i="68"/>
  <c r="W271" i="68"/>
  <c r="W272" i="68"/>
  <c r="W273" i="68"/>
  <c r="W274" i="68"/>
  <c r="W275" i="68"/>
  <c r="W277" i="68"/>
  <c r="W279" i="68"/>
  <c r="W280" i="68"/>
  <c r="W281" i="68"/>
  <c r="W282" i="68"/>
  <c r="W283" i="68"/>
  <c r="W284" i="68"/>
  <c r="W285" i="68"/>
  <c r="W286" i="68"/>
  <c r="W287" i="68"/>
  <c r="W288" i="68"/>
  <c r="W289" i="68"/>
  <c r="W290" i="68"/>
  <c r="W291" i="68"/>
  <c r="W292" i="68"/>
  <c r="W293" i="68"/>
  <c r="W294" i="68"/>
  <c r="W295" i="68"/>
  <c r="Y290" i="68" l="1"/>
  <c r="Y291" i="68"/>
  <c r="Y292" i="68"/>
  <c r="Y293" i="68"/>
  <c r="Y294" i="68"/>
  <c r="Y295" i="68"/>
  <c r="Y242" i="68"/>
  <c r="AB25" i="68" l="1"/>
  <c r="Y243" i="68" l="1"/>
  <c r="U241" i="68"/>
  <c r="AC7" i="68"/>
  <c r="U242" i="68" l="1"/>
  <c r="Y244" i="68"/>
  <c r="AB23" i="68"/>
  <c r="S235" i="68"/>
  <c r="U243" i="68" l="1"/>
  <c r="Y245" i="68"/>
  <c r="S237" i="68"/>
  <c r="U244" i="68" l="1"/>
  <c r="W257" i="68"/>
  <c r="Y246" i="68"/>
  <c r="O242" i="68"/>
  <c r="O243" i="68"/>
  <c r="O244" i="68"/>
  <c r="O245" i="68"/>
  <c r="O246" i="68"/>
  <c r="O247" i="68"/>
  <c r="O248" i="68"/>
  <c r="O249" i="68"/>
  <c r="O250" i="68"/>
  <c r="O251" i="68"/>
  <c r="O252" i="68"/>
  <c r="O253" i="68"/>
  <c r="O254" i="68"/>
  <c r="O255" i="68"/>
  <c r="O256" i="68"/>
  <c r="O257" i="68"/>
  <c r="O258" i="68"/>
  <c r="O259" i="68"/>
  <c r="O260" i="68"/>
  <c r="O261" i="68"/>
  <c r="O262" i="68"/>
  <c r="O263" i="68"/>
  <c r="O264" i="68"/>
  <c r="O265" i="68"/>
  <c r="O266" i="68"/>
  <c r="O267" i="68"/>
  <c r="O268" i="68"/>
  <c r="O269" i="68"/>
  <c r="O270" i="68"/>
  <c r="O271" i="68"/>
  <c r="O272" i="68"/>
  <c r="O273" i="68"/>
  <c r="O274" i="68"/>
  <c r="O275" i="68"/>
  <c r="O276" i="68"/>
  <c r="O277" i="68"/>
  <c r="O278" i="68"/>
  <c r="O279" i="68"/>
  <c r="O280" i="68"/>
  <c r="O281" i="68"/>
  <c r="O282" i="68"/>
  <c r="O283" i="68"/>
  <c r="O284" i="68"/>
  <c r="O285" i="68"/>
  <c r="O286" i="68"/>
  <c r="O287" i="68"/>
  <c r="O288" i="68"/>
  <c r="O289" i="68"/>
  <c r="O290" i="68"/>
  <c r="O291" i="68"/>
  <c r="O292" i="68"/>
  <c r="O293" i="68"/>
  <c r="O294" i="68"/>
  <c r="O295" i="68"/>
  <c r="O241" i="68"/>
  <c r="V218" i="68"/>
  <c r="BY242" i="68" s="1"/>
  <c r="T198" i="68"/>
  <c r="BV242" i="68" s="1"/>
  <c r="T208" i="68"/>
  <c r="R198" i="68"/>
  <c r="BS242" i="68" s="1"/>
  <c r="T218" i="68"/>
  <c r="BX242" i="68" s="1"/>
  <c r="U245" i="68" l="1"/>
  <c r="U246" i="68" s="1"/>
  <c r="W244" i="68"/>
  <c r="Y247" i="68"/>
  <c r="U247" i="68"/>
  <c r="W247" i="68" s="1"/>
  <c r="F207" i="68"/>
  <c r="F217" i="68"/>
  <c r="F197" i="68"/>
  <c r="F187" i="68"/>
  <c r="G192" i="68"/>
  <c r="P208" i="68"/>
  <c r="R208" i="68"/>
  <c r="P218" i="68"/>
  <c r="R218" i="68"/>
  <c r="BU242" i="68" s="1"/>
  <c r="BP243" i="68" l="1"/>
  <c r="BQ242" i="68"/>
  <c r="BQ244" i="68"/>
  <c r="BQ243" i="68"/>
  <c r="BQ295" i="68"/>
  <c r="BQ293" i="68"/>
  <c r="BQ291" i="68"/>
  <c r="BQ289" i="68"/>
  <c r="BQ287" i="68"/>
  <c r="BQ285" i="68"/>
  <c r="BQ283" i="68"/>
  <c r="BQ281" i="68"/>
  <c r="BQ279" i="68"/>
  <c r="BQ277" i="68"/>
  <c r="BQ267" i="68"/>
  <c r="BQ265" i="68"/>
  <c r="BQ263" i="68"/>
  <c r="BQ261" i="68"/>
  <c r="BQ259" i="68"/>
  <c r="BQ257" i="68"/>
  <c r="BQ296" i="68"/>
  <c r="BQ294" i="68"/>
  <c r="BQ292" i="68"/>
  <c r="BQ290" i="68"/>
  <c r="BQ288" i="68"/>
  <c r="BQ286" i="68"/>
  <c r="BQ284" i="68"/>
  <c r="BQ282" i="68"/>
  <c r="BQ280" i="68"/>
  <c r="BQ278" i="68"/>
  <c r="BQ276" i="68"/>
  <c r="BQ266" i="68"/>
  <c r="BQ264" i="68"/>
  <c r="BQ262" i="68"/>
  <c r="BQ260" i="68"/>
  <c r="BQ258" i="68"/>
  <c r="BQ256" i="68"/>
  <c r="BO242" i="68"/>
  <c r="BO295" i="68"/>
  <c r="BO293" i="68"/>
  <c r="BO291" i="68"/>
  <c r="BO289" i="68"/>
  <c r="BO287" i="68"/>
  <c r="BO285" i="68"/>
  <c r="BO283" i="68"/>
  <c r="BO281" i="68"/>
  <c r="BO279" i="68"/>
  <c r="BO277" i="68"/>
  <c r="BO275" i="68"/>
  <c r="BO273" i="68"/>
  <c r="BO271" i="68"/>
  <c r="BO269" i="68"/>
  <c r="BO267" i="68"/>
  <c r="BO265" i="68"/>
  <c r="BO263" i="68"/>
  <c r="BO253" i="68"/>
  <c r="BO251" i="68"/>
  <c r="BO296" i="68"/>
  <c r="BO294" i="68"/>
  <c r="BO292" i="68"/>
  <c r="BO290" i="68"/>
  <c r="BO288" i="68"/>
  <c r="BO286" i="68"/>
  <c r="BO284" i="68"/>
  <c r="BO282" i="68"/>
  <c r="BO280" i="68"/>
  <c r="BO278" i="68"/>
  <c r="BO276" i="68"/>
  <c r="BO274" i="68"/>
  <c r="BO272" i="68"/>
  <c r="BO270" i="68"/>
  <c r="BO268" i="68"/>
  <c r="BO266" i="68"/>
  <c r="BO264" i="68"/>
  <c r="BO262" i="68"/>
  <c r="BO254" i="68"/>
  <c r="BO252" i="68"/>
  <c r="BP295" i="68"/>
  <c r="BP293" i="68"/>
  <c r="BP291" i="68"/>
  <c r="BP289" i="68"/>
  <c r="BP287" i="68"/>
  <c r="BP285" i="68"/>
  <c r="BP283" i="68"/>
  <c r="BP281" i="68"/>
  <c r="BP279" i="68"/>
  <c r="BP277" i="68"/>
  <c r="BP275" i="68"/>
  <c r="BP273" i="68"/>
  <c r="BP271" i="68"/>
  <c r="BP269" i="68"/>
  <c r="BP259" i="68"/>
  <c r="BP257" i="68"/>
  <c r="BP255" i="68"/>
  <c r="BP296" i="68"/>
  <c r="BP294" i="68"/>
  <c r="BP292" i="68"/>
  <c r="BP290" i="68"/>
  <c r="BP288" i="68"/>
  <c r="BP286" i="68"/>
  <c r="BP284" i="68"/>
  <c r="BP282" i="68"/>
  <c r="BP280" i="68"/>
  <c r="BP278" i="68"/>
  <c r="BP276" i="68"/>
  <c r="BP274" i="68"/>
  <c r="BP272" i="68"/>
  <c r="BP270" i="68"/>
  <c r="BP268" i="68"/>
  <c r="BP260" i="68"/>
  <c r="BP258" i="68"/>
  <c r="BP256" i="68"/>
  <c r="BP254" i="68"/>
  <c r="W255" i="68"/>
  <c r="W259" i="68"/>
  <c r="Y248" i="68"/>
  <c r="U248" i="68"/>
  <c r="W260" i="68" l="1"/>
  <c r="V165" i="68"/>
  <c r="V167" i="68" s="1"/>
  <c r="T165" i="68"/>
  <c r="T167" i="68" s="1"/>
  <c r="R165" i="68"/>
  <c r="R167" i="68" s="1"/>
  <c r="P165" i="68"/>
  <c r="P167" i="68" s="1"/>
  <c r="V169" i="68"/>
  <c r="T169" i="68"/>
  <c r="R169" i="68"/>
  <c r="P169" i="68"/>
  <c r="Y249" i="68"/>
  <c r="U249" i="68"/>
  <c r="W249" i="68" s="1"/>
  <c r="P118" i="68"/>
  <c r="R118" i="68"/>
  <c r="T118" i="68"/>
  <c r="V118" i="68"/>
  <c r="P170" i="68" l="1"/>
  <c r="P138" i="68" s="1"/>
  <c r="R170" i="68"/>
  <c r="R138" i="68" s="1"/>
  <c r="T170" i="68"/>
  <c r="T138" i="68" s="1"/>
  <c r="V170" i="68"/>
  <c r="W261" i="68"/>
  <c r="Y250" i="68"/>
  <c r="U250" i="68"/>
  <c r="G202" i="68"/>
  <c r="G222" i="68"/>
  <c r="W262" i="68" l="1"/>
  <c r="V138" i="68"/>
  <c r="Y251" i="68"/>
  <c r="U251" i="68"/>
  <c r="Y252" i="68" l="1"/>
  <c r="U252" i="68"/>
  <c r="AP165" i="68"/>
  <c r="AN165" i="68"/>
  <c r="AL165" i="68"/>
  <c r="AJ165" i="68"/>
  <c r="Y253" i="68" l="1"/>
  <c r="U253" i="68"/>
  <c r="W253" i="68" s="1"/>
  <c r="Y254" i="68" l="1"/>
  <c r="U254" i="68"/>
  <c r="V112" i="68"/>
  <c r="T112" i="68"/>
  <c r="R112" i="68"/>
  <c r="P112" i="68"/>
  <c r="Y255" i="68" l="1"/>
  <c r="U255" i="68"/>
  <c r="Y256" i="68" l="1"/>
  <c r="U256" i="68"/>
  <c r="Y257" i="68" l="1"/>
  <c r="U257" i="68"/>
  <c r="Y258" i="68" l="1"/>
  <c r="U258" i="68"/>
  <c r="Y259" i="68" l="1"/>
  <c r="U259" i="68"/>
  <c r="Y260" i="68" l="1"/>
  <c r="U260" i="68"/>
  <c r="D43" i="68"/>
  <c r="Y261" i="68" l="1"/>
  <c r="U261" i="68"/>
  <c r="Y262" i="68" l="1"/>
  <c r="U262" i="68"/>
  <c r="Y263" i="68" l="1"/>
  <c r="U263" i="68"/>
  <c r="W171" i="68"/>
  <c r="C109" i="68"/>
  <c r="W108" i="68"/>
  <c r="C69" i="68"/>
  <c r="C9" i="68"/>
  <c r="W68" i="68"/>
  <c r="T7" i="68"/>
  <c r="U264" i="68" l="1"/>
  <c r="Y264" i="68"/>
  <c r="U265" i="68" l="1"/>
  <c r="Y265" i="68"/>
  <c r="U266" i="68" l="1"/>
  <c r="U267" i="68" s="1"/>
  <c r="Y266" i="68"/>
  <c r="U268" i="68" l="1"/>
  <c r="U269" i="68" s="1"/>
  <c r="U277" i="68"/>
  <c r="Y267" i="68"/>
  <c r="U270" i="68" l="1"/>
  <c r="U278" i="68"/>
  <c r="Y268" i="68"/>
  <c r="C23" i="13"/>
  <c r="U279" i="68" l="1"/>
  <c r="U271" i="68"/>
  <c r="Y269" i="68"/>
  <c r="U272" i="68" l="1"/>
  <c r="U280" i="68"/>
  <c r="Y270" i="68"/>
  <c r="Q17" i="15"/>
  <c r="U281" i="68" l="1"/>
  <c r="U273" i="68"/>
  <c r="Y271" i="68"/>
  <c r="U282" i="68" l="1"/>
  <c r="U274" i="68"/>
  <c r="Y272" i="68"/>
  <c r="V22" i="13"/>
  <c r="U275" i="68" l="1"/>
  <c r="U283" i="68"/>
  <c r="Y273" i="68"/>
  <c r="Y275" i="68"/>
  <c r="B6" i="3"/>
  <c r="W25" i="3"/>
  <c r="U284" i="68" l="1"/>
  <c r="U276" i="68"/>
  <c r="Y274" i="68"/>
  <c r="Y276" i="68"/>
  <c r="V16" i="13"/>
  <c r="C67" i="13"/>
  <c r="C17" i="13"/>
  <c r="C19" i="13"/>
  <c r="U285" i="68" l="1"/>
  <c r="Y277" i="68"/>
  <c r="P11" i="13"/>
  <c r="P12" i="13"/>
  <c r="C65" i="13"/>
  <c r="J94" i="13"/>
  <c r="O22" i="13"/>
  <c r="M22" i="13"/>
  <c r="V19" i="13"/>
  <c r="R29" i="13" s="1"/>
  <c r="K53" i="13"/>
  <c r="U286" i="68" l="1"/>
  <c r="Y278" i="68"/>
  <c r="P32" i="13"/>
  <c r="R22" i="12"/>
  <c r="U287" i="68" l="1"/>
  <c r="Y279" i="68"/>
  <c r="U288" i="68" l="1"/>
  <c r="Y280" i="68"/>
  <c r="U289" i="68" l="1"/>
  <c r="Y281" i="68"/>
  <c r="U290" i="68" l="1"/>
  <c r="Y282" i="68"/>
  <c r="AY111" i="2"/>
  <c r="U291" i="68" l="1"/>
  <c r="Y283" i="68"/>
  <c r="U292" i="68" l="1"/>
  <c r="Y284" i="68"/>
  <c r="U293" i="68" l="1"/>
  <c r="Y285" i="68"/>
  <c r="AX12" i="2"/>
  <c r="H28" i="2" s="1"/>
  <c r="AX122" i="2"/>
  <c r="AY122" i="2" s="1"/>
  <c r="AX102" i="2"/>
  <c r="AY102" i="2" s="1"/>
  <c r="AY125" i="2"/>
  <c r="BE122" i="2"/>
  <c r="BE123" i="2" s="1"/>
  <c r="AX121" i="2"/>
  <c r="BC106" i="2"/>
  <c r="AI99" i="71"/>
  <c r="BE102" i="2"/>
  <c r="BE103" i="2" s="1"/>
  <c r="AX101" i="2"/>
  <c r="L163" i="60" l="1"/>
  <c r="AH14" i="99"/>
  <c r="AC14" i="99" s="1"/>
  <c r="S61" i="15"/>
  <c r="AH10" i="3"/>
  <c r="BD105" i="2"/>
  <c r="AY101" i="2"/>
  <c r="BA107" i="2" s="1"/>
  <c r="AY121" i="2"/>
  <c r="BA127" i="2" s="1"/>
  <c r="S85" i="71"/>
  <c r="V85" i="71" s="1"/>
  <c r="AJ99" i="71"/>
  <c r="M96" i="71" s="1"/>
  <c r="S25" i="71"/>
  <c r="AH12" i="3"/>
  <c r="AE12" i="3"/>
  <c r="AX113" i="2"/>
  <c r="AJ36" i="71"/>
  <c r="M33" i="71" s="1"/>
  <c r="AI36" i="71"/>
  <c r="X36" i="71"/>
  <c r="U294" i="68"/>
  <c r="AL13" i="2"/>
  <c r="Y286" i="68"/>
  <c r="AY100" i="2"/>
  <c r="AY120" i="2"/>
  <c r="BA129" i="2" l="1"/>
  <c r="BA128" i="2"/>
  <c r="BA109" i="2"/>
  <c r="BA108" i="2"/>
  <c r="AZ122" i="2"/>
  <c r="BC125" i="2"/>
  <c r="AZ102" i="2"/>
  <c r="BC105" i="2"/>
  <c r="U85" i="71"/>
  <c r="AF86" i="71" s="1"/>
  <c r="AF104" i="71" s="1"/>
  <c r="AJ104" i="71" s="1"/>
  <c r="AK104" i="71" s="1"/>
  <c r="T85" i="71"/>
  <c r="V25" i="71"/>
  <c r="T25" i="71"/>
  <c r="U25" i="71"/>
  <c r="AH14" i="3"/>
  <c r="AF55" i="2"/>
  <c r="U295" i="68"/>
  <c r="Y287" i="68"/>
  <c r="AH18" i="3" l="1"/>
  <c r="M17" i="3" s="1"/>
  <c r="BC104" i="2"/>
  <c r="AA29" i="86" s="1"/>
  <c r="B114" i="86" s="1"/>
  <c r="BA130" i="2"/>
  <c r="BA110" i="2"/>
  <c r="BA102" i="2"/>
  <c r="AY12" i="2" s="1"/>
  <c r="AM16" i="2" s="1"/>
  <c r="V28" i="2"/>
  <c r="BC103" i="2"/>
  <c r="Q15" i="15"/>
  <c r="L27" i="15" s="1"/>
  <c r="BC123" i="2"/>
  <c r="BC124" i="2"/>
  <c r="AA34" i="86" s="1"/>
  <c r="G28" i="2"/>
  <c r="AQ8" i="2"/>
  <c r="R11" i="15" s="1"/>
  <c r="G26" i="15" s="1"/>
  <c r="U5" i="71"/>
  <c r="E2" i="71" s="1"/>
  <c r="AS34" i="2"/>
  <c r="AF87" i="71"/>
  <c r="AF105" i="71" s="1"/>
  <c r="AJ105" i="71" s="1"/>
  <c r="AK105" i="71" s="1"/>
  <c r="AF85" i="71"/>
  <c r="AF103" i="71" s="1"/>
  <c r="AJ103" i="71" s="1"/>
  <c r="AK103" i="71" s="1"/>
  <c r="AF88" i="71"/>
  <c r="AF106" i="71" s="1"/>
  <c r="AJ106" i="71" s="1"/>
  <c r="AK106" i="71" s="1"/>
  <c r="AF89" i="71"/>
  <c r="AF107" i="71" s="1"/>
  <c r="AJ107" i="71" s="1"/>
  <c r="AK107" i="71" s="1"/>
  <c r="AF90" i="71"/>
  <c r="AF108" i="71" s="1"/>
  <c r="AJ108" i="71" s="1"/>
  <c r="AK108" i="71" s="1"/>
  <c r="AF91" i="71"/>
  <c r="AF109" i="71" s="1"/>
  <c r="AJ109" i="71" s="1"/>
  <c r="AK109" i="71" s="1"/>
  <c r="AF92" i="71"/>
  <c r="AF110" i="71" s="1"/>
  <c r="AJ110" i="71" s="1"/>
  <c r="AK110" i="71" s="1"/>
  <c r="AF93" i="71"/>
  <c r="AF111" i="71" s="1"/>
  <c r="AJ111" i="71" s="1"/>
  <c r="AF94" i="71"/>
  <c r="AF112" i="71" s="1"/>
  <c r="AJ112" i="71" s="1"/>
  <c r="AF95" i="71"/>
  <c r="AF113" i="71" s="1"/>
  <c r="AJ113" i="71" s="1"/>
  <c r="AF96" i="71"/>
  <c r="AF114" i="71" s="1"/>
  <c r="AJ114" i="71" s="1"/>
  <c r="AF28" i="71"/>
  <c r="AF30" i="71"/>
  <c r="AF32" i="71"/>
  <c r="AF31" i="71"/>
  <c r="AF29" i="71"/>
  <c r="AF33" i="71"/>
  <c r="AF23" i="71"/>
  <c r="AF24" i="71"/>
  <c r="AF25" i="71"/>
  <c r="AF26" i="71"/>
  <c r="AF27" i="71"/>
  <c r="AF22" i="71"/>
  <c r="Y288" i="68"/>
  <c r="Y289" i="68"/>
  <c r="I4" i="86" l="1"/>
  <c r="I12" i="86" s="1"/>
  <c r="AO35" i="2"/>
  <c r="AA52" i="86"/>
  <c r="AU11" i="2"/>
  <c r="E7" i="65"/>
  <c r="A7" i="65" s="1"/>
  <c r="AU13" i="2"/>
  <c r="AU15" i="2" s="1"/>
  <c r="AP45" i="2" s="1"/>
  <c r="E11" i="65"/>
  <c r="A11" i="65" s="1"/>
  <c r="S13" i="15"/>
  <c r="AA49" i="86"/>
  <c r="AY103" i="2"/>
  <c r="F4" i="86"/>
  <c r="J4" i="86"/>
  <c r="P4" i="86"/>
  <c r="AA40" i="86" s="1"/>
  <c r="E3" i="86"/>
  <c r="AJ10" i="2"/>
  <c r="AL9" i="2"/>
  <c r="AK111" i="71"/>
  <c r="AK114" i="71"/>
  <c r="AK113" i="71"/>
  <c r="AJ115" i="71"/>
  <c r="AJ116" i="71" s="1"/>
  <c r="AK112" i="71"/>
  <c r="AF34" i="71"/>
  <c r="AF35" i="71" s="1"/>
  <c r="M24" i="71" s="1"/>
  <c r="M28" i="71" s="1"/>
  <c r="Y241" i="68"/>
  <c r="T236" i="68" s="1"/>
  <c r="AE20" i="58" l="1"/>
  <c r="B80" i="86"/>
  <c r="N10" i="65"/>
  <c r="B116" i="86"/>
  <c r="E6" i="86"/>
  <c r="P12" i="86"/>
  <c r="R12" i="86" s="1"/>
  <c r="R4" i="86"/>
  <c r="AA46" i="86" s="1"/>
  <c r="B54" i="86" s="1"/>
  <c r="AA37" i="86"/>
  <c r="B91" i="86" s="1"/>
  <c r="B92" i="86"/>
  <c r="AK115" i="71"/>
  <c r="AA43" i="86" l="1"/>
  <c r="B89" i="86" s="1"/>
  <c r="B93" i="86" s="1"/>
  <c r="B78" i="86"/>
  <c r="V95" i="71"/>
  <c r="V96" i="71" s="1"/>
  <c r="Y91" i="86" l="1"/>
  <c r="B79" i="86"/>
  <c r="Y79" i="86" s="1"/>
  <c r="Y98" i="86" s="1"/>
  <c r="B115" i="86"/>
  <c r="O115" i="86" s="1"/>
  <c r="B84" i="86"/>
  <c r="V34" i="71"/>
  <c r="V35" i="71"/>
  <c r="U34" i="71"/>
  <c r="U35" i="71" s="1"/>
  <c r="V28" i="71"/>
  <c r="T32" i="71" s="1"/>
  <c r="O116" i="86" l="1"/>
  <c r="T92" i="71"/>
  <c r="T31" i="71"/>
  <c r="U31" i="71" s="1"/>
  <c r="U92" i="71" s="1"/>
  <c r="T93" i="71"/>
  <c r="U95" i="71"/>
  <c r="U96" i="71"/>
  <c r="V97" i="71" s="1"/>
  <c r="U36" i="71"/>
  <c r="W114" i="33"/>
  <c r="V92" i="71" l="1"/>
  <c r="U97" i="71"/>
  <c r="U37" i="71"/>
  <c r="U32" i="71" s="1"/>
  <c r="V36" i="71"/>
  <c r="V98" i="71"/>
  <c r="V37" i="71" s="1"/>
  <c r="E538" i="60"/>
  <c r="D62" i="15"/>
  <c r="D49" i="14"/>
  <c r="E33" i="14"/>
  <c r="V93" i="71" l="1"/>
  <c r="V32" i="71" s="1"/>
  <c r="U98" i="71"/>
  <c r="W117" i="33"/>
  <c r="W113" i="33"/>
  <c r="W88" i="33"/>
  <c r="W85" i="33"/>
  <c r="W84" i="33"/>
  <c r="W83" i="33"/>
  <c r="W78" i="33"/>
  <c r="W77" i="33"/>
  <c r="AB119" i="33"/>
  <c r="V119" i="33"/>
  <c r="AB118" i="33"/>
  <c r="V116" i="33"/>
  <c r="AB111" i="33"/>
  <c r="V106" i="33"/>
  <c r="AB105" i="33"/>
  <c r="V105" i="33"/>
  <c r="AB104" i="33"/>
  <c r="Z103" i="33"/>
  <c r="Z101" i="33"/>
  <c r="V100" i="33"/>
  <c r="AB99" i="33"/>
  <c r="V99" i="33"/>
  <c r="AB91" i="33"/>
  <c r="AB88" i="33"/>
  <c r="Z87" i="33"/>
  <c r="Z85" i="33"/>
  <c r="Z81" i="33"/>
  <c r="AB79" i="33"/>
  <c r="U93" i="71" l="1"/>
  <c r="M30" i="71"/>
  <c r="M34" i="71" s="1"/>
  <c r="M38" i="71" s="1"/>
  <c r="M39" i="71" s="1"/>
  <c r="M40" i="71" s="1"/>
  <c r="O41" i="71" l="1"/>
  <c r="O42" i="71"/>
  <c r="O43" i="71"/>
  <c r="P7" i="37" l="1"/>
  <c r="S10" i="37"/>
  <c r="S11" i="37"/>
  <c r="S9" i="37"/>
  <c r="U5" i="37"/>
  <c r="U4" i="37"/>
  <c r="V4" i="37"/>
  <c r="P27" i="37"/>
  <c r="P21" i="37"/>
  <c r="C11" i="37"/>
  <c r="S6" i="37"/>
  <c r="S7" i="37"/>
  <c r="S4" i="37"/>
  <c r="S5" i="37"/>
  <c r="D32" i="37"/>
  <c r="D29" i="37"/>
  <c r="D27" i="37"/>
  <c r="D25" i="37"/>
  <c r="D23" i="37"/>
  <c r="D22" i="37"/>
  <c r="D21" i="37"/>
  <c r="D18" i="37"/>
  <c r="V7" i="37" l="1"/>
  <c r="V3" i="37"/>
  <c r="V9" i="37" l="1"/>
  <c r="AF9" i="37" s="1"/>
  <c r="C26" i="52"/>
  <c r="M123" i="33"/>
  <c r="P17" i="37" l="1"/>
  <c r="P18" i="37"/>
  <c r="N18" i="37" s="1"/>
  <c r="P22" i="37"/>
  <c r="U10" i="37"/>
  <c r="N23" i="37"/>
  <c r="N29" i="37"/>
  <c r="P28" i="37"/>
  <c r="N27" i="37"/>
  <c r="N21" i="37"/>
  <c r="P19" i="37"/>
  <c r="N20" i="37" s="1"/>
  <c r="AX2" i="2"/>
  <c r="BA2" i="2" s="1"/>
  <c r="AE146" i="62" s="1"/>
  <c r="AY2" i="2" l="1"/>
  <c r="I216" i="68"/>
  <c r="I206" i="68"/>
  <c r="I226" i="68"/>
  <c r="I196" i="68"/>
  <c r="P24" i="37"/>
  <c r="P26" i="37" s="1"/>
  <c r="O29" i="6" s="1"/>
  <c r="O28" i="6" s="1"/>
  <c r="N30" i="37"/>
  <c r="P31" i="37" s="1"/>
  <c r="P33" i="37" s="1"/>
  <c r="O49" i="6" s="1"/>
  <c r="O48" i="6" s="1"/>
  <c r="W94" i="3"/>
  <c r="AV146" i="84" l="1"/>
  <c r="AV146" i="96"/>
  <c r="AV19" i="96"/>
  <c r="AV19" i="84"/>
  <c r="AW148" i="84" s="1"/>
  <c r="AV148" i="96" l="1"/>
  <c r="AW147" i="96"/>
  <c r="AW20" i="96"/>
  <c r="AV147" i="96"/>
  <c r="AV20" i="96"/>
  <c r="AW21" i="96"/>
  <c r="AW149" i="96"/>
  <c r="AV22" i="96"/>
  <c r="AW22" i="96"/>
  <c r="AV149" i="96"/>
  <c r="AW148" i="96"/>
  <c r="AV21" i="96"/>
  <c r="AW149" i="84"/>
  <c r="AV149" i="84"/>
  <c r="AW21" i="84"/>
  <c r="AV20" i="84"/>
  <c r="AV22" i="84"/>
  <c r="AW147" i="84"/>
  <c r="AV147" i="84"/>
  <c r="AV148" i="84"/>
  <c r="AW20" i="84"/>
  <c r="AW22" i="84"/>
  <c r="AV21" i="84"/>
  <c r="E163" i="62"/>
  <c r="AY104" i="2"/>
  <c r="AD150" i="96" l="1"/>
  <c r="AD23" i="96"/>
  <c r="AD23" i="84"/>
  <c r="AD150" i="84"/>
  <c r="D148" i="62"/>
  <c r="D29" i="65" l="1"/>
  <c r="D23" i="65"/>
  <c r="D22" i="65"/>
  <c r="D21" i="65"/>
  <c r="N29" i="65"/>
  <c r="K31" i="63"/>
  <c r="K29" i="63"/>
  <c r="D28" i="63"/>
  <c r="I26" i="63"/>
  <c r="D21" i="63"/>
  <c r="I20" i="63"/>
  <c r="D20" i="63"/>
  <c r="K12" i="63"/>
  <c r="K11" i="63"/>
  <c r="G8" i="63"/>
  <c r="J4" i="65" l="1"/>
  <c r="N22" i="65"/>
  <c r="E74" i="30" l="1"/>
  <c r="X84" i="62" l="1"/>
  <c r="X85" i="62"/>
  <c r="X86" i="62"/>
  <c r="X83" i="62"/>
  <c r="J58" i="62"/>
  <c r="J59" i="62"/>
  <c r="J60" i="62"/>
  <c r="J57" i="62"/>
  <c r="AA58" i="62"/>
  <c r="AA59" i="62"/>
  <c r="AA60" i="62"/>
  <c r="AA57" i="62"/>
  <c r="D138" i="62" l="1"/>
  <c r="AM138" i="62" s="1"/>
  <c r="P35" i="33"/>
  <c r="P36" i="33"/>
  <c r="P20" i="33"/>
  <c r="W147" i="62" l="1"/>
  <c r="AE145" i="62"/>
  <c r="AE148" i="62" l="1"/>
  <c r="AA60" i="53"/>
  <c r="B110" i="37"/>
  <c r="B109" i="37"/>
  <c r="B111" i="37"/>
  <c r="B112" i="37"/>
  <c r="B93" i="37"/>
  <c r="B92" i="37"/>
  <c r="B91" i="37"/>
  <c r="AE150" i="62" l="1"/>
  <c r="AO150" i="62" s="1"/>
  <c r="R18" i="12"/>
  <c r="AM150" i="62" l="1"/>
  <c r="D376" i="60"/>
  <c r="D330" i="60"/>
  <c r="D327" i="60"/>
  <c r="D324" i="60"/>
  <c r="D321" i="60"/>
  <c r="D511" i="60"/>
  <c r="D514" i="60"/>
  <c r="D478" i="60"/>
  <c r="D475" i="60"/>
  <c r="D472" i="60"/>
  <c r="D469" i="60"/>
  <c r="H112" i="60"/>
  <c r="B112" i="60"/>
  <c r="J80" i="60"/>
  <c r="D15" i="14" l="1"/>
  <c r="X90" i="15"/>
  <c r="Y90" i="15" s="1"/>
  <c r="C93" i="15" l="1"/>
  <c r="X92" i="15"/>
  <c r="B97" i="62"/>
  <c r="E162" i="62"/>
  <c r="E164" i="62"/>
  <c r="D146" i="62"/>
  <c r="B131" i="62"/>
  <c r="AE121" i="62"/>
  <c r="AE125" i="62" s="1"/>
  <c r="B91" i="62"/>
  <c r="B72" i="62"/>
  <c r="AJ71" i="62"/>
  <c r="AC3" i="62"/>
  <c r="AE129" i="62" l="1"/>
  <c r="G335" i="60"/>
  <c r="AE134" i="62" l="1"/>
  <c r="B312" i="60"/>
  <c r="AE166" i="62" l="1"/>
  <c r="AO134" i="62"/>
  <c r="AH153" i="62"/>
  <c r="AE155" i="62" s="1"/>
  <c r="D143" i="60"/>
  <c r="D115" i="60"/>
  <c r="D94" i="60"/>
  <c r="D92" i="60"/>
  <c r="D7" i="60"/>
  <c r="N11" i="60"/>
  <c r="D71" i="60"/>
  <c r="D66" i="60"/>
  <c r="D57" i="60"/>
  <c r="D37" i="60"/>
  <c r="N20" i="60"/>
  <c r="N17" i="60"/>
  <c r="N14" i="60"/>
  <c r="AE156" i="62" l="1"/>
  <c r="AE167" i="62" s="1"/>
  <c r="AE168" i="62" s="1"/>
  <c r="AO160" i="62"/>
  <c r="X161" i="62" s="1"/>
  <c r="AO155" i="62"/>
  <c r="AI114" i="78" l="1"/>
  <c r="AI112" i="78"/>
  <c r="B75" i="58"/>
  <c r="AJ30" i="58"/>
  <c r="AE170" i="62" l="1"/>
  <c r="AA57" i="53"/>
  <c r="AO170" i="62" l="1"/>
  <c r="AM177" i="62" s="1"/>
  <c r="AE175" i="62"/>
  <c r="X23" i="78" s="1"/>
  <c r="AC23" i="78" s="1"/>
  <c r="AC41" i="78" s="1"/>
  <c r="AO175" i="62" l="1"/>
  <c r="AL48" i="78"/>
  <c r="AE179" i="62"/>
  <c r="AE181" i="62" s="1"/>
  <c r="AE189" i="62" s="1"/>
  <c r="AO189" i="62" s="1"/>
  <c r="AE180" i="62"/>
  <c r="N53" i="37"/>
  <c r="AU36" i="58" l="1"/>
  <c r="AM190" i="62"/>
  <c r="AE14" i="76"/>
  <c r="AL16" i="76" s="1"/>
  <c r="R86" i="59"/>
  <c r="P73" i="33" l="1"/>
  <c r="AS66" i="76"/>
  <c r="AL82" i="76"/>
  <c r="C210" i="76"/>
  <c r="AS210" i="76" s="1"/>
  <c r="R48" i="33"/>
  <c r="B35" i="60"/>
  <c r="A35" i="60" s="1"/>
  <c r="Q101" i="59"/>
  <c r="C121" i="59" l="1"/>
  <c r="Q109" i="59"/>
  <c r="Q106" i="59"/>
  <c r="L102" i="59" l="1"/>
  <c r="L97" i="59"/>
  <c r="Q77" i="59"/>
  <c r="R124" i="59" l="1"/>
  <c r="R122" i="59"/>
  <c r="Q121" i="59"/>
  <c r="Q119" i="59"/>
  <c r="Q117" i="59"/>
  <c r="Q115" i="59"/>
  <c r="Q114" i="59"/>
  <c r="Q104" i="59"/>
  <c r="L91" i="59"/>
  <c r="L87" i="59"/>
  <c r="L81" i="59"/>
  <c r="L80" i="59"/>
  <c r="L79" i="59"/>
  <c r="Q73" i="59"/>
  <c r="B67" i="59"/>
  <c r="Q65" i="59"/>
  <c r="Q54" i="59"/>
  <c r="L48" i="59"/>
  <c r="Q47" i="59"/>
  <c r="Q46" i="59"/>
  <c r="Q44" i="59"/>
  <c r="Q43" i="59"/>
  <c r="P37" i="59"/>
  <c r="R4" i="59"/>
  <c r="BD7" i="2" l="1"/>
  <c r="R114" i="59" l="1"/>
  <c r="BC7" i="2" l="1"/>
  <c r="B2" i="58" l="1"/>
  <c r="AM2" i="58" s="1"/>
  <c r="L2" i="58"/>
  <c r="AO2" i="58" s="1"/>
  <c r="V2" i="58"/>
  <c r="AP2" i="58" s="1"/>
  <c r="AJ124" i="58"/>
  <c r="AJ74" i="58"/>
  <c r="AL2" i="58" l="1"/>
  <c r="AC5" i="58"/>
  <c r="Z40" i="58" l="1"/>
  <c r="Z37" i="58"/>
  <c r="W28" i="58"/>
  <c r="S28" i="58"/>
  <c r="O28" i="58"/>
  <c r="R2" i="58"/>
  <c r="D101" i="33" l="1"/>
  <c r="D100" i="33"/>
  <c r="D99" i="33"/>
  <c r="D98" i="33"/>
  <c r="AH51" i="33" l="1"/>
  <c r="AC25" i="33"/>
  <c r="V27" i="33"/>
  <c r="V26" i="33"/>
  <c r="V25" i="33"/>
  <c r="V38" i="33"/>
  <c r="V37" i="33"/>
  <c r="V36" i="33"/>
  <c r="B108" i="33"/>
  <c r="M41" i="37"/>
  <c r="W13" i="15"/>
  <c r="L46" i="15"/>
  <c r="P4" i="12"/>
  <c r="Q23" i="15" l="1"/>
  <c r="L23" i="15"/>
  <c r="L22" i="15" s="1"/>
  <c r="L107" i="33" l="1"/>
  <c r="T88" i="56" l="1"/>
  <c r="B32" i="56"/>
  <c r="B31" i="56"/>
  <c r="B30" i="56"/>
  <c r="C29" i="56" l="1"/>
  <c r="C28" i="56"/>
  <c r="Y92" i="56"/>
  <c r="Z69" i="56"/>
  <c r="I48" i="56"/>
  <c r="I47" i="56"/>
  <c r="I45" i="56"/>
  <c r="I44" i="56"/>
  <c r="I43" i="56"/>
  <c r="I41" i="56"/>
  <c r="I36" i="56"/>
  <c r="V29" i="56"/>
  <c r="B27" i="56"/>
  <c r="B22" i="56"/>
  <c r="Y93" i="56" l="1"/>
  <c r="Y33" i="56" s="1"/>
  <c r="Y54" i="56" s="1"/>
  <c r="AM91" i="23" s="1"/>
  <c r="Y94" i="56"/>
  <c r="Z67" i="56"/>
  <c r="AB61" i="56"/>
  <c r="I46" i="56"/>
  <c r="I39" i="56"/>
  <c r="I38" i="56"/>
  <c r="X4" i="56"/>
  <c r="AM32" i="23" l="1"/>
  <c r="AJ72" i="23"/>
  <c r="AL32" i="23"/>
  <c r="X15" i="23" s="1"/>
  <c r="AL91" i="23"/>
  <c r="X74" i="23" s="1"/>
  <c r="AJ13" i="23"/>
  <c r="J39" i="67"/>
  <c r="J47" i="67" s="1"/>
  <c r="AC17" i="78"/>
  <c r="AN32" i="23" l="1"/>
  <c r="AN91" i="23"/>
  <c r="AX48" i="2"/>
  <c r="AS49" i="2"/>
  <c r="AR49" i="2"/>
  <c r="AQ49" i="2"/>
  <c r="AP49" i="2"/>
  <c r="AR53" i="2" l="1"/>
  <c r="AR50" i="2"/>
  <c r="AR51" i="2"/>
  <c r="AR52" i="2"/>
  <c r="AQ51" i="2"/>
  <c r="AQ52" i="2"/>
  <c r="AQ53" i="2"/>
  <c r="AQ50" i="2"/>
  <c r="AS51" i="2"/>
  <c r="AS50" i="2"/>
  <c r="AP50" i="2"/>
  <c r="AP51" i="2"/>
  <c r="AL100" i="23" l="1"/>
  <c r="AH82" i="50"/>
  <c r="AH29" i="50"/>
  <c r="AH82" i="49"/>
  <c r="AH29" i="49"/>
  <c r="AH82" i="43"/>
  <c r="AH29" i="43"/>
  <c r="M46" i="52" l="1"/>
  <c r="P6" i="52" s="1"/>
  <c r="M24" i="52"/>
  <c r="M34" i="52"/>
  <c r="N45" i="53"/>
  <c r="G3" i="53" s="1"/>
  <c r="C5" i="52" l="1"/>
  <c r="C6" i="52"/>
  <c r="B6" i="52"/>
  <c r="AC61" i="53"/>
  <c r="K55" i="53" l="1"/>
  <c r="K50" i="53"/>
  <c r="M48" i="53"/>
  <c r="M46" i="53"/>
  <c r="K45" i="53"/>
  <c r="K44" i="53"/>
  <c r="K43" i="53"/>
  <c r="M41" i="53"/>
  <c r="M38" i="53"/>
  <c r="M37" i="53"/>
  <c r="K33" i="53"/>
  <c r="M31" i="53"/>
  <c r="M30" i="53"/>
  <c r="M29" i="53"/>
  <c r="K21" i="53"/>
  <c r="M17" i="53"/>
  <c r="M16" i="53"/>
  <c r="M15" i="53"/>
  <c r="N61" i="53"/>
  <c r="M60" i="53"/>
  <c r="M58" i="53"/>
  <c r="K19" i="53"/>
  <c r="M6" i="53"/>
  <c r="L65" i="52" l="1"/>
  <c r="L62" i="52"/>
  <c r="L60" i="52"/>
  <c r="J58" i="52"/>
  <c r="J56" i="52"/>
  <c r="J55" i="52"/>
  <c r="L52" i="52"/>
  <c r="L49" i="52"/>
  <c r="L47" i="52"/>
  <c r="J46" i="52"/>
  <c r="J42" i="52"/>
  <c r="L39" i="52"/>
  <c r="L37" i="52"/>
  <c r="J36" i="52"/>
  <c r="J35" i="52"/>
  <c r="J34" i="52"/>
  <c r="J30" i="52"/>
  <c r="L27" i="52"/>
  <c r="L25" i="52"/>
  <c r="J24" i="52"/>
  <c r="J20" i="52"/>
  <c r="J19" i="52"/>
  <c r="J18" i="52"/>
  <c r="J17" i="52"/>
  <c r="M66" i="52"/>
  <c r="L9" i="52"/>
  <c r="L91" i="37" l="1"/>
  <c r="M120" i="37"/>
  <c r="K118" i="37"/>
  <c r="O117" i="37"/>
  <c r="M116" i="37"/>
  <c r="K115" i="37"/>
  <c r="K114" i="37"/>
  <c r="K113" i="37"/>
  <c r="V17" i="6"/>
  <c r="U17" i="6"/>
  <c r="V37" i="6"/>
  <c r="U37" i="6"/>
  <c r="L110" i="37"/>
  <c r="E110" i="37"/>
  <c r="E109" i="37"/>
  <c r="E112" i="37"/>
  <c r="K111" i="37"/>
  <c r="E111" i="37"/>
  <c r="X126" i="98" l="1"/>
  <c r="AA86" i="37"/>
  <c r="B35" i="43"/>
  <c r="I40" i="4" l="1"/>
  <c r="B11" i="12" l="1"/>
  <c r="B6" i="12"/>
  <c r="B5" i="12"/>
  <c r="H44" i="33" l="1"/>
  <c r="H43" i="33"/>
  <c r="H42" i="33"/>
  <c r="M121" i="33" l="1"/>
  <c r="P33" i="33" l="1"/>
  <c r="P31" i="33"/>
  <c r="P30" i="33"/>
  <c r="P28" i="33"/>
  <c r="C40" i="33"/>
  <c r="S46" i="37" l="1"/>
  <c r="I16" i="4" l="1"/>
  <c r="J35" i="49" l="1"/>
  <c r="AS35" i="49" s="1"/>
  <c r="AV43" i="6" l="1"/>
  <c r="AU43" i="6"/>
  <c r="AW41" i="6"/>
  <c r="AW39" i="6"/>
  <c r="AV39" i="6"/>
  <c r="AV23" i="6"/>
  <c r="AW21" i="6"/>
  <c r="AU21" i="6"/>
  <c r="AW19" i="6"/>
  <c r="AB41" i="6"/>
  <c r="AB39" i="6"/>
  <c r="AA43" i="6"/>
  <c r="AA39" i="6"/>
  <c r="Z43" i="6"/>
  <c r="AA23" i="6"/>
  <c r="AB21" i="6"/>
  <c r="Z21" i="6"/>
  <c r="AB19" i="6"/>
  <c r="AY88" i="43" l="1"/>
  <c r="AW88" i="43"/>
  <c r="AX88" i="43"/>
  <c r="AT88" i="43"/>
  <c r="AU88" i="43"/>
  <c r="AS88" i="43"/>
  <c r="BC88" i="43" l="1"/>
  <c r="BB88" i="43"/>
  <c r="BA88" i="43"/>
  <c r="AG88" i="43" s="1"/>
  <c r="AQ43" i="6" l="1"/>
  <c r="AP43" i="6"/>
  <c r="AL43" i="6"/>
  <c r="AK43" i="6"/>
  <c r="AG43" i="6"/>
  <c r="AF43" i="6"/>
  <c r="AR41" i="6"/>
  <c r="AM41" i="6"/>
  <c r="AR39" i="6"/>
  <c r="AQ39" i="6"/>
  <c r="AM39" i="6"/>
  <c r="AL39" i="6"/>
  <c r="AG39" i="6"/>
  <c r="AR21" i="6"/>
  <c r="AR19" i="6"/>
  <c r="AQ23" i="6"/>
  <c r="AP21" i="6"/>
  <c r="AM21" i="6"/>
  <c r="AM19" i="6"/>
  <c r="AL23" i="6"/>
  <c r="AK21" i="6"/>
  <c r="AG23" i="6"/>
  <c r="AF21" i="6"/>
  <c r="Q35" i="43"/>
  <c r="B82" i="50"/>
  <c r="B80" i="50"/>
  <c r="B78" i="50"/>
  <c r="B82" i="49"/>
  <c r="B80" i="49"/>
  <c r="B78" i="49"/>
  <c r="B82" i="43"/>
  <c r="B80" i="43"/>
  <c r="B78" i="43"/>
  <c r="B29" i="43"/>
  <c r="B27" i="43"/>
  <c r="B25" i="43"/>
  <c r="B29" i="49"/>
  <c r="B27" i="49"/>
  <c r="B25" i="49"/>
  <c r="B29" i="50"/>
  <c r="B27" i="50"/>
  <c r="B25" i="50"/>
  <c r="A82" i="50" l="1"/>
  <c r="R82" i="50" s="1"/>
  <c r="A29" i="50"/>
  <c r="R29" i="50" s="1"/>
  <c r="A82" i="49"/>
  <c r="R82" i="49" s="1"/>
  <c r="A29" i="49"/>
  <c r="R29" i="49" s="1"/>
  <c r="A82" i="43"/>
  <c r="R82" i="43" s="1"/>
  <c r="A29" i="43"/>
  <c r="R29" i="43" s="1"/>
  <c r="Y35" i="43"/>
  <c r="AA35" i="43"/>
  <c r="D26" i="15" l="1"/>
  <c r="AA115" i="50" l="1"/>
  <c r="Y115" i="50"/>
  <c r="U115" i="50"/>
  <c r="Q115" i="50"/>
  <c r="AC115" i="50" s="1"/>
  <c r="M115" i="50"/>
  <c r="J115" i="50"/>
  <c r="B115" i="50"/>
  <c r="AA114" i="50"/>
  <c r="Y114" i="50"/>
  <c r="U114" i="50"/>
  <c r="Q114" i="50"/>
  <c r="M114" i="50"/>
  <c r="J114" i="50"/>
  <c r="B114" i="50"/>
  <c r="AA113" i="50"/>
  <c r="Y113" i="50"/>
  <c r="U113" i="50"/>
  <c r="Q113" i="50"/>
  <c r="M113" i="50"/>
  <c r="J113" i="50"/>
  <c r="B113" i="50"/>
  <c r="AA112" i="50"/>
  <c r="Y112" i="50"/>
  <c r="U112" i="50"/>
  <c r="Q112" i="50"/>
  <c r="M112" i="50"/>
  <c r="J112" i="50"/>
  <c r="B112" i="50"/>
  <c r="AA111" i="50"/>
  <c r="Y111" i="50"/>
  <c r="U111" i="50"/>
  <c r="Q111" i="50"/>
  <c r="M111" i="50"/>
  <c r="J111" i="50"/>
  <c r="B111" i="50"/>
  <c r="AA110" i="50"/>
  <c r="Y110" i="50"/>
  <c r="U110" i="50"/>
  <c r="Q110" i="50"/>
  <c r="M110" i="50"/>
  <c r="J110" i="50"/>
  <c r="B110" i="50"/>
  <c r="AA109" i="50"/>
  <c r="Y109" i="50"/>
  <c r="U109" i="50"/>
  <c r="Q109" i="50"/>
  <c r="M109" i="50"/>
  <c r="J109" i="50"/>
  <c r="B109" i="50"/>
  <c r="AA108" i="50"/>
  <c r="Y108" i="50"/>
  <c r="U108" i="50"/>
  <c r="Q108" i="50"/>
  <c r="M108" i="50"/>
  <c r="J108" i="50"/>
  <c r="B108" i="50"/>
  <c r="AA107" i="50"/>
  <c r="Y107" i="50"/>
  <c r="U107" i="50"/>
  <c r="Q107" i="50"/>
  <c r="M107" i="50"/>
  <c r="J107" i="50"/>
  <c r="B107" i="50"/>
  <c r="AA106" i="50"/>
  <c r="Y106" i="50"/>
  <c r="U106" i="50"/>
  <c r="Q106" i="50"/>
  <c r="M106" i="50"/>
  <c r="J106" i="50"/>
  <c r="B106" i="50"/>
  <c r="AA105" i="50"/>
  <c r="Y105" i="50"/>
  <c r="U105" i="50"/>
  <c r="Q105" i="50"/>
  <c r="M105" i="50"/>
  <c r="J105" i="50"/>
  <c r="B105" i="50"/>
  <c r="AA104" i="50"/>
  <c r="Y104" i="50"/>
  <c r="U104" i="50"/>
  <c r="Q104" i="50"/>
  <c r="M104" i="50"/>
  <c r="J104" i="50"/>
  <c r="B104" i="50"/>
  <c r="AA103" i="50"/>
  <c r="Y103" i="50"/>
  <c r="U103" i="50"/>
  <c r="Q103" i="50"/>
  <c r="M103" i="50"/>
  <c r="J103" i="50"/>
  <c r="B103" i="50"/>
  <c r="AA102" i="50"/>
  <c r="Y102" i="50"/>
  <c r="U102" i="50"/>
  <c r="Q102" i="50"/>
  <c r="M102" i="50"/>
  <c r="J102" i="50"/>
  <c r="B102" i="50"/>
  <c r="AA101" i="50"/>
  <c r="Y101" i="50"/>
  <c r="U101" i="50"/>
  <c r="Q101" i="50"/>
  <c r="M101" i="50"/>
  <c r="J101" i="50"/>
  <c r="B101" i="50"/>
  <c r="AA100" i="50"/>
  <c r="Y100" i="50"/>
  <c r="U100" i="50"/>
  <c r="Q100" i="50"/>
  <c r="M100" i="50"/>
  <c r="J100" i="50"/>
  <c r="B100" i="50"/>
  <c r="AA99" i="50"/>
  <c r="Y99" i="50"/>
  <c r="U99" i="50"/>
  <c r="Q99" i="50"/>
  <c r="M99" i="50"/>
  <c r="J99" i="50"/>
  <c r="B99" i="50"/>
  <c r="AA98" i="50"/>
  <c r="Y98" i="50"/>
  <c r="U98" i="50"/>
  <c r="Q98" i="50"/>
  <c r="M98" i="50"/>
  <c r="J98" i="50"/>
  <c r="B98" i="50"/>
  <c r="AA97" i="50"/>
  <c r="Y97" i="50"/>
  <c r="U97" i="50"/>
  <c r="Q97" i="50"/>
  <c r="M97" i="50"/>
  <c r="J97" i="50"/>
  <c r="B97" i="50"/>
  <c r="AA96" i="50"/>
  <c r="Y96" i="50"/>
  <c r="U96" i="50"/>
  <c r="Q96" i="50"/>
  <c r="M96" i="50"/>
  <c r="J96" i="50"/>
  <c r="B96" i="50"/>
  <c r="AA95" i="50"/>
  <c r="Y95" i="50"/>
  <c r="U95" i="50"/>
  <c r="Q95" i="50"/>
  <c r="M95" i="50"/>
  <c r="J95" i="50"/>
  <c r="B95" i="50"/>
  <c r="AA94" i="50"/>
  <c r="Y94" i="50"/>
  <c r="U94" i="50"/>
  <c r="Q94" i="50"/>
  <c r="M94" i="50"/>
  <c r="J94" i="50"/>
  <c r="B94" i="50"/>
  <c r="AA93" i="50"/>
  <c r="Y93" i="50"/>
  <c r="U93" i="50"/>
  <c r="Q93" i="50"/>
  <c r="M93" i="50"/>
  <c r="J93" i="50"/>
  <c r="B93" i="50"/>
  <c r="AA92" i="50"/>
  <c r="Y92" i="50"/>
  <c r="U92" i="50"/>
  <c r="Q92" i="50"/>
  <c r="M92" i="50"/>
  <c r="J92" i="50"/>
  <c r="B92" i="50"/>
  <c r="AA91" i="50"/>
  <c r="Y91" i="50"/>
  <c r="U91" i="50"/>
  <c r="Q91" i="50"/>
  <c r="M91" i="50"/>
  <c r="J91" i="50"/>
  <c r="B91" i="50"/>
  <c r="AA90" i="50"/>
  <c r="Y90" i="50"/>
  <c r="U90" i="50"/>
  <c r="Q90" i="50"/>
  <c r="M90" i="50"/>
  <c r="J90" i="50"/>
  <c r="B90" i="50"/>
  <c r="AA89" i="50"/>
  <c r="Y89" i="50"/>
  <c r="U89" i="50"/>
  <c r="Q89" i="50"/>
  <c r="M89" i="50"/>
  <c r="J89" i="50"/>
  <c r="B89" i="50"/>
  <c r="AA88" i="50"/>
  <c r="Y88" i="50"/>
  <c r="U88" i="50"/>
  <c r="Q88" i="50"/>
  <c r="M88" i="50"/>
  <c r="J88" i="50"/>
  <c r="B88" i="50"/>
  <c r="B62" i="50"/>
  <c r="AA54" i="50"/>
  <c r="Y54" i="50"/>
  <c r="U54" i="50"/>
  <c r="Q54" i="50"/>
  <c r="M54" i="50"/>
  <c r="J54" i="50"/>
  <c r="B54" i="50"/>
  <c r="AA53" i="50"/>
  <c r="Y53" i="50"/>
  <c r="U53" i="50"/>
  <c r="Q53" i="50"/>
  <c r="M53" i="50"/>
  <c r="J53" i="50"/>
  <c r="B53" i="50"/>
  <c r="AA52" i="50"/>
  <c r="Y52" i="50"/>
  <c r="U52" i="50"/>
  <c r="Q52" i="50"/>
  <c r="M52" i="50"/>
  <c r="J52" i="50"/>
  <c r="B52" i="50"/>
  <c r="AA51" i="50"/>
  <c r="Y51" i="50"/>
  <c r="U51" i="50"/>
  <c r="Q51" i="50"/>
  <c r="M51" i="50"/>
  <c r="J51" i="50"/>
  <c r="B51" i="50"/>
  <c r="AA50" i="50"/>
  <c r="Y50" i="50"/>
  <c r="U50" i="50"/>
  <c r="Q50" i="50"/>
  <c r="M50" i="50"/>
  <c r="J50" i="50"/>
  <c r="B50" i="50"/>
  <c r="AA49" i="50"/>
  <c r="Y49" i="50"/>
  <c r="U49" i="50"/>
  <c r="Q49" i="50"/>
  <c r="M49" i="50"/>
  <c r="J49" i="50"/>
  <c r="B49" i="50"/>
  <c r="AA48" i="50"/>
  <c r="Y48" i="50"/>
  <c r="U48" i="50"/>
  <c r="Q48" i="50"/>
  <c r="M48" i="50"/>
  <c r="J48" i="50"/>
  <c r="B48" i="50"/>
  <c r="AA47" i="50"/>
  <c r="Y47" i="50"/>
  <c r="U47" i="50"/>
  <c r="Q47" i="50"/>
  <c r="M47" i="50"/>
  <c r="J47" i="50"/>
  <c r="B47" i="50"/>
  <c r="AA46" i="50"/>
  <c r="Y46" i="50"/>
  <c r="U46" i="50"/>
  <c r="Q46" i="50"/>
  <c r="M46" i="50"/>
  <c r="J46" i="50"/>
  <c r="B46" i="50"/>
  <c r="AA45" i="50"/>
  <c r="Y45" i="50"/>
  <c r="U45" i="50"/>
  <c r="Q45" i="50"/>
  <c r="M45" i="50"/>
  <c r="J45" i="50"/>
  <c r="B45" i="50"/>
  <c r="AA44" i="50"/>
  <c r="Y44" i="50"/>
  <c r="U44" i="50"/>
  <c r="Q44" i="50"/>
  <c r="M44" i="50"/>
  <c r="J44" i="50"/>
  <c r="B44" i="50"/>
  <c r="AA43" i="50"/>
  <c r="Y43" i="50"/>
  <c r="U43" i="50"/>
  <c r="Q43" i="50"/>
  <c r="M43" i="50"/>
  <c r="J43" i="50"/>
  <c r="B43" i="50"/>
  <c r="AA42" i="50"/>
  <c r="Y42" i="50"/>
  <c r="U42" i="50"/>
  <c r="Q42" i="50"/>
  <c r="M42" i="50"/>
  <c r="J42" i="50"/>
  <c r="B42" i="50"/>
  <c r="AA41" i="50"/>
  <c r="Y41" i="50"/>
  <c r="U41" i="50"/>
  <c r="Q41" i="50"/>
  <c r="M41" i="50"/>
  <c r="J41" i="50"/>
  <c r="B41" i="50"/>
  <c r="AA40" i="50"/>
  <c r="Y40" i="50"/>
  <c r="U40" i="50"/>
  <c r="Q40" i="50"/>
  <c r="M40" i="50"/>
  <c r="J40" i="50"/>
  <c r="B40" i="50"/>
  <c r="AA39" i="50"/>
  <c r="Y39" i="50"/>
  <c r="U39" i="50"/>
  <c r="Q39" i="50"/>
  <c r="M39" i="50"/>
  <c r="J39" i="50"/>
  <c r="B39" i="50"/>
  <c r="AA38" i="50"/>
  <c r="Y38" i="50"/>
  <c r="U38" i="50"/>
  <c r="Q38" i="50"/>
  <c r="M38" i="50"/>
  <c r="J38" i="50"/>
  <c r="B38" i="50"/>
  <c r="AA37" i="50"/>
  <c r="Y37" i="50"/>
  <c r="U37" i="50"/>
  <c r="Q37" i="50"/>
  <c r="M37" i="50"/>
  <c r="J37" i="50"/>
  <c r="B37" i="50"/>
  <c r="AA36" i="50"/>
  <c r="Y36" i="50"/>
  <c r="U36" i="50"/>
  <c r="Q36" i="50"/>
  <c r="M36" i="50"/>
  <c r="J36" i="50"/>
  <c r="B36" i="50"/>
  <c r="AA35" i="50"/>
  <c r="Y35" i="50"/>
  <c r="U35" i="50"/>
  <c r="Q35" i="50"/>
  <c r="M35" i="50"/>
  <c r="J35" i="50"/>
  <c r="B35" i="50"/>
  <c r="AB5" i="50"/>
  <c r="AA115" i="49"/>
  <c r="Y115" i="49"/>
  <c r="U115" i="49"/>
  <c r="Q115" i="49"/>
  <c r="M115" i="49"/>
  <c r="J115" i="49"/>
  <c r="B115" i="49"/>
  <c r="AA114" i="49"/>
  <c r="Y114" i="49"/>
  <c r="U114" i="49"/>
  <c r="Q114" i="49"/>
  <c r="M114" i="49"/>
  <c r="J114" i="49"/>
  <c r="B114" i="49"/>
  <c r="AA113" i="49"/>
  <c r="Y113" i="49"/>
  <c r="U113" i="49"/>
  <c r="Q113" i="49"/>
  <c r="M113" i="49"/>
  <c r="J113" i="49"/>
  <c r="B113" i="49"/>
  <c r="AA112" i="49"/>
  <c r="Y112" i="49"/>
  <c r="U112" i="49"/>
  <c r="Q112" i="49"/>
  <c r="M112" i="49"/>
  <c r="J112" i="49"/>
  <c r="B112" i="49"/>
  <c r="AA111" i="49"/>
  <c r="Y111" i="49"/>
  <c r="U111" i="49"/>
  <c r="Q111" i="49"/>
  <c r="M111" i="49"/>
  <c r="J111" i="49"/>
  <c r="B111" i="49"/>
  <c r="AA110" i="49"/>
  <c r="Y110" i="49"/>
  <c r="U110" i="49"/>
  <c r="Q110" i="49"/>
  <c r="M110" i="49"/>
  <c r="J110" i="49"/>
  <c r="B110" i="49"/>
  <c r="AA109" i="49"/>
  <c r="Y109" i="49"/>
  <c r="U109" i="49"/>
  <c r="Q109" i="49"/>
  <c r="M109" i="49"/>
  <c r="J109" i="49"/>
  <c r="B109" i="49"/>
  <c r="AA108" i="49"/>
  <c r="Y108" i="49"/>
  <c r="U108" i="49"/>
  <c r="Q108" i="49"/>
  <c r="M108" i="49"/>
  <c r="J108" i="49"/>
  <c r="B108" i="49"/>
  <c r="AA107" i="49"/>
  <c r="Y107" i="49"/>
  <c r="U107" i="49"/>
  <c r="Q107" i="49"/>
  <c r="M107" i="49"/>
  <c r="J107" i="49"/>
  <c r="B107" i="49"/>
  <c r="AA106" i="49"/>
  <c r="Y106" i="49"/>
  <c r="U106" i="49"/>
  <c r="Q106" i="49"/>
  <c r="M106" i="49"/>
  <c r="J106" i="49"/>
  <c r="B106" i="49"/>
  <c r="AA105" i="49"/>
  <c r="Y105" i="49"/>
  <c r="U105" i="49"/>
  <c r="Q105" i="49"/>
  <c r="M105" i="49"/>
  <c r="J105" i="49"/>
  <c r="B105" i="49"/>
  <c r="AA104" i="49"/>
  <c r="Y104" i="49"/>
  <c r="U104" i="49"/>
  <c r="Q104" i="49"/>
  <c r="M104" i="49"/>
  <c r="J104" i="49"/>
  <c r="B104" i="49"/>
  <c r="AA103" i="49"/>
  <c r="Y103" i="49"/>
  <c r="U103" i="49"/>
  <c r="Q103" i="49"/>
  <c r="M103" i="49"/>
  <c r="J103" i="49"/>
  <c r="B103" i="49"/>
  <c r="AA102" i="49"/>
  <c r="Y102" i="49"/>
  <c r="U102" i="49"/>
  <c r="Q102" i="49"/>
  <c r="M102" i="49"/>
  <c r="J102" i="49"/>
  <c r="B102" i="49"/>
  <c r="AA101" i="49"/>
  <c r="Y101" i="49"/>
  <c r="U101" i="49"/>
  <c r="Q101" i="49"/>
  <c r="M101" i="49"/>
  <c r="J101" i="49"/>
  <c r="B101" i="49"/>
  <c r="AA100" i="49"/>
  <c r="Y100" i="49"/>
  <c r="U100" i="49"/>
  <c r="Q100" i="49"/>
  <c r="M100" i="49"/>
  <c r="J100" i="49"/>
  <c r="B100" i="49"/>
  <c r="AA99" i="49"/>
  <c r="Y99" i="49"/>
  <c r="U99" i="49"/>
  <c r="Q99" i="49"/>
  <c r="M99" i="49"/>
  <c r="J99" i="49"/>
  <c r="B99" i="49"/>
  <c r="AA98" i="49"/>
  <c r="Y98" i="49"/>
  <c r="U98" i="49"/>
  <c r="Q98" i="49"/>
  <c r="M98" i="49"/>
  <c r="J98" i="49"/>
  <c r="B98" i="49"/>
  <c r="AA97" i="49"/>
  <c r="Y97" i="49"/>
  <c r="U97" i="49"/>
  <c r="Q97" i="49"/>
  <c r="M97" i="49"/>
  <c r="J97" i="49"/>
  <c r="B97" i="49"/>
  <c r="AA96" i="49"/>
  <c r="Y96" i="49"/>
  <c r="U96" i="49"/>
  <c r="Q96" i="49"/>
  <c r="M96" i="49"/>
  <c r="J96" i="49"/>
  <c r="B96" i="49"/>
  <c r="AA95" i="49"/>
  <c r="Y95" i="49"/>
  <c r="U95" i="49"/>
  <c r="Q95" i="49"/>
  <c r="M95" i="49"/>
  <c r="J95" i="49"/>
  <c r="B95" i="49"/>
  <c r="AA94" i="49"/>
  <c r="Y94" i="49"/>
  <c r="U94" i="49"/>
  <c r="Q94" i="49"/>
  <c r="M94" i="49"/>
  <c r="J94" i="49"/>
  <c r="B94" i="49"/>
  <c r="AA93" i="49"/>
  <c r="Y93" i="49"/>
  <c r="U93" i="49"/>
  <c r="Q93" i="49"/>
  <c r="M93" i="49"/>
  <c r="J93" i="49"/>
  <c r="B93" i="49"/>
  <c r="AA92" i="49"/>
  <c r="Y92" i="49"/>
  <c r="U92" i="49"/>
  <c r="Q92" i="49"/>
  <c r="M92" i="49"/>
  <c r="J92" i="49"/>
  <c r="B92" i="49"/>
  <c r="AA91" i="49"/>
  <c r="Y91" i="49"/>
  <c r="U91" i="49"/>
  <c r="Q91" i="49"/>
  <c r="M91" i="49"/>
  <c r="J91" i="49"/>
  <c r="B91" i="49"/>
  <c r="AA90" i="49"/>
  <c r="Y90" i="49"/>
  <c r="U90" i="49"/>
  <c r="Q90" i="49"/>
  <c r="M90" i="49"/>
  <c r="J90" i="49"/>
  <c r="B90" i="49"/>
  <c r="AA89" i="49"/>
  <c r="Y89" i="49"/>
  <c r="U89" i="49"/>
  <c r="Q89" i="49"/>
  <c r="M89" i="49"/>
  <c r="J89" i="49"/>
  <c r="B89" i="49"/>
  <c r="AA88" i="49"/>
  <c r="Y88" i="49"/>
  <c r="U88" i="49"/>
  <c r="Q88" i="49"/>
  <c r="M88" i="49"/>
  <c r="J88" i="49"/>
  <c r="B88" i="49"/>
  <c r="B62" i="49"/>
  <c r="AA54" i="49"/>
  <c r="Y54" i="49"/>
  <c r="U54" i="49"/>
  <c r="Q54" i="49"/>
  <c r="M54" i="49"/>
  <c r="J54" i="49"/>
  <c r="B54" i="49"/>
  <c r="AA53" i="49"/>
  <c r="Y53" i="49"/>
  <c r="U53" i="49"/>
  <c r="Q53" i="49"/>
  <c r="M53" i="49"/>
  <c r="J53" i="49"/>
  <c r="B53" i="49"/>
  <c r="AA52" i="49"/>
  <c r="Y52" i="49"/>
  <c r="U52" i="49"/>
  <c r="Q52" i="49"/>
  <c r="M52" i="49"/>
  <c r="J52" i="49"/>
  <c r="B52" i="49"/>
  <c r="AA51" i="49"/>
  <c r="Y51" i="49"/>
  <c r="U51" i="49"/>
  <c r="Q51" i="49"/>
  <c r="M51" i="49"/>
  <c r="J51" i="49"/>
  <c r="B51" i="49"/>
  <c r="AA50" i="49"/>
  <c r="Y50" i="49"/>
  <c r="U50" i="49"/>
  <c r="Q50" i="49"/>
  <c r="M50" i="49"/>
  <c r="J50" i="49"/>
  <c r="B50" i="49"/>
  <c r="AA49" i="49"/>
  <c r="Y49" i="49"/>
  <c r="U49" i="49"/>
  <c r="Q49" i="49"/>
  <c r="M49" i="49"/>
  <c r="J49" i="49"/>
  <c r="B49" i="49"/>
  <c r="AA48" i="49"/>
  <c r="Y48" i="49"/>
  <c r="U48" i="49"/>
  <c r="Q48" i="49"/>
  <c r="M48" i="49"/>
  <c r="J48" i="49"/>
  <c r="B48" i="49"/>
  <c r="AA47" i="49"/>
  <c r="Y47" i="49"/>
  <c r="U47" i="49"/>
  <c r="Q47" i="49"/>
  <c r="M47" i="49"/>
  <c r="J47" i="49"/>
  <c r="B47" i="49"/>
  <c r="AA46" i="49"/>
  <c r="Y46" i="49"/>
  <c r="U46" i="49"/>
  <c r="Q46" i="49"/>
  <c r="M46" i="49"/>
  <c r="J46" i="49"/>
  <c r="B46" i="49"/>
  <c r="AA45" i="49"/>
  <c r="Y45" i="49"/>
  <c r="U45" i="49"/>
  <c r="Q45" i="49"/>
  <c r="M45" i="49"/>
  <c r="J45" i="49"/>
  <c r="B45" i="49"/>
  <c r="AA44" i="49"/>
  <c r="Y44" i="49"/>
  <c r="U44" i="49"/>
  <c r="Q44" i="49"/>
  <c r="M44" i="49"/>
  <c r="J44" i="49"/>
  <c r="B44" i="49"/>
  <c r="AA43" i="49"/>
  <c r="Y43" i="49"/>
  <c r="U43" i="49"/>
  <c r="Q43" i="49"/>
  <c r="M43" i="49"/>
  <c r="J43" i="49"/>
  <c r="B43" i="49"/>
  <c r="AA42" i="49"/>
  <c r="Y42" i="49"/>
  <c r="U42" i="49"/>
  <c r="Q42" i="49"/>
  <c r="M42" i="49"/>
  <c r="J42" i="49"/>
  <c r="B42" i="49"/>
  <c r="AA41" i="49"/>
  <c r="Y41" i="49"/>
  <c r="U41" i="49"/>
  <c r="Q41" i="49"/>
  <c r="M41" i="49"/>
  <c r="J41" i="49"/>
  <c r="B41" i="49"/>
  <c r="AA40" i="49"/>
  <c r="Y40" i="49"/>
  <c r="U40" i="49"/>
  <c r="Q40" i="49"/>
  <c r="M40" i="49"/>
  <c r="J40" i="49"/>
  <c r="B40" i="49"/>
  <c r="AA39" i="49"/>
  <c r="Y39" i="49"/>
  <c r="U39" i="49"/>
  <c r="Q39" i="49"/>
  <c r="M39" i="49"/>
  <c r="J39" i="49"/>
  <c r="B39" i="49"/>
  <c r="AA38" i="49"/>
  <c r="Y38" i="49"/>
  <c r="U38" i="49"/>
  <c r="Q38" i="49"/>
  <c r="M38" i="49"/>
  <c r="J38" i="49"/>
  <c r="B38" i="49"/>
  <c r="AA37" i="49"/>
  <c r="Y37" i="49"/>
  <c r="U37" i="49"/>
  <c r="Q37" i="49"/>
  <c r="M37" i="49"/>
  <c r="J37" i="49"/>
  <c r="B37" i="49"/>
  <c r="AA36" i="49"/>
  <c r="Y36" i="49"/>
  <c r="U36" i="49"/>
  <c r="Q36" i="49"/>
  <c r="M36" i="49"/>
  <c r="J36" i="49"/>
  <c r="B36" i="49"/>
  <c r="AA35" i="49"/>
  <c r="Y35" i="49"/>
  <c r="U35" i="49"/>
  <c r="Q35" i="49"/>
  <c r="M35" i="49"/>
  <c r="B35" i="49"/>
  <c r="AB5" i="49"/>
  <c r="M35" i="43"/>
  <c r="J35" i="43"/>
  <c r="J89" i="43"/>
  <c r="J90" i="43"/>
  <c r="J91" i="43"/>
  <c r="J92" i="43"/>
  <c r="J93" i="43"/>
  <c r="J94" i="43"/>
  <c r="J95" i="43"/>
  <c r="J96" i="43"/>
  <c r="J97" i="43"/>
  <c r="J98" i="43"/>
  <c r="J99" i="43"/>
  <c r="J100" i="43"/>
  <c r="J101" i="43"/>
  <c r="J102" i="43"/>
  <c r="J103" i="43"/>
  <c r="J104" i="43"/>
  <c r="J105" i="43"/>
  <c r="J106" i="43"/>
  <c r="J107" i="43"/>
  <c r="J108" i="43"/>
  <c r="J109" i="43"/>
  <c r="J110" i="43"/>
  <c r="J111" i="43"/>
  <c r="J112" i="43"/>
  <c r="J113" i="43"/>
  <c r="J114" i="43"/>
  <c r="J115" i="43"/>
  <c r="AA115" i="43"/>
  <c r="Y115" i="43"/>
  <c r="U115" i="43"/>
  <c r="Q115" i="43"/>
  <c r="M115" i="43"/>
  <c r="B115" i="43"/>
  <c r="AA114" i="43"/>
  <c r="Y114" i="43"/>
  <c r="U114" i="43"/>
  <c r="Q114" i="43"/>
  <c r="M114" i="43"/>
  <c r="B114" i="43"/>
  <c r="AA113" i="43"/>
  <c r="Y113" i="43"/>
  <c r="U113" i="43"/>
  <c r="Q113" i="43"/>
  <c r="M113" i="43"/>
  <c r="B113" i="43"/>
  <c r="AA112" i="43"/>
  <c r="Y112" i="43"/>
  <c r="U112" i="43"/>
  <c r="Q112" i="43"/>
  <c r="M112" i="43"/>
  <c r="B112" i="43"/>
  <c r="AA111" i="43"/>
  <c r="Y111" i="43"/>
  <c r="U111" i="43"/>
  <c r="Q111" i="43"/>
  <c r="M111" i="43"/>
  <c r="B111" i="43"/>
  <c r="AA110" i="43"/>
  <c r="Y110" i="43"/>
  <c r="U110" i="43"/>
  <c r="Q110" i="43"/>
  <c r="M110" i="43"/>
  <c r="B110" i="43"/>
  <c r="AA109" i="43"/>
  <c r="Y109" i="43"/>
  <c r="U109" i="43"/>
  <c r="Q109" i="43"/>
  <c r="M109" i="43"/>
  <c r="B109" i="43"/>
  <c r="AA108" i="43"/>
  <c r="Y108" i="43"/>
  <c r="U108" i="43"/>
  <c r="Q108" i="43"/>
  <c r="M108" i="43"/>
  <c r="B108" i="43"/>
  <c r="AA107" i="43"/>
  <c r="Y107" i="43"/>
  <c r="U107" i="43"/>
  <c r="Q107" i="43"/>
  <c r="M107" i="43"/>
  <c r="B107" i="43"/>
  <c r="AA106" i="43"/>
  <c r="Y106" i="43"/>
  <c r="U106" i="43"/>
  <c r="Q106" i="43"/>
  <c r="M106" i="43"/>
  <c r="B106" i="43"/>
  <c r="AA105" i="43"/>
  <c r="Y105" i="43"/>
  <c r="U105" i="43"/>
  <c r="Q105" i="43"/>
  <c r="M105" i="43"/>
  <c r="B105" i="43"/>
  <c r="AA104" i="43"/>
  <c r="Y104" i="43"/>
  <c r="U104" i="43"/>
  <c r="Q104" i="43"/>
  <c r="M104" i="43"/>
  <c r="B104" i="43"/>
  <c r="AA103" i="43"/>
  <c r="Y103" i="43"/>
  <c r="U103" i="43"/>
  <c r="Q103" i="43"/>
  <c r="M103" i="43"/>
  <c r="B103" i="43"/>
  <c r="AA102" i="43"/>
  <c r="Y102" i="43"/>
  <c r="U102" i="43"/>
  <c r="Q102" i="43"/>
  <c r="M102" i="43"/>
  <c r="B102" i="43"/>
  <c r="AA101" i="43"/>
  <c r="Y101" i="43"/>
  <c r="U101" i="43"/>
  <c r="Q101" i="43"/>
  <c r="M101" i="43"/>
  <c r="B101" i="43"/>
  <c r="AA100" i="43"/>
  <c r="Y100" i="43"/>
  <c r="U100" i="43"/>
  <c r="Q100" i="43"/>
  <c r="M100" i="43"/>
  <c r="B100" i="43"/>
  <c r="AA99" i="43"/>
  <c r="Y99" i="43"/>
  <c r="U99" i="43"/>
  <c r="Q99" i="43"/>
  <c r="M99" i="43"/>
  <c r="B99" i="43"/>
  <c r="AA98" i="43"/>
  <c r="Y98" i="43"/>
  <c r="U98" i="43"/>
  <c r="Q98" i="43"/>
  <c r="M98" i="43"/>
  <c r="B98" i="43"/>
  <c r="AA97" i="43"/>
  <c r="Y97" i="43"/>
  <c r="U97" i="43"/>
  <c r="Q97" i="43"/>
  <c r="M97" i="43"/>
  <c r="B97" i="43"/>
  <c r="AA96" i="43"/>
  <c r="Y96" i="43"/>
  <c r="U96" i="43"/>
  <c r="Q96" i="43"/>
  <c r="M96" i="43"/>
  <c r="B96" i="43"/>
  <c r="AA95" i="43"/>
  <c r="Y95" i="43"/>
  <c r="U95" i="43"/>
  <c r="Q95" i="43"/>
  <c r="M95" i="43"/>
  <c r="B95" i="43"/>
  <c r="AA94" i="43"/>
  <c r="Y94" i="43"/>
  <c r="U94" i="43"/>
  <c r="Q94" i="43"/>
  <c r="M94" i="43"/>
  <c r="B94" i="43"/>
  <c r="AA93" i="43"/>
  <c r="Y93" i="43"/>
  <c r="U93" i="43"/>
  <c r="Q93" i="43"/>
  <c r="M93" i="43"/>
  <c r="B93" i="43"/>
  <c r="AA92" i="43"/>
  <c r="Y92" i="43"/>
  <c r="U92" i="43"/>
  <c r="Q92" i="43"/>
  <c r="M92" i="43"/>
  <c r="B92" i="43"/>
  <c r="AA91" i="43"/>
  <c r="Y91" i="43"/>
  <c r="U91" i="43"/>
  <c r="Q91" i="43"/>
  <c r="M91" i="43"/>
  <c r="B91" i="43"/>
  <c r="AA90" i="43"/>
  <c r="Y90" i="43"/>
  <c r="U90" i="43"/>
  <c r="Q90" i="43"/>
  <c r="M90" i="43"/>
  <c r="B90" i="43"/>
  <c r="AA89" i="43"/>
  <c r="Y89" i="43"/>
  <c r="U89" i="43"/>
  <c r="Q89" i="43"/>
  <c r="M89" i="43"/>
  <c r="B89" i="43"/>
  <c r="AI88" i="43"/>
  <c r="M41" i="43"/>
  <c r="J41" i="43"/>
  <c r="AA54" i="43"/>
  <c r="Y54" i="43"/>
  <c r="U54" i="43"/>
  <c r="Q54" i="43"/>
  <c r="M54" i="43"/>
  <c r="J54" i="43"/>
  <c r="B54" i="43"/>
  <c r="AA53" i="43"/>
  <c r="Y53" i="43"/>
  <c r="U53" i="43"/>
  <c r="Q53" i="43"/>
  <c r="M53" i="43"/>
  <c r="J53" i="43"/>
  <c r="B53" i="43"/>
  <c r="AA52" i="43"/>
  <c r="Y52" i="43"/>
  <c r="U52" i="43"/>
  <c r="M52" i="43"/>
  <c r="J52" i="43"/>
  <c r="B52" i="43"/>
  <c r="AA51" i="43"/>
  <c r="Y51" i="43"/>
  <c r="U51" i="43"/>
  <c r="Q51" i="43"/>
  <c r="M51" i="43"/>
  <c r="J51" i="43"/>
  <c r="B51" i="43"/>
  <c r="AA50" i="43"/>
  <c r="Y50" i="43"/>
  <c r="U50" i="43"/>
  <c r="Q50" i="43"/>
  <c r="M50" i="43"/>
  <c r="J50" i="43"/>
  <c r="B50" i="43"/>
  <c r="AA49" i="43"/>
  <c r="Y49" i="43"/>
  <c r="U49" i="43"/>
  <c r="Q49" i="43"/>
  <c r="M49" i="43"/>
  <c r="J49" i="43"/>
  <c r="B49" i="43"/>
  <c r="AA48" i="43"/>
  <c r="Y48" i="43"/>
  <c r="U48" i="43"/>
  <c r="Q48" i="43"/>
  <c r="M48" i="43"/>
  <c r="J48" i="43"/>
  <c r="B48" i="43"/>
  <c r="AA47" i="43"/>
  <c r="Y47" i="43"/>
  <c r="U47" i="43"/>
  <c r="Q47" i="43"/>
  <c r="M47" i="43"/>
  <c r="J47" i="43"/>
  <c r="B47" i="43"/>
  <c r="AA46" i="43"/>
  <c r="Y46" i="43"/>
  <c r="U46" i="43"/>
  <c r="Q46" i="43"/>
  <c r="M46" i="43"/>
  <c r="J46" i="43"/>
  <c r="B46" i="43"/>
  <c r="AA45" i="43"/>
  <c r="Y45" i="43"/>
  <c r="U45" i="43"/>
  <c r="Q45" i="43"/>
  <c r="M45" i="43"/>
  <c r="J45" i="43"/>
  <c r="B45" i="43"/>
  <c r="AA44" i="43"/>
  <c r="Y44" i="43"/>
  <c r="U44" i="43"/>
  <c r="Q44" i="43"/>
  <c r="M44" i="43"/>
  <c r="J44" i="43"/>
  <c r="B44" i="43"/>
  <c r="AA43" i="43"/>
  <c r="Y43" i="43"/>
  <c r="U43" i="43"/>
  <c r="Q43" i="43"/>
  <c r="M43" i="43"/>
  <c r="J43" i="43"/>
  <c r="B43" i="43"/>
  <c r="AA42" i="43"/>
  <c r="Y42" i="43"/>
  <c r="U42" i="43"/>
  <c r="Q42" i="43"/>
  <c r="M42" i="43"/>
  <c r="J42" i="43"/>
  <c r="B42" i="43"/>
  <c r="AA41" i="43"/>
  <c r="Y41" i="43"/>
  <c r="U41" i="43"/>
  <c r="Q41" i="43"/>
  <c r="B41" i="43"/>
  <c r="AA40" i="43"/>
  <c r="Y40" i="43"/>
  <c r="U40" i="43"/>
  <c r="Q40" i="43"/>
  <c r="M40" i="43"/>
  <c r="J40" i="43"/>
  <c r="B40" i="43"/>
  <c r="AA39" i="43"/>
  <c r="Y39" i="43"/>
  <c r="U39" i="43"/>
  <c r="Q39" i="43"/>
  <c r="M39" i="43"/>
  <c r="J39" i="43"/>
  <c r="B39" i="43"/>
  <c r="AA38" i="43"/>
  <c r="Y38" i="43"/>
  <c r="U38" i="43"/>
  <c r="Q38" i="43"/>
  <c r="M38" i="43"/>
  <c r="J38" i="43"/>
  <c r="B38" i="43"/>
  <c r="AA37" i="43"/>
  <c r="Y37" i="43"/>
  <c r="U37" i="43"/>
  <c r="Q37" i="43"/>
  <c r="M37" i="43"/>
  <c r="J37" i="43"/>
  <c r="B37" i="43"/>
  <c r="AA36" i="43"/>
  <c r="Y36" i="43"/>
  <c r="U36" i="43"/>
  <c r="Q36" i="43"/>
  <c r="M36" i="43"/>
  <c r="J36" i="43"/>
  <c r="B36" i="43"/>
  <c r="U35" i="43"/>
  <c r="AC35" i="43" s="1"/>
  <c r="A35" i="43" s="1"/>
  <c r="AC114" i="50" l="1"/>
  <c r="AC101" i="50"/>
  <c r="AC109" i="50"/>
  <c r="AC113" i="50"/>
  <c r="AC110" i="50"/>
  <c r="AC98" i="50"/>
  <c r="AC90" i="43"/>
  <c r="AC98" i="43"/>
  <c r="AC106" i="43"/>
  <c r="AC114" i="43"/>
  <c r="AC48" i="49"/>
  <c r="A48" i="49" s="1"/>
  <c r="AC90" i="49"/>
  <c r="A90" i="49" s="1"/>
  <c r="AC106" i="50"/>
  <c r="A106" i="50" s="1"/>
  <c r="AC98" i="49"/>
  <c r="A98" i="49" s="1"/>
  <c r="AC88" i="49"/>
  <c r="A88" i="49" s="1"/>
  <c r="AC104" i="49"/>
  <c r="A104" i="49" s="1"/>
  <c r="AC96" i="49"/>
  <c r="A96" i="49" s="1"/>
  <c r="AC90" i="50"/>
  <c r="A90" i="50" s="1"/>
  <c r="AC102" i="50"/>
  <c r="AC114" i="49"/>
  <c r="A114" i="49" s="1"/>
  <c r="AC112" i="49"/>
  <c r="AC106" i="49"/>
  <c r="A106" i="49" s="1"/>
  <c r="AC94" i="43"/>
  <c r="AC102" i="43"/>
  <c r="AC110" i="43"/>
  <c r="AC95" i="49"/>
  <c r="A95" i="49" s="1"/>
  <c r="AC89" i="43"/>
  <c r="A89" i="43" s="1"/>
  <c r="AC97" i="43"/>
  <c r="A97" i="43" s="1"/>
  <c r="AC105" i="43"/>
  <c r="A105" i="43" s="1"/>
  <c r="AC113" i="43"/>
  <c r="A113" i="43" s="1"/>
  <c r="AC35" i="49"/>
  <c r="A35" i="49" s="1"/>
  <c r="AC51" i="49"/>
  <c r="A51" i="49" s="1"/>
  <c r="AC93" i="49"/>
  <c r="A93" i="49" s="1"/>
  <c r="AC109" i="49"/>
  <c r="A109" i="49" s="1"/>
  <c r="AC95" i="50"/>
  <c r="A95" i="50" s="1"/>
  <c r="AC111" i="50"/>
  <c r="A111" i="50" s="1"/>
  <c r="AC103" i="49"/>
  <c r="AC93" i="43"/>
  <c r="A93" i="43" s="1"/>
  <c r="AC101" i="43"/>
  <c r="A101" i="43" s="1"/>
  <c r="AC109" i="43"/>
  <c r="AC43" i="49"/>
  <c r="A43" i="49" s="1"/>
  <c r="AC101" i="49"/>
  <c r="A101" i="49" s="1"/>
  <c r="AC103" i="50"/>
  <c r="A103" i="50" s="1"/>
  <c r="AC94" i="50"/>
  <c r="A94" i="50" s="1"/>
  <c r="AC92" i="50"/>
  <c r="A92" i="50" s="1"/>
  <c r="AC40" i="43"/>
  <c r="A40" i="43" s="1"/>
  <c r="AC46" i="43"/>
  <c r="A46" i="43" s="1"/>
  <c r="AC53" i="43"/>
  <c r="A53" i="43" s="1"/>
  <c r="AC37" i="50"/>
  <c r="A37" i="50" s="1"/>
  <c r="AC45" i="50"/>
  <c r="A45" i="50" s="1"/>
  <c r="AC53" i="50"/>
  <c r="A53" i="50" s="1"/>
  <c r="AC46" i="49"/>
  <c r="A46" i="49" s="1"/>
  <c r="AC40" i="50"/>
  <c r="A40" i="50" s="1"/>
  <c r="AC39" i="43"/>
  <c r="A39" i="43" s="1"/>
  <c r="AC45" i="43"/>
  <c r="A45" i="43" s="1"/>
  <c r="AC42" i="49"/>
  <c r="A42" i="49" s="1"/>
  <c r="AC50" i="49"/>
  <c r="A50" i="49" s="1"/>
  <c r="AC92" i="49"/>
  <c r="A92" i="49" s="1"/>
  <c r="AC100" i="49"/>
  <c r="AC108" i="49"/>
  <c r="A108" i="49" s="1"/>
  <c r="AC36" i="50"/>
  <c r="A36" i="50" s="1"/>
  <c r="AC44" i="50"/>
  <c r="A44" i="50" s="1"/>
  <c r="AC52" i="50"/>
  <c r="A52" i="50" s="1"/>
  <c r="AC38" i="43"/>
  <c r="A38" i="43" s="1"/>
  <c r="AC44" i="43"/>
  <c r="A44" i="43" s="1"/>
  <c r="AC52" i="43"/>
  <c r="A52" i="43" s="1"/>
  <c r="AC92" i="43"/>
  <c r="A92" i="43" s="1"/>
  <c r="AC96" i="43"/>
  <c r="A96" i="43" s="1"/>
  <c r="AC100" i="43"/>
  <c r="AC104" i="43"/>
  <c r="AC108" i="43"/>
  <c r="A108" i="43" s="1"/>
  <c r="AC112" i="43"/>
  <c r="A112" i="43" s="1"/>
  <c r="AC41" i="49"/>
  <c r="A41" i="49" s="1"/>
  <c r="AC49" i="49"/>
  <c r="A49" i="49" s="1"/>
  <c r="AC91" i="49"/>
  <c r="A91" i="49" s="1"/>
  <c r="AC99" i="49"/>
  <c r="A99" i="49" s="1"/>
  <c r="AC107" i="49"/>
  <c r="A107" i="49" s="1"/>
  <c r="AC115" i="49"/>
  <c r="A115" i="49" s="1"/>
  <c r="AC35" i="50"/>
  <c r="A35" i="50" s="1"/>
  <c r="AC43" i="50"/>
  <c r="A43" i="50" s="1"/>
  <c r="AC51" i="50"/>
  <c r="A51" i="50" s="1"/>
  <c r="AC93" i="50"/>
  <c r="A93" i="50" s="1"/>
  <c r="AC38" i="49"/>
  <c r="A38" i="49" s="1"/>
  <c r="AC43" i="43"/>
  <c r="A43" i="43" s="1"/>
  <c r="AC40" i="49"/>
  <c r="A40" i="49" s="1"/>
  <c r="AC42" i="50"/>
  <c r="A42" i="50" s="1"/>
  <c r="AC50" i="50"/>
  <c r="A50" i="50" s="1"/>
  <c r="AC100" i="50"/>
  <c r="A100" i="50" s="1"/>
  <c r="AC108" i="50"/>
  <c r="AC54" i="49"/>
  <c r="A54" i="49" s="1"/>
  <c r="AC37" i="43"/>
  <c r="A37" i="43" s="1"/>
  <c r="AC51" i="43"/>
  <c r="A51" i="43" s="1"/>
  <c r="AC36" i="43"/>
  <c r="A36" i="43" s="1"/>
  <c r="AC42" i="43"/>
  <c r="A42" i="43" s="1"/>
  <c r="AC50" i="43"/>
  <c r="A50" i="43" s="1"/>
  <c r="AC91" i="43"/>
  <c r="A91" i="43" s="1"/>
  <c r="AC95" i="43"/>
  <c r="A95" i="43" s="1"/>
  <c r="AC99" i="43"/>
  <c r="A99" i="43" s="1"/>
  <c r="AC103" i="43"/>
  <c r="A103" i="43" s="1"/>
  <c r="AC107" i="43"/>
  <c r="A107" i="43" s="1"/>
  <c r="AC111" i="43"/>
  <c r="AC115" i="43"/>
  <c r="A115" i="43" s="1"/>
  <c r="AC39" i="49"/>
  <c r="A39" i="49" s="1"/>
  <c r="AC47" i="49"/>
  <c r="A47" i="49" s="1"/>
  <c r="AC89" i="49"/>
  <c r="A89" i="49" s="1"/>
  <c r="AC97" i="49"/>
  <c r="A97" i="49" s="1"/>
  <c r="AC105" i="49"/>
  <c r="A105" i="49" s="1"/>
  <c r="AC113" i="49"/>
  <c r="A113" i="49" s="1"/>
  <c r="AC41" i="50"/>
  <c r="A41" i="50" s="1"/>
  <c r="AC49" i="50"/>
  <c r="A49" i="50" s="1"/>
  <c r="AC91" i="50"/>
  <c r="A91" i="50" s="1"/>
  <c r="AC99" i="50"/>
  <c r="A99" i="50" s="1"/>
  <c r="AC107" i="50"/>
  <c r="A107" i="50" s="1"/>
  <c r="AC41" i="43"/>
  <c r="A41" i="43" s="1"/>
  <c r="AC49" i="43"/>
  <c r="A49" i="43" s="1"/>
  <c r="AC48" i="43"/>
  <c r="A48" i="43" s="1"/>
  <c r="AC37" i="49"/>
  <c r="A37" i="49" s="1"/>
  <c r="AC45" i="49"/>
  <c r="A45" i="49" s="1"/>
  <c r="AC53" i="49"/>
  <c r="A53" i="49" s="1"/>
  <c r="AC111" i="49"/>
  <c r="A111" i="49" s="1"/>
  <c r="AC39" i="50"/>
  <c r="A39" i="50" s="1"/>
  <c r="AC47" i="50"/>
  <c r="A47" i="50" s="1"/>
  <c r="AC89" i="50"/>
  <c r="A89" i="50" s="1"/>
  <c r="AC97" i="50"/>
  <c r="A97" i="50" s="1"/>
  <c r="AC105" i="50"/>
  <c r="A105" i="50" s="1"/>
  <c r="AC48" i="50"/>
  <c r="A48" i="50" s="1"/>
  <c r="AC47" i="43"/>
  <c r="A47" i="43" s="1"/>
  <c r="AC54" i="43"/>
  <c r="A54" i="43" s="1"/>
  <c r="AC36" i="49"/>
  <c r="A36" i="49" s="1"/>
  <c r="AC44" i="49"/>
  <c r="A44" i="49" s="1"/>
  <c r="AC52" i="49"/>
  <c r="A52" i="49" s="1"/>
  <c r="AC94" i="49"/>
  <c r="A94" i="49" s="1"/>
  <c r="AC102" i="49"/>
  <c r="A102" i="49" s="1"/>
  <c r="AC110" i="49"/>
  <c r="A110" i="49" s="1"/>
  <c r="AC38" i="50"/>
  <c r="A38" i="50" s="1"/>
  <c r="AC46" i="50"/>
  <c r="A46" i="50" s="1"/>
  <c r="AC54" i="50"/>
  <c r="A54" i="50" s="1"/>
  <c r="AC88" i="50"/>
  <c r="A88" i="50" s="1"/>
  <c r="AC96" i="50"/>
  <c r="A96" i="50" s="1"/>
  <c r="AC104" i="50"/>
  <c r="A104" i="50" s="1"/>
  <c r="AC112" i="50"/>
  <c r="A112" i="50" s="1"/>
  <c r="AI49" i="43"/>
  <c r="AI53" i="43"/>
  <c r="A109" i="50"/>
  <c r="A110" i="50"/>
  <c r="AG96" i="49"/>
  <c r="A115" i="50"/>
  <c r="AI41" i="43"/>
  <c r="AI39" i="43"/>
  <c r="A94" i="43"/>
  <c r="A113" i="50"/>
  <c r="A110" i="43"/>
  <c r="AG90" i="49"/>
  <c r="AU90" i="49"/>
  <c r="AS90" i="49"/>
  <c r="AT90" i="49"/>
  <c r="AI91" i="49"/>
  <c r="AW91" i="49"/>
  <c r="AX91" i="49"/>
  <c r="AY91" i="49"/>
  <c r="AY92" i="49"/>
  <c r="AW92" i="49"/>
  <c r="AX92" i="49"/>
  <c r="AS101" i="49"/>
  <c r="AT101" i="49"/>
  <c r="AG101" i="49"/>
  <c r="AU101" i="49"/>
  <c r="AI102" i="49"/>
  <c r="AT102" i="49"/>
  <c r="AU102" i="49"/>
  <c r="AS102" i="49"/>
  <c r="AG102" i="49"/>
  <c r="AG103" i="49"/>
  <c r="AS103" i="49"/>
  <c r="AU103" i="49"/>
  <c r="AT103" i="49"/>
  <c r="AX104" i="49"/>
  <c r="AY104" i="49"/>
  <c r="AW104" i="49"/>
  <c r="AG107" i="49"/>
  <c r="AT107" i="49"/>
  <c r="AU107" i="49"/>
  <c r="AS107" i="49"/>
  <c r="AI108" i="49"/>
  <c r="AG108" i="49"/>
  <c r="AT108" i="49"/>
  <c r="AS108" i="49"/>
  <c r="AU108" i="49"/>
  <c r="AI109" i="49"/>
  <c r="AY109" i="49"/>
  <c r="AW109" i="49"/>
  <c r="AX109" i="49"/>
  <c r="AW110" i="49"/>
  <c r="AY110" i="49"/>
  <c r="AX110" i="49"/>
  <c r="AI111" i="49"/>
  <c r="AY111" i="49"/>
  <c r="AW111" i="49"/>
  <c r="AX111" i="49"/>
  <c r="A112" i="49"/>
  <c r="AT114" i="49"/>
  <c r="AG114" i="49"/>
  <c r="AS114" i="49"/>
  <c r="AU114" i="49"/>
  <c r="AI115" i="49"/>
  <c r="AX115" i="49"/>
  <c r="AW115" i="49"/>
  <c r="AY115" i="49"/>
  <c r="AT37" i="50"/>
  <c r="AU37" i="50"/>
  <c r="AS37" i="50"/>
  <c r="AI38" i="50"/>
  <c r="AT38" i="50"/>
  <c r="AU38" i="50"/>
  <c r="AS38" i="50"/>
  <c r="AI39" i="50"/>
  <c r="AY39" i="50"/>
  <c r="AW39" i="50"/>
  <c r="AX39" i="50"/>
  <c r="AU44" i="50"/>
  <c r="AS44" i="50"/>
  <c r="AT44" i="50"/>
  <c r="AI45" i="50"/>
  <c r="AW45" i="50"/>
  <c r="AY45" i="50"/>
  <c r="AX45" i="50"/>
  <c r="AW46" i="50"/>
  <c r="AY46" i="50"/>
  <c r="AX46" i="50"/>
  <c r="AS50" i="50"/>
  <c r="AU50" i="50"/>
  <c r="AT50" i="50"/>
  <c r="AI51" i="50"/>
  <c r="AU51" i="50"/>
  <c r="AS51" i="50"/>
  <c r="AT51" i="50"/>
  <c r="AI52" i="50"/>
  <c r="AY52" i="50"/>
  <c r="AX52" i="50"/>
  <c r="AW52" i="50"/>
  <c r="AU88" i="50"/>
  <c r="AT88" i="50"/>
  <c r="AS88" i="50"/>
  <c r="AI89" i="50"/>
  <c r="AU89" i="50"/>
  <c r="AT89" i="50"/>
  <c r="AS89" i="50"/>
  <c r="AG89" i="50"/>
  <c r="AI90" i="50"/>
  <c r="AY90" i="50"/>
  <c r="AX90" i="50"/>
  <c r="AW90" i="50"/>
  <c r="AS95" i="50"/>
  <c r="AU95" i="50"/>
  <c r="AT95" i="50"/>
  <c r="AG95" i="50"/>
  <c r="AI96" i="50"/>
  <c r="AX96" i="50"/>
  <c r="AW96" i="50"/>
  <c r="AY96" i="50"/>
  <c r="AY97" i="50"/>
  <c r="AX97" i="50"/>
  <c r="AW97" i="50"/>
  <c r="A98" i="50"/>
  <c r="AT101" i="50"/>
  <c r="AS101" i="50"/>
  <c r="AU101" i="50"/>
  <c r="AG101" i="50"/>
  <c r="AI102" i="50"/>
  <c r="AU102" i="50"/>
  <c r="AT102" i="50"/>
  <c r="AS102" i="50"/>
  <c r="AG102" i="50"/>
  <c r="AI103" i="50"/>
  <c r="AY103" i="50"/>
  <c r="AX103" i="50"/>
  <c r="AW103" i="50"/>
  <c r="AI107" i="50"/>
  <c r="AU107" i="50"/>
  <c r="AT107" i="50"/>
  <c r="AS107" i="50"/>
  <c r="AG107" i="50"/>
  <c r="AI108" i="50"/>
  <c r="AT108" i="50"/>
  <c r="AS108" i="50"/>
  <c r="AU108" i="50"/>
  <c r="AG108" i="50"/>
  <c r="AI109" i="50"/>
  <c r="AW109" i="50"/>
  <c r="AY109" i="50"/>
  <c r="AX109" i="50"/>
  <c r="AX110" i="50"/>
  <c r="AW110" i="50"/>
  <c r="AY110" i="50"/>
  <c r="AU114" i="50"/>
  <c r="AT114" i="50"/>
  <c r="AS114" i="50"/>
  <c r="AG114" i="50"/>
  <c r="AY115" i="50"/>
  <c r="AX115" i="50"/>
  <c r="AW115" i="50"/>
  <c r="AI89" i="49"/>
  <c r="AG89" i="49"/>
  <c r="AU89" i="49"/>
  <c r="AS89" i="49"/>
  <c r="AT89" i="49"/>
  <c r="AI90" i="49"/>
  <c r="AW90" i="49"/>
  <c r="AX90" i="49"/>
  <c r="AY90" i="49"/>
  <c r="AI101" i="49"/>
  <c r="AX101" i="49"/>
  <c r="AY101" i="49"/>
  <c r="AW101" i="49"/>
  <c r="AX102" i="49"/>
  <c r="AY102" i="49"/>
  <c r="AW102" i="49"/>
  <c r="AI103" i="49"/>
  <c r="AX103" i="49"/>
  <c r="AW103" i="49"/>
  <c r="AY103" i="49"/>
  <c r="AG106" i="49"/>
  <c r="AS106" i="49"/>
  <c r="AU106" i="49"/>
  <c r="AT106" i="49"/>
  <c r="AI107" i="49"/>
  <c r="AY107" i="49"/>
  <c r="AW107" i="49"/>
  <c r="AX107" i="49"/>
  <c r="AW108" i="49"/>
  <c r="AY108" i="49"/>
  <c r="AX108" i="49"/>
  <c r="AI113" i="49"/>
  <c r="AT113" i="49"/>
  <c r="AG113" i="49"/>
  <c r="AS113" i="49"/>
  <c r="AU113" i="49"/>
  <c r="AI114" i="49"/>
  <c r="AY114" i="49"/>
  <c r="AW114" i="49"/>
  <c r="AX114" i="49"/>
  <c r="AI36" i="50"/>
  <c r="AS36" i="50"/>
  <c r="AU36" i="50"/>
  <c r="AT36" i="50"/>
  <c r="AI37" i="50"/>
  <c r="AY37" i="50"/>
  <c r="AW37" i="50"/>
  <c r="AX37" i="50"/>
  <c r="AY38" i="50"/>
  <c r="AW38" i="50"/>
  <c r="AX38" i="50"/>
  <c r="AU42" i="50"/>
  <c r="AS42" i="50"/>
  <c r="AT42" i="50"/>
  <c r="AI43" i="50"/>
  <c r="AS43" i="50"/>
  <c r="AU43" i="50"/>
  <c r="AT43" i="50"/>
  <c r="AI44" i="50"/>
  <c r="AX44" i="50"/>
  <c r="AW44" i="50"/>
  <c r="AY44" i="50"/>
  <c r="AS48" i="50"/>
  <c r="AU48" i="50"/>
  <c r="AT48" i="50"/>
  <c r="AI49" i="50"/>
  <c r="AU49" i="50"/>
  <c r="AS49" i="50"/>
  <c r="AT49" i="50"/>
  <c r="AI50" i="50"/>
  <c r="AX50" i="50"/>
  <c r="AY50" i="50"/>
  <c r="AW50" i="50"/>
  <c r="AY51" i="50"/>
  <c r="AX51" i="50"/>
  <c r="AW51" i="50"/>
  <c r="AI88" i="50"/>
  <c r="AY88" i="50"/>
  <c r="AX88" i="50"/>
  <c r="AW88" i="50"/>
  <c r="AW89" i="50"/>
  <c r="AY89" i="50"/>
  <c r="AX89" i="50"/>
  <c r="AU93" i="50"/>
  <c r="AT93" i="50"/>
  <c r="AS93" i="50"/>
  <c r="AG93" i="50"/>
  <c r="AI94" i="50"/>
  <c r="AS94" i="50"/>
  <c r="AU94" i="50"/>
  <c r="AT94" i="50"/>
  <c r="AG94" i="50"/>
  <c r="AI95" i="50"/>
  <c r="AX95" i="50"/>
  <c r="AW95" i="50"/>
  <c r="AY95" i="50"/>
  <c r="AI99" i="50"/>
  <c r="AT99" i="50"/>
  <c r="AS99" i="50"/>
  <c r="AU99" i="50"/>
  <c r="AG99" i="50"/>
  <c r="AI100" i="50"/>
  <c r="AU100" i="50"/>
  <c r="AT100" i="50"/>
  <c r="AS100" i="50"/>
  <c r="AG100" i="50"/>
  <c r="AI101" i="50"/>
  <c r="AY101" i="50"/>
  <c r="AX101" i="50"/>
  <c r="AW101" i="50"/>
  <c r="AY102" i="50"/>
  <c r="AX102" i="50"/>
  <c r="AW102" i="50"/>
  <c r="AT106" i="50"/>
  <c r="AS106" i="50"/>
  <c r="AU106" i="50"/>
  <c r="AG106" i="50"/>
  <c r="AW107" i="50"/>
  <c r="AY107" i="50"/>
  <c r="AX107" i="50"/>
  <c r="AY108" i="50"/>
  <c r="AX108" i="50"/>
  <c r="AW108" i="50"/>
  <c r="AS112" i="50"/>
  <c r="AU112" i="50"/>
  <c r="AT112" i="50"/>
  <c r="AG112" i="50"/>
  <c r="AI113" i="50"/>
  <c r="AT113" i="50"/>
  <c r="AS113" i="50"/>
  <c r="AU113" i="50"/>
  <c r="AG113" i="50"/>
  <c r="AI114" i="50"/>
  <c r="AW114" i="50"/>
  <c r="AY114" i="50"/>
  <c r="AX114" i="50"/>
  <c r="A100" i="43"/>
  <c r="A102" i="43"/>
  <c r="AU88" i="49"/>
  <c r="AS88" i="49"/>
  <c r="AT88" i="49"/>
  <c r="AY89" i="49"/>
  <c r="AW89" i="49"/>
  <c r="AX89" i="49"/>
  <c r="AS93" i="49"/>
  <c r="AT93" i="49"/>
  <c r="AG93" i="49"/>
  <c r="AU93" i="49"/>
  <c r="AI94" i="49"/>
  <c r="AS94" i="49"/>
  <c r="AG94" i="49"/>
  <c r="AT94" i="49"/>
  <c r="AU94" i="49"/>
  <c r="AU95" i="49"/>
  <c r="AG95" i="49"/>
  <c r="AS95" i="49"/>
  <c r="AT95" i="49"/>
  <c r="A103" i="49"/>
  <c r="AI105" i="49"/>
  <c r="AS105" i="49"/>
  <c r="AG105" i="49"/>
  <c r="AU105" i="49"/>
  <c r="AT105" i="49"/>
  <c r="AI106" i="49"/>
  <c r="AW106" i="49"/>
  <c r="AX106" i="49"/>
  <c r="AY106" i="49"/>
  <c r="AG112" i="49"/>
  <c r="AT112" i="49"/>
  <c r="AS112" i="49"/>
  <c r="AU112" i="49"/>
  <c r="AY113" i="49"/>
  <c r="AW113" i="49"/>
  <c r="AX113" i="49"/>
  <c r="AI35" i="50"/>
  <c r="AU35" i="50"/>
  <c r="AS35" i="50"/>
  <c r="AT35" i="50"/>
  <c r="AX36" i="50"/>
  <c r="AY36" i="50"/>
  <c r="AW36" i="50"/>
  <c r="AI40" i="50"/>
  <c r="AU40" i="50"/>
  <c r="AS40" i="50"/>
  <c r="AT40" i="50"/>
  <c r="AI41" i="50"/>
  <c r="AS41" i="50"/>
  <c r="AU41" i="50"/>
  <c r="AT41" i="50"/>
  <c r="AI42" i="50"/>
  <c r="AX42" i="50"/>
  <c r="AY42" i="50"/>
  <c r="AW42" i="50"/>
  <c r="AX43" i="50"/>
  <c r="AY43" i="50"/>
  <c r="AW43" i="50"/>
  <c r="AT47" i="50"/>
  <c r="AU47" i="50"/>
  <c r="AS47" i="50"/>
  <c r="AX48" i="50"/>
  <c r="AY48" i="50"/>
  <c r="AW48" i="50"/>
  <c r="AX49" i="50"/>
  <c r="AY49" i="50"/>
  <c r="AW49" i="50"/>
  <c r="AU53" i="50"/>
  <c r="AT53" i="50"/>
  <c r="AS53" i="50"/>
  <c r="AI54" i="50"/>
  <c r="AU54" i="50"/>
  <c r="AT54" i="50"/>
  <c r="AS54" i="50"/>
  <c r="AU91" i="50"/>
  <c r="AT91" i="50"/>
  <c r="AS91" i="50"/>
  <c r="AG91" i="50"/>
  <c r="AI92" i="50"/>
  <c r="AT92" i="50"/>
  <c r="AS92" i="50"/>
  <c r="AU92" i="50"/>
  <c r="AG92" i="50"/>
  <c r="AI93" i="50"/>
  <c r="AW93" i="50"/>
  <c r="AY93" i="50"/>
  <c r="AX93" i="50"/>
  <c r="AX94" i="50"/>
  <c r="AW94" i="50"/>
  <c r="AY94" i="50"/>
  <c r="AU98" i="50"/>
  <c r="AT98" i="50"/>
  <c r="AS98" i="50"/>
  <c r="AG98" i="50"/>
  <c r="AY99" i="50"/>
  <c r="AX99" i="50"/>
  <c r="AW99" i="50"/>
  <c r="AW100" i="50"/>
  <c r="AY100" i="50"/>
  <c r="AX100" i="50"/>
  <c r="A101" i="50"/>
  <c r="A102" i="50"/>
  <c r="AU104" i="50"/>
  <c r="AT104" i="50"/>
  <c r="AS104" i="50"/>
  <c r="AG104" i="50"/>
  <c r="AI105" i="50"/>
  <c r="AU105" i="50"/>
  <c r="AT105" i="50"/>
  <c r="AS105" i="50"/>
  <c r="AG105" i="50"/>
  <c r="AI106" i="50"/>
  <c r="AY106" i="50"/>
  <c r="AX106" i="50"/>
  <c r="AW106" i="50"/>
  <c r="A108" i="50"/>
  <c r="AS111" i="50"/>
  <c r="AU111" i="50"/>
  <c r="AT111" i="50"/>
  <c r="AG111" i="50"/>
  <c r="AX112" i="50"/>
  <c r="AW112" i="50"/>
  <c r="AY112" i="50"/>
  <c r="AY113" i="50"/>
  <c r="AX113" i="50"/>
  <c r="AW113" i="50"/>
  <c r="A114" i="50"/>
  <c r="AX88" i="49"/>
  <c r="AY88" i="49"/>
  <c r="AW88" i="49"/>
  <c r="AU91" i="49"/>
  <c r="AG91" i="49"/>
  <c r="AS91" i="49"/>
  <c r="AT91" i="49"/>
  <c r="AI92" i="49"/>
  <c r="AT92" i="49"/>
  <c r="AU92" i="49"/>
  <c r="AG92" i="49"/>
  <c r="AS92" i="49"/>
  <c r="AI93" i="49"/>
  <c r="AW93" i="49"/>
  <c r="AX93" i="49"/>
  <c r="AY93" i="49"/>
  <c r="AY94" i="49"/>
  <c r="AW94" i="49"/>
  <c r="AX94" i="49"/>
  <c r="AI95" i="49"/>
  <c r="AY95" i="49"/>
  <c r="AW95" i="49"/>
  <c r="AX95" i="49"/>
  <c r="AT104" i="49"/>
  <c r="AU104" i="49"/>
  <c r="AG104" i="49"/>
  <c r="AS104" i="49"/>
  <c r="AW105" i="49"/>
  <c r="AX105" i="49"/>
  <c r="AY105" i="49"/>
  <c r="AT109" i="49"/>
  <c r="AG109" i="49"/>
  <c r="AS109" i="49"/>
  <c r="AU109" i="49"/>
  <c r="AI110" i="49"/>
  <c r="AT110" i="49"/>
  <c r="AG110" i="49"/>
  <c r="AS110" i="49"/>
  <c r="AU110" i="49"/>
  <c r="AG111" i="49"/>
  <c r="AT111" i="49"/>
  <c r="AU111" i="49"/>
  <c r="AS111" i="49"/>
  <c r="AW112" i="49"/>
  <c r="AY112" i="49"/>
  <c r="AX112" i="49"/>
  <c r="AG115" i="49"/>
  <c r="AU115" i="49"/>
  <c r="AS115" i="49"/>
  <c r="AT115" i="49"/>
  <c r="AX35" i="50"/>
  <c r="AY35" i="50"/>
  <c r="AW35" i="50"/>
  <c r="AT39" i="50"/>
  <c r="AU39" i="50"/>
  <c r="AS39" i="50"/>
  <c r="AX40" i="50"/>
  <c r="AW40" i="50"/>
  <c r="AY40" i="50"/>
  <c r="AX41" i="50"/>
  <c r="AY41" i="50"/>
  <c r="AW41" i="50"/>
  <c r="AT45" i="50"/>
  <c r="AU45" i="50"/>
  <c r="AS45" i="50"/>
  <c r="AI46" i="50"/>
  <c r="AT46" i="50"/>
  <c r="AU46" i="50"/>
  <c r="AS46" i="50"/>
  <c r="AI47" i="50"/>
  <c r="AW47" i="50"/>
  <c r="AY47" i="50"/>
  <c r="AX47" i="50"/>
  <c r="AT52" i="50"/>
  <c r="AS52" i="50"/>
  <c r="AU52" i="50"/>
  <c r="AI53" i="50"/>
  <c r="AY53" i="50"/>
  <c r="AX53" i="50"/>
  <c r="AW53" i="50"/>
  <c r="AY54" i="50"/>
  <c r="AX54" i="50"/>
  <c r="AW54" i="50"/>
  <c r="AT90" i="50"/>
  <c r="AS90" i="50"/>
  <c r="AU90" i="50"/>
  <c r="AG90" i="50"/>
  <c r="AW91" i="50"/>
  <c r="AY91" i="50"/>
  <c r="AX91" i="50"/>
  <c r="AY92" i="50"/>
  <c r="AX92" i="50"/>
  <c r="AW92" i="50"/>
  <c r="AS96" i="50"/>
  <c r="AU96" i="50"/>
  <c r="AT96" i="50"/>
  <c r="AG96" i="50"/>
  <c r="AI97" i="50"/>
  <c r="AT97" i="50"/>
  <c r="AS97" i="50"/>
  <c r="AU97" i="50"/>
  <c r="AG97" i="50"/>
  <c r="AW98" i="50"/>
  <c r="AY98" i="50"/>
  <c r="AX98" i="50"/>
  <c r="AU103" i="50"/>
  <c r="AT103" i="50"/>
  <c r="AS103" i="50"/>
  <c r="AG103" i="50"/>
  <c r="AI104" i="50"/>
  <c r="AY104" i="50"/>
  <c r="AX104" i="50"/>
  <c r="AW104" i="50"/>
  <c r="AW105" i="50"/>
  <c r="AY105" i="50"/>
  <c r="AX105" i="50"/>
  <c r="AU109" i="50"/>
  <c r="AT109" i="50"/>
  <c r="AS109" i="50"/>
  <c r="AG109" i="50"/>
  <c r="AI110" i="50"/>
  <c r="AS110" i="50"/>
  <c r="AU110" i="50"/>
  <c r="AT110" i="50"/>
  <c r="AG110" i="50"/>
  <c r="AI111" i="50"/>
  <c r="AX111" i="50"/>
  <c r="AW111" i="50"/>
  <c r="AY111" i="50"/>
  <c r="AI115" i="50"/>
  <c r="AT115" i="50"/>
  <c r="AS115" i="50"/>
  <c r="AU115" i="50"/>
  <c r="AG115" i="50"/>
  <c r="A100" i="49"/>
  <c r="AI36" i="43"/>
  <c r="AX47" i="43"/>
  <c r="AW47" i="43"/>
  <c r="AY47" i="43"/>
  <c r="AU92" i="43"/>
  <c r="AS92" i="43"/>
  <c r="AT92" i="43"/>
  <c r="AI46" i="43"/>
  <c r="AX46" i="43"/>
  <c r="AW46" i="43"/>
  <c r="AY46" i="43"/>
  <c r="AU99" i="43"/>
  <c r="AT99" i="43"/>
  <c r="AS99" i="43"/>
  <c r="AX45" i="43"/>
  <c r="AW45" i="43"/>
  <c r="AY45" i="43"/>
  <c r="AT114" i="43"/>
  <c r="AU114" i="43"/>
  <c r="AS114" i="43"/>
  <c r="AU106" i="43"/>
  <c r="AT106" i="43"/>
  <c r="AS106" i="43"/>
  <c r="AS98" i="43"/>
  <c r="AU98" i="43"/>
  <c r="AT98" i="43"/>
  <c r="AT90" i="43"/>
  <c r="AS90" i="43"/>
  <c r="AU90" i="43"/>
  <c r="AU37" i="43"/>
  <c r="AT37" i="43"/>
  <c r="AS37" i="43"/>
  <c r="AI38" i="43"/>
  <c r="AY38" i="43"/>
  <c r="AX38" i="43"/>
  <c r="AW38" i="43"/>
  <c r="AT43" i="43"/>
  <c r="AS43" i="43"/>
  <c r="AU43" i="43"/>
  <c r="AI44" i="43"/>
  <c r="AW44" i="43"/>
  <c r="AY44" i="43"/>
  <c r="AX44" i="43"/>
  <c r="AU51" i="43"/>
  <c r="AS51" i="43"/>
  <c r="AT51" i="43"/>
  <c r="AI52" i="43"/>
  <c r="AY52" i="43"/>
  <c r="AX52" i="43"/>
  <c r="AW52" i="43"/>
  <c r="AI89" i="43"/>
  <c r="AX89" i="43"/>
  <c r="AY89" i="43"/>
  <c r="AW89" i="43"/>
  <c r="A90" i="43"/>
  <c r="AI100" i="43"/>
  <c r="AX100" i="43"/>
  <c r="AY100" i="43"/>
  <c r="AW100" i="43"/>
  <c r="AI105" i="43"/>
  <c r="AW105" i="43"/>
  <c r="AY105" i="43"/>
  <c r="AX105" i="43"/>
  <c r="A106" i="43"/>
  <c r="A111" i="43"/>
  <c r="AU113" i="43"/>
  <c r="AT113" i="43"/>
  <c r="AS113" i="43"/>
  <c r="AS105" i="43"/>
  <c r="AU105" i="43"/>
  <c r="AT105" i="43"/>
  <c r="AT97" i="43"/>
  <c r="AS97" i="43"/>
  <c r="AU97" i="43"/>
  <c r="AU89" i="43"/>
  <c r="AS89" i="43"/>
  <c r="AT89" i="43"/>
  <c r="AI102" i="43"/>
  <c r="AY102" i="43"/>
  <c r="AX102" i="43"/>
  <c r="AW102" i="43"/>
  <c r="AI107" i="43"/>
  <c r="AX107" i="43"/>
  <c r="AY107" i="43"/>
  <c r="AW107" i="43"/>
  <c r="AT108" i="43"/>
  <c r="AS108" i="43"/>
  <c r="AU108" i="43"/>
  <c r="AI40" i="43"/>
  <c r="AW40" i="43"/>
  <c r="AY40" i="43"/>
  <c r="AX40" i="43"/>
  <c r="AT53" i="43"/>
  <c r="AU53" i="43"/>
  <c r="AS53" i="43"/>
  <c r="AU91" i="43"/>
  <c r="AS91" i="43"/>
  <c r="AT91" i="43"/>
  <c r="AS44" i="43"/>
  <c r="AU44" i="43"/>
  <c r="AT44" i="43"/>
  <c r="AU52" i="43"/>
  <c r="AS52" i="43"/>
  <c r="AT52" i="43"/>
  <c r="AI90" i="43"/>
  <c r="AY90" i="43"/>
  <c r="AX90" i="43"/>
  <c r="AW90" i="43"/>
  <c r="AX111" i="43"/>
  <c r="AW111" i="43"/>
  <c r="AY111" i="43"/>
  <c r="AT36" i="43"/>
  <c r="AS36" i="43"/>
  <c r="AU36" i="43"/>
  <c r="AU104" i="43"/>
  <c r="AT104" i="43"/>
  <c r="AS104" i="43"/>
  <c r="AU49" i="43"/>
  <c r="AT49" i="43"/>
  <c r="AS49" i="43"/>
  <c r="AI50" i="43"/>
  <c r="AY50" i="43"/>
  <c r="AX50" i="43"/>
  <c r="AW50" i="43"/>
  <c r="AX93" i="43"/>
  <c r="AY93" i="43"/>
  <c r="AW93" i="43"/>
  <c r="AX104" i="43"/>
  <c r="AY104" i="43"/>
  <c r="AW104" i="43"/>
  <c r="AW109" i="43"/>
  <c r="AY109" i="43"/>
  <c r="AX109" i="43"/>
  <c r="AT111" i="43"/>
  <c r="AU111" i="43"/>
  <c r="AS111" i="43"/>
  <c r="AU103" i="43"/>
  <c r="AT103" i="43"/>
  <c r="AS103" i="43"/>
  <c r="AS95" i="43"/>
  <c r="AU95" i="43"/>
  <c r="AT95" i="43"/>
  <c r="AY35" i="43"/>
  <c r="AX35" i="43"/>
  <c r="AW35" i="43"/>
  <c r="AU46" i="43"/>
  <c r="AT46" i="43"/>
  <c r="AS46" i="43"/>
  <c r="AU54" i="43"/>
  <c r="AT54" i="43"/>
  <c r="AS54" i="43"/>
  <c r="AT45" i="43"/>
  <c r="AU45" i="43"/>
  <c r="AS45" i="43"/>
  <c r="AI101" i="43"/>
  <c r="AW101" i="43"/>
  <c r="AY101" i="43"/>
  <c r="AX101" i="43"/>
  <c r="AT115" i="43"/>
  <c r="AS115" i="43"/>
  <c r="AU115" i="43"/>
  <c r="AU38" i="43"/>
  <c r="AT38" i="43"/>
  <c r="AS38" i="43"/>
  <c r="AI106" i="43"/>
  <c r="AY106" i="43"/>
  <c r="AX106" i="43"/>
  <c r="AW106" i="43"/>
  <c r="AY37" i="43"/>
  <c r="AX37" i="43"/>
  <c r="AW37" i="43"/>
  <c r="AX43" i="43"/>
  <c r="AY43" i="43"/>
  <c r="AW43" i="43"/>
  <c r="AW51" i="43"/>
  <c r="AX51" i="43"/>
  <c r="AY51" i="43"/>
  <c r="AY94" i="43"/>
  <c r="AW94" i="43"/>
  <c r="AX94" i="43"/>
  <c r="AI99" i="43"/>
  <c r="AY99" i="43"/>
  <c r="AX99" i="43"/>
  <c r="AW99" i="43"/>
  <c r="AX110" i="43"/>
  <c r="AW110" i="43"/>
  <c r="AY110" i="43"/>
  <c r="AT112" i="43"/>
  <c r="AU112" i="43"/>
  <c r="AS112" i="43"/>
  <c r="AI35" i="43"/>
  <c r="AU35" i="43"/>
  <c r="AT35" i="43"/>
  <c r="AS35" i="43"/>
  <c r="AI43" i="43"/>
  <c r="AU48" i="43"/>
  <c r="AS48" i="43"/>
  <c r="AT48" i="43"/>
  <c r="AX49" i="43"/>
  <c r="AY49" i="43"/>
  <c r="AW49" i="43"/>
  <c r="AU41" i="43"/>
  <c r="AS41" i="43"/>
  <c r="AT41" i="43"/>
  <c r="AW98" i="43"/>
  <c r="AY98" i="43"/>
  <c r="AX98" i="43"/>
  <c r="AY103" i="43"/>
  <c r="AX103" i="43"/>
  <c r="AW103" i="43"/>
  <c r="A104" i="43"/>
  <c r="A109" i="43"/>
  <c r="AX114" i="43"/>
  <c r="AY114" i="43"/>
  <c r="AW114" i="43"/>
  <c r="AT110" i="43"/>
  <c r="AU110" i="43"/>
  <c r="AS110" i="43"/>
  <c r="AU102" i="43"/>
  <c r="AT102" i="43"/>
  <c r="AS102" i="43"/>
  <c r="AS94" i="43"/>
  <c r="AT94" i="43"/>
  <c r="AU94" i="43"/>
  <c r="AU40" i="43"/>
  <c r="AS40" i="43"/>
  <c r="AT40" i="43"/>
  <c r="AI91" i="43"/>
  <c r="AW91" i="43"/>
  <c r="AY91" i="43"/>
  <c r="AX91" i="43"/>
  <c r="AU100" i="43"/>
  <c r="AS100" i="43"/>
  <c r="AT100" i="43"/>
  <c r="AI47" i="43"/>
  <c r="AU39" i="43"/>
  <c r="AT39" i="43"/>
  <c r="AS39" i="43"/>
  <c r="AI54" i="43"/>
  <c r="AW54" i="43"/>
  <c r="AY54" i="43"/>
  <c r="AX54" i="43"/>
  <c r="AY96" i="43"/>
  <c r="AX96" i="43"/>
  <c r="AW96" i="43"/>
  <c r="AX112" i="43"/>
  <c r="AW112" i="43"/>
  <c r="AY112" i="43"/>
  <c r="AT107" i="43"/>
  <c r="AU107" i="43"/>
  <c r="AS107" i="43"/>
  <c r="AY39" i="43"/>
  <c r="AX39" i="43"/>
  <c r="AW39" i="43"/>
  <c r="AY53" i="43"/>
  <c r="AW53" i="43"/>
  <c r="AX53" i="43"/>
  <c r="AY95" i="43"/>
  <c r="AX95" i="43"/>
  <c r="AW95" i="43"/>
  <c r="AU42" i="43"/>
  <c r="AS42" i="43"/>
  <c r="AT42" i="43"/>
  <c r="AT50" i="43"/>
  <c r="AS50" i="43"/>
  <c r="AU50" i="43"/>
  <c r="AW115" i="43"/>
  <c r="AY115" i="43"/>
  <c r="AX115" i="43"/>
  <c r="AS96" i="43"/>
  <c r="AU96" i="43"/>
  <c r="AT96" i="43"/>
  <c r="AX36" i="43"/>
  <c r="AY36" i="43"/>
  <c r="AW36" i="43"/>
  <c r="AI42" i="43"/>
  <c r="AX42" i="43"/>
  <c r="AY42" i="43"/>
  <c r="AW42" i="43"/>
  <c r="AI45" i="43"/>
  <c r="AT47" i="43"/>
  <c r="AU47" i="43"/>
  <c r="AS47" i="43"/>
  <c r="AI48" i="43"/>
  <c r="AY48" i="43"/>
  <c r="AX48" i="43"/>
  <c r="AW48" i="43"/>
  <c r="AY41" i="43"/>
  <c r="AX41" i="43"/>
  <c r="AW41" i="43"/>
  <c r="AI92" i="43"/>
  <c r="AY92" i="43"/>
  <c r="AX92" i="43"/>
  <c r="AW92" i="43"/>
  <c r="AI97" i="43"/>
  <c r="AY97" i="43"/>
  <c r="AX97" i="43"/>
  <c r="AW97" i="43"/>
  <c r="A98" i="43"/>
  <c r="AI108" i="43"/>
  <c r="AW108" i="43"/>
  <c r="AY108" i="43"/>
  <c r="AX108" i="43"/>
  <c r="AI113" i="43"/>
  <c r="AY113" i="43"/>
  <c r="AX113" i="43"/>
  <c r="AW113" i="43"/>
  <c r="A114" i="43"/>
  <c r="AU109" i="43"/>
  <c r="AS109" i="43"/>
  <c r="AT109" i="43"/>
  <c r="AT101" i="43"/>
  <c r="AS101" i="43"/>
  <c r="AU101" i="43"/>
  <c r="AU93" i="43"/>
  <c r="AT93" i="43"/>
  <c r="AS93" i="43"/>
  <c r="AS99" i="49"/>
  <c r="AT99" i="49"/>
  <c r="AG99" i="49"/>
  <c r="AU99" i="49"/>
  <c r="AG98" i="49"/>
  <c r="AS98" i="49"/>
  <c r="AT98" i="49"/>
  <c r="AU98" i="49"/>
  <c r="AI99" i="49"/>
  <c r="AW99" i="49"/>
  <c r="AX99" i="49"/>
  <c r="AY99" i="49"/>
  <c r="AI98" i="49"/>
  <c r="AW98" i="49"/>
  <c r="AX98" i="49"/>
  <c r="AY98" i="49"/>
  <c r="AI97" i="49"/>
  <c r="AG97" i="49"/>
  <c r="AS97" i="49"/>
  <c r="AT97" i="49"/>
  <c r="AU97" i="49"/>
  <c r="AW97" i="49"/>
  <c r="AX97" i="49"/>
  <c r="AY97" i="49"/>
  <c r="AW37" i="49"/>
  <c r="AX37" i="49"/>
  <c r="AY37" i="49"/>
  <c r="AS50" i="49"/>
  <c r="AT50" i="49"/>
  <c r="AU50" i="49"/>
  <c r="AX53" i="49"/>
  <c r="AY53" i="49"/>
  <c r="AW53" i="49"/>
  <c r="AY54" i="49"/>
  <c r="AW54" i="49"/>
  <c r="AX54" i="49"/>
  <c r="AW36" i="49"/>
  <c r="AY36" i="49"/>
  <c r="AX36" i="49"/>
  <c r="AS48" i="49"/>
  <c r="AT48" i="49"/>
  <c r="AU48" i="49"/>
  <c r="AI49" i="49"/>
  <c r="AS49" i="49"/>
  <c r="AT49" i="49"/>
  <c r="AU49" i="49"/>
  <c r="AW50" i="49"/>
  <c r="AX50" i="49"/>
  <c r="AY50" i="49"/>
  <c r="AW51" i="49"/>
  <c r="AX51" i="49"/>
  <c r="AY51" i="49"/>
  <c r="AX52" i="49"/>
  <c r="AY52" i="49"/>
  <c r="AW52" i="49"/>
  <c r="AU47" i="49"/>
  <c r="AS47" i="49"/>
  <c r="AT47" i="49"/>
  <c r="AX48" i="49"/>
  <c r="AY48" i="49"/>
  <c r="AW48" i="49"/>
  <c r="AW49" i="49"/>
  <c r="AX49" i="49"/>
  <c r="AY49" i="49"/>
  <c r="AT42" i="49"/>
  <c r="AS42" i="49"/>
  <c r="AU42" i="49"/>
  <c r="AS40" i="49"/>
  <c r="AT40" i="49"/>
  <c r="AU40" i="49"/>
  <c r="AI41" i="49"/>
  <c r="AT41" i="49"/>
  <c r="AU41" i="49"/>
  <c r="AS41" i="49"/>
  <c r="AW42" i="49"/>
  <c r="AX42" i="49"/>
  <c r="AY42" i="49"/>
  <c r="AY43" i="49"/>
  <c r="AX43" i="49"/>
  <c r="AW43" i="49"/>
  <c r="AW44" i="49"/>
  <c r="AY44" i="49"/>
  <c r="AX44" i="49"/>
  <c r="AU36" i="49"/>
  <c r="AT36" i="49"/>
  <c r="AS36" i="49"/>
  <c r="AU51" i="49"/>
  <c r="AS51" i="49"/>
  <c r="AT51" i="49"/>
  <c r="AI46" i="49"/>
  <c r="AS46" i="49"/>
  <c r="AT46" i="49"/>
  <c r="AU46" i="49"/>
  <c r="AI44" i="49"/>
  <c r="AS44" i="49"/>
  <c r="AT44" i="49"/>
  <c r="AU44" i="49"/>
  <c r="AW46" i="49"/>
  <c r="AX46" i="49"/>
  <c r="AY46" i="49"/>
  <c r="AS39" i="49"/>
  <c r="AT39" i="49"/>
  <c r="AU39" i="49"/>
  <c r="AW40" i="49"/>
  <c r="AX40" i="49"/>
  <c r="AY40" i="49"/>
  <c r="AW41" i="49"/>
  <c r="AY41" i="49"/>
  <c r="AX41" i="49"/>
  <c r="AW38" i="49"/>
  <c r="AX38" i="49"/>
  <c r="AY38" i="49"/>
  <c r="AI52" i="49"/>
  <c r="AS52" i="49"/>
  <c r="AT52" i="49"/>
  <c r="AU52" i="49"/>
  <c r="AS45" i="49"/>
  <c r="AU45" i="49"/>
  <c r="AT45" i="49"/>
  <c r="AW47" i="49"/>
  <c r="AX47" i="49"/>
  <c r="AY47" i="49"/>
  <c r="AS43" i="49"/>
  <c r="AT43" i="49"/>
  <c r="AU43" i="49"/>
  <c r="AW45" i="49"/>
  <c r="AY45" i="49"/>
  <c r="AX45" i="49"/>
  <c r="AU37" i="49"/>
  <c r="AS37" i="49"/>
  <c r="AT37" i="49"/>
  <c r="AI38" i="49"/>
  <c r="AU38" i="49"/>
  <c r="AS38" i="49"/>
  <c r="AT38" i="49"/>
  <c r="AY39" i="49"/>
  <c r="AW39" i="49"/>
  <c r="AX39" i="49"/>
  <c r="AS53" i="49"/>
  <c r="AT53" i="49"/>
  <c r="AU53" i="49"/>
  <c r="AI54" i="49"/>
  <c r="AS54" i="49"/>
  <c r="AU54" i="49"/>
  <c r="AT54" i="49"/>
  <c r="AY100" i="49"/>
  <c r="AX100" i="49"/>
  <c r="AW100" i="49"/>
  <c r="AI100" i="49"/>
  <c r="AT100" i="49"/>
  <c r="AU100" i="49"/>
  <c r="AS100" i="49"/>
  <c r="AY96" i="49"/>
  <c r="AW96" i="49"/>
  <c r="AX96" i="49"/>
  <c r="AU96" i="49"/>
  <c r="AS96" i="49"/>
  <c r="AT96" i="49"/>
  <c r="AI51" i="49"/>
  <c r="AY35" i="49"/>
  <c r="AX35" i="49"/>
  <c r="AW35" i="49"/>
  <c r="AI36" i="49"/>
  <c r="AI35" i="49"/>
  <c r="AU35" i="49"/>
  <c r="AT35" i="49"/>
  <c r="AI42" i="49"/>
  <c r="AI39" i="49"/>
  <c r="AI48" i="49"/>
  <c r="AI40" i="49"/>
  <c r="AI47" i="49"/>
  <c r="AI50" i="49"/>
  <c r="A88" i="43"/>
  <c r="AI98" i="50"/>
  <c r="AI48" i="50"/>
  <c r="AI91" i="50"/>
  <c r="AI112" i="50"/>
  <c r="AI43" i="49"/>
  <c r="AI37" i="49"/>
  <c r="AI45" i="49"/>
  <c r="AI53" i="49"/>
  <c r="AI88" i="49"/>
  <c r="AI96" i="49"/>
  <c r="AI104" i="49"/>
  <c r="AI112" i="49"/>
  <c r="AI103" i="43"/>
  <c r="AI104" i="43"/>
  <c r="AI109" i="43"/>
  <c r="AI93" i="43"/>
  <c r="AI94" i="43"/>
  <c r="AI110" i="43"/>
  <c r="AI95" i="43"/>
  <c r="AI96" i="43"/>
  <c r="AI111" i="43"/>
  <c r="AI112" i="43"/>
  <c r="AI98" i="43"/>
  <c r="AI114" i="43"/>
  <c r="AI115" i="43"/>
  <c r="AI51" i="43"/>
  <c r="AI37" i="43"/>
  <c r="B62" i="43"/>
  <c r="BA112" i="43" l="1"/>
  <c r="BA104" i="50"/>
  <c r="BA112" i="50"/>
  <c r="A116" i="50"/>
  <c r="A55" i="50"/>
  <c r="A55" i="49"/>
  <c r="BA88" i="49"/>
  <c r="AG88" i="49" s="1"/>
  <c r="BA47" i="50"/>
  <c r="AG47" i="50" s="1"/>
  <c r="BB47" i="50"/>
  <c r="BB88" i="49"/>
  <c r="A116" i="49"/>
  <c r="BC101" i="43"/>
  <c r="BA104" i="43"/>
  <c r="BA110" i="49"/>
  <c r="BB51" i="49"/>
  <c r="BC46" i="43"/>
  <c r="BC39" i="50"/>
  <c r="BB112" i="50"/>
  <c r="BA39" i="43"/>
  <c r="BC100" i="43"/>
  <c r="BC45" i="43"/>
  <c r="BC54" i="43"/>
  <c r="BC111" i="43"/>
  <c r="BC110" i="50"/>
  <c r="BA105" i="50"/>
  <c r="BC105" i="50"/>
  <c r="BB105" i="50"/>
  <c r="BC96" i="50"/>
  <c r="BC52" i="50"/>
  <c r="BB95" i="49"/>
  <c r="BA94" i="49"/>
  <c r="BC94" i="49"/>
  <c r="BA93" i="49"/>
  <c r="BC93" i="49"/>
  <c r="BB93" i="49"/>
  <c r="BC113" i="50"/>
  <c r="BA113" i="50"/>
  <c r="BB113" i="50"/>
  <c r="BC104" i="50"/>
  <c r="BC99" i="50"/>
  <c r="BA99" i="50"/>
  <c r="BB99" i="50"/>
  <c r="BC35" i="50"/>
  <c r="BB108" i="50"/>
  <c r="BA108" i="50"/>
  <c r="BB95" i="50"/>
  <c r="BA95" i="50"/>
  <c r="BB88" i="50"/>
  <c r="BA44" i="50"/>
  <c r="BB44" i="50"/>
  <c r="BB37" i="50"/>
  <c r="BA37" i="50"/>
  <c r="BC102" i="49"/>
  <c r="BC115" i="50"/>
  <c r="BB115" i="50"/>
  <c r="BA115" i="50"/>
  <c r="BC101" i="50"/>
  <c r="BA97" i="50"/>
  <c r="BB97" i="50"/>
  <c r="BC97" i="50"/>
  <c r="BA96" i="50"/>
  <c r="BC51" i="50"/>
  <c r="BB39" i="50"/>
  <c r="BC38" i="50"/>
  <c r="BA109" i="49"/>
  <c r="BB109" i="49"/>
  <c r="BC109" i="49"/>
  <c r="BB92" i="49"/>
  <c r="BA92" i="49"/>
  <c r="BC92" i="49"/>
  <c r="BA91" i="49"/>
  <c r="BB91" i="49"/>
  <c r="BC91" i="49"/>
  <c r="BC41" i="49"/>
  <c r="BA49" i="49"/>
  <c r="BB104" i="43"/>
  <c r="BC53" i="43"/>
  <c r="BB92" i="50"/>
  <c r="BA92" i="50"/>
  <c r="BB35" i="50"/>
  <c r="BA35" i="50"/>
  <c r="BC54" i="50"/>
  <c r="BC53" i="50"/>
  <c r="BC47" i="50"/>
  <c r="BB112" i="49"/>
  <c r="BB106" i="49"/>
  <c r="BA106" i="49"/>
  <c r="BC106" i="49"/>
  <c r="BC88" i="49"/>
  <c r="BC114" i="50"/>
  <c r="BB114" i="50"/>
  <c r="BA114" i="50"/>
  <c r="BC107" i="50"/>
  <c r="BA107" i="50"/>
  <c r="BB107" i="50"/>
  <c r="BA101" i="50"/>
  <c r="BB101" i="50"/>
  <c r="BC93" i="50"/>
  <c r="BB38" i="50"/>
  <c r="BA38" i="50"/>
  <c r="BB114" i="49"/>
  <c r="BA114" i="49"/>
  <c r="BC114" i="49"/>
  <c r="BA107" i="49"/>
  <c r="BC107" i="49"/>
  <c r="BB107" i="49"/>
  <c r="BB103" i="49"/>
  <c r="BC103" i="49"/>
  <c r="BB90" i="49"/>
  <c r="BA90" i="49"/>
  <c r="BC90" i="49"/>
  <c r="BA103" i="50"/>
  <c r="BB103" i="50"/>
  <c r="BB96" i="50"/>
  <c r="BA39" i="50"/>
  <c r="BB111" i="49"/>
  <c r="BA111" i="49"/>
  <c r="BB104" i="49"/>
  <c r="BA104" i="49"/>
  <c r="BA102" i="49"/>
  <c r="BA96" i="43"/>
  <c r="BB111" i="50"/>
  <c r="BA111" i="50"/>
  <c r="BB104" i="50"/>
  <c r="BC103" i="50"/>
  <c r="BC91" i="50"/>
  <c r="BA91" i="50"/>
  <c r="BB91" i="50"/>
  <c r="BA53" i="50"/>
  <c r="BB53" i="50"/>
  <c r="BC46" i="50"/>
  <c r="BC112" i="49"/>
  <c r="BA112" i="49"/>
  <c r="BB110" i="49"/>
  <c r="BC105" i="49"/>
  <c r="BA105" i="49"/>
  <c r="BB105" i="49"/>
  <c r="BC111" i="50"/>
  <c r="BC106" i="50"/>
  <c r="BA106" i="50"/>
  <c r="BB106" i="50"/>
  <c r="BB94" i="50"/>
  <c r="BA94" i="50"/>
  <c r="BA93" i="50"/>
  <c r="BB93" i="50"/>
  <c r="BC92" i="50"/>
  <c r="BA48" i="50"/>
  <c r="AG48" i="50" s="1"/>
  <c r="BC48" i="50"/>
  <c r="BB48" i="50"/>
  <c r="BC42" i="50"/>
  <c r="BA42" i="50"/>
  <c r="BB42" i="50"/>
  <c r="BC113" i="49"/>
  <c r="BB113" i="49"/>
  <c r="BA113" i="49"/>
  <c r="BC95" i="49"/>
  <c r="BC89" i="49"/>
  <c r="BA89" i="49"/>
  <c r="BB89" i="49"/>
  <c r="BA102" i="50"/>
  <c r="BB102" i="50"/>
  <c r="BC100" i="50"/>
  <c r="BC94" i="50"/>
  <c r="BA89" i="50"/>
  <c r="BB89" i="50"/>
  <c r="BC89" i="50"/>
  <c r="BC50" i="50"/>
  <c r="BB50" i="50"/>
  <c r="BA50" i="50"/>
  <c r="BC43" i="50"/>
  <c r="BC36" i="50"/>
  <c r="BB110" i="50"/>
  <c r="BA110" i="50"/>
  <c r="BA109" i="50"/>
  <c r="BB109" i="50"/>
  <c r="BC108" i="50"/>
  <c r="BC102" i="50"/>
  <c r="BA52" i="50"/>
  <c r="BB52" i="50"/>
  <c r="BB45" i="50"/>
  <c r="BA45" i="50"/>
  <c r="AG45" i="50" s="1"/>
  <c r="BC37" i="50"/>
  <c r="BA115" i="49"/>
  <c r="BC115" i="49"/>
  <c r="BB115" i="49"/>
  <c r="BC110" i="49"/>
  <c r="BA103" i="49"/>
  <c r="BC43" i="43"/>
  <c r="BC37" i="43"/>
  <c r="BC109" i="50"/>
  <c r="BC98" i="50"/>
  <c r="BB98" i="50"/>
  <c r="BA98" i="50"/>
  <c r="BA54" i="50"/>
  <c r="BB54" i="50"/>
  <c r="BC45" i="50"/>
  <c r="BC41" i="50"/>
  <c r="BA41" i="50"/>
  <c r="BB41" i="50"/>
  <c r="BC40" i="50"/>
  <c r="BB40" i="50"/>
  <c r="BA40" i="50"/>
  <c r="BC111" i="49"/>
  <c r="BC104" i="49"/>
  <c r="BB100" i="50"/>
  <c r="BA100" i="50"/>
  <c r="BC49" i="50"/>
  <c r="BB49" i="50"/>
  <c r="BA49" i="50"/>
  <c r="BB43" i="50"/>
  <c r="BA43" i="50"/>
  <c r="AG43" i="50" s="1"/>
  <c r="BA36" i="50"/>
  <c r="BB36" i="50"/>
  <c r="BA95" i="49"/>
  <c r="BB94" i="49"/>
  <c r="BC112" i="50"/>
  <c r="BA88" i="50"/>
  <c r="BC88" i="50"/>
  <c r="BB51" i="50"/>
  <c r="BA51" i="50"/>
  <c r="AG51" i="50" s="1"/>
  <c r="BA108" i="49"/>
  <c r="BB108" i="49"/>
  <c r="BC108" i="49"/>
  <c r="BA101" i="49"/>
  <c r="BB101" i="49"/>
  <c r="BC101" i="49"/>
  <c r="BC95" i="50"/>
  <c r="BA90" i="50"/>
  <c r="BB90" i="50"/>
  <c r="BC90" i="50"/>
  <c r="BB46" i="50"/>
  <c r="BA46" i="50"/>
  <c r="AG46" i="50" s="1"/>
  <c r="BC44" i="50"/>
  <c r="BB102" i="49"/>
  <c r="BC35" i="43"/>
  <c r="BB92" i="43"/>
  <c r="BA92" i="43"/>
  <c r="BC115" i="43"/>
  <c r="BB115" i="43"/>
  <c r="BA115" i="43"/>
  <c r="AG115" i="43" s="1"/>
  <c r="BC39" i="43"/>
  <c r="BC49" i="43"/>
  <c r="BA49" i="43"/>
  <c r="BB49" i="43"/>
  <c r="BB43" i="43"/>
  <c r="BA43" i="43"/>
  <c r="BC90" i="43"/>
  <c r="BA90" i="43"/>
  <c r="AG90" i="43" s="1"/>
  <c r="BB90" i="43"/>
  <c r="BB102" i="43"/>
  <c r="BA102" i="43"/>
  <c r="BC113" i="43"/>
  <c r="BA113" i="43"/>
  <c r="AG113" i="43" s="1"/>
  <c r="BB113" i="43"/>
  <c r="BB95" i="43"/>
  <c r="BA95" i="43"/>
  <c r="AG95" i="43" s="1"/>
  <c r="BC110" i="43"/>
  <c r="BC95" i="43"/>
  <c r="BA105" i="43"/>
  <c r="BB105" i="43"/>
  <c r="BC105" i="43"/>
  <c r="BB108" i="43"/>
  <c r="BA108" i="43"/>
  <c r="BC112" i="43"/>
  <c r="BB98" i="43"/>
  <c r="BC98" i="43"/>
  <c r="BA98" i="43"/>
  <c r="BB96" i="43"/>
  <c r="BC89" i="43"/>
  <c r="BA89" i="43"/>
  <c r="BB89" i="43"/>
  <c r="BC97" i="43"/>
  <c r="BA97" i="43"/>
  <c r="BB97" i="43"/>
  <c r="BC36" i="43"/>
  <c r="BB100" i="43"/>
  <c r="BA100" i="43"/>
  <c r="BC93" i="43"/>
  <c r="BC94" i="43"/>
  <c r="BB51" i="43"/>
  <c r="BA51" i="43"/>
  <c r="BA52" i="43"/>
  <c r="BB52" i="43"/>
  <c r="BA48" i="43"/>
  <c r="BB48" i="43"/>
  <c r="BC48" i="43"/>
  <c r="BB112" i="43"/>
  <c r="BC108" i="43"/>
  <c r="BC91" i="43"/>
  <c r="BA91" i="43"/>
  <c r="BB91" i="43"/>
  <c r="BB94" i="43"/>
  <c r="BA94" i="43"/>
  <c r="BB35" i="43"/>
  <c r="BA35" i="43"/>
  <c r="BC44" i="43"/>
  <c r="BC47" i="43"/>
  <c r="BC96" i="43"/>
  <c r="BA53" i="43"/>
  <c r="BB53" i="43"/>
  <c r="BC102" i="43"/>
  <c r="BC114" i="43"/>
  <c r="BA114" i="43"/>
  <c r="BB114" i="43"/>
  <c r="BA101" i="43"/>
  <c r="BB101" i="43"/>
  <c r="BA109" i="43"/>
  <c r="AG109" i="43" s="1"/>
  <c r="BB109" i="43"/>
  <c r="BC50" i="43"/>
  <c r="BA50" i="43"/>
  <c r="BB50" i="43"/>
  <c r="BC104" i="43"/>
  <c r="BC51" i="43"/>
  <c r="BB45" i="43"/>
  <c r="BA45" i="43"/>
  <c r="BB46" i="43"/>
  <c r="BA46" i="43"/>
  <c r="BA47" i="43"/>
  <c r="AG47" i="43" s="1"/>
  <c r="BA36" i="43"/>
  <c r="BB36" i="43"/>
  <c r="BB39" i="43"/>
  <c r="BA93" i="43"/>
  <c r="BB93" i="43"/>
  <c r="BC92" i="43"/>
  <c r="BB41" i="43"/>
  <c r="BA41" i="43"/>
  <c r="BC41" i="43"/>
  <c r="BC42" i="43"/>
  <c r="BA42" i="43"/>
  <c r="BB42" i="43"/>
  <c r="BB103" i="43"/>
  <c r="BA103" i="43"/>
  <c r="AG103" i="43" s="1"/>
  <c r="BB37" i="43"/>
  <c r="BA37" i="43"/>
  <c r="AG37" i="43" s="1"/>
  <c r="BC103" i="43"/>
  <c r="BA44" i="43"/>
  <c r="BB44" i="43"/>
  <c r="BB38" i="43"/>
  <c r="BA38" i="43"/>
  <c r="BA110" i="43"/>
  <c r="BB110" i="43"/>
  <c r="BC38" i="43"/>
  <c r="BC107" i="43"/>
  <c r="BB107" i="43"/>
  <c r="BA107" i="43"/>
  <c r="BC109" i="43"/>
  <c r="BA54" i="43"/>
  <c r="BB54" i="43"/>
  <c r="BC99" i="43"/>
  <c r="BB99" i="43"/>
  <c r="BA99" i="43"/>
  <c r="BB106" i="43"/>
  <c r="BA106" i="43"/>
  <c r="BC106" i="43"/>
  <c r="BA111" i="43"/>
  <c r="BB111" i="43"/>
  <c r="BC52" i="43"/>
  <c r="BC40" i="43"/>
  <c r="BA40" i="43"/>
  <c r="BB40" i="43"/>
  <c r="BB47" i="43"/>
  <c r="BC97" i="49"/>
  <c r="BB97" i="49"/>
  <c r="BA97" i="49"/>
  <c r="BB98" i="49"/>
  <c r="BA98" i="49"/>
  <c r="BC98" i="49"/>
  <c r="BA99" i="49"/>
  <c r="BB99" i="49"/>
  <c r="BC99" i="49"/>
  <c r="BA38" i="49"/>
  <c r="BC38" i="49"/>
  <c r="BB38" i="49"/>
  <c r="AG38" i="49" s="1"/>
  <c r="BC52" i="49"/>
  <c r="BA52" i="49"/>
  <c r="AG52" i="49" s="1"/>
  <c r="BB52" i="49"/>
  <c r="BC50" i="49"/>
  <c r="BB50" i="49"/>
  <c r="BC49" i="49"/>
  <c r="BB49" i="49"/>
  <c r="AG49" i="49" s="1"/>
  <c r="BB43" i="49"/>
  <c r="BC36" i="49"/>
  <c r="BA36" i="49"/>
  <c r="AG36" i="49" s="1"/>
  <c r="BB36" i="49"/>
  <c r="BB42" i="49"/>
  <c r="BA54" i="49"/>
  <c r="BB54" i="49"/>
  <c r="BC54" i="49"/>
  <c r="BC43" i="49"/>
  <c r="BA43" i="49"/>
  <c r="AG43" i="49" s="1"/>
  <c r="BA50" i="49"/>
  <c r="BA47" i="49"/>
  <c r="BC47" i="49"/>
  <c r="BB47" i="49"/>
  <c r="BA40" i="49"/>
  <c r="BC40" i="49"/>
  <c r="BB40" i="49"/>
  <c r="AG40" i="49" s="1"/>
  <c r="BA41" i="49"/>
  <c r="BA42" i="49"/>
  <c r="BC51" i="49"/>
  <c r="BA51" i="49"/>
  <c r="BA39" i="49"/>
  <c r="BC39" i="49"/>
  <c r="BB39" i="49"/>
  <c r="BB41" i="49"/>
  <c r="BA48" i="49"/>
  <c r="BC48" i="49"/>
  <c r="BB48" i="49"/>
  <c r="BA46" i="49"/>
  <c r="BB46" i="49"/>
  <c r="BC46" i="49"/>
  <c r="BB45" i="49"/>
  <c r="BA45" i="49"/>
  <c r="BC45" i="49"/>
  <c r="AG45" i="49" s="1"/>
  <c r="BC44" i="49"/>
  <c r="BB44" i="49"/>
  <c r="BA44" i="49"/>
  <c r="BC42" i="49"/>
  <c r="BB53" i="49"/>
  <c r="BA53" i="49"/>
  <c r="BC53" i="49"/>
  <c r="BB37" i="49"/>
  <c r="BA37" i="49"/>
  <c r="BC37" i="49"/>
  <c r="BA100" i="49"/>
  <c r="BB100" i="49"/>
  <c r="BC100" i="49"/>
  <c r="BC96" i="49"/>
  <c r="BA96" i="49"/>
  <c r="BB96" i="49"/>
  <c r="AG51" i="49"/>
  <c r="BB35" i="49"/>
  <c r="BC35" i="49"/>
  <c r="BA35" i="49"/>
  <c r="M31" i="6"/>
  <c r="M51" i="6"/>
  <c r="M45" i="6"/>
  <c r="M46" i="6"/>
  <c r="Q116" i="50" l="1"/>
  <c r="AH43" i="6" s="1"/>
  <c r="H42" i="6" s="1"/>
  <c r="AB43" i="6"/>
  <c r="AD43" i="6" s="1"/>
  <c r="AG88" i="50"/>
  <c r="AG69" i="50" s="1"/>
  <c r="AG35" i="49"/>
  <c r="AG114" i="43"/>
  <c r="AG110" i="43"/>
  <c r="AG108" i="43"/>
  <c r="AG111" i="43"/>
  <c r="AG112" i="43"/>
  <c r="AG98" i="43"/>
  <c r="AG93" i="43"/>
  <c r="AG91" i="43"/>
  <c r="AG99" i="43"/>
  <c r="AG89" i="43"/>
  <c r="AG94" i="43"/>
  <c r="AG100" i="43"/>
  <c r="AG92" i="43"/>
  <c r="AG104" i="43"/>
  <c r="AG105" i="43"/>
  <c r="AG102" i="43"/>
  <c r="AG106" i="43"/>
  <c r="AG107" i="43"/>
  <c r="AG101" i="43"/>
  <c r="AG97" i="43"/>
  <c r="AG96" i="43"/>
  <c r="AG36" i="43"/>
  <c r="AG40" i="43"/>
  <c r="AG46" i="43"/>
  <c r="AG45" i="43"/>
  <c r="AG42" i="43"/>
  <c r="AG35" i="43"/>
  <c r="AG42" i="50"/>
  <c r="AG41" i="50"/>
  <c r="AG36" i="50"/>
  <c r="AG38" i="50"/>
  <c r="AG37" i="50"/>
  <c r="AG39" i="50"/>
  <c r="AG40" i="50"/>
  <c r="AG54" i="50"/>
  <c r="AG52" i="50"/>
  <c r="AG49" i="50"/>
  <c r="AG50" i="50"/>
  <c r="AG53" i="50"/>
  <c r="AG44" i="50"/>
  <c r="AC55" i="50"/>
  <c r="AW23" i="6" s="1"/>
  <c r="AB23" i="6"/>
  <c r="AA55" i="50"/>
  <c r="AR23" i="6" s="1"/>
  <c r="AG35" i="50"/>
  <c r="AG41" i="49"/>
  <c r="AG53" i="49"/>
  <c r="AG54" i="49"/>
  <c r="AG46" i="49"/>
  <c r="AG39" i="49"/>
  <c r="AG44" i="49"/>
  <c r="AG42" i="49"/>
  <c r="AG50" i="49"/>
  <c r="AG48" i="49"/>
  <c r="AA55" i="49"/>
  <c r="AQ21" i="6" s="1"/>
  <c r="K20" i="6" s="1"/>
  <c r="AA21" i="6"/>
  <c r="AD21" i="6" s="1"/>
  <c r="AG50" i="43"/>
  <c r="AG43" i="43"/>
  <c r="AG41" i="43"/>
  <c r="AG49" i="43"/>
  <c r="AG39" i="43"/>
  <c r="AG48" i="43"/>
  <c r="AG38" i="43"/>
  <c r="AG53" i="43"/>
  <c r="AG52" i="43"/>
  <c r="AG54" i="43"/>
  <c r="AG44" i="43"/>
  <c r="AA19" i="6"/>
  <c r="U116" i="50"/>
  <c r="AM43" i="6" s="1"/>
  <c r="J42" i="6" s="1"/>
  <c r="AA116" i="50"/>
  <c r="AR43" i="6" s="1"/>
  <c r="K42" i="6" s="1"/>
  <c r="AC116" i="50"/>
  <c r="AW43" i="6" s="1"/>
  <c r="N42" i="6" s="1"/>
  <c r="U55" i="49"/>
  <c r="AL19" i="6" s="1"/>
  <c r="Q55" i="49"/>
  <c r="AG19" i="6" s="1"/>
  <c r="AC55" i="49"/>
  <c r="Q55" i="50"/>
  <c r="AH23" i="6" s="1"/>
  <c r="U55" i="50"/>
  <c r="AM23" i="6" s="1"/>
  <c r="AA41" i="6"/>
  <c r="AA116" i="49"/>
  <c r="AQ41" i="6" s="1"/>
  <c r="Q116" i="49"/>
  <c r="AG41" i="6" s="1"/>
  <c r="U116" i="49"/>
  <c r="AL41" i="6" s="1"/>
  <c r="AC116" i="49"/>
  <c r="AV41" i="6" s="1"/>
  <c r="AQ19" i="6"/>
  <c r="AG37" i="49"/>
  <c r="AG51" i="43"/>
  <c r="AG100" i="49"/>
  <c r="AG69" i="49" s="1"/>
  <c r="AG47" i="49"/>
  <c r="K43" i="6" l="1"/>
  <c r="J43" i="6"/>
  <c r="H43" i="6"/>
  <c r="AG16" i="50"/>
  <c r="AL21" i="6"/>
  <c r="J20" i="6" s="1"/>
  <c r="J21" i="6" s="1"/>
  <c r="AV19" i="6"/>
  <c r="AV21" i="6"/>
  <c r="N20" i="6" s="1"/>
  <c r="K21" i="6"/>
  <c r="AG21" i="6"/>
  <c r="H20" i="6" s="1"/>
  <c r="H21" i="6" s="1"/>
  <c r="AG16" i="49"/>
  <c r="N43" i="6" l="1"/>
  <c r="N21" i="6"/>
  <c r="T25" i="5"/>
  <c r="C59" i="15" l="1"/>
  <c r="C60" i="15"/>
  <c r="N20" i="30" l="1"/>
  <c r="M20" i="30"/>
  <c r="N11" i="30"/>
  <c r="M11" i="30"/>
  <c r="D65" i="30"/>
  <c r="T114" i="5"/>
  <c r="T45" i="5" s="1"/>
  <c r="T47" i="5" s="1"/>
  <c r="E44" i="15"/>
  <c r="D23" i="15"/>
  <c r="D22" i="15"/>
  <c r="D21" i="15"/>
  <c r="D20" i="15"/>
  <c r="D25" i="15"/>
  <c r="E31" i="14"/>
  <c r="M125" i="33"/>
  <c r="M88" i="6"/>
  <c r="M77" i="6"/>
  <c r="M59" i="6"/>
  <c r="M47" i="6"/>
  <c r="M49" i="6"/>
  <c r="AB5" i="43"/>
  <c r="H42" i="5"/>
  <c r="H41" i="5"/>
  <c r="H39" i="5"/>
  <c r="H36" i="5"/>
  <c r="H35" i="5"/>
  <c r="C18" i="5"/>
  <c r="C19" i="5"/>
  <c r="C68" i="4"/>
  <c r="D70" i="4"/>
  <c r="D67" i="4"/>
  <c r="D44" i="4"/>
  <c r="AB37" i="2"/>
  <c r="AH54" i="2"/>
  <c r="B55" i="2"/>
  <c r="M23" i="30"/>
  <c r="N23" i="30"/>
  <c r="D74" i="30"/>
  <c r="D77" i="30"/>
  <c r="L5" i="33"/>
  <c r="M63" i="33"/>
  <c r="B65" i="33"/>
  <c r="D86" i="33"/>
  <c r="D87" i="33"/>
  <c r="D88" i="33"/>
  <c r="P3" i="12"/>
  <c r="E47" i="12"/>
  <c r="O6" i="12"/>
  <c r="O8" i="12"/>
  <c r="D52" i="12"/>
  <c r="D53" i="12"/>
  <c r="O10" i="12"/>
  <c r="D54" i="12"/>
  <c r="O12" i="12"/>
  <c r="O14" i="12"/>
  <c r="C24" i="13"/>
  <c r="D27" i="13"/>
  <c r="D29" i="13"/>
  <c r="B42" i="13"/>
  <c r="K68" i="13"/>
  <c r="G76" i="13"/>
  <c r="J76" i="13"/>
  <c r="D79" i="13"/>
  <c r="D80" i="13"/>
  <c r="D81" i="13"/>
  <c r="D82" i="13"/>
  <c r="D83" i="13"/>
  <c r="G84" i="13"/>
  <c r="J84" i="13"/>
  <c r="D89" i="13"/>
  <c r="D90" i="13"/>
  <c r="D91" i="13"/>
  <c r="D92" i="13"/>
  <c r="D93" i="13"/>
  <c r="I15" i="14"/>
  <c r="I17" i="14"/>
  <c r="I18" i="14"/>
  <c r="I25" i="14"/>
  <c r="E28" i="14"/>
  <c r="I31" i="14"/>
  <c r="I40" i="14"/>
  <c r="D41" i="14"/>
  <c r="H42" i="14"/>
  <c r="I42" i="14"/>
  <c r="I51" i="14"/>
  <c r="E53" i="14"/>
  <c r="G6" i="15"/>
  <c r="D15" i="15"/>
  <c r="P18" i="15"/>
  <c r="P19" i="15"/>
  <c r="AA20" i="15"/>
  <c r="AA21" i="15"/>
  <c r="AA22" i="15"/>
  <c r="AA23" i="15"/>
  <c r="E39" i="15"/>
  <c r="G41" i="15"/>
  <c r="E46" i="15"/>
  <c r="Q46" i="15"/>
  <c r="G49" i="15"/>
  <c r="D61" i="15"/>
  <c r="D63" i="15"/>
  <c r="H74" i="15"/>
  <c r="H84" i="15"/>
  <c r="H85" i="15"/>
  <c r="G87" i="15"/>
  <c r="G88" i="15"/>
  <c r="Q91" i="15"/>
  <c r="L95" i="15"/>
  <c r="Q95" i="15"/>
  <c r="N11" i="3"/>
  <c r="N49" i="3"/>
  <c r="L51" i="3"/>
  <c r="L53" i="3"/>
  <c r="L54" i="3"/>
  <c r="D55" i="3"/>
  <c r="N55" i="3"/>
  <c r="N61" i="3"/>
  <c r="I43" i="4"/>
  <c r="AC38" i="2" s="1"/>
  <c r="I66" i="4"/>
  <c r="AC39" i="2" s="1"/>
  <c r="D80" i="4"/>
  <c r="R3" i="5"/>
  <c r="H31" i="5"/>
  <c r="S31" i="5"/>
  <c r="S32" i="5"/>
  <c r="H33" i="5"/>
  <c r="H34" i="5"/>
  <c r="S36" i="5"/>
  <c r="U64" i="5"/>
  <c r="T81" i="5"/>
  <c r="T86" i="5" s="1"/>
  <c r="T26" i="5" s="1"/>
  <c r="C93" i="5"/>
  <c r="M3" i="6"/>
  <c r="B25" i="6"/>
  <c r="M25" i="6" s="1"/>
  <c r="B26" i="6"/>
  <c r="M27" i="6" s="1"/>
  <c r="B28" i="6"/>
  <c r="M29" i="6" s="1"/>
  <c r="S92" i="6"/>
  <c r="D89" i="6"/>
  <c r="S48" i="37"/>
  <c r="M47" i="37"/>
  <c r="S50" i="37"/>
  <c r="M50" i="37"/>
  <c r="N50" i="37"/>
  <c r="S51" i="37"/>
  <c r="S52" i="37"/>
  <c r="M53" i="37"/>
  <c r="M54" i="37"/>
  <c r="M56" i="37"/>
  <c r="O74" i="37"/>
  <c r="K76" i="37"/>
  <c r="I79" i="37"/>
  <c r="K80" i="37"/>
  <c r="M81" i="37"/>
  <c r="K82" i="37"/>
  <c r="K83" i="37"/>
  <c r="M84" i="37"/>
  <c r="K85" i="37"/>
  <c r="M86" i="37"/>
  <c r="K87" i="37"/>
  <c r="O88" i="37"/>
  <c r="O89" i="37"/>
  <c r="E91" i="37"/>
  <c r="E92" i="37"/>
  <c r="K92" i="37"/>
  <c r="E93" i="37"/>
  <c r="M94" i="37"/>
  <c r="K95" i="37"/>
  <c r="K96" i="37"/>
  <c r="M102" i="37"/>
  <c r="M103" i="37"/>
  <c r="K105" i="37"/>
  <c r="K106" i="37"/>
  <c r="M107" i="37"/>
  <c r="O121" i="37"/>
  <c r="K123" i="37"/>
  <c r="I124" i="37"/>
  <c r="I125" i="37"/>
  <c r="K126" i="37"/>
  <c r="M127" i="37"/>
  <c r="O128" i="37"/>
  <c r="M130" i="37"/>
  <c r="M131" i="37"/>
  <c r="O132" i="37"/>
  <c r="O134" i="37"/>
  <c r="O135" i="37"/>
  <c r="O137" i="37"/>
  <c r="O141" i="37"/>
  <c r="W3" i="23"/>
  <c r="B5" i="23"/>
  <c r="C3" i="40"/>
  <c r="C4" i="40"/>
  <c r="C5" i="40"/>
  <c r="D5" i="40"/>
  <c r="C8" i="40"/>
  <c r="C9" i="40"/>
  <c r="C10" i="40"/>
  <c r="D10" i="40"/>
  <c r="G21" i="40" l="1"/>
  <c r="C25" i="1"/>
  <c r="G44" i="4"/>
  <c r="G67" i="4"/>
  <c r="M13" i="30"/>
  <c r="M4" i="30"/>
  <c r="C78" i="1"/>
  <c r="C72" i="1"/>
  <c r="C65" i="1"/>
  <c r="C73" i="1"/>
  <c r="C81" i="1"/>
  <c r="C75" i="1"/>
  <c r="C71" i="1"/>
  <c r="C80" i="1"/>
  <c r="C74" i="1"/>
  <c r="C70" i="1"/>
  <c r="C67" i="1"/>
  <c r="C69" i="1"/>
  <c r="C66" i="1"/>
  <c r="C62" i="1"/>
  <c r="C68" i="1"/>
  <c r="C79" i="1"/>
  <c r="C64" i="1"/>
  <c r="C60" i="1"/>
  <c r="I74" i="15" s="1"/>
  <c r="C61" i="1"/>
  <c r="Y67" i="2" s="1"/>
  <c r="L84" i="13"/>
  <c r="Q60" i="15"/>
  <c r="L60" i="15"/>
  <c r="O15" i="12"/>
  <c r="R29" i="12" s="1"/>
  <c r="T27" i="5"/>
  <c r="T29" i="5" s="1"/>
  <c r="T48" i="5" s="1"/>
  <c r="AA52" i="5" s="1"/>
  <c r="AA54" i="5" s="1"/>
  <c r="AA56" i="5" s="1"/>
  <c r="AA63" i="5" s="1"/>
  <c r="L90" i="15"/>
  <c r="AG16" i="43"/>
  <c r="A116" i="43"/>
  <c r="A55" i="43"/>
  <c r="AM24" i="97" l="1"/>
  <c r="I22" i="40"/>
  <c r="G14" i="14"/>
  <c r="AL33" i="91"/>
  <c r="AM34" i="91" s="1"/>
  <c r="AL35" i="91" s="1"/>
  <c r="AL137" i="91"/>
  <c r="AM138" i="91" s="1"/>
  <c r="AM46" i="23"/>
  <c r="AM105" i="23" s="1"/>
  <c r="AM44" i="23"/>
  <c r="AM103" i="23" s="1"/>
  <c r="D62" i="30"/>
  <c r="J53" i="12"/>
  <c r="L29" i="12"/>
  <c r="J50" i="13"/>
  <c r="J51" i="13" s="1"/>
  <c r="J54" i="13" s="1"/>
  <c r="J57" i="13" s="1"/>
  <c r="L58" i="13" s="1"/>
  <c r="L62" i="13" s="1"/>
  <c r="Q55" i="43"/>
  <c r="AF19" i="6" s="1"/>
  <c r="H18" i="6" s="1"/>
  <c r="Z19" i="6"/>
  <c r="AD19" i="6" s="1"/>
  <c r="D59" i="30"/>
  <c r="E59" i="30"/>
  <c r="AC41" i="2" s="1"/>
  <c r="D25" i="1"/>
  <c r="I25" i="1" s="1"/>
  <c r="AC116" i="43"/>
  <c r="AU39" i="6" s="1"/>
  <c r="N38" i="6" s="1"/>
  <c r="Z39" i="6"/>
  <c r="AD39" i="6" s="1"/>
  <c r="M81" i="59"/>
  <c r="M86" i="59" s="1"/>
  <c r="Z23" i="6"/>
  <c r="AD23" i="6" s="1"/>
  <c r="U55" i="43"/>
  <c r="AC55" i="43"/>
  <c r="AU19" i="6" s="1"/>
  <c r="N18" i="6" s="1"/>
  <c r="AA55" i="43"/>
  <c r="Z41" i="6"/>
  <c r="AD41" i="6" s="1"/>
  <c r="U116" i="43"/>
  <c r="Q116" i="43"/>
  <c r="AA116" i="43"/>
  <c r="D61" i="30"/>
  <c r="D63" i="30"/>
  <c r="D78" i="30"/>
  <c r="BA122" i="2"/>
  <c r="AY14" i="2" s="1"/>
  <c r="E68" i="30"/>
  <c r="D68" i="30"/>
  <c r="E76" i="30"/>
  <c r="D76" i="30"/>
  <c r="E61" i="30"/>
  <c r="D58" i="30"/>
  <c r="E58" i="30"/>
  <c r="E69" i="30"/>
  <c r="D69" i="30"/>
  <c r="D64" i="30"/>
  <c r="E64" i="30"/>
  <c r="D73" i="30"/>
  <c r="E73" i="30"/>
  <c r="D75" i="30"/>
  <c r="E75" i="30"/>
  <c r="E70" i="30"/>
  <c r="D70" i="30"/>
  <c r="L9" i="63"/>
  <c r="J15" i="63" s="1"/>
  <c r="E67" i="30"/>
  <c r="D67" i="30"/>
  <c r="O5" i="12"/>
  <c r="L26" i="12" s="1"/>
  <c r="E63" i="30"/>
  <c r="AU41" i="6"/>
  <c r="N40" i="6" s="1"/>
  <c r="AU23" i="6"/>
  <c r="N22" i="6" s="1"/>
  <c r="AF23" i="6"/>
  <c r="H22" i="6" s="1"/>
  <c r="AG69" i="43"/>
  <c r="AE142" i="91" l="1"/>
  <c r="AE25" i="97"/>
  <c r="AE33" i="97" s="1"/>
  <c r="AE45" i="97" s="1"/>
  <c r="X49" i="91"/>
  <c r="Q50" i="91" s="1"/>
  <c r="AE38" i="91"/>
  <c r="X153" i="91"/>
  <c r="AE176" i="91" s="1"/>
  <c r="AL38" i="2"/>
  <c r="N41" i="2" s="1"/>
  <c r="AM140" i="91"/>
  <c r="AM136" i="91"/>
  <c r="AL139" i="91"/>
  <c r="AM36" i="91"/>
  <c r="AM32" i="91"/>
  <c r="E62" i="30"/>
  <c r="Y68" i="2" s="1"/>
  <c r="AM33" i="23"/>
  <c r="O21" i="3"/>
  <c r="I58" i="30"/>
  <c r="C60" i="12"/>
  <c r="B60" i="12" s="1"/>
  <c r="C58" i="12"/>
  <c r="B58" i="12" s="1"/>
  <c r="C31" i="12"/>
  <c r="C33" i="12"/>
  <c r="J6" i="1"/>
  <c r="J63" i="1" s="1"/>
  <c r="AC41" i="80" s="1"/>
  <c r="M87" i="59"/>
  <c r="N42" i="2"/>
  <c r="C28" i="1"/>
  <c r="AX44" i="2"/>
  <c r="H23" i="6"/>
  <c r="J15" i="14"/>
  <c r="E78" i="30"/>
  <c r="L68" i="13"/>
  <c r="L71" i="13" s="1"/>
  <c r="AM18" i="2"/>
  <c r="AY123" i="2"/>
  <c r="AY124" i="2" s="1"/>
  <c r="R119" i="59"/>
  <c r="R101" i="59"/>
  <c r="J28" i="59"/>
  <c r="J20" i="63"/>
  <c r="AB43" i="2"/>
  <c r="AK19" i="6"/>
  <c r="AK23" i="6"/>
  <c r="J22" i="6" s="1"/>
  <c r="J23" i="6" s="1"/>
  <c r="AP19" i="6"/>
  <c r="AP23" i="6"/>
  <c r="K22" i="6" s="1"/>
  <c r="K23" i="6" s="1"/>
  <c r="AK39" i="6"/>
  <c r="AK41" i="6"/>
  <c r="J40" i="6" s="1"/>
  <c r="J41" i="6" s="1"/>
  <c r="AP41" i="6"/>
  <c r="K40" i="6" s="1"/>
  <c r="K41" i="6" s="1"/>
  <c r="AP39" i="6"/>
  <c r="AF39" i="6"/>
  <c r="AF41" i="6"/>
  <c r="H40" i="6" s="1"/>
  <c r="H41" i="6" s="1"/>
  <c r="H19" i="6"/>
  <c r="Q154" i="91" l="1"/>
  <c r="AE46" i="97"/>
  <c r="AE51" i="97" s="1"/>
  <c r="AE52" i="97" s="1"/>
  <c r="AE55" i="97" s="1"/>
  <c r="AE64" i="97"/>
  <c r="AE72" i="91"/>
  <c r="AL49" i="91"/>
  <c r="AL39" i="91" s="1"/>
  <c r="AE52" i="91"/>
  <c r="Z52" i="91" s="1"/>
  <c r="B62" i="12"/>
  <c r="L65" i="12" s="1"/>
  <c r="J37" i="12"/>
  <c r="L25" i="12"/>
  <c r="L74" i="12"/>
  <c r="J38" i="6"/>
  <c r="J39" i="6" s="1"/>
  <c r="K38" i="6"/>
  <c r="K39" i="6" s="1"/>
  <c r="H38" i="6"/>
  <c r="H39" i="6" s="1"/>
  <c r="K18" i="6"/>
  <c r="K19" i="6" s="1"/>
  <c r="J18" i="6"/>
  <c r="J19" i="6" s="1"/>
  <c r="O25" i="3"/>
  <c r="M25" i="3" s="1"/>
  <c r="O26" i="3" s="1"/>
  <c r="M28" i="3" s="1"/>
  <c r="S25" i="3"/>
  <c r="N23" i="6"/>
  <c r="N41" i="6"/>
  <c r="M91" i="59"/>
  <c r="M102" i="59"/>
  <c r="T53" i="5" l="1"/>
  <c r="T56" i="5" s="1"/>
  <c r="AK79" i="23" s="1"/>
  <c r="AK80" i="23" s="1"/>
  <c r="T167" i="5"/>
  <c r="T170" i="5" s="1"/>
  <c r="AE156" i="91"/>
  <c r="Z156" i="91" s="1"/>
  <c r="AL154" i="91"/>
  <c r="AL40" i="91"/>
  <c r="X56" i="91"/>
  <c r="AE59" i="91" s="1"/>
  <c r="AE64" i="91" s="1"/>
  <c r="X54" i="91"/>
  <c r="J8" i="87"/>
  <c r="J27" i="87"/>
  <c r="J26" i="87"/>
  <c r="J7" i="87"/>
  <c r="J65" i="12"/>
  <c r="J71" i="12" s="1"/>
  <c r="C75" i="12" s="1"/>
  <c r="C77" i="12" s="1"/>
  <c r="L77" i="12"/>
  <c r="L39" i="12"/>
  <c r="J38" i="12"/>
  <c r="N39" i="6"/>
  <c r="N51" i="6" s="1"/>
  <c r="N19" i="6"/>
  <c r="N31" i="6" s="1"/>
  <c r="N54" i="37" s="1"/>
  <c r="N56" i="37" s="1"/>
  <c r="M30" i="3"/>
  <c r="O33" i="3" s="1"/>
  <c r="AM28" i="58"/>
  <c r="Q22" i="15"/>
  <c r="R104" i="59"/>
  <c r="R106" i="59"/>
  <c r="R109" i="59" s="1"/>
  <c r="AJ39" i="2" s="1"/>
  <c r="S37" i="2" s="1"/>
  <c r="AE76" i="91" l="1"/>
  <c r="AM76" i="91" s="1"/>
  <c r="AL143" i="91"/>
  <c r="AL144" i="91"/>
  <c r="X160" i="91"/>
  <c r="AE163" i="91" s="1"/>
  <c r="AE168" i="91" s="1"/>
  <c r="AM159" i="91" s="1"/>
  <c r="X158" i="91"/>
  <c r="AK20" i="23"/>
  <c r="AK21" i="23" s="1"/>
  <c r="AL44" i="23"/>
  <c r="AL33" i="23" s="1"/>
  <c r="AN33" i="23" s="1"/>
  <c r="Y67" i="5"/>
  <c r="W58" i="5" s="1"/>
  <c r="AM45" i="23"/>
  <c r="AM104" i="23" s="1"/>
  <c r="Y179" i="5"/>
  <c r="J33" i="67"/>
  <c r="Y66" i="5"/>
  <c r="AC14" i="78" s="1"/>
  <c r="AE57" i="91"/>
  <c r="AE58" i="91" s="1"/>
  <c r="AM55" i="91"/>
  <c r="AC37" i="2"/>
  <c r="C43" i="12"/>
  <c r="J43" i="12" s="1"/>
  <c r="L79" i="12" s="1"/>
  <c r="AC11" i="78" s="1"/>
  <c r="C41" i="12"/>
  <c r="AB61" i="37"/>
  <c r="N59" i="6"/>
  <c r="AM29" i="58"/>
  <c r="AM27" i="58"/>
  <c r="R115" i="59"/>
  <c r="R117" i="59" s="1"/>
  <c r="R121" i="59" s="1"/>
  <c r="R43" i="59" s="1"/>
  <c r="A65" i="6" l="1"/>
  <c r="A63" i="6"/>
  <c r="A61" i="6"/>
  <c r="A69" i="6" s="1"/>
  <c r="O89" i="6"/>
  <c r="AC43" i="2" s="1"/>
  <c r="AE161" i="91"/>
  <c r="AE162" i="91" s="1"/>
  <c r="AE180" i="91"/>
  <c r="AM180" i="91" s="1"/>
  <c r="AC40" i="2" s="1"/>
  <c r="AL37" i="2" s="1"/>
  <c r="N40" i="2" s="1"/>
  <c r="AL92" i="23"/>
  <c r="AM92" i="23"/>
  <c r="X79" i="23" s="1"/>
  <c r="X80" i="23" s="1"/>
  <c r="X82" i="23" s="1"/>
  <c r="J28" i="98"/>
  <c r="R10" i="98"/>
  <c r="R51" i="33" s="1"/>
  <c r="X118" i="98"/>
  <c r="X120" i="98" s="1"/>
  <c r="W60" i="5"/>
  <c r="X20" i="23"/>
  <c r="X21" i="23" s="1"/>
  <c r="AL103" i="23"/>
  <c r="W59" i="5"/>
  <c r="Y68" i="5"/>
  <c r="Y180" i="5"/>
  <c r="W173" i="5"/>
  <c r="W174" i="5"/>
  <c r="W172" i="5"/>
  <c r="AE28" i="58"/>
  <c r="AT55" i="58" s="1"/>
  <c r="AC19" i="33"/>
  <c r="W68" i="37"/>
  <c r="S68" i="37" s="1"/>
  <c r="AA78" i="37"/>
  <c r="AA80" i="37" s="1"/>
  <c r="AA81" i="37" s="1"/>
  <c r="AC61" i="37"/>
  <c r="AC109" i="33"/>
  <c r="S93" i="6"/>
  <c r="A71" i="6" l="1"/>
  <c r="C71" i="6" s="1"/>
  <c r="C69" i="6"/>
  <c r="O88" i="6"/>
  <c r="AI54" i="78"/>
  <c r="AJ53" i="78" s="1"/>
  <c r="AK83" i="23"/>
  <c r="AK84" i="23"/>
  <c r="X85" i="23" s="1"/>
  <c r="AN92" i="23"/>
  <c r="C10" i="98"/>
  <c r="X121" i="98"/>
  <c r="X23" i="23"/>
  <c r="AK25" i="23" s="1"/>
  <c r="AE12" i="23"/>
  <c r="AB10" i="23" s="1"/>
  <c r="AJ40" i="2"/>
  <c r="AL39" i="2" s="1"/>
  <c r="W69" i="37"/>
  <c r="S69" i="37" s="1"/>
  <c r="W60" i="37"/>
  <c r="S66" i="37" s="1"/>
  <c r="N74" i="6" l="1"/>
  <c r="O79" i="6" s="1"/>
  <c r="A95" i="6"/>
  <c r="AJ54" i="78"/>
  <c r="S94" i="23"/>
  <c r="AB85" i="23"/>
  <c r="AB84" i="23"/>
  <c r="AB83" i="23"/>
  <c r="X89" i="23"/>
  <c r="P91" i="23" s="1"/>
  <c r="V87" i="98"/>
  <c r="V88" i="98" s="1"/>
  <c r="U3" i="98"/>
  <c r="AC38" i="82"/>
  <c r="R9" i="98"/>
  <c r="C9" i="98" s="1"/>
  <c r="V21" i="98"/>
  <c r="V22" i="98" s="1"/>
  <c r="AK24" i="23"/>
  <c r="S35" i="23" s="1"/>
  <c r="C95" i="6" l="1"/>
  <c r="A98" i="6"/>
  <c r="C98" i="6" s="1"/>
  <c r="X61" i="37"/>
  <c r="A80" i="6"/>
  <c r="S93" i="23"/>
  <c r="S92" i="23"/>
  <c r="S91" i="23"/>
  <c r="R3" i="98"/>
  <c r="F2" i="98"/>
  <c r="R5" i="98"/>
  <c r="X122" i="98"/>
  <c r="X123" i="98" s="1"/>
  <c r="X124" i="98" s="1"/>
  <c r="Y152" i="98"/>
  <c r="S129" i="37"/>
  <c r="AA82" i="37"/>
  <c r="AA83" i="37" s="1"/>
  <c r="AA84" i="37" s="1"/>
  <c r="AB112" i="37"/>
  <c r="R49" i="33"/>
  <c r="R52" i="33" s="1"/>
  <c r="AC107" i="33"/>
  <c r="A83" i="6" l="1"/>
  <c r="C83" i="6" s="1"/>
  <c r="C80" i="6"/>
  <c r="S63" i="37"/>
  <c r="W59" i="37"/>
  <c r="C7" i="98"/>
  <c r="J31" i="98" s="1"/>
  <c r="C3" i="98"/>
  <c r="B37" i="33"/>
  <c r="L36" i="33"/>
  <c r="J27" i="98" l="1"/>
  <c r="Y19" i="98"/>
  <c r="L49" i="98"/>
  <c r="L38" i="98"/>
  <c r="Y85" i="98"/>
  <c r="J34" i="98"/>
  <c r="D29" i="98"/>
  <c r="D32" i="98"/>
  <c r="B40" i="33"/>
  <c r="L45" i="33" s="1"/>
  <c r="L38" i="33"/>
  <c r="B46" i="33" l="1"/>
  <c r="L47" i="33" l="1"/>
  <c r="B48" i="33"/>
  <c r="C69" i="33" l="1"/>
  <c r="D54" i="33"/>
  <c r="E53" i="33"/>
  <c r="L52" i="33"/>
  <c r="B56" i="33"/>
  <c r="L56" i="33" l="1"/>
  <c r="C57" i="33" s="1"/>
  <c r="B57" i="33"/>
  <c r="B58" i="33" l="1"/>
  <c r="L61" i="33" s="1"/>
  <c r="L57" i="33"/>
  <c r="C121" i="33" l="1"/>
  <c r="B71" i="33"/>
  <c r="L74" i="33" s="1"/>
  <c r="L70" i="33"/>
  <c r="B75" i="33" l="1"/>
  <c r="L76" i="33" s="1"/>
  <c r="B77" i="33" l="1"/>
  <c r="L80" i="33" s="1"/>
  <c r="B81" i="33" l="1"/>
  <c r="L81" i="33" l="1"/>
  <c r="C82" i="33" s="1"/>
  <c r="B82" i="33"/>
  <c r="B83" i="33" l="1"/>
  <c r="L82" i="33"/>
  <c r="H83" i="33" l="1"/>
  <c r="C84" i="33"/>
  <c r="C83" i="33"/>
  <c r="L84" i="33"/>
  <c r="B85" i="33"/>
  <c r="L87" i="33" s="1"/>
  <c r="B89" i="33" l="1"/>
  <c r="L92" i="33" s="1"/>
  <c r="B93" i="33" l="1"/>
  <c r="L93" i="33" s="1"/>
  <c r="B94" i="33" l="1"/>
  <c r="L94" i="33" s="1"/>
  <c r="B95" i="33" l="1"/>
  <c r="L95" i="33" s="1"/>
  <c r="B96" i="33" l="1"/>
  <c r="L96" i="33" s="1"/>
  <c r="B97" i="33" l="1"/>
  <c r="L100" i="33" l="1"/>
  <c r="B102" i="33"/>
  <c r="L102" i="33" s="1"/>
  <c r="B109" i="33"/>
  <c r="L109" i="33" s="1"/>
  <c r="B110" i="33" l="1"/>
  <c r="B111" i="33" l="1"/>
  <c r="L111" i="33" s="1"/>
  <c r="L110" i="33"/>
  <c r="B112" i="33" l="1"/>
  <c r="B114" i="33" l="1"/>
  <c r="L114" i="33" s="1"/>
  <c r="L112" i="33"/>
  <c r="B115" i="33" l="1"/>
  <c r="B117" i="33" s="1"/>
  <c r="B118" i="33" s="1"/>
  <c r="L115" i="33" l="1"/>
  <c r="L118" i="33"/>
  <c r="B119" i="33"/>
  <c r="L117" i="33"/>
  <c r="L119" i="33" l="1"/>
  <c r="B120" i="33"/>
  <c r="B121" i="33" l="1"/>
  <c r="L120" i="33"/>
  <c r="B123" i="33" l="1"/>
  <c r="L124" i="33" s="1"/>
  <c r="L122" i="33"/>
  <c r="AM10" i="2" l="1"/>
  <c r="C2" i="87" s="1"/>
  <c r="B9" i="62" l="1"/>
  <c r="C2" i="30"/>
  <c r="B2" i="1"/>
  <c r="C2" i="40"/>
  <c r="AN10" i="2"/>
  <c r="B7" i="23" l="1"/>
  <c r="C21" i="87"/>
  <c r="B13" i="91"/>
  <c r="B66" i="23"/>
  <c r="B72" i="71"/>
  <c r="B117" i="91"/>
  <c r="B10" i="71"/>
  <c r="C61" i="69"/>
  <c r="C31" i="69"/>
  <c r="C2" i="69"/>
  <c r="C29" i="30"/>
  <c r="B31" i="1"/>
  <c r="C7" i="40"/>
  <c r="AC108" i="33" l="1"/>
  <c r="AC110" i="33" s="1"/>
  <c r="AD61" i="37"/>
  <c r="W256" i="68" l="1"/>
  <c r="W266" i="68"/>
  <c r="W278" i="68"/>
  <c r="W263" i="68"/>
  <c r="W276" i="68"/>
  <c r="B4" i="52" l="1"/>
  <c r="W254" i="68" l="1"/>
  <c r="B76" i="73" l="1"/>
  <c r="C30" i="70"/>
  <c r="B9" i="59"/>
  <c r="B14" i="52"/>
  <c r="B9" i="76"/>
  <c r="B11" i="43"/>
  <c r="C58" i="70"/>
  <c r="B8" i="79"/>
  <c r="B21" i="4"/>
  <c r="B11" i="50"/>
  <c r="B8" i="6"/>
  <c r="B10" i="58"/>
  <c r="B64" i="50"/>
  <c r="B16" i="74"/>
  <c r="B277" i="74"/>
  <c r="B11" i="53"/>
  <c r="B8" i="78"/>
  <c r="B8" i="73"/>
  <c r="B147" i="74"/>
  <c r="B64" i="43"/>
  <c r="B8" i="80"/>
  <c r="B11" i="49"/>
  <c r="B128" i="59"/>
  <c r="C86" i="70"/>
  <c r="C2" i="70"/>
  <c r="B64" i="49"/>
  <c r="B10" i="33"/>
  <c r="BE20" i="84"/>
  <c r="BE23" i="84" s="1"/>
  <c r="I23" i="84" s="1"/>
  <c r="BH45" i="58" l="1"/>
  <c r="X23" i="58" s="1"/>
  <c r="AR393" i="74" l="1"/>
  <c r="AR261" i="74"/>
  <c r="AR29" i="74" l="1"/>
  <c r="AR263" i="74" l="1"/>
  <c r="AI114" i="71" l="1"/>
  <c r="AI111" i="71"/>
  <c r="AI107" i="71"/>
  <c r="AI113" i="71"/>
  <c r="AI112" i="71"/>
  <c r="AI110" i="71"/>
  <c r="AI109" i="71" l="1"/>
  <c r="AI106" i="71"/>
  <c r="AI108" i="71"/>
  <c r="AI115" i="71" l="1"/>
  <c r="AI116" i="71" s="1"/>
  <c r="AF115" i="71"/>
  <c r="AF116" i="71" s="1"/>
  <c r="AF97" i="71"/>
  <c r="AF98" i="71" s="1"/>
  <c r="M86" i="71" s="1"/>
  <c r="M90" i="71" s="1"/>
  <c r="M93" i="71" s="1"/>
  <c r="V31" i="71" l="1"/>
  <c r="M97" i="71"/>
  <c r="M101" i="71" s="1"/>
  <c r="M103" i="71" l="1"/>
  <c r="O104" i="71" l="1"/>
  <c r="O105" i="71"/>
  <c r="O106" i="71"/>
  <c r="K138" i="71"/>
  <c r="AC50" i="78" s="1"/>
  <c r="L30" i="15" l="1"/>
  <c r="AL378" i="74"/>
  <c r="AL382" i="74" s="1"/>
  <c r="AL385" i="74" l="1"/>
  <c r="AR257" i="74"/>
  <c r="AR390" i="74" l="1"/>
  <c r="AR388" i="74"/>
  <c r="AR26" i="74" s="1"/>
  <c r="AR389" i="74"/>
  <c r="AR387" i="74"/>
  <c r="B66" i="68" l="1"/>
  <c r="W258" i="68" l="1"/>
  <c r="BO255" i="68" l="1"/>
  <c r="BO257" i="68"/>
  <c r="BO256" i="68"/>
  <c r="BP267" i="68"/>
  <c r="BO261" i="68"/>
  <c r="BP266" i="68"/>
  <c r="BP262" i="68"/>
  <c r="BP261" i="68"/>
  <c r="BQ270" i="68"/>
  <c r="BQ272" i="68"/>
  <c r="BQ274" i="68"/>
  <c r="BQ273" i="68"/>
  <c r="BQ269" i="68"/>
  <c r="BO258" i="68"/>
  <c r="BO260" i="68"/>
  <c r="BQ271" i="68"/>
  <c r="BO259" i="68"/>
  <c r="BP264" i="68"/>
  <c r="BQ268" i="68"/>
  <c r="BP265" i="68"/>
  <c r="BP263" i="68"/>
  <c r="BQ275" i="68" l="1"/>
  <c r="W267" i="68"/>
  <c r="I85" i="15" l="1"/>
  <c r="J16" i="67" l="1"/>
  <c r="J50" i="67" l="1"/>
  <c r="J51" i="67" l="1"/>
  <c r="B58" i="68" l="1"/>
  <c r="B67" i="68" l="1"/>
  <c r="W67" i="68" s="1"/>
  <c r="V222" i="68" l="1"/>
  <c r="S220" i="68"/>
  <c r="U210" i="68"/>
  <c r="R206" i="68"/>
  <c r="P202" i="68"/>
  <c r="P184" i="68"/>
  <c r="V83" i="68"/>
  <c r="W221" i="68"/>
  <c r="P222" i="68"/>
  <c r="R212" i="68"/>
  <c r="P206" i="68"/>
  <c r="Q201" i="68"/>
  <c r="R192" i="68"/>
  <c r="T83" i="68"/>
  <c r="T226" i="68"/>
  <c r="R202" i="68"/>
  <c r="Q191" i="68"/>
  <c r="S221" i="68"/>
  <c r="S200" i="68"/>
  <c r="P185" i="68"/>
  <c r="W220" i="68"/>
  <c r="Q221" i="68"/>
  <c r="S211" i="68"/>
  <c r="T202" i="68"/>
  <c r="Q200" i="68"/>
  <c r="S191" i="68"/>
  <c r="R83" i="68"/>
  <c r="P216" i="68"/>
  <c r="Q211" i="68"/>
  <c r="P192" i="68"/>
  <c r="R226" i="68"/>
  <c r="R222" i="68"/>
  <c r="T212" i="68"/>
  <c r="Q210" i="68"/>
  <c r="S201" i="68"/>
  <c r="T185" i="68"/>
  <c r="V228" i="68"/>
  <c r="T222" i="68"/>
  <c r="T216" i="68"/>
  <c r="S210" i="68"/>
  <c r="U201" i="68"/>
  <c r="R196" i="68"/>
  <c r="S190" i="68"/>
  <c r="P83" i="68"/>
  <c r="U220" i="68"/>
  <c r="P186" i="68"/>
  <c r="P226" i="68"/>
  <c r="U211" i="68"/>
  <c r="T206" i="68"/>
  <c r="R185" i="68"/>
  <c r="V226" i="68"/>
  <c r="U221" i="68"/>
  <c r="R216" i="68"/>
  <c r="P212" i="68"/>
  <c r="U200" i="68"/>
  <c r="P196" i="68"/>
  <c r="Q190" i="68"/>
  <c r="BW242" i="68"/>
  <c r="BT242" i="68"/>
  <c r="BP242" i="68"/>
  <c r="S82" i="68" l="1"/>
  <c r="W82" i="68"/>
  <c r="U82" i="68"/>
  <c r="BP244" i="68"/>
  <c r="BO243" i="68"/>
  <c r="AL240" i="74" l="1"/>
  <c r="AL248" i="74" l="1"/>
  <c r="AL252" i="74" l="1"/>
  <c r="AL255" i="74"/>
  <c r="AR259" i="74" l="1"/>
  <c r="AR260" i="74"/>
  <c r="V127" i="68"/>
  <c r="V128" i="68" s="1"/>
  <c r="T127" i="68"/>
  <c r="T128" i="68" s="1"/>
  <c r="R127" i="68"/>
  <c r="R128" i="68" s="1"/>
  <c r="P127" i="68"/>
  <c r="P128" i="68" s="1"/>
  <c r="V132" i="68" l="1"/>
  <c r="V133" i="68" s="1"/>
  <c r="V136" i="68" s="1"/>
  <c r="T132" i="68"/>
  <c r="T133" i="68" s="1"/>
  <c r="T136" i="68" s="1"/>
  <c r="R132" i="68"/>
  <c r="R133" i="68" s="1"/>
  <c r="R136" i="68" s="1"/>
  <c r="P132" i="68"/>
  <c r="P133" i="68" s="1"/>
  <c r="P136" i="68" s="1"/>
  <c r="AQ284" i="68" l="1"/>
  <c r="AQ290" i="68" s="1"/>
  <c r="AZ263" i="68" s="1"/>
  <c r="AZ280" i="68" s="1"/>
  <c r="AQ198" i="68"/>
  <c r="AQ280" i="68"/>
  <c r="AO284" i="68"/>
  <c r="AO290" i="68" s="1"/>
  <c r="AY263" i="68" s="1"/>
  <c r="AY273" i="68" s="1"/>
  <c r="AO198" i="68"/>
  <c r="AO280" i="68"/>
  <c r="AM284" i="68"/>
  <c r="AM290" i="68" s="1"/>
  <c r="AX263" i="68" s="1"/>
  <c r="BV139" i="68" s="1"/>
  <c r="AM280" i="68"/>
  <c r="AM198" i="68"/>
  <c r="AK284" i="68"/>
  <c r="AK290" i="68" s="1"/>
  <c r="AW263" i="68" s="1"/>
  <c r="AW280" i="68" s="1"/>
  <c r="AK280" i="68"/>
  <c r="AK198" i="68"/>
  <c r="AQ188" i="68" l="1"/>
  <c r="AQ196" i="68" s="1"/>
  <c r="AZ271" i="68"/>
  <c r="CH153" i="68" s="1"/>
  <c r="CH139" i="68"/>
  <c r="CK140" i="68" s="1"/>
  <c r="AZ276" i="68"/>
  <c r="AZ273" i="68"/>
  <c r="AM188" i="68"/>
  <c r="AM196" i="68" s="1"/>
  <c r="AI280" i="68"/>
  <c r="BP139" i="68"/>
  <c r="BR140" i="68" s="1"/>
  <c r="AW276" i="68"/>
  <c r="CB139" i="68"/>
  <c r="CC139" i="68" s="1"/>
  <c r="AY280" i="68"/>
  <c r="AW273" i="68"/>
  <c r="AK188" i="68"/>
  <c r="AK196" i="68" s="1"/>
  <c r="AO188" i="68"/>
  <c r="AO196" i="68" s="1"/>
  <c r="AY276" i="68"/>
  <c r="AY271" i="68"/>
  <c r="CB153" i="68" s="1"/>
  <c r="AX280" i="68"/>
  <c r="AX271" i="68"/>
  <c r="BV153" i="68" s="1"/>
  <c r="AW271" i="68"/>
  <c r="BP153" i="68" s="1"/>
  <c r="BS153" i="68" s="1"/>
  <c r="AX276" i="68"/>
  <c r="AX273" i="68"/>
  <c r="BX140" i="68"/>
  <c r="BZ140" i="68"/>
  <c r="BY140" i="68"/>
  <c r="BW140" i="68"/>
  <c r="BW139" i="68"/>
  <c r="BY139" i="68"/>
  <c r="BX139" i="68"/>
  <c r="BZ139" i="68"/>
  <c r="AO201" i="68" l="1"/>
  <c r="AO204" i="68" s="1"/>
  <c r="AO205" i="68"/>
  <c r="AO210" i="68" s="1"/>
  <c r="AM205" i="68"/>
  <c r="AM216" i="68" s="1"/>
  <c r="AM220" i="68" s="1"/>
  <c r="AM201" i="68"/>
  <c r="AM204" i="68" s="1"/>
  <c r="AQ201" i="68"/>
  <c r="AQ204" i="68" s="1"/>
  <c r="AQ205" i="68"/>
  <c r="AQ210" i="68" s="1"/>
  <c r="AK201" i="68"/>
  <c r="AK204" i="68" s="1"/>
  <c r="AK205" i="68"/>
  <c r="AZ274" i="68"/>
  <c r="AZ275" i="68" s="1"/>
  <c r="AZ277" i="68" s="1"/>
  <c r="AZ278" i="68" s="1"/>
  <c r="BT139" i="68"/>
  <c r="BS139" i="68"/>
  <c r="BQ139" i="68"/>
  <c r="BR139" i="68"/>
  <c r="BT140" i="68"/>
  <c r="BS140" i="68"/>
  <c r="BQ140" i="68"/>
  <c r="BP142" i="68" s="1"/>
  <c r="AQ200" i="68"/>
  <c r="CK139" i="68"/>
  <c r="CL139" i="68"/>
  <c r="CJ140" i="68"/>
  <c r="CJ139" i="68"/>
  <c r="CL140" i="68"/>
  <c r="AO200" i="68"/>
  <c r="CB160" i="68" s="1"/>
  <c r="CI139" i="68"/>
  <c r="CI140" i="68"/>
  <c r="AM200" i="68"/>
  <c r="BV160" i="68" s="1"/>
  <c r="CD139" i="68"/>
  <c r="CE140" i="68"/>
  <c r="CD140" i="68"/>
  <c r="CF140" i="68"/>
  <c r="CC140" i="68"/>
  <c r="CE139" i="68"/>
  <c r="CF139" i="68"/>
  <c r="AY274" i="68"/>
  <c r="AY275" i="68" s="1"/>
  <c r="AY281" i="68" s="1"/>
  <c r="AY282" i="68" s="1"/>
  <c r="AK200" i="68"/>
  <c r="AX274" i="68"/>
  <c r="AX275" i="68" s="1"/>
  <c r="AX281" i="68" s="1"/>
  <c r="AX282" i="68" s="1"/>
  <c r="AW274" i="68"/>
  <c r="AW275" i="68" s="1"/>
  <c r="AW277" i="68" s="1"/>
  <c r="AW278" i="68" s="1"/>
  <c r="BV142" i="68"/>
  <c r="BV141" i="68"/>
  <c r="BZ142" i="68" s="1"/>
  <c r="AX290" i="68" s="1"/>
  <c r="CC154" i="68"/>
  <c r="CD154" i="68"/>
  <c r="CE154" i="68"/>
  <c r="CF154" i="68"/>
  <c r="CE153" i="68"/>
  <c r="CD153" i="68"/>
  <c r="CC153" i="68"/>
  <c r="CF153" i="68"/>
  <c r="BX154" i="68"/>
  <c r="BZ154" i="68"/>
  <c r="BY154" i="68"/>
  <c r="BW154" i="68"/>
  <c r="BZ153" i="68"/>
  <c r="BW153" i="68"/>
  <c r="BX153" i="68"/>
  <c r="BY153" i="68"/>
  <c r="CK154" i="68"/>
  <c r="CL154" i="68"/>
  <c r="CJ154" i="68"/>
  <c r="CI154" i="68"/>
  <c r="CL153" i="68"/>
  <c r="CK153" i="68"/>
  <c r="CJ153" i="68"/>
  <c r="CI153" i="68"/>
  <c r="BT154" i="68"/>
  <c r="BQ154" i="68"/>
  <c r="BR154" i="68"/>
  <c r="BR153" i="68"/>
  <c r="BQ153" i="68"/>
  <c r="BT153" i="68"/>
  <c r="BS154" i="68"/>
  <c r="BP141" i="68" l="1"/>
  <c r="BT142" i="68" s="1"/>
  <c r="AW290" i="68" s="1"/>
  <c r="AK206" i="68"/>
  <c r="AM208" i="68"/>
  <c r="AO216" i="68"/>
  <c r="AO220" i="68" s="1"/>
  <c r="AM210" i="68"/>
  <c r="AO208" i="68"/>
  <c r="AK216" i="68"/>
  <c r="AK220" i="68" s="1"/>
  <c r="AK208" i="68"/>
  <c r="AK210" i="68"/>
  <c r="AQ216" i="68"/>
  <c r="AQ220" i="68" s="1"/>
  <c r="AQ208" i="68"/>
  <c r="AQ212" i="68" s="1"/>
  <c r="AO212" i="68"/>
  <c r="AM212" i="68"/>
  <c r="BZ161" i="68"/>
  <c r="BY161" i="68"/>
  <c r="BW160" i="68"/>
  <c r="BX160" i="68"/>
  <c r="BY160" i="68"/>
  <c r="BZ160" i="68"/>
  <c r="BW161" i="68"/>
  <c r="BX161" i="68"/>
  <c r="CE161" i="68"/>
  <c r="CF161" i="68"/>
  <c r="CC161" i="68"/>
  <c r="CD161" i="68"/>
  <c r="CD160" i="68"/>
  <c r="CC160" i="68"/>
  <c r="CF160" i="68"/>
  <c r="CE160" i="68"/>
  <c r="AK222" i="68"/>
  <c r="BP160" i="68"/>
  <c r="AQ222" i="68"/>
  <c r="AQ224" i="68" s="1"/>
  <c r="CH160" i="68"/>
  <c r="AK212" i="68"/>
  <c r="AK224" i="68"/>
  <c r="AO222" i="68"/>
  <c r="AM222" i="68"/>
  <c r="AZ281" i="68"/>
  <c r="AZ282" i="68" s="1"/>
  <c r="AZ283" i="68" s="1"/>
  <c r="CH142" i="68"/>
  <c r="CH141" i="68"/>
  <c r="CL142" i="68" s="1"/>
  <c r="AZ290" i="68" s="1"/>
  <c r="AX277" i="68"/>
  <c r="AX278" i="68" s="1"/>
  <c r="AX283" i="68" s="1"/>
  <c r="CB141" i="68"/>
  <c r="CF142" i="68" s="1"/>
  <c r="AY290" i="68" s="1"/>
  <c r="CB142" i="68"/>
  <c r="AW281" i="68"/>
  <c r="AW282" i="68" s="1"/>
  <c r="AW283" i="68" s="1"/>
  <c r="AW284" i="68" s="1"/>
  <c r="AY277" i="68"/>
  <c r="AY278" i="68" s="1"/>
  <c r="AY283" i="68" s="1"/>
  <c r="AY284" i="68" s="1"/>
  <c r="BV156" i="68"/>
  <c r="CH156" i="68"/>
  <c r="CB156" i="68"/>
  <c r="BV155" i="68"/>
  <c r="BZ156" i="68" s="1"/>
  <c r="AX288" i="68" s="1"/>
  <c r="CH155" i="68"/>
  <c r="CL156" i="68" s="1"/>
  <c r="AZ288" i="68" s="1"/>
  <c r="CB155" i="68"/>
  <c r="CF156" i="68" s="1"/>
  <c r="AY288" i="68" s="1"/>
  <c r="BP155" i="68"/>
  <c r="BT156" i="68" s="1"/>
  <c r="AW288" i="68" s="1"/>
  <c r="BP156" i="68"/>
  <c r="CB163" i="68" l="1"/>
  <c r="BV163" i="68"/>
  <c r="BV162" i="68"/>
  <c r="BZ163" i="68" s="1"/>
  <c r="AM259" i="68" s="1"/>
  <c r="CB162" i="68"/>
  <c r="CF163" i="68" s="1"/>
  <c r="AO259" i="68" s="1"/>
  <c r="AQ226" i="68"/>
  <c r="AQ228" i="68" s="1"/>
  <c r="AK226" i="68"/>
  <c r="AK233" i="68" s="1"/>
  <c r="CL161" i="68"/>
  <c r="CJ161" i="68"/>
  <c r="CI161" i="68"/>
  <c r="CK160" i="68"/>
  <c r="CI160" i="68"/>
  <c r="CJ160" i="68"/>
  <c r="CL160" i="68"/>
  <c r="CK161" i="68"/>
  <c r="BR160" i="68"/>
  <c r="BQ160" i="68"/>
  <c r="BT161" i="68"/>
  <c r="BS161" i="68"/>
  <c r="BT160" i="68"/>
  <c r="BQ161" i="68"/>
  <c r="BS160" i="68"/>
  <c r="BR161" i="68"/>
  <c r="AM224" i="68"/>
  <c r="AM226" i="68" s="1"/>
  <c r="AM233" i="68" s="1"/>
  <c r="AQ232" i="68"/>
  <c r="AO224" i="68"/>
  <c r="AO226" i="68" s="1"/>
  <c r="AK228" i="68"/>
  <c r="AK232" i="68"/>
  <c r="AQ233" i="68"/>
  <c r="AX284" i="68"/>
  <c r="AX285" i="68"/>
  <c r="AX286" i="68" s="1"/>
  <c r="AX287" i="68" s="1"/>
  <c r="AY285" i="68"/>
  <c r="AY286" i="68" s="1"/>
  <c r="AY287" i="68" s="1"/>
  <c r="AY289" i="68" s="1"/>
  <c r="AY291" i="68" s="1"/>
  <c r="AO296" i="68" s="1"/>
  <c r="AO304" i="68" s="1"/>
  <c r="AZ284" i="68"/>
  <c r="AZ285" i="68"/>
  <c r="AZ286" i="68" s="1"/>
  <c r="AZ287" i="68" s="1"/>
  <c r="AW285" i="68"/>
  <c r="AW286" i="68" s="1"/>
  <c r="AW287" i="68" s="1"/>
  <c r="AW289" i="68" s="1"/>
  <c r="AW291" i="68" s="1"/>
  <c r="AK296" i="68" s="1"/>
  <c r="AK304" i="68" s="1"/>
  <c r="CH162" i="68" l="1"/>
  <c r="CL163" i="68" s="1"/>
  <c r="AQ259" i="68" s="1"/>
  <c r="BP162" i="68"/>
  <c r="BT163" i="68" s="1"/>
  <c r="AK259" i="68" s="1"/>
  <c r="CH163" i="68"/>
  <c r="BP163" i="68"/>
  <c r="AK240" i="68"/>
  <c r="AK242" i="68"/>
  <c r="AK244" i="68" s="1"/>
  <c r="AQ240" i="68"/>
  <c r="AQ242" i="68"/>
  <c r="AM242" i="68"/>
  <c r="AM240" i="68"/>
  <c r="AK238" i="68"/>
  <c r="AK234" i="68"/>
  <c r="AK236" i="68" s="1"/>
  <c r="AQ238" i="68"/>
  <c r="AQ234" i="68"/>
  <c r="AQ236" i="68" s="1"/>
  <c r="AM238" i="68"/>
  <c r="AO228" i="68"/>
  <c r="AO232" i="68"/>
  <c r="AO233" i="68"/>
  <c r="AM228" i="68"/>
  <c r="AM232" i="68"/>
  <c r="AM234" i="68" s="1"/>
  <c r="AX289" i="68"/>
  <c r="AX291" i="68" s="1"/>
  <c r="AM296" i="68" s="1"/>
  <c r="AM304" i="68" s="1"/>
  <c r="AZ289" i="68"/>
  <c r="AZ291" i="68" s="1"/>
  <c r="AQ296" i="68" s="1"/>
  <c r="AQ304" i="68" s="1"/>
  <c r="R154" i="68"/>
  <c r="R150" i="68"/>
  <c r="R151" i="68" s="1"/>
  <c r="AM244" i="68" l="1"/>
  <c r="AM246" i="68" s="1"/>
  <c r="AM250" i="68" s="1"/>
  <c r="AQ244" i="68"/>
  <c r="AM236" i="68"/>
  <c r="AM252" i="68"/>
  <c r="AM254" i="68" s="1"/>
  <c r="AM256" i="68" s="1"/>
  <c r="AK246" i="68"/>
  <c r="AK250" i="68" s="1"/>
  <c r="AK252" i="68"/>
  <c r="AK254" i="68" s="1"/>
  <c r="AK256" i="68" s="1"/>
  <c r="V137" i="68"/>
  <c r="V142" i="68" s="1"/>
  <c r="V145" i="68" s="1"/>
  <c r="V147" i="68" s="1"/>
  <c r="AQ246" i="68"/>
  <c r="AQ250" i="68" s="1"/>
  <c r="AO240" i="68"/>
  <c r="AO242" i="68"/>
  <c r="AO244" i="68" s="1"/>
  <c r="R137" i="68"/>
  <c r="R142" i="68" s="1"/>
  <c r="R145" i="68" s="1"/>
  <c r="R147" i="68" s="1"/>
  <c r="AO234" i="68"/>
  <c r="AO236" i="68" s="1"/>
  <c r="T137" i="68" s="1"/>
  <c r="T142" i="68" s="1"/>
  <c r="T145" i="68" s="1"/>
  <c r="T147" i="68" s="1"/>
  <c r="AO238" i="68"/>
  <c r="R155" i="68"/>
  <c r="R157" i="68" s="1"/>
  <c r="AK261" i="68" l="1"/>
  <c r="AK269" i="68" s="1"/>
  <c r="AM261" i="68"/>
  <c r="AM269" i="68" s="1"/>
  <c r="AQ252" i="68"/>
  <c r="AQ254" i="68" s="1"/>
  <c r="AQ256" i="68" s="1"/>
  <c r="AQ261" i="68" s="1"/>
  <c r="AQ269" i="68" s="1"/>
  <c r="AO246" i="68"/>
  <c r="AO250" i="68" s="1"/>
  <c r="T154" i="68"/>
  <c r="T155" i="68" s="1"/>
  <c r="T150" i="68"/>
  <c r="T151" i="68" s="1"/>
  <c r="T157" i="68" s="1"/>
  <c r="AO252" i="68" l="1"/>
  <c r="AO254" i="68" s="1"/>
  <c r="AO256" i="68" s="1"/>
  <c r="AO261" i="68" s="1"/>
  <c r="AO269" i="68" s="1"/>
  <c r="V154" i="68"/>
  <c r="V155" i="68" s="1"/>
  <c r="V150" i="68"/>
  <c r="V151" i="68" s="1"/>
  <c r="V157" i="68" s="1"/>
  <c r="T93" i="90" l="1"/>
  <c r="X19" i="90" l="1"/>
  <c r="X21" i="90" s="1"/>
  <c r="AE20" i="90" l="1"/>
  <c r="AE53" i="90" s="1"/>
  <c r="X46" i="90" l="1"/>
  <c r="X45" i="90" s="1"/>
  <c r="X48" i="90" s="1"/>
  <c r="AE52" i="90" s="1"/>
  <c r="AX47" i="90" s="1"/>
  <c r="AE35" i="90"/>
  <c r="AX48" i="90" s="1"/>
  <c r="AE38" i="90"/>
  <c r="AE39" i="90" s="1"/>
  <c r="X44" i="90"/>
  <c r="X41" i="90"/>
  <c r="X24" i="90"/>
  <c r="AE27" i="90" s="1"/>
  <c r="AE31" i="90" s="1"/>
  <c r="AE33" i="90" s="1"/>
  <c r="Y79" i="2" s="1"/>
  <c r="AX49" i="90" l="1"/>
  <c r="AH55" i="23" l="1"/>
  <c r="AR133" i="74" l="1"/>
  <c r="AR31" i="74" s="1"/>
  <c r="Q30" i="15"/>
  <c r="Q33" i="15" s="1"/>
  <c r="L33" i="15"/>
  <c r="AR127" i="74"/>
  <c r="AR25" i="74" s="1"/>
  <c r="AR132" i="74"/>
  <c r="AR30" i="74" s="1"/>
  <c r="Q44" i="15" l="1"/>
  <c r="Q58" i="15" s="1"/>
  <c r="Q63" i="15" s="1"/>
  <c r="C36" i="15"/>
  <c r="C33" i="15"/>
  <c r="Q45" i="15"/>
  <c r="L44" i="15"/>
  <c r="AA90" i="37"/>
  <c r="L57" i="15" l="1"/>
  <c r="Q57" i="15" s="1"/>
  <c r="L58" i="15"/>
  <c r="L63" i="15" s="1"/>
  <c r="G91" i="15" s="1"/>
  <c r="L98" i="15" s="1"/>
  <c r="AA87" i="37"/>
  <c r="AB94" i="37" s="1"/>
  <c r="AA89" i="37"/>
  <c r="AA85" i="37"/>
  <c r="AA91" i="37" s="1"/>
  <c r="X124" i="37"/>
  <c r="Q98" i="15" l="1"/>
  <c r="AA92" i="37"/>
  <c r="X117" i="37" s="1"/>
  <c r="AA97" i="37"/>
  <c r="AA98" i="37" s="1"/>
  <c r="AA94" i="37"/>
  <c r="AA88" i="37"/>
  <c r="AB124" i="37"/>
  <c r="AB125" i="37"/>
  <c r="Z124" i="37"/>
  <c r="Z125" i="37"/>
  <c r="AA124" i="37"/>
  <c r="AA125" i="37"/>
  <c r="Y125" i="37"/>
  <c r="Y124" i="37"/>
  <c r="L101" i="15" l="1"/>
  <c r="AC59" i="78" s="1"/>
  <c r="X126" i="37"/>
  <c r="AB127" i="37" s="1"/>
  <c r="AA122" i="37" s="1"/>
  <c r="X127" i="37"/>
  <c r="AA93" i="37"/>
  <c r="Z118" i="37"/>
  <c r="AA95" i="37" l="1"/>
  <c r="AA99" i="37"/>
  <c r="AA100" i="37" s="1"/>
  <c r="AA101" i="37" s="1"/>
  <c r="AA102" i="37" s="1"/>
  <c r="AA118" i="37"/>
  <c r="AB117" i="37"/>
  <c r="AA117" i="37"/>
  <c r="Z117" i="37"/>
  <c r="AB118" i="37"/>
  <c r="Y117" i="37"/>
  <c r="Y118" i="37"/>
  <c r="X120" i="37" l="1"/>
  <c r="X119" i="37"/>
  <c r="AB120" i="37" s="1"/>
  <c r="AA115" i="37" s="1"/>
  <c r="AA96" i="37"/>
  <c r="AA103" i="37"/>
  <c r="AB103" i="37" s="1"/>
  <c r="AA112" i="37" l="1"/>
  <c r="AA108" i="37"/>
  <c r="AA107" i="37"/>
  <c r="AA104" i="37"/>
  <c r="AA105" i="37" s="1"/>
  <c r="AA114" i="37"/>
  <c r="AA106" i="37"/>
  <c r="AA113" i="37"/>
  <c r="AA109" i="37"/>
  <c r="AA111" i="37"/>
  <c r="AA110" i="37"/>
  <c r="AA121" i="37" l="1"/>
  <c r="AL41" i="23" l="1"/>
  <c r="AM41" i="23"/>
  <c r="AK40" i="23"/>
  <c r="AK22" i="23" l="1"/>
  <c r="X26" i="23" l="1"/>
  <c r="AR130" i="74" l="1"/>
  <c r="AR28" i="74" s="1"/>
  <c r="X30" i="23"/>
  <c r="P32" i="23" s="1"/>
  <c r="S33" i="23" l="1"/>
  <c r="S32" i="23"/>
  <c r="S34" i="23"/>
  <c r="AB26" i="23"/>
  <c r="AB25" i="23"/>
  <c r="X41" i="23"/>
  <c r="AE35" i="23"/>
  <c r="AB24" i="23"/>
  <c r="X38" i="23" l="1"/>
  <c r="R32" i="52"/>
  <c r="AJ40" i="23" l="1"/>
  <c r="X39" i="23" s="1"/>
  <c r="AJ41" i="23" s="1"/>
  <c r="X40" i="23" s="1"/>
  <c r="X42" i="23" s="1"/>
  <c r="AL10" i="80"/>
  <c r="AL110" i="23" l="1"/>
  <c r="S45" i="23"/>
  <c r="AN115" i="23" l="1"/>
  <c r="AN117" i="23" s="1"/>
  <c r="AL115" i="23"/>
  <c r="AK81" i="23"/>
  <c r="AM100" i="23"/>
  <c r="AK99" i="23"/>
  <c r="AE71" i="23"/>
  <c r="AB69" i="23" s="1"/>
  <c r="AE94" i="23" l="1"/>
  <c r="X100" i="23"/>
  <c r="X97" i="23" l="1"/>
  <c r="R33" i="52"/>
  <c r="K29" i="52" s="1"/>
  <c r="P8" i="52" s="1"/>
  <c r="P5" i="52" s="1"/>
  <c r="AJ99" i="23" l="1"/>
  <c r="X98" i="23" s="1"/>
  <c r="AJ100" i="23" s="1"/>
  <c r="X99" i="23" s="1"/>
  <c r="X101" i="23" s="1"/>
  <c r="B5" i="52"/>
  <c r="P7" i="52"/>
  <c r="S104" i="23" l="1"/>
  <c r="AM116" i="23" s="1"/>
  <c r="AL111" i="23"/>
  <c r="AL112" i="23" s="1"/>
  <c r="AC15" i="79" s="1"/>
  <c r="K30" i="52"/>
  <c r="M62" i="52"/>
  <c r="K55" i="52"/>
  <c r="K42" i="52"/>
  <c r="K17" i="52"/>
  <c r="AL117" i="23" l="1"/>
  <c r="K56" i="52"/>
  <c r="K58" i="52" s="1"/>
  <c r="M60" i="52" s="1"/>
  <c r="K20" i="52"/>
  <c r="M36" i="52" s="1"/>
  <c r="K24" i="52"/>
  <c r="K46" i="52"/>
  <c r="M49" i="52"/>
  <c r="M47" i="52"/>
  <c r="K34" i="52"/>
  <c r="M25" i="52" l="1"/>
  <c r="M27" i="52" s="1"/>
  <c r="AM117" i="23"/>
  <c r="R46" i="59" s="1"/>
  <c r="K35" i="52"/>
  <c r="K36" i="52" s="1"/>
  <c r="M37" i="52" s="1"/>
  <c r="M39" i="52" s="1"/>
  <c r="AL118" i="23" l="1"/>
  <c r="AC52" i="78" s="1"/>
  <c r="R49" i="59" s="1"/>
  <c r="R47" i="59"/>
  <c r="M52" i="52"/>
  <c r="AC24" i="79" s="1"/>
  <c r="J20" i="14" l="1"/>
  <c r="J66" i="67"/>
  <c r="J68" i="67" s="1"/>
  <c r="J70" i="67" s="1"/>
  <c r="N15" i="65" s="1"/>
  <c r="M65" i="52"/>
  <c r="AJ72" i="2" s="1"/>
  <c r="C17" i="65" l="1"/>
  <c r="C18" i="65"/>
  <c r="Y69" i="2"/>
  <c r="AC70" i="2" s="1"/>
  <c r="AJ71" i="2"/>
  <c r="AJ70" i="2"/>
  <c r="N18" i="65" l="1"/>
  <c r="N27" i="65" s="1"/>
  <c r="N30" i="65" s="1"/>
  <c r="AX46" i="2" s="1"/>
  <c r="S72" i="3" l="1"/>
  <c r="P126" i="68"/>
  <c r="R152" i="68" l="1"/>
  <c r="V152" i="68"/>
  <c r="T152" i="68"/>
  <c r="P152" i="68"/>
  <c r="P155" i="68" s="1"/>
  <c r="P157" i="68" s="1"/>
  <c r="AE55" i="90" l="1"/>
  <c r="AC14" i="80" s="1"/>
  <c r="AE192" i="76" s="1"/>
  <c r="J13" i="63" l="1"/>
  <c r="J17" i="63" s="1"/>
  <c r="J22" i="63" s="1"/>
  <c r="C26" i="63" l="1"/>
  <c r="C24" i="63"/>
  <c r="J26" i="63" l="1"/>
  <c r="H30" i="63" l="1"/>
  <c r="G30" i="63"/>
  <c r="L29" i="63" s="1"/>
  <c r="L31" i="63" s="1"/>
  <c r="L34" i="63" s="1"/>
  <c r="AC60" i="78" s="1"/>
  <c r="AC86" i="78" s="1"/>
  <c r="AC85" i="78" l="1"/>
  <c r="AC46" i="2"/>
  <c r="AE66" i="3" l="1"/>
  <c r="AE70" i="3" l="1"/>
  <c r="AE68" i="3"/>
  <c r="AE72" i="3" l="1"/>
  <c r="O47" i="3" s="1"/>
  <c r="AH76" i="3"/>
  <c r="AL78" i="3" s="1"/>
  <c r="AH78" i="3" s="1"/>
  <c r="W73" i="3"/>
  <c r="W76" i="3"/>
  <c r="Q46" i="3" l="1"/>
  <c r="O48" i="3"/>
  <c r="O46" i="3"/>
  <c r="AL77" i="3"/>
  <c r="AH77" i="3" s="1"/>
  <c r="AE79" i="3" s="1"/>
  <c r="AL81" i="3" s="1"/>
  <c r="AL80" i="3" l="1"/>
  <c r="AH82" i="3" s="1"/>
  <c r="AH84" i="3" s="1"/>
  <c r="AH87" i="3" l="1"/>
  <c r="M46" i="3" s="1"/>
  <c r="M47" i="3" s="1"/>
  <c r="O49" i="3" s="1"/>
  <c r="M48" i="59" l="1"/>
  <c r="S54" i="59" s="1"/>
  <c r="R55" i="59" s="1"/>
  <c r="R61" i="59" s="1"/>
  <c r="R187" i="59" l="1"/>
  <c r="R65" i="59" s="1"/>
  <c r="AC13" i="80" s="1"/>
  <c r="W53" i="80"/>
  <c r="AL53" i="80" s="1"/>
  <c r="AC58" i="80" s="1"/>
  <c r="AE191" i="76" l="1"/>
  <c r="AO70" i="58" l="1"/>
  <c r="AE64" i="58" s="1"/>
  <c r="AE67" i="58" l="1"/>
  <c r="AM67" i="58"/>
  <c r="AE68" i="58" l="1"/>
  <c r="AC39" i="80" s="1"/>
  <c r="AC60" i="80" s="1"/>
  <c r="Y81" i="2" s="1"/>
  <c r="AE73" i="58"/>
  <c r="AC12" i="79" s="1"/>
  <c r="AL115" i="74" s="1"/>
  <c r="C203" i="76"/>
  <c r="AE71" i="58"/>
  <c r="AE70" i="58"/>
  <c r="J238" i="76" l="1"/>
  <c r="AE244" i="76"/>
  <c r="G250" i="76" s="1"/>
  <c r="AK237" i="76"/>
  <c r="G269" i="76" s="1"/>
  <c r="C269" i="76" s="1"/>
  <c r="AS203" i="76"/>
  <c r="AK235" i="76"/>
  <c r="G253" i="76" l="1"/>
  <c r="G262" i="76"/>
  <c r="C262" i="76" s="1"/>
  <c r="AE248" i="76" l="1"/>
  <c r="AK257" i="76"/>
  <c r="AV19" i="76"/>
  <c r="C270" i="76" l="1"/>
  <c r="C263" i="76"/>
  <c r="C267" i="76"/>
  <c r="AK289" i="76" l="1"/>
  <c r="P286" i="76"/>
  <c r="AE274" i="76"/>
  <c r="AE297" i="76"/>
  <c r="AE284" i="76"/>
  <c r="P283" i="76"/>
  <c r="P284" i="76"/>
  <c r="P285" i="76"/>
  <c r="AK304" i="76"/>
  <c r="AK307" i="76" s="1"/>
  <c r="AK310" i="76" s="1"/>
  <c r="G315" i="76" l="1"/>
  <c r="C315" i="76" s="1"/>
  <c r="G317" i="76"/>
  <c r="C317" i="76" s="1"/>
  <c r="AK158" i="76"/>
  <c r="AK313" i="76" l="1"/>
  <c r="AK330" i="76" s="1"/>
  <c r="AK214" i="76" s="1"/>
  <c r="W242" i="68" l="1"/>
  <c r="W250" i="68"/>
  <c r="W246" i="68"/>
  <c r="W241" i="68"/>
  <c r="W252" i="68"/>
  <c r="W243" i="68"/>
  <c r="W245" i="68"/>
  <c r="W248" i="68"/>
  <c r="D51" i="68"/>
  <c r="W51" i="68" s="1"/>
  <c r="L78" i="68" s="1"/>
  <c r="D85" i="68" s="1"/>
  <c r="D49" i="68"/>
  <c r="W52" i="68" l="1"/>
  <c r="B52" i="68" s="1"/>
  <c r="W55" i="68"/>
  <c r="B53" i="68" s="1"/>
  <c r="BN256" i="68" l="1"/>
  <c r="BN259" i="68"/>
  <c r="BN269" i="68"/>
  <c r="BN281" i="68"/>
  <c r="BN285" i="68"/>
  <c r="BN282" i="68"/>
  <c r="BN258" i="68"/>
  <c r="BN252" i="68"/>
  <c r="BN294" i="68"/>
  <c r="BN245" i="68"/>
  <c r="BN248" i="68"/>
  <c r="BN260" i="68"/>
  <c r="BN268" i="68"/>
  <c r="BN284" i="68"/>
  <c r="BN275" i="68"/>
  <c r="BN270" i="68"/>
  <c r="BN266" i="68"/>
  <c r="BN255" i="68"/>
  <c r="BN292" i="68"/>
  <c r="BN287" i="68"/>
  <c r="BN253" i="68"/>
  <c r="BN277" i="68"/>
  <c r="BN251" i="68"/>
  <c r="BN246" i="68"/>
  <c r="BN273" i="68"/>
  <c r="BN254" i="68"/>
  <c r="BN257" i="68"/>
  <c r="BN250" i="68"/>
  <c r="BN247" i="68"/>
  <c r="BN278" i="68"/>
  <c r="BR242" i="68"/>
  <c r="BN279" i="68"/>
  <c r="BN296" i="68"/>
  <c r="BN264" i="68"/>
  <c r="BN291" i="68"/>
  <c r="BN261" i="68"/>
  <c r="BN271" i="68"/>
  <c r="BN263" i="68"/>
  <c r="BN283" i="68"/>
  <c r="BN249" i="68"/>
  <c r="BN267" i="68"/>
  <c r="BN295" i="68"/>
  <c r="BN288" i="68"/>
  <c r="BN290" i="68"/>
  <c r="BN276" i="68"/>
  <c r="BN244" i="68"/>
  <c r="BN272" i="68"/>
  <c r="BN289" i="68"/>
  <c r="BN274" i="68"/>
  <c r="BN286" i="68"/>
  <c r="BN280" i="68"/>
  <c r="BN293" i="68"/>
  <c r="BN262" i="68"/>
  <c r="BN265" i="68"/>
  <c r="BQ245" i="68" l="1"/>
  <c r="BQ247" i="68"/>
  <c r="BQ246" i="68"/>
  <c r="BP246" i="68"/>
  <c r="BQ248" i="68"/>
  <c r="BQ249" i="68"/>
  <c r="BP245" i="68"/>
  <c r="BP247" i="68"/>
  <c r="BQ250" i="68"/>
  <c r="BO244" i="68"/>
  <c r="BO246" i="68"/>
  <c r="BP250" i="68"/>
  <c r="BQ251" i="68"/>
  <c r="BP248" i="68"/>
  <c r="BO245" i="68"/>
  <c r="BP249" i="68"/>
  <c r="BO247" i="68"/>
  <c r="BQ253" i="68"/>
  <c r="BQ252" i="68"/>
  <c r="BQ254" i="68"/>
  <c r="BQ255" i="68"/>
  <c r="BO249" i="68"/>
  <c r="BO248" i="68"/>
  <c r="BP251" i="68"/>
  <c r="BO250" i="68"/>
  <c r="BP253" i="68"/>
  <c r="BP252" i="68"/>
  <c r="BN242" i="68" l="1"/>
  <c r="BN243" i="68"/>
  <c r="BQ297" i="68"/>
  <c r="BO297" i="68"/>
  <c r="BP297" i="68"/>
  <c r="BN297" i="68" l="1"/>
  <c r="P137" i="68" l="1"/>
  <c r="P142" i="68"/>
  <c r="P145" i="68"/>
  <c r="P147" i="68"/>
  <c r="P151" i="68"/>
  <c r="R186" i="68" l="1"/>
  <c r="T186" i="68" l="1"/>
  <c r="J51" i="14" l="1"/>
  <c r="AC42" i="2" s="1"/>
  <c r="B68" i="60"/>
  <c r="B78" i="60" s="1"/>
  <c r="AV247" i="84"/>
  <c r="AU42" i="58" l="1"/>
  <c r="T103" i="86"/>
  <c r="T110" i="86" s="1"/>
  <c r="A78" i="60"/>
  <c r="AV120" i="96"/>
  <c r="AC16" i="78"/>
  <c r="AC43" i="78" s="1"/>
  <c r="M24" i="40" l="1"/>
  <c r="I24" i="40" s="1"/>
  <c r="I26" i="40" s="1"/>
  <c r="I28" i="40" s="1"/>
  <c r="AC44" i="2"/>
  <c r="AI18" i="78"/>
  <c r="AC45" i="2" l="1"/>
  <c r="J16" i="14"/>
  <c r="J18" i="14" s="1"/>
  <c r="D23" i="14" l="1"/>
  <c r="D25" i="14"/>
  <c r="AC47" i="2"/>
  <c r="O112" i="86" l="1"/>
  <c r="O118" i="86" s="1"/>
  <c r="T119" i="86" s="1"/>
  <c r="Y120" i="86" s="1"/>
  <c r="Y121" i="86" s="1"/>
  <c r="V12" i="99"/>
  <c r="E62" i="92"/>
  <c r="C62" i="92" s="1"/>
  <c r="E60" i="92"/>
  <c r="E34" i="51"/>
  <c r="AC53" i="53"/>
  <c r="AC66" i="53" s="1"/>
  <c r="J18" i="3"/>
  <c r="AH55" i="92"/>
  <c r="B18" i="60"/>
  <c r="M19" i="60" s="1"/>
  <c r="Z61" i="3"/>
  <c r="AA92" i="3"/>
  <c r="Z92" i="3"/>
  <c r="B9" i="60"/>
  <c r="M10" i="60" s="1"/>
  <c r="AB61" i="3"/>
  <c r="AA61" i="3"/>
  <c r="AL12" i="76"/>
  <c r="AL17" i="76" s="1"/>
  <c r="AL30" i="76" s="1"/>
  <c r="B15" i="60"/>
  <c r="M16" i="60" s="1"/>
  <c r="B12" i="60"/>
  <c r="M13" i="60" s="1"/>
  <c r="AN380" i="60"/>
  <c r="AN381" i="60" s="1"/>
  <c r="AN383" i="60" s="1"/>
  <c r="AB92" i="3"/>
  <c r="AV28" i="58"/>
  <c r="AV46" i="58" s="1"/>
  <c r="X22" i="58" s="1"/>
  <c r="AE25" i="58" s="1"/>
  <c r="AU54" i="58" s="1"/>
  <c r="J31" i="14"/>
  <c r="J49" i="14"/>
  <c r="J25" i="14"/>
  <c r="Y122" i="86" l="1"/>
  <c r="AC16" i="99"/>
  <c r="AI16" i="99"/>
  <c r="AL12" i="99"/>
  <c r="AL11" i="99"/>
  <c r="D37" i="14"/>
  <c r="J40" i="14" s="1"/>
  <c r="Y123" i="86"/>
  <c r="AE92" i="3"/>
  <c r="O53" i="3" s="1"/>
  <c r="D40" i="14"/>
  <c r="AE61" i="3"/>
  <c r="M19" i="3"/>
  <c r="O20" i="3" s="1"/>
  <c r="O62" i="3" s="1"/>
  <c r="Q10" i="3" s="1"/>
  <c r="AJ47" i="2" s="1"/>
  <c r="AU60" i="58"/>
  <c r="AV63" i="58" s="1"/>
  <c r="AU63" i="58" s="1"/>
  <c r="D3" i="53"/>
  <c r="Q2" i="53"/>
  <c r="AV17" i="76"/>
  <c r="AL32" i="76"/>
  <c r="AL33" i="76" s="1"/>
  <c r="AK174" i="76"/>
  <c r="AK175" i="76" s="1"/>
  <c r="AK177" i="76" s="1"/>
  <c r="AK179" i="76" s="1"/>
  <c r="AK181" i="76" s="1"/>
  <c r="AL21" i="76" s="1"/>
  <c r="AL25" i="76" s="1"/>
  <c r="AR382" i="60"/>
  <c r="AV382" i="60"/>
  <c r="AS382" i="60"/>
  <c r="AU382" i="60"/>
  <c r="AQ382" i="60"/>
  <c r="AT382" i="60"/>
  <c r="AO382" i="60"/>
  <c r="AP382" i="60"/>
  <c r="C72" i="92"/>
  <c r="C60" i="92"/>
  <c r="AH60" i="92" s="1"/>
  <c r="E69" i="92" s="1"/>
  <c r="H21" i="60"/>
  <c r="B21" i="60"/>
  <c r="J42" i="14" l="1"/>
  <c r="J44" i="14" s="1"/>
  <c r="J45" i="14" s="1"/>
  <c r="J46" i="14" s="1"/>
  <c r="AE20" i="99"/>
  <c r="Y20" i="99"/>
  <c r="Y24" i="99" s="1"/>
  <c r="Y25" i="99" s="1"/>
  <c r="O51" i="3"/>
  <c r="O54" i="3"/>
  <c r="O52" i="3"/>
  <c r="Q54" i="3"/>
  <c r="O50" i="3"/>
  <c r="AL34" i="76"/>
  <c r="AT384" i="60"/>
  <c r="AP384" i="60"/>
  <c r="AV384" i="60"/>
  <c r="AR384" i="60"/>
  <c r="AE30" i="58"/>
  <c r="AP64" i="58"/>
  <c r="U10" i="33"/>
  <c r="U13" i="33"/>
  <c r="Y49" i="2"/>
  <c r="Z39" i="53"/>
  <c r="Z32" i="53"/>
  <c r="Z33" i="53"/>
  <c r="Z30" i="53"/>
  <c r="AY44" i="2"/>
  <c r="Z34" i="53"/>
  <c r="Z35" i="53"/>
  <c r="Z31" i="53"/>
  <c r="Z36" i="53"/>
  <c r="U9" i="53"/>
  <c r="U10" i="53"/>
  <c r="AJ62" i="2"/>
  <c r="L3" i="53"/>
  <c r="U8" i="53"/>
  <c r="Q3" i="53"/>
  <c r="L34" i="53" s="1"/>
  <c r="A21" i="60"/>
  <c r="H31" i="60"/>
  <c r="M31" i="60" s="1"/>
  <c r="C69" i="92"/>
  <c r="C77" i="92"/>
  <c r="B31" i="60"/>
  <c r="A31" i="60" s="1"/>
  <c r="A41" i="60" s="1"/>
  <c r="AN384" i="60" l="1"/>
  <c r="AL43" i="76"/>
  <c r="AL45" i="76" s="1"/>
  <c r="AL46" i="76" s="1"/>
  <c r="J43" i="14"/>
  <c r="J47" i="14" s="1"/>
  <c r="J48" i="14" s="1"/>
  <c r="AE24" i="99"/>
  <c r="AE25" i="99" s="1"/>
  <c r="AE26" i="99" s="1"/>
  <c r="AB26" i="99" s="1"/>
  <c r="AV34" i="76"/>
  <c r="AL80" i="2"/>
  <c r="A112" i="60"/>
  <c r="N112" i="60" s="1"/>
  <c r="K154" i="60" s="1"/>
  <c r="H35" i="60"/>
  <c r="M35" i="60" s="1"/>
  <c r="A26" i="60"/>
  <c r="B26" i="60" s="1"/>
  <c r="E48" i="60"/>
  <c r="E51" i="60"/>
  <c r="E50" i="60"/>
  <c r="E49" i="60"/>
  <c r="AZ44" i="2"/>
  <c r="AO45" i="2"/>
  <c r="AC15" i="33"/>
  <c r="AH78" i="92"/>
  <c r="E71" i="92"/>
  <c r="C71" i="92" s="1"/>
  <c r="AH82" i="92"/>
  <c r="AH71" i="92"/>
  <c r="AH76" i="92"/>
  <c r="L19" i="53"/>
  <c r="N17" i="53"/>
  <c r="L23" i="53"/>
  <c r="N28" i="53" s="1"/>
  <c r="N15" i="53"/>
  <c r="N16" i="53"/>
  <c r="L44" i="53"/>
  <c r="L57" i="53"/>
  <c r="N58" i="53" s="1"/>
  <c r="N60" i="53" s="1"/>
  <c r="L43" i="53"/>
  <c r="N22" i="53"/>
  <c r="N36" i="53"/>
  <c r="N38" i="53" s="1"/>
  <c r="AL44" i="76"/>
  <c r="AC10" i="33"/>
  <c r="BA56" i="58"/>
  <c r="BB56" i="58" s="1"/>
  <c r="AE31" i="58" s="1"/>
  <c r="M34" i="58" s="1"/>
  <c r="AE34" i="58" s="1"/>
  <c r="AS74" i="58"/>
  <c r="AR74" i="58"/>
  <c r="X27" i="99" l="1"/>
  <c r="W29" i="99" s="1"/>
  <c r="AH86" i="92"/>
  <c r="Y80" i="2" s="1"/>
  <c r="N31" i="53"/>
  <c r="L45" i="53"/>
  <c r="AL47" i="76"/>
  <c r="AV47" i="76" s="1"/>
  <c r="L162" i="60"/>
  <c r="K162" i="60"/>
  <c r="G159" i="60"/>
  <c r="H159" i="60" s="1"/>
  <c r="A159" i="60"/>
  <c r="B159" i="60" s="1"/>
  <c r="E53" i="60"/>
  <c r="A117" i="60"/>
  <c r="AJ51" i="2"/>
  <c r="P10" i="33" s="1"/>
  <c r="AX50" i="2"/>
  <c r="O60" i="3"/>
  <c r="AC73" i="2"/>
  <c r="AC72" i="2"/>
  <c r="AJ74" i="2"/>
  <c r="AC74" i="2"/>
  <c r="AC75" i="2"/>
  <c r="P29" i="99" l="1"/>
  <c r="L29" i="99"/>
  <c r="AI35" i="99" s="1"/>
  <c r="N41" i="53"/>
  <c r="L50" i="53" s="1"/>
  <c r="Z42" i="53"/>
  <c r="Z45" i="53" s="1"/>
  <c r="AL54" i="76"/>
  <c r="AV54" i="76" s="1"/>
  <c r="D60" i="3"/>
  <c r="O61" i="3"/>
  <c r="O63" i="3" s="1"/>
  <c r="B59" i="60"/>
  <c r="A59" i="60" s="1"/>
  <c r="H59" i="60"/>
  <c r="N59" i="60" s="1"/>
  <c r="N78" i="60" s="1"/>
  <c r="H78" i="60" s="1"/>
  <c r="B117" i="60"/>
  <c r="N117" i="60"/>
  <c r="A170" i="60"/>
  <c r="N46" i="53" l="1"/>
  <c r="N48" i="53" s="1"/>
  <c r="S49" i="53" s="1"/>
  <c r="AA44" i="99"/>
  <c r="AI36" i="99"/>
  <c r="AY46" i="2"/>
  <c r="Y48" i="2"/>
  <c r="AL56" i="76"/>
  <c r="B170" i="60"/>
  <c r="N170" i="60"/>
  <c r="N61" i="60"/>
  <c r="N63" i="60"/>
  <c r="J65" i="60"/>
  <c r="N64" i="60"/>
  <c r="N62" i="60"/>
  <c r="AV55" i="76"/>
  <c r="H117" i="60"/>
  <c r="A124" i="60"/>
  <c r="N131" i="60" s="1"/>
  <c r="B131" i="60" s="1"/>
  <c r="N124" i="60"/>
  <c r="S46" i="53" l="1"/>
  <c r="S50" i="53"/>
  <c r="AC25" i="79"/>
  <c r="S48" i="53"/>
  <c r="S47" i="53"/>
  <c r="AQ35" i="99"/>
  <c r="AE45" i="99"/>
  <c r="AQ39" i="99"/>
  <c r="AL8" i="82"/>
  <c r="AL9" i="82" s="1"/>
  <c r="AL30" i="82" s="1"/>
  <c r="W30" i="82" s="1"/>
  <c r="AL34" i="82" s="1"/>
  <c r="W34" i="82" s="1"/>
  <c r="AL11" i="82" s="1"/>
  <c r="AC42" i="82" s="1"/>
  <c r="AC50" i="2"/>
  <c r="AL58" i="76"/>
  <c r="H170" i="60"/>
  <c r="A183" i="60"/>
  <c r="G183" i="60" s="1"/>
  <c r="B124" i="60"/>
  <c r="A131" i="60"/>
  <c r="H124" i="60"/>
  <c r="AQ42" i="99" l="1"/>
  <c r="AQ43" i="99"/>
  <c r="AD43" i="82"/>
  <c r="AC28" i="82"/>
  <c r="AD45" i="82"/>
  <c r="AL35" i="82"/>
  <c r="AC35" i="82" s="1"/>
  <c r="AC36" i="82" s="1"/>
  <c r="W38" i="82"/>
  <c r="AL37" i="82"/>
  <c r="W37" i="82" s="1"/>
  <c r="AL10" i="82"/>
  <c r="B183" i="60"/>
  <c r="N139" i="60"/>
  <c r="B139" i="60" s="1"/>
  <c r="A139" i="60"/>
  <c r="A197" i="60"/>
  <c r="B197" i="60"/>
  <c r="AE46" i="99" l="1"/>
  <c r="AE48" i="99" s="1"/>
  <c r="AC15" i="80" s="1"/>
  <c r="AE193" i="76" s="1"/>
  <c r="W39" i="82"/>
  <c r="AC40" i="82" s="1"/>
  <c r="AC51" i="2" s="1"/>
  <c r="AJ9" i="82"/>
  <c r="AJ10" i="82"/>
  <c r="AL36" i="82"/>
  <c r="A211" i="60"/>
  <c r="A218" i="60" s="1"/>
  <c r="A149" i="60"/>
  <c r="N149" i="60"/>
  <c r="AL15" i="80" l="1"/>
  <c r="AC52" i="2"/>
  <c r="AC53" i="2" s="1"/>
  <c r="AA51" i="2"/>
  <c r="M13" i="33"/>
  <c r="H149" i="60"/>
  <c r="B149" i="60"/>
  <c r="B218" i="60"/>
  <c r="A225" i="60"/>
  <c r="G211" i="60"/>
  <c r="B211" i="60"/>
  <c r="AB7" i="36" l="1"/>
  <c r="AA7" i="36"/>
  <c r="Z9" i="36" s="1"/>
  <c r="AC7" i="36"/>
  <c r="AD7" i="36"/>
  <c r="AD6" i="36"/>
  <c r="AA6" i="36"/>
  <c r="Z8" i="36" s="1"/>
  <c r="AD9" i="36" s="1"/>
  <c r="AB6" i="36"/>
  <c r="AC6" i="36"/>
  <c r="V19" i="98"/>
  <c r="V23" i="98" s="1"/>
  <c r="W32" i="98" s="1"/>
  <c r="E35" i="51"/>
  <c r="AC13" i="33"/>
  <c r="AC17" i="33" s="1"/>
  <c r="AC22" i="33" s="1"/>
  <c r="N36" i="51"/>
  <c r="N34" i="51"/>
  <c r="N38" i="51"/>
  <c r="N73" i="98"/>
  <c r="N37" i="51"/>
  <c r="AX52" i="2"/>
  <c r="AE61" i="37"/>
  <c r="W71" i="37" s="1"/>
  <c r="E36" i="51"/>
  <c r="B225" i="60"/>
  <c r="G225" i="60"/>
  <c r="AO1" i="60"/>
  <c r="W24" i="98" l="1"/>
  <c r="Z24" i="98" s="1"/>
  <c r="V25" i="98"/>
  <c r="V26" i="98" s="1"/>
  <c r="V27" i="98" s="1"/>
  <c r="V28" i="98"/>
  <c r="V32" i="98"/>
  <c r="E43" i="51"/>
  <c r="Z25" i="98"/>
  <c r="AA25" i="98"/>
  <c r="Y24" i="98"/>
  <c r="S70" i="37"/>
  <c r="W72" i="37"/>
  <c r="BA52" i="2"/>
  <c r="BA53" i="2"/>
  <c r="AY52" i="2"/>
  <c r="AZ53" i="2"/>
  <c r="AY53" i="2"/>
  <c r="BB52" i="2"/>
  <c r="AZ52" i="2"/>
  <c r="BB53" i="2"/>
  <c r="C5" i="98"/>
  <c r="N74" i="98"/>
  <c r="N78" i="98"/>
  <c r="N81" i="98" s="1"/>
  <c r="N76" i="98"/>
  <c r="U33" i="33"/>
  <c r="U31" i="33"/>
  <c r="Y33" i="98"/>
  <c r="AA32" i="98"/>
  <c r="Z32" i="98"/>
  <c r="AA33" i="98"/>
  <c r="X33" i="98"/>
  <c r="Y32" i="98"/>
  <c r="X32" i="98"/>
  <c r="Z33" i="98"/>
  <c r="A235" i="60"/>
  <c r="H225" i="60"/>
  <c r="AX54" i="2" l="1"/>
  <c r="V33" i="98"/>
  <c r="V29" i="98"/>
  <c r="V30" i="98" s="1"/>
  <c r="Y25" i="98"/>
  <c r="AA24" i="98"/>
  <c r="X25" i="98"/>
  <c r="W27" i="98" s="1"/>
  <c r="AA27" i="98" s="1"/>
  <c r="V42" i="98" s="1"/>
  <c r="X24" i="98"/>
  <c r="W61" i="37"/>
  <c r="AJ59" i="2" s="1"/>
  <c r="V34" i="98"/>
  <c r="AX55" i="2"/>
  <c r="U79" i="98"/>
  <c r="X80" i="98" s="1"/>
  <c r="N83" i="98"/>
  <c r="U73" i="98" s="1"/>
  <c r="AC33" i="33"/>
  <c r="AC37" i="33"/>
  <c r="U44" i="33" s="1"/>
  <c r="BB55" i="2"/>
  <c r="W34" i="98"/>
  <c r="W35" i="98"/>
  <c r="G235" i="60"/>
  <c r="W26" i="98" l="1"/>
  <c r="N94" i="37"/>
  <c r="P74" i="37"/>
  <c r="P89" i="37"/>
  <c r="L80" i="37"/>
  <c r="P141" i="37"/>
  <c r="P134" i="37"/>
  <c r="S105" i="37"/>
  <c r="N86" i="37"/>
  <c r="N84" i="37"/>
  <c r="L106" i="37"/>
  <c r="L76" i="37"/>
  <c r="L87" i="37"/>
  <c r="L85" i="37"/>
  <c r="N81" i="37"/>
  <c r="L83" i="37"/>
  <c r="N102" i="37"/>
  <c r="X132" i="37" s="1"/>
  <c r="Y132" i="37" s="1"/>
  <c r="P135" i="37"/>
  <c r="L82" i="37"/>
  <c r="L96" i="37"/>
  <c r="L92" i="37"/>
  <c r="P137" i="37"/>
  <c r="S62" i="37"/>
  <c r="N103" i="37"/>
  <c r="P103" i="37" s="1"/>
  <c r="L99" i="37"/>
  <c r="L95" i="37"/>
  <c r="L105" i="37"/>
  <c r="P88" i="37"/>
  <c r="L101" i="37"/>
  <c r="R89" i="33"/>
  <c r="R90" i="33" s="1"/>
  <c r="AA71" i="37"/>
  <c r="AA128" i="37" s="1"/>
  <c r="X111" i="98"/>
  <c r="Z168" i="98" s="1"/>
  <c r="V35" i="98"/>
  <c r="V37" i="98" s="1"/>
  <c r="V38" i="98" s="1"/>
  <c r="V39" i="98" s="1"/>
  <c r="Y79" i="98"/>
  <c r="N84" i="98"/>
  <c r="X79" i="98"/>
  <c r="V79" i="98"/>
  <c r="Y80" i="98"/>
  <c r="W79" i="98"/>
  <c r="V80" i="98"/>
  <c r="W80" i="98"/>
  <c r="V85" i="98"/>
  <c r="L26" i="98"/>
  <c r="U42" i="33"/>
  <c r="W73" i="98"/>
  <c r="V73" i="98"/>
  <c r="X74" i="98"/>
  <c r="W74" i="98"/>
  <c r="X73" i="98"/>
  <c r="V74" i="98"/>
  <c r="Y73" i="98"/>
  <c r="Y74" i="98"/>
  <c r="S104" i="37"/>
  <c r="X141" i="37"/>
  <c r="AA35" i="98"/>
  <c r="V40" i="98" s="1"/>
  <c r="H235" i="60"/>
  <c r="A243" i="60"/>
  <c r="U76" i="98" l="1"/>
  <c r="Y76" i="98" s="1"/>
  <c r="V36" i="98"/>
  <c r="AA132" i="37"/>
  <c r="AB132" i="37"/>
  <c r="AA133" i="37"/>
  <c r="Z132" i="37"/>
  <c r="Y133" i="37"/>
  <c r="AB133" i="37"/>
  <c r="Z133" i="37"/>
  <c r="X168" i="98"/>
  <c r="X112" i="98"/>
  <c r="X130" i="98" s="1"/>
  <c r="V41" i="98"/>
  <c r="V43" i="98" s="1"/>
  <c r="U82" i="98"/>
  <c r="Y82" i="98" s="1"/>
  <c r="N93" i="98" s="1"/>
  <c r="U81" i="98"/>
  <c r="U75" i="98"/>
  <c r="X135" i="37"/>
  <c r="AB135" i="37" s="1"/>
  <c r="L35" i="98"/>
  <c r="L51" i="98"/>
  <c r="U59" i="98"/>
  <c r="L43" i="98"/>
  <c r="L40" i="98"/>
  <c r="V89" i="98"/>
  <c r="W90" i="98"/>
  <c r="V91" i="98"/>
  <c r="V94" i="98"/>
  <c r="V98" i="98"/>
  <c r="AC42" i="33"/>
  <c r="AC44" i="33"/>
  <c r="AC46" i="33" s="1"/>
  <c r="AC48" i="33" s="1"/>
  <c r="X129" i="98"/>
  <c r="X125" i="98"/>
  <c r="U164" i="98"/>
  <c r="X127" i="98"/>
  <c r="Y134" i="98" s="1"/>
  <c r="AA141" i="37"/>
  <c r="AA142" i="37"/>
  <c r="Z142" i="37"/>
  <c r="Y141" i="37"/>
  <c r="AB142" i="37"/>
  <c r="AB141" i="37"/>
  <c r="Z141" i="37"/>
  <c r="Y142" i="37"/>
  <c r="L115" i="37"/>
  <c r="N116" i="37"/>
  <c r="L111" i="37"/>
  <c r="P117" i="37"/>
  <c r="L114" i="37"/>
  <c r="L113" i="37"/>
  <c r="L118" i="37"/>
  <c r="S119" i="37"/>
  <c r="N107" i="37"/>
  <c r="S120" i="37"/>
  <c r="G243" i="60"/>
  <c r="B243" i="60"/>
  <c r="X134" i="37" l="1"/>
  <c r="X144" i="37"/>
  <c r="AB144" i="37" s="1"/>
  <c r="L41" i="98"/>
  <c r="L42" i="98" s="1"/>
  <c r="X143" i="37"/>
  <c r="Z90" i="98"/>
  <c r="X90" i="98"/>
  <c r="Y90" i="98"/>
  <c r="AA90" i="98"/>
  <c r="AA91" i="98"/>
  <c r="X91" i="98"/>
  <c r="Y91" i="98"/>
  <c r="Z91" i="98"/>
  <c r="W98" i="98"/>
  <c r="V92" i="98"/>
  <c r="V93" i="98" s="1"/>
  <c r="L52" i="98"/>
  <c r="L53" i="98" s="1"/>
  <c r="L44" i="98"/>
  <c r="L45" i="98" s="1"/>
  <c r="V59" i="98"/>
  <c r="W60" i="98"/>
  <c r="X59" i="98"/>
  <c r="X60" i="98"/>
  <c r="Y60" i="98"/>
  <c r="V60" i="98"/>
  <c r="W59" i="98"/>
  <c r="Y59" i="98"/>
  <c r="AX226" i="74"/>
  <c r="AX96" i="74"/>
  <c r="U52" i="98"/>
  <c r="AX356" i="74"/>
  <c r="X137" i="98"/>
  <c r="X138" i="98" s="1"/>
  <c r="X134" i="98"/>
  <c r="W164" i="98"/>
  <c r="W165" i="98"/>
  <c r="X165" i="98"/>
  <c r="V165" i="98"/>
  <c r="V164" i="98"/>
  <c r="X164" i="98"/>
  <c r="Y164" i="98"/>
  <c r="Y165" i="98"/>
  <c r="X128" i="98"/>
  <c r="X133" i="98" s="1"/>
  <c r="X135" i="98" s="1"/>
  <c r="X131" i="98"/>
  <c r="X132" i="98" s="1"/>
  <c r="U157" i="98" s="1"/>
  <c r="U54" i="33"/>
  <c r="U52" i="33"/>
  <c r="AC54" i="33" s="1"/>
  <c r="L126" i="37"/>
  <c r="P132" i="37"/>
  <c r="L123" i="37"/>
  <c r="N120" i="37"/>
  <c r="N130" i="37"/>
  <c r="P128" i="37"/>
  <c r="N131" i="37"/>
  <c r="J124" i="37"/>
  <c r="N127" i="37"/>
  <c r="S130" i="37"/>
  <c r="J125" i="37"/>
  <c r="S123" i="37"/>
  <c r="P121" i="37"/>
  <c r="H243" i="60"/>
  <c r="A252" i="60"/>
  <c r="G252" i="60" s="1"/>
  <c r="U62" i="98" l="1"/>
  <c r="U167" i="98"/>
  <c r="Y167" i="98" s="1"/>
  <c r="X162" i="98" s="1"/>
  <c r="U166" i="98"/>
  <c r="W93" i="98"/>
  <c r="AA93" i="98" s="1"/>
  <c r="V108" i="98" s="1"/>
  <c r="U61" i="98"/>
  <c r="Y62" i="98" s="1"/>
  <c r="N65" i="98" s="1"/>
  <c r="W92" i="98"/>
  <c r="L54" i="98"/>
  <c r="V95" i="98"/>
  <c r="V96" i="98" s="1"/>
  <c r="V99" i="98"/>
  <c r="V100" i="98" s="1"/>
  <c r="X98" i="98"/>
  <c r="X99" i="98"/>
  <c r="AA99" i="98"/>
  <c r="Z99" i="98"/>
  <c r="AA98" i="98"/>
  <c r="Y99" i="98"/>
  <c r="Y98" i="98"/>
  <c r="Z98" i="98"/>
  <c r="Y52" i="98"/>
  <c r="W53" i="98"/>
  <c r="V53" i="98"/>
  <c r="W52" i="98"/>
  <c r="V52" i="98"/>
  <c r="X53" i="98"/>
  <c r="Y53" i="98"/>
  <c r="X52" i="98"/>
  <c r="X136" i="98"/>
  <c r="X158" i="98"/>
  <c r="X157" i="98"/>
  <c r="W158" i="98"/>
  <c r="W157" i="98"/>
  <c r="Y158" i="98"/>
  <c r="V158" i="98"/>
  <c r="U160" i="98" s="1"/>
  <c r="Y157" i="98"/>
  <c r="V157" i="98"/>
  <c r="X139" i="98"/>
  <c r="X140" i="98" s="1"/>
  <c r="X141" i="98" s="1"/>
  <c r="K256" i="60"/>
  <c r="K266" i="60"/>
  <c r="A315" i="60"/>
  <c r="K276" i="60"/>
  <c r="K260" i="60"/>
  <c r="H252" i="60"/>
  <c r="U159" i="98" l="1"/>
  <c r="Y160" i="98" s="1"/>
  <c r="X155" i="98" s="1"/>
  <c r="U55" i="98"/>
  <c r="Y55" i="98" s="1"/>
  <c r="N61" i="98" s="1"/>
  <c r="U54" i="98"/>
  <c r="W101" i="98"/>
  <c r="W100" i="98"/>
  <c r="AA101" i="98" s="1"/>
  <c r="V106" i="98" s="1"/>
  <c r="V101" i="98"/>
  <c r="N55" i="98"/>
  <c r="L56" i="98"/>
  <c r="L57" i="98" s="1"/>
  <c r="N58" i="98" s="1"/>
  <c r="N62" i="98" s="1"/>
  <c r="X142" i="98"/>
  <c r="X143" i="98"/>
  <c r="Y143" i="98" s="1"/>
  <c r="K285" i="60"/>
  <c r="K287" i="60" s="1"/>
  <c r="K303" i="60" s="1"/>
  <c r="AN353" i="60" s="1"/>
  <c r="AN354" i="60" s="1"/>
  <c r="AN356" i="60" s="1"/>
  <c r="A405" i="60"/>
  <c r="L315" i="60"/>
  <c r="N69" i="98" l="1"/>
  <c r="AX357" i="74"/>
  <c r="AX358" i="74" s="1"/>
  <c r="BG368" i="74" s="1"/>
  <c r="BG380" i="74" s="1"/>
  <c r="AX227" i="74"/>
  <c r="AX228" i="74" s="1"/>
  <c r="BG238" i="74" s="1"/>
  <c r="BG250" i="74" s="1"/>
  <c r="AX97" i="74"/>
  <c r="AX98" i="74" s="1"/>
  <c r="BG108" i="74" s="1"/>
  <c r="BG120" i="74" s="1"/>
  <c r="AB107" i="74" s="1"/>
  <c r="AL110" i="74" s="1"/>
  <c r="AL118" i="74" s="1"/>
  <c r="V103" i="98"/>
  <c r="V104" i="98" s="1"/>
  <c r="V105" i="98" s="1"/>
  <c r="V102" i="98"/>
  <c r="X149" i="98"/>
  <c r="X154" i="98"/>
  <c r="X144" i="98"/>
  <c r="X145" i="98" s="1"/>
  <c r="X150" i="98"/>
  <c r="X147" i="98"/>
  <c r="X152" i="98"/>
  <c r="X151" i="98"/>
  <c r="X153" i="98"/>
  <c r="X148" i="98"/>
  <c r="X146" i="98"/>
  <c r="M327" i="60"/>
  <c r="B326" i="60" s="1"/>
  <c r="M330" i="60"/>
  <c r="B329" i="60" s="1"/>
  <c r="M321" i="60"/>
  <c r="L321" i="60" s="1"/>
  <c r="M324" i="60"/>
  <c r="B323" i="60" s="1"/>
  <c r="L327" i="60"/>
  <c r="AT355" i="60"/>
  <c r="AO355" i="60"/>
  <c r="AQ355" i="60"/>
  <c r="AU355" i="60"/>
  <c r="AS355" i="60"/>
  <c r="AV355" i="60"/>
  <c r="AR355" i="60"/>
  <c r="AP355" i="60"/>
  <c r="H315" i="60"/>
  <c r="B405" i="60"/>
  <c r="A414" i="60"/>
  <c r="O424" i="60" s="1"/>
  <c r="O461" i="60"/>
  <c r="O453" i="60"/>
  <c r="A430" i="60"/>
  <c r="O463" i="60"/>
  <c r="L324" i="60" l="1"/>
  <c r="AL122" i="74"/>
  <c r="AL125" i="74"/>
  <c r="V107" i="98"/>
  <c r="V109" i="98" s="1"/>
  <c r="AA110" i="98" s="1"/>
  <c r="X161" i="98"/>
  <c r="L330" i="60"/>
  <c r="M332" i="60"/>
  <c r="H332" i="60" s="1"/>
  <c r="B320" i="60"/>
  <c r="A332" i="60"/>
  <c r="B332" i="60" s="1"/>
  <c r="O422" i="60"/>
  <c r="G316" i="60"/>
  <c r="AR357" i="60"/>
  <c r="AP357" i="60"/>
  <c r="AV357" i="60"/>
  <c r="AT357" i="60"/>
  <c r="O442" i="60"/>
  <c r="O439" i="60"/>
  <c r="O436" i="60"/>
  <c r="O416" i="60"/>
  <c r="O418" i="60"/>
  <c r="M469" i="60"/>
  <c r="M475" i="60"/>
  <c r="B474" i="60" s="1"/>
  <c r="M472" i="60"/>
  <c r="B471" i="60" s="1"/>
  <c r="M478" i="60"/>
  <c r="B477" i="60" s="1"/>
  <c r="AL256" i="74" l="1"/>
  <c r="AR129" i="74"/>
  <c r="AR27" i="74" s="1"/>
  <c r="AL386" i="74"/>
  <c r="Y77" i="98"/>
  <c r="N89" i="98"/>
  <c r="N96" i="98" s="1"/>
  <c r="AC56" i="2" s="1"/>
  <c r="N86" i="98"/>
  <c r="A339" i="60"/>
  <c r="M339" i="60" s="1"/>
  <c r="H339" i="60" s="1"/>
  <c r="AP1" i="60" s="1"/>
  <c r="AN357" i="60"/>
  <c r="O420" i="60"/>
  <c r="A480" i="60"/>
  <c r="B468" i="60"/>
  <c r="A483" i="60"/>
  <c r="B483" i="60" s="1"/>
  <c r="A347" i="60" l="1"/>
  <c r="AL126" i="74"/>
  <c r="AB389" i="74"/>
  <c r="AB390" i="74"/>
  <c r="AB388" i="74"/>
  <c r="AB393" i="74"/>
  <c r="AB392" i="74"/>
  <c r="AB387" i="74"/>
  <c r="AL394" i="74" s="1"/>
  <c r="AL395" i="74" s="1"/>
  <c r="AL398" i="74" s="1"/>
  <c r="AB391" i="74"/>
  <c r="AB260" i="74"/>
  <c r="AB258" i="74"/>
  <c r="AB257" i="74"/>
  <c r="AB259" i="74"/>
  <c r="AB263" i="74"/>
  <c r="AB261" i="74"/>
  <c r="AL264" i="74" s="1"/>
  <c r="AB262" i="74"/>
  <c r="AC58" i="33"/>
  <c r="B347" i="60"/>
  <c r="K351" i="60"/>
  <c r="L353" i="60"/>
  <c r="B503" i="60"/>
  <c r="M497" i="60"/>
  <c r="B480" i="60"/>
  <c r="M488" i="60"/>
  <c r="AN489" i="60" s="1"/>
  <c r="AN490" i="60" s="1"/>
  <c r="AN492" i="60" s="1"/>
  <c r="O491" i="60"/>
  <c r="AL265" i="74" l="1"/>
  <c r="AL268" i="74" s="1"/>
  <c r="BB255" i="74" s="1"/>
  <c r="BB384" i="74"/>
  <c r="BB385" i="74"/>
  <c r="AB130" i="74"/>
  <c r="AB127" i="74"/>
  <c r="AB133" i="74"/>
  <c r="AB128" i="74"/>
  <c r="AB132" i="74"/>
  <c r="AB131" i="74"/>
  <c r="AB129" i="74"/>
  <c r="BB256" i="74"/>
  <c r="U64" i="33"/>
  <c r="U62" i="33"/>
  <c r="P1" i="33" s="1"/>
  <c r="R53" i="33" s="1"/>
  <c r="O494" i="60"/>
  <c r="N1" i="60" s="1"/>
  <c r="W72" i="2" s="1"/>
  <c r="AT491" i="60"/>
  <c r="AU491" i="60"/>
  <c r="AR491" i="60"/>
  <c r="AQ491" i="60"/>
  <c r="AS491" i="60"/>
  <c r="AP491" i="60"/>
  <c r="AO491" i="60"/>
  <c r="AV491" i="60"/>
  <c r="A501" i="60"/>
  <c r="M511" i="60"/>
  <c r="M514" i="60"/>
  <c r="AN516" i="60"/>
  <c r="AN517" i="60" s="1"/>
  <c r="AN519" i="60" s="1"/>
  <c r="A357" i="60"/>
  <c r="L357" i="60"/>
  <c r="A1" i="60"/>
  <c r="B1" i="60"/>
  <c r="AL134" i="74" l="1"/>
  <c r="AL135" i="74" s="1"/>
  <c r="AL138" i="74" s="1"/>
  <c r="M2" i="33"/>
  <c r="M17" i="33"/>
  <c r="K17" i="33" s="1"/>
  <c r="P2" i="33"/>
  <c r="M14" i="33"/>
  <c r="M16" i="33"/>
  <c r="AC119" i="33"/>
  <c r="P67" i="33"/>
  <c r="M107" i="33"/>
  <c r="M22" i="33"/>
  <c r="P91" i="33"/>
  <c r="P48" i="33"/>
  <c r="M92" i="33"/>
  <c r="M87" i="33"/>
  <c r="M100" i="33"/>
  <c r="M76" i="33"/>
  <c r="O116" i="33" s="1"/>
  <c r="M74" i="33"/>
  <c r="M80" i="33" s="1"/>
  <c r="P90" i="33"/>
  <c r="P68" i="33"/>
  <c r="AV493" i="60"/>
  <c r="AP493" i="60"/>
  <c r="AR493" i="60"/>
  <c r="AT493" i="60"/>
  <c r="AN1" i="60"/>
  <c r="A61" i="60"/>
  <c r="K360" i="60"/>
  <c r="B366" i="60" s="1"/>
  <c r="L383" i="60" s="1"/>
  <c r="AU518" i="60"/>
  <c r="AV518" i="60"/>
  <c r="AP518" i="60"/>
  <c r="AQ518" i="60"/>
  <c r="AO518" i="60"/>
  <c r="AR518" i="60"/>
  <c r="AT518" i="60"/>
  <c r="AS518" i="60"/>
  <c r="B501" i="60"/>
  <c r="B513" i="60" s="1"/>
  <c r="A503" i="60"/>
  <c r="B372" i="60" l="1"/>
  <c r="L373" i="60" s="1"/>
  <c r="B375" i="60"/>
  <c r="L376" i="60" s="1"/>
  <c r="BB130" i="74"/>
  <c r="AC12" i="80"/>
  <c r="AC11" i="80" s="1"/>
  <c r="M60" i="33" s="1"/>
  <c r="M61" i="33" s="1"/>
  <c r="BB129" i="74"/>
  <c r="AD133" i="86"/>
  <c r="P22" i="33"/>
  <c r="P37" i="33" s="1"/>
  <c r="M37" i="33" s="1"/>
  <c r="M93" i="33"/>
  <c r="M102" i="33" s="1"/>
  <c r="M108" i="33" s="1"/>
  <c r="M109" i="33" s="1"/>
  <c r="O109" i="33"/>
  <c r="M38" i="33"/>
  <c r="AN493" i="60"/>
  <c r="AR520" i="60"/>
  <c r="AV520" i="60"/>
  <c r="AT520" i="60"/>
  <c r="AP520" i="60"/>
  <c r="L511" i="60"/>
  <c r="L514" i="60"/>
  <c r="A513" i="60"/>
  <c r="A510" i="60"/>
  <c r="A364" i="60"/>
  <c r="A366" i="60"/>
  <c r="M373" i="60" s="1"/>
  <c r="AN520" i="60" l="1"/>
  <c r="AE190" i="76"/>
  <c r="AH88" i="33"/>
  <c r="AH70" i="33"/>
  <c r="P44" i="33" s="1"/>
  <c r="B364" i="60"/>
  <c r="A516" i="60"/>
  <c r="B510" i="60"/>
  <c r="A518" i="60"/>
  <c r="B518" i="60" s="1"/>
  <c r="O521" i="60" s="1"/>
  <c r="O524" i="60" s="1"/>
  <c r="M376" i="60"/>
  <c r="A380" i="60" s="1"/>
  <c r="B380" i="60" s="1"/>
  <c r="AA85" i="33" l="1"/>
  <c r="AA87" i="33" s="1"/>
  <c r="AC88" i="33" s="1"/>
  <c r="AA81" i="33"/>
  <c r="M45" i="33"/>
  <c r="R45" i="33" s="1"/>
  <c r="R46" i="33" s="1"/>
  <c r="AC79" i="33"/>
  <c r="V76" i="33"/>
  <c r="B516" i="60"/>
  <c r="O528" i="60"/>
  <c r="AA528" i="60" s="1"/>
  <c r="A378" i="60"/>
  <c r="AC91" i="33" l="1"/>
  <c r="M47" i="33"/>
  <c r="AC97" i="33" s="1"/>
  <c r="AA101" i="33" s="1"/>
  <c r="AC104" i="33" s="1"/>
  <c r="AE135" i="33" s="1"/>
  <c r="P46" i="33"/>
  <c r="B378" i="60"/>
  <c r="M390" i="60"/>
  <c r="AC99" i="33" l="1"/>
  <c r="AC118" i="33"/>
  <c r="AC105" i="33"/>
  <c r="M70" i="33" s="1"/>
  <c r="AE134" i="33"/>
  <c r="O538" i="60"/>
  <c r="O390" i="60"/>
  <c r="C1" i="60" s="1"/>
  <c r="M122" i="33" l="1"/>
  <c r="M94" i="33"/>
  <c r="M95" i="33" s="1"/>
  <c r="O107" i="33"/>
  <c r="M81" i="33"/>
  <c r="M82" i="33" s="1"/>
  <c r="M84" i="33" s="1"/>
  <c r="AD132" i="86"/>
  <c r="AD135" i="86" s="1"/>
  <c r="AD136" i="86" s="1"/>
  <c r="AE127" i="33"/>
  <c r="AE128" i="33"/>
  <c r="Y72" i="2"/>
  <c r="M96" i="33" l="1"/>
  <c r="M110" i="33" s="1"/>
  <c r="M111" i="33" s="1"/>
  <c r="Y124" i="86"/>
  <c r="Y126" i="86" s="1"/>
  <c r="D2" i="86"/>
  <c r="M112" i="33" l="1"/>
  <c r="O113" i="33" s="1"/>
  <c r="AE198" i="76"/>
  <c r="AE200" i="76" s="1"/>
  <c r="W21" i="80"/>
  <c r="P113" i="33" l="1"/>
  <c r="M119" i="33"/>
  <c r="M118" i="33"/>
  <c r="M114" i="33"/>
  <c r="M115" i="33" s="1"/>
  <c r="M117" i="33"/>
  <c r="P116" i="33"/>
  <c r="AX52" i="90"/>
  <c r="AC21" i="80"/>
  <c r="AC32" i="80" s="1"/>
  <c r="AC34" i="80" s="1"/>
  <c r="AC61" i="2" s="1"/>
  <c r="M120" i="33" l="1"/>
  <c r="M124" i="33" s="1"/>
  <c r="M52" i="33" l="1"/>
  <c r="M57" i="33" s="1"/>
  <c r="M62" i="33" s="1"/>
  <c r="R62" i="33" s="1"/>
  <c r="AC11" i="79" s="1"/>
  <c r="AC13" i="79" s="1"/>
  <c r="AC58" i="2" s="1"/>
  <c r="AC59" i="2" s="1"/>
  <c r="AC111" i="33"/>
  <c r="AX50" i="90" l="1"/>
  <c r="AX53" i="90" s="1"/>
  <c r="AX54" i="90" s="1"/>
  <c r="AK187" i="76"/>
  <c r="AK202" i="76" s="1"/>
  <c r="AK217" i="76" s="1"/>
  <c r="AL63" i="76" s="1"/>
  <c r="AE58" i="33"/>
  <c r="AL64" i="76" l="1"/>
  <c r="AS68" i="76"/>
  <c r="AS69" i="76" s="1"/>
  <c r="AL85" i="76" l="1"/>
  <c r="AL81" i="76"/>
  <c r="AD84" i="76"/>
  <c r="AG84" i="76" s="1"/>
  <c r="AB85" i="76" l="1"/>
  <c r="AL86" i="76"/>
  <c r="AG86" i="76" s="1"/>
  <c r="AE89" i="76" s="1"/>
  <c r="D94" i="76" s="1"/>
  <c r="AL84" i="76"/>
  <c r="X90" i="76" l="1"/>
  <c r="AS98" i="76"/>
  <c r="AL88" i="76"/>
  <c r="D99" i="76"/>
  <c r="D97" i="76"/>
  <c r="D92" i="76"/>
  <c r="AE94" i="76" s="1"/>
  <c r="AL95" i="76" s="1"/>
  <c r="AG98" i="76" s="1"/>
  <c r="AD98" i="76" l="1"/>
  <c r="AD100" i="76"/>
  <c r="AG100" i="76" s="1"/>
  <c r="AL101" i="76" s="1"/>
  <c r="AE105" i="76" s="1"/>
  <c r="AS97" i="76"/>
  <c r="AL116" i="76" l="1"/>
  <c r="AE112" i="76"/>
  <c r="AE107" i="76"/>
  <c r="AE108" i="76" s="1"/>
  <c r="AL113" i="76" s="1"/>
  <c r="AL114" i="76" s="1"/>
  <c r="AL117" i="76" s="1"/>
  <c r="AL69" i="76" s="1"/>
  <c r="AL70" i="76" s="1"/>
  <c r="AL75" i="76" l="1"/>
  <c r="AV70" i="76"/>
  <c r="AL76" i="76"/>
  <c r="AV76" i="76" s="1"/>
  <c r="AL78" i="76" s="1"/>
  <c r="AL80" i="76" l="1"/>
  <c r="AS80" i="76" s="1"/>
  <c r="AC60" i="2"/>
  <c r="AC62" i="2" s="1"/>
  <c r="AC63" i="2" s="1"/>
  <c r="U37" i="68" s="1"/>
  <c r="Y78" i="2"/>
  <c r="AC82" i="2" s="1"/>
  <c r="AC83" i="2" s="1"/>
  <c r="U40" i="68"/>
  <c r="S40" i="68" s="1"/>
  <c r="AV77" i="76"/>
  <c r="AL120" i="76" s="1"/>
  <c r="AL121" i="76" l="1"/>
  <c r="AL130" i="76"/>
  <c r="AL132" i="76" s="1"/>
  <c r="AV132" i="76" s="1"/>
  <c r="AL140" i="76" s="1"/>
  <c r="AL122" i="76"/>
  <c r="AL124" i="76" s="1"/>
  <c r="E38" i="51"/>
  <c r="AL136" i="76" l="1"/>
  <c r="AL137" i="76"/>
  <c r="AL141" i="76"/>
  <c r="AL138" i="76"/>
  <c r="AL143" i="76"/>
  <c r="AL145" i="76"/>
  <c r="AC69" i="79" s="1"/>
  <c r="U38" i="68" s="1"/>
  <c r="U39" i="68" s="1"/>
  <c r="U42" i="68" s="1"/>
  <c r="AL142" i="76"/>
  <c r="AC72" i="79" l="1"/>
  <c r="AC64" i="2" s="1"/>
  <c r="AC65" i="2" s="1"/>
  <c r="E37" i="51" s="1"/>
  <c r="U41" i="68"/>
  <c r="V43" i="68"/>
  <c r="AC84" i="2" l="1"/>
  <c r="S43" i="68"/>
  <c r="U44" i="68"/>
  <c r="U45" i="68" s="1"/>
  <c r="U48" i="68" s="1"/>
  <c r="G39" i="51"/>
  <c r="G41" i="51"/>
  <c r="E39" i="51"/>
  <c r="B39" i="51" s="1"/>
  <c r="B41" i="51"/>
  <c r="AC85" i="2"/>
  <c r="W88" i="2" s="1"/>
  <c r="AJ94" i="2" s="1"/>
  <c r="C2" i="68" l="1"/>
  <c r="Z17" i="68"/>
  <c r="AC88" i="2"/>
  <c r="AC86" i="2"/>
  <c r="AC87" i="2"/>
  <c r="U46" i="68"/>
  <c r="S68" i="68" s="1"/>
  <c r="U47" i="68" l="1"/>
  <c r="V77" i="68"/>
  <c r="R77" i="68"/>
  <c r="W48" i="68"/>
  <c r="T77" i="68"/>
  <c r="P77" i="68"/>
  <c r="P80" i="68" s="1"/>
  <c r="T98" i="68" l="1"/>
  <c r="T180" i="68" s="1"/>
  <c r="R91" i="68"/>
  <c r="R93" i="68" s="1"/>
  <c r="V91" i="68"/>
  <c r="V93" i="68" s="1"/>
  <c r="R89" i="68"/>
  <c r="U107" i="68"/>
  <c r="W90" i="2" s="1"/>
  <c r="P93" i="68"/>
  <c r="V98" i="68"/>
  <c r="V180" i="68" s="1"/>
  <c r="T89" i="68"/>
  <c r="R95" i="68"/>
  <c r="P101" i="68"/>
  <c r="R88" i="68" s="1"/>
  <c r="P98" i="68"/>
  <c r="P180" i="68" s="1"/>
  <c r="R98" i="68"/>
  <c r="R180" i="68" s="1"/>
  <c r="V89" i="68"/>
  <c r="R101" i="68"/>
  <c r="T95" i="68"/>
  <c r="T101" i="68"/>
  <c r="V101" i="68"/>
  <c r="T91" i="68"/>
  <c r="T93" i="68" s="1"/>
  <c r="BR282" i="68" l="1"/>
  <c r="BV247" i="68"/>
  <c r="BV245" i="68"/>
  <c r="BW253" i="68"/>
  <c r="BT290" i="68"/>
  <c r="BY248" i="68"/>
  <c r="BS291" i="68"/>
  <c r="BR259" i="68"/>
  <c r="BV254" i="68"/>
  <c r="BU288" i="68"/>
  <c r="BU254" i="68"/>
  <c r="BR279" i="68"/>
  <c r="BT283" i="68"/>
  <c r="BY243" i="68"/>
  <c r="BY253" i="68"/>
  <c r="BT264" i="68"/>
  <c r="BW247" i="68"/>
  <c r="BU257" i="68"/>
  <c r="BT246" i="68"/>
  <c r="BW266" i="68"/>
  <c r="BT273" i="68"/>
  <c r="BX273" i="68"/>
  <c r="BT279" i="68"/>
  <c r="BV273" i="68"/>
  <c r="BY254" i="68"/>
  <c r="BX271" i="68"/>
  <c r="BR260" i="68"/>
  <c r="BR295" i="68"/>
  <c r="BT282" i="68"/>
  <c r="BS248" i="68"/>
  <c r="BR262" i="68"/>
  <c r="BR252" i="68"/>
  <c r="BX266" i="68"/>
  <c r="BV264" i="68"/>
  <c r="BS263" i="68"/>
  <c r="BR269" i="68"/>
  <c r="BW250" i="68"/>
  <c r="BX277" i="68"/>
  <c r="BS271" i="68"/>
  <c r="BV280" i="68"/>
  <c r="BV250" i="68"/>
  <c r="BS257" i="68"/>
  <c r="BX265" i="68"/>
  <c r="BU295" i="68"/>
  <c r="BW264" i="68"/>
  <c r="BT269" i="68"/>
  <c r="BR285" i="68"/>
  <c r="BV272" i="68"/>
  <c r="BR284" i="68"/>
  <c r="BU253" i="68"/>
  <c r="BX252" i="68"/>
  <c r="BU272" i="68"/>
  <c r="BS286" i="68"/>
  <c r="BS296" i="68"/>
  <c r="BV259" i="68"/>
  <c r="BY294" i="68"/>
  <c r="BT268" i="68"/>
  <c r="BY249" i="68"/>
  <c r="T183" i="68"/>
  <c r="T182" i="68" s="1"/>
  <c r="T181" i="68" s="1"/>
  <c r="BT252" i="68"/>
  <c r="BW245" i="68"/>
  <c r="R183" i="68"/>
  <c r="R182" i="68" s="1"/>
  <c r="R181" i="68" s="1"/>
  <c r="BX261" i="68"/>
  <c r="BV289" i="68"/>
  <c r="BT271" i="68"/>
  <c r="BU252" i="68"/>
  <c r="BU256" i="68"/>
  <c r="BV261" i="68"/>
  <c r="BR286" i="68"/>
  <c r="BT258" i="68"/>
  <c r="BT248" i="68"/>
  <c r="BW254" i="68"/>
  <c r="BW284" i="68"/>
  <c r="BT244" i="68"/>
  <c r="BS295" i="68"/>
  <c r="BS281" i="68"/>
  <c r="BR251" i="68"/>
  <c r="BR274" i="68"/>
  <c r="BY258" i="68"/>
  <c r="BS278" i="68"/>
  <c r="BY244" i="68"/>
  <c r="BV288" i="68"/>
  <c r="BU292" i="68"/>
  <c r="BY251" i="68"/>
  <c r="BY282" i="68"/>
  <c r="BT247" i="68"/>
  <c r="BT243" i="68"/>
  <c r="BW276" i="68"/>
  <c r="BX293" i="68"/>
  <c r="BW258" i="68"/>
  <c r="P183" i="68"/>
  <c r="P182" i="68" s="1"/>
  <c r="P181" i="68" s="1"/>
  <c r="BW259" i="68"/>
  <c r="BU271" i="68"/>
  <c r="BU244" i="68"/>
  <c r="BR273" i="68"/>
  <c r="BV271" i="68"/>
  <c r="BX285" i="68"/>
  <c r="BY272" i="68"/>
  <c r="BY288" i="68"/>
  <c r="BY262" i="68"/>
  <c r="BR293" i="68"/>
  <c r="BY278" i="68"/>
  <c r="BS254" i="68"/>
  <c r="BU290" i="68"/>
  <c r="BW244" i="68"/>
  <c r="BW252" i="68"/>
  <c r="BU258" i="68"/>
  <c r="BR244" i="68"/>
  <c r="BS289" i="68"/>
  <c r="BV258" i="68"/>
  <c r="BY283" i="68"/>
  <c r="BW268" i="68"/>
  <c r="BV283" i="68"/>
  <c r="BW287" i="68"/>
  <c r="BS249" i="68"/>
  <c r="BW274" i="68"/>
  <c r="BU279" i="68"/>
  <c r="BV244" i="68"/>
  <c r="BV252" i="68"/>
  <c r="BY270" i="68"/>
  <c r="BV253" i="68"/>
  <c r="BU262" i="68"/>
  <c r="BW290" i="68"/>
  <c r="BW246" i="68"/>
  <c r="BT284" i="68"/>
  <c r="BY285" i="68"/>
  <c r="BV285" i="68"/>
  <c r="BS247" i="68"/>
  <c r="BX283" i="68"/>
  <c r="BS256" i="68"/>
  <c r="BR256" i="68"/>
  <c r="BR257" i="68"/>
  <c r="BU287" i="68"/>
  <c r="BR291" i="68"/>
  <c r="BR246" i="68"/>
  <c r="BW243" i="68"/>
  <c r="BX255" i="68"/>
  <c r="BW289" i="68"/>
  <c r="BS282" i="68"/>
  <c r="BT291" i="68"/>
  <c r="BX269" i="68"/>
  <c r="BW293" i="68"/>
  <c r="BU296" i="68"/>
  <c r="BW294" i="68"/>
  <c r="BT255" i="68"/>
  <c r="BU247" i="68"/>
  <c r="BR265" i="68"/>
  <c r="BY268" i="68"/>
  <c r="BW255" i="68"/>
  <c r="BS261" i="68"/>
  <c r="BY269" i="68"/>
  <c r="BX275" i="68"/>
  <c r="BW269" i="68"/>
  <c r="BT292" i="68"/>
  <c r="BW280" i="68"/>
  <c r="BW281" i="68"/>
  <c r="BR287" i="68"/>
  <c r="BT270" i="68"/>
  <c r="BV249" i="68"/>
  <c r="BW271" i="68"/>
  <c r="BX243" i="68"/>
  <c r="BR264" i="68"/>
  <c r="BS276" i="68"/>
  <c r="BS268" i="68"/>
  <c r="BX280" i="68"/>
  <c r="BY281" i="68"/>
  <c r="BR258" i="68"/>
  <c r="BX256" i="68"/>
  <c r="BS251" i="68"/>
  <c r="BS273" i="68"/>
  <c r="BX290" i="68"/>
  <c r="BX287" i="68"/>
  <c r="BV277" i="68"/>
  <c r="BR292" i="68"/>
  <c r="BX268" i="68"/>
  <c r="BU276" i="68"/>
  <c r="BY296" i="68"/>
  <c r="BX292" i="68"/>
  <c r="BW291" i="68"/>
  <c r="BY292" i="68"/>
  <c r="BS280" i="68"/>
  <c r="BS285" i="68"/>
  <c r="BS264" i="68"/>
  <c r="BU251" i="68"/>
  <c r="BY266" i="68"/>
  <c r="BX262" i="68"/>
  <c r="BS243" i="68"/>
  <c r="BY280" i="68"/>
  <c r="BX249" i="68"/>
  <c r="BW249" i="68"/>
  <c r="BU289" i="68"/>
  <c r="BW273" i="68"/>
  <c r="BV243" i="68"/>
  <c r="BW278" i="68"/>
  <c r="BW272" i="68"/>
  <c r="BW277" i="68"/>
  <c r="BS250" i="68"/>
  <c r="BT288" i="68"/>
  <c r="BS259" i="68"/>
  <c r="BS277" i="68"/>
  <c r="BS288" i="68"/>
  <c r="BS244" i="68"/>
  <c r="BT251" i="68"/>
  <c r="BU280" i="68"/>
  <c r="BR261" i="68"/>
  <c r="BU269" i="68"/>
  <c r="BY263" i="68"/>
  <c r="BS270" i="68"/>
  <c r="BU255" i="68"/>
  <c r="BU267" i="68"/>
  <c r="BR281" i="68"/>
  <c r="BY245" i="68"/>
  <c r="BV276" i="68"/>
  <c r="BR280" i="68"/>
  <c r="BR249" i="68"/>
  <c r="BY287" i="68"/>
  <c r="BU270" i="68"/>
  <c r="BR255" i="68"/>
  <c r="BT278" i="68"/>
  <c r="BS290" i="68"/>
  <c r="BR296" i="68"/>
  <c r="BX276" i="68"/>
  <c r="BV292" i="68"/>
  <c r="BX254" i="68"/>
  <c r="BV279" i="68"/>
  <c r="BU260" i="68"/>
  <c r="BX247" i="68"/>
  <c r="BX251" i="68"/>
  <c r="BU249" i="68"/>
  <c r="BU243" i="68"/>
  <c r="BV266" i="68"/>
  <c r="BY250" i="68"/>
  <c r="BU285" i="68"/>
  <c r="BT285" i="68"/>
  <c r="BY265" i="68"/>
  <c r="BR247" i="68"/>
  <c r="BV294" i="68"/>
  <c r="BT272" i="68"/>
  <c r="BU291" i="68"/>
  <c r="BY276" i="68"/>
  <c r="BW285" i="68"/>
  <c r="BR275" i="68"/>
  <c r="BU278" i="68"/>
  <c r="BX260" i="68"/>
  <c r="BX296" i="68"/>
  <c r="BT295" i="68"/>
  <c r="BX259" i="68"/>
  <c r="BW263" i="68"/>
  <c r="BY246" i="68"/>
  <c r="BY291" i="68"/>
  <c r="BR278" i="68"/>
  <c r="BW279" i="68"/>
  <c r="BW262" i="68"/>
  <c r="BX250" i="68"/>
  <c r="BS265" i="68"/>
  <c r="BV246" i="68"/>
  <c r="BS294" i="68"/>
  <c r="BS293" i="68"/>
  <c r="BR248" i="68"/>
  <c r="BT286" i="68"/>
  <c r="BT287" i="68"/>
  <c r="BU286" i="68"/>
  <c r="BY277" i="68"/>
  <c r="BX286" i="68"/>
  <c r="BX270" i="68"/>
  <c r="BR243" i="68"/>
  <c r="BY260" i="68"/>
  <c r="BR272" i="68"/>
  <c r="BU281" i="68"/>
  <c r="BX274" i="68"/>
  <c r="BX272" i="68"/>
  <c r="BY275" i="68"/>
  <c r="BY261" i="68"/>
  <c r="BU274" i="68"/>
  <c r="BT257" i="68"/>
  <c r="BT256" i="68"/>
  <c r="BV290" i="68"/>
  <c r="BX294" i="68"/>
  <c r="BS292" i="68"/>
  <c r="BV286" i="68"/>
  <c r="BV256" i="68"/>
  <c r="BY279" i="68"/>
  <c r="BV284" i="68"/>
  <c r="BY252" i="68"/>
  <c r="BX289" i="68"/>
  <c r="BT263" i="68"/>
  <c r="BX281" i="68"/>
  <c r="BX295" i="68"/>
  <c r="BR270" i="68"/>
  <c r="BV287" i="68"/>
  <c r="BX248" i="68"/>
  <c r="BY247" i="68"/>
  <c r="BY289" i="68"/>
  <c r="BV268" i="68"/>
  <c r="BU294" i="68"/>
  <c r="BR266" i="68"/>
  <c r="BX245" i="68"/>
  <c r="BX282" i="68"/>
  <c r="BT294" i="68"/>
  <c r="BR276" i="68"/>
  <c r="BU259" i="68"/>
  <c r="BV269" i="68"/>
  <c r="BW267" i="68"/>
  <c r="BT254" i="68"/>
  <c r="BY256" i="68"/>
  <c r="BW261" i="68"/>
  <c r="BR268" i="68"/>
  <c r="V183" i="68"/>
  <c r="V182" i="68" s="1"/>
  <c r="V181" i="68" s="1"/>
  <c r="V185" i="68" s="1"/>
  <c r="V186" i="68" s="1"/>
  <c r="BX244" i="68"/>
  <c r="BS266" i="68"/>
  <c r="BY267" i="68"/>
  <c r="BR254" i="68"/>
  <c r="BW292" i="68"/>
  <c r="BU284" i="68"/>
  <c r="BS283" i="68"/>
  <c r="BT259" i="68"/>
  <c r="BR263" i="68"/>
  <c r="BX288" i="68"/>
  <c r="BT289" i="68"/>
  <c r="BS258" i="68"/>
  <c r="BW257" i="68"/>
  <c r="BY293" i="68"/>
  <c r="BW260" i="68"/>
  <c r="BT260" i="68"/>
  <c r="BS284" i="68"/>
  <c r="BW265" i="68"/>
  <c r="BT250" i="68"/>
  <c r="BX258" i="68"/>
  <c r="BS262" i="68"/>
  <c r="BS274" i="68"/>
  <c r="BU282" i="68"/>
  <c r="BY264" i="68"/>
  <c r="BY259" i="68"/>
  <c r="BS252" i="68"/>
  <c r="BY255" i="68"/>
  <c r="BX284" i="68"/>
  <c r="BT249" i="68"/>
  <c r="BU263" i="68"/>
  <c r="BT281" i="68"/>
  <c r="BV274" i="68"/>
  <c r="BY295" i="68"/>
  <c r="BS253" i="68"/>
  <c r="BV262" i="68"/>
  <c r="BX279" i="68"/>
  <c r="BS269" i="68"/>
  <c r="BV293" i="68"/>
  <c r="BT277" i="68"/>
  <c r="BV282" i="68"/>
  <c r="BU248" i="68"/>
  <c r="BX267" i="68"/>
  <c r="BT280" i="68"/>
  <c r="BR250" i="68"/>
  <c r="BU293" i="68"/>
  <c r="BV267" i="68"/>
  <c r="BT266" i="68"/>
  <c r="BV248" i="68"/>
  <c r="BT276" i="68"/>
  <c r="BX278" i="68"/>
  <c r="BX246" i="68"/>
  <c r="BW296" i="68"/>
  <c r="BS260" i="68"/>
  <c r="BT274" i="68"/>
  <c r="BU268" i="68"/>
  <c r="BV291" i="68"/>
  <c r="BX263" i="68"/>
  <c r="BW295" i="68"/>
  <c r="BR289" i="68"/>
  <c r="BW283" i="68"/>
  <c r="BS275" i="68"/>
  <c r="BY290" i="68"/>
  <c r="BT275" i="68"/>
  <c r="BR294" i="68"/>
  <c r="BY286" i="68"/>
  <c r="BV255" i="68"/>
  <c r="BS246" i="68"/>
  <c r="BY273" i="68"/>
  <c r="BW275" i="68"/>
  <c r="BW286" i="68"/>
  <c r="BV270" i="68"/>
  <c r="BU265" i="68"/>
  <c r="BT267" i="68"/>
  <c r="BX257" i="68"/>
  <c r="BS287" i="68"/>
  <c r="BT265" i="68"/>
  <c r="BU261" i="68"/>
  <c r="BT245" i="68"/>
  <c r="BV296" i="68"/>
  <c r="BW248" i="68"/>
  <c r="BS267" i="68"/>
  <c r="BR290" i="68"/>
  <c r="BS245" i="68"/>
  <c r="BU275" i="68"/>
  <c r="BU273" i="68"/>
  <c r="BV265" i="68"/>
  <c r="BR283" i="68"/>
  <c r="BU283" i="68"/>
  <c r="BV260" i="68"/>
  <c r="BX264" i="68"/>
  <c r="BU246" i="68"/>
  <c r="BV278" i="68"/>
  <c r="BU264" i="68"/>
  <c r="BV263" i="68"/>
  <c r="BS279" i="68"/>
  <c r="BV281" i="68"/>
  <c r="BY284" i="68"/>
  <c r="BU245" i="68"/>
  <c r="BW270" i="68"/>
  <c r="BS255" i="68"/>
  <c r="BV275" i="68"/>
  <c r="BU250" i="68"/>
  <c r="BT253" i="68"/>
  <c r="BT262" i="68"/>
  <c r="BR277" i="68"/>
  <c r="BT293" i="68"/>
  <c r="BR245" i="68"/>
  <c r="BR271" i="68"/>
  <c r="BW251" i="68"/>
  <c r="BT261" i="68"/>
  <c r="BU266" i="68"/>
  <c r="BW282" i="68"/>
  <c r="BW256" i="68"/>
  <c r="BR288" i="68"/>
  <c r="BX253" i="68"/>
  <c r="BY257" i="68"/>
  <c r="BY271" i="68"/>
  <c r="BY274" i="68"/>
  <c r="BU277" i="68"/>
  <c r="BR267" i="68"/>
  <c r="BV295" i="68"/>
  <c r="BV257" i="68"/>
  <c r="BV251" i="68"/>
  <c r="BW288" i="68"/>
  <c r="BR253" i="68"/>
  <c r="BT296" i="68"/>
  <c r="BX291" i="68"/>
  <c r="BS272" i="68"/>
  <c r="B40" i="51"/>
  <c r="G40" i="51"/>
  <c r="E40" i="51"/>
  <c r="AC89" i="2"/>
  <c r="E41" i="51" s="1"/>
  <c r="V88" i="68"/>
  <c r="T88" i="68"/>
  <c r="BY297" i="68" l="1"/>
  <c r="BR297" i="68"/>
  <c r="BW297" i="68"/>
  <c r="BT297" i="68"/>
  <c r="BU297" i="68"/>
  <c r="BS297" i="68"/>
  <c r="AJ85" i="2"/>
  <c r="G90" i="2"/>
  <c r="BV297" i="68"/>
  <c r="BX297" i="68"/>
  <c r="AJ89" i="2" l="1"/>
  <c r="AL85" i="2"/>
  <c r="AJ88" i="2" l="1"/>
  <c r="AJ87" i="2"/>
  <c r="AJ86" i="2"/>
</calcChain>
</file>

<file path=xl/sharedStrings.xml><?xml version="1.0" encoding="utf-8"?>
<sst xmlns="http://schemas.openxmlformats.org/spreadsheetml/2006/main" count="13533" uniqueCount="6004">
  <si>
    <t>2.</t>
  </si>
  <si>
    <t>3.</t>
  </si>
  <si>
    <t>deduction, check here</t>
  </si>
  <si>
    <t xml:space="preserve">     enter on line 3 …</t>
  </si>
  <si>
    <r>
      <t>Next.</t>
    </r>
    <r>
      <rPr>
        <sz val="10"/>
        <rFont val="Arial"/>
        <family val="2"/>
      </rPr>
      <t xml:space="preserve"> If you checked “No” on line 1a (and “No” on line 1b if married filing jointly), </t>
    </r>
  </si>
  <si>
    <t>Otherwise, go to line 2.</t>
  </si>
  <si>
    <t>that applies to you.</t>
  </si>
  <si>
    <r>
      <t>Subtract line 5 from line 2 in each column.</t>
    </r>
    <r>
      <rPr>
        <sz val="10"/>
        <rFont val="Arial"/>
        <family val="2"/>
      </rPr>
      <t xml:space="preserve">  Follow the instruction below</t>
    </r>
  </si>
  <si>
    <t>If single, head of household, or married filing separately, and the</t>
  </si>
  <si>
    <t>line 7 for that column and go to line 8.</t>
  </si>
  <si>
    <t>1099-DIV or</t>
  </si>
  <si>
    <r>
      <t xml:space="preserve">Enter the </t>
    </r>
    <r>
      <rPr>
        <b/>
        <sz val="9"/>
        <rFont val="Arial"/>
        <family val="2"/>
      </rPr>
      <t>smaller</t>
    </r>
    <r>
      <rPr>
        <sz val="9"/>
        <rFont val="Arial"/>
        <family val="2"/>
      </rPr>
      <t xml:space="preserve"> of line 15 or 16 of</t>
    </r>
  </si>
  <si>
    <t>1a</t>
  </si>
  <si>
    <t>1a.</t>
  </si>
  <si>
    <t>1b.</t>
  </si>
  <si>
    <t>1b</t>
  </si>
  <si>
    <t>THEN enter on line 3. . .</t>
  </si>
  <si>
    <t>Taxes You</t>
  </si>
  <si>
    <r>
      <t xml:space="preserve">Is  your  </t>
    </r>
    <r>
      <rPr>
        <b/>
        <sz val="10"/>
        <rFont val="Arial"/>
        <family val="2"/>
      </rPr>
      <t>earned income*</t>
    </r>
    <r>
      <rPr>
        <sz val="10"/>
        <rFont val="Arial"/>
        <family val="2"/>
      </rPr>
      <t xml:space="preserve"> </t>
    </r>
  </si>
  <si>
    <r>
      <t>No.</t>
    </r>
    <r>
      <rPr>
        <sz val="10"/>
        <rFont val="Arial"/>
        <family val="2"/>
      </rPr>
      <t xml:space="preserve"> Skip lines 18 through 21, and go to line 22.</t>
    </r>
  </si>
  <si>
    <t>Some investment is not</t>
  </si>
  <si>
    <t>at risk.</t>
  </si>
  <si>
    <t>Spouses IRA</t>
  </si>
  <si>
    <t>Repairs and maintenance</t>
  </si>
  <si>
    <t>Single, head of household, qualifying widow(er), or married filing</t>
  </si>
  <si>
    <r>
      <t>l</t>
    </r>
    <r>
      <rPr>
        <sz val="10"/>
        <rFont val="Arial"/>
        <family val="2"/>
      </rPr>
      <t xml:space="preserve"> </t>
    </r>
  </si>
  <si>
    <t>Enter the total of any collectibles gain reported to you on:</t>
  </si>
  <si>
    <t>Note:</t>
  </si>
  <si>
    <t>Subtract line 10 from line 1. If zero or less, enter -0-</t>
  </si>
  <si>
    <t>dividends shown</t>
  </si>
  <si>
    <t>on that form.</t>
  </si>
  <si>
    <t>5.</t>
  </si>
  <si>
    <t>enter the result on line 16. Then go to line 17</t>
  </si>
  <si>
    <t>a</t>
  </si>
  <si>
    <t>8a</t>
  </si>
  <si>
    <t>8b</t>
  </si>
  <si>
    <t>State distribution</t>
  </si>
  <si>
    <t>Amount</t>
  </si>
  <si>
    <t>Expenses</t>
  </si>
  <si>
    <t>7b</t>
  </si>
  <si>
    <r>
      <t xml:space="preserve">If you are married filing separately and you </t>
    </r>
    <r>
      <rPr>
        <b/>
        <sz val="10"/>
        <rFont val="Arial"/>
        <family val="2"/>
      </rPr>
      <t>lived apart</t>
    </r>
    <r>
      <rPr>
        <sz val="10"/>
        <rFont val="Arial"/>
        <family val="2"/>
      </rPr>
      <t xml:space="preserve"> from your spouse for all of</t>
    </r>
  </si>
  <si>
    <t>Schedule K-1 (Form 1041)</t>
  </si>
  <si>
    <t>Ö</t>
  </si>
  <si>
    <t>Claimed as dependent by someone else</t>
  </si>
  <si>
    <t xml:space="preserve">  Tax Computation Using Maximum Capital Gains Rates</t>
  </si>
  <si>
    <t>List name of payer</t>
  </si>
  <si>
    <r>
      <t>Advertising</t>
    </r>
    <r>
      <rPr>
        <b/>
        <sz val="10"/>
        <rFont val="Arial"/>
        <family val="2"/>
      </rPr>
      <t xml:space="preserve"> .   .   .   .   .   .   .   .   .   .   .   .   .   .   .   .   .   .   .   .   .</t>
    </r>
  </si>
  <si>
    <t>b</t>
  </si>
  <si>
    <t>c</t>
  </si>
  <si>
    <t>Download Form 1040 from IRS</t>
  </si>
  <si>
    <r>
      <t>Other</t>
    </r>
    <r>
      <rPr>
        <b/>
        <sz val="10"/>
        <rFont val="Arial"/>
        <family val="2"/>
      </rPr>
      <t xml:space="preserve"> .   .   .   .   .   .   .   .   .   .   .   .   .   .   .   .</t>
    </r>
  </si>
  <si>
    <t>Part I</t>
  </si>
  <si>
    <t>Simplified Method</t>
  </si>
  <si>
    <t>39a</t>
  </si>
  <si>
    <t>Last year's amount</t>
  </si>
  <si>
    <t>Name(s) shown on return</t>
  </si>
  <si>
    <t>List name of payer. If any interest is from a seller-financed mortgage and the</t>
  </si>
  <si>
    <t>(See instructions</t>
  </si>
  <si>
    <t>Attach Form 8815</t>
  </si>
  <si>
    <t>H</t>
  </si>
  <si>
    <t>24b</t>
  </si>
  <si>
    <t>Subtract line 5 from line 1. If zero or less, enter -0-.</t>
  </si>
  <si>
    <t>Download Form 1040 Schedule D Instructions</t>
  </si>
  <si>
    <t>Download Form 1040 Schedule C</t>
  </si>
  <si>
    <t xml:space="preserve">Keep for Your Records          </t>
  </si>
  <si>
    <t>Combine lines 7 and 15 and enter the result.</t>
  </si>
  <si>
    <t>payer and enter</t>
  </si>
  <si>
    <t>6.</t>
  </si>
  <si>
    <t>7.</t>
  </si>
  <si>
    <t>Single</t>
  </si>
  <si>
    <t>Filing Status</t>
  </si>
  <si>
    <r>
      <t xml:space="preserve">Enter the </t>
    </r>
    <r>
      <rPr>
        <b/>
        <sz val="10"/>
        <rFont val="Arial"/>
        <family val="2"/>
      </rPr>
      <t>smaller</t>
    </r>
    <r>
      <rPr>
        <sz val="10"/>
        <rFont val="Arial"/>
        <family val="2"/>
      </rPr>
      <t xml:space="preserve"> of line 15 or line 16 of Schedule D</t>
    </r>
  </si>
  <si>
    <t>11a.</t>
  </si>
  <si>
    <t>11b.</t>
  </si>
  <si>
    <t>12a.</t>
  </si>
  <si>
    <t>12b.</t>
  </si>
  <si>
    <t>Nontaxable combat pay.</t>
  </si>
  <si>
    <t>All others:</t>
  </si>
  <si>
    <t>The loss on line 16 or</t>
  </si>
  <si>
    <t>Refund</t>
  </si>
  <si>
    <t>Add lines 6 and 9</t>
  </si>
  <si>
    <t>But Less Than</t>
  </si>
  <si>
    <t>Enter your cost in the plan at the annuity starting date</t>
  </si>
  <si>
    <t>Enter age</t>
  </si>
  <si>
    <t>at annuity</t>
  </si>
  <si>
    <t xml:space="preserve">  OMB No. 1545-0074</t>
  </si>
  <si>
    <r>
      <t>l</t>
    </r>
    <r>
      <rPr>
        <sz val="10"/>
        <rFont val="Arial"/>
        <family val="2"/>
      </rPr>
      <t xml:space="preserve">  The loss on line 16 or</t>
    </r>
  </si>
  <si>
    <r>
      <t>l</t>
    </r>
    <r>
      <rPr>
        <sz val="10"/>
        <rFont val="Arial"/>
        <family val="2"/>
      </rPr>
      <t xml:space="preserve">  ($3,000), or if married filing separately, ($1,500)  </t>
    </r>
  </si>
  <si>
    <t>Name(s) shown on Form 1040</t>
  </si>
  <si>
    <t>Your social security number</t>
  </si>
  <si>
    <t>Manual</t>
  </si>
  <si>
    <t>Override</t>
  </si>
  <si>
    <t>d</t>
  </si>
  <si>
    <r>
      <t xml:space="preserve">Column </t>
    </r>
    <r>
      <rPr>
        <b/>
        <sz val="10"/>
        <rFont val="Wingdings"/>
        <charset val="2"/>
      </rPr>
      <t>ê</t>
    </r>
  </si>
  <si>
    <t xml:space="preserve">.   .   .   .   .   .   .   .   .   .   .   .   .   .   .   .   .   .   .   .   .   .   . </t>
  </si>
  <si>
    <t>Enter your long-term capital loss carryovers from Schedule D, line 14, and Schedule K-1 (Form 1041),</t>
  </si>
  <si>
    <t>Subtract line 15 from line 14</t>
  </si>
  <si>
    <t>8c</t>
  </si>
  <si>
    <t>4c</t>
  </si>
  <si>
    <t>4b</t>
  </si>
  <si>
    <t>Net unrealized appreciation in employer's securities</t>
  </si>
  <si>
    <t>6</t>
  </si>
  <si>
    <t>7</t>
  </si>
  <si>
    <t>8</t>
  </si>
  <si>
    <t>9</t>
  </si>
  <si>
    <t>10</t>
  </si>
  <si>
    <t>Exercise of incentive stock options (excess of AMT income over regular tax income)</t>
  </si>
  <si>
    <t>Sign</t>
  </si>
  <si>
    <t>Here</t>
  </si>
  <si>
    <t>Joint return?</t>
  </si>
  <si>
    <t>Your signature</t>
  </si>
  <si>
    <t>Date</t>
  </si>
  <si>
    <t>Your occupation</t>
  </si>
  <si>
    <t>Spouse's occupation</t>
  </si>
  <si>
    <r>
      <t>Carryover from prior year</t>
    </r>
    <r>
      <rPr>
        <b/>
        <sz val="9"/>
        <rFont val="Arial"/>
        <family val="2"/>
      </rPr>
      <t xml:space="preserve">   .   .   .   .   .   .   .   .   .   .   .   .   .   .   .   .   .   .   .   .   .   .   .   .   .   .   .   .   .   .   .   .   .   .   .   .   .   .</t>
    </r>
  </si>
  <si>
    <t>Add lines 2 and 3</t>
  </si>
  <si>
    <t>4a</t>
  </si>
  <si>
    <t>Savings</t>
  </si>
  <si>
    <t>Part II</t>
  </si>
  <si>
    <t xml:space="preserve">Before you begin: </t>
  </si>
  <si>
    <t>h</t>
  </si>
  <si>
    <t xml:space="preserve">    47  a</t>
  </si>
  <si>
    <t>Medical</t>
  </si>
  <si>
    <t>Part V</t>
  </si>
  <si>
    <t>If you elect one or both of the optional methods, enter the total of lines 15 and 17 here</t>
  </si>
  <si>
    <t>Dental</t>
  </si>
  <si>
    <t>Form 1099-DIV, box 2d;</t>
  </si>
  <si>
    <t>Form 2439, box 1d; and</t>
  </si>
  <si>
    <t>32a</t>
  </si>
  <si>
    <t>Pub. 525 to figure if any of your refund is taxable.</t>
  </si>
  <si>
    <t>Cash</t>
  </si>
  <si>
    <t>Accrual</t>
  </si>
  <si>
    <t>G</t>
  </si>
  <si>
    <t>.   .   .</t>
  </si>
  <si>
    <t>Notice 703</t>
  </si>
  <si>
    <t>Read This To See If Your Social Security Benefits May Be Taxable</t>
  </si>
  <si>
    <t>Is the amount on line 8 less than the amount on line 7?</t>
  </si>
  <si>
    <t>Interest from specified private activity bonds exempt from the regular tax</t>
  </si>
  <si>
    <t>Alternative tax net operating loss deduction</t>
  </si>
  <si>
    <t>enter on line 3 …</t>
  </si>
  <si>
    <r>
      <t xml:space="preserve"> </t>
    </r>
    <r>
      <rPr>
        <sz val="8"/>
        <rFont val="Wingdings"/>
        <charset val="2"/>
      </rPr>
      <t>l</t>
    </r>
  </si>
  <si>
    <t>.   .   .   .   .   .   .   .   .   .   .   .   .   .   .   .   .   .   .</t>
  </si>
  <si>
    <t xml:space="preserve">  Social security number (SSN)</t>
  </si>
  <si>
    <t>A</t>
  </si>
  <si>
    <t>C</t>
  </si>
  <si>
    <t>a. The payments are from a qualified employee plan, a qualified employee annuity, or a tax-sheltered annuity.</t>
  </si>
  <si>
    <t>this is your (and your spouse’s if filing jointly) net earnings from</t>
  </si>
  <si>
    <t>Phone no.</t>
  </si>
  <si>
    <t>1</t>
  </si>
  <si>
    <t>2</t>
  </si>
  <si>
    <t>3</t>
  </si>
  <si>
    <t>4</t>
  </si>
  <si>
    <t>OMB No. 1545-0074</t>
  </si>
  <si>
    <t>Download Form 1040 Schedule B</t>
  </si>
  <si>
    <t>Routing number</t>
  </si>
  <si>
    <t>Checking</t>
  </si>
  <si>
    <t>Account number</t>
  </si>
  <si>
    <t xml:space="preserve"> .   .   .   .   .   .   .   .   .   .   .   .   . </t>
  </si>
  <si>
    <t xml:space="preserve">  Yes.</t>
  </si>
  <si>
    <t>Download Form 1040 General Instructions from IRS</t>
  </si>
  <si>
    <r>
      <t xml:space="preserve">Page </t>
    </r>
    <r>
      <rPr>
        <b/>
        <sz val="12"/>
        <rFont val="Arial"/>
        <family val="2"/>
      </rPr>
      <t>2</t>
    </r>
  </si>
  <si>
    <t>SCHEDULE SE</t>
  </si>
  <si>
    <t>Self-Employment Tax</t>
  </si>
  <si>
    <t>Wages, tips, other compensation</t>
  </si>
  <si>
    <t>Federal income tax withheld</t>
  </si>
  <si>
    <t xml:space="preserve"> .   .   .   .   .   .   .   .   .   .   .   .   .   .   .   .   .   .   .   .   .   .   .   .   .   .   . </t>
  </si>
  <si>
    <t>Your percentage of total distribution</t>
  </si>
  <si>
    <r>
      <t>Farm Optional Method.</t>
    </r>
    <r>
      <rPr>
        <sz val="10"/>
        <rFont val="Arial"/>
        <family val="2"/>
      </rPr>
      <t xml:space="preserve"> </t>
    </r>
    <r>
      <rPr>
        <sz val="10"/>
        <rFont val="Arial"/>
        <family val="2"/>
      </rPr>
      <t xml:space="preserve">You may use this method </t>
    </r>
    <r>
      <rPr>
        <b/>
        <sz val="10"/>
        <rFont val="Arial"/>
        <family val="2"/>
      </rPr>
      <t>only</t>
    </r>
    <r>
      <rPr>
        <sz val="10"/>
        <rFont val="Arial"/>
        <family val="2"/>
      </rPr>
      <t xml:space="preserve"> if </t>
    </r>
    <r>
      <rPr>
        <b/>
        <sz val="10"/>
        <rFont val="Arial"/>
        <family val="2"/>
      </rPr>
      <t>(a)</t>
    </r>
    <r>
      <rPr>
        <sz val="10"/>
        <rFont val="Arial"/>
        <family val="2"/>
      </rPr>
      <t xml:space="preserve"> your gross farm income</t>
    </r>
    <r>
      <rPr>
        <vertAlign val="superscript"/>
        <sz val="10"/>
        <rFont val="Arial"/>
        <family val="2"/>
      </rPr>
      <t>1</t>
    </r>
    <r>
      <rPr>
        <sz val="10"/>
        <rFont val="Arial"/>
        <family val="2"/>
      </rPr>
      <t xml:space="preserve"> was not more</t>
    </r>
  </si>
  <si>
    <t xml:space="preserve"> Yes.</t>
  </si>
  <si>
    <t xml:space="preserve">  Apt. no.</t>
  </si>
  <si>
    <t xml:space="preserve">   Last name</t>
  </si>
  <si>
    <t>24a</t>
  </si>
  <si>
    <t>You must use the Simplified Method if either of the following applies.</t>
  </si>
  <si>
    <t>Annuity Starting Date</t>
  </si>
  <si>
    <r>
      <t xml:space="preserve">Enter the </t>
    </r>
    <r>
      <rPr>
        <b/>
        <sz val="10"/>
        <rFont val="Arial"/>
        <family val="2"/>
      </rPr>
      <t>smaller</t>
    </r>
    <r>
      <rPr>
        <sz val="10"/>
        <rFont val="Arial"/>
        <family val="2"/>
      </rPr>
      <t xml:space="preserve"> of line 9 or line 10</t>
    </r>
  </si>
  <si>
    <t>Keep for Your Records</t>
  </si>
  <si>
    <t>Department of the Treasury</t>
  </si>
  <si>
    <t>Attachment</t>
  </si>
  <si>
    <t xml:space="preserve">Net short-term gain or (loss) from partnerships, S corporations, estates, and trusts from </t>
  </si>
  <si>
    <t xml:space="preserve">  No.</t>
  </si>
  <si>
    <r>
      <t xml:space="preserve">Enter the </t>
    </r>
    <r>
      <rPr>
        <b/>
        <sz val="10"/>
        <rFont val="Arial"/>
        <family val="2"/>
      </rPr>
      <t>smaller</t>
    </r>
    <r>
      <rPr>
        <sz val="10"/>
        <rFont val="Arial"/>
        <family val="2"/>
      </rPr>
      <t xml:space="preserve"> of line 9 or line 11</t>
    </r>
  </si>
  <si>
    <r>
      <t xml:space="preserve">Yes. </t>
    </r>
    <r>
      <rPr>
        <sz val="10"/>
        <rFont val="Arial"/>
        <family val="2"/>
      </rPr>
      <t>Go to line 18.</t>
    </r>
  </si>
  <si>
    <t>Estates and trusts (amount from Schedule K-1 (Form 1041), box 12, code A)</t>
  </si>
  <si>
    <t>State income tax withheld</t>
  </si>
  <si>
    <t>Multiply lines 6a and 6b by the percentage below that applies to you. If the</t>
  </si>
  <si>
    <t>result is not a multiple of $10, increase it to the next multiple of $10 (for</t>
  </si>
  <si>
    <t>Investment interest expense (difference between regular tax and AMT)</t>
  </si>
  <si>
    <t>Depletion (difference between regular tax and AMT)</t>
  </si>
  <si>
    <t>Enter the amount shown below for your filing status.</t>
  </si>
  <si>
    <t>16.</t>
  </si>
  <si>
    <r>
      <t>h</t>
    </r>
    <r>
      <rPr>
        <sz val="10"/>
        <rFont val="Arial"/>
        <family val="2"/>
      </rPr>
      <t xml:space="preserve">  You are filing Schedule D and Schedule D, lines 15 and 16, are both more than zero.</t>
    </r>
  </si>
  <si>
    <t>If you have to file Schedule D and Schedule D, line 18 or 19, is more than zero,</t>
  </si>
  <si>
    <t>Affected Sheet</t>
  </si>
  <si>
    <t>Changes Made</t>
  </si>
  <si>
    <r>
      <t>Taxable social security benefits.</t>
    </r>
    <r>
      <rPr>
        <sz val="10"/>
        <rFont val="Arial"/>
        <family val="2"/>
      </rPr>
      <t xml:space="preserve">  Enter the </t>
    </r>
    <r>
      <rPr>
        <b/>
        <sz val="10"/>
        <rFont val="Arial"/>
        <family val="2"/>
      </rPr>
      <t>smaller</t>
    </r>
    <r>
      <rPr>
        <sz val="10"/>
        <rFont val="Arial"/>
        <family val="2"/>
      </rPr>
      <t xml:space="preserve"> of line 16 or line 17</t>
    </r>
  </si>
  <si>
    <t>Supplies (not included in Part III)</t>
  </si>
  <si>
    <t>Cat. No. 13600G</t>
  </si>
  <si>
    <t>Page</t>
  </si>
  <si>
    <t>Was your annuity starting date before 1987?</t>
  </si>
  <si>
    <t xml:space="preserve">       You will need this number when you fill out this worksheet next year</t>
  </si>
  <si>
    <t>5</t>
  </si>
  <si>
    <t>Employer #4</t>
  </si>
  <si>
    <t>Total</t>
  </si>
  <si>
    <t>Excess</t>
  </si>
  <si>
    <t>8.</t>
  </si>
  <si>
    <t>9.</t>
  </si>
  <si>
    <t>Keep for your records.</t>
  </si>
  <si>
    <t>If married filing jointly, was your spouse covered by a retirement plan?</t>
  </si>
  <si>
    <t>Enter the earned income you (and your spouse if filing jointly)</t>
  </si>
  <si>
    <t>received as a self-employed individual or a partner. Generally,</t>
  </si>
  <si>
    <t>.   .   .   .   .   .   .   .   .   .   .   .   .   .   .   .   .   .   .   .   .   .   .   .   .</t>
  </si>
  <si>
    <t>name as the</t>
  </si>
  <si>
    <t>the ordinary</t>
  </si>
  <si>
    <t>Disposition of property (difference between AMT and regular tax gain or loss)</t>
  </si>
  <si>
    <t>Before you begin:</t>
  </si>
  <si>
    <t>Annuity starting date</t>
  </si>
  <si>
    <t>16a</t>
  </si>
  <si>
    <t>16b</t>
  </si>
  <si>
    <t>20a</t>
  </si>
  <si>
    <t>20b</t>
  </si>
  <si>
    <t>12</t>
  </si>
  <si>
    <t>list the firm's</t>
  </si>
  <si>
    <t>Local tax withheld</t>
  </si>
  <si>
    <t>Name of locality</t>
  </si>
  <si>
    <t>Local distribution</t>
  </si>
  <si>
    <t>Total Distributions</t>
  </si>
  <si>
    <t>Subtract line 12 from line 10</t>
  </si>
  <si>
    <t>Subtract line 13 from line 1. If zero or less, enter -0-</t>
  </si>
  <si>
    <t>.   .   .   .   .   .   .   .   .   .   .   .   .   .   .   .   .   .   .   .</t>
  </si>
  <si>
    <t>Internal Revenue Service (99)</t>
  </si>
  <si>
    <t>Other (attach explanation)</t>
  </si>
  <si>
    <t>http://www.excel1040.com</t>
  </si>
  <si>
    <t>Is the amount on line 6 less than the amount on line 5?</t>
  </si>
  <si>
    <t>If you are:</t>
  </si>
  <si>
    <t>.   .   .   .   .   .   .   .   .   .   .   .   .   .   .</t>
  </si>
  <si>
    <t>Enter tax from</t>
  </si>
  <si>
    <t>Otherwise, go to line 3.</t>
  </si>
  <si>
    <r>
      <t xml:space="preserve">Enter the </t>
    </r>
    <r>
      <rPr>
        <b/>
        <sz val="10"/>
        <rFont val="Arial"/>
        <family val="2"/>
      </rPr>
      <t>smaller</t>
    </r>
    <r>
      <rPr>
        <sz val="10"/>
        <rFont val="Arial"/>
        <family val="2"/>
      </rPr>
      <t xml:space="preserve"> of line 9 above or Schedule D, line 19</t>
    </r>
  </si>
  <si>
    <t>6a.</t>
  </si>
  <si>
    <t>Employer #2</t>
  </si>
  <si>
    <t>Employer #3</t>
  </si>
  <si>
    <t>Applicable?</t>
  </si>
  <si>
    <t>Your annuity starting date is the later of the first day of:</t>
  </si>
  <si>
    <t>or</t>
  </si>
  <si>
    <t xml:space="preserve"> .   .   .   .   .   .   .   .   .   .   .   .   .   .   .   .   .   .   .   .   .   .   .   .   .   .   .   .   .   .   .   .   .   .   .   .   .   .</t>
  </si>
  <si>
    <t>Download Form 6251</t>
  </si>
  <si>
    <t>Download Form 6251 Instructions</t>
  </si>
  <si>
    <t>.   .   .   .   .   .   .   .   .   .   .   .   .   .   .   .</t>
  </si>
  <si>
    <t>Long-Term Capital Gains and Losses</t>
  </si>
  <si>
    <t>Your IRA</t>
  </si>
  <si>
    <t>SCHEDULE B</t>
  </si>
  <si>
    <t>Interest and Ordinary Dividends</t>
  </si>
  <si>
    <t xml:space="preserve">Excludable interest on series EE and I U.S. savings bonds issued after 1989. </t>
  </si>
  <si>
    <t xml:space="preserve">  .   .   .   .   .   .   .   .   .   .</t>
  </si>
  <si>
    <t xml:space="preserve"> Summary</t>
  </si>
  <si>
    <t>Employee benefit programs</t>
  </si>
  <si>
    <r>
      <t>(other than on line 19)</t>
    </r>
    <r>
      <rPr>
        <b/>
        <sz val="10"/>
        <rFont val="Arial"/>
        <family val="2"/>
      </rPr>
      <t xml:space="preserve">   .   .   .   .   .   .   .   .   .</t>
    </r>
  </si>
  <si>
    <r>
      <t>Insurance (other than health)</t>
    </r>
    <r>
      <rPr>
        <b/>
        <sz val="10"/>
        <rFont val="Arial"/>
        <family val="2"/>
      </rPr>
      <t>.   .   .   .   .   .   .</t>
    </r>
  </si>
  <si>
    <t>Theft Losses</t>
  </si>
  <si>
    <t>Interest:</t>
  </si>
  <si>
    <t>If Schedule D, line 7, is a (loss), enter that (loss) here. Otherwise, enter -0-</t>
  </si>
  <si>
    <t>Combine lines 1 through 6. If zero or less, enter -0-. If more than zero, also enter this amount on</t>
  </si>
  <si>
    <t>Schedule D, line 18</t>
  </si>
  <si>
    <r>
      <t>Caution:</t>
    </r>
    <r>
      <rPr>
        <sz val="9"/>
        <rFont val="Arial"/>
        <family val="2"/>
      </rPr>
      <t xml:space="preserve"> Do not include expenses reimbursed or paid by others.</t>
    </r>
  </si>
  <si>
    <t>and</t>
  </si>
  <si>
    <t>7a</t>
  </si>
  <si>
    <t>Paid</t>
  </si>
  <si>
    <t>Enter the total of your (and your spouse’s if filing jointly):</t>
  </si>
  <si>
    <t>for your records.</t>
  </si>
  <si>
    <t>Information from Form SSA-1099, Social Security Benefit Statement</t>
  </si>
  <si>
    <t>Voluntary Federal income Tax Withheld</t>
  </si>
  <si>
    <t>Yes</t>
  </si>
  <si>
    <t>No</t>
  </si>
  <si>
    <t>Married filing separately</t>
  </si>
  <si>
    <t>Head of household</t>
  </si>
  <si>
    <t>Alternative Minimum Tax—Individuals</t>
  </si>
  <si>
    <t xml:space="preserve">.   .   .   .   .   .   .   .   .   .   .   .   .   .   . </t>
  </si>
  <si>
    <t>Standard</t>
  </si>
  <si>
    <t xml:space="preserve"> No.</t>
  </si>
  <si>
    <t>Add lines 8 and 9</t>
  </si>
  <si>
    <t>Taxable amount</t>
  </si>
  <si>
    <t>Payer #1</t>
  </si>
  <si>
    <t>Payer #2</t>
  </si>
  <si>
    <t>Payer #3</t>
  </si>
  <si>
    <t>Married filing separately and you lived with your spouse at any time</t>
  </si>
  <si>
    <t>9a</t>
  </si>
  <si>
    <t>9b</t>
  </si>
  <si>
    <t>Your percentage of  total distribution</t>
  </si>
  <si>
    <t>B</t>
  </si>
  <si>
    <t>Enter any tax-exempt interest such as interest on municipal bonds</t>
  </si>
  <si>
    <t>D</t>
  </si>
  <si>
    <t>Form</t>
  </si>
  <si>
    <t>self-employment if your personal services were a material</t>
  </si>
  <si>
    <t xml:space="preserve">   Income</t>
  </si>
  <si>
    <t>1.</t>
  </si>
  <si>
    <t>10.</t>
  </si>
  <si>
    <t>11.</t>
  </si>
  <si>
    <t>12.</t>
  </si>
  <si>
    <t>Subtract line 6 from line 2.</t>
  </si>
  <si>
    <t xml:space="preserve">.   .   .   .   .   .   .   .   .   .   .   .   .   .   .   .   .   .   .   .   .   .   .   .   .   .   . </t>
  </si>
  <si>
    <t>Divide line 2 by the number on line 3</t>
  </si>
  <si>
    <t xml:space="preserve">      Attachment</t>
  </si>
  <si>
    <t>Is the amount on line 5 less than the amount on line 2?</t>
  </si>
  <si>
    <t>All investment at risk.</t>
  </si>
  <si>
    <t>32b</t>
  </si>
  <si>
    <t>Mining costs (difference between regular tax and AMT)</t>
  </si>
  <si>
    <t>NOTE:  Check every calculation carefully!!!</t>
  </si>
  <si>
    <t>Social security wages</t>
  </si>
  <si>
    <t>Social security tax withheld</t>
  </si>
  <si>
    <t>Medicare wages and tips</t>
  </si>
  <si>
    <t>Medicare tax withheld</t>
  </si>
  <si>
    <t>Casualty and</t>
  </si>
  <si>
    <t>PART III</t>
  </si>
  <si>
    <t>Car and truck expenses</t>
  </si>
  <si>
    <t>Other business property</t>
  </si>
  <si>
    <t>Note.</t>
  </si>
  <si>
    <t>®</t>
  </si>
  <si>
    <t>Vehicles, machinery and equipment</t>
  </si>
  <si>
    <t>.   .   .   .   .   .   .   .   .   .   .   .   .   .   .   .   .   .   .   .   .   .</t>
  </si>
  <si>
    <t>Part III</t>
  </si>
  <si>
    <t>Download Form 1040 Schedule D</t>
  </si>
  <si>
    <t>Schedule K-1 from a partnership, S corporation, estate, or trust.</t>
  </si>
  <si>
    <t>State/payer's state no.</t>
  </si>
  <si>
    <t>Social security benefits</t>
  </si>
  <si>
    <t xml:space="preserve">Part I </t>
  </si>
  <si>
    <t xml:space="preserve">complete this </t>
  </si>
  <si>
    <t>worksheet anyway.</t>
  </si>
  <si>
    <t>Check here to</t>
  </si>
  <si>
    <t>.   .   .   .   .   .   .   .</t>
  </si>
  <si>
    <t>Enter the amount shown below that applies to you.</t>
  </si>
  <si>
    <r>
      <t xml:space="preserve">Single, head of household, or married filing separately and you </t>
    </r>
    <r>
      <rPr>
        <b/>
        <sz val="10"/>
        <rFont val="Arial"/>
        <family val="2"/>
      </rPr>
      <t>lived apart</t>
    </r>
  </si>
  <si>
    <t>covered by a plan</t>
  </si>
  <si>
    <t>Keep a copy</t>
  </si>
  <si>
    <t>Gifts to</t>
  </si>
  <si>
    <t>Charity</t>
  </si>
  <si>
    <r>
      <t>STOP</t>
    </r>
    <r>
      <rPr>
        <sz val="10"/>
        <rFont val="Arial"/>
        <family val="2"/>
      </rPr>
      <t xml:space="preserve">   None of your refund is taxable.</t>
    </r>
  </si>
  <si>
    <t>Alimony paid</t>
  </si>
  <si>
    <t>The number</t>
  </si>
  <si>
    <t>of months</t>
  </si>
  <si>
    <t>more than 12.</t>
  </si>
  <si>
    <t>l</t>
  </si>
  <si>
    <t>2a</t>
  </si>
  <si>
    <t>2b</t>
  </si>
  <si>
    <t>Table 2 For Line 3 Above</t>
  </si>
  <si>
    <t>Business name.  If no separate business name, leave blank.</t>
  </si>
  <si>
    <t>20.</t>
  </si>
  <si>
    <t>21.</t>
  </si>
  <si>
    <t>22.</t>
  </si>
  <si>
    <t>23.</t>
  </si>
  <si>
    <t>24.</t>
  </si>
  <si>
    <t>25.</t>
  </si>
  <si>
    <t>26.</t>
  </si>
  <si>
    <t>27.</t>
  </si>
  <si>
    <t>32.</t>
  </si>
  <si>
    <t>33.</t>
  </si>
  <si>
    <t>Enter:</t>
  </si>
  <si>
    <r>
      <t xml:space="preserve">Mortgage (paid to banks, etc.) </t>
    </r>
    <r>
      <rPr>
        <b/>
        <sz val="10"/>
        <rFont val="Arial"/>
        <family val="2"/>
      </rPr>
      <t xml:space="preserve">  .   .   .   .   .   .</t>
    </r>
  </si>
  <si>
    <t>Ordinary</t>
  </si>
  <si>
    <t>Dividends</t>
  </si>
  <si>
    <t>Worksheet</t>
  </si>
  <si>
    <t>Are you filing Schedule D?*</t>
  </si>
  <si>
    <t>SCHEDULE C</t>
  </si>
  <si>
    <t>Profit or Loss from Business</t>
  </si>
  <si>
    <t>(Sole Proprietorship)</t>
  </si>
  <si>
    <t>Name of Proprietor</t>
  </si>
  <si>
    <t>Single, HOH, MFS</t>
  </si>
  <si>
    <t>MFJ, QWidow(er)</t>
  </si>
  <si>
    <t>P</t>
  </si>
  <si>
    <t>Payer #4</t>
  </si>
  <si>
    <t>5a</t>
  </si>
  <si>
    <t>5b</t>
  </si>
  <si>
    <t>E</t>
  </si>
  <si>
    <t>City, town or post office, state, and ZIP code</t>
  </si>
  <si>
    <t>F</t>
  </si>
  <si>
    <t xml:space="preserve">.   .   .   .   .   .   .   .   .   .   .   .   .   .   .   .   .   . </t>
  </si>
  <si>
    <r>
      <t>worksheet last year, enter the amount from line 10 of last year’s worksheet.</t>
    </r>
    <r>
      <rPr>
        <b/>
        <sz val="9"/>
        <rFont val="Arial"/>
        <family val="2"/>
      </rPr>
      <t xml:space="preserve">   .    .    .</t>
    </r>
  </si>
  <si>
    <t>Add lines 8a, 8b, and 8c</t>
  </si>
  <si>
    <t>8d</t>
  </si>
  <si>
    <t>Itemized Deductions</t>
  </si>
  <si>
    <t>SCHEDULE A</t>
  </si>
  <si>
    <t xml:space="preserve">       or</t>
  </si>
  <si>
    <t xml:space="preserve"> Yes</t>
  </si>
  <si>
    <t xml:space="preserve"> No</t>
  </si>
  <si>
    <t>(above)</t>
  </si>
  <si>
    <r>
      <t>and</t>
    </r>
    <r>
      <rPr>
        <sz val="10"/>
        <rFont val="Arial"/>
        <family val="2"/>
      </rPr>
      <t xml:space="preserve"> </t>
    </r>
    <r>
      <rPr>
        <b/>
        <sz val="10"/>
        <rFont val="Arial"/>
        <family val="2"/>
      </rPr>
      <t>both</t>
    </r>
    <r>
      <rPr>
        <sz val="10"/>
        <rFont val="Arial"/>
        <family val="2"/>
      </rPr>
      <t xml:space="preserve"> of the following apply.</t>
    </r>
  </si>
  <si>
    <t>If "Yes", is the evidence written?</t>
  </si>
  <si>
    <t>Download Form 1040 Schedule A</t>
  </si>
  <si>
    <t>Download Form 1040 Schedule A Instructions</t>
  </si>
  <si>
    <t xml:space="preserve"> </t>
  </si>
  <si>
    <t>Interest</t>
  </si>
  <si>
    <r>
      <t xml:space="preserve">Form 4972 here </t>
    </r>
    <r>
      <rPr>
        <sz val="8"/>
        <rFont val="Symbol"/>
        <family val="1"/>
        <charset val="2"/>
      </rPr>
      <t>¯</t>
    </r>
  </si>
  <si>
    <t>b. On your annuity starting date, either:</t>
  </si>
  <si>
    <t>If you do not have to file Schedule D and you received capital gain distributions, be sure</t>
  </si>
  <si>
    <t>P/A</t>
  </si>
  <si>
    <t>.   .   .   .   .   .   .   .   .</t>
  </si>
  <si>
    <t>Internal Revenue Service</t>
  </si>
  <si>
    <t>Form W-2</t>
  </si>
  <si>
    <t>Download Form 1040 Schedule SE</t>
  </si>
  <si>
    <t>Download Form 1040 Schedule SE Instructions</t>
  </si>
  <si>
    <t>4.</t>
  </si>
  <si>
    <t>SCHEDULE D</t>
  </si>
  <si>
    <t>Capital Gains and Losses</t>
  </si>
  <si>
    <t>Other</t>
  </si>
  <si>
    <t>CGTW_Line1</t>
  </si>
  <si>
    <r>
      <t xml:space="preserve">Enter the amount from Form 4952, line 4e* </t>
    </r>
    <r>
      <rPr>
        <b/>
        <sz val="10"/>
        <rFont val="Arial"/>
        <family val="2"/>
      </rPr>
      <t>.   .   .   .   .   .   .   .   .   .</t>
    </r>
  </si>
  <si>
    <t>Subtract line 5 from line 2. If zero or less, enter -0-**</t>
  </si>
  <si>
    <t>Subtract line 8 from line 7. If zero or less, enter -0-**</t>
  </si>
  <si>
    <t>Add lines 18 and 19 of Schedule D**</t>
  </si>
  <si>
    <t>.   .   .   .   .   .   .   .   .   .   .   .   .   .   .   .   .   .   .   .   .   .   .   .</t>
  </si>
  <si>
    <t>6b.</t>
  </si>
  <si>
    <t>IRA</t>
  </si>
  <si>
    <r>
      <t xml:space="preserve">Override </t>
    </r>
    <r>
      <rPr>
        <b/>
        <sz val="10"/>
        <rFont val="Wingdings"/>
        <charset val="2"/>
      </rPr>
      <t>ê</t>
    </r>
  </si>
  <si>
    <t>Cat. No. 11320B</t>
  </si>
  <si>
    <t>nondeductible IRA contributions, see Form 8606.</t>
  </si>
  <si>
    <t>No.</t>
  </si>
  <si>
    <t>Enter -0-.</t>
  </si>
  <si>
    <t>Yes.</t>
  </si>
  <si>
    <t>Qualifying widow(er)</t>
  </si>
  <si>
    <t>starting date</t>
  </si>
  <si>
    <r>
      <t xml:space="preserve">widow(er), or married filing separately and you </t>
    </r>
    <r>
      <rPr>
        <b/>
        <sz val="10"/>
        <rFont val="Arial"/>
        <family val="2"/>
      </rPr>
      <t>lived apart</t>
    </r>
    <r>
      <rPr>
        <sz val="10"/>
        <rFont val="Arial"/>
        <family val="2"/>
      </rPr>
      <t xml:space="preserve"> from your spouse for all of</t>
    </r>
  </si>
  <si>
    <t xml:space="preserve">· </t>
  </si>
  <si>
    <t>Total employee contributions</t>
  </si>
  <si>
    <t>State tax withheld</t>
  </si>
  <si>
    <t>28% Rate Gain Worksheet — Line 18</t>
  </si>
  <si>
    <t>Long-term contracts (difference between AMT and regular tax income)</t>
  </si>
  <si>
    <t xml:space="preserve">Circulation costs (difference between regular tax and AMT) </t>
  </si>
  <si>
    <t xml:space="preserve">Loss limitations (difference between AMT and regular tax income or loss) </t>
  </si>
  <si>
    <t>Depreciation and section 179</t>
  </si>
  <si>
    <t xml:space="preserve">.   .   .   .   .   .   .   .   .   .   .   .   .   .   .   .   .   .   .   .   .   .   .   . </t>
  </si>
  <si>
    <t>If you elect to itemize deductions even though they are less than your standard</t>
  </si>
  <si>
    <t>6a</t>
  </si>
  <si>
    <t>13.</t>
  </si>
  <si>
    <t>14.</t>
  </si>
  <si>
    <t>15.</t>
  </si>
  <si>
    <t>Deductions</t>
  </si>
  <si>
    <t>Research and experimental costs (difference between regular tax and AMT)</t>
  </si>
  <si>
    <t>use the Schedule D Tax Worksheet on page D-10 of the Instructions for Schedule D to figure your tax.</t>
  </si>
  <si>
    <t>after</t>
  </si>
  <si>
    <t>before</t>
  </si>
  <si>
    <t>Method(s) used to</t>
  </si>
  <si>
    <t>Cost</t>
  </si>
  <si>
    <t>Lower cost or market</t>
  </si>
  <si>
    <t>Table 1 For Line 3 Above</t>
  </si>
  <si>
    <t>AND your annuity starting date was----</t>
  </si>
  <si>
    <t xml:space="preserve"> (used to figure investment interest expense deduction)</t>
  </si>
  <si>
    <t>.   .   .   .   .   .   .   .   .   .</t>
  </si>
  <si>
    <r>
      <t>Page</t>
    </r>
    <r>
      <rPr>
        <sz val="9"/>
        <rFont val="Arial"/>
        <family val="2"/>
      </rPr>
      <t xml:space="preserve"> </t>
    </r>
    <r>
      <rPr>
        <sz val="12"/>
        <rFont val="Arial"/>
        <family val="2"/>
      </rPr>
      <t xml:space="preserve"> </t>
    </r>
    <r>
      <rPr>
        <b/>
        <sz val="12"/>
        <rFont val="Arial"/>
        <family val="2"/>
      </rPr>
      <t>2</t>
    </r>
  </si>
  <si>
    <t>Short-Term Capital Gains and Losses</t>
  </si>
  <si>
    <t>instructions for</t>
  </si>
  <si>
    <t>received a Form</t>
  </si>
  <si>
    <t>substitute</t>
  </si>
  <si>
    <t>statement from</t>
  </si>
  <si>
    <t>a brokerage firm,</t>
  </si>
  <si>
    <t xml:space="preserve">.   .   .   .   .   .   .   .   .   .   .   .   .   .   .   .   .   .   . </t>
  </si>
  <si>
    <t>If married filing jointly or qualifying widow(er), and the result is</t>
  </si>
  <si>
    <t>a person who was not covered by a retirement plan), enter the</t>
  </si>
  <si>
    <t>If you received social security retirement or disability benefits, enter the amount of Conservation Reserve</t>
  </si>
  <si>
    <t>Itemized</t>
  </si>
  <si>
    <t>MFS</t>
  </si>
  <si>
    <t>Last name</t>
  </si>
  <si>
    <t>Enter number of months for which</t>
  </si>
  <si>
    <t>this year's payments were made.</t>
  </si>
  <si>
    <t>Enter this amount on</t>
  </si>
  <si>
    <t>At Least</t>
  </si>
  <si>
    <t>Married filing jointly</t>
  </si>
  <si>
    <t>TOTALs</t>
  </si>
  <si>
    <t>.   .   .   .   .   .   .   .   .   .   .   .   .   .   .   .   .   .   .   .   .   .   .   .   .   .   .   .   .   .   .   .   .   .   .   .</t>
  </si>
  <si>
    <t>Other adjustments, including income-based related adjustments</t>
  </si>
  <si>
    <t>Intangible drilling costs preference</t>
  </si>
  <si>
    <t>Income from certain installment sales before January 1, 1987</t>
  </si>
  <si>
    <t>Part IV</t>
  </si>
  <si>
    <t>Gross distribution</t>
  </si>
  <si>
    <t>Schedule D Tax Worksheet</t>
  </si>
  <si>
    <t>Attachment Sequence No.</t>
  </si>
  <si>
    <t>Subtract line 3 from line 2. If zero or less,</t>
  </si>
  <si>
    <t>Maximum income for optional methods</t>
  </si>
  <si>
    <t>Total          IRAs</t>
  </si>
  <si>
    <t>Code</t>
  </si>
  <si>
    <t>Q</t>
  </si>
  <si>
    <t>17.</t>
  </si>
  <si>
    <t>18.</t>
  </si>
  <si>
    <t>19.</t>
  </si>
  <si>
    <t>Married filing          separately</t>
  </si>
  <si>
    <r>
      <t xml:space="preserve">Enter the </t>
    </r>
    <r>
      <rPr>
        <b/>
        <sz val="10"/>
        <rFont val="Arial"/>
        <family val="2"/>
      </rPr>
      <t>smaller</t>
    </r>
    <r>
      <rPr>
        <sz val="10"/>
        <rFont val="Arial"/>
        <family val="2"/>
      </rPr>
      <t xml:space="preserve"> of line 3 or line 4</t>
    </r>
  </si>
  <si>
    <t>For Paperwork Reduction Act Notice, see your tax return instructions.</t>
  </si>
  <si>
    <t>instructions.</t>
  </si>
  <si>
    <t>Home address (number and street). If you have a P.O. box, see instructions.</t>
  </si>
  <si>
    <t>Qualified dividends</t>
  </si>
  <si>
    <t>7a.</t>
  </si>
  <si>
    <t>7b.</t>
  </si>
  <si>
    <t>Part of your social security benefits may be taxable.</t>
  </si>
  <si>
    <r>
      <t xml:space="preserve">Depletion  </t>
    </r>
    <r>
      <rPr>
        <b/>
        <sz val="10"/>
        <rFont val="Arial"/>
        <family val="2"/>
      </rPr>
      <t xml:space="preserve">  .   .   .   .   .   .   .   .   .   .   .   .   .</t>
    </r>
  </si>
  <si>
    <t>Taxes and licenses</t>
  </si>
  <si>
    <t>Schedules(s) K-1</t>
  </si>
  <si>
    <t>Enter the amount, if any, recovered tax free in years after 1986. If you completed this</t>
  </si>
  <si>
    <t>Subtract line 4 from line 3. If zero or less, enter -0-</t>
  </si>
  <si>
    <t>Self-employed health insurance deduction</t>
  </si>
  <si>
    <t>IRA deduction</t>
  </si>
  <si>
    <t>For Disclosure, Privacy Act, and Paperwork Reduction Act Notice, see separate instructions.</t>
  </si>
  <si>
    <t>Social Security Tips</t>
  </si>
  <si>
    <t>Allocated Tips</t>
  </si>
  <si>
    <t>Dependent Care Benefits</t>
  </si>
  <si>
    <t>Nonqualified plans</t>
  </si>
  <si>
    <t>See instructions for box 12</t>
  </si>
  <si>
    <t>12a</t>
  </si>
  <si>
    <t>12b</t>
  </si>
  <si>
    <t>12c</t>
  </si>
  <si>
    <t>12d</t>
  </si>
  <si>
    <t>Stat Emp / Retire / 3rd Party Sick</t>
  </si>
  <si>
    <t xml:space="preserve">State wages, tips, etc. </t>
  </si>
  <si>
    <t>Local wages, tips, etc.</t>
  </si>
  <si>
    <t xml:space="preserve">  No</t>
  </si>
  <si>
    <t>Preparer’s signature</t>
  </si>
  <si>
    <t>PTIN</t>
  </si>
  <si>
    <t>Firm's EIN</t>
  </si>
  <si>
    <t>Firm’s name</t>
  </si>
  <si>
    <t>Wages, salaries, tips, etc. Attach Form(s) W-2</t>
  </si>
  <si>
    <t xml:space="preserve">.   .   .   .   .  </t>
  </si>
  <si>
    <t>Medical and dental expenses (see instructions)</t>
  </si>
  <si>
    <t>Gifts by cash or check.  If you made any gift of $250 or more</t>
  </si>
  <si>
    <r>
      <t xml:space="preserve">see instructions  </t>
    </r>
    <r>
      <rPr>
        <b/>
        <sz val="9"/>
        <rFont val="Arial"/>
        <family val="2"/>
      </rPr>
      <t>.   .   .   .   .   .   .   .   .   .   .   .   .   .   .   .   .   .   .   .</t>
    </r>
  </si>
  <si>
    <t>Section B</t>
  </si>
  <si>
    <t>Section C</t>
  </si>
  <si>
    <t>Section D</t>
  </si>
  <si>
    <t xml:space="preserve">   Cost of Goods Sold  (see instructions)</t>
  </si>
  <si>
    <t>MFJ or QW</t>
  </si>
  <si>
    <t>Cat. No. 11338H</t>
  </si>
  <si>
    <t>line 22.</t>
  </si>
  <si>
    <t>Add lines 4c and 5b</t>
  </si>
  <si>
    <t xml:space="preserve">.   .   .   .   .   .   .   . </t>
  </si>
  <si>
    <t>.   .   .   .   .   .   .   .   .   .   .   .   .   .   .   .   .   .   .   .   .   .   .   .   .   .   .   .   .</t>
  </si>
  <si>
    <t>.   .   .   .   .   .   .   .   .   .   .   .   .   .   .   .   .   .   .   .   .   .   .   .   .   .   .   .</t>
  </si>
  <si>
    <t xml:space="preserve"> .   .   .   .   .   .</t>
  </si>
  <si>
    <t xml:space="preserve"> .   .   .   .   .   .   . </t>
  </si>
  <si>
    <t xml:space="preserve"> .   .   .   .   .   .   .   .   .   .   .   .   .   .   .   .   .   . </t>
  </si>
  <si>
    <t xml:space="preserve">.   .   .   .   .   . </t>
  </si>
  <si>
    <t xml:space="preserve">.   .   .   .   .   .   .   .   .   .   .   .   .   .   .   .   .   .   .   .   .   .   .   .   .   .   .   .   .   .   . </t>
  </si>
  <si>
    <t xml:space="preserve">  .   .   .   .   .   .   .   . </t>
  </si>
  <si>
    <t>Enter your alternative minimum taxable income</t>
  </si>
  <si>
    <t>separately</t>
  </si>
  <si>
    <t>any death benefit exclusion that you are entitled to (up to $5,000) in the amount entered on line 2 below.</t>
  </si>
  <si>
    <r>
      <t xml:space="preserve">If you are the beneficiary of a deceased employee or former employee who died </t>
    </r>
    <r>
      <rPr>
        <b/>
        <sz val="10"/>
        <rFont val="Arial"/>
        <family val="2"/>
      </rPr>
      <t>before</t>
    </r>
    <r>
      <rPr>
        <sz val="10"/>
        <rFont val="Arial"/>
        <family val="2"/>
      </rPr>
      <t xml:space="preserve"> August 21, 1996, include</t>
    </r>
  </si>
  <si>
    <r>
      <t xml:space="preserve">Enter the appropriate number from </t>
    </r>
    <r>
      <rPr>
        <b/>
        <sz val="9"/>
        <rFont val="Arial"/>
        <family val="2"/>
      </rPr>
      <t>Table 1</t>
    </r>
    <r>
      <rPr>
        <sz val="9"/>
        <rFont val="Arial"/>
        <family val="2"/>
      </rPr>
      <t xml:space="preserve"> below. </t>
    </r>
    <r>
      <rPr>
        <b/>
        <sz val="9"/>
        <rFont val="Arial"/>
        <family val="2"/>
      </rPr>
      <t>But</t>
    </r>
    <r>
      <rPr>
        <sz val="9"/>
        <rFont val="Arial"/>
        <family val="2"/>
      </rPr>
      <t xml:space="preserve"> if your annuity starting date was </t>
    </r>
    <r>
      <rPr>
        <b/>
        <sz val="9"/>
        <rFont val="Arial"/>
        <family val="2"/>
      </rPr>
      <t>after</t>
    </r>
  </si>
  <si>
    <r>
      <t xml:space="preserve">Enter the </t>
    </r>
    <r>
      <rPr>
        <b/>
        <sz val="9"/>
        <rFont val="Arial"/>
        <family val="2"/>
      </rPr>
      <t>smaller</t>
    </r>
    <r>
      <rPr>
        <sz val="9"/>
        <rFont val="Arial"/>
        <family val="2"/>
      </rPr>
      <t xml:space="preserve"> of line 5 or line 7</t>
    </r>
  </si>
  <si>
    <r>
      <t xml:space="preserve">Enter the total amount from </t>
    </r>
    <r>
      <rPr>
        <b/>
        <sz val="9"/>
        <rFont val="Arial"/>
        <family val="2"/>
      </rPr>
      <t>box 5</t>
    </r>
    <r>
      <rPr>
        <sz val="9"/>
        <rFont val="Arial"/>
        <family val="2"/>
      </rPr>
      <t xml:space="preserve"> of </t>
    </r>
    <r>
      <rPr>
        <b/>
        <sz val="9"/>
        <rFont val="Arial"/>
        <family val="2"/>
      </rPr>
      <t>all</t>
    </r>
    <r>
      <rPr>
        <sz val="9"/>
        <rFont val="Arial"/>
        <family val="2"/>
      </rPr>
      <t xml:space="preserve"> your </t>
    </r>
    <r>
      <rPr>
        <b/>
        <sz val="9"/>
        <rFont val="Arial"/>
        <family val="2"/>
      </rPr>
      <t>Forms SSA-1099</t>
    </r>
    <r>
      <rPr>
        <sz val="9"/>
        <rFont val="Arial"/>
        <family val="2"/>
      </rPr>
      <t xml:space="preserve"> and</t>
    </r>
  </si>
  <si>
    <t>Combine lines 2, 3, and 4</t>
  </si>
  <si>
    <t xml:space="preserve">No.  Stop.  </t>
  </si>
  <si>
    <t>None of your IRA contributions are deductible. For details on</t>
  </si>
  <si>
    <t xml:space="preserve">Nontaxable combat pay. This amount should be </t>
  </si>
  <si>
    <t>reported in box 12 of Form W-2 with code Q</t>
  </si>
  <si>
    <t>Figure the tax on the amount on line 1. If the amount on line 1 is less than $100,000, use the Tax</t>
  </si>
  <si>
    <t>Table to figure this tax. If the amount on line 1 is $100,000 or more, use the Tax Computation</t>
  </si>
  <si>
    <r>
      <t xml:space="preserve">Manual
Override
</t>
    </r>
    <r>
      <rPr>
        <b/>
        <sz val="10"/>
        <rFont val="Wingdings"/>
        <charset val="2"/>
      </rPr>
      <t>ê</t>
    </r>
  </si>
  <si>
    <t>*If applicable, enter instead the smaller amount you entered on the dotted line next to line 4e of Form 4952.</t>
  </si>
  <si>
    <r>
      <t xml:space="preserve">Enter the </t>
    </r>
    <r>
      <rPr>
        <b/>
        <sz val="10"/>
        <rFont val="Arial"/>
        <family val="2"/>
      </rPr>
      <t>smaller</t>
    </r>
    <r>
      <rPr>
        <sz val="10"/>
        <rFont val="Arial"/>
        <family val="2"/>
      </rPr>
      <t xml:space="preserve"> of line 1 or line 15</t>
    </r>
  </si>
  <si>
    <r>
      <t>Enter the</t>
    </r>
    <r>
      <rPr>
        <b/>
        <sz val="10"/>
        <rFont val="Arial"/>
        <family val="2"/>
      </rPr>
      <t xml:space="preserve"> smaller</t>
    </r>
    <r>
      <rPr>
        <sz val="10"/>
        <rFont val="Arial"/>
        <family val="2"/>
      </rPr>
      <t xml:space="preserve"> of line 14 or line 16</t>
    </r>
  </si>
  <si>
    <t xml:space="preserve"> .   .   .   .   .   .   .   .   .   .   .   .   .   .   .   .   .   .   .   .   .   .   .   .   .   .   .   . </t>
  </si>
  <si>
    <t>Subtract line 17 from line 16. This amount is taxed at 0%.</t>
  </si>
  <si>
    <r>
      <t xml:space="preserve">Enter the </t>
    </r>
    <r>
      <rPr>
        <b/>
        <sz val="10"/>
        <rFont val="Arial"/>
        <family val="2"/>
      </rPr>
      <t>smaller</t>
    </r>
    <r>
      <rPr>
        <sz val="10"/>
        <rFont val="Arial"/>
        <family val="2"/>
      </rPr>
      <t xml:space="preserve"> of line 1 or line 13 </t>
    </r>
  </si>
  <si>
    <t>Subtract line 22 from line 21. If zero or less, enter -0-</t>
  </si>
  <si>
    <t xml:space="preserve">.   .   .   .   .   .   .   .   .   . </t>
  </si>
  <si>
    <t>Enter the amount from line 1 above</t>
  </si>
  <si>
    <t xml:space="preserve">.   .   .   .   .   .   .   .   .   .   .   .   .   .   .   .   .   .   .   .   .   .   .   .   .   .   .   .   .   .   .   .   .   .   .  </t>
  </si>
  <si>
    <t>SchDTW_Line1</t>
  </si>
  <si>
    <t>↓  Income Tax Override</t>
  </si>
  <si>
    <t>calculated using:</t>
  </si>
  <si>
    <t>Your deduction is being</t>
  </si>
  <si>
    <t xml:space="preserve">.   .   .   .   .   .   .   .   .   .   .   .   .   .   .   .   .   .   .   . </t>
  </si>
  <si>
    <t xml:space="preserve">.   .   .   .   .   .   .   .   .   .   .   .   .   .   .   .   . </t>
  </si>
  <si>
    <t xml:space="preserve"> .   .   .   .   .   .   .   .   .   . </t>
  </si>
  <si>
    <t xml:space="preserve">.   .   .   .   .   .   .   .   .   .   .   .   .   . </t>
  </si>
  <si>
    <t xml:space="preserve">.   .   .   .   .   .   .   .   .   .   .   .   . </t>
  </si>
  <si>
    <t xml:space="preserve">.   .   .   .   .   .   .   .   .   .   .   . </t>
  </si>
  <si>
    <t xml:space="preserve">.   .   .   .   .   .   . </t>
  </si>
  <si>
    <t>Download Form 1040 Schedule C Instructions</t>
  </si>
  <si>
    <t xml:space="preserve">.   .   .   .   .   .   .   .   .   .   .   .   .   .   .   .   .   .   .   .   .   .   .   .   .   .   .   .   .   .   .   .   .   .   . </t>
  </si>
  <si>
    <r>
      <t>Enter</t>
    </r>
    <r>
      <rPr>
        <sz val="9"/>
        <rFont val="Arial"/>
        <family val="2"/>
      </rPr>
      <t>:</t>
    </r>
  </si>
  <si>
    <t xml:space="preserve">.    .    .    .    .    .    .    .    .    .    .    .    .    .    .    .    . </t>
  </si>
  <si>
    <t xml:space="preserve"> .    .    .    .    .    .    .    .    .    .    .    .    .    .    .    .    . </t>
  </si>
  <si>
    <t xml:space="preserve"> .    .    .    .    .    .    .    . </t>
  </si>
  <si>
    <t xml:space="preserve"> .    .    .    .    .    .    .    .    .    .    .    . </t>
  </si>
  <si>
    <t xml:space="preserve"> .    .    .    .    .    .    .    .    .    .    .    .    . </t>
  </si>
  <si>
    <t xml:space="preserve">   .    .    .    .    .    .    .    .    .    .    .    .    .    .    .    .    .    .    .    .    .    .    .    .    .    .    .    .    .    .    .    .    .    . </t>
  </si>
  <si>
    <t>Foreign country name</t>
  </si>
  <si>
    <t>Foreign postal code</t>
  </si>
  <si>
    <t>Deduction for --</t>
  </si>
  <si>
    <t>Married filing jointly or qualifying widow(er)</t>
  </si>
  <si>
    <t>See instructions.</t>
  </si>
  <si>
    <r>
      <t xml:space="preserve">Use the worksheet </t>
    </r>
    <r>
      <rPr>
        <b/>
        <sz val="10"/>
        <rFont val="Arial"/>
        <family val="2"/>
      </rPr>
      <t>only</t>
    </r>
    <r>
      <rPr>
        <sz val="10"/>
        <rFont val="Arial"/>
        <family val="2"/>
      </rPr>
      <t xml:space="preserve"> if someone can claim you, or your spouse, if filing jointly, as a dependent.</t>
    </r>
  </si>
  <si>
    <t>Standard deduction.</t>
  </si>
  <si>
    <t>c.</t>
  </si>
  <si>
    <t>a.</t>
  </si>
  <si>
    <t>b.</t>
  </si>
  <si>
    <t>•</t>
  </si>
  <si>
    <t>Cat. No. 17145C</t>
  </si>
  <si>
    <t>account (such as a bank account, securities account, or brokerage account) located in a foreign</t>
  </si>
  <si>
    <t>country? See instructions</t>
  </si>
  <si>
    <t>financial account is located</t>
  </si>
  <si>
    <t>Cat. No. 17146N</t>
  </si>
  <si>
    <r>
      <t xml:space="preserve">account; or </t>
    </r>
    <r>
      <rPr>
        <b/>
        <sz val="9"/>
        <rFont val="Arial"/>
        <family val="2"/>
      </rPr>
      <t>(c)</t>
    </r>
    <r>
      <rPr>
        <sz val="9"/>
        <rFont val="Arial"/>
        <family val="2"/>
      </rPr>
      <t xml:space="preserve"> received a distribution from, or were a grantor of, or a transferor to, a foreign trust.</t>
    </r>
  </si>
  <si>
    <t>Other (specify)</t>
  </si>
  <si>
    <t>I</t>
  </si>
  <si>
    <t>J</t>
  </si>
  <si>
    <t>If "Yes," did you or will you file all required Forms 1099?</t>
  </si>
  <si>
    <t xml:space="preserve">.   .   .   .   .   .   .   .   .   .   .   .   .   .   .   .   .   .   .   .   .  </t>
  </si>
  <si>
    <t>Cost of goods sold  (from line 42)</t>
  </si>
  <si>
    <t>Legal and professional services</t>
  </si>
  <si>
    <t xml:space="preserve">   .   .   .   .   .   .   .   .</t>
  </si>
  <si>
    <t>Rent or lease (see instructions):</t>
  </si>
  <si>
    <t>Other expenses (from line 48)</t>
  </si>
  <si>
    <t>Reserved for future use</t>
  </si>
  <si>
    <t>27a</t>
  </si>
  <si>
    <t>27b</t>
  </si>
  <si>
    <t>Contract labor (see instructions)</t>
  </si>
  <si>
    <t>Was there any change in determining quantities, cost or valuations between opening and closing inventory?</t>
  </si>
  <si>
    <t>Was your vehicle available for use during off-duty hours?</t>
  </si>
  <si>
    <t xml:space="preserve">Cat. No. 11334P   </t>
  </si>
  <si>
    <r>
      <t xml:space="preserve">   </t>
    </r>
    <r>
      <rPr>
        <b/>
        <sz val="11"/>
        <rFont val="Arial"/>
        <family val="2"/>
      </rPr>
      <t>Other expenses.</t>
    </r>
    <r>
      <rPr>
        <sz val="11"/>
        <rFont val="Arial"/>
        <family val="2"/>
      </rPr>
      <t xml:space="preserve"> </t>
    </r>
    <r>
      <rPr>
        <sz val="12"/>
        <rFont val="Arial"/>
        <family val="2"/>
      </rPr>
      <t xml:space="preserve"> List below business expenses not included on lines 8-26 or line 30.</t>
    </r>
  </si>
  <si>
    <r>
      <rPr>
        <sz val="8"/>
        <rFont val="Arial"/>
        <family val="2"/>
      </rPr>
      <t>Form</t>
    </r>
    <r>
      <rPr>
        <sz val="10"/>
        <rFont val="Arial"/>
        <family val="2"/>
      </rPr>
      <t xml:space="preserve"> </t>
    </r>
    <r>
      <rPr>
        <b/>
        <sz val="26"/>
        <rFont val="Arial"/>
        <family val="2"/>
      </rPr>
      <t>8949</t>
    </r>
  </si>
  <si>
    <t>Sales and Other Dispositions of Capital Assets</t>
  </si>
  <si>
    <r>
      <rPr>
        <b/>
        <sz val="8"/>
        <rFont val="Arial"/>
        <family val="2"/>
      </rPr>
      <t>(a)</t>
    </r>
    <r>
      <rPr>
        <sz val="8"/>
        <rFont val="Arial"/>
        <family val="2"/>
      </rPr>
      <t xml:space="preserve">
Description of property
(Example: 100 sh. XYZ Co.)</t>
    </r>
  </si>
  <si>
    <t>Cat. No. 37768Z</t>
  </si>
  <si>
    <r>
      <t xml:space="preserve">Page </t>
    </r>
    <r>
      <rPr>
        <b/>
        <sz val="12"/>
        <rFont val="Arial"/>
        <family val="2"/>
      </rPr>
      <t>2</t>
    </r>
  </si>
  <si>
    <r>
      <t xml:space="preserve">Attachment Sequence No. </t>
    </r>
    <r>
      <rPr>
        <b/>
        <sz val="12"/>
        <rFont val="Arial"/>
        <family val="2"/>
      </rPr>
      <t>12A</t>
    </r>
  </si>
  <si>
    <t>.   .   .   .   .   .   .   .   .   .   .   .   .   .   .   .   .   .   .   .   .   .   .   .   .   .   .</t>
  </si>
  <si>
    <t>Capital gain distributions. See the instructions</t>
  </si>
  <si>
    <t xml:space="preserve"> .   .   .   .   .   . </t>
  </si>
  <si>
    <t xml:space="preserve">Combine lines 1a, 1b, and 2. </t>
  </si>
  <si>
    <t xml:space="preserve"> .   .   .   .   .   .   .   .   .   .   .   .   .   .   .   .   .   .   .   .   .   . </t>
  </si>
  <si>
    <t xml:space="preserve">.   .   .   .   .   .   .   .   . </t>
  </si>
  <si>
    <t xml:space="preserve"> .   . </t>
  </si>
  <si>
    <r>
      <t xml:space="preserve">Override  </t>
    </r>
    <r>
      <rPr>
        <b/>
        <sz val="10"/>
        <rFont val="Wingdings"/>
        <charset val="2"/>
      </rPr>
      <t>è</t>
    </r>
  </si>
  <si>
    <r>
      <rPr>
        <sz val="8"/>
        <rFont val="Arial"/>
        <family val="2"/>
      </rPr>
      <t xml:space="preserve">Form </t>
    </r>
    <r>
      <rPr>
        <b/>
        <sz val="12"/>
        <rFont val="Arial"/>
        <family val="2"/>
      </rPr>
      <t>8949</t>
    </r>
  </si>
  <si>
    <t xml:space="preserve">.   .   .   .   .   .   .   .   .   .   .   .   .   .   .   .   .   .   .   .   .   .   .   .   .   . </t>
  </si>
  <si>
    <t xml:space="preserve">.   .   .   .   .   .   .   .   .   .   .   .   .   .   .   .   .   .   .   .   .   .   .   .   .   .   .   .   . </t>
  </si>
  <si>
    <t xml:space="preserve"> .   .   .   .   .   .   .   .   .   .   .   .   .   . </t>
  </si>
  <si>
    <t xml:space="preserve"> .   .   .   .   .   .   .   .   .   .   .   .   .   .   .   .   .   .   .   .   .   .</t>
  </si>
  <si>
    <t>Multiply line 4 by the number of months for which this year’s payments were made. If your</t>
  </si>
  <si>
    <t>Otherwise, go to line 6</t>
  </si>
  <si>
    <r>
      <t xml:space="preserve">Form 1099-R. If you are a retired public safety officer, see </t>
    </r>
    <r>
      <rPr>
        <i/>
        <sz val="9"/>
        <rFont val="Arial"/>
        <family val="2"/>
      </rPr>
      <t>Insurance Premiums for Retired Public Safety Officers</t>
    </r>
  </si>
  <si>
    <t>IF the age at annuity starting</t>
  </si>
  <si>
    <t>date was …</t>
  </si>
  <si>
    <t>IF the combined ages at annuity</t>
  </si>
  <si>
    <t xml:space="preserve"> starting date were . . .</t>
  </si>
  <si>
    <t xml:space="preserve">.   .   .   .   .   .   .   .   .   .   .   .   .   .   .   .   .   .  </t>
  </si>
  <si>
    <t>skip lines 2 through 6, enter the applicable amount below on line 7a (and line 7b if</t>
  </si>
  <si>
    <t>applicable), and go to line 8.</t>
  </si>
  <si>
    <t>Subtract line 4 from line 3. If married filing jointly, enter the result in both columns</t>
  </si>
  <si>
    <t xml:space="preserve"> .   .   .   .   .   .   .   .  </t>
  </si>
  <si>
    <t>Otherwise, go to line 7.</t>
  </si>
  <si>
    <t>Wages, salaries, tips, etc. Generally, this is the</t>
  </si>
  <si>
    <t>amount reported in box 1 of Form W-2. Exceptions</t>
  </si>
  <si>
    <t>line 3 of the Foreign Earned Income Tax Worksheet</t>
  </si>
  <si>
    <t xml:space="preserve"> .    .    .    .    .    .    .    .    .    .    . </t>
  </si>
  <si>
    <t>Enter the smaller of line 1 or line 6</t>
  </si>
  <si>
    <t>Is the amount on line 4 more than the amount on line 5?</t>
  </si>
  <si>
    <t>Enter the total.</t>
  </si>
  <si>
    <t>11</t>
  </si>
  <si>
    <t>13</t>
  </si>
  <si>
    <t>Enter the result.</t>
  </si>
  <si>
    <t>`</t>
  </si>
  <si>
    <t>14</t>
  </si>
  <si>
    <t>15</t>
  </si>
  <si>
    <t>Supplemental Income and Loss</t>
  </si>
  <si>
    <t>Income or Loss From Rental Real Estate and Royalties</t>
  </si>
  <si>
    <t>Expenses:</t>
  </si>
  <si>
    <t>Advertising</t>
  </si>
  <si>
    <t>Cleaning and maintenance</t>
  </si>
  <si>
    <t>Commissions</t>
  </si>
  <si>
    <t>Insurance</t>
  </si>
  <si>
    <t>Legal and other professional fees</t>
  </si>
  <si>
    <t>Management fees</t>
  </si>
  <si>
    <t>Repairs</t>
  </si>
  <si>
    <t>Supplies</t>
  </si>
  <si>
    <t>Taxes</t>
  </si>
  <si>
    <t>Utilities</t>
  </si>
  <si>
    <t>Depreciation expense or depletion</t>
  </si>
  <si>
    <t>Line 22</t>
  </si>
  <si>
    <t>Cat. No. 11344L</t>
  </si>
  <si>
    <t>Passive Income and Loss</t>
  </si>
  <si>
    <t>Nonpassive Income and Loss</t>
  </si>
  <si>
    <t>If “Yes,” did you or will you file all required Forms 1099?</t>
  </si>
  <si>
    <t>QJV</t>
  </si>
  <si>
    <t>Personal Use Days</t>
  </si>
  <si>
    <t>Type of Property:</t>
  </si>
  <si>
    <t>Auto and travel (see instructions)</t>
  </si>
  <si>
    <t>Mortgage interest paid to banks, etc. (see instructions)</t>
  </si>
  <si>
    <t>Total expenses. Add lines 5 through 19</t>
  </si>
  <si>
    <t>23a</t>
  </si>
  <si>
    <t>23b</t>
  </si>
  <si>
    <t>Total of all amounts reported on line 4 for all royalty properties</t>
  </si>
  <si>
    <t>Total of all amounts reported on line 12 for all properties</t>
  </si>
  <si>
    <t>Total of all amounts reported on line 18 for all properties</t>
  </si>
  <si>
    <t>Total of all amounts reported on line 20 for all properties</t>
  </si>
  <si>
    <t>23c</t>
  </si>
  <si>
    <t>23d</t>
  </si>
  <si>
    <t>23e</t>
  </si>
  <si>
    <t xml:space="preserve">.   .   .   . </t>
  </si>
  <si>
    <t xml:space="preserve">.   .   .   .   .   .   .   .   .   .   . </t>
  </si>
  <si>
    <t>Gains</t>
  </si>
  <si>
    <t>Losses</t>
  </si>
  <si>
    <t>Royalty losses</t>
  </si>
  <si>
    <t>Line 21</t>
  </si>
  <si>
    <t>Rental Real Estate Losses</t>
  </si>
  <si>
    <t>Capital gain (not included in box 2a)</t>
  </si>
  <si>
    <t>Employee contributions / Insurance premiums / 
Designated Roth IRA contributions</t>
  </si>
  <si>
    <t>Amount allocable to IRR within 5 years</t>
  </si>
  <si>
    <t>1st year of desig. Roth contrib.</t>
  </si>
  <si>
    <r>
      <t xml:space="preserve">  Only </t>
    </r>
    <r>
      <rPr>
        <b/>
        <sz val="10"/>
        <color indexed="10"/>
        <rFont val="Arial"/>
        <family val="2"/>
      </rPr>
      <t>bolded</t>
    </r>
    <r>
      <rPr>
        <sz val="10"/>
        <color indexed="10"/>
        <rFont val="Arial"/>
        <family val="2"/>
      </rPr>
      <t xml:space="preserve"> amounts are used in this spreadsheet.</t>
    </r>
  </si>
  <si>
    <t>---</t>
  </si>
  <si>
    <t>Check here to hide red formatting.   &gt;</t>
  </si>
  <si>
    <t>(a)
Description of property
(Example: 100 sh. XYZ Co.)</t>
  </si>
  <si>
    <t>received a Form 1099-INT, Form 1099-OID, or substitute
statement from a brokerage firm, 
list the firm’s 
name as the 
payer and enter 
the total interest shown on that 
form.</t>
  </si>
  <si>
    <t>Gross receipts or sales. See instructions for line 1 and check the box if this income was reported to you on</t>
  </si>
  <si>
    <t>Form W-2 and the “Statutory employee” box on that form was checked</t>
  </si>
  <si>
    <t>Subtract line 2 from line 1</t>
  </si>
  <si>
    <r>
      <t>(see instructions)</t>
    </r>
    <r>
      <rPr>
        <b/>
        <sz val="10"/>
        <rFont val="Arial"/>
        <family val="2"/>
      </rPr>
      <t xml:space="preserve">  .   .   .   .   .   .   .   .   .   .   .   .</t>
    </r>
  </si>
  <si>
    <t xml:space="preserve">.   .   .   .   . </t>
  </si>
  <si>
    <t xml:space="preserve"> .   .   .   .   .   .   .   .   . </t>
  </si>
  <si>
    <t>Travel</t>
  </si>
  <si>
    <t>and 22 below.</t>
  </si>
  <si>
    <t>complete a separate Form 8949, page 1, for each applicable box. If you have more short-term transactions than will fit on this page</t>
  </si>
  <si>
    <t>for one or more of the boxes, complete as many forms with the same box checked as you need.</t>
  </si>
  <si>
    <t>If more than one box applies for your short-term transactions,</t>
  </si>
  <si>
    <t xml:space="preserve"> Check only one box. </t>
  </si>
  <si>
    <r>
      <t xml:space="preserve">You </t>
    </r>
    <r>
      <rPr>
        <b/>
        <i/>
        <sz val="9"/>
        <rFont val="Arial"/>
        <family val="2"/>
      </rPr>
      <t>must</t>
    </r>
    <r>
      <rPr>
        <b/>
        <sz val="9"/>
        <rFont val="Arial"/>
        <family val="2"/>
      </rPr>
      <t xml:space="preserve"> check </t>
    </r>
    <r>
      <rPr>
        <b/>
        <sz val="10"/>
        <rFont val="Arial"/>
        <family val="2"/>
      </rPr>
      <t xml:space="preserve">Box A, B, </t>
    </r>
    <r>
      <rPr>
        <b/>
        <i/>
        <sz val="10"/>
        <rFont val="Arial"/>
        <family val="2"/>
      </rPr>
      <t>or</t>
    </r>
    <r>
      <rPr>
        <b/>
        <sz val="10"/>
        <rFont val="Arial"/>
        <family val="2"/>
      </rPr>
      <t xml:space="preserve"> C</t>
    </r>
    <r>
      <rPr>
        <b/>
        <sz val="9"/>
        <rFont val="Arial"/>
        <family val="2"/>
      </rPr>
      <t xml:space="preserve"> below. </t>
    </r>
  </si>
  <si>
    <t>If more than one box applies for your long-term transactions, complete</t>
  </si>
  <si>
    <t>a separate Form 8949, page 2, for each applicable box. If you have more long-term transactions than will fit on this page for one or</t>
  </si>
  <si>
    <t>more of the boxes, complete as many forms with the same box checked as you need.</t>
  </si>
  <si>
    <t>(b)
Date acquired
(Mo., day, yr.)</t>
  </si>
  <si>
    <r>
      <rPr>
        <b/>
        <sz val="8"/>
        <rFont val="Arial"/>
        <family val="2"/>
      </rPr>
      <t>(d)</t>
    </r>
    <r>
      <rPr>
        <sz val="8"/>
        <rFont val="Arial"/>
        <family val="2"/>
      </rPr>
      <t xml:space="preserve">
Proceeds 
(sales price) 
(see instructions)</t>
    </r>
  </si>
  <si>
    <r>
      <rPr>
        <b/>
        <sz val="6"/>
        <rFont val="Arial"/>
        <family val="2"/>
      </rPr>
      <t>Adjustment, if any, to gain or loss.</t>
    </r>
    <r>
      <rPr>
        <sz val="6"/>
        <rFont val="Arial"/>
        <family val="2"/>
      </rPr>
      <t xml:space="preserve"> 
If you enter an amount in column (g), 
enter a code in column (f). 
</t>
    </r>
    <r>
      <rPr>
        <b/>
        <sz val="6"/>
        <rFont val="Arial"/>
        <family val="2"/>
      </rPr>
      <t>See the separate instructions.</t>
    </r>
  </si>
  <si>
    <r>
      <rPr>
        <b/>
        <sz val="8"/>
        <rFont val="Arial"/>
        <family val="2"/>
      </rPr>
      <t xml:space="preserve">(g) </t>
    </r>
    <r>
      <rPr>
        <sz val="8"/>
        <rFont val="Arial"/>
        <family val="2"/>
      </rPr>
      <t xml:space="preserve">
Amount of 
adjustment</t>
    </r>
  </si>
  <si>
    <r>
      <rPr>
        <b/>
        <sz val="7"/>
        <rFont val="Arial"/>
        <family val="2"/>
      </rPr>
      <t xml:space="preserve">(h) </t>
    </r>
    <r>
      <rPr>
        <sz val="7"/>
        <rFont val="Arial"/>
        <family val="2"/>
      </rPr>
      <t xml:space="preserve">
</t>
    </r>
    <r>
      <rPr>
        <b/>
        <sz val="7"/>
        <rFont val="Arial"/>
        <family val="2"/>
      </rPr>
      <t xml:space="preserve">Gain or (loss). </t>
    </r>
    <r>
      <rPr>
        <sz val="7"/>
        <rFont val="Arial"/>
        <family val="2"/>
      </rPr>
      <t xml:space="preserve">
Subtract column (e) 
from column (d) and 
combine the result 
with column (g)</t>
    </r>
  </si>
  <si>
    <r>
      <rPr>
        <b/>
        <sz val="7"/>
        <rFont val="Arial"/>
        <family val="2"/>
      </rPr>
      <t>(e)</t>
    </r>
    <r>
      <rPr>
        <sz val="7"/>
        <rFont val="Arial"/>
        <family val="2"/>
      </rPr>
      <t xml:space="preserve">
Cost or other basis. 
See the </t>
    </r>
    <r>
      <rPr>
        <b/>
        <sz val="7"/>
        <rFont val="Arial"/>
        <family val="2"/>
      </rPr>
      <t>Note</t>
    </r>
    <r>
      <rPr>
        <sz val="7"/>
        <rFont val="Arial"/>
        <family val="2"/>
      </rPr>
      <t xml:space="preserve"> below 
and see </t>
    </r>
    <r>
      <rPr>
        <i/>
        <sz val="7"/>
        <rFont val="Arial"/>
        <family val="2"/>
      </rPr>
      <t xml:space="preserve">Column (e) </t>
    </r>
    <r>
      <rPr>
        <sz val="7"/>
        <rFont val="Arial"/>
        <family val="2"/>
      </rPr>
      <t xml:space="preserve">
in the separate 
instructions</t>
    </r>
  </si>
  <si>
    <t>Social security number or taxpayer identification number</t>
  </si>
  <si>
    <t>(b)
Date acquired 
(Mo., day, yr.)</t>
  </si>
  <si>
    <t>(c)
Date sold or disposed
(Mo., day, yr.)</t>
  </si>
  <si>
    <t>(d)
Proceeds (sales price)
(see instructions)</t>
  </si>
  <si>
    <r>
      <rPr>
        <b/>
        <sz val="7"/>
        <rFont val="Arial"/>
        <family val="2"/>
      </rPr>
      <t>(e)</t>
    </r>
    <r>
      <rPr>
        <sz val="7"/>
        <rFont val="Arial"/>
        <family val="2"/>
      </rPr>
      <t xml:space="preserve">
Cost or other basis.
See the </t>
    </r>
    <r>
      <rPr>
        <b/>
        <sz val="7"/>
        <rFont val="Arial"/>
        <family val="2"/>
      </rPr>
      <t>Note</t>
    </r>
    <r>
      <rPr>
        <sz val="7"/>
        <rFont val="Arial"/>
        <family val="2"/>
      </rPr>
      <t xml:space="preserve"> below 
and see Column (e)
in the separate instructions</t>
    </r>
  </si>
  <si>
    <t>(f) 
Code(s) from 
instructions</t>
  </si>
  <si>
    <r>
      <rPr>
        <b/>
        <sz val="8"/>
        <rFont val="Arial"/>
        <family val="2"/>
      </rPr>
      <t xml:space="preserve">(h) </t>
    </r>
    <r>
      <rPr>
        <sz val="8"/>
        <rFont val="Arial"/>
        <family val="2"/>
      </rPr>
      <t xml:space="preserve">
</t>
    </r>
    <r>
      <rPr>
        <b/>
        <sz val="8"/>
        <rFont val="Arial"/>
        <family val="2"/>
      </rPr>
      <t xml:space="preserve">Gain or (loss). </t>
    </r>
    <r>
      <rPr>
        <sz val="8"/>
        <rFont val="Arial"/>
        <family val="2"/>
      </rPr>
      <t xml:space="preserve">
Subtract column (e) 
from column (d) and 
combine the result 
with column (g)</t>
    </r>
  </si>
  <si>
    <t>Education credits from Form 8863, line 19</t>
  </si>
  <si>
    <t xml:space="preserve">.   .   .   .   .   .   .   .   .   .   .   .   .   </t>
  </si>
  <si>
    <t xml:space="preserve">     Keep for Your Records                </t>
  </si>
  <si>
    <t>Alternative minimum tax foreign tax credit (see instructions)</t>
  </si>
  <si>
    <t>Physical address of each property (street, city, state, ZIP code)</t>
  </si>
  <si>
    <t>Rents received</t>
  </si>
  <si>
    <t>Total of all amounts reported on line 3 for all rental properties</t>
  </si>
  <si>
    <t>farming and fishing income reported on Form 4835, line 7; Schedule K-1</t>
  </si>
  <si>
    <t xml:space="preserve">Alimony and separate maintenance payments </t>
  </si>
  <si>
    <t xml:space="preserve">  .   .   .   .   .   .   .   .   .   .   .   .   .   .   .   .   .   .   .   .</t>
  </si>
  <si>
    <t xml:space="preserve"> .    .    .    .    .    .    .    .    .    .    .    .    .    .    .    .    .    .    .    .    .    .    .    .    .    .  </t>
  </si>
  <si>
    <t xml:space="preserve">   .    .    .    .    .    .    .    .    .    .    .    .    .    .    .    .    .    . </t>
  </si>
  <si>
    <t xml:space="preserve">  .    .    .    .    .    .    .    .    .    .    .    .    .    .    .    . </t>
  </si>
  <si>
    <t xml:space="preserve"> .    .    .    .    .    .    .    .    .    . </t>
  </si>
  <si>
    <t>↑  General Sales Tax</t>
  </si>
  <si>
    <t>Adoption credit, Form 8839.</t>
  </si>
  <si>
    <t>Form 8396, line 9, and</t>
  </si>
  <si>
    <t>(h) 
Gain or (loss). 
Subtract column (e) 
from column (d) and 
combine the result 
with column (g)</t>
  </si>
  <si>
    <t>F8949A</t>
  </si>
  <si>
    <t>F8949B</t>
  </si>
  <si>
    <t>F8949C</t>
  </si>
  <si>
    <t>(d)</t>
  </si>
  <si>
    <t>(e)</t>
  </si>
  <si>
    <t>(g)</t>
  </si>
  <si>
    <t>(h)</t>
  </si>
  <si>
    <t>(Applicability)</t>
  </si>
  <si>
    <t>Form 1040</t>
  </si>
  <si>
    <t xml:space="preserve">  Yourself</t>
  </si>
  <si>
    <t>Before This Month (Last Year)</t>
  </si>
  <si>
    <t>Before This Day and Month (Last Year)</t>
  </si>
  <si>
    <t>Schedule D</t>
  </si>
  <si>
    <t>Line 18 &gt; 0</t>
  </si>
  <si>
    <t>Line 19 &gt; 0</t>
  </si>
  <si>
    <t>Line 15 &lt;= 0</t>
  </si>
  <si>
    <t>Line 9b = 0</t>
  </si>
  <si>
    <t>Line 16 &lt;= 0</t>
  </si>
  <si>
    <t>&gt;</t>
  </si>
  <si>
    <t>Calendar Year is SAME</t>
  </si>
  <si>
    <t>Less than One Year</t>
  </si>
  <si>
    <t xml:space="preserve">   Attachment</t>
  </si>
  <si>
    <t>If “Yes,” are you required to file FinCEN Form 114, Report of Foreign Bank and Financial</t>
  </si>
  <si>
    <t>If you are required to file FinCEN Form 114, enter the name of the foreign country where the</t>
  </si>
  <si>
    <t>Use Form 8949 to list your transactions for lines 1b, 2, 3, 8b, 9, and 10.</t>
  </si>
  <si>
    <t>.   .   .   .   .   .   .</t>
  </si>
  <si>
    <t xml:space="preserve"> .   .   .   .   .   .   .   .   .   .   .   .   .   .  </t>
  </si>
  <si>
    <t>Returns and allowances</t>
  </si>
  <si>
    <t>Expenses for business use of your home. Do not report these expenses elsewhere. Attach Form 8829</t>
  </si>
  <si>
    <t>unless using the simplified method (see instructions).</t>
  </si>
  <si>
    <t>and (b) the part of your home used for business:</t>
  </si>
  <si>
    <r>
      <rPr>
        <b/>
        <sz val="10"/>
        <rFont val="Arial"/>
        <family val="2"/>
      </rPr>
      <t>Simplified method filers only:</t>
    </r>
    <r>
      <rPr>
        <sz val="10"/>
        <rFont val="Arial"/>
        <family val="2"/>
      </rPr>
      <t xml:space="preserve"> enter the total square footage of: (a) your home:</t>
    </r>
  </si>
  <si>
    <t>Use the Simplified Method Worksheet in the instructions to figure the amount to enter on line 30</t>
  </si>
  <si>
    <t>Over</t>
  </si>
  <si>
    <t xml:space="preserve">No. </t>
  </si>
  <si>
    <t>Taxable Income</t>
  </si>
  <si>
    <t>If your filing status is married filing</t>
  </si>
  <si>
    <t>excess of the amount on line 28 over</t>
  </si>
  <si>
    <t>Amount added</t>
  </si>
  <si>
    <t>IF your filing status is . . .</t>
  </si>
  <si>
    <t>Single or head of household</t>
  </si>
  <si>
    <t>For Married Filing Separately Only</t>
  </si>
  <si>
    <t xml:space="preserve">.   .   .   .   .   .   .   .   .   .   .   .   .   .   .   . </t>
  </si>
  <si>
    <t>.   .   .   .   .   .   .   .   .   .   .   .</t>
  </si>
  <si>
    <t>Deduction for one-half of self-employment tax.</t>
  </si>
  <si>
    <t xml:space="preserve">.   .   .   .   .   .   .   .   .   .   .   .   .   .   .   .   .   .   .   .   .   .   .   .   .  </t>
  </si>
  <si>
    <t xml:space="preserve">    credit claimed in an earlier year.</t>
  </si>
  <si>
    <t>of last year’s worksheet on line 4 below (even if the amount of your pension or annuity has changed).</t>
  </si>
  <si>
    <r>
      <t>Note.</t>
    </r>
    <r>
      <rPr>
        <sz val="9"/>
        <rFont val="Arial"/>
        <family val="2"/>
      </rPr>
      <t xml:space="preserve"> If you completed this worksheet last year, skip line 3 and enter the amount from line 4</t>
    </r>
  </si>
  <si>
    <t xml:space="preserve">.    .    .    .    .    .    .    .    .    .    .    .    .    .    .    .    .    .    .    .    .    .    .    .    .    .    .    . </t>
  </si>
  <si>
    <t xml:space="preserve">   .    .    .    .    .    .    .    .    .    .    .    .    .    .    .    .    .    .    .    .    .    .    .    .    .    .    .    .    .    .    .    .    . </t>
  </si>
  <si>
    <t>Residential energy efficient property credit, Form 5695, Part I.</t>
  </si>
  <si>
    <t>If your employer withheld or you paid Additional Medicare Tax or Tier 1 RRTA</t>
  </si>
  <si>
    <t>taxes, use the Additional Medicare Tax and RRTA Tax</t>
  </si>
  <si>
    <t>Form 8839, line 16, and</t>
  </si>
  <si>
    <t>Form 5695, line 15, and</t>
  </si>
  <si>
    <t>reported to the IRS and for which no adjustments or codes are required. Enter the total directly on</t>
  </si>
  <si>
    <t xml:space="preserve">to the IRS and for which no adjustments or codes are required. Enter the total directly on Schedule D, line 8a; 
</t>
  </si>
  <si>
    <r>
      <t xml:space="preserve">You </t>
    </r>
    <r>
      <rPr>
        <b/>
        <i/>
        <sz val="9"/>
        <rFont val="Arial"/>
        <family val="2"/>
      </rPr>
      <t>must</t>
    </r>
    <r>
      <rPr>
        <b/>
        <sz val="9"/>
        <rFont val="Arial"/>
        <family val="2"/>
      </rPr>
      <t xml:space="preserve"> check Box D, E, </t>
    </r>
    <r>
      <rPr>
        <b/>
        <i/>
        <sz val="9"/>
        <rFont val="Arial"/>
        <family val="2"/>
      </rPr>
      <t>or</t>
    </r>
    <r>
      <rPr>
        <b/>
        <sz val="9"/>
        <rFont val="Arial"/>
        <family val="2"/>
      </rPr>
      <t xml:space="preserve"> F below. </t>
    </r>
  </si>
  <si>
    <r>
      <t>Enter</t>
    </r>
    <r>
      <rPr>
        <sz val="10"/>
        <rFont val="Arial"/>
        <family val="2"/>
      </rPr>
      <t>:</t>
    </r>
  </si>
  <si>
    <t>Add lines 19 and 20</t>
  </si>
  <si>
    <t>39.</t>
  </si>
  <si>
    <t>40.</t>
  </si>
  <si>
    <t>41.</t>
  </si>
  <si>
    <t>42.</t>
  </si>
  <si>
    <t>43.</t>
  </si>
  <si>
    <t>44.</t>
  </si>
  <si>
    <t>45.</t>
  </si>
  <si>
    <t>Schedule D. If either line 15 or line 16 is</t>
  </si>
  <si>
    <t>blank or a loss, enter -0-.</t>
  </si>
  <si>
    <t>Additional Medicare Tax</t>
  </si>
  <si>
    <t xml:space="preserve">  Additional Medicare Tax on Medicare Wages </t>
  </si>
  <si>
    <t>Unreported tips from Form 4137, line 6</t>
  </si>
  <si>
    <t xml:space="preserve"> .   .   .   .   .   .   .   .   .   .   .   .   .   .   .   . </t>
  </si>
  <si>
    <t>Wages from Form 8919, line 6</t>
  </si>
  <si>
    <t>Add lines 1 through 3</t>
  </si>
  <si>
    <t>Enter the following amount for your filing status:</t>
  </si>
  <si>
    <t>Single, Head of household, or Qualifying widow(er)</t>
  </si>
  <si>
    <t>Subtract line 5 from line 4. If the result is zero or less, enter -0-</t>
  </si>
  <si>
    <t>go to Part II</t>
  </si>
  <si>
    <t xml:space="preserve">     Additional Medicare Tax on Self-Employment Income</t>
  </si>
  <si>
    <t>Enter the amount from line 4</t>
  </si>
  <si>
    <t>Subtract line 10 from line 9. If zero or less, enter -0-</t>
  </si>
  <si>
    <t>Subtract line 11 from line 8. If the result is zero or less, enter -0-</t>
  </si>
  <si>
    <t xml:space="preserve">     Additional Medicare Tax on Railroad Retirement Tax Act (RRTA) Compensation</t>
  </si>
  <si>
    <t>Subtract line 15 from line 14. If the result is zero or less, enter -0-</t>
  </si>
  <si>
    <t xml:space="preserve">     Total Additional Medicare Tax</t>
  </si>
  <si>
    <t xml:space="preserve">    Withholding Reconciliation</t>
  </si>
  <si>
    <t>Enter the amount from line 1</t>
  </si>
  <si>
    <t>Additional Medicare Tax withholding on railroad retirement (RRTA) compensation from Form</t>
  </si>
  <si>
    <t>W-2, box 14 (see instructions)</t>
  </si>
  <si>
    <t>Cat. No. 59475X</t>
  </si>
  <si>
    <t>Download Form 8959</t>
  </si>
  <si>
    <t>Download Form 8959 Instructions</t>
  </si>
  <si>
    <t>Net Investment Income Tax—</t>
  </si>
  <si>
    <t>Individuals, Estates, and Trusts</t>
  </si>
  <si>
    <t xml:space="preserve"> Investment Income</t>
  </si>
  <si>
    <t>Section 6013(g) election (see instructions)</t>
  </si>
  <si>
    <t>Regulations section 1.1411-10(g) election (see instructions)</t>
  </si>
  <si>
    <t>Combine lines 4a and 4b</t>
  </si>
  <si>
    <t>Net gain or loss from disposition of property that is not subject to</t>
  </si>
  <si>
    <t>net investment income tax (see instructions)</t>
  </si>
  <si>
    <t>Adjustment from disposition of partnership interest or S corporation</t>
  </si>
  <si>
    <t>Combine lines 5a through 5c</t>
  </si>
  <si>
    <t>Changes to investment income for certain CFCs and PFICs (see instructions)</t>
  </si>
  <si>
    <t>Other modifications to investment income (see instructions)</t>
  </si>
  <si>
    <t>Total investment income. Combine lines 1, 2, 3, 4c, 5d, 6, and 7</t>
  </si>
  <si>
    <t>5d</t>
  </si>
  <si>
    <t xml:space="preserve">     Investment Expenses Allocable to Investment Income and Modifications</t>
  </si>
  <si>
    <t>Investment interest expenses (see instructions)</t>
  </si>
  <si>
    <t xml:space="preserve"> .   .   .   .   .   .   .   .   .   .   .   . </t>
  </si>
  <si>
    <t>Miscellaneous investment expenses (see instructions)</t>
  </si>
  <si>
    <t>9d</t>
  </si>
  <si>
    <t>9c</t>
  </si>
  <si>
    <t>Add lines 9a, 9b, and 9c</t>
  </si>
  <si>
    <t>Additional modifications (see instructions)</t>
  </si>
  <si>
    <t>Total deductions and modifications. Add lines 9d and 10</t>
  </si>
  <si>
    <t xml:space="preserve">     Tax Computation</t>
  </si>
  <si>
    <t>Individuals:</t>
  </si>
  <si>
    <t>Modified adjusted gross income (see instructions)</t>
  </si>
  <si>
    <t>Threshold based on filing status (see instructions)</t>
  </si>
  <si>
    <t>Subtract line 14 from line 13. If zero or less, enter -0-</t>
  </si>
  <si>
    <t>Enter the smaller of line 12 or line 15</t>
  </si>
  <si>
    <t>Estates and Trusts:</t>
  </si>
  <si>
    <t>18a</t>
  </si>
  <si>
    <t>Net investment income (line 12 above)</t>
  </si>
  <si>
    <t>Deductions for distributions of net investment income and</t>
  </si>
  <si>
    <t>deductions under section 642(c) (see instructions)</t>
  </si>
  <si>
    <t>18b</t>
  </si>
  <si>
    <t>18c</t>
  </si>
  <si>
    <t>Undistributed net investment income. Subtract line 18b from 18a (see</t>
  </si>
  <si>
    <t>instructions)</t>
  </si>
  <si>
    <t>19a</t>
  </si>
  <si>
    <t>19b</t>
  </si>
  <si>
    <t>19c</t>
  </si>
  <si>
    <t>Adjusted gross income (see instructions)</t>
  </si>
  <si>
    <t>Enter the smaller of line 18c or line 19c</t>
  </si>
  <si>
    <r>
      <t>Form</t>
    </r>
    <r>
      <rPr>
        <sz val="10"/>
        <rFont val="Arial"/>
        <family val="2"/>
      </rPr>
      <t xml:space="preserve"> </t>
    </r>
    <r>
      <rPr>
        <b/>
        <sz val="10"/>
        <rFont val="Arial"/>
        <family val="2"/>
      </rPr>
      <t>8960</t>
    </r>
  </si>
  <si>
    <t>Cat. No. 59474M</t>
  </si>
  <si>
    <t>Net investment income. Subtract Part II, line 11 from Part I, line 8. Individuals complete lines 13–17.</t>
  </si>
  <si>
    <t>Estates and trusts complete lines 18a–21. If zero or less, enter -0-</t>
  </si>
  <si>
    <t>Line 13 — MAGI Worksheet</t>
  </si>
  <si>
    <t>1. Enter your Adjusted Gross Income</t>
  </si>
  <si>
    <t>2. Foreign Earned Income Exclusion:</t>
  </si>
  <si>
    <t>Line 42 of Form 2555)</t>
  </si>
  <si>
    <t>2555 allocable to your Foreign Earned Income</t>
  </si>
  <si>
    <t>(a)</t>
  </si>
  <si>
    <t>Enter your Foreign Earned Income Exclusion (from</t>
  </si>
  <si>
    <t>(b)</t>
  </si>
  <si>
    <t>Enter the deductions reported on Line 44 of Form</t>
  </si>
  <si>
    <t>Exclusion</t>
  </si>
  <si>
    <t>(c)</t>
  </si>
  <si>
    <t>3. Adjustments for Certain CFCs and Certain PFICs</t>
  </si>
  <si>
    <t>Combine Lines 2(a) and 2(b)</t>
  </si>
  <si>
    <t>4. Enter the sum of Line 1, Line 2(c), and Line 3. (Enter this amount on Form 8960,</t>
  </si>
  <si>
    <t xml:space="preserve">    Line 13.)</t>
  </si>
  <si>
    <t>(</t>
  </si>
  <si>
    <t>)</t>
  </si>
  <si>
    <t>Download Form 8960</t>
  </si>
  <si>
    <t xml:space="preserve">.   .   .   .   .   .   .   .   .   .   .   .   .   .   .   .   .   .   .   .   .   . </t>
  </si>
  <si>
    <r>
      <rPr>
        <b/>
        <sz val="9"/>
        <rFont val="Arial"/>
        <family val="2"/>
      </rPr>
      <t>Totals.</t>
    </r>
    <r>
      <rPr>
        <sz val="9"/>
        <rFont val="Arial"/>
        <family val="2"/>
      </rPr>
      <t xml:space="preserve"> Add the amounts in columns (d), (e), (g), and (h) (subtract 
negative amounts). Enter each total here and include on your 
Schedule D, </t>
    </r>
    <r>
      <rPr>
        <b/>
        <sz val="9"/>
        <rFont val="Arial"/>
        <family val="2"/>
      </rPr>
      <t>line 8b</t>
    </r>
    <r>
      <rPr>
        <sz val="9"/>
        <rFont val="Arial"/>
        <family val="2"/>
      </rPr>
      <t xml:space="preserve"> (if </t>
    </r>
    <r>
      <rPr>
        <b/>
        <sz val="9"/>
        <rFont val="Arial"/>
        <family val="2"/>
      </rPr>
      <t>Box D</t>
    </r>
    <r>
      <rPr>
        <sz val="9"/>
        <rFont val="Arial"/>
        <family val="2"/>
      </rPr>
      <t xml:space="preserve"> above is checked), </t>
    </r>
    <r>
      <rPr>
        <b/>
        <sz val="9"/>
        <rFont val="Arial"/>
        <family val="2"/>
      </rPr>
      <t>line 9</t>
    </r>
    <r>
      <rPr>
        <sz val="9"/>
        <rFont val="Arial"/>
        <family val="2"/>
      </rPr>
      <t xml:space="preserve"> (if </t>
    </r>
    <r>
      <rPr>
        <b/>
        <sz val="9"/>
        <rFont val="Arial"/>
        <family val="2"/>
      </rPr>
      <t>Box E</t>
    </r>
    <r>
      <rPr>
        <sz val="9"/>
        <rFont val="Arial"/>
        <family val="2"/>
      </rPr>
      <t xml:space="preserve">
 above is checked), or </t>
    </r>
    <r>
      <rPr>
        <b/>
        <sz val="9"/>
        <rFont val="Arial"/>
        <family val="2"/>
      </rPr>
      <t>line 10</t>
    </r>
    <r>
      <rPr>
        <sz val="9"/>
        <rFont val="Arial"/>
        <family val="2"/>
      </rPr>
      <t xml:space="preserve"> (if </t>
    </r>
    <r>
      <rPr>
        <b/>
        <sz val="9"/>
        <rFont val="Arial"/>
        <family val="2"/>
      </rPr>
      <t>Box F</t>
    </r>
    <r>
      <rPr>
        <sz val="9"/>
        <rFont val="Arial"/>
        <family val="2"/>
      </rPr>
      <t xml:space="preserve"> above is checked)</t>
    </r>
  </si>
  <si>
    <t xml:space="preserve">.   .   .   .   .   .   .   .   .   .   .   .   .   .   .   .   .   .   .   .   .   .   .   .   .   .   .   .   .   . </t>
  </si>
  <si>
    <t>Profit or Loss from Farming</t>
  </si>
  <si>
    <t>Department of the Treasury
Internal Revenue Service  (99)</t>
  </si>
  <si>
    <t>Name of proprietor</t>
  </si>
  <si>
    <t>Principal crop or activity</t>
  </si>
  <si>
    <r>
      <rPr>
        <b/>
        <sz val="10"/>
        <rFont val="Arial"/>
        <family val="2"/>
      </rPr>
      <t>C</t>
    </r>
    <r>
      <rPr>
        <sz val="9"/>
        <rFont val="Arial"/>
        <family val="2"/>
      </rPr>
      <t xml:space="preserve">  Accounting method:</t>
    </r>
  </si>
  <si>
    <t>Complete Parts I and II (Accrual method. Complete Parts II and III, and Part I, line 9.)</t>
  </si>
  <si>
    <t>Sales of livestock and other resale items (see instructions)</t>
  </si>
  <si>
    <t>Cost or other basis of livestock or other items reported on line 1a</t>
  </si>
  <si>
    <t>Subtract line 1b from line 1a</t>
  </si>
  <si>
    <t>Sales of livestock, produce, grains, and other products you raised</t>
  </si>
  <si>
    <t>3a</t>
  </si>
  <si>
    <t>Cooperative distributions (Form(s) 1099-PATR)</t>
  </si>
  <si>
    <t>3b</t>
  </si>
  <si>
    <t>1c</t>
  </si>
  <si>
    <t>Agricultural program payments (see instructions)</t>
  </si>
  <si>
    <t>Commodity Credit Corporation (CCC) loans reported under election</t>
  </si>
  <si>
    <t>CCC loans forfeited</t>
  </si>
  <si>
    <t>Crop insurance proceeds and federal crop disaster payments (see instructions)</t>
  </si>
  <si>
    <t>6b</t>
  </si>
  <si>
    <t>6d</t>
  </si>
  <si>
    <t>Custom hire (machine work) income</t>
  </si>
  <si>
    <t>5c</t>
  </si>
  <si>
    <t>Other income, including federal and state gasoline or fuel tax credit or refund (see instructions)</t>
  </si>
  <si>
    <t>Chemicals</t>
  </si>
  <si>
    <t>Conservation expenses (see instructions)</t>
  </si>
  <si>
    <t>Custom hire (machine work)</t>
  </si>
  <si>
    <t>expense (see instructions)</t>
  </si>
  <si>
    <t>Feed</t>
  </si>
  <si>
    <t>Fertilizers and lime</t>
  </si>
  <si>
    <t>Freight and trucking</t>
  </si>
  <si>
    <t>Gasoline, fuel, and oil</t>
  </si>
  <si>
    <t>Insurance (other than health)</t>
  </si>
  <si>
    <t>21a</t>
  </si>
  <si>
    <t>21b</t>
  </si>
  <si>
    <t>Labor hired (less employment credits)</t>
  </si>
  <si>
    <t>Pension and profit-sharing plans</t>
  </si>
  <si>
    <t>Vehicles, machinery, equipment</t>
  </si>
  <si>
    <t>Other (land, animals, etc.)</t>
  </si>
  <si>
    <t>Seeds and plants</t>
  </si>
  <si>
    <t>Storage and warehousing</t>
  </si>
  <si>
    <t>Veterinary, breeding, and medicine</t>
  </si>
  <si>
    <t>Other expenses (specify):</t>
  </si>
  <si>
    <t>e</t>
  </si>
  <si>
    <t>f</t>
  </si>
  <si>
    <t>32c</t>
  </si>
  <si>
    <t>32d</t>
  </si>
  <si>
    <t>32e</t>
  </si>
  <si>
    <t>32f</t>
  </si>
  <si>
    <t>If a profit, stop here and see instructions for where to report. If a loss, complete lines 35 and 36.</t>
  </si>
  <si>
    <t>Check the box that describes your investment in this activity and see instructions for where to report your loss.</t>
  </si>
  <si>
    <t>All investment is at risk.</t>
  </si>
  <si>
    <t>Some investment is not at risk.</t>
  </si>
  <si>
    <t>Cat. No. 11346H</t>
  </si>
  <si>
    <t xml:space="preserve">.   .   .   .   .   .   .   .   .   .   .   .   .   .   .   </t>
  </si>
  <si>
    <t>Sales of livestock, produce, grains, and other products (see instructions)</t>
  </si>
  <si>
    <t>38a</t>
  </si>
  <si>
    <t>38b</t>
  </si>
  <si>
    <t>Agricultural program payments</t>
  </si>
  <si>
    <t>39b</t>
  </si>
  <si>
    <t>40a</t>
  </si>
  <si>
    <t>Commodity Credit Corporation (CCC) loans:</t>
  </si>
  <si>
    <t>CCC loans reported under election</t>
  </si>
  <si>
    <t>40b</t>
  </si>
  <si>
    <t>40c</t>
  </si>
  <si>
    <t>Crop insurance proceeds</t>
  </si>
  <si>
    <t>Other income (see instructions)</t>
  </si>
  <si>
    <t>Add amounts in the right column for lines 37 through 43 (lines 37, 38b, 39b, 40a, 40c, 41, 42, and 43)</t>
  </si>
  <si>
    <t>Inventory of livestock, produce, grains, and other products at beginning of</t>
  </si>
  <si>
    <t>the year. Do not include sales reported on Form 4797</t>
  </si>
  <si>
    <t>Cost of livestock, produce, grains, and other products purchased during the</t>
  </si>
  <si>
    <t>year</t>
  </si>
  <si>
    <t>Add lines 45 and 46</t>
  </si>
  <si>
    <t>Inventory of livestock, produce, grains, and other products at end of year</t>
  </si>
  <si>
    <t>Cost of livestock, produce, grains, and other products sold. Subtract line 48 from line 47*</t>
  </si>
  <si>
    <r>
      <rPr>
        <b/>
        <sz val="9"/>
        <rFont val="Arial"/>
        <family val="2"/>
      </rPr>
      <t>Gross income.</t>
    </r>
    <r>
      <rPr>
        <sz val="9"/>
        <rFont val="Arial"/>
        <family val="2"/>
      </rPr>
      <t xml:space="preserve"> Subtract line 49 from line 44. Enter the result here and on Part I, line 9</t>
    </r>
  </si>
  <si>
    <t>*If you use the unit-livestock-price method or the farm-price method of valuing inventory and the amount on line 48 is larger than the amount on line</t>
  </si>
  <si>
    <t>47, subtract line 47 from line 48. Enter the result on line 49. Add lines 44 and 49. Enter the total on line 50 and on Part I, line 9.</t>
  </si>
  <si>
    <t>Download Form 1040 Schedule F</t>
  </si>
  <si>
    <t>Download Form 1040 Schedule F Instructions</t>
  </si>
  <si>
    <t xml:space="preserve">  Principal Agricultural Activity Codes</t>
  </si>
  <si>
    <t>• Income from providing agricultural services such as</t>
  </si>
  <si>
    <t>soil preparation, veterinary, farm labor, horticultural, or</t>
  </si>
  <si>
    <t>management for a fee or on a contract basis. Instead file</t>
  </si>
  <si>
    <t>• Income from breeding, raising, or caring for dogs, cats, or</t>
  </si>
  <si>
    <t>• Sales of livestock held for draft, breeding, sport, or dairy</t>
  </si>
  <si>
    <t>purposes. Instead file Form 4797.</t>
  </si>
  <si>
    <t>These codes for the Principal Agricultural Activity classify</t>
  </si>
  <si>
    <t>farms by their primary activity to facilitate the administration of</t>
  </si>
  <si>
    <t>the Internal Revenue Code. These six-digit codes are based on</t>
  </si>
  <si>
    <t>the North American Industry Classification System (NAICS).</t>
  </si>
  <si>
    <t>Select the code that best identifies your primary farming</t>
  </si>
  <si>
    <t>activity and enter the six-digit number on line B.</t>
  </si>
  <si>
    <t>Crop Production</t>
  </si>
  <si>
    <t>Oilseed and grain farming</t>
  </si>
  <si>
    <t>Vegetable and melon farming</t>
  </si>
  <si>
    <t>Fruit and tree nut farming</t>
  </si>
  <si>
    <t>Animal Production</t>
  </si>
  <si>
    <t>Forestry and Logging</t>
  </si>
  <si>
    <t>timber tracts)</t>
  </si>
  <si>
    <t>Greenhouse, nursery, and floriculture production</t>
  </si>
  <si>
    <t>Other crop farming</t>
  </si>
  <si>
    <t>Beef cattle ranching and farming</t>
  </si>
  <si>
    <t>Cattle feedlots</t>
  </si>
  <si>
    <t>Dairy cattle and milk production</t>
  </si>
  <si>
    <t>Hog and pig farming</t>
  </si>
  <si>
    <t>Poultry and egg production</t>
  </si>
  <si>
    <t>Sheep and goat farming</t>
  </si>
  <si>
    <t>Aquaculture</t>
  </si>
  <si>
    <t>Other animal production</t>
  </si>
  <si>
    <t xml:space="preserve"> .   .   .   .   .   .   .   .   .   .   . </t>
  </si>
  <si>
    <t>Farm Expenses—Cash and Accrual Method.</t>
  </si>
  <si>
    <t>Farm Income—Cash Method.</t>
  </si>
  <si>
    <r>
      <t xml:space="preserve">   Farm Income — Accrual Method</t>
    </r>
    <r>
      <rPr>
        <sz val="10"/>
        <rFont val="Arial"/>
        <family val="2"/>
      </rPr>
      <t xml:space="preserve"> (see instructions).</t>
    </r>
  </si>
  <si>
    <r>
      <rPr>
        <b/>
        <sz val="10"/>
        <rFont val="Arial"/>
        <family val="2"/>
      </rPr>
      <t>B</t>
    </r>
    <r>
      <rPr>
        <b/>
        <sz val="9"/>
        <rFont val="Arial"/>
        <family val="2"/>
      </rPr>
      <t xml:space="preserve">  Enter code from Part IV</t>
    </r>
  </si>
  <si>
    <r>
      <t xml:space="preserve">instructions). Also attach </t>
    </r>
    <r>
      <rPr>
        <b/>
        <sz val="10"/>
        <rFont val="Arial"/>
        <family val="2"/>
      </rPr>
      <t>Form 4562</t>
    </r>
  </si>
  <si>
    <t xml:space="preserve">.   . </t>
  </si>
  <si>
    <t xml:space="preserve">   .   .   .   .   .   .   .   .   .   .   .   .   .   .   .   .   .   . </t>
  </si>
  <si>
    <t xml:space="preserve">.   .   .   .   </t>
  </si>
  <si>
    <t xml:space="preserve">.   .   .   .   .   .   .   .   .   .   .   .   .   .   .   .   .   .   .   .   .   .   .   .   .   .   .   .   .   .   .   .   .   .   .   .   </t>
  </si>
  <si>
    <t xml:space="preserve"> .   .   .   .   .</t>
  </si>
  <si>
    <t>Principal business or profession, including product or service (see instructions)</t>
  </si>
  <si>
    <t>Tentative profit (loss).  Subtract line 28 from line 7</t>
  </si>
  <si>
    <t xml:space="preserve">.   .   .   .   .   .   .   .   .   .   .   .   .   .   .   .   .   .   .   .   .   .   .   .   .   .   .   .   .   .   .  </t>
  </si>
  <si>
    <t>For Paperwork Reduction Act Notice, see the separate instructions.</t>
  </si>
  <si>
    <t>Accounts (FBAR), to report that financial interest or signature authority? See FinCEN Form 114</t>
  </si>
  <si>
    <t>and its instructions for filing requirements and exceptions to those requirements</t>
  </si>
  <si>
    <t xml:space="preserve">.   .   .   .   .   .   .   .   .   .   .   .   </t>
  </si>
  <si>
    <t>File with your Schedule D to list your transactions for lines 1b, 2, 3, 8b, 9, and 10 of Schedule D.</t>
  </si>
  <si>
    <t xml:space="preserve">.   .   .   .   .   .   .   .   .   .   .   .   .   .   .   .   .   .   .   .   </t>
  </si>
  <si>
    <t xml:space="preserve">.   .   .   .   .   .   .   .   .   .   .   .   .   .   .   .   .   .   .   .   .   .   .   .   .   .   .   .   .   .   .   .   .   </t>
  </si>
  <si>
    <t xml:space="preserve">.   .   .   .   .   .   .   .   .   .   .   .   .   .   .   .   .   .   </t>
  </si>
  <si>
    <t>If you did not complete a Schedule D Tax Worksheet for the regular tax or the AMT, enter the amount</t>
  </si>
  <si>
    <t xml:space="preserve">.   .   .   .   .   .   .   .   .   .   .   .   .   .   .   .   .   .   .   .   .   .   .   .   . </t>
  </si>
  <si>
    <t xml:space="preserve">.   .   .   .   .   .   .   .   .   .   .   .   .   .   .  </t>
  </si>
  <si>
    <t xml:space="preserve">.   .   .   .   .   .   .   .   .   .   .   .   .   .   .   .   .   .   .   .   .   .   .   .   .   .   </t>
  </si>
  <si>
    <r>
      <t xml:space="preserve">   year, you may be able to reduce the taxable amount. See </t>
    </r>
    <r>
      <rPr>
        <sz val="10"/>
        <rFont val="Arial"/>
        <family val="2"/>
      </rPr>
      <t>Lump-Sum Election</t>
    </r>
    <r>
      <rPr>
        <i/>
        <sz val="10"/>
        <rFont val="Arial"/>
        <family val="2"/>
      </rPr>
      <t xml:space="preserve"> in Pub. 915 for details.</t>
    </r>
  </si>
  <si>
    <t>Enter as a positive number the total of:</t>
  </si>
  <si>
    <t>Any section 1202 exclusion you reported in column (g) of Form 8949,</t>
  </si>
  <si>
    <t>Part II, with code “Q” in column (f), for which you excluded 50% of the gain;</t>
  </si>
  <si>
    <t>2/3 of any section 1202 exclusion you reported in column (g) of Form</t>
  </si>
  <si>
    <t>8949, Part II, with code “Q” in column (f), for which you excluded 60% of the gain; and</t>
  </si>
  <si>
    <t>1/3 of any section 1202 exclusion you reported in column (g) of Form</t>
  </si>
  <si>
    <t>8949, Part II, with code “Q” in column (f), for which you excluded 75% of the gain.</t>
  </si>
  <si>
    <t>Enter the amount shown below for your filing status</t>
  </si>
  <si>
    <t>Fill in Form 6251 to see if you owe the alternative minimum tax.</t>
  </si>
  <si>
    <t>Form 6251 instead of using this worksheet.</t>
  </si>
  <si>
    <r>
      <t xml:space="preserve">Tax from Form 4972  </t>
    </r>
    <r>
      <rPr>
        <b/>
        <sz val="10"/>
        <rFont val="Arial"/>
        <family val="2"/>
      </rPr>
      <t>↑</t>
    </r>
  </si>
  <si>
    <t xml:space="preserve">Does Form 6251 need to be completed?    →  </t>
  </si>
  <si>
    <t>Section 6013(h) election (see instructions)</t>
  </si>
  <si>
    <t>Name(s) shown on your tax return</t>
  </si>
  <si>
    <t>Taxable interest (see instructions)</t>
  </si>
  <si>
    <t>Ordinary dividends (see instructions)</t>
  </si>
  <si>
    <t>Annuities (see instructions)</t>
  </si>
  <si>
    <t xml:space="preserve">.   .   .   .   .   .   .   .   .   .   .   .   .   .   .   .   .   .   .   .   .   .   .   .   .   .   .   . </t>
  </si>
  <si>
    <t>Net gain or loss from disposition of property (see instructions)</t>
  </si>
  <si>
    <t>stock (see instructions)</t>
  </si>
  <si>
    <r>
      <t xml:space="preserve">  *</t>
    </r>
    <r>
      <rPr>
        <b/>
        <i/>
        <sz val="9"/>
        <rFont val="Arial"/>
        <family val="2"/>
      </rPr>
      <t>Earned income</t>
    </r>
    <r>
      <rPr>
        <i/>
        <sz val="9"/>
        <rFont val="Arial"/>
        <family val="2"/>
      </rPr>
      <t xml:space="preserve"> includes wages, salaries, tips, professional fees, and other compensation received for personal services you performed. It</t>
    </r>
  </si>
  <si>
    <t xml:space="preserve">    also includes any taxable scholarship or fellowship grant. Generally, your earned income is the total of the amount(s) you reported on Form</t>
  </si>
  <si>
    <t>Adjusted Gross Income</t>
  </si>
  <si>
    <t>Total Tax</t>
  </si>
  <si>
    <t>Total Payments/Credits</t>
  </si>
  <si>
    <t>SUMMARY</t>
  </si>
  <si>
    <t>Single Family Residence</t>
  </si>
  <si>
    <t>Multi-Family Residence</t>
  </si>
  <si>
    <t>Commercial</t>
  </si>
  <si>
    <t>Land</t>
  </si>
  <si>
    <t>Royalties</t>
  </si>
  <si>
    <t>Self-Rental</t>
  </si>
  <si>
    <t>8962</t>
  </si>
  <si>
    <t>Premium Tax Credit (PTC)</t>
  </si>
  <si>
    <t>Name shown on your return</t>
  </si>
  <si>
    <t>Alaska</t>
  </si>
  <si>
    <t>Hawaii</t>
  </si>
  <si>
    <t>Other 48 states and DC</t>
  </si>
  <si>
    <t>Applicable Figure: Using your line 5 percentage, locate your “applicable figure” on the table in the instructions</t>
  </si>
  <si>
    <t>and continue to line 24.</t>
  </si>
  <si>
    <t>your monthly PTC and continue to line 24.</t>
  </si>
  <si>
    <t>Annual
Calculation</t>
  </si>
  <si>
    <t>Monthly
Calculation</t>
  </si>
  <si>
    <t>January</t>
  </si>
  <si>
    <t>February</t>
  </si>
  <si>
    <t>March</t>
  </si>
  <si>
    <t>April</t>
  </si>
  <si>
    <t>16</t>
  </si>
  <si>
    <t>May</t>
  </si>
  <si>
    <t>17</t>
  </si>
  <si>
    <t>June</t>
  </si>
  <si>
    <t>18</t>
  </si>
  <si>
    <t>July</t>
  </si>
  <si>
    <t>19</t>
  </si>
  <si>
    <t>August</t>
  </si>
  <si>
    <t>20</t>
  </si>
  <si>
    <t>September</t>
  </si>
  <si>
    <t>21</t>
  </si>
  <si>
    <t>October</t>
  </si>
  <si>
    <t>22</t>
  </si>
  <si>
    <t>November</t>
  </si>
  <si>
    <t>23</t>
  </si>
  <si>
    <t>December</t>
  </si>
  <si>
    <t>24</t>
  </si>
  <si>
    <t>25</t>
  </si>
  <si>
    <t>26</t>
  </si>
  <si>
    <t>28</t>
  </si>
  <si>
    <t>29</t>
  </si>
  <si>
    <t>Cat. No. 37784Z</t>
  </si>
  <si>
    <r>
      <rPr>
        <sz val="8"/>
        <rFont val="Arial"/>
        <family val="2"/>
      </rPr>
      <t xml:space="preserve">Form </t>
    </r>
    <r>
      <rPr>
        <b/>
        <sz val="12"/>
        <rFont val="Arial"/>
        <family val="2"/>
      </rPr>
      <t>8962</t>
    </r>
  </si>
  <si>
    <t xml:space="preserve">Sequence No.  </t>
  </si>
  <si>
    <t>Complete the following information for up to four shared policy allocations. See instructions for allocation details.</t>
  </si>
  <si>
    <t>30</t>
  </si>
  <si>
    <t>Policy Number (Form 1095-A, line 2)</t>
  </si>
  <si>
    <t>Allocation start month</t>
  </si>
  <si>
    <t>Allocation stop month</t>
  </si>
  <si>
    <t>Allocation percentage 
applied to monthly 
amounts</t>
  </si>
  <si>
    <t>31</t>
  </si>
  <si>
    <t>32</t>
  </si>
  <si>
    <t>33</t>
  </si>
  <si>
    <t>34</t>
  </si>
  <si>
    <t>Alternative family size</t>
  </si>
  <si>
    <t>Alternative start month</t>
  </si>
  <si>
    <t>Alternative stop month</t>
  </si>
  <si>
    <t>Alternative entries 
for your SSN</t>
  </si>
  <si>
    <t>Alternative entries
for your spouse's 
SSN</t>
  </si>
  <si>
    <t>35</t>
  </si>
  <si>
    <t>36</t>
  </si>
  <si>
    <r>
      <rPr>
        <b/>
        <sz val="10"/>
        <color theme="0"/>
        <rFont val="Arial"/>
        <family val="2"/>
      </rPr>
      <t>Married filing separately.</t>
    </r>
    <r>
      <rPr>
        <sz val="10"/>
        <color theme="0"/>
        <rFont val="Arial"/>
        <family val="2"/>
      </rPr>
      <t xml:space="preserve"> If you do not qualify for relief from filing a joint return, you cannot take the PTC on a married filing separately return. You are not an applicable taxpayer and must repay some or all APTC. Complete lines 1 through 5 to figure your separate household income as a percentage of the Federal poverty line. Skip lines 6 through 8b and complete lines 9 and 10 (and Part 4, if applicable). When completing line 11 or lines 12 through 23, complete only column F. Then complete the rest of the form to determine how much you must repay.</t>
    </r>
  </si>
  <si>
    <t>Enter any tax-exempt interest for your dependents</t>
  </si>
  <si>
    <t>Enter any amounts for your dependents from</t>
  </si>
  <si>
    <t>Please check one box to indicate where you live:</t>
  </si>
  <si>
    <t>Contiguous States or D.C.</t>
  </si>
  <si>
    <t>Table 5. Repayment Limitation</t>
  </si>
  <si>
    <t>All others</t>
  </si>
  <si>
    <t>27</t>
  </si>
  <si>
    <t>Line 5 &gt;=</t>
  </si>
  <si>
    <t>Line 5 &lt;</t>
  </si>
  <si>
    <t>Child and Dependent Care Expenses</t>
  </si>
  <si>
    <t xml:space="preserve">Department of the Treasury  </t>
  </si>
  <si>
    <t xml:space="preserve">        Attachment</t>
  </si>
  <si>
    <t>Internal Revenue Service    (99)</t>
  </si>
  <si>
    <r>
      <t xml:space="preserve">   Persons or Organizations Who Provided the Care–</t>
    </r>
    <r>
      <rPr>
        <sz val="12"/>
        <rFont val="Arial"/>
        <family val="2"/>
      </rPr>
      <t xml:space="preserve">You </t>
    </r>
    <r>
      <rPr>
        <b/>
        <sz val="12"/>
        <rFont val="Arial"/>
        <family val="2"/>
      </rPr>
      <t>must</t>
    </r>
    <r>
      <rPr>
        <sz val="12"/>
        <rFont val="Arial"/>
        <family val="2"/>
      </rPr>
      <t xml:space="preserve"> complete this part.</t>
    </r>
  </si>
  <si>
    <t xml:space="preserve"> Care provider's</t>
  </si>
  <si>
    <r>
      <t>(b)</t>
    </r>
    <r>
      <rPr>
        <sz val="8"/>
        <rFont val="Arial"/>
        <family val="2"/>
      </rPr>
      <t xml:space="preserve"> Address</t>
    </r>
  </si>
  <si>
    <t xml:space="preserve">     (number, street, apt. no., city, state, and ZIP code)</t>
  </si>
  <si>
    <t xml:space="preserve">        (see instructions)</t>
  </si>
  <si>
    <t>Complete only Part II below.</t>
  </si>
  <si>
    <t>Did you receive</t>
  </si>
  <si>
    <t xml:space="preserve"> dependent care benefits?</t>
  </si>
  <si>
    <t>Complete Part III on the back next.</t>
  </si>
  <si>
    <t>Caution:</t>
  </si>
  <si>
    <t>Credit for Child and Dependent Care Expenses</t>
  </si>
  <si>
    <r>
      <t>(a)</t>
    </r>
    <r>
      <rPr>
        <sz val="8"/>
        <rFont val="Arial"/>
        <family val="2"/>
      </rPr>
      <t xml:space="preserve"> Qualifying person's name</t>
    </r>
  </si>
  <si>
    <r>
      <t>(c)</t>
    </r>
    <r>
      <rPr>
        <sz val="7"/>
        <rFont val="Arial"/>
        <family val="2"/>
      </rPr>
      <t xml:space="preserve"> </t>
    </r>
    <r>
      <rPr>
        <b/>
        <sz val="7"/>
        <rFont val="Arial"/>
        <family val="2"/>
      </rPr>
      <t>Qualified expenses</t>
    </r>
    <r>
      <rPr>
        <sz val="7"/>
        <rFont val="Arial"/>
        <family val="2"/>
      </rPr>
      <t xml:space="preserve"> you</t>
    </r>
  </si>
  <si>
    <t>First</t>
  </si>
  <si>
    <t>Last</t>
  </si>
  <si>
    <t>the person listed in column (a)</t>
  </si>
  <si>
    <t>Enter on line 8 the decimal amount shown below that applies to the amount on line 7</t>
  </si>
  <si>
    <t>Cat. No. 11862M</t>
  </si>
  <si>
    <t xml:space="preserve">  Dependent Care Benefits</t>
  </si>
  <si>
    <t>Enter the amount shown below that applies</t>
  </si>
  <si>
    <t>to you.</t>
  </si>
  <si>
    <t xml:space="preserve">     spouse's earned income (if your spouse</t>
  </si>
  <si>
    <t xml:space="preserve">     was a student or was disabled, see the</t>
  </si>
  <si>
    <t xml:space="preserve">     instructions for line 5).</t>
  </si>
  <si>
    <t>To claim the child and dependent care</t>
  </si>
  <si>
    <t>Attachment to:</t>
  </si>
  <si>
    <t>Download Form 2441</t>
  </si>
  <si>
    <t>Download Form 2441 Instructions</t>
  </si>
  <si>
    <t>Employer #1</t>
  </si>
  <si>
    <t>Subtract line 22 from line 15</t>
  </si>
  <si>
    <t>Is any amount on line 12 from your sole proprietorship or partnership?</t>
  </si>
  <si>
    <t>.   .   .   .   .   .   .   .   .   .   .   .   .   .   .   .   .   .   .   .   .   .   .</t>
  </si>
  <si>
    <t xml:space="preserve">    name</t>
  </si>
  <si>
    <r>
      <t xml:space="preserve"> </t>
    </r>
    <r>
      <rPr>
        <b/>
        <sz val="8"/>
        <rFont val="Arial"/>
        <family val="2"/>
      </rPr>
      <t>(b)</t>
    </r>
    <r>
      <rPr>
        <sz val="8"/>
        <rFont val="Arial"/>
        <family val="2"/>
      </rPr>
      <t xml:space="preserve"> Qualifying person's social
security number</t>
    </r>
  </si>
  <si>
    <t>requirements to</t>
  </si>
  <si>
    <t xml:space="preserve">be considered </t>
  </si>
  <si>
    <t>purposes of claiming</t>
  </si>
  <si>
    <t>the credit on</t>
  </si>
  <si>
    <t>Form 2441.</t>
  </si>
  <si>
    <t>as to whether or</t>
  </si>
  <si>
    <t>not you meet the</t>
  </si>
  <si>
    <r>
      <rPr>
        <b/>
        <sz val="10"/>
        <rFont val="Arial"/>
        <family val="2"/>
      </rPr>
      <t>Lines 27 through 31</t>
    </r>
    <r>
      <rPr>
        <sz val="10"/>
        <rFont val="Arial"/>
        <family val="2"/>
      </rPr>
      <t xml:space="preserve">
If you are reporting dependent care benefits in Part III of
the form, you will need to complete lines 27 through 31 if
you are also claiming the credit for child and dependent
care expenses in Part II of the form.</t>
    </r>
  </si>
  <si>
    <t>x</t>
  </si>
  <si>
    <r>
      <rPr>
        <b/>
        <sz val="10"/>
        <rFont val="Arial"/>
        <family val="2"/>
      </rPr>
      <t xml:space="preserve">Line 2a </t>
    </r>
    <r>
      <rPr>
        <sz val="10"/>
        <rFont val="Arial"/>
        <family val="2"/>
      </rPr>
      <t xml:space="preserve">Enter your modified AGI on line 2a. Use the worksheet next to figure your modified AGI from your tax return. </t>
    </r>
  </si>
  <si>
    <t xml:space="preserve">  .   .   .   .   .   .   .   .   .   .   .   .   .   .   .   .   .   .   .   .   .   .   .   .   .   .   .   .   . </t>
  </si>
  <si>
    <t>Worksheet used?</t>
  </si>
  <si>
    <r>
      <t>Enter the total of all collectibles gain or (loss) from items you reported on Form 8949, Part II</t>
    </r>
    <r>
      <rPr>
        <b/>
        <sz val="9"/>
        <rFont val="Arial"/>
        <family val="2"/>
      </rPr>
      <t>.   .   .   .   .   .   .   .   .</t>
    </r>
  </si>
  <si>
    <t>a. Included for a scholarship or fellowship grant that</t>
  </si>
  <si>
    <t>was not reported to you on a Form W-2,</t>
  </si>
  <si>
    <t>because you were a member of the clergy or you received</t>
  </si>
  <si>
    <t>$108.28 or more of church employee income,</t>
  </si>
  <si>
    <t>penal institution, or</t>
  </si>
  <si>
    <t>nonqualified deferred compensation plan or a</t>
  </si>
  <si>
    <t>nongovernmental section 457(b) plan. This amount may</t>
  </si>
  <si>
    <t>be reported in box 11 of Form W-2. If you received such</t>
  </si>
  <si>
    <t>an amount but box 11 is blank, contact your employer for</t>
  </si>
  <si>
    <t>the amount received as a pension or annuity.</t>
  </si>
  <si>
    <t>4. Nontaxable combat pay, if you elect to include it in</t>
  </si>
  <si>
    <t>earned income. However, including this income will only</t>
  </si>
  <si>
    <t>give you a larger credit if your (or your spouse's) other</t>
  </si>
  <si>
    <t>earned income is less than the amount entered on line 3.</t>
  </si>
  <si>
    <t>To make the election, include all of your nontaxable</t>
  </si>
  <si>
    <t>combat pay in the amount you enter on line 4 (line 5 for</t>
  </si>
  <si>
    <t>your spouse if filing jointly).</t>
  </si>
  <si>
    <t>If you are filing jointly and both you and your spouse</t>
  </si>
  <si>
    <t>received nontaxable combat pay, you can each make</t>
  </si>
  <si>
    <t>your own election. (In other words, if one of you makes the</t>
  </si>
  <si>
    <t>election, the other one can also make it but does not have</t>
  </si>
  <si>
    <t>to.) The amount of your nontaxable combat pay should be</t>
  </si>
  <si>
    <t>shown in box 12 of your Form(s) W-2 with code Q.</t>
  </si>
  <si>
    <t>Lines 4 and 5</t>
  </si>
  <si>
    <t>Jan</t>
  </si>
  <si>
    <t>Feb</t>
  </si>
  <si>
    <t>Mar</t>
  </si>
  <si>
    <t>Apr</t>
  </si>
  <si>
    <t>Jun</t>
  </si>
  <si>
    <t>Jul</t>
  </si>
  <si>
    <t>Aug</t>
  </si>
  <si>
    <t>Sep</t>
  </si>
  <si>
    <t>Oct</t>
  </si>
  <si>
    <t>Nov</t>
  </si>
  <si>
    <t>Dec</t>
  </si>
  <si>
    <t>Monthly contribution amount. Divide line 8a</t>
  </si>
  <si>
    <t>by 12. Round to whole dollar amount.   .   .</t>
  </si>
  <si>
    <t>Annual and Monthly Contribution Amount</t>
  </si>
  <si>
    <t>Premium Tax Credit Claim and Reconciliation of Advance Payment of Premium Tax Credit</t>
  </si>
  <si>
    <t>See the instructions to determine if you can use line 11 or must complete lines 12 through 23.</t>
  </si>
  <si>
    <r>
      <rPr>
        <b/>
        <sz val="10"/>
        <rFont val="Arial"/>
        <family val="2"/>
      </rPr>
      <t xml:space="preserve">No. </t>
    </r>
    <r>
      <rPr>
        <sz val="10"/>
        <rFont val="Arial"/>
        <family val="2"/>
      </rPr>
      <t>Continue to lines 12–23. Compute</t>
    </r>
  </si>
  <si>
    <r>
      <rPr>
        <b/>
        <sz val="9"/>
        <rFont val="Arial"/>
        <family val="2"/>
      </rPr>
      <t>(c)</t>
    </r>
    <r>
      <rPr>
        <sz val="9"/>
        <rFont val="Arial"/>
        <family val="2"/>
      </rPr>
      <t xml:space="preserve"> Annual 
contribution amount 
(line 8a)</t>
    </r>
  </si>
  <si>
    <r>
      <rPr>
        <b/>
        <sz val="9"/>
        <rFont val="Arial"/>
        <family val="2"/>
      </rPr>
      <t xml:space="preserve">(b) </t>
    </r>
    <r>
      <rPr>
        <sz val="9"/>
        <rFont val="Arial"/>
        <family val="2"/>
      </rPr>
      <t>Annual applicable 
SLCSP premium 
(Form(s) 1095-A, 
line 33B)</t>
    </r>
  </si>
  <si>
    <t>Total premium tax credit. Enter the amount from line 11(e) or add lines 12(e) through 23(e) and enter the total here</t>
  </si>
  <si>
    <t>Advance payment of PTC. Enter the amount from line 11(f) or add lines 12(f) through 23(f) and enter the total here</t>
  </si>
  <si>
    <t>Repayment of Excess Advance Payment of the Premium Tax Credit</t>
  </si>
  <si>
    <t>Excess advance payment of PTC. If line 25 is greater than line 24, subtract line 24 from line 25. Enter the difference here</t>
  </si>
  <si>
    <t>Repayment limitation (see instructions)</t>
  </si>
  <si>
    <t>SSN of other taxpayer</t>
  </si>
  <si>
    <t>(e) Premium Percentage</t>
  </si>
  <si>
    <t>(f) SLCSP Percentage</t>
  </si>
  <si>
    <t>(g) Advance Payment of the PTC
Percentage</t>
  </si>
  <si>
    <t>Alternative Calculation for Year of Marriage</t>
  </si>
  <si>
    <t>To complete line(s) 35 and/or 36 and compute the amounts for lines 12–23, see the instructions for this Part V.</t>
  </si>
  <si>
    <t>Contiguous</t>
  </si>
  <si>
    <t>X</t>
  </si>
  <si>
    <t>Tables 1-1, 1-2 &amp; 1-3 Federal Poverty Line</t>
  </si>
  <si>
    <t>Worksheet 2 -- Household Income as a Percentage of Poverty Line</t>
  </si>
  <si>
    <t>*Only include your dependents who are required to file an income tax return because their income meets the income tax return filing threshold.</t>
  </si>
  <si>
    <r>
      <rPr>
        <b/>
        <sz val="9"/>
        <rFont val="Arial"/>
        <family val="2"/>
      </rPr>
      <t>(a)</t>
    </r>
    <r>
      <rPr>
        <sz val="9"/>
        <rFont val="Arial"/>
        <family val="2"/>
      </rPr>
      <t xml:space="preserve"> Monthly enrollment premiums (Form(s) 1095-A, lines 21–32, column A)</t>
    </r>
  </si>
  <si>
    <r>
      <rPr>
        <b/>
        <sz val="9"/>
        <rFont val="Arial"/>
        <family val="2"/>
      </rPr>
      <t>(b)</t>
    </r>
    <r>
      <rPr>
        <sz val="9"/>
        <rFont val="Arial"/>
        <family val="2"/>
      </rPr>
      <t xml:space="preserve"> Monthly applicable SLCSP premium (Form(s) 1095-A, lines 21–32, column B)</t>
    </r>
  </si>
  <si>
    <r>
      <rPr>
        <b/>
        <sz val="9"/>
        <rFont val="Arial"/>
        <family val="2"/>
      </rPr>
      <t>(d)</t>
    </r>
    <r>
      <rPr>
        <sz val="9"/>
        <rFont val="Arial"/>
        <family val="2"/>
      </rPr>
      <t xml:space="preserve"> Annual maximum 
premium assistance 
(subtract (c) from (b), if
zero or less, enter -0-)</t>
    </r>
  </si>
  <si>
    <r>
      <rPr>
        <b/>
        <sz val="9"/>
        <rFont val="Arial"/>
        <family val="2"/>
      </rPr>
      <t>(d)</t>
    </r>
    <r>
      <rPr>
        <sz val="9"/>
        <rFont val="Arial"/>
        <family val="2"/>
      </rPr>
      <t xml:space="preserve"> Monthly maximum premium assistance (subtract (c) from (b), if zero or less, enter -0-)</t>
    </r>
  </si>
  <si>
    <r>
      <rPr>
        <b/>
        <sz val="9"/>
        <rFont val="Arial"/>
        <family val="2"/>
      </rPr>
      <t>(e)</t>
    </r>
    <r>
      <rPr>
        <sz val="9"/>
        <rFont val="Arial"/>
        <family val="2"/>
      </rPr>
      <t xml:space="preserve"> Annual premium tax 
credit allowed 
(smaller of (a) or (d))</t>
    </r>
  </si>
  <si>
    <r>
      <rPr>
        <b/>
        <sz val="9"/>
        <rFont val="Arial"/>
        <family val="2"/>
      </rPr>
      <t>(e)</t>
    </r>
    <r>
      <rPr>
        <sz val="9"/>
        <rFont val="Arial"/>
        <family val="2"/>
      </rPr>
      <t xml:space="preserve"> Monthly premium tax credit allowed (smaller of (a) or (d))</t>
    </r>
  </si>
  <si>
    <r>
      <rPr>
        <b/>
        <sz val="9"/>
        <rFont val="Arial"/>
        <family val="2"/>
      </rPr>
      <t>(f)</t>
    </r>
    <r>
      <rPr>
        <sz val="9"/>
        <rFont val="Arial"/>
        <family val="2"/>
      </rPr>
      <t xml:space="preserve"> Annual advance 
payment of PTC 
(Form(s) 1095-A, 
line 33C)</t>
    </r>
  </si>
  <si>
    <r>
      <rPr>
        <b/>
        <sz val="9"/>
        <rFont val="Arial"/>
        <family val="2"/>
      </rPr>
      <t>(f)</t>
    </r>
    <r>
      <rPr>
        <sz val="9"/>
        <rFont val="Arial"/>
        <family val="2"/>
      </rPr>
      <t xml:space="preserve"> Monthly advance payment of PTC (Form(s) 1095-A, 
lines 21–32, 
column C)</t>
    </r>
  </si>
  <si>
    <t>Earned Income Credit (EIC)</t>
  </si>
  <si>
    <t>●</t>
  </si>
  <si>
    <t>Is your filing status married filing separately?</t>
  </si>
  <si>
    <t>Are you filing Form 4797 (relating to sales of business property)?</t>
  </si>
  <si>
    <t xml:space="preserve">You are reporting income or a loss from the rental of </t>
  </si>
  <si>
    <t>A qualifying child for the EIC is a child who is your…</t>
  </si>
  <si>
    <t>(for example, your grandchild, niece, or nephew)</t>
  </si>
  <si>
    <t>&lt;-- Enter number of qualifying children here.</t>
  </si>
  <si>
    <t xml:space="preserve">         Enter “No” on the dotted line</t>
  </si>
  <si>
    <t>Are you filing Schedule SE because you were a member of the clergy or you had church employee income of $108.28 or more?</t>
  </si>
  <si>
    <t>clergy or you had church employee income, or are you filing Schedule C or C-EZ as a statutory employee?</t>
  </si>
  <si>
    <t>No qualifying children,</t>
  </si>
  <si>
    <t>Do you want the IRS to figure the credit for you?</t>
  </si>
  <si>
    <t>No.  Go to Worksheet A.</t>
  </si>
  <si>
    <t>No Qual. Children</t>
  </si>
  <si>
    <t>One Qualifying Child</t>
  </si>
  <si>
    <t>MFJ</t>
  </si>
  <si>
    <t>Are the amounts on lines 3 and 1 the same?</t>
  </si>
  <si>
    <r>
      <t>Yes.</t>
    </r>
    <r>
      <rPr>
        <sz val="10"/>
        <rFont val="Arial"/>
        <family val="2"/>
      </rPr>
      <t xml:space="preserve">  Skip line 5; enter the amount from line 2 on line 6.</t>
    </r>
  </si>
  <si>
    <r>
      <t>No.</t>
    </r>
    <r>
      <rPr>
        <sz val="10"/>
        <rFont val="Arial"/>
        <family val="2"/>
      </rPr>
      <t xml:space="preserve">   Go to line 5.</t>
    </r>
  </si>
  <si>
    <t>If you have:</t>
  </si>
  <si>
    <r>
      <t>Yes.</t>
    </r>
    <r>
      <rPr>
        <sz val="10"/>
        <rFont val="Arial"/>
        <family val="2"/>
      </rPr>
      <t xml:space="preserve">  Leave line 5 blank; enter the amount from line 2 on line 6.</t>
    </r>
  </si>
  <si>
    <t>Adj_Gross_Inc</t>
  </si>
  <si>
    <t xml:space="preserve">        Look at the amounts on lines 5 and 2.</t>
  </si>
  <si>
    <t>This is your earned income credit.</t>
  </si>
  <si>
    <t>Reminder—</t>
  </si>
  <si>
    <t>If you have a qualifying child, complete and attach Schedule EIC.</t>
  </si>
  <si>
    <t>Complete the parts below (Parts 1 through 3) that apply to you. Then, continue to Part 4.</t>
  </si>
  <si>
    <t>If you are married filing a joint return, include your spouse’s amounts, if any, with yours to figure the amounts to enter in Parts 1 through 3.</t>
  </si>
  <si>
    <t xml:space="preserve">1a.        </t>
  </si>
  <si>
    <t xml:space="preserve">1b.     + </t>
  </si>
  <si>
    <t>Combine lines 1a and 1b.</t>
  </si>
  <si>
    <t xml:space="preserve">1c.     = </t>
  </si>
  <si>
    <t>d.</t>
  </si>
  <si>
    <t xml:space="preserve">1d.      - </t>
  </si>
  <si>
    <t>e.</t>
  </si>
  <si>
    <t>Subtract line 1d from 1c.</t>
  </si>
  <si>
    <r>
      <t xml:space="preserve">1e.      </t>
    </r>
    <r>
      <rPr>
        <sz val="10"/>
        <rFont val="Arial"/>
        <family val="2"/>
      </rPr>
      <t xml:space="preserve">= </t>
    </r>
  </si>
  <si>
    <t>For example, your net earnings from self-employment were less than $400.</t>
  </si>
  <si>
    <t xml:space="preserve">2a.        </t>
  </si>
  <si>
    <t xml:space="preserve">2b.     + </t>
  </si>
  <si>
    <t>Schedule K-1 (Form 1065), box 14, code A (other than farming)</t>
  </si>
  <si>
    <t>Combine lines 2a and 2b.</t>
  </si>
  <si>
    <t xml:space="preserve">2c.     = </t>
  </si>
  <si>
    <t>your name and social security number on Schedule SE and attach it to your return.</t>
  </si>
  <si>
    <t>you are filing as a statutory employee.</t>
  </si>
  <si>
    <t>we may reduce your credit by the amount of self-employment tax not paid.</t>
  </si>
  <si>
    <t>4a.</t>
  </si>
  <si>
    <t>Are the amounts on lines 8 and 6 the same?</t>
  </si>
  <si>
    <t xml:space="preserve">● </t>
  </si>
  <si>
    <t xml:space="preserve">10.      </t>
  </si>
  <si>
    <t>column for your filing status and the number of children</t>
  </si>
  <si>
    <t>Look at the amounts on lines 10 and 7.</t>
  </si>
  <si>
    <t xml:space="preserve">11.      </t>
  </si>
  <si>
    <t>If the Worksheet Amount is:</t>
  </si>
  <si>
    <t>Single, Head of Household, or Qualifying Widow(er)</t>
  </si>
  <si>
    <t>Married Filing Jointly</t>
  </si>
  <si>
    <t>At least</t>
  </si>
  <si>
    <t>But less than</t>
  </si>
  <si>
    <t>No Children</t>
  </si>
  <si>
    <t>One Child</t>
  </si>
  <si>
    <t>3 or more children lived with you,</t>
  </si>
  <si>
    <t>2 children lived with you,</t>
  </si>
  <si>
    <t>1 child lived with you,</t>
  </si>
  <si>
    <t>No children lived with you,</t>
  </si>
  <si>
    <r>
      <t xml:space="preserve">See </t>
    </r>
    <r>
      <rPr>
        <i/>
        <sz val="10"/>
        <rFont val="Arial"/>
        <family val="2"/>
      </rPr>
      <t>Non-resident aliens</t>
    </r>
    <r>
      <rPr>
        <sz val="10"/>
        <rFont val="Arial"/>
        <family val="2"/>
      </rPr>
      <t xml:space="preserve">, later, </t>
    </r>
  </si>
  <si>
    <r>
      <t xml:space="preserve">under </t>
    </r>
    <r>
      <rPr>
        <i/>
        <sz val="10"/>
        <rFont val="Arial"/>
        <family val="2"/>
      </rPr>
      <t>Definitions and Special Rules</t>
    </r>
  </si>
  <si>
    <r>
      <rPr>
        <b/>
        <sz val="10"/>
        <rFont val="Arial"/>
        <family val="2"/>
      </rPr>
      <t>Investment Income</t>
    </r>
    <r>
      <rPr>
        <sz val="10"/>
        <rFont val="Arial"/>
        <family val="2"/>
      </rPr>
      <t xml:space="preserve"> =</t>
    </r>
  </si>
  <si>
    <t>You are filing Form 8814 (relating to election to report child’s interest</t>
  </si>
  <si>
    <t>and dividends on your return).</t>
  </si>
  <si>
    <t>You have income or loss from a passive activity.</t>
  </si>
  <si>
    <t>Error?</t>
  </si>
  <si>
    <t>Vacation / S.T. Rental</t>
  </si>
  <si>
    <r>
      <t xml:space="preserve">You are filing Schedule E.      </t>
    </r>
    <r>
      <rPr>
        <i/>
        <sz val="10"/>
        <rFont val="Arial"/>
        <family val="2"/>
      </rPr>
      <t xml:space="preserve"> (This is automatically completed.)</t>
    </r>
  </si>
  <si>
    <t xml:space="preserve">         in Pub. 596 to see if you</t>
  </si>
  <si>
    <t xml:space="preserve">         can take the credit.</t>
  </si>
  <si>
    <t>half brother, half sister, or a descendant of any of them</t>
  </si>
  <si>
    <t xml:space="preserve">Son, daughter, stepchild, foster child, brother, sister, stepbrother, stepsister, </t>
  </si>
  <si>
    <t>(or your spouse, if filing jointly),</t>
  </si>
  <si>
    <t>Any age and permanently and totally disabled (defined later)</t>
  </si>
  <si>
    <r>
      <t>and</t>
    </r>
    <r>
      <rPr>
        <sz val="10"/>
        <rFont val="Arial"/>
        <family val="2"/>
      </rPr>
      <t>,</t>
    </r>
  </si>
  <si>
    <t>was …</t>
  </si>
  <si>
    <t>See CAUTIONS and TIP in the instructions.</t>
  </si>
  <si>
    <t xml:space="preserve">(Check "No" if the other person is not rquired to file, and </t>
  </si>
  <si>
    <t>to claim a refund of withheld income tax or estimated tax</t>
  </si>
  <si>
    <t>paid (see Pub. 596 for examples).)</t>
  </si>
  <si>
    <t>Were you, or your spouse if filing a joint return, at least age</t>
  </si>
  <si>
    <t>Was your main home, and your spouse's if filing a joint</t>
  </si>
  <si>
    <t>Enter "No" on the dotted</t>
  </si>
  <si>
    <r>
      <t xml:space="preserve">See </t>
    </r>
    <r>
      <rPr>
        <i/>
        <sz val="10"/>
        <rFont val="Arial"/>
        <family val="2"/>
      </rPr>
      <t>Clergy or Church employees</t>
    </r>
    <r>
      <rPr>
        <sz val="10"/>
        <rFont val="Arial"/>
        <family val="2"/>
      </rPr>
      <t xml:space="preserve">, </t>
    </r>
  </si>
  <si>
    <t>whichever applies.</t>
  </si>
  <si>
    <t>following worksheet.</t>
  </si>
  <si>
    <t>that is a taxable scholarship or fellowship grant</t>
  </si>
  <si>
    <t>not reported on a Form W-2.</t>
  </si>
  <si>
    <t>that you received for work perform while an</t>
  </si>
  <si>
    <t>inmate in a penal institution.  (Enter "PRI" and</t>
  </si>
  <si>
    <t>the same amount on the dotted line next to Form</t>
  </si>
  <si>
    <t>and the same amount on the dotted line next to</t>
  </si>
  <si>
    <t>amount but box 11 is blank, contact your</t>
  </si>
  <si>
    <t>employer for the amount received</t>
  </si>
  <si>
    <t xml:space="preserve">Step 5 </t>
  </si>
  <si>
    <t xml:space="preserve">Step 4 </t>
  </si>
  <si>
    <t xml:space="preserve">Step 3 </t>
  </si>
  <si>
    <t>Step 2</t>
  </si>
  <si>
    <t>Step 1</t>
  </si>
  <si>
    <t>Filers Without a Qualifying Child</t>
  </si>
  <si>
    <t>Qualifying Child</t>
  </si>
  <si>
    <t>Investment Income</t>
  </si>
  <si>
    <t>All Filers</t>
  </si>
  <si>
    <t>Enter all of your nontaxable combat pay if you</t>
  </si>
  <si>
    <t>elect to include it in earned income. Also enter</t>
  </si>
  <si>
    <t>Electing to include nontaxable combat</t>
  </si>
  <si>
    <t>pay may increase or decrease your EIC. Figure</t>
  </si>
  <si>
    <t>the credit with and without your nontaxable</t>
  </si>
  <si>
    <t>combat pay before making the election.</t>
  </si>
  <si>
    <t>earned income.</t>
  </si>
  <si>
    <r>
      <t xml:space="preserve">Add lines 7 and 8.  </t>
    </r>
    <r>
      <rPr>
        <b/>
        <sz val="10"/>
        <rFont val="Arial"/>
        <family val="2"/>
      </rPr>
      <t>This is your</t>
    </r>
  </si>
  <si>
    <t>go to Worksheet B.</t>
  </si>
  <si>
    <r>
      <rPr>
        <i/>
        <sz val="10"/>
        <rFont val="Arial"/>
        <family val="2"/>
      </rPr>
      <t>figured by the IRS</t>
    </r>
    <r>
      <rPr>
        <sz val="10"/>
        <rFont val="Arial"/>
        <family val="2"/>
      </rPr>
      <t>, in the instructions.</t>
    </r>
  </si>
  <si>
    <r>
      <t xml:space="preserve">Yes.  See </t>
    </r>
    <r>
      <rPr>
        <i/>
        <sz val="10"/>
        <rFont val="Arial"/>
        <family val="2"/>
      </rPr>
      <t>Credit figured by the IRS.</t>
    </r>
  </si>
  <si>
    <t>How To Figure the Credit</t>
  </si>
  <si>
    <t>Earned Income</t>
  </si>
  <si>
    <t xml:space="preserve">Step 6 </t>
  </si>
  <si>
    <t xml:space="preserve"> - All Filers Using Worksheet A</t>
  </si>
  <si>
    <t>PART 1</t>
  </si>
  <si>
    <t>Use this worksheet only if you answered "No" to Step 5, question 2.</t>
  </si>
  <si>
    <t>Otherwise, use Worksheet B.</t>
  </si>
  <si>
    <t>Enter your earned income from Step 5.</t>
  </si>
  <si>
    <t>Look up the amount on line 1 above in the EIC Table (right after</t>
  </si>
  <si>
    <t>Worksheet B) to find the credit. Be sure you use the correct column</t>
  </si>
  <si>
    <t>for your filing status and the number of children you have. Enter the</t>
  </si>
  <si>
    <t>credit here.</t>
  </si>
  <si>
    <t>EIC_EarnedIncome</t>
  </si>
  <si>
    <t>Three Children+</t>
  </si>
  <si>
    <t>Two Children</t>
  </si>
  <si>
    <t>Two Qualify Children</t>
  </si>
  <si>
    <t>Three Qualify Children</t>
  </si>
  <si>
    <t>- Filers who answered "No" on Line 4.</t>
  </si>
  <si>
    <t>PART 2</t>
  </si>
  <si>
    <t>- Your Earned Income Credit</t>
  </si>
  <si>
    <t>PART 3</t>
  </si>
  <si>
    <r>
      <t>No.</t>
    </r>
    <r>
      <rPr>
        <sz val="10"/>
        <rFont val="Arial"/>
        <family val="2"/>
      </rPr>
      <t xml:space="preserve">   Look up the amount on line 3 in the EIC Table to find the</t>
    </r>
  </si>
  <si>
    <t>- Self-Employed, Members of the Clergy, and People With Church Employee Income Filing Schedule SE</t>
  </si>
  <si>
    <t>- Self-Employed NOT Required To File Schedule SE</t>
  </si>
  <si>
    <t>- All Filers Using Worksheet B</t>
  </si>
  <si>
    <t>PART 4</t>
  </si>
  <si>
    <t>PART 5</t>
  </si>
  <si>
    <t>- Filers Who Answered “No” on Line 9</t>
  </si>
  <si>
    <t>PART 6</t>
  </si>
  <si>
    <t>PART 7</t>
  </si>
  <si>
    <t>credit. Be sure you use the correct column for your filing</t>
  </si>
  <si>
    <t>Enter your total earned income from Part 4, line 4b.</t>
  </si>
  <si>
    <r>
      <t xml:space="preserve">Then, enter the </t>
    </r>
    <r>
      <rPr>
        <b/>
        <sz val="10"/>
        <rFont val="Arial"/>
        <family val="2"/>
      </rPr>
      <t>smaller</t>
    </r>
    <r>
      <rPr>
        <sz val="10"/>
        <rFont val="Arial"/>
        <family val="2"/>
      </rPr>
      <t xml:space="preserve"> amount on line 11.</t>
    </r>
  </si>
  <si>
    <t>If your EIC for a year after 1996 was reduced or disallowed, see</t>
  </si>
  <si>
    <t>Foreign Earned Income</t>
  </si>
  <si>
    <t>2555</t>
  </si>
  <si>
    <t>For Use by U.S. Citizens and Resident Aliens Only</t>
  </si>
  <si>
    <t>General Information</t>
  </si>
  <si>
    <t>Your foreign address (including country)</t>
  </si>
  <si>
    <t>Employer’s name</t>
  </si>
  <si>
    <t>Employer’s U.S. address</t>
  </si>
  <si>
    <t>Employer’s foreign address</t>
  </si>
  <si>
    <t xml:space="preserve">b </t>
  </si>
  <si>
    <t>Employer is (check
any that apply):</t>
  </si>
  <si>
    <t>4 a</t>
  </si>
  <si>
    <t xml:space="preserve"> A foreign entity</t>
  </si>
  <si>
    <t xml:space="preserve"> A foreign affiliate of a U.S. company</t>
  </si>
  <si>
    <t xml:space="preserve">a </t>
  </si>
  <si>
    <t xml:space="preserve">c </t>
  </si>
  <si>
    <t xml:space="preserve">d </t>
  </si>
  <si>
    <t xml:space="preserve">e </t>
  </si>
  <si>
    <t xml:space="preserve"> Self</t>
  </si>
  <si>
    <t xml:space="preserve"> A U.S. company</t>
  </si>
  <si>
    <t xml:space="preserve"> Other (specify)</t>
  </si>
  <si>
    <t>If you previously filed Form 2555 or Form 2555-EZ, enter the last year you filed the form.</t>
  </si>
  <si>
    <t>6 a</t>
  </si>
  <si>
    <t xml:space="preserve"> and go to line 7.</t>
  </si>
  <si>
    <t>Have you ever revoked either of the exclusions?</t>
  </si>
  <si>
    <t>If you answered “Yes,” enter the type of exclusion and the tax year for which the revocation was effective.</t>
  </si>
  <si>
    <t>Of what country are you a citizen/national?</t>
  </si>
  <si>
    <t>Did you maintain a separate foreign residence for your family because of adverse living conditions at your</t>
  </si>
  <si>
    <t>8 a</t>
  </si>
  <si>
    <t>If “Yes,” enter city and country of the separate foreign residence. Also, enter the number of days during your tax year that you</t>
  </si>
  <si>
    <t>maintained a second household at that address.</t>
  </si>
  <si>
    <t>List your tax home(s) during your tax year and date(s) established.</t>
  </si>
  <si>
    <t>the information asked for, any exclusion or deduction you claim may be disallowed.</t>
  </si>
  <si>
    <t>Date bona fide residence began</t>
  </si>
  <si>
    <t>, and ended</t>
  </si>
  <si>
    <t>Kind of living quarters in foreign country</t>
  </si>
  <si>
    <t xml:space="preserve"> Purchased house</t>
  </si>
  <si>
    <t>Rented house or apartment</t>
  </si>
  <si>
    <t>Rented room</t>
  </si>
  <si>
    <t xml:space="preserve"> Quarters furnished by employer</t>
  </si>
  <si>
    <t>Did any of your family live with you abroad during any part of the tax year?</t>
  </si>
  <si>
    <t xml:space="preserve">12 a </t>
  </si>
  <si>
    <t>If “Yes,” who and for what period?</t>
  </si>
  <si>
    <t>Have you submitted a statement to the authorities of the foreign country where you claim bona fide</t>
  </si>
  <si>
    <t xml:space="preserve">13 a </t>
  </si>
  <si>
    <t>Are you required to pay income tax to the country where you claim bona fide residence? See instructions</t>
  </si>
  <si>
    <t>this part.</t>
  </si>
  <si>
    <r>
      <rPr>
        <b/>
        <sz val="8"/>
        <rFont val="Arial"/>
        <family val="2"/>
      </rPr>
      <t>(a)</t>
    </r>
    <r>
      <rPr>
        <sz val="8"/>
        <rFont val="Arial"/>
        <family val="2"/>
      </rPr>
      <t xml:space="preserve"> Date 
arrived in U.S.</t>
    </r>
  </si>
  <si>
    <r>
      <rPr>
        <b/>
        <sz val="8"/>
        <rFont val="Arial"/>
        <family val="2"/>
      </rPr>
      <t>(b)</t>
    </r>
    <r>
      <rPr>
        <sz val="8"/>
        <rFont val="Arial"/>
        <family val="2"/>
      </rPr>
      <t xml:space="preserve"> Date left
U.S.</t>
    </r>
  </si>
  <si>
    <r>
      <rPr>
        <b/>
        <sz val="8"/>
        <rFont val="Arial"/>
        <family val="2"/>
      </rPr>
      <t>(c)</t>
    </r>
    <r>
      <rPr>
        <sz val="8"/>
        <rFont val="Arial"/>
        <family val="2"/>
      </rPr>
      <t xml:space="preserve"> Number of
days in U.S. 
on business</t>
    </r>
  </si>
  <si>
    <r>
      <rPr>
        <b/>
        <sz val="8"/>
        <rFont val="Arial"/>
        <family val="2"/>
      </rPr>
      <t>(d)</t>
    </r>
    <r>
      <rPr>
        <sz val="8"/>
        <rFont val="Arial"/>
        <family val="2"/>
      </rPr>
      <t xml:space="preserve"> Income earned in 
U.S. on business 
(attach computation)</t>
    </r>
  </si>
  <si>
    <r>
      <t xml:space="preserve">(a) </t>
    </r>
    <r>
      <rPr>
        <sz val="8"/>
        <rFont val="Arial"/>
        <family val="2"/>
      </rPr>
      <t>Date 
arrived in U.S.</t>
    </r>
  </si>
  <si>
    <t>List any contractual terms or other conditions relating to the length of your employment abroad.</t>
  </si>
  <si>
    <t xml:space="preserve">15 a </t>
  </si>
  <si>
    <t>Enter the type of visa under which you entered the foreign country.</t>
  </si>
  <si>
    <t>Did your visa limit the length of your stay or employment in a foreign country? If “Yes,” attach explanation</t>
  </si>
  <si>
    <t>Did you maintain a home in the United States while living abroad?</t>
  </si>
  <si>
    <t>If “Yes,” enter address of your home, whether it was rented, the names of the occupants, and their relationship</t>
  </si>
  <si>
    <t>Cat. No. 11900P</t>
  </si>
  <si>
    <t>Taxpayers Qualifying Under Physical Presence Test (see instructions)</t>
  </si>
  <si>
    <t>The physical presence test is based on the 12-month period from</t>
  </si>
  <si>
    <t>through</t>
  </si>
  <si>
    <t>Enter your principal country of employment during your tax year.</t>
  </si>
  <si>
    <t>(a) Name of country 
(including U.S.)</t>
  </si>
  <si>
    <t>(b) Date arrived</t>
  </si>
  <si>
    <t>(c) Date left</t>
  </si>
  <si>
    <t>(d) Full days 
present 
in country</t>
  </si>
  <si>
    <t>(e) Number of 
days in U.S. 
on business</t>
  </si>
  <si>
    <t>(f) Income earned in U.S. 
on business 
(attach computation)</t>
  </si>
  <si>
    <t>All Taxpayers</t>
  </si>
  <si>
    <t>constructively received the income.</t>
  </si>
  <si>
    <t>Amount 
(in U.S. dollars)</t>
  </si>
  <si>
    <t>Total wages, salaries, bonuses, commissions, etc.</t>
  </si>
  <si>
    <t>Allowable share of income for personal services performed (see instructions):</t>
  </si>
  <si>
    <t>In a business (including farming) or profession</t>
  </si>
  <si>
    <t>In a partnership. List partnership’s name and address and type of income.</t>
  </si>
  <si>
    <t xml:space="preserve">20 </t>
  </si>
  <si>
    <t xml:space="preserve">19 </t>
  </si>
  <si>
    <t xml:space="preserve">21 </t>
  </si>
  <si>
    <t>Noncash income (market value of property or facilities furnished by employer—attach statement</t>
  </si>
  <si>
    <t>showing how it was determined):</t>
  </si>
  <si>
    <t>Home (lodging)</t>
  </si>
  <si>
    <t>Meals</t>
  </si>
  <si>
    <t>Car</t>
  </si>
  <si>
    <t>21c</t>
  </si>
  <si>
    <t>Other property or facilities. List type and amount.</t>
  </si>
  <si>
    <t>21d</t>
  </si>
  <si>
    <t>22a</t>
  </si>
  <si>
    <t>22b</t>
  </si>
  <si>
    <t>22c</t>
  </si>
  <si>
    <t>22d</t>
  </si>
  <si>
    <t>Cost of living and overseas differential</t>
  </si>
  <si>
    <t>Allowances, reimbursements, or expenses paid on your behalf for services you performed:</t>
  </si>
  <si>
    <t xml:space="preserve">22 </t>
  </si>
  <si>
    <t>22e</t>
  </si>
  <si>
    <t>Family</t>
  </si>
  <si>
    <t>Education</t>
  </si>
  <si>
    <t>Home leave</t>
  </si>
  <si>
    <t>Quarters</t>
  </si>
  <si>
    <t>For any other purpose. List type and amount.</t>
  </si>
  <si>
    <t xml:space="preserve">f </t>
  </si>
  <si>
    <t>22f</t>
  </si>
  <si>
    <t>Add lines 22a through 22f</t>
  </si>
  <si>
    <t xml:space="preserve">g </t>
  </si>
  <si>
    <t>22g</t>
  </si>
  <si>
    <t xml:space="preserve">23 </t>
  </si>
  <si>
    <t>Other foreign earned income. List type and amount.</t>
  </si>
  <si>
    <t>Add lines 19 through 21d, line 22g, and line 23</t>
  </si>
  <si>
    <t xml:space="preserve">24 </t>
  </si>
  <si>
    <t>Total amount of meals and lodging included on line 24 that is excludable (see instructions)</t>
  </si>
  <si>
    <t xml:space="preserve">25 </t>
  </si>
  <si>
    <t xml:space="preserve">26 </t>
  </si>
  <si>
    <t>Subtract line 25 from line 24. Enter the result here and on line 27 on page 3.</t>
  </si>
  <si>
    <t>foreign earned income.</t>
  </si>
  <si>
    <t xml:space="preserve">27 </t>
  </si>
  <si>
    <t>Enter the amount from line 26</t>
  </si>
  <si>
    <t>Are you claiming the housing exclusion or housing deduction?</t>
  </si>
  <si>
    <t>Taxpayers Claiming the Housing Exclusion and/or Deduction</t>
  </si>
  <si>
    <t>Qualified housing expenses for the tax year (see instructions)</t>
  </si>
  <si>
    <t>Enter location where housing expenses incurred (see instructions)</t>
  </si>
  <si>
    <t xml:space="preserve">29 a </t>
  </si>
  <si>
    <t>Enter limit on housing expenses (see instructions)</t>
  </si>
  <si>
    <t>29b</t>
  </si>
  <si>
    <t>year (see instructions)</t>
  </si>
  <si>
    <t>days</t>
  </si>
  <si>
    <t>any of Part IX</t>
  </si>
  <si>
    <t>Enter employer-provided amounts (see instructions)</t>
  </si>
  <si>
    <t>amount on line 34. Also, complete Part VIII</t>
  </si>
  <si>
    <t>Taxpayers Claiming the Foreign Earned Income Exclusion</t>
  </si>
  <si>
    <t>Part VII</t>
  </si>
  <si>
    <t>37</t>
  </si>
  <si>
    <t>If you completed Part VI, enter the number from line 31.</t>
  </si>
  <si>
    <t>38</t>
  </si>
  <si>
    <t>All others, enter the number of days in your qualifying period that</t>
  </si>
  <si>
    <t>a decimal (rounded to at least three places).</t>
  </si>
  <si>
    <t>Multiply line 37 by line 39</t>
  </si>
  <si>
    <t>39</t>
  </si>
  <si>
    <t>40</t>
  </si>
  <si>
    <t>Subtract line 36 from line 27</t>
  </si>
  <si>
    <t>41</t>
  </si>
  <si>
    <t>42</t>
  </si>
  <si>
    <t>Part VIII</t>
  </si>
  <si>
    <t>Taxpayers Claiming the Housing Exclusion, Foreign Earned Income Exclusion, or Both</t>
  </si>
  <si>
    <t>Add lines 36 and 42</t>
  </si>
  <si>
    <t>43</t>
  </si>
  <si>
    <t>44</t>
  </si>
  <si>
    <t>45</t>
  </si>
  <si>
    <t>Part IX</t>
  </si>
  <si>
    <t>Subtract line 36 from line 33</t>
  </si>
  <si>
    <t>Subtract line 43 from line 27</t>
  </si>
  <si>
    <t>46</t>
  </si>
  <si>
    <t>47</t>
  </si>
  <si>
    <t>48</t>
  </si>
  <si>
    <t>figure the amount to enter on line 49. Otherwise, go to line 50.</t>
  </si>
  <si>
    <t>49</t>
  </si>
  <si>
    <t>50</t>
  </si>
  <si>
    <t>Number of days</t>
  </si>
  <si>
    <t xml:space="preserve">.   .   .   .   .   .   .   .   .   .   .   .   .   .   .   .   .   .   .   .   .   .   .   .   .   .   .   .   .   .   .   .   .   . </t>
  </si>
  <si>
    <t xml:space="preserve">.   .   .   .   .   .   .   .   .   .   .   .   .   .   .   .   .   .   .   .   .   .   .   .   .   .   .   .   .   .   .   .   .   .   .   .   .   . </t>
  </si>
  <si>
    <t xml:space="preserve">.   .   .   .   .   .   .   .   .   .   .   .   .   .   .   .   .   .   .   .   .   .   .   .   .   .   .   .   .   .   .   .   .   .   .   .   .   .   .   . </t>
  </si>
  <si>
    <t xml:space="preserve">.   .   .   .   .   .   .   .   .   .   .   .   .   .   .   .   .   .   .   .   .   .   .   .   .   .   .   .   .   .   .   .   . </t>
  </si>
  <si>
    <t xml:space="preserve">Subtract line 32 from line 30. </t>
  </si>
  <si>
    <t>Use this worksheet if you answered “Yes” to Step 5, question 2.</t>
  </si>
  <si>
    <t>Before you check Box A, B, or C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</si>
  <si>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r>
      <rPr>
        <b/>
        <sz val="9"/>
        <rFont val="Arial"/>
        <family val="2"/>
      </rPr>
      <t>Note.</t>
    </r>
    <r>
      <rPr>
        <sz val="9"/>
        <rFont val="Arial"/>
        <family val="2"/>
      </rPr>
      <t xml:space="preserve"> If you checked Box D above but the basis reported to the IRS was incorrect, enter in column (e) the basis as reported to the IRS, and enter an 
adjustment in column (g) to correct the basis. See </t>
    </r>
    <r>
      <rPr>
        <i/>
        <sz val="9"/>
        <rFont val="Arial"/>
        <family val="2"/>
      </rPr>
      <t>Column (g)</t>
    </r>
    <r>
      <rPr>
        <sz val="9"/>
        <rFont val="Arial"/>
        <family val="2"/>
      </rPr>
      <t xml:space="preserve"> in the separate instructions for how to figure the amount of the adjustment.</t>
    </r>
  </si>
  <si>
    <r>
      <t>For more details, see Pub. 590-A</t>
    </r>
    <r>
      <rPr>
        <b/>
        <sz val="10"/>
        <rFont val="Arial"/>
        <family val="2"/>
      </rPr>
      <t xml:space="preserve">.   .   .   .   .   .   .   .   .   .   .   .   .   .   .   .   .   .   .   .   .   .   . </t>
    </r>
  </si>
  <si>
    <t>see Pub. 590-A to figure your IRA deduction.</t>
  </si>
  <si>
    <r>
      <rPr>
        <b/>
        <sz val="10"/>
        <rFont val="Arial"/>
        <family val="2"/>
      </rPr>
      <t>smallest</t>
    </r>
    <r>
      <rPr>
        <sz val="10"/>
        <rFont val="Arial"/>
        <family val="2"/>
      </rPr>
      <t xml:space="preserve"> of line 7b, 10, or 11b. This is the most you can deduct. Add the amounts on lines 12a</t>
    </r>
  </si>
  <si>
    <r>
      <t xml:space="preserve">On line 12a, enter the </t>
    </r>
    <r>
      <rPr>
        <b/>
        <sz val="10"/>
        <rFont val="Arial"/>
        <family val="2"/>
      </rPr>
      <t>smallest</t>
    </r>
    <r>
      <rPr>
        <sz val="10"/>
        <rFont val="Arial"/>
        <family val="2"/>
      </rPr>
      <t xml:space="preserve"> of line 7a, 10, or 11a. On line 12b, enter the</t>
    </r>
  </si>
  <si>
    <t>Do not complete the rest of this worksheet.</t>
  </si>
  <si>
    <t xml:space="preserve"> .   .   .   .   .   .   .   .   .   .   .   .   .   .   .   .   .   .   .   .   .   .   .   .   .   .</t>
  </si>
  <si>
    <t>Combine lines 1e, 2c, 3, and 4a.</t>
  </si>
  <si>
    <t>This is your total earned income.</t>
  </si>
  <si>
    <t xml:space="preserve">3 or more qualifying children, </t>
  </si>
  <si>
    <t>2 qualifying children,</t>
  </si>
  <si>
    <t>1 qualifying child,</t>
  </si>
  <si>
    <r>
      <t>Yes.</t>
    </r>
    <r>
      <rPr>
        <sz val="10"/>
        <rFont val="Arial"/>
        <family val="2"/>
      </rPr>
      <t xml:space="preserve">  If you want the IRS to figure your credit, see </t>
    </r>
    <r>
      <rPr>
        <i/>
        <sz val="10"/>
        <rFont val="Arial"/>
        <family val="2"/>
      </rPr>
      <t>Credit figured by the IRS</t>
    </r>
    <r>
      <rPr>
        <sz val="10"/>
        <rFont val="Arial"/>
        <family val="2"/>
      </rPr>
      <t>, earlier.</t>
    </r>
  </si>
  <si>
    <t>1 or more qualifying children,</t>
  </si>
  <si>
    <t>3 or more qualifying children,</t>
  </si>
  <si>
    <t>Schedule C, line 31 (excluding statutory employee income, etc.)</t>
  </si>
  <si>
    <r>
      <t>Gross profit.</t>
    </r>
    <r>
      <rPr>
        <sz val="9"/>
        <rFont val="Arial"/>
        <family val="2"/>
      </rPr>
      <t xml:space="preserve">  Subtract line 4 from line 3</t>
    </r>
  </si>
  <si>
    <t xml:space="preserve">6.  </t>
  </si>
  <si>
    <t xml:space="preserve">7. </t>
  </si>
  <si>
    <t xml:space="preserve">8.  </t>
  </si>
  <si>
    <t xml:space="preserve">4a.   </t>
  </si>
  <si>
    <t xml:space="preserve">4b.   </t>
  </si>
  <si>
    <t xml:space="preserve">3.   </t>
  </si>
  <si>
    <r>
      <t xml:space="preserve">Enter the </t>
    </r>
    <r>
      <rPr>
        <b/>
        <sz val="10"/>
        <rFont val="Arial"/>
        <family val="2"/>
      </rPr>
      <t>smallest</t>
    </r>
    <r>
      <rPr>
        <sz val="10"/>
        <rFont val="Arial"/>
        <family val="2"/>
      </rPr>
      <t xml:space="preserve"> of line 3, 4, or 5</t>
    </r>
  </si>
  <si>
    <t>Enter the amount from your (and your spouse's if filing jointly) Form 2555,</t>
  </si>
  <si>
    <t>Enter the total amount of any itemized deductions or exclusions you</t>
  </si>
  <si>
    <t>Subtract line 2b from line 2a. If zero or less, enter -0-</t>
  </si>
  <si>
    <t>Add lines 1 and 2c</t>
  </si>
  <si>
    <t>Tax on the amount on line 3.</t>
  </si>
  <si>
    <t>separately) from the result.</t>
  </si>
  <si>
    <t>married filing separately) from the result</t>
  </si>
  <si>
    <t>Federal poverty line. Enter the federal poverty line amount from Table 1-1, 1-2, or 1-3 (see instr.). Check the appro-</t>
  </si>
  <si>
    <t>priate box for the federal poverty table used.</t>
  </si>
  <si>
    <t>Household income as a percentage of federal poverty line (see instructions)</t>
  </si>
  <si>
    <t xml:space="preserve">.   .   .   .   .   .   .   .   .   .   .   .   .   .  </t>
  </si>
  <si>
    <r>
      <rPr>
        <b/>
        <sz val="10"/>
        <rFont val="Arial"/>
        <family val="2"/>
      </rPr>
      <t>Yes.</t>
    </r>
    <r>
      <rPr>
        <sz val="10"/>
        <rFont val="Arial"/>
        <family val="2"/>
      </rPr>
      <t xml:space="preserve"> Continue to line 11. Compute your annual PTC. Skip lines 12–23</t>
    </r>
  </si>
  <si>
    <r>
      <t>No.</t>
    </r>
    <r>
      <rPr>
        <sz val="10"/>
        <rFont val="Arial"/>
        <family val="2"/>
      </rPr>
      <t xml:space="preserve"> Continue to line 10.</t>
    </r>
  </si>
  <si>
    <t>Part VI</t>
  </si>
  <si>
    <r>
      <t xml:space="preserve">Be sure you have read the </t>
    </r>
    <r>
      <rPr>
        <b/>
        <sz val="10"/>
        <rFont val="Arial"/>
        <family val="2"/>
      </rPr>
      <t>Exception</t>
    </r>
    <r>
      <rPr>
        <sz val="10"/>
        <rFont val="Arial"/>
        <family val="2"/>
      </rPr>
      <t xml:space="preserve"> in the instructions for this line to see if you must fill in</t>
    </r>
  </si>
  <si>
    <t>2a.</t>
  </si>
  <si>
    <t>Enter the total amount of any itemized deductions or exclusions you couldn't claim because they are</t>
  </si>
  <si>
    <t>related to excluded income</t>
  </si>
  <si>
    <t>Tax Table to figure this tax. If the amount on line 2c is $100,000 or more, use the Tax Computation</t>
  </si>
  <si>
    <t>Subtract line 5 from line 4. Enter the result. If zero or less, enter -0-. Also include this amount on</t>
  </si>
  <si>
    <t>use either of those worksheets to figure the tax on line 4 above. Complete the rest of that worksheet through line 6 (line 10 if you use the</t>
  </si>
  <si>
    <t>Schedule D Tax Worksheet). Next, you must determine if you have a capital gain excess. To find out if you have a capital gain excess, subtract</t>
  </si>
  <si>
    <t>*Enter the amount from line 3 above on line 1 of the Qualified Dividends and Capital Gain Tax Worksheet or Schedule D Tax Worksheet if you</t>
  </si>
  <si>
    <t>complete lines 5 and 6 above.</t>
  </si>
  <si>
    <t>If you have a capital gain excess, complete a second Qualified Dividends and Capital Gain Tax Worksheet or Schedule D Tax Worksheet</t>
  </si>
  <si>
    <t>(whichever applies) as instructed above but in its entirety and with the following additional modifications. Then complete lines 5 and 6 above.</t>
  </si>
  <si>
    <t>These modifications are to be made only for purposes of filling out the Foreign Earned Income Tax Worksheet above.</t>
  </si>
  <si>
    <t>1. Reduce (but not below zero) the amount you would otherwise enter on line 3 of your Qualified Dividends and Capital Gain Tax Worksheet</t>
  </si>
  <si>
    <t>or line 9 of your Schedule D Tax Worksheet by your capital gain excess.</t>
  </si>
  <si>
    <t>2. Reduce (but not below zero) the amount you would otherwise enter on line 2 of your Qualified Dividends and Capital Gain Tax Worksheet</t>
  </si>
  <si>
    <t>or line 6 of your Schedule D Tax Worksheet by any of your capital gain excess not used in (1) above.</t>
  </si>
  <si>
    <t>4. Include your capital gain excess as a loss on line 16 of your Unrecaptured Section 1250 Gain Worksheet in the Instructions for</t>
  </si>
  <si>
    <t>https://www.irs.gov/pub/irs-pdf/f1040sei.pdf</t>
  </si>
  <si>
    <t>Pub. 970 to figure your deduction.</t>
  </si>
  <si>
    <t>Subtract line 3 from line 2</t>
  </si>
  <si>
    <t>Skip lines 6 and 7, enter -0- on line 8, and go to line 9.</t>
  </si>
  <si>
    <t>Subtract line 5 from line 4</t>
  </si>
  <si>
    <t>(rounded to at least three places). If the result is 1.000 or more, enter 1.000</t>
  </si>
  <si>
    <t>Multiply line 1 by line 7</t>
  </si>
  <si>
    <t>Date &amp; Time</t>
  </si>
  <si>
    <t>Reference:</t>
  </si>
  <si>
    <t>IRS Publication 526, Charitable Contributions</t>
  </si>
  <si>
    <r>
      <t xml:space="preserve">Yes. </t>
    </r>
    <r>
      <rPr>
        <sz val="10"/>
        <rFont val="Arial"/>
        <family val="2"/>
      </rPr>
      <t xml:space="preserve">Complete the </t>
    </r>
    <r>
      <rPr>
        <b/>
        <sz val="10"/>
        <rFont val="Arial"/>
        <family val="2"/>
      </rPr>
      <t>Qualified Dividends and Capital Gain Tax Worksheet</t>
    </r>
    <r>
      <rPr>
        <sz val="10"/>
        <rFont val="Arial"/>
        <family val="2"/>
      </rPr>
      <t xml:space="preserve"> in the instructions</t>
    </r>
  </si>
  <si>
    <t>For Paperwork Reduction Act Notice, see the Form 1040 instructions.</t>
  </si>
  <si>
    <t>Payer #5</t>
  </si>
  <si>
    <t>Payer #6</t>
  </si>
  <si>
    <t>Payer #7</t>
  </si>
  <si>
    <t>29a</t>
  </si>
  <si>
    <t>Check here to use this worksheet anyway.</t>
  </si>
  <si>
    <t>BadBirthdaySpouse</t>
  </si>
  <si>
    <t>BadBirthday_Yours</t>
  </si>
  <si>
    <t>70th Birthday --&gt;</t>
  </si>
  <si>
    <t>End of tax year minus 6 months --&gt;</t>
  </si>
  <si>
    <t xml:space="preserve"> do not apply to you.</t>
  </si>
  <si>
    <r>
      <rPr>
        <b/>
        <sz val="7"/>
        <rFont val="Arial"/>
        <family val="2"/>
      </rPr>
      <t>(e)</t>
    </r>
    <r>
      <rPr>
        <sz val="7"/>
        <rFont val="Arial"/>
        <family val="2"/>
      </rPr>
      <t xml:space="preserve">
Cost
(or other basis)</t>
    </r>
  </si>
  <si>
    <r>
      <rPr>
        <b/>
        <sz val="7"/>
        <rFont val="Arial"/>
        <family val="2"/>
      </rPr>
      <t xml:space="preserve">(g)
</t>
    </r>
    <r>
      <rPr>
        <sz val="7"/>
        <rFont val="Arial"/>
        <family val="2"/>
      </rPr>
      <t>Adjustments to
gain or loss from
Form(s) 8949, Part I,
line 2, column (g)</t>
    </r>
  </si>
  <si>
    <r>
      <t xml:space="preserve">   Optional Methods To Figure Net Earnings </t>
    </r>
    <r>
      <rPr>
        <sz val="11"/>
        <rFont val="Arial"/>
        <family val="2"/>
      </rPr>
      <t>(see instructions)</t>
    </r>
  </si>
  <si>
    <t>If you didn't previously file Form 2555 or 2555-EZ to claim either of the exclusions, check here</t>
  </si>
  <si>
    <t>residence that you aren't a resident of that country? See instructions</t>
  </si>
  <si>
    <t>Next, complete either Part II or Part III. If an item doesn't apply, enter “NA.” If you don't give</t>
  </si>
  <si>
    <t>If you answered “Yes” to 13a and “No” to 13b, you don't qualify as a bona fide resident. Don't complete the rest of</t>
  </si>
  <si>
    <t>foreign countries that didn't involve travel on or over international waters, or in or over the United States, for 24 hours or more.</t>
  </si>
  <si>
    <t>If the result is zero or less, don't complete the rest of this part or</t>
  </si>
  <si>
    <t>don't enter more than “1.000”</t>
  </si>
  <si>
    <t>Divide line 34 by line 27. Enter the result as a decimal (rounded to at least three places), but</t>
  </si>
  <si>
    <r>
      <rPr>
        <b/>
        <sz val="9"/>
        <rFont val="Marlett"/>
        <charset val="2"/>
      </rPr>
      <t>4</t>
    </r>
    <r>
      <rPr>
        <b/>
        <sz val="9"/>
        <rFont val="Arial"/>
        <family val="2"/>
      </rPr>
      <t xml:space="preserve">  If any line doesn't apply to you, leave it blank. See separate instructions.</t>
    </r>
  </si>
  <si>
    <t>Household income. Add the amounts on lines 2a and 2b (see instructions)</t>
  </si>
  <si>
    <t>line 7. Round to nearest whole dollar.</t>
  </si>
  <si>
    <t>Part V, Alternative Calculation for Year of Marriage.</t>
  </si>
  <si>
    <t>Skip to</t>
  </si>
  <si>
    <t xml:space="preserve">Part IV, Allocation of Policy Amounts, or </t>
  </si>
  <si>
    <r>
      <rPr>
        <b/>
        <sz val="9"/>
        <rFont val="Arial"/>
        <family val="2"/>
      </rPr>
      <t>(c)</t>
    </r>
    <r>
      <rPr>
        <sz val="9"/>
        <rFont val="Arial"/>
        <family val="2"/>
      </rPr>
      <t xml:space="preserve"> Monthly contribution amount (amount from line 8b or alternative marriage monthly calculation)</t>
    </r>
  </si>
  <si>
    <t>Allocation of Policy Amounts</t>
  </si>
  <si>
    <t>Allocation 1</t>
  </si>
  <si>
    <t>Allocation 2</t>
  </si>
  <si>
    <t>Allocation 3</t>
  </si>
  <si>
    <t>Allocation 4</t>
  </si>
  <si>
    <t>Have you completed all policy amount allocations?</t>
  </si>
  <si>
    <t>allocated policy amounts from Forms 1095-A, if any, to compute a combined total for each month. Enter the combined total for each month on</t>
  </si>
  <si>
    <t>lines 12–23, columns (a), (b), and (f). Compute the amounts for lines 12–23, columns (c)–(e), and continue to line 24.</t>
  </si>
  <si>
    <t>Alternative monthly
contribution amount</t>
  </si>
  <si>
    <t>If the amount on line 1 is $100,000 or more, use the Tax Computation Worksheet</t>
  </si>
  <si>
    <t>don't make an entry for any section 1202 exclusion that is 100% of the gain.</t>
  </si>
  <si>
    <t>Capital Loss Carryover Worksheet—Lines 6 and 14</t>
  </si>
  <si>
    <t>Combine lines 1 and 2. If zero or less, enter -0-</t>
  </si>
  <si>
    <t>Add lines 4 and 6</t>
  </si>
  <si>
    <r>
      <t>l</t>
    </r>
    <r>
      <rPr>
        <sz val="9"/>
        <rFont val="Arial"/>
        <family val="2"/>
      </rPr>
      <t xml:space="preserve"> </t>
    </r>
  </si>
  <si>
    <t xml:space="preserve"> If more than zero, also enter this amount on Schedule D, line 6</t>
  </si>
  <si>
    <t>Subtract line 5 from line 4. If zero or less, enter -0-</t>
  </si>
  <si>
    <t>Add lines 10 and 11</t>
  </si>
  <si>
    <t>Subtract line 7 from line 5. If zero or less, enter -0-.</t>
  </si>
  <si>
    <t xml:space="preserve"> If more than zero, also enter this amount on Schedule D, line 14</t>
  </si>
  <si>
    <t>any capital loss carryover from the joint return can be deducted only on the return of the spouse who actually had the loss.</t>
  </si>
  <si>
    <t>Subtract line 12 from line 9. If zero or less, enter -0-.</t>
  </si>
  <si>
    <t>&lt;-- Any entries?</t>
  </si>
  <si>
    <t>Look up the amount on line 6 above in the EIC Table to find</t>
  </si>
  <si>
    <t>the credit. Be sure you use the correct column for your filing status</t>
  </si>
  <si>
    <t>and the number of children you have. Enter the credit here.</t>
  </si>
  <si>
    <t xml:space="preserve">  Before you begin:</t>
  </si>
  <si>
    <t>Bad</t>
  </si>
  <si>
    <t>NOTE:</t>
  </si>
  <si>
    <t>More</t>
  </si>
  <si>
    <t>Add lines 1 through 4. Enter here and on Form 8962,</t>
  </si>
  <si>
    <t>line 2b</t>
  </si>
  <si>
    <t>Amount from Line 3 of Form 8962.</t>
  </si>
  <si>
    <t>You</t>
  </si>
  <si>
    <t>Birthdate and age calculator</t>
  </si>
  <si>
    <t xml:space="preserve">  Line 39 ---&gt;</t>
  </si>
  <si>
    <r>
      <t xml:space="preserve">Manual
Overide </t>
    </r>
    <r>
      <rPr>
        <b/>
        <sz val="10"/>
        <rFont val="Wingdings"/>
        <charset val="2"/>
      </rPr>
      <t>ê</t>
    </r>
  </si>
  <si>
    <t xml:space="preserve">Check here if your spouse itemized </t>
  </si>
  <si>
    <t>cannot be</t>
  </si>
  <si>
    <t>at annuity starting date</t>
  </si>
  <si>
    <t xml:space="preserve">  Check here if you completed this worksheet last year.</t>
  </si>
  <si>
    <t>Were annuity payments for your life</t>
  </si>
  <si>
    <r>
      <rPr>
        <u/>
        <sz val="8"/>
        <rFont val="Arial"/>
        <family val="2"/>
      </rPr>
      <t>and</t>
    </r>
    <r>
      <rPr>
        <sz val="8"/>
        <rFont val="Arial"/>
        <family val="2"/>
      </rPr>
      <t xml:space="preserve"> that of your beneficiary?</t>
    </r>
  </si>
  <si>
    <t>Line 16</t>
  </si>
  <si>
    <t>Important Instructions for use of this Worksheet:</t>
  </si>
  <si>
    <t xml:space="preserve">If your Form 1099-R doesn't show the taxable amount, you must use the General Rule explained in Pub. 939 to figure the </t>
  </si>
  <si>
    <r>
      <t>l</t>
    </r>
    <r>
      <rPr>
        <sz val="8"/>
        <rFont val="Arial"/>
        <family val="2"/>
      </rPr>
      <t xml:space="preserve"> </t>
    </r>
  </si>
  <si>
    <t>a lower taxable amount by using the General Rule or the Simplified Method or if the exclusion for retired public safety officers applies.</t>
  </si>
  <si>
    <t>Spouse</t>
  </si>
  <si>
    <t>Manual
Override</t>
  </si>
  <si>
    <t>(There is no IRS worksheet like this.)</t>
  </si>
  <si>
    <r>
      <t xml:space="preserve">Were you covered by a retirement plan (see </t>
    </r>
    <r>
      <rPr>
        <i/>
        <sz val="10"/>
        <rFont val="Arial"/>
        <family val="2"/>
      </rPr>
      <t>Were You Covered by a</t>
    </r>
  </si>
  <si>
    <r>
      <t xml:space="preserve"> Yes. </t>
    </r>
    <r>
      <rPr>
        <sz val="10"/>
        <rFont val="Arial"/>
        <family val="2"/>
      </rPr>
      <t xml:space="preserve">              STOP</t>
    </r>
  </si>
  <si>
    <t>and the type of organization you give it to. A higher limit applies to certain qualified conservation contributions.</t>
  </si>
  <si>
    <t>These limits are described in detail in Publication 526.</t>
  </si>
  <si>
    <t>Underpayment of Estimated Tax
by Individuals, Estates, and Trusts</t>
  </si>
  <si>
    <t>Name(s) shown on tax return</t>
  </si>
  <si>
    <t>Identifying number</t>
  </si>
  <si>
    <t>Do You Have To File Form 2210?</t>
  </si>
  <si>
    <t>Complete lines 8 and 9 below. Is line 6 equal to or more than line 9?</t>
  </si>
  <si>
    <t>You may owe a penalty. Does any box in Part II below apply?</t>
  </si>
  <si>
    <t>You must figure your penalty.</t>
  </si>
  <si>
    <t>Required Annual Payment</t>
  </si>
  <si>
    <r>
      <rPr>
        <b/>
        <sz val="10"/>
        <rFont val="Arial"/>
        <family val="2"/>
      </rPr>
      <t>Don't</t>
    </r>
    <r>
      <rPr>
        <sz val="10"/>
        <rFont val="Arial"/>
        <family val="2"/>
      </rPr>
      <t xml:space="preserve"> file Form 2210</t>
    </r>
  </si>
  <si>
    <r>
      <t xml:space="preserve">Withholding taxes. </t>
    </r>
    <r>
      <rPr>
        <b/>
        <sz val="10"/>
        <rFont val="Arial"/>
        <family val="2"/>
      </rPr>
      <t>Don't</t>
    </r>
    <r>
      <rPr>
        <sz val="10"/>
        <rFont val="Arial"/>
        <family val="2"/>
      </rPr>
      <t xml:space="preserve"> include estimated tax payments (see instructions)</t>
    </r>
  </si>
  <si>
    <t>Maximum required annual payment based on prior year’s tax (see instructions)</t>
  </si>
  <si>
    <r>
      <rPr>
        <b/>
        <sz val="10"/>
        <rFont val="Arial"/>
        <family val="2"/>
      </rPr>
      <t>Next:</t>
    </r>
    <r>
      <rPr>
        <sz val="10"/>
        <rFont val="Arial"/>
        <family val="2"/>
      </rPr>
      <t xml:space="preserve"> Is line 9 more than line 6?</t>
    </r>
  </si>
  <si>
    <r>
      <rPr>
        <b/>
        <sz val="10"/>
        <rFont val="Arial"/>
        <family val="2"/>
      </rPr>
      <t>Yes.</t>
    </r>
    <r>
      <rPr>
        <sz val="10"/>
        <rFont val="Arial"/>
        <family val="2"/>
      </rPr>
      <t xml:space="preserve"> You may owe a penalty, but </t>
    </r>
    <r>
      <rPr>
        <b/>
        <sz val="10"/>
        <rFont val="Arial"/>
        <family val="2"/>
      </rPr>
      <t>don't</t>
    </r>
    <r>
      <rPr>
        <sz val="10"/>
        <rFont val="Arial"/>
        <family val="2"/>
      </rPr>
      <t xml:space="preserve"> file Form 2210 unless one or more boxes in Part II below applies.</t>
    </r>
  </si>
  <si>
    <r>
      <t xml:space="preserve">If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applies, you must figure your penalty and file Form 2210.</t>
    </r>
  </si>
  <si>
    <r>
      <t xml:space="preserve">If box </t>
    </r>
    <r>
      <rPr>
        <b/>
        <sz val="10"/>
        <rFont val="Arial"/>
        <family val="2"/>
      </rPr>
      <t>A</t>
    </r>
    <r>
      <rPr>
        <sz val="10"/>
        <rFont val="Arial"/>
        <family val="2"/>
      </rPr>
      <t xml:space="preserve"> or </t>
    </r>
    <r>
      <rPr>
        <b/>
        <sz val="10"/>
        <rFont val="Arial"/>
        <family val="2"/>
      </rPr>
      <t>E</t>
    </r>
    <r>
      <rPr>
        <sz val="10"/>
        <rFont val="Arial"/>
        <family val="2"/>
      </rPr>
      <t xml:space="preserve"> applies (but not </t>
    </r>
    <r>
      <rPr>
        <b/>
        <sz val="10"/>
        <rFont val="Arial"/>
        <family val="2"/>
      </rPr>
      <t>B</t>
    </r>
    <r>
      <rPr>
        <sz val="10"/>
        <rFont val="Arial"/>
        <family val="2"/>
      </rPr>
      <t>,</t>
    </r>
    <r>
      <rPr>
        <b/>
        <sz val="10"/>
        <rFont val="Arial"/>
        <family val="2"/>
      </rPr>
      <t xml:space="preserve"> C</t>
    </r>
    <r>
      <rPr>
        <sz val="10"/>
        <rFont val="Arial"/>
        <family val="2"/>
      </rPr>
      <t xml:space="preserve">, or </t>
    </r>
    <r>
      <rPr>
        <b/>
        <sz val="10"/>
        <rFont val="Arial"/>
        <family val="2"/>
      </rPr>
      <t>D</t>
    </r>
    <r>
      <rPr>
        <sz val="10"/>
        <rFont val="Arial"/>
        <family val="2"/>
      </rPr>
      <t xml:space="preserve">) file only page 1 of Form 2210. You </t>
    </r>
    <r>
      <rPr>
        <b/>
        <sz val="10"/>
        <rFont val="Arial"/>
        <family val="2"/>
      </rPr>
      <t>aren't</t>
    </r>
    <r>
      <rPr>
        <sz val="10"/>
        <rFont val="Arial"/>
        <family val="2"/>
      </rPr>
      <t xml:space="preserve"> required to figure your penalty; the IRS</t>
    </r>
  </si>
  <si>
    <t xml:space="preserve"> Part II</t>
  </si>
  <si>
    <t xml:space="preserve"> Part I</t>
  </si>
  <si>
    <r>
      <t xml:space="preserve">Your income varied during the year and your penalty is reduced or eliminated when figured using the </t>
    </r>
    <r>
      <rPr>
        <b/>
        <sz val="10"/>
        <rFont val="Arial"/>
        <family val="2"/>
      </rPr>
      <t>annualized income</t>
    </r>
  </si>
  <si>
    <r>
      <rPr>
        <b/>
        <sz val="10"/>
        <rFont val="Arial"/>
        <family val="2"/>
      </rPr>
      <t>installment method</t>
    </r>
    <r>
      <rPr>
        <sz val="10"/>
        <rFont val="Arial"/>
        <family val="2"/>
      </rPr>
      <t>. You must figure the penalty using Schedule Al and file Form 2210.</t>
    </r>
  </si>
  <si>
    <t>Your penalty is lower when figured by treating the federal income tax withheld from your income as paid on the dates it was</t>
  </si>
  <si>
    <t xml:space="preserve">   actually withheld, instead of in equal amounts on the payment due dates. You must figure your penalty and file Form 2210.</t>
  </si>
  <si>
    <r>
      <t xml:space="preserve">above. You must file page 1 of Form 2210, but you </t>
    </r>
    <r>
      <rPr>
        <b/>
        <sz val="10"/>
        <rFont val="Arial"/>
        <family val="2"/>
      </rPr>
      <t>aren't</t>
    </r>
    <r>
      <rPr>
        <sz val="10"/>
        <rFont val="Arial"/>
        <family val="2"/>
      </rPr>
      <t xml:space="preserve"> required to figure your penalty (unless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applies).</t>
    </r>
  </si>
  <si>
    <r>
      <t xml:space="preserve">Form  </t>
    </r>
    <r>
      <rPr>
        <b/>
        <sz val="11"/>
        <rFont val="Arial"/>
        <family val="2"/>
      </rPr>
      <t>2210</t>
    </r>
  </si>
  <si>
    <t>Cat. No. 11744P</t>
  </si>
  <si>
    <t>For Paperwork Reduction Act Notice, see separate instructions.</t>
  </si>
  <si>
    <r>
      <rPr>
        <b/>
        <sz val="10"/>
        <rFont val="Arial"/>
        <family val="2"/>
      </rPr>
      <t>Don't file Form 2210.</t>
    </r>
    <r>
      <rPr>
        <sz val="10"/>
        <rFont val="Arial"/>
        <family val="2"/>
      </rPr>
      <t xml:space="preserve"> You don't owe a penalty.</t>
    </r>
  </si>
  <si>
    <r>
      <t xml:space="preserve">Page </t>
    </r>
    <r>
      <rPr>
        <b/>
        <sz val="11"/>
        <rFont val="Arial"/>
        <family val="2"/>
      </rPr>
      <t>2</t>
    </r>
  </si>
  <si>
    <t xml:space="preserve"> Part III</t>
  </si>
  <si>
    <t>Add lines 11 and 12</t>
  </si>
  <si>
    <t>Payment Due Dates</t>
  </si>
  <si>
    <t>Estimated tax paid and tax withheld (see the</t>
  </si>
  <si>
    <t>column</t>
  </si>
  <si>
    <t>Otherwise, enter -0-</t>
  </si>
  <si>
    <t>the next column</t>
  </si>
  <si>
    <r>
      <t xml:space="preserve">Page </t>
    </r>
    <r>
      <rPr>
        <b/>
        <sz val="11"/>
        <rFont val="Arial"/>
        <family val="2"/>
      </rPr>
      <t>4</t>
    </r>
  </si>
  <si>
    <t>If none apply, don't file Form 2210.</t>
  </si>
  <si>
    <r>
      <rPr>
        <b/>
        <sz val="11"/>
        <rFont val="Arial"/>
        <family val="2"/>
      </rPr>
      <t>Reasons for Filing.</t>
    </r>
    <r>
      <rPr>
        <sz val="11"/>
        <rFont val="Arial"/>
        <family val="2"/>
      </rPr>
      <t xml:space="preserve">   </t>
    </r>
    <r>
      <rPr>
        <sz val="10"/>
        <rFont val="Arial"/>
        <family val="2"/>
      </rPr>
      <t>Check applicable boxes.</t>
    </r>
  </si>
  <si>
    <t>Annualized Income Installments</t>
  </si>
  <si>
    <t>income without your exemption for each period.)</t>
  </si>
  <si>
    <t>Annualized income. Multiply line 1 by line 2</t>
  </si>
  <si>
    <t>If you itemize, enter itemized deductions for the period shown in</t>
  </si>
  <si>
    <t>In each column, enter the full amount of your standard</t>
  </si>
  <si>
    <t xml:space="preserve">.   .   . </t>
  </si>
  <si>
    <t>Enter other taxes for each payment period</t>
  </si>
  <si>
    <t>and/or Net Investment Income Tax (see instructions)</t>
  </si>
  <si>
    <t>For each period, enter the same type of credits as allowed</t>
  </si>
  <si>
    <t>on Form 2210, Part I, lines 1 and 3 (see instructions)</t>
  </si>
  <si>
    <t>Applicable percentage</t>
  </si>
  <si>
    <t>Subtract line 20 from line 19. If zero or less, enter -0-</t>
  </si>
  <si>
    <t>of that column</t>
  </si>
  <si>
    <t>Annualized Self-Employment Tax</t>
  </si>
  <si>
    <t>Net earnings from self-employment for the period</t>
  </si>
  <si>
    <t>(see instructions)</t>
  </si>
  <si>
    <t>Prorated social security tax limit</t>
  </si>
  <si>
    <t>Enter actual wages for the period subject to social security tax or</t>
  </si>
  <si>
    <t>the 6.2% portion of the 7.65% railroad retirement (tier 1) tax.</t>
  </si>
  <si>
    <t>Annualization amounts</t>
  </si>
  <si>
    <t xml:space="preserve">Subtract line 6 from line 4. </t>
  </si>
  <si>
    <t>Current year tax. Combine lines 1, 2, and 3.</t>
  </si>
  <si>
    <t>Uncollected social security and Medicare tax or RRTA tax on tips or group-term life insurance (identified as “UT”),</t>
  </si>
  <si>
    <t>Tax on excess golden parachute payments (identified as “EPP”),</t>
  </si>
  <si>
    <t>Excise tax on insider stock compensation from an expatriated corporation (identified as “ISC”),</t>
  </si>
  <si>
    <t>Recapture of federal mortgage subsidy (identified as “FMSR”).</t>
  </si>
  <si>
    <t>*If you are a household employer, include your household employment taxes on line 2 only if you had federal income tax withheld from your income and would be required to make estimated tax payments even if the household employment taxes weren't included</t>
  </si>
  <si>
    <t>Earned income credit.</t>
  </si>
  <si>
    <t>Additional child tax credit.</t>
  </si>
  <si>
    <t>Refundable part of the American opportunity credit (Form 8863, line 8).</t>
  </si>
  <si>
    <t>Credit for federal tax paid on fuels.</t>
  </si>
  <si>
    <t>Health coverage tax credit.</t>
  </si>
  <si>
    <t>Premium tax credit (Form 8962).</t>
  </si>
  <si>
    <t>Credit determined under section 1341(a)(5)(B).</t>
  </si>
  <si>
    <r>
      <rPr>
        <b/>
        <sz val="10"/>
        <rFont val="Arial"/>
        <family val="2"/>
      </rPr>
      <t>No.</t>
    </r>
    <r>
      <rPr>
        <sz val="10"/>
        <rFont val="Arial"/>
        <family val="2"/>
      </rPr>
      <t xml:space="preserve">    You </t>
    </r>
    <r>
      <rPr>
        <b/>
        <sz val="10"/>
        <rFont val="Arial"/>
        <family val="2"/>
      </rPr>
      <t>don't</t>
    </r>
    <r>
      <rPr>
        <sz val="10"/>
        <rFont val="Arial"/>
        <family val="2"/>
      </rPr>
      <t xml:space="preserve"> owe a penalty. </t>
    </r>
    <r>
      <rPr>
        <b/>
        <sz val="10"/>
        <rFont val="Arial"/>
        <family val="2"/>
      </rPr>
      <t/>
    </r>
  </si>
  <si>
    <t>Form 2210.</t>
  </si>
  <si>
    <r>
      <t xml:space="preserve">You request a </t>
    </r>
    <r>
      <rPr>
        <b/>
        <sz val="10"/>
        <rFont val="Arial"/>
        <family val="2"/>
      </rPr>
      <t>waiver</t>
    </r>
    <r>
      <rPr>
        <sz val="10"/>
        <rFont val="Arial"/>
        <family val="2"/>
      </rPr>
      <t xml:space="preserve"> (see instructions) of part of your penalty. You must figure your penalty and waiver amount and file</t>
    </r>
  </si>
  <si>
    <t xml:space="preserve">(c) </t>
  </si>
  <si>
    <t>same manner. If multiple estimated tax payments are applied to the underpayment amount in a column of line 1a,</t>
  </si>
  <si>
    <t xml:space="preserve">Complete Rate Period 1 of each column before going to the next column; then go to Rate Periods 2, 3, and 4 in the </t>
  </si>
  <si>
    <t>1.b</t>
  </si>
  <si>
    <t xml:space="preserve">1a  </t>
  </si>
  <si>
    <r>
      <t xml:space="preserve">Date and amount of each payment applied to the underpayment 
in the same column. Don't enter more than the underpayment amount on line 1a for each column (see instructions). 
</t>
    </r>
    <r>
      <rPr>
        <b/>
        <sz val="9"/>
        <rFont val="Arial"/>
        <family val="2"/>
      </rPr>
      <t>Note:</t>
    </r>
    <r>
      <rPr>
        <sz val="9"/>
        <rFont val="Arial"/>
        <family val="2"/>
      </rPr>
      <t xml:space="preserve"> Your payments are applied in the order made first to any underpayment balance in an earlier column until that 
underpayment is fully paid.</t>
    </r>
  </si>
  <si>
    <t>Computation starting dates for this period</t>
  </si>
  <si>
    <t>Underpayment</t>
  </si>
  <si>
    <t>on line 3</t>
  </si>
  <si>
    <t>on line 1a</t>
  </si>
  <si>
    <t>Rate Period 1:</t>
  </si>
  <si>
    <t>Rate Period 2:</t>
  </si>
  <si>
    <t>Rate Period 3:</t>
  </si>
  <si>
    <t>Rate Period 4:</t>
  </si>
  <si>
    <t>Download Form 2210 Instructions</t>
  </si>
  <si>
    <t>Download Form 2210</t>
  </si>
  <si>
    <t>Payer #8</t>
  </si>
  <si>
    <t>Payer #9</t>
  </si>
  <si>
    <t xml:space="preserve"> .   .   .   .   .   .   .   . </t>
  </si>
  <si>
    <t xml:space="preserve"> line 8 above is smaller than line 5        </t>
  </si>
  <si>
    <t>DATE</t>
  </si>
  <si>
    <r>
      <t xml:space="preserve">on line 1a was paid   </t>
    </r>
    <r>
      <rPr>
        <b/>
        <sz val="9"/>
        <rFont val="Arial"/>
        <family val="2"/>
      </rPr>
      <t>or</t>
    </r>
  </si>
  <si>
    <t>PYMNT</t>
  </si>
  <si>
    <t>TOTAL</t>
  </si>
  <si>
    <t>AMT.</t>
  </si>
  <si>
    <t>Look-back interest due under section 167(g) (identified as
 “8866”), and under section 460(b) (identified as “8697”),</t>
  </si>
  <si>
    <t>Overrides</t>
  </si>
  <si>
    <t>Head of Household</t>
  </si>
  <si>
    <t>Married Filing Separately</t>
  </si>
  <si>
    <t>Qualifying Widow(er)</t>
  </si>
  <si>
    <r>
      <t xml:space="preserve">Overrides   </t>
    </r>
    <r>
      <rPr>
        <b/>
        <sz val="9"/>
        <rFont val="Symbol"/>
        <family val="1"/>
        <charset val="2"/>
      </rPr>
      <t>®</t>
    </r>
  </si>
  <si>
    <t>PYMT</t>
  </si>
  <si>
    <t>UNDER</t>
  </si>
  <si>
    <t xml:space="preserve">Generally, married persons must file a joint return to claim the credit. </t>
  </si>
  <si>
    <t xml:space="preserve">If your filing status is married filing separately and all of the following apply, </t>
  </si>
  <si>
    <t>you are considered unmarried for purposes of claiming the credit on Form 2441.</t>
  </si>
  <si>
    <t>and below as to</t>
  </si>
  <si>
    <t xml:space="preserve">whether or not you </t>
  </si>
  <si>
    <t>Interest income</t>
  </si>
  <si>
    <t>Early withdrawal penalty</t>
  </si>
  <si>
    <t>Interest on U.S. Savings Bonds &amp; Treas. Obligations</t>
  </si>
  <si>
    <t>Investment expenses</t>
  </si>
  <si>
    <t>Foreign tax paid</t>
  </si>
  <si>
    <t>Foreign country or U.S. possession</t>
  </si>
  <si>
    <t>Tax-exempt interest</t>
  </si>
  <si>
    <t>Specified private activity bond interest</t>
  </si>
  <si>
    <t>Market discount</t>
  </si>
  <si>
    <t>Bond premium</t>
  </si>
  <si>
    <t>Bond premium on Treasury obligations</t>
  </si>
  <si>
    <t>Bond premium on tax–exempt bond</t>
  </si>
  <si>
    <t>Tax-exempt and tax credit bond CUSIP no.</t>
  </si>
  <si>
    <t>State</t>
  </si>
  <si>
    <t>State identification no.</t>
  </si>
  <si>
    <t>PAYER's Federal ID number</t>
  </si>
  <si>
    <t>PAYER's name</t>
  </si>
  <si>
    <t>Payer #10</t>
  </si>
  <si>
    <t>Total ordinary dividends</t>
  </si>
  <si>
    <t>2c</t>
  </si>
  <si>
    <t>2d</t>
  </si>
  <si>
    <t>Total capital gain distr.</t>
  </si>
  <si>
    <t>Unrecap. Sec. 1250 gain</t>
  </si>
  <si>
    <t>Section 1202 gain</t>
  </si>
  <si>
    <t>Collectibles (28%) gain</t>
  </si>
  <si>
    <t>Nondividend distributions</t>
  </si>
  <si>
    <t>Cash liquidation distributions</t>
  </si>
  <si>
    <t>Noncash liquidation distributions</t>
  </si>
  <si>
    <t>Exempt-interest dividends</t>
  </si>
  <si>
    <t>Specified private activity bond interest dividends</t>
  </si>
  <si>
    <t>Section A</t>
  </si>
  <si>
    <t xml:space="preserve">You </t>
  </si>
  <si>
    <t>Line 20</t>
  </si>
  <si>
    <t>Married Persons Filing Separately  (See Form 2441 instructions.)</t>
  </si>
  <si>
    <r>
      <t xml:space="preserve">If you meet all the requirements to be treated as unmarried </t>
    </r>
    <r>
      <rPr>
        <u/>
        <sz val="10"/>
        <rFont val="Arial"/>
        <family val="2"/>
      </rPr>
      <t>and</t>
    </r>
    <r>
      <rPr>
        <sz val="10"/>
        <rFont val="Arial"/>
        <family val="2"/>
      </rPr>
      <t xml:space="preserve"> meet items 2</t>
    </r>
  </si>
  <si>
    <t>don't meet all the requirements to be treated as unmarried, you can't take the credit.</t>
  </si>
  <si>
    <t>through 5 listed in the instructions, you can take the credit or the exclusion. If you</t>
  </si>
  <si>
    <t>See instructions for Form 2441.</t>
  </si>
  <si>
    <t>Health Savings Accounts (HSAs)</t>
  </si>
  <si>
    <t xml:space="preserve"> and both you and your spouse each have separate HSAs, complete a separate Part I for each spouse.</t>
  </si>
  <si>
    <t xml:space="preserve"> Self-only</t>
  </si>
  <si>
    <t xml:space="preserve"> Family</t>
  </si>
  <si>
    <t>contributions, contributions through a cafeteria plan, or rollovers (see instructions)</t>
  </si>
  <si>
    <t>Enter the amount from line 5. But if you and your spouse each have separate HSAs and had</t>
  </si>
  <si>
    <t>enter</t>
  </si>
  <si>
    <t>Add lines 6 and 7</t>
  </si>
  <si>
    <t>Qualified HSA funding distributions</t>
  </si>
  <si>
    <t>Add lines 9 and 10</t>
  </si>
  <si>
    <t>Subtract line 11 from line 8. If zero or less, enter -0-</t>
  </si>
  <si>
    <t xml:space="preserve"> .   .   .   .   .   .   .   .   .   .   .   .   .   .   .   .   .   .   .   . </t>
  </si>
  <si>
    <t xml:space="preserve"> a separate Part II for each spouse.</t>
  </si>
  <si>
    <r>
      <t xml:space="preserve"> </t>
    </r>
    <r>
      <rPr>
        <b/>
        <sz val="10"/>
        <rFont val="Arial"/>
        <family val="2"/>
      </rPr>
      <t>HSA Distributions.</t>
    </r>
    <r>
      <rPr>
        <sz val="10"/>
        <rFont val="Arial"/>
        <family val="2"/>
      </rPr>
      <t xml:space="preserve"> If you are filing jointly and both you and your spouse each have separate HSAs, complete</t>
    </r>
  </si>
  <si>
    <r>
      <t xml:space="preserve"> </t>
    </r>
    <r>
      <rPr>
        <b/>
        <sz val="10"/>
        <rFont val="Arial"/>
        <family val="2"/>
      </rPr>
      <t>HSA Contributions and Deduction.</t>
    </r>
    <r>
      <rPr>
        <sz val="10"/>
        <rFont val="Arial"/>
        <family val="2"/>
      </rPr>
      <t xml:space="preserve"> See the instructions before completing this part. If you are filing jointly</t>
    </r>
  </si>
  <si>
    <t>14a</t>
  </si>
  <si>
    <t>14b</t>
  </si>
  <si>
    <t>Distributions included on line 14a that you rolled over to another HSA. Also include any excess</t>
  </si>
  <si>
    <t>contributions (and the earnings on those excess contributions) included on line 14a that were</t>
  </si>
  <si>
    <t>withdrawn by the due date of your return (see instructions)</t>
  </si>
  <si>
    <t>14c</t>
  </si>
  <si>
    <t>Subtract line 14b from line 14a</t>
  </si>
  <si>
    <t>Qualified medical expenses paid using HSA distributions (see instructions)</t>
  </si>
  <si>
    <t>17a</t>
  </si>
  <si>
    <t>17b</t>
  </si>
  <si>
    <t>Cat. No. 37621P</t>
  </si>
  <si>
    <r>
      <t>Form</t>
    </r>
    <r>
      <rPr>
        <sz val="10"/>
        <rFont val="Arial"/>
        <family val="2"/>
      </rPr>
      <t xml:space="preserve"> </t>
    </r>
    <r>
      <rPr>
        <b/>
        <sz val="10"/>
        <rFont val="Arial"/>
        <family val="2"/>
      </rPr>
      <t>8889</t>
    </r>
  </si>
  <si>
    <r>
      <rPr>
        <b/>
        <sz val="10"/>
        <rFont val="Arial"/>
        <family val="2"/>
      </rPr>
      <t xml:space="preserve"> Income and Additional Tax for Failure To Maintain HDHP Coverage</t>
    </r>
    <r>
      <rPr>
        <sz val="10"/>
        <rFont val="Arial"/>
        <family val="2"/>
      </rPr>
      <t>. See the instructions before</t>
    </r>
  </si>
  <si>
    <t xml:space="preserve"> completing this part. If you are filing jointly and both you and your spouse each have separate HSAs,</t>
  </si>
  <si>
    <t xml:space="preserve"> complete a separate Part III for each spouse.</t>
  </si>
  <si>
    <t>Last month rule</t>
  </si>
  <si>
    <t>Qualified HSA funding distribution</t>
  </si>
  <si>
    <t>Download Form 8889</t>
  </si>
  <si>
    <t>Download Form 8889 Instructions</t>
  </si>
  <si>
    <r>
      <rPr>
        <b/>
        <sz val="9"/>
        <rFont val="Arial"/>
        <family val="2"/>
      </rPr>
      <t>Do not</t>
    </r>
    <r>
      <rPr>
        <sz val="9"/>
        <rFont val="Arial"/>
        <family val="2"/>
      </rPr>
      <t xml:space="preserve"> include employer</t>
    </r>
  </si>
  <si>
    <t xml:space="preserve">every </t>
  </si>
  <si>
    <t xml:space="preserve"> .   .   .   .   .   .   .   .   .   .   .   .   .   .   .   .   .   .   .   .   .   .   .   .   .   . </t>
  </si>
  <si>
    <t>(see instructions), check here</t>
  </si>
  <si>
    <t xml:space="preserve">.   .   .   .   .   .   .   .   .   .   .  </t>
  </si>
  <si>
    <t>Line 13</t>
  </si>
  <si>
    <t>Line 17b</t>
  </si>
  <si>
    <t>F1040 Line 25</t>
  </si>
  <si>
    <t>F1040 Line 21</t>
  </si>
  <si>
    <t>Used at:</t>
  </si>
  <si>
    <t>But Not</t>
  </si>
  <si>
    <t>But Not Over</t>
  </si>
  <si>
    <t>Sch. B, Line 1</t>
  </si>
  <si>
    <t>Sch. D, Line 13</t>
  </si>
  <si>
    <t>Sch. D. WS, 28% Rate Gain WS, Line 4</t>
  </si>
  <si>
    <t>Excess Soc. Sec. Tax Withheld</t>
  </si>
  <si>
    <t>Excel1040 -- Income Tax Spreadsheet</t>
  </si>
  <si>
    <t>Instructions for Use</t>
  </si>
  <si>
    <t>IMPORTANT NOTES:</t>
  </si>
  <si>
    <t>The purpose of this spreadsheet is to help U.S. taxpayers calculate their own federal income tax returns.</t>
  </si>
  <si>
    <t>This spreadsheet is designed for taxpayers who are capable of preparing their own federal income tax returns.</t>
  </si>
  <si>
    <t>Users of this spreadsheet must know what information needs to be entered and where to enter it.</t>
  </si>
  <si>
    <t>Users of this spreadsheet must also be sufficiently familiar with the IRS forms and instructions that apply to</t>
  </si>
  <si>
    <t>with IRS forms and instructions.</t>
  </si>
  <si>
    <t>The user must assume full responsibility as to the correctness and appropriateness of any and all amounts</t>
  </si>
  <si>
    <t>It is vitally important that all spreadsheet users promptly report any error(s) they find so that the spreadsheet</t>
  </si>
  <si>
    <t>GENERAL NOTES:</t>
  </si>
  <si>
    <t>Unprotected data entry cells have a light blue fill color.</t>
  </si>
  <si>
    <t>Cells containing calculated amounts are usually protected and have a darker blue fill color.</t>
  </si>
  <si>
    <t>INSTRUCTIONS:</t>
  </si>
  <si>
    <t>Form and worksheet areas are protected.  However, users are able to adjust printing properties.</t>
  </si>
  <si>
    <t>protected.)</t>
  </si>
  <si>
    <t>Begin a careful, line-by-line, review of the sheet labeled '1040'.  If additional information is needed for a</t>
  </si>
  <si>
    <t>information needs to be entered.</t>
  </si>
  <si>
    <t>Otherwise, cell properties could be inadvertently changed.  (e.g. A normally unprotected cell could become</t>
  </si>
  <si>
    <r>
      <t>"</t>
    </r>
    <r>
      <rPr>
        <i/>
        <sz val="10"/>
        <rFont val="Arial"/>
        <family val="2"/>
      </rPr>
      <t>Manual override</t>
    </r>
    <r>
      <rPr>
        <sz val="10"/>
        <rFont val="Arial"/>
        <family val="2"/>
      </rPr>
      <t>" cells are available for many calculated cells.   The use of override cells is discouraged</t>
    </r>
  </si>
  <si>
    <t>because manual overrides can defeat the spreadsheet's automatic updating feature.  If you are having</t>
  </si>
  <si>
    <t>to use a manual override because of a spreadsheet error, be sure to report the error as soon as possible.</t>
  </si>
  <si>
    <t xml:space="preserve">To check a checkbox, simply type an 'X' (any character will work) in the box and press &lt;Enter&gt;. </t>
  </si>
  <si>
    <t>entered and results produced.  Be sure to use current copies of actual IRS forms and instructions when</t>
  </si>
  <si>
    <t>Recommend printing your return and reviewing the printed copy against actual IRS forms and instructions.</t>
  </si>
  <si>
    <t>Transfer results to an electronic filing service or hard copies of the forms.</t>
  </si>
  <si>
    <r>
      <t xml:space="preserve">Go to </t>
    </r>
    <r>
      <rPr>
        <b/>
        <i/>
        <sz val="8"/>
        <rFont val="Arial"/>
        <family val="2"/>
      </rPr>
      <t>www.irs.gov/ScheduleSE</t>
    </r>
    <r>
      <rPr>
        <b/>
        <sz val="8"/>
        <rFont val="Arial"/>
        <family val="2"/>
      </rPr>
      <t xml:space="preserve"> for instructions and the latest information.</t>
    </r>
  </si>
  <si>
    <r>
      <t>gross nonfarm income</t>
    </r>
    <r>
      <rPr>
        <vertAlign val="superscript"/>
        <sz val="10"/>
        <rFont val="Arial"/>
        <family val="2"/>
      </rPr>
      <t>4</t>
    </r>
    <r>
      <rPr>
        <sz val="10"/>
        <rFont val="Arial"/>
        <family val="2"/>
      </rPr>
      <t xml:space="preserve"> </t>
    </r>
    <r>
      <rPr>
        <b/>
        <sz val="10"/>
        <rFont val="Arial"/>
        <family val="2"/>
      </rPr>
      <t>and (b)</t>
    </r>
    <r>
      <rPr>
        <sz val="10"/>
        <rFont val="Arial"/>
        <family val="2"/>
      </rPr>
      <t xml:space="preserve"> you had net earnings from self-</t>
    </r>
  </si>
  <si>
    <r>
      <rPr>
        <b/>
        <sz val="10"/>
        <rFont val="Arial"/>
        <family val="2"/>
      </rPr>
      <t>Caution:</t>
    </r>
    <r>
      <rPr>
        <sz val="10"/>
        <rFont val="Arial"/>
        <family val="2"/>
      </rPr>
      <t xml:space="preserve"> </t>
    </r>
    <r>
      <rPr>
        <sz val="9"/>
        <rFont val="Arial"/>
        <family val="2"/>
      </rPr>
      <t>You may use this method no more than five times.</t>
    </r>
  </si>
  <si>
    <t>AJ through AP</t>
  </si>
  <si>
    <t>See columns</t>
  </si>
  <si>
    <t>(See instructions.)</t>
  </si>
  <si>
    <t>foreign trust?  If "Yes," you may have to file Form 3520.  See instructions</t>
  </si>
  <si>
    <t>buyer used the property as a personal residence, see instructions and list this</t>
  </si>
  <si>
    <t>interest first. Also, show that buyer’s social security number and address</t>
  </si>
  <si>
    <t>and the</t>
  </si>
  <si>
    <t xml:space="preserve">.   .   .   .   .   .   .  </t>
  </si>
  <si>
    <r>
      <t>Gross income.</t>
    </r>
    <r>
      <rPr>
        <sz val="9"/>
        <rFont val="Arial"/>
        <family val="2"/>
      </rPr>
      <t xml:space="preserve">  Add lines 5 and 6</t>
    </r>
  </si>
  <si>
    <r>
      <rPr>
        <b/>
        <sz val="7"/>
        <rFont val="Arial"/>
        <family val="2"/>
      </rPr>
      <t>(d)</t>
    </r>
    <r>
      <rPr>
        <sz val="7"/>
        <rFont val="Arial"/>
        <family val="2"/>
      </rPr>
      <t xml:space="preserve"> 
Proceeds 
(sales price)</t>
    </r>
  </si>
  <si>
    <t>instructions), enter the amount, if any, from line 18 of that worksheet</t>
  </si>
  <si>
    <t xml:space="preserve">validating the spreadsheet's results. IRS forms and instructions: </t>
  </si>
  <si>
    <t>https://www.irs.gov/downloads/irs-pdf</t>
  </si>
  <si>
    <t>incometaxspreadsheet@gmail.com</t>
  </si>
  <si>
    <t>can be corrected.</t>
  </si>
  <si>
    <t xml:space="preserve">Report errors to: </t>
  </si>
  <si>
    <r>
      <t xml:space="preserve">  Only </t>
    </r>
    <r>
      <rPr>
        <b/>
        <sz val="10"/>
        <color rgb="FFFF0000"/>
        <rFont val="Arial"/>
        <family val="2"/>
      </rPr>
      <t>bolded</t>
    </r>
    <r>
      <rPr>
        <sz val="10"/>
        <color rgb="FFFF0000"/>
        <rFont val="Arial"/>
        <family val="2"/>
      </rPr>
      <t xml:space="preserve"> amounts are used in this spreadsheet.</t>
    </r>
  </si>
  <si>
    <t>Information from Form 1099-INT, Interest Income</t>
  </si>
  <si>
    <t>Information from Form 1099-DIV, Dividends and Distributions</t>
  </si>
  <si>
    <t>Information from Form W-2, Wage and Tax Statement</t>
  </si>
  <si>
    <t>Information from Form 1099-R, Distributions From Pensions, Annuities, Retirement or Profit-Sharing  Plans, IRAs, Insurance Contracts, etc.</t>
  </si>
  <si>
    <t>Rate</t>
  </si>
  <si>
    <t>10% of Taxable Income</t>
  </si>
  <si>
    <t>10% of taxable income</t>
  </si>
  <si>
    <t>Base amount</t>
  </si>
  <si>
    <t>Bottom of bracket</t>
  </si>
  <si>
    <t>RATE</t>
  </si>
  <si>
    <t>BASE</t>
  </si>
  <si>
    <t>BOTT</t>
  </si>
  <si>
    <t>HOH</t>
  </si>
  <si>
    <t>OFFICIAL TAX RATES</t>
  </si>
  <si>
    <t>Tax Bracket</t>
  </si>
  <si>
    <t>If your Form 1099-R doesn't show the taxable amount, you must use</t>
  </si>
  <si>
    <t>the General Rule explained in Pub. 939 to figure the taxable part to enter on</t>
  </si>
  <si>
    <t>if you must use that method to figure the taxable part.  You can ask the IRS to figure the taxable for a $1,000 fee.</t>
  </si>
  <si>
    <t>Head-of-H</t>
  </si>
  <si>
    <t>Although some error checking is included, this spreadsheet will not prevent you from making mistakes.</t>
  </si>
  <si>
    <r>
      <t xml:space="preserve">The spreadsheet </t>
    </r>
    <r>
      <rPr>
        <u/>
        <sz val="10"/>
        <rFont val="Arial"/>
        <family val="2"/>
      </rPr>
      <t>attempts</t>
    </r>
    <r>
      <rPr>
        <sz val="10"/>
        <rFont val="Arial"/>
        <family val="2"/>
      </rPr>
      <t xml:space="preserve"> to perform the mechanics of tax preparation (i.e. 'do the math') in accordance</t>
    </r>
  </si>
  <si>
    <t xml:space="preserve">their tax return in order to detect and correct any and all user and spreadsheet errors that might occur. </t>
  </si>
  <si>
    <t>(Interest income information will automatically appear on Schedule B, Line 1.)</t>
  </si>
  <si>
    <t>(Dividend income information will automatically appear on Schedule B, Line 5.)</t>
  </si>
  <si>
    <t>Go to www.irs.gov/ScheduleF for instructions and the latest information.</t>
  </si>
  <si>
    <t xml:space="preserve">.   .   .   .   .   .   </t>
  </si>
  <si>
    <t xml:space="preserve"> .   .   .   .   .   .   .   .   .   .   .   .   .   .   .   .   .   .   .   .   .   .   .   </t>
  </si>
  <si>
    <t xml:space="preserve">.   .   .   .   .   .   .   .   .   .   .   .   .   .   .   .   .   .   .   .   .   .   .   .   .   .   .   .   .   .   .   </t>
  </si>
  <si>
    <t>Do not include personal or living expenses. See instructions.</t>
  </si>
  <si>
    <t xml:space="preserve">.   .   .   .   .   .   .   .   .   .   .   .   .   .   .   .   .   .   .   .   .   .   .   .   .   </t>
  </si>
  <si>
    <r>
      <t>Who Must File -</t>
    </r>
    <r>
      <rPr>
        <sz val="10"/>
        <rFont val="Arial"/>
        <family val="2"/>
      </rPr>
      <t xml:space="preserve"> You must file Form 8959 if one or more of the following applies to you:</t>
    </r>
  </si>
  <si>
    <t>Railroad retire (RRTA) compensation</t>
  </si>
  <si>
    <t>RRTA medicare tax withheld (see Form CT-2)</t>
  </si>
  <si>
    <r>
      <t>4</t>
    </r>
    <r>
      <rPr>
        <b/>
        <sz val="9"/>
        <rFont val="Arial"/>
        <family val="2"/>
      </rPr>
      <t xml:space="preserve">  Attach to your tax return.</t>
    </r>
  </si>
  <si>
    <r>
      <rPr>
        <b/>
        <sz val="8"/>
        <rFont val="Marlett"/>
        <charset val="2"/>
      </rPr>
      <t>4</t>
    </r>
    <r>
      <rPr>
        <b/>
        <sz val="8"/>
        <rFont val="Arial"/>
        <family val="2"/>
      </rPr>
      <t xml:space="preserve">  Go to www.irs.gov/Form8960 for instructions and the latest information.</t>
    </r>
  </si>
  <si>
    <t xml:space="preserve">  OMB No. 1545-2227</t>
  </si>
  <si>
    <t>State, local, and foreign income tax (see instructions)</t>
  </si>
  <si>
    <t>Go to www.irs.gov/Form2210 for instructions and the latest information.</t>
  </si>
  <si>
    <r>
      <rPr>
        <b/>
        <sz val="10"/>
        <rFont val="Arial"/>
        <family val="2"/>
      </rPr>
      <t>stop</t>
    </r>
    <r>
      <rPr>
        <sz val="10"/>
        <rFont val="Arial"/>
        <family val="2"/>
      </rPr>
      <t>; you don't owe a penalty.</t>
    </r>
  </si>
  <si>
    <t xml:space="preserve">.   .   .   .   .   .   .   .   .   .   .   .   .   .   .   .   .   .   .   .  </t>
  </si>
  <si>
    <t xml:space="preserve">(2) </t>
  </si>
  <si>
    <t xml:space="preserve">(1) </t>
  </si>
  <si>
    <r>
      <t xml:space="preserve">box </t>
    </r>
    <r>
      <rPr>
        <b/>
        <sz val="10"/>
        <rFont val="Arial"/>
        <family val="2"/>
      </rPr>
      <t>E</t>
    </r>
    <r>
      <rPr>
        <sz val="10"/>
        <rFont val="Arial"/>
        <family val="2"/>
      </rPr>
      <t xml:space="preserve"> below applies.</t>
    </r>
  </si>
  <si>
    <r>
      <t xml:space="preserve">line 9. However, see </t>
    </r>
    <r>
      <rPr>
        <i/>
        <sz val="10"/>
        <rFont val="Arial"/>
        <family val="2"/>
      </rPr>
      <t>Exceptions to the Penalty</t>
    </r>
    <r>
      <rPr>
        <sz val="10"/>
        <rFont val="Arial"/>
        <family val="2"/>
      </rPr>
      <t>, earlier.</t>
    </r>
  </si>
  <si>
    <t>Qualified small business stock, see instructions</t>
  </si>
  <si>
    <t>Notes</t>
  </si>
  <si>
    <t xml:space="preserve">However, these formula are NOT PROTECTED. </t>
  </si>
  <si>
    <t xml:space="preserve"> latest information.</t>
  </si>
  <si>
    <r>
      <t>4</t>
    </r>
    <r>
      <rPr>
        <b/>
        <sz val="9"/>
        <rFont val="Arial"/>
        <family val="2"/>
      </rPr>
      <t xml:space="preserve">  Go to </t>
    </r>
    <r>
      <rPr>
        <b/>
        <i/>
        <sz val="9"/>
        <rFont val="Arial"/>
        <family val="2"/>
      </rPr>
      <t>www.irs.gov/Form2441</t>
    </r>
    <r>
      <rPr>
        <b/>
        <sz val="9"/>
        <rFont val="Arial"/>
        <family val="2"/>
      </rPr>
      <t xml:space="preserve"> for instructions and the</t>
    </r>
  </si>
  <si>
    <t>Don't</t>
  </si>
  <si>
    <t>Indicate at the top</t>
  </si>
  <si>
    <t>and to the right</t>
  </si>
  <si>
    <r>
      <rPr>
        <b/>
        <sz val="8"/>
        <rFont val="Marlett"/>
        <charset val="2"/>
      </rPr>
      <t>4</t>
    </r>
    <r>
      <rPr>
        <b/>
        <sz val="8"/>
        <rFont val="Arial"/>
        <family val="2"/>
      </rPr>
      <t xml:space="preserve"> Go to </t>
    </r>
    <r>
      <rPr>
        <b/>
        <i/>
        <sz val="8"/>
        <rFont val="Arial"/>
        <family val="2"/>
      </rPr>
      <t>www.irs.gov/Form8889</t>
    </r>
    <r>
      <rPr>
        <b/>
        <sz val="8"/>
        <rFont val="Arial"/>
        <family val="2"/>
      </rPr>
      <t xml:space="preserve"> for instructions and the latest information.</t>
    </r>
  </si>
  <si>
    <t>N</t>
  </si>
  <si>
    <t>Eligible on 1st of Month? (Y/N)</t>
  </si>
  <si>
    <t>Enrolled in Medicare? (Y/N)</t>
  </si>
  <si>
    <t>Self</t>
  </si>
  <si>
    <t>Age</t>
  </si>
  <si>
    <t>&lt;55</t>
  </si>
  <si>
    <t>&gt;=55</t>
  </si>
  <si>
    <t>Total for all months</t>
  </si>
  <si>
    <t>Line 3 Limitation Chart and Worksheet</t>
  </si>
  <si>
    <r>
      <rPr>
        <b/>
        <sz val="8"/>
        <rFont val="Arial"/>
        <family val="2"/>
      </rPr>
      <t>Limitation.</t>
    </r>
    <r>
      <rPr>
        <sz val="8"/>
        <rFont val="Arial"/>
        <family val="2"/>
      </rPr>
      <t xml:space="preserve"> Divide the total by 12.</t>
    </r>
  </si>
  <si>
    <t>Y</t>
  </si>
  <si>
    <r>
      <t xml:space="preserve">Go to </t>
    </r>
    <r>
      <rPr>
        <b/>
        <i/>
        <sz val="8"/>
        <rFont val="Arial"/>
        <family val="2"/>
      </rPr>
      <t>www.irs.gov/Form8949</t>
    </r>
    <r>
      <rPr>
        <b/>
        <sz val="8"/>
        <rFont val="Arial"/>
        <family val="2"/>
      </rPr>
      <t xml:space="preserve"> for instructions and the latest information.</t>
    </r>
  </si>
  <si>
    <t>1  year  or  less</t>
  </si>
  <si>
    <r>
      <t xml:space="preserve">Short-Term. </t>
    </r>
    <r>
      <rPr>
        <sz val="11"/>
        <rFont val="Arial"/>
        <family val="2"/>
      </rPr>
      <t xml:space="preserve">Transactions involving capital assets you  held </t>
    </r>
  </si>
  <si>
    <r>
      <rPr>
        <b/>
        <sz val="11"/>
        <rFont val="Arial"/>
        <family val="2"/>
      </rPr>
      <t>Note.</t>
    </r>
    <r>
      <rPr>
        <sz val="11"/>
        <rFont val="Arial"/>
        <family val="2"/>
      </rPr>
      <t xml:space="preserve"> You may aggregate all short-term transactions reported on Form(s) 1099-B showing basis was</t>
    </r>
  </si>
  <si>
    <t>more  than  1  year</t>
  </si>
  <si>
    <r>
      <t>Long-Term.</t>
    </r>
    <r>
      <rPr>
        <sz val="11"/>
        <rFont val="Arial"/>
        <family val="2"/>
      </rPr>
      <t xml:space="preserve"> Transactions involving capital assets  you  held </t>
    </r>
  </si>
  <si>
    <r>
      <rPr>
        <b/>
        <sz val="11"/>
        <rFont val="Arial"/>
        <family val="2"/>
      </rPr>
      <t>Note.</t>
    </r>
    <r>
      <rPr>
        <sz val="11"/>
        <rFont val="Arial"/>
        <family val="2"/>
      </rPr>
      <t xml:space="preserve"> You may aggregate all long-term transactions reported on Form(s) 1099-B showing basis was reported</t>
    </r>
  </si>
  <si>
    <r>
      <rPr>
        <b/>
        <sz val="9"/>
        <rFont val="Arial"/>
        <family val="2"/>
      </rPr>
      <t>Totals.</t>
    </r>
    <r>
      <rPr>
        <sz val="9"/>
        <rFont val="Arial"/>
        <family val="2"/>
      </rPr>
      <t xml:space="preserve"> Add the amounts in columns (d),(e),(g), and (h) (subtract 
negative amounts). Enter each total here and include on your 
Schedule D, </t>
    </r>
    <r>
      <rPr>
        <b/>
        <sz val="9"/>
        <rFont val="Arial"/>
        <family val="2"/>
      </rPr>
      <t>line 1b</t>
    </r>
    <r>
      <rPr>
        <sz val="9"/>
        <rFont val="Arial"/>
        <family val="2"/>
      </rPr>
      <t xml:space="preserve"> (if </t>
    </r>
    <r>
      <rPr>
        <b/>
        <sz val="9"/>
        <rFont val="Arial"/>
        <family val="2"/>
      </rPr>
      <t>Box A</t>
    </r>
    <r>
      <rPr>
        <sz val="9"/>
        <rFont val="Arial"/>
        <family val="2"/>
      </rPr>
      <t xml:space="preserve"> above is checked), </t>
    </r>
    <r>
      <rPr>
        <b/>
        <sz val="9"/>
        <rFont val="Arial"/>
        <family val="2"/>
      </rPr>
      <t>line 2</t>
    </r>
    <r>
      <rPr>
        <sz val="9"/>
        <rFont val="Arial"/>
        <family val="2"/>
      </rPr>
      <t xml:space="preserve"> (if </t>
    </r>
    <r>
      <rPr>
        <b/>
        <sz val="9"/>
        <rFont val="Arial"/>
        <family val="2"/>
      </rPr>
      <t>Box B</t>
    </r>
    <r>
      <rPr>
        <sz val="9"/>
        <rFont val="Arial"/>
        <family val="2"/>
      </rPr>
      <t xml:space="preserve"> 
above is checked), or </t>
    </r>
    <r>
      <rPr>
        <b/>
        <sz val="9"/>
        <rFont val="Arial"/>
        <family val="2"/>
      </rPr>
      <t>line 3</t>
    </r>
    <r>
      <rPr>
        <sz val="9"/>
        <rFont val="Arial"/>
        <family val="2"/>
      </rPr>
      <t xml:space="preserve"> (if </t>
    </r>
    <r>
      <rPr>
        <b/>
        <sz val="9"/>
        <rFont val="Arial"/>
        <family val="2"/>
      </rPr>
      <t>Box C</t>
    </r>
    <r>
      <rPr>
        <sz val="9"/>
        <rFont val="Arial"/>
        <family val="2"/>
      </rPr>
      <t xml:space="preserve"> above is checked) .</t>
    </r>
  </si>
  <si>
    <t>Enter the total of your dependents' modified AGI (see instructions)</t>
  </si>
  <si>
    <t>Table 2. 
Applicable Figure</t>
  </si>
  <si>
    <r>
      <t xml:space="preserve">Go to </t>
    </r>
    <r>
      <rPr>
        <b/>
        <i/>
        <sz val="9"/>
        <rFont val="Arial"/>
        <family val="2"/>
      </rPr>
      <t>www.irs.gov/Form2555</t>
    </r>
    <r>
      <rPr>
        <b/>
        <sz val="9"/>
        <rFont val="Arial"/>
        <family val="2"/>
      </rPr>
      <t xml:space="preserve"> for instructions and the latest information.</t>
    </r>
  </si>
  <si>
    <r>
      <t xml:space="preserve">If you traveled abroad during the 12-month period entered on line 16, complete columns </t>
    </r>
    <r>
      <rPr>
        <b/>
        <sz val="11"/>
        <rFont val="Arial"/>
        <family val="2"/>
      </rPr>
      <t>(a)–(f)</t>
    </r>
    <r>
      <rPr>
        <sz val="11"/>
        <rFont val="Arial"/>
        <family val="2"/>
      </rPr>
      <t xml:space="preserve"> below. Exclude travel between</t>
    </r>
  </si>
  <si>
    <t>Before you check Box D, E, or F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</si>
  <si>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Noncash Charitable Contributions</t>
  </si>
  <si>
    <t>of over $500 for all contributed property.</t>
  </si>
  <si>
    <t>Name(s) shown on your income tax return</t>
  </si>
  <si>
    <r>
      <rPr>
        <b/>
        <sz val="12"/>
        <rFont val="Arial"/>
        <family val="2"/>
      </rPr>
      <t xml:space="preserve">Information on Donated Property </t>
    </r>
    <r>
      <rPr>
        <sz val="12"/>
        <rFont val="Arial"/>
        <family val="2"/>
      </rPr>
      <t>— If you need more space, attach a statement.</t>
    </r>
  </si>
  <si>
    <t>(a) Name and address of the donee organization</t>
  </si>
  <si>
    <t>Attachment 
Sequence No.</t>
  </si>
  <si>
    <t>(b) If donated property is a vehicle (see instructions),
check the box. Also enter the vehicle identification 
number (unless Form 1098-C is attached).</t>
  </si>
  <si>
    <t>Hint:  Use Alt-Enter for carriage return.</t>
  </si>
  <si>
    <t>Figure the amount of your contribution deduction before completing this form. See your tax return instructions.</t>
  </si>
  <si>
    <t>If the amount you claimed as a deduction for an item is $500 or less, you do not have to complete columns (e), (f), and (g).</t>
  </si>
  <si>
    <r>
      <rPr>
        <b/>
        <sz val="8"/>
        <rFont val="Arial"/>
        <family val="2"/>
      </rPr>
      <t>(h)</t>
    </r>
    <r>
      <rPr>
        <sz val="8"/>
        <rFont val="Arial"/>
        <family val="2"/>
      </rPr>
      <t xml:space="preserve"> Fair market value 
(see instructions)</t>
    </r>
  </si>
  <si>
    <r>
      <rPr>
        <b/>
        <sz val="8"/>
        <rFont val="Arial"/>
        <family val="2"/>
      </rPr>
      <t>(f)</t>
    </r>
    <r>
      <rPr>
        <sz val="8"/>
        <rFont val="Arial"/>
        <family val="2"/>
      </rPr>
      <t xml:space="preserve"> How acquired 
by donor</t>
    </r>
  </si>
  <si>
    <r>
      <rPr>
        <b/>
        <sz val="8"/>
        <rFont val="Arial"/>
        <family val="2"/>
      </rPr>
      <t>(e)</t>
    </r>
    <r>
      <rPr>
        <sz val="8"/>
        <rFont val="Arial"/>
        <family val="2"/>
      </rPr>
      <t xml:space="preserve"> Date acquired 
by donor (mo., yr.)</t>
    </r>
  </si>
  <si>
    <r>
      <rPr>
        <b/>
        <sz val="8"/>
        <rFont val="Arial"/>
        <family val="2"/>
      </rPr>
      <t>(d)</t>
    </r>
    <r>
      <rPr>
        <sz val="8"/>
        <rFont val="Arial"/>
        <family val="2"/>
      </rPr>
      <t xml:space="preserve"> Date of the contribution</t>
    </r>
  </si>
  <si>
    <t>Total amount claimed as a deduction for the property listed in Part I:</t>
  </si>
  <si>
    <t>(1)</t>
  </si>
  <si>
    <t>For this tax year</t>
  </si>
  <si>
    <t>(2)</t>
  </si>
  <si>
    <t>For any prior tax years</t>
  </si>
  <si>
    <t>Name and address of each organization to which any such contribution was made in a prior year (complete only if different</t>
  </si>
  <si>
    <t>from the donee organization above):</t>
  </si>
  <si>
    <t>Name of charitable organization (donee)</t>
  </si>
  <si>
    <t>Address (number, street, and room or suite no.)</t>
  </si>
  <si>
    <t>City or town, state, and ZIP code</t>
  </si>
  <si>
    <t>For tangible property, enter the place where the property is located or kept</t>
  </si>
  <si>
    <t>Name of any person, other than the donee organization, having actual possession of the property</t>
  </si>
  <si>
    <t>Did you give to anyone (other than the donee organization or another organization participating with the donee</t>
  </si>
  <si>
    <t>organization in cooperative fundraising) the right to the income from the donated property or to the possession of</t>
  </si>
  <si>
    <t>the property, including the right to vote donated securities, to acquire the property by purchase or otherwise, or to</t>
  </si>
  <si>
    <t>designate the person having such income, possession, or right to acquire?</t>
  </si>
  <si>
    <t>Is there a restriction limiting the donated property for a particular use?</t>
  </si>
  <si>
    <t>Cat. No. 62299J</t>
  </si>
  <si>
    <r>
      <t>Form</t>
    </r>
    <r>
      <rPr>
        <b/>
        <sz val="14"/>
        <rFont val="Arial"/>
        <family val="2"/>
      </rPr>
      <t xml:space="preserve"> </t>
    </r>
    <r>
      <rPr>
        <b/>
        <sz val="12"/>
        <rFont val="Arial"/>
        <family val="2"/>
      </rPr>
      <t>8283</t>
    </r>
  </si>
  <si>
    <t>Department of the Treasury Internal Revenue Service</t>
  </si>
  <si>
    <r>
      <rPr>
        <b/>
        <sz val="13"/>
        <rFont val="Arial"/>
        <family val="2"/>
      </rPr>
      <t>Section A</t>
    </r>
    <r>
      <rPr>
        <sz val="13"/>
        <rFont val="Arial"/>
        <family val="2"/>
      </rPr>
      <t>.</t>
    </r>
  </si>
  <si>
    <r>
      <rPr>
        <b/>
        <sz val="9"/>
        <rFont val="Arial"/>
        <family val="2"/>
      </rPr>
      <t>Taxable amount.</t>
    </r>
    <r>
      <rPr>
        <sz val="9"/>
        <rFont val="Arial"/>
        <family val="2"/>
      </rPr>
      <t xml:space="preserve"> Subtract line 8 from line 1. Enter the result, but not less than zero. </t>
    </r>
    <r>
      <rPr>
        <b/>
        <sz val="9"/>
        <color rgb="FFFF0000"/>
        <rFont val="Arial"/>
        <family val="2"/>
      </rPr>
      <t>Also, enter this amount on Sheet</t>
    </r>
  </si>
  <si>
    <t>worksheet next year. The payments you receive next year will generally be fully taxable</t>
  </si>
  <si>
    <r>
      <rPr>
        <b/>
        <sz val="10"/>
        <rFont val="Arial"/>
        <family val="2"/>
      </rPr>
      <t>Balance of cost to be recovered.</t>
    </r>
    <r>
      <rPr>
        <sz val="10"/>
        <rFont val="Arial"/>
        <family val="2"/>
      </rPr>
      <t xml:space="preserve"> Subtract line 10 from line 2. If zero, you won’t have to complete this</t>
    </r>
  </si>
  <si>
    <t>Add lines 1 and 2</t>
  </si>
  <si>
    <t xml:space="preserve">        credit. Be sure you use the correct column for your filing</t>
  </si>
  <si>
    <t xml:space="preserve">        here.</t>
  </si>
  <si>
    <t xml:space="preserve">        status and the number of children you have. Enter the credit</t>
  </si>
  <si>
    <t xml:space="preserve">   .   .   .   .   .   .   .   .   .   .   .   .   .   .   .   .   .   .   .   .   .   .   .   .   .   .   .   .   .   .   .   .   .   .   .   .   .   .   .   .   .   .   .   .   .</t>
  </si>
  <si>
    <r>
      <t>earlier years</t>
    </r>
    <r>
      <rPr>
        <b/>
        <sz val="10"/>
        <rFont val="Arial"/>
        <family val="2"/>
      </rPr>
      <t>.   .   .   .   .   .   .   .   .   .   .   .   .   .   .   .   .   .   .   .   .   .   .   .   .   .   .   .   .   .   .   .   .   .   .   .   .   .   .   .   .   .   .   .   .   .</t>
    </r>
  </si>
  <si>
    <t>Subtract line 3 from line 1.  If line 3 is more than line 1, enter -0-</t>
  </si>
  <si>
    <t xml:space="preserve">Other taxes.   List type and amount </t>
  </si>
  <si>
    <t>If you made a 
gift and got a 
benefit for it, 
see instructions.</t>
  </si>
  <si>
    <t>Other--from list in instructions.  List type and amount.</t>
  </si>
  <si>
    <t>Other income, including federal and state gasoline or fuel tax credit or refund  (see instructions)</t>
  </si>
  <si>
    <t xml:space="preserve"> .   .   .   .   .  </t>
  </si>
  <si>
    <t>Commissions and fees</t>
  </si>
  <si>
    <t xml:space="preserve"> .   .   .   .   .   .   .   .   .  </t>
  </si>
  <si>
    <t>Depreciation and section 179 expense</t>
  </si>
  <si>
    <t>deduction (not included in Part III)</t>
  </si>
  <si>
    <t xml:space="preserve">   .   .   .   .   .   .   .   .   .   .   .   .</t>
  </si>
  <si>
    <t>Office Expense (see instructions)</t>
  </si>
  <si>
    <r>
      <t>b</t>
    </r>
    <r>
      <rPr>
        <sz val="8"/>
        <rFont val="Arial"/>
        <family val="2"/>
      </rPr>
      <t xml:space="preserve"> Commuting (see instructions)</t>
    </r>
  </si>
  <si>
    <t>Department of the Treasury Internal Revenue Service (99)</t>
  </si>
  <si>
    <r>
      <rPr>
        <b/>
        <sz val="9"/>
        <rFont val="Arial"/>
        <family val="2"/>
      </rPr>
      <t xml:space="preserve">Go to </t>
    </r>
    <r>
      <rPr>
        <b/>
        <i/>
        <sz val="9"/>
        <rFont val="Arial"/>
        <family val="2"/>
      </rPr>
      <t>www.irs.gov/Form6251</t>
    </r>
    <r>
      <rPr>
        <b/>
        <sz val="9"/>
        <rFont val="Arial"/>
        <family val="2"/>
      </rPr>
      <t xml:space="preserve"> for instructions and the latest information.</t>
    </r>
  </si>
  <si>
    <t>https://www.irs.gov/pub/irs-pdf/i6251.pdf</t>
  </si>
  <si>
    <t>couldn't claim because they are related to excluded income</t>
  </si>
  <si>
    <t xml:space="preserve">.   .   .   .   .   .   .   .   .   .   .   .   .   .   .   .   .   .   .   .   . </t>
  </si>
  <si>
    <t>¬</t>
  </si>
  <si>
    <r>
      <rPr>
        <b/>
        <sz val="10"/>
        <color theme="0"/>
        <rFont val="Arial"/>
        <family val="2"/>
      </rPr>
      <t>Relief.</t>
    </r>
    <r>
      <rPr>
        <sz val="10"/>
        <color theme="0"/>
        <rFont val="Arial"/>
        <family val="2"/>
      </rPr>
      <t xml:space="preserve"> Check this box if you are filing as </t>
    </r>
    <r>
      <rPr>
        <u/>
        <sz val="10"/>
        <color theme="0"/>
        <rFont val="Arial"/>
        <family val="2"/>
      </rPr>
      <t>married</t>
    </r>
    <r>
      <rPr>
        <sz val="10"/>
        <color theme="0"/>
        <rFont val="Arial"/>
        <family val="2"/>
      </rPr>
      <t xml:space="preserve"> </t>
    </r>
    <r>
      <rPr>
        <u/>
        <sz val="10"/>
        <color theme="0"/>
        <rFont val="Arial"/>
        <family val="2"/>
      </rPr>
      <t>filing</t>
    </r>
    <r>
      <rPr>
        <sz val="10"/>
        <color theme="0"/>
        <rFont val="Arial"/>
        <family val="2"/>
      </rPr>
      <t xml:space="preserve"> </t>
    </r>
    <r>
      <rPr>
        <u/>
        <sz val="10"/>
        <color theme="0"/>
        <rFont val="Arial"/>
        <family val="2"/>
      </rPr>
      <t>separately</t>
    </r>
    <r>
      <rPr>
        <sz val="10"/>
        <color theme="0"/>
        <rFont val="Arial"/>
        <family val="2"/>
      </rPr>
      <t xml:space="preserve"> and you are a victim of domestic abuse or spousal abandonment (see Situation 2 under Married taxpayers). By checking this box, you are certifying that you qualify for relief from filing a joint return with your spouse.</t>
    </r>
  </si>
  <si>
    <r>
      <rPr>
        <b/>
        <sz val="13"/>
        <rFont val="Arial"/>
        <family val="2"/>
      </rPr>
      <t>Section B</t>
    </r>
    <r>
      <rPr>
        <sz val="13"/>
        <rFont val="Arial"/>
        <family val="2"/>
      </rPr>
      <t>.</t>
    </r>
  </si>
  <si>
    <t>Check the box that describes the type of property donated:</t>
  </si>
  <si>
    <t xml:space="preserve"> Art* (contribution of $20,000 or more)</t>
  </si>
  <si>
    <t xml:space="preserve"> Art* (contribution of less than $20,000)</t>
  </si>
  <si>
    <t>g</t>
  </si>
  <si>
    <t>j</t>
  </si>
  <si>
    <t xml:space="preserve"> Other</t>
  </si>
  <si>
    <t xml:space="preserve"> Collectibles**</t>
  </si>
  <si>
    <t xml:space="preserve"> Qualified Conservation Contribution</t>
  </si>
  <si>
    <t xml:space="preserve"> Other Real Estate</t>
  </si>
  <si>
    <t xml:space="preserve"> Intellectual Property</t>
  </si>
  <si>
    <t xml:space="preserve"> Equipment</t>
  </si>
  <si>
    <t xml:space="preserve"> Securities</t>
  </si>
  <si>
    <t>i</t>
  </si>
  <si>
    <t xml:space="preserve"> Vehicles</t>
  </si>
  <si>
    <t>**Collectibles include coins, stamps, books, gems, jewelry, sports memorabilia, dolls, etc., but not art as defined above.</t>
  </si>
  <si>
    <t>(c) Appraised fair
market value</t>
  </si>
  <si>
    <r>
      <rPr>
        <b/>
        <sz val="9"/>
        <rFont val="Arial"/>
        <family val="2"/>
      </rPr>
      <t>(a)</t>
    </r>
    <r>
      <rPr>
        <sz val="9"/>
        <rFont val="Arial"/>
        <family val="2"/>
      </rPr>
      <t xml:space="preserve"> Description of donated property (if you need
more space, attach a separate statement)</t>
    </r>
  </si>
  <si>
    <t>(e) How acquired by donor</t>
  </si>
  <si>
    <t>(f) Donor’s cost or
adjusted basis</t>
  </si>
  <si>
    <t>See instructions</t>
  </si>
  <si>
    <t>Signature of taxpayer (donor)</t>
  </si>
  <si>
    <t>I declare that I am not the donor, the donee, a party to the transaction in which the donor acquired the property, employed by, or related to any of the foregoing persons, or
married to any person who is related to any of the foregoing persons. And, if regularly used by the donor, donee, or party to the transaction, I performed the majority of my
appraisals during my tax year for other persons.</t>
  </si>
  <si>
    <t>Sign Here</t>
  </si>
  <si>
    <t>Signature</t>
  </si>
  <si>
    <t>Title</t>
  </si>
  <si>
    <t>Business address (including room or suite no.)</t>
  </si>
  <si>
    <t>This charitable organization acknowledges that it is a qualified organization under section 170(c) and that it received the donated property as described</t>
  </si>
  <si>
    <t>Does the organization intend to use the property for an unrelated use?</t>
  </si>
  <si>
    <t>Employer identification number</t>
  </si>
  <si>
    <t>Authorized signature</t>
  </si>
  <si>
    <r>
      <rPr>
        <b/>
        <sz val="8"/>
        <rFont val="Arial"/>
        <family val="2"/>
      </rPr>
      <t>Exception.</t>
    </r>
    <r>
      <rPr>
        <sz val="8"/>
        <rFont val="Arial"/>
        <family val="2"/>
      </rPr>
      <t xml:space="preserve"> See </t>
    </r>
    <r>
      <rPr>
        <i/>
        <sz val="8"/>
        <rFont val="Arial"/>
        <family val="2"/>
      </rPr>
      <t>Itemized Deduction Recoveries</t>
    </r>
    <r>
      <rPr>
        <sz val="8"/>
        <rFont val="Arial"/>
        <family val="2"/>
      </rPr>
      <t xml:space="preserve"> in Pub. 525 instead of using the worksheet below if any of the following applies.</t>
    </r>
  </si>
  <si>
    <r>
      <t xml:space="preserve">Form </t>
    </r>
    <r>
      <rPr>
        <b/>
        <sz val="24"/>
        <rFont val="Arial"/>
        <family val="2"/>
      </rPr>
      <t>1116</t>
    </r>
  </si>
  <si>
    <t>Foreign Tax Credit</t>
  </si>
  <si>
    <t>(Individual, Estate, or Trust)</t>
  </si>
  <si>
    <t>Name</t>
  </si>
  <si>
    <t>Passive category income</t>
  </si>
  <si>
    <t>Section 901(j) income</t>
  </si>
  <si>
    <t>Lump-sum distributions</t>
  </si>
  <si>
    <t>General category income</t>
  </si>
  <si>
    <t>Certain income re-sourced by treaty</t>
  </si>
  <si>
    <t>Resident of (name of country)</t>
  </si>
  <si>
    <t>If you paid taxes to only one foreign country or U.S. possession, use column A in Part I and line A in Part II. If you paid taxes to</t>
  </si>
  <si>
    <r>
      <rPr>
        <b/>
        <sz val="11"/>
        <rFont val="Arial"/>
        <family val="2"/>
      </rPr>
      <t xml:space="preserve">Total </t>
    </r>
    <r>
      <rPr>
        <sz val="10"/>
        <rFont val="Arial"/>
        <family val="2"/>
      </rPr>
      <t xml:space="preserve">
</t>
    </r>
    <r>
      <rPr>
        <sz val="9"/>
        <rFont val="Arial"/>
        <family val="2"/>
      </rPr>
      <t>(Add cols. A, B, and C.)</t>
    </r>
  </si>
  <si>
    <t>Enter the name of the foreign country or U.S.</t>
  </si>
  <si>
    <t>possession</t>
  </si>
  <si>
    <t>Gross income from sources within country shown</t>
  </si>
  <si>
    <t>above and of the type checked above (see</t>
  </si>
  <si>
    <t>instructions):</t>
  </si>
  <si>
    <t>Foreign Country or U.S. Possession</t>
  </si>
  <si>
    <t>Check if line 1a is compensation for personal</t>
  </si>
  <si>
    <t>services as an employee, your total</t>
  </si>
  <si>
    <t>compensation from all sources is $250,000 or</t>
  </si>
  <si>
    <t>more, and you used an alternative basis to</t>
  </si>
  <si>
    <t>determine its source (see instructions)</t>
  </si>
  <si>
    <r>
      <t xml:space="preserve"> </t>
    </r>
    <r>
      <rPr>
        <b/>
        <sz val="10"/>
        <rFont val="Arial"/>
        <family val="2"/>
      </rPr>
      <t>Deductions and losses (Caution:</t>
    </r>
    <r>
      <rPr>
        <sz val="10"/>
        <rFont val="Arial"/>
        <family val="2"/>
      </rPr>
      <t xml:space="preserve"> See instructions.):</t>
    </r>
  </si>
  <si>
    <r>
      <t xml:space="preserve">Expenses </t>
    </r>
    <r>
      <rPr>
        <b/>
        <sz val="9"/>
        <rFont val="Arial"/>
        <family val="2"/>
      </rPr>
      <t>definitely related</t>
    </r>
    <r>
      <rPr>
        <sz val="9"/>
        <rFont val="Arial"/>
        <family val="2"/>
      </rPr>
      <t xml:space="preserve"> to the income on line</t>
    </r>
  </si>
  <si>
    <t>line1a (attach statement)</t>
  </si>
  <si>
    <t>Other deductions (attach statement)</t>
  </si>
  <si>
    <t>Add lines 3a and 3b</t>
  </si>
  <si>
    <t>Gross foreign source income (see instructions)</t>
  </si>
  <si>
    <t>Gross income from all sources (see instructions)</t>
  </si>
  <si>
    <t>Divide line 3d by line 3e (see instructions)</t>
  </si>
  <si>
    <t>Multiply line 3c by line 3f</t>
  </si>
  <si>
    <t>Other interest expense</t>
  </si>
  <si>
    <t>Home mortgage interest (use the Worksheet for</t>
  </si>
  <si>
    <t>Home Mortgage Interest in the instructions)</t>
  </si>
  <si>
    <t>Losses from foreign sources</t>
  </si>
  <si>
    <t>Add lines 2, 3g, 4a, 4b, and 5</t>
  </si>
  <si>
    <t>Subtract line 6 from line 1a. Enter the result here and on line 15, page 2</t>
  </si>
  <si>
    <t>Accrued</t>
  </si>
  <si>
    <t>or accrued</t>
  </si>
  <si>
    <t>Taxes withheld at source on:</t>
  </si>
  <si>
    <r>
      <t>Form</t>
    </r>
    <r>
      <rPr>
        <b/>
        <sz val="14"/>
        <rFont val="Arial"/>
        <family val="2"/>
      </rPr>
      <t xml:space="preserve"> </t>
    </r>
    <r>
      <rPr>
        <b/>
        <sz val="12"/>
        <rFont val="Arial"/>
        <family val="2"/>
      </rPr>
      <t>1116</t>
    </r>
  </si>
  <si>
    <t>Cat. No. 11440U</t>
  </si>
  <si>
    <t>For Paperwork Reduction Act Notice, see instructions.</t>
  </si>
  <si>
    <t xml:space="preserve"> Paid</t>
  </si>
  <si>
    <t>OMB No. 1545-0121</t>
  </si>
  <si>
    <t>Country</t>
  </si>
  <si>
    <t>Add lines A through C, column (s). Enter the total here and on line 9, page 2</t>
  </si>
  <si>
    <r>
      <rPr>
        <b/>
        <sz val="10"/>
        <rFont val="Arial"/>
        <family val="2"/>
      </rPr>
      <t>more than one</t>
    </r>
    <r>
      <rPr>
        <sz val="10"/>
        <rFont val="Arial"/>
        <family val="2"/>
      </rPr>
      <t xml:space="preserve"> foreign country or U.S. possession, use a separate column and line for each country or possession.</t>
    </r>
  </si>
  <si>
    <r>
      <rPr>
        <b/>
        <sz val="8"/>
        <rFont val="Arial"/>
        <family val="2"/>
      </rPr>
      <t>Identifying number</t>
    </r>
    <r>
      <rPr>
        <sz val="8"/>
        <rFont val="Arial"/>
        <family val="2"/>
      </rPr>
      <t xml:space="preserve"> as shown on page 1 of your tax return</t>
    </r>
  </si>
  <si>
    <t xml:space="preserve">.   .   .   .   .   .   .   .   .   .   .   .   .   .   .   .   .  </t>
  </si>
  <si>
    <t xml:space="preserve"> .   .   .   .   .   .   .   .   .   .   .   .   .   .   .   .   .   .   .   .   .   .   .   .   .   .   .   .   .   .   .   .   .   .   .   .   .   .   .   .   .   . </t>
  </si>
  <si>
    <r>
      <t xml:space="preserve">Form </t>
    </r>
    <r>
      <rPr>
        <b/>
        <sz val="22"/>
        <rFont val="Arial"/>
        <family val="2"/>
      </rPr>
      <t>8283</t>
    </r>
  </si>
  <si>
    <t>Figuring the Credit</t>
  </si>
  <si>
    <t>Enter the amount from line 8. These are your total foreign taxes paid</t>
  </si>
  <si>
    <t>or accrued for the category of income checked above Part I</t>
  </si>
  <si>
    <t>Reduction in foreign taxes (see instructions)</t>
  </si>
  <si>
    <t>Taxes reclassified under high tax kickout (see instructions)</t>
  </si>
  <si>
    <t>Combine lines 11, 12, and 13. This is the total amount of foreign taxes available for credit</t>
  </si>
  <si>
    <t>Enter the amount from line 7. This is your taxable income or (loss) from</t>
  </si>
  <si>
    <t>sources outside the United States (before adjustments) for the category</t>
  </si>
  <si>
    <t>of income checked above Part I (see instructions)</t>
  </si>
  <si>
    <t>Adjustments to line 15 (see instructions)</t>
  </si>
  <si>
    <t>Combine the amounts on lines 15 and 16. This is your net foreign</t>
  </si>
  <si>
    <t>source taxable income. (If the result is zero or less, you have no</t>
  </si>
  <si>
    <t>foreign tax credit for the category of income you checked above</t>
  </si>
  <si>
    <t>one Form 1116, you must complete line 20.)</t>
  </si>
  <si>
    <t>Divide line 17 by line 18. If line 17 is more than line 18, enter “1”</t>
  </si>
  <si>
    <t>Multiply line 20 by line 19 (maximum amount of credit)</t>
  </si>
  <si>
    <t>Credit for taxes on passive category income</t>
  </si>
  <si>
    <t>Credit for taxes on general category income</t>
  </si>
  <si>
    <t>Credit for taxes on certain income re-sourced by treaty</t>
  </si>
  <si>
    <t>Credit for taxes on lump-sum distributions</t>
  </si>
  <si>
    <t>Reduction of credit for international boycott operations. See instructions for line 12</t>
  </si>
  <si>
    <r>
      <t>Form</t>
    </r>
    <r>
      <rPr>
        <b/>
        <sz val="14"/>
        <rFont val="Arial"/>
        <family val="2"/>
      </rPr>
      <t xml:space="preserve"> 1116</t>
    </r>
  </si>
  <si>
    <t>Carryback or carryover (attach detailed computation)</t>
  </si>
  <si>
    <r>
      <rPr>
        <b/>
        <sz val="10"/>
        <rFont val="Arial"/>
        <family val="2"/>
      </rPr>
      <t>Caution:</t>
    </r>
    <r>
      <rPr>
        <sz val="10"/>
        <rFont val="Arial"/>
        <family val="2"/>
      </rPr>
      <t xml:space="preserve"> If you figured your tax using the lower rates on qualified dividends or capital gains, see</t>
    </r>
  </si>
  <si>
    <t>In foreign currency</t>
  </si>
  <si>
    <t>In U.S. dollars</t>
  </si>
  <si>
    <t>Foreign taxes paid or accrued</t>
  </si>
  <si>
    <r>
      <t xml:space="preserve">Pro rata share of other deductions </t>
    </r>
    <r>
      <rPr>
        <b/>
        <sz val="9"/>
        <rFont val="Arial"/>
        <family val="2"/>
      </rPr>
      <t>not definitely</t>
    </r>
  </si>
  <si>
    <t>related:</t>
  </si>
  <si>
    <r>
      <t xml:space="preserve">Summary of Credits From Separate Parts III   </t>
    </r>
    <r>
      <rPr>
        <sz val="10"/>
        <rFont val="Arial"/>
        <family val="2"/>
      </rPr>
      <t>(see instructions)</t>
    </r>
  </si>
  <si>
    <t>Check here to use this form.</t>
  </si>
  <si>
    <t>Payer #11</t>
  </si>
  <si>
    <t>Payer #12</t>
  </si>
  <si>
    <t>Payer #13</t>
  </si>
  <si>
    <t>Payer #14</t>
  </si>
  <si>
    <t>Payer #15</t>
  </si>
  <si>
    <t>The lines in Part I, Line 1, include hidden formula to automatically import information from the sheet labeled '1099-INT'.</t>
  </si>
  <si>
    <t>The top 15 full width lines in Part II, Line 5, include hidden formula to automatically import information from the sheet labeled '1099-DIV'.</t>
  </si>
  <si>
    <r>
      <rPr>
        <b/>
        <sz val="7"/>
        <rFont val="Arial"/>
        <family val="2"/>
      </rPr>
      <t xml:space="preserve">(d)
</t>
    </r>
    <r>
      <rPr>
        <sz val="7"/>
        <rFont val="Arial"/>
        <family val="2"/>
      </rPr>
      <t>Proceeds
(sales price)</t>
    </r>
  </si>
  <si>
    <r>
      <rPr>
        <b/>
        <sz val="7"/>
        <rFont val="Arial"/>
        <family val="2"/>
      </rPr>
      <t xml:space="preserve">(g)
</t>
    </r>
    <r>
      <rPr>
        <sz val="7"/>
        <rFont val="Arial"/>
        <family val="2"/>
      </rPr>
      <t>Adjustments to
gain or loss from
Form(s) 8949, Part II,
line 2, column (g)</t>
    </r>
  </si>
  <si>
    <t>https://www.irs.gov/pub/irs-pdf/f1099msc.pdf</t>
  </si>
  <si>
    <t>This form has yet to be implemented.</t>
  </si>
  <si>
    <t>Download and follow IRS instructions for where the information and amounts should be entered.</t>
  </si>
  <si>
    <t>Standard Deduction Chart</t>
  </si>
  <si>
    <t>If you type in the lines in Step 1, this import feature will no longer work.</t>
  </si>
  <si>
    <t>If you type in these lines in Step 5, this import feature will no longer work.</t>
  </si>
  <si>
    <t>(a) RP-1</t>
  </si>
  <si>
    <t>(a) RP-2</t>
  </si>
  <si>
    <t>(a) RP-3</t>
  </si>
  <si>
    <t>(a) RP-4</t>
  </si>
  <si>
    <t>(b) RP-1</t>
  </si>
  <si>
    <t>(b) RP-2</t>
  </si>
  <si>
    <t>(b) RP-3</t>
  </si>
  <si>
    <t>(b) RP-4</t>
  </si>
  <si>
    <t>(c) RP-2</t>
  </si>
  <si>
    <t>(c) RP-3</t>
  </si>
  <si>
    <t>(c) RP-4</t>
  </si>
  <si>
    <t>(d) RP-4</t>
  </si>
  <si>
    <t>3A</t>
  </si>
  <si>
    <r>
      <t xml:space="preserve">Distribution code(s) </t>
    </r>
    <r>
      <rPr>
        <b/>
        <sz val="10"/>
        <rFont val="Arial"/>
        <family val="2"/>
      </rPr>
      <t>(Code D only)</t>
    </r>
  </si>
  <si>
    <t>Married</t>
  </si>
  <si>
    <t>Single*</t>
  </si>
  <si>
    <t>*Or Married with Self Only Coverage Type</t>
  </si>
  <si>
    <t>Coverage Type?</t>
  </si>
  <si>
    <t>What coverage type did your HDHP provide on the 1st day of the month?</t>
  </si>
  <si>
    <t>Employer #5</t>
  </si>
  <si>
    <t>Employer #6</t>
  </si>
  <si>
    <t>Month (e.g. '11')</t>
  </si>
  <si>
    <t>Day (e.g. '9')</t>
  </si>
  <si>
    <t>Download Form 8960 Instructions</t>
  </si>
  <si>
    <r>
      <t xml:space="preserve"> </t>
    </r>
    <r>
      <rPr>
        <b/>
        <sz val="10"/>
        <rFont val="Arial"/>
        <family val="2"/>
      </rPr>
      <t>Yes.</t>
    </r>
    <r>
      <rPr>
        <sz val="10"/>
        <rFont val="Arial"/>
        <family val="2"/>
      </rPr>
      <t xml:space="preserve">  I meet these requirements to be considered unmarried.</t>
    </r>
  </si>
  <si>
    <t>Payer #16</t>
  </si>
  <si>
    <t>Payer #17</t>
  </si>
  <si>
    <t>Payer #18</t>
  </si>
  <si>
    <t>Payer #19</t>
  </si>
  <si>
    <t>STOP  Fill in Form 6251 to see if you owe the alternative minimum tax.</t>
  </si>
  <si>
    <t>Total
IRAs</t>
  </si>
  <si>
    <t>Enter payer's name here.</t>
  </si>
  <si>
    <t>SCHEDULE 8812</t>
  </si>
  <si>
    <t>Cat. No. 59761M</t>
  </si>
  <si>
    <t>Subtract line 2 from line 1.</t>
  </si>
  <si>
    <t>o</t>
  </si>
  <si>
    <t>Modified AGI. Enter your modified AGI (see instructions)</t>
  </si>
  <si>
    <t>Subtract line 12 from line 11. If zero or less, enter -0-</t>
  </si>
  <si>
    <t>Additional Income and Adjustments to Income</t>
  </si>
  <si>
    <r>
      <t xml:space="preserve">Go to </t>
    </r>
    <r>
      <rPr>
        <b/>
        <i/>
        <sz val="10"/>
        <rFont val="Arial"/>
        <family val="2"/>
      </rPr>
      <t>www.irs.gov/Form1040</t>
    </r>
    <r>
      <rPr>
        <b/>
        <sz val="10"/>
        <rFont val="Arial"/>
        <family val="2"/>
      </rPr>
      <t xml:space="preserve"> for instructions and the latest information.</t>
    </r>
  </si>
  <si>
    <t>Cat. No. 71479F</t>
  </si>
  <si>
    <t>Taxable refunds, credits, or offsets of state and local income taxes</t>
  </si>
  <si>
    <t>Educator expenses</t>
  </si>
  <si>
    <t>Health savings account deduction. Attach Form 8889</t>
  </si>
  <si>
    <t>Deductible part of self-employment tax. Attach Schedule SE</t>
  </si>
  <si>
    <t>Self-employed SEP, SIMPLE, and qualified plans</t>
  </si>
  <si>
    <t>Penalty on early withdrawal of savings</t>
  </si>
  <si>
    <t>Student loan interest deduction</t>
  </si>
  <si>
    <t xml:space="preserve">  Your social security number</t>
  </si>
  <si>
    <t>Tax</t>
  </si>
  <si>
    <t>Cat. No. 71478U</t>
  </si>
  <si>
    <t>Nonrefundable Credits</t>
  </si>
  <si>
    <t>Retirement savings contributions credit.  Attach Form 8880</t>
  </si>
  <si>
    <t>Foreign tax credit.  Attach Form 1116, if required</t>
  </si>
  <si>
    <t>Residential energy credit.  Attach Form 5695</t>
  </si>
  <si>
    <t>Other Taxes</t>
  </si>
  <si>
    <t>Cat. No. 71480G</t>
  </si>
  <si>
    <t>Other Payments and Refundable Credits</t>
  </si>
  <si>
    <t>Amount paid with request for extension to file (see instructions)</t>
  </si>
  <si>
    <t>Include Line 3 on Schedule B, Line 1?  (Y / N)</t>
  </si>
  <si>
    <t>Single or married</t>
  </si>
  <si>
    <t>jointly or Qualifying</t>
  </si>
  <si>
    <t>widow(er)</t>
  </si>
  <si>
    <r>
      <rPr>
        <sz val="10"/>
        <rFont val="Arial"/>
        <family val="2"/>
      </rPr>
      <t xml:space="preserve">Form </t>
    </r>
    <r>
      <rPr>
        <b/>
        <sz val="14"/>
        <rFont val="Arial"/>
        <family val="2"/>
      </rPr>
      <t>1040</t>
    </r>
  </si>
  <si>
    <t>Filing Status:</t>
  </si>
  <si>
    <t>Credit for other dependents</t>
  </si>
  <si>
    <t>Self-employed</t>
  </si>
  <si>
    <t>If the IRS sent you an Identity Prot. PIN,</t>
  </si>
  <si>
    <t>Check if:</t>
  </si>
  <si>
    <t>Standard versus Itemized Deduction</t>
  </si>
  <si>
    <t>Over 65 or Blind</t>
  </si>
  <si>
    <t>boxes checked</t>
  </si>
  <si>
    <t>number of</t>
  </si>
  <si>
    <r>
      <t xml:space="preserve">Spouse’s signature. If a joint return, </t>
    </r>
    <r>
      <rPr>
        <b/>
        <sz val="8"/>
        <rFont val="Arial"/>
        <family val="2"/>
      </rPr>
      <t>both</t>
    </r>
    <r>
      <rPr>
        <sz val="8"/>
        <rFont val="Arial"/>
        <family val="2"/>
      </rPr>
      <t xml:space="preserve"> must sign.</t>
    </r>
  </si>
  <si>
    <r>
      <t xml:space="preserve">Department of the Treasury Internal Revenue Service </t>
    </r>
    <r>
      <rPr>
        <sz val="7"/>
        <rFont val="Arial"/>
        <family val="2"/>
      </rPr>
      <t>(99)</t>
    </r>
  </si>
  <si>
    <r>
      <rPr>
        <b/>
        <sz val="11"/>
        <rFont val="Arial"/>
        <family val="2"/>
      </rPr>
      <t>Note:</t>
    </r>
    <r>
      <rPr>
        <sz val="11"/>
        <rFont val="Arial"/>
        <family val="2"/>
      </rPr>
      <t xml:space="preserve"> If you are in business of renting personal property, use</t>
    </r>
  </si>
  <si>
    <t xml:space="preserve">  Yes</t>
  </si>
  <si>
    <t>Type of Property (from list below</t>
  </si>
  <si>
    <t>Fair Rental Days</t>
  </si>
  <si>
    <t>Vacation/Short-Term Rental</t>
  </si>
  <si>
    <t>Other  (describe)</t>
  </si>
  <si>
    <t>Properties:</t>
  </si>
  <si>
    <t>Income:</t>
  </si>
  <si>
    <t>Royalties received</t>
  </si>
  <si>
    <t>Other (list)</t>
  </si>
  <si>
    <t>Deductible rental real estate loss after limitation, if any,</t>
  </si>
  <si>
    <r>
      <rPr>
        <b/>
        <sz val="11"/>
        <rFont val="Arial"/>
        <family val="2"/>
      </rPr>
      <t>Income.</t>
    </r>
    <r>
      <rPr>
        <sz val="11"/>
        <rFont val="Arial"/>
        <family val="2"/>
      </rPr>
      <t xml:space="preserve"> Add positive amounts shown on line 21. </t>
    </r>
    <r>
      <rPr>
        <b/>
        <sz val="11"/>
        <rFont val="Arial"/>
        <family val="2"/>
      </rPr>
      <t>Do not</t>
    </r>
    <r>
      <rPr>
        <sz val="11"/>
        <rFont val="Arial"/>
        <family val="2"/>
      </rPr>
      <t xml:space="preserve"> include any losses</t>
    </r>
  </si>
  <si>
    <r>
      <rPr>
        <b/>
        <sz val="10.5"/>
        <rFont val="Arial"/>
        <family val="2"/>
      </rPr>
      <t>Losses.</t>
    </r>
    <r>
      <rPr>
        <sz val="10.5"/>
        <rFont val="Arial"/>
        <family val="2"/>
      </rPr>
      <t xml:space="preserve"> Add royalty losses from line 21 and rental real estate losses from line 22. Enter total losses here</t>
    </r>
  </si>
  <si>
    <t>here. If Parts II, III, IV, and line 40 on page 2 do not apply to you, also enter this amount on</t>
  </si>
  <si>
    <r>
      <rPr>
        <b/>
        <sz val="11"/>
        <rFont val="Arial"/>
        <family val="2"/>
      </rPr>
      <t>Caution:</t>
    </r>
    <r>
      <rPr>
        <sz val="11"/>
        <rFont val="Arial"/>
        <family val="2"/>
      </rPr>
      <t xml:space="preserve"> The IRS compares amounts reported on your tax return with amounts shown on Schedule(s) K-1.</t>
    </r>
  </si>
  <si>
    <r>
      <rPr>
        <b/>
        <sz val="12"/>
        <rFont val="Arial"/>
        <family val="2"/>
      </rPr>
      <t>Income or Loss From Partnerships and S Corporations</t>
    </r>
    <r>
      <rPr>
        <b/>
        <sz val="11"/>
        <rFont val="Arial"/>
        <family val="2"/>
      </rPr>
      <t xml:space="preserve"> -- Note: </t>
    </r>
    <r>
      <rPr>
        <sz val="11"/>
        <rFont val="Arial"/>
        <family val="2"/>
      </rPr>
      <t xml:space="preserve"> </t>
    </r>
    <r>
      <rPr>
        <sz val="10"/>
        <rFont val="Arial"/>
        <family val="2"/>
      </rPr>
      <t>If you report a loss, receive a distribution, dispose of</t>
    </r>
  </si>
  <si>
    <r>
      <t xml:space="preserve">computation. If you report a loss from an at-risk activity for which </t>
    </r>
    <r>
      <rPr>
        <b/>
        <sz val="10"/>
        <rFont val="Arial"/>
        <family val="2"/>
      </rPr>
      <t>any</t>
    </r>
    <r>
      <rPr>
        <sz val="10"/>
        <rFont val="Arial"/>
        <family val="2"/>
      </rPr>
      <t xml:space="preserve"> amount is </t>
    </r>
    <r>
      <rPr>
        <b/>
        <sz val="10"/>
        <rFont val="Arial"/>
        <family val="2"/>
      </rPr>
      <t>not</t>
    </r>
    <r>
      <rPr>
        <sz val="10"/>
        <rFont val="Arial"/>
        <family val="2"/>
      </rPr>
      <t xml:space="preserve"> at risk, you </t>
    </r>
    <r>
      <rPr>
        <b/>
        <sz val="10"/>
        <rFont val="Arial"/>
        <family val="2"/>
      </rPr>
      <t>must</t>
    </r>
    <r>
      <rPr>
        <sz val="10"/>
        <rFont val="Arial"/>
        <family val="2"/>
      </rPr>
      <t xml:space="preserve"> check the box in column </t>
    </r>
    <r>
      <rPr>
        <b/>
        <sz val="10"/>
        <rFont val="Arial"/>
        <family val="2"/>
      </rPr>
      <t>(f)</t>
    </r>
    <r>
      <rPr>
        <sz val="10"/>
        <rFont val="Arial"/>
        <family val="2"/>
      </rPr>
      <t xml:space="preserve"> on</t>
    </r>
  </si>
  <si>
    <r>
      <t xml:space="preserve">line 28 and attach </t>
    </r>
    <r>
      <rPr>
        <b/>
        <sz val="10"/>
        <rFont val="Arial"/>
        <family val="2"/>
      </rPr>
      <t>Form 6198</t>
    </r>
    <r>
      <rPr>
        <sz val="10"/>
        <rFont val="Arial"/>
        <family val="2"/>
      </rPr>
      <t xml:space="preserve"> (see instructions).</t>
    </r>
  </si>
  <si>
    <r>
      <rPr>
        <b/>
        <sz val="10"/>
        <rFont val="Arial"/>
        <family val="2"/>
      </rPr>
      <t>(a)</t>
    </r>
    <r>
      <rPr>
        <sz val="10"/>
        <rFont val="Arial"/>
        <family val="2"/>
      </rPr>
      <t xml:space="preserve">  Name</t>
    </r>
  </si>
  <si>
    <r>
      <rPr>
        <b/>
        <sz val="8"/>
        <rFont val="Arial"/>
        <family val="2"/>
      </rPr>
      <t>(b)</t>
    </r>
    <r>
      <rPr>
        <sz val="8"/>
        <rFont val="Arial"/>
        <family val="2"/>
      </rPr>
      <t xml:space="preserve">  Enter </t>
    </r>
    <r>
      <rPr>
        <b/>
        <sz val="8"/>
        <rFont val="Arial"/>
        <family val="2"/>
      </rPr>
      <t>P</t>
    </r>
    <r>
      <rPr>
        <sz val="8"/>
        <rFont val="Arial"/>
        <family val="2"/>
      </rPr>
      <t xml:space="preserve"> for partnership; </t>
    </r>
    <r>
      <rPr>
        <b/>
        <sz val="8"/>
        <rFont val="Arial"/>
        <family val="2"/>
      </rPr>
      <t>S</t>
    </r>
    <r>
      <rPr>
        <sz val="8"/>
        <rFont val="Arial"/>
        <family val="2"/>
      </rPr>
      <t xml:space="preserve"> 
for S corporation</t>
    </r>
  </si>
  <si>
    <r>
      <rPr>
        <b/>
        <sz val="8"/>
        <rFont val="Arial"/>
        <family val="2"/>
      </rPr>
      <t>(c)</t>
    </r>
    <r>
      <rPr>
        <sz val="8"/>
        <rFont val="Arial"/>
        <family val="2"/>
      </rPr>
      <t xml:space="preserve">  Check if 
foreign 
partnership</t>
    </r>
  </si>
  <si>
    <r>
      <rPr>
        <b/>
        <sz val="8"/>
        <rFont val="Arial"/>
        <family val="2"/>
      </rPr>
      <t>(d)</t>
    </r>
    <r>
      <rPr>
        <sz val="8"/>
        <rFont val="Arial"/>
        <family val="2"/>
      </rPr>
      <t xml:space="preserve">  Employer 
identification 
number</t>
    </r>
  </si>
  <si>
    <r>
      <rPr>
        <b/>
        <sz val="8"/>
        <rFont val="Arial"/>
        <family val="2"/>
      </rPr>
      <t>(f)</t>
    </r>
    <r>
      <rPr>
        <sz val="8"/>
        <rFont val="Arial"/>
        <family val="2"/>
      </rPr>
      <t xml:space="preserve">  Check if 
any amount is 
not at risk</t>
    </r>
  </si>
  <si>
    <r>
      <rPr>
        <b/>
        <sz val="8"/>
        <rFont val="Arial"/>
        <family val="2"/>
      </rPr>
      <t>(e)</t>
    </r>
    <r>
      <rPr>
        <sz val="8"/>
        <rFont val="Arial"/>
        <family val="2"/>
      </rPr>
      <t xml:space="preserve"> Check if 
basis computation 
is required</t>
    </r>
  </si>
  <si>
    <r>
      <rPr>
        <b/>
        <sz val="9"/>
        <rFont val="Arial"/>
        <family val="2"/>
      </rPr>
      <t>(g)</t>
    </r>
    <r>
      <rPr>
        <sz val="9"/>
        <rFont val="Arial"/>
        <family val="2"/>
      </rPr>
      <t xml:space="preserve">  Passive loss allowed
(attach </t>
    </r>
    <r>
      <rPr>
        <b/>
        <sz val="9"/>
        <rFont val="Arial"/>
        <family val="2"/>
      </rPr>
      <t>Form 8582</t>
    </r>
    <r>
      <rPr>
        <sz val="9"/>
        <rFont val="Arial"/>
        <family val="2"/>
      </rPr>
      <t xml:space="preserve"> if required)</t>
    </r>
  </si>
  <si>
    <r>
      <rPr>
        <b/>
        <sz val="9"/>
        <rFont val="Arial"/>
        <family val="2"/>
      </rPr>
      <t>(h)</t>
    </r>
    <r>
      <rPr>
        <sz val="9"/>
        <rFont val="Arial"/>
        <family val="2"/>
      </rPr>
      <t xml:space="preserve">  Passive income
from </t>
    </r>
    <r>
      <rPr>
        <b/>
        <sz val="9"/>
        <rFont val="Arial"/>
        <family val="2"/>
      </rPr>
      <t>Schedule K-1</t>
    </r>
  </si>
  <si>
    <r>
      <rPr>
        <b/>
        <sz val="9"/>
        <rFont val="Arial"/>
        <family val="2"/>
      </rPr>
      <t>(j)</t>
    </r>
    <r>
      <rPr>
        <sz val="9"/>
        <rFont val="Arial"/>
        <family val="2"/>
      </rPr>
      <t xml:space="preserve">  Section 179 expense
deduction from </t>
    </r>
    <r>
      <rPr>
        <b/>
        <sz val="9"/>
        <rFont val="Arial"/>
        <family val="2"/>
      </rPr>
      <t>Form 4562</t>
    </r>
  </si>
  <si>
    <r>
      <rPr>
        <b/>
        <sz val="9"/>
        <rFont val="Arial"/>
        <family val="2"/>
      </rPr>
      <t>(k)</t>
    </r>
    <r>
      <rPr>
        <sz val="9"/>
        <rFont val="Arial"/>
        <family val="2"/>
      </rPr>
      <t xml:space="preserve">  Nonpassive income
from </t>
    </r>
    <r>
      <rPr>
        <b/>
        <sz val="9"/>
        <rFont val="Arial"/>
        <family val="2"/>
      </rPr>
      <t>Schedule K-1</t>
    </r>
  </si>
  <si>
    <t>Totals</t>
  </si>
  <si>
    <t>Add columns (h) and (k) of line 29a</t>
  </si>
  <si>
    <t>Add columns (g), (i), and (j) of line 29b</t>
  </si>
  <si>
    <r>
      <rPr>
        <b/>
        <sz val="11"/>
        <rFont val="Arial"/>
        <family val="2"/>
      </rPr>
      <t>Total partnership and S corporation income or (loss).</t>
    </r>
    <r>
      <rPr>
        <sz val="11"/>
        <rFont val="Arial"/>
        <family val="2"/>
      </rPr>
      <t xml:space="preserve"> Combine lines 30 and 31</t>
    </r>
  </si>
  <si>
    <t>Income or Loss From Estates and Trusts</t>
  </si>
  <si>
    <r>
      <rPr>
        <b/>
        <sz val="9"/>
        <rFont val="Arial"/>
        <family val="2"/>
      </rPr>
      <t>(b)</t>
    </r>
    <r>
      <rPr>
        <sz val="9"/>
        <rFont val="Arial"/>
        <family val="2"/>
      </rPr>
      <t xml:space="preserve">  Employer 
identification number</t>
    </r>
  </si>
  <si>
    <r>
      <rPr>
        <b/>
        <sz val="10"/>
        <rFont val="Arial"/>
        <family val="2"/>
      </rPr>
      <t>(e)</t>
    </r>
    <r>
      <rPr>
        <sz val="10"/>
        <rFont val="Arial"/>
        <family val="2"/>
      </rPr>
      <t xml:space="preserve"> Deduction or loss
from </t>
    </r>
    <r>
      <rPr>
        <b/>
        <sz val="10"/>
        <rFont val="Arial"/>
        <family val="2"/>
      </rPr>
      <t>Schedule K-1</t>
    </r>
  </si>
  <si>
    <r>
      <rPr>
        <b/>
        <sz val="10"/>
        <rFont val="Arial"/>
        <family val="2"/>
      </rPr>
      <t>(d)</t>
    </r>
    <r>
      <rPr>
        <sz val="10"/>
        <rFont val="Arial"/>
        <family val="2"/>
      </rPr>
      <t xml:space="preserve"> Passive income
from </t>
    </r>
    <r>
      <rPr>
        <b/>
        <sz val="10"/>
        <rFont val="Arial"/>
        <family val="2"/>
      </rPr>
      <t>Schedule K-1</t>
    </r>
  </si>
  <si>
    <r>
      <rPr>
        <b/>
        <sz val="10"/>
        <rFont val="Arial"/>
        <family val="2"/>
      </rPr>
      <t>(f)</t>
    </r>
    <r>
      <rPr>
        <sz val="10"/>
        <rFont val="Arial"/>
        <family val="2"/>
      </rPr>
      <t xml:space="preserve"> Other income from
</t>
    </r>
    <r>
      <rPr>
        <b/>
        <sz val="10"/>
        <rFont val="Arial"/>
        <family val="2"/>
      </rPr>
      <t>Schedule K-1</t>
    </r>
  </si>
  <si>
    <r>
      <rPr>
        <b/>
        <sz val="10"/>
        <rFont val="Arial"/>
        <family val="2"/>
      </rPr>
      <t>(c)</t>
    </r>
    <r>
      <rPr>
        <sz val="10"/>
        <rFont val="Arial"/>
        <family val="2"/>
      </rPr>
      <t xml:space="preserve"> Passive deduction or loss allowed
(attach </t>
    </r>
    <r>
      <rPr>
        <b/>
        <sz val="10"/>
        <rFont val="Arial"/>
        <family val="2"/>
      </rPr>
      <t>Form 8582</t>
    </r>
    <r>
      <rPr>
        <sz val="10"/>
        <rFont val="Arial"/>
        <family val="2"/>
      </rPr>
      <t xml:space="preserve"> if required)</t>
    </r>
  </si>
  <si>
    <t>34a</t>
  </si>
  <si>
    <t>Add columns (d) and (f) of line 34a</t>
  </si>
  <si>
    <t>Add columns (c) and (e) of line 34b</t>
  </si>
  <si>
    <r>
      <rPr>
        <b/>
        <sz val="11"/>
        <rFont val="Arial"/>
        <family val="2"/>
      </rPr>
      <t>Total estate and trust income or (loss).</t>
    </r>
    <r>
      <rPr>
        <sz val="11"/>
        <rFont val="Arial"/>
        <family val="2"/>
      </rPr>
      <t xml:space="preserve"> Combine lines 35 and 36</t>
    </r>
  </si>
  <si>
    <t>Income or Loss From Real Estate Mortgage Investment Conduits (REMICs)—Residual Holder</t>
  </si>
  <si>
    <r>
      <rPr>
        <b/>
        <sz val="9"/>
        <rFont val="Arial"/>
        <family val="2"/>
      </rPr>
      <t>(b)</t>
    </r>
    <r>
      <rPr>
        <sz val="9"/>
        <rFont val="Arial"/>
        <family val="2"/>
      </rPr>
      <t xml:space="preserve"> Employer identification
number</t>
    </r>
  </si>
  <si>
    <r>
      <rPr>
        <b/>
        <sz val="9"/>
        <rFont val="Arial"/>
        <family val="2"/>
      </rPr>
      <t>(a)</t>
    </r>
    <r>
      <rPr>
        <sz val="9"/>
        <rFont val="Arial"/>
        <family val="2"/>
      </rPr>
      <t xml:space="preserve">  Name</t>
    </r>
  </si>
  <si>
    <r>
      <rPr>
        <b/>
        <sz val="8"/>
        <rFont val="Arial"/>
        <family val="2"/>
      </rPr>
      <t>(c)</t>
    </r>
    <r>
      <rPr>
        <sz val="8"/>
        <rFont val="Arial"/>
        <family val="2"/>
      </rPr>
      <t xml:space="preserve"> Excess inclusion from </t>
    </r>
    <r>
      <rPr>
        <b/>
        <sz val="8"/>
        <rFont val="Arial"/>
        <family val="2"/>
      </rPr>
      <t>Schedules Q</t>
    </r>
    <r>
      <rPr>
        <sz val="8"/>
        <rFont val="Arial"/>
        <family val="2"/>
      </rPr>
      <t>, line 2c 
(see instructions)</t>
    </r>
  </si>
  <si>
    <r>
      <rPr>
        <b/>
        <sz val="9"/>
        <rFont val="Arial"/>
        <family val="2"/>
      </rPr>
      <t>(d)</t>
    </r>
    <r>
      <rPr>
        <sz val="9"/>
        <rFont val="Arial"/>
        <family val="2"/>
      </rPr>
      <t xml:space="preserve">  Taxable income (net loss)
from </t>
    </r>
    <r>
      <rPr>
        <b/>
        <sz val="9"/>
        <rFont val="Arial"/>
        <family val="2"/>
      </rPr>
      <t>Schedules Q</t>
    </r>
    <r>
      <rPr>
        <sz val="9"/>
        <rFont val="Arial"/>
        <family val="2"/>
      </rPr>
      <t>, line 1b</t>
    </r>
  </si>
  <si>
    <r>
      <t xml:space="preserve">(e)  Income from
</t>
    </r>
    <r>
      <rPr>
        <b/>
        <sz val="9"/>
        <rFont val="Arial"/>
        <family val="2"/>
      </rPr>
      <t>Schedules Q</t>
    </r>
    <r>
      <rPr>
        <sz val="9"/>
        <rFont val="Arial"/>
        <family val="2"/>
      </rPr>
      <t>, line 3b</t>
    </r>
  </si>
  <si>
    <t>Combine columns (d) and (e) only. Enter the result here and include in the total on line 41 below</t>
  </si>
  <si>
    <t>Summary</t>
  </si>
  <si>
    <r>
      <t xml:space="preserve">Net farm rental income or (loss) from </t>
    </r>
    <r>
      <rPr>
        <b/>
        <sz val="11"/>
        <rFont val="Arial"/>
        <family val="2"/>
      </rPr>
      <t>Form 4835</t>
    </r>
    <r>
      <rPr>
        <sz val="11"/>
        <rFont val="Arial"/>
        <family val="2"/>
      </rPr>
      <t>. Also, complete line 42 below</t>
    </r>
  </si>
  <si>
    <t>Form 1065), box 14, code B; Schedule K-1 (Form 1120S), box 17, code</t>
  </si>
  <si>
    <t>AC; and Schedule K-1 (Form 1041), box 14, code F (see instructions)</t>
  </si>
  <si>
    <t>Line 3 -- Subtract refundable credits listed below:</t>
  </si>
  <si>
    <t>State and local taxes</t>
  </si>
  <si>
    <t xml:space="preserve">State and local real estate taxes (see instructions) </t>
  </si>
  <si>
    <t>State and local personal property taxes</t>
  </si>
  <si>
    <t>Add lines 5a through 5c</t>
  </si>
  <si>
    <t>separately)</t>
  </si>
  <si>
    <t>5e</t>
  </si>
  <si>
    <t xml:space="preserve">.   .   .   .   .   .   .   .   .   .   .   .   .   .   .   .   .   .   .   .   .   .   .   .  </t>
  </si>
  <si>
    <t>Add lines 5e and 6</t>
  </si>
  <si>
    <t xml:space="preserve"> If box 5a (for General Sales Tax) is NOT checked, these amounts will be added into Line 5a.</t>
  </si>
  <si>
    <t>Home mortgage interest and points. If you didn't use all of your</t>
  </si>
  <si>
    <t>home mortgage loan(s) to buy, build, or improve your home,</t>
  </si>
  <si>
    <t>see instructions and check this box</t>
  </si>
  <si>
    <t xml:space="preserve">.   .   .   .   .   .   .   .   .   .   .   .  </t>
  </si>
  <si>
    <t>Interest You</t>
  </si>
  <si>
    <t>8e</t>
  </si>
  <si>
    <t>instructions</t>
  </si>
  <si>
    <t>.   .   .   .   .   .   .   .   .   .   .   .   .   .   .   .   .   .   .   .   .   .   .   .   .   .   .   .   .   .   .   .   .</t>
  </si>
  <si>
    <t>Casualty and theft loss(es) from a federally declared disaster (other than net qualified</t>
  </si>
  <si>
    <t>disaster losses). Attach Form 4684 and enter the amount from line 18 of that form. See</t>
  </si>
  <si>
    <t>Add the amounts in the far right column for lines 4 through 16. Also, enter this amount on</t>
  </si>
  <si>
    <t xml:space="preserve">  Limits on Deductions — Line 14</t>
  </si>
  <si>
    <t>Instruction for Line 5a</t>
  </si>
  <si>
    <t>The spreadsheet automatically includes, on line 5a, income taxes paid based on W-2 &amp; 1099 information.</t>
  </si>
  <si>
    <r>
      <t>Note:</t>
    </r>
    <r>
      <rPr>
        <sz val="8"/>
        <rFont val="Arial"/>
        <family val="2"/>
      </rPr>
      <t xml:space="preserve"> If you</t>
    </r>
  </si>
  <si>
    <r>
      <t xml:space="preserve">Note: </t>
    </r>
    <r>
      <rPr>
        <sz val="8"/>
        <rFont val="Arial"/>
        <family val="2"/>
      </rPr>
      <t>If you</t>
    </r>
  </si>
  <si>
    <t>Foreign Accounts 
and Trusts</t>
  </si>
  <si>
    <t xml:space="preserve">.   .   .   .   .   .  </t>
  </si>
  <si>
    <t xml:space="preserve"> .   .   .   .   .   .   .   .   .   .   .   .   .   .   .   .   .   .   .   .   .   .   .  </t>
  </si>
  <si>
    <t xml:space="preserve">.   .   .   .   .   .   .   .   .   .   .   .   .   .   .   .   .   .   .   .   .   .   .   .   .   .   .   .   .   .   .   .   .   .   .   .   .  </t>
  </si>
  <si>
    <t xml:space="preserve">.   .   .   .   .   .   .   .   .   .   .   .   .   .   .   .   .   .   .   .   .   .   .   .   .   .   .   .   .   .   .   .   .   .  </t>
  </si>
  <si>
    <t xml:space="preserve">.   .   .   .   .   .   .   .   .   .  </t>
  </si>
  <si>
    <t>Travel and meals:</t>
  </si>
  <si>
    <t>Deductible meals (see</t>
  </si>
  <si>
    <t xml:space="preserve">.   .   .   .   .   .   .   .   .   .   .   .   .   .   .   .   .   .   .   .   .   .   .   .   .   .   .   .  </t>
  </si>
  <si>
    <t>Program payments included on Schedule F, line 4b, or listed on Schedule K-1 (Form 1065), box 20, code AH</t>
  </si>
  <si>
    <t xml:space="preserve">.  </t>
  </si>
  <si>
    <t>.   .   .   .</t>
  </si>
  <si>
    <t>Subtract line 8d from line 7. If zero or less, enter -0- here and on line 10 and go to line 11</t>
  </si>
  <si>
    <t>From Sch. F, line 9, and Sch. K-1 (Form 1065), box 14, code B.</t>
  </si>
  <si>
    <t>accrual method, enter the amount from Part III, line 50.  See instructions</t>
  </si>
  <si>
    <t>Reserved for future use.</t>
  </si>
  <si>
    <t>Forestry and logging (including forest nurseries and</t>
  </si>
  <si>
    <t>Excess social security and tier 1 RRTA tax withheld</t>
  </si>
  <si>
    <t xml:space="preserve">Under penalties of perjury, I declare that I have examined this return and accompanying schedules and statements, and to the best of my knowledge and belief, they are true, </t>
  </si>
  <si>
    <t>correct, and complete. Declaration of preparer (other than taxpayer) is based on all information of which preparer has any knowledge.</t>
  </si>
  <si>
    <r>
      <rPr>
        <b/>
        <sz val="9"/>
        <rFont val="Arial"/>
        <family val="2"/>
      </rPr>
      <t>Standard deduction or itemized deductions</t>
    </r>
    <r>
      <rPr>
        <sz val="9"/>
        <rFont val="Arial"/>
        <family val="2"/>
      </rPr>
      <t xml:space="preserve">   (from Schedule A)</t>
    </r>
  </si>
  <si>
    <t xml:space="preserve"> .   .   . </t>
  </si>
  <si>
    <t>here</t>
  </si>
  <si>
    <t>enter here</t>
  </si>
  <si>
    <t>Beneficiary</t>
  </si>
  <si>
    <t>HSA</t>
  </si>
  <si>
    <t>Additional tax.</t>
  </si>
  <si>
    <t>Destination</t>
  </si>
  <si>
    <t>t</t>
  </si>
  <si>
    <t>s</t>
  </si>
  <si>
    <t>r</t>
  </si>
  <si>
    <t>q</t>
  </si>
  <si>
    <t>p</t>
  </si>
  <si>
    <t>n</t>
  </si>
  <si>
    <t>m</t>
  </si>
  <si>
    <t>k</t>
  </si>
  <si>
    <t>separately and line 4 is more than</t>
  </si>
  <si>
    <t>additional amount on line 4. If line 4 is</t>
  </si>
  <si>
    <t xml:space="preserve">     Alternative Minimum Tax (AMT)</t>
  </si>
  <si>
    <t>Subtract line 5 from line 4. If more than zero, go to line 7. If zero or less, enter -0- here and on lines 7, 9,</t>
  </si>
  <si>
    <t>and 11 and go to line 10</t>
  </si>
  <si>
    <t>AND line 4 is not over . . .</t>
  </si>
  <si>
    <t>THEN enter on line 5 . . .</t>
  </si>
  <si>
    <t>Enter the amount from line 21</t>
  </si>
  <si>
    <t>Add line 26 and line 27</t>
  </si>
  <si>
    <t>Subtract line 28 from line 25. If zero or less, enter -0-</t>
  </si>
  <si>
    <t>Enter the smaller of line 24 or line 29</t>
  </si>
  <si>
    <t>Add lines 23 and 30</t>
  </si>
  <si>
    <t>Subtract line 32 from line 22</t>
  </si>
  <si>
    <t>If line 14 is zero or blank, skip lines 35 through 37 and go to line 38. Otherwise, go to line 35.</t>
  </si>
  <si>
    <t>Add lines 17, 32, and 33</t>
  </si>
  <si>
    <t>Subtract line 35 from line 12</t>
  </si>
  <si>
    <t>Add lines 18, 31, 34, and 37</t>
  </si>
  <si>
    <t>Paste data from other spreadsheets, reports, etc. here.  (Use 'Paste Special, Values')</t>
  </si>
  <si>
    <t>to Line 4.</t>
  </si>
  <si>
    <t>Sch. D</t>
  </si>
  <si>
    <t>1040</t>
  </si>
  <si>
    <t>Firm’s address</t>
  </si>
  <si>
    <t xml:space="preserve">.   .   .  </t>
  </si>
  <si>
    <t>Direct deposit?</t>
  </si>
  <si>
    <t>Sch. B, Line 1 (If line 3A is "Y")</t>
  </si>
  <si>
    <t>Sch. SE</t>
  </si>
  <si>
    <t>See instructions for how to figure the amounts to enter on the 
lines below.
This form may be easier to complete if you round off cents to whole dollars.</t>
  </si>
  <si>
    <r>
      <rPr>
        <b/>
        <sz val="7"/>
        <rFont val="Arial"/>
        <family val="2"/>
      </rPr>
      <t xml:space="preserve">(g)
</t>
    </r>
    <r>
      <rPr>
        <sz val="7"/>
        <rFont val="Arial"/>
        <family val="2"/>
      </rPr>
      <t>Adjustments 
to gain or loss from
Form(s) 8949, Part I,
line 2, column (g)</t>
    </r>
  </si>
  <si>
    <r>
      <rPr>
        <b/>
        <sz val="7"/>
        <rFont val="Arial"/>
        <family val="2"/>
      </rPr>
      <t xml:space="preserve">(h) Gain or (loss) </t>
    </r>
    <r>
      <rPr>
        <sz val="7"/>
        <rFont val="Arial"/>
        <family val="2"/>
      </rPr>
      <t xml:space="preserve">
Subtract column (e) 
from column (d) and 
combine the result 
with column (g)</t>
    </r>
  </si>
  <si>
    <t>–  Generally Assets Held More Than One Year</t>
  </si>
  <si>
    <t>–  Generally Assets Held One Year or Less</t>
  </si>
  <si>
    <t>See instructions for how to figure the amounts to enter on the 
lines below.  
This form may be easier to complete if you round off cents to 
whole dollars.</t>
  </si>
  <si>
    <r>
      <t xml:space="preserve">No. </t>
    </r>
    <r>
      <rPr>
        <sz val="10"/>
        <rFont val="Arial"/>
        <family val="2"/>
      </rPr>
      <t xml:space="preserve">Complete the </t>
    </r>
    <r>
      <rPr>
        <b/>
        <sz val="10"/>
        <rFont val="Arial"/>
        <family val="2"/>
      </rPr>
      <t>Schedule D Tax Worksheet</t>
    </r>
    <r>
      <rPr>
        <sz val="10"/>
        <rFont val="Arial"/>
        <family val="2"/>
      </rPr>
      <t xml:space="preserve"> in the instructions. </t>
    </r>
    <r>
      <rPr>
        <b/>
        <sz val="10"/>
        <rFont val="Arial"/>
        <family val="2"/>
      </rPr>
      <t>Don't</t>
    </r>
    <r>
      <rPr>
        <sz val="10"/>
        <rFont val="Arial"/>
        <family val="2"/>
      </rPr>
      <t xml:space="preserve"> complete lines 21</t>
    </r>
  </si>
  <si>
    <t>Tax on Line 1.</t>
  </si>
  <si>
    <t>Sum of Lines 2 and 3.</t>
  </si>
  <si>
    <t>Tax on all taxable income.</t>
  </si>
  <si>
    <t>take the credit</t>
  </si>
  <si>
    <t>Section 951A income</t>
  </si>
  <si>
    <t>Foreign branch income</t>
  </si>
  <si>
    <r>
      <t xml:space="preserve">Use a separate Form 1116 for each category of income listed below. See </t>
    </r>
    <r>
      <rPr>
        <i/>
        <sz val="9"/>
        <rFont val="Arial"/>
        <family val="2"/>
      </rPr>
      <t>Categories of Income</t>
    </r>
    <r>
      <rPr>
        <sz val="9"/>
        <rFont val="Arial"/>
        <family val="2"/>
      </rPr>
      <t xml:space="preserve"> in the instructions. </t>
    </r>
  </si>
  <si>
    <t>Check only one box on each</t>
  </si>
  <si>
    <t xml:space="preserve">Form 1116. </t>
  </si>
  <si>
    <t>Report all amounts in U.S. dollars except where specified in Part II below.</t>
  </si>
  <si>
    <t>Certain itemized deductions or standard deduction</t>
  </si>
  <si>
    <t>Pro rata share of interest expense (see instructions):</t>
  </si>
  <si>
    <t>(j)</t>
  </si>
  <si>
    <t>(k)</t>
  </si>
  <si>
    <r>
      <t xml:space="preserve">(l) </t>
    </r>
    <r>
      <rPr>
        <sz val="8"/>
        <rFont val="Arial"/>
        <family val="2"/>
      </rPr>
      <t>Date paid</t>
    </r>
  </si>
  <si>
    <r>
      <rPr>
        <b/>
        <sz val="8"/>
        <rFont val="Arial"/>
        <family val="2"/>
      </rPr>
      <t xml:space="preserve">(m)
</t>
    </r>
    <r>
      <rPr>
        <sz val="8"/>
        <rFont val="Arial"/>
        <family val="2"/>
      </rPr>
      <t>Dividends</t>
    </r>
  </si>
  <si>
    <r>
      <rPr>
        <b/>
        <sz val="8"/>
        <rFont val="Arial"/>
        <family val="2"/>
      </rPr>
      <t>(n)</t>
    </r>
    <r>
      <rPr>
        <sz val="8"/>
        <rFont val="Arial"/>
        <family val="2"/>
      </rPr>
      <t xml:space="preserve"> Rents
and royalties</t>
    </r>
  </si>
  <si>
    <r>
      <rPr>
        <b/>
        <sz val="8"/>
        <rFont val="Arial"/>
        <family val="2"/>
      </rPr>
      <t>(o)</t>
    </r>
    <r>
      <rPr>
        <sz val="8"/>
        <rFont val="Arial"/>
        <family val="2"/>
      </rPr>
      <t xml:space="preserve"> Interest</t>
    </r>
  </si>
  <si>
    <r>
      <rPr>
        <b/>
        <sz val="8"/>
        <rFont val="Arial"/>
        <family val="2"/>
      </rPr>
      <t>(p)</t>
    </r>
    <r>
      <rPr>
        <sz val="8"/>
        <rFont val="Arial"/>
        <family val="2"/>
      </rPr>
      <t xml:space="preserve"> Other
foreign taxes
paid or
accrued</t>
    </r>
  </si>
  <si>
    <r>
      <rPr>
        <b/>
        <sz val="8"/>
        <rFont val="Arial"/>
        <family val="2"/>
      </rPr>
      <t>(q)</t>
    </r>
    <r>
      <rPr>
        <sz val="8"/>
        <rFont val="Arial"/>
        <family val="2"/>
      </rPr>
      <t xml:space="preserve"> Dividends</t>
    </r>
  </si>
  <si>
    <r>
      <rPr>
        <b/>
        <sz val="8"/>
        <rFont val="Arial"/>
        <family val="2"/>
      </rPr>
      <t>(r)</t>
    </r>
    <r>
      <rPr>
        <sz val="8"/>
        <rFont val="Arial"/>
        <family val="2"/>
      </rPr>
      <t xml:space="preserve"> Rents
and royalties</t>
    </r>
  </si>
  <si>
    <r>
      <rPr>
        <b/>
        <sz val="8"/>
        <rFont val="Arial"/>
        <family val="2"/>
      </rPr>
      <t>(s)</t>
    </r>
    <r>
      <rPr>
        <sz val="8"/>
        <rFont val="Arial"/>
        <family val="2"/>
      </rPr>
      <t xml:space="preserve"> Interest</t>
    </r>
  </si>
  <si>
    <r>
      <rPr>
        <b/>
        <sz val="8"/>
        <rFont val="Arial"/>
        <family val="2"/>
      </rPr>
      <t>(t)</t>
    </r>
    <r>
      <rPr>
        <sz val="8"/>
        <rFont val="Arial"/>
        <family val="2"/>
      </rPr>
      <t xml:space="preserve"> Other
foreign taxes
paid or
accrued</t>
    </r>
  </si>
  <si>
    <t>Add lines A through C, column (u). Enter the total here and on line 9, page 2</t>
  </si>
  <si>
    <t>(If your income was section 951A income (box a above Part I), leave</t>
  </si>
  <si>
    <t>line 10 blank.)</t>
  </si>
  <si>
    <r>
      <rPr>
        <b/>
        <sz val="10"/>
        <rFont val="Arial"/>
        <family val="2"/>
      </rPr>
      <t>Caution:</t>
    </r>
    <r>
      <rPr>
        <sz val="10"/>
        <rFont val="Arial"/>
        <family val="2"/>
      </rPr>
      <t xml:space="preserve"> If you are completing line 20 for separate category </t>
    </r>
    <r>
      <rPr>
        <b/>
        <sz val="10"/>
        <rFont val="Arial"/>
        <family val="2"/>
      </rPr>
      <t>g</t>
    </r>
    <r>
      <rPr>
        <sz val="10"/>
        <rFont val="Arial"/>
        <family val="2"/>
      </rPr>
      <t xml:space="preserve"> (lump-sum distributions), see</t>
    </r>
  </si>
  <si>
    <t>Credit for taxes on section 951A income</t>
  </si>
  <si>
    <t>Credit for taxes on foreign branch income</t>
  </si>
  <si>
    <t>Credit for taxes on section 901(j) income</t>
  </si>
  <si>
    <t xml:space="preserve">.   .   .   .   .   .   .   .   .   .   .   .   .  </t>
  </si>
  <si>
    <t xml:space="preserve">.   .   .   .   .   .   .   .   .  </t>
  </si>
  <si>
    <t xml:space="preserve">.   .   .   .   .   .   .   .   .   .   .   .   .   .   .   .   .   .   .  </t>
  </si>
  <si>
    <t xml:space="preserve">.   .   .   .   .   .   .   .   .   .   .   .   .   .   .   .   .   .   .   .   .   .   .   .   .   .   .   .   .   .   .   .   .  </t>
  </si>
  <si>
    <t xml:space="preserve">.   .   .   .   .   .   .   .  </t>
  </si>
  <si>
    <r>
      <rPr>
        <b/>
        <sz val="8"/>
        <rFont val="Arial"/>
        <family val="2"/>
      </rPr>
      <t>(u)</t>
    </r>
    <r>
      <rPr>
        <sz val="8"/>
        <rFont val="Arial"/>
        <family val="2"/>
      </rPr>
      <t xml:space="preserve"> Total foreign
taxes paid or
accrued (add cols.
(q) through (t))</t>
    </r>
  </si>
  <si>
    <r>
      <t xml:space="preserve"> Taxable Income or Loss From Sources Outside the United States </t>
    </r>
    <r>
      <rPr>
        <sz val="11"/>
        <rFont val="Arial"/>
        <family val="2"/>
      </rPr>
      <t>(for category checked above)</t>
    </r>
  </si>
  <si>
    <r>
      <t xml:space="preserve">Foreign Taxes Paid or Accrued </t>
    </r>
    <r>
      <rPr>
        <sz val="14"/>
        <rFont val="Arial"/>
        <family val="2"/>
      </rPr>
      <t xml:space="preserve"> (see instructions)</t>
    </r>
  </si>
  <si>
    <t>Credit is claimed 
for taxes 
(you must check one)</t>
  </si>
  <si>
    <t xml:space="preserve"> .  </t>
  </si>
  <si>
    <t xml:space="preserve">.   .  </t>
  </si>
  <si>
    <t xml:space="preserve">.   .   .   .   .   .   .   .   .   .   .   .   .   .   .   .   .   .   .   .   .   .   .   .   .   .   .   .   .  </t>
  </si>
  <si>
    <t xml:space="preserve">instructions). </t>
  </si>
  <si>
    <t>If zero or less, enter -0-</t>
  </si>
  <si>
    <t>Subtract line 19b from line 19a.</t>
  </si>
  <si>
    <t>Line 21—Net Investment Income</t>
  </si>
  <si>
    <t>Tax for Estates and Trusts</t>
  </si>
  <si>
    <t>on Form 1041, Schedule G, line 4, and</t>
  </si>
  <si>
    <t>see the instructions there.</t>
  </si>
  <si>
    <r>
      <t>l</t>
    </r>
    <r>
      <rPr>
        <sz val="8"/>
        <rFont val="Arial"/>
        <family val="2"/>
      </rPr>
      <t xml:space="preserve"> </t>
    </r>
    <r>
      <rPr>
        <sz val="9"/>
        <rFont val="Arial"/>
        <family val="2"/>
      </rPr>
      <t xml:space="preserve"> Form 1041 filers: Include this amount</t>
    </r>
  </si>
  <si>
    <r>
      <t>l</t>
    </r>
    <r>
      <rPr>
        <sz val="8"/>
        <rFont val="Arial"/>
        <family val="2"/>
      </rPr>
      <t xml:space="preserve"> </t>
    </r>
    <r>
      <rPr>
        <sz val="9"/>
        <rFont val="Arial"/>
        <family val="2"/>
      </rPr>
      <t xml:space="preserve"> Form 1041-QFT filers: Include this</t>
    </r>
  </si>
  <si>
    <t>Qualified Dividends and Capital Gain Tax Worksheet</t>
  </si>
  <si>
    <t>Note:  To figure the annualized entries for lines 2, 3, and 5 below, multiply the expected amount for the period by the</t>
  </si>
  <si>
    <t>annualization amount on line 2 of Schedule AI for the same period.</t>
  </si>
  <si>
    <t>2b.</t>
  </si>
  <si>
    <t>Publication 505, Worksheet 4-2</t>
  </si>
  <si>
    <t>Foreign Earned Income Tax Worksheet</t>
  </si>
  <si>
    <t xml:space="preserve">Before you begin:  </t>
  </si>
  <si>
    <t>period</t>
  </si>
  <si>
    <t>Form 2555, lines 45 and 50, or Form 2555-EZ, line 18) in figuring the amount entered for the period on line 1</t>
  </si>
  <si>
    <t>Dividends and Capital Gain Tax Worksheet,*** or Schedule D Tax Worksheet,*** whichever applies. See the</t>
  </si>
  <si>
    <t xml:space="preserve"> Use the Tax Table, Tax Computation Worksheet, Form 8615,** Qualified</t>
  </si>
  <si>
    <t>Tax on the amount on line 2.</t>
  </si>
  <si>
    <t>Instructions for Form 1040 to figure this tax. If the amount on line 7 is $100,000 or more, use the Tax</t>
  </si>
  <si>
    <t>Computation Worksheet in the 2017 Instructions for Form 1040</t>
  </si>
  <si>
    <t>Subtract line 5 from line 4. Enter the result here and on line 12 of Schedule AI. If zero or less,</t>
  </si>
  <si>
    <t>enter -0-</t>
  </si>
  <si>
    <t>* To figure the annualized amount for line 2, multiply the exclusion or deduction for the period by the annualization amount on line 2 of Schedule AI for the same period.
** If you use Form 8615 to figure the tax on line 4 above, enter the amount from line 3 above on line 4 of Form 8615.
If the child's parent files Form 2555 or 2555-EZ, enter the amounts from lines 3 and 4 of the parent's Foreign Earned
Income Tax Worksheet on lines 6 and 10, respectively, of Form 8615. Complete the rest of Form 8615 according to
its instructions. Then complete lines 5 and 6 above.
*** Enter the amount from line 3 above on line 1 of the Qualified Dividends and Capital Gain Tax Worksheet (or
Worksheet 4-1 in this chapter) or the Schedule D Tax Worksheet, whichever worksheet you use to figure the tax on
line 4 above. Complete that worksheet through line 6 (line 10 if you use the Schedule D Tax Worksheet). Next,
determine if you have a capital gain excess.</t>
  </si>
  <si>
    <t>See Publication 505 for other notes and instructions.</t>
  </si>
  <si>
    <t>MFJ/QW</t>
  </si>
  <si>
    <t>Tax &gt;&gt;</t>
  </si>
  <si>
    <r>
      <rPr>
        <b/>
        <sz val="11"/>
        <rFont val="Arial"/>
        <family val="2"/>
      </rPr>
      <t>Note.</t>
    </r>
    <r>
      <rPr>
        <sz val="11"/>
        <rFont val="Arial"/>
        <family val="2"/>
      </rPr>
      <t xml:space="preserve"> If you plan to file a joint income tax return, include your spouse's amounts, if any, on lines A, C, and D</t>
    </r>
  </si>
  <si>
    <t>Get More Information 
From the IRS</t>
  </si>
  <si>
    <t>Qualified Dividends and</t>
  </si>
  <si>
    <t>Capital Gain Tax Worksheet</t>
  </si>
  <si>
    <t>Section 199A dividends</t>
  </si>
  <si>
    <t>Add lines 14 and 15</t>
  </si>
  <si>
    <t>Enter one-half of line 12</t>
  </si>
  <si>
    <r>
      <t xml:space="preserve">Enter the </t>
    </r>
    <r>
      <rPr>
        <b/>
        <sz val="10"/>
        <rFont val="Arial"/>
        <family val="2"/>
      </rPr>
      <t>smaller</t>
    </r>
    <r>
      <rPr>
        <sz val="10"/>
        <rFont val="Arial"/>
        <family val="2"/>
      </rPr>
      <t xml:space="preserve"> of line 2 or line 13</t>
    </r>
  </si>
  <si>
    <t>.   .   .   .   .   .   .   .   .   .   .   .   .   .   .   .   .</t>
  </si>
  <si>
    <r>
      <t xml:space="preserve">Yes. </t>
    </r>
    <r>
      <rPr>
        <sz val="10"/>
        <rFont val="Arial"/>
        <family val="2"/>
      </rPr>
      <t xml:space="preserve"> Subtract line 8 from line 7</t>
    </r>
    <r>
      <rPr>
        <b/>
        <sz val="10"/>
        <rFont val="Arial"/>
        <family val="2"/>
      </rPr>
      <t xml:space="preserve">.   .   .   .   .   .   .   .   .   .   .   </t>
    </r>
  </si>
  <si>
    <t xml:space="preserve">Check if: </t>
  </si>
  <si>
    <r>
      <rPr>
        <b/>
        <sz val="10"/>
        <rFont val="Arial"/>
        <family val="2"/>
      </rPr>
      <t>Spouse</t>
    </r>
    <r>
      <rPr>
        <sz val="10"/>
        <rFont val="Arial"/>
        <family val="2"/>
      </rPr>
      <t xml:space="preserve"> was born before</t>
    </r>
  </si>
  <si>
    <r>
      <rPr>
        <b/>
        <sz val="10"/>
        <rFont val="Arial"/>
        <family val="2"/>
      </rPr>
      <t>You</t>
    </r>
    <r>
      <rPr>
        <sz val="10"/>
        <rFont val="Arial"/>
        <family val="2"/>
      </rPr>
      <t xml:space="preserve">  were  born   before</t>
    </r>
  </si>
  <si>
    <t>You  are blind</t>
  </si>
  <si>
    <t>Spouse is blind</t>
  </si>
  <si>
    <r>
      <rPr>
        <sz val="10"/>
        <rFont val="Arial"/>
        <family val="2"/>
      </rPr>
      <t xml:space="preserve">checked  </t>
    </r>
    <r>
      <rPr>
        <b/>
        <sz val="10"/>
        <rFont val="Arial"/>
        <family val="2"/>
      </rPr>
      <t xml:space="preserve">.   .   .   .   .   .   .   .   .   .   .   .   .   .  </t>
    </r>
  </si>
  <si>
    <t>Total number of boxes</t>
  </si>
  <si>
    <r>
      <rPr>
        <b/>
        <sz val="10"/>
        <rFont val="Arial"/>
        <family val="2"/>
      </rPr>
      <t>stop here</t>
    </r>
    <r>
      <rPr>
        <sz val="10"/>
        <rFont val="Arial"/>
        <family val="2"/>
      </rPr>
      <t xml:space="preserve"> and enter</t>
    </r>
  </si>
  <si>
    <t>Qualified business income deduction before the income limitation. Add lines 5 and 9</t>
  </si>
  <si>
    <t>FEITW, Line 3</t>
  </si>
  <si>
    <r>
      <rPr>
        <b/>
        <sz val="10"/>
        <rFont val="Arial"/>
        <family val="2"/>
      </rPr>
      <t>Figure the tax on the amount on line 3.</t>
    </r>
    <r>
      <rPr>
        <sz val="10"/>
        <rFont val="Arial"/>
        <family val="2"/>
      </rPr>
      <t xml:space="preserve"> Use the Tax Table, Tax Computation Worksheet,</t>
    </r>
  </si>
  <si>
    <r>
      <rPr>
        <b/>
        <sz val="10"/>
        <rFont val="Arial"/>
        <family val="2"/>
      </rPr>
      <t>Figure the tax on the amount on line 2c.</t>
    </r>
    <r>
      <rPr>
        <sz val="10"/>
        <rFont val="Arial"/>
        <family val="2"/>
      </rPr>
      <t xml:space="preserve"> If the amount on line 2c is less than $100,000, use the</t>
    </r>
  </si>
  <si>
    <t xml:space="preserve">.   .   .   .   .   .   .   .   .   .   .   .   .   .   .   .   .   .   .   .   .   .  </t>
  </si>
  <si>
    <t>Number of qualifying children.</t>
  </si>
  <si>
    <t>Number of other dependents.</t>
  </si>
  <si>
    <t>or 1b, then in the column for the IRA of the person who was not covered by a</t>
  </si>
  <si>
    <t>income-producing factor, minus any deductions on Schedule 1,</t>
  </si>
  <si>
    <t>If zero or less, enter -0-.</t>
  </si>
  <si>
    <t>Enter traditional IRA contributions made, or that will be made by the due date</t>
  </si>
  <si>
    <t>Taxable_Inc</t>
  </si>
  <si>
    <t xml:space="preserve"> .   .   .   .   .   .   .   .   .   .   .   .   .</t>
  </si>
  <si>
    <t>a smaller amount and treat the rest as a nondeductible contribution (see Form 8606)</t>
  </si>
  <si>
    <r>
      <t xml:space="preserve">Attachment
Sequence  </t>
    </r>
    <r>
      <rPr>
        <b/>
        <sz val="12"/>
        <rFont val="Arial"/>
        <family val="2"/>
      </rPr>
      <t>01</t>
    </r>
  </si>
  <si>
    <r>
      <t xml:space="preserve">Attachment
Sequence  </t>
    </r>
    <r>
      <rPr>
        <b/>
        <sz val="12"/>
        <rFont val="Arial"/>
        <family val="2"/>
      </rPr>
      <t>03</t>
    </r>
  </si>
  <si>
    <t>requirements listed in the instructions under  "Married Persons Filing Separately."</t>
  </si>
  <si>
    <r>
      <t xml:space="preserve"> </t>
    </r>
    <r>
      <rPr>
        <b/>
        <sz val="10"/>
        <rFont val="Arial"/>
        <family val="2"/>
      </rPr>
      <t>No.</t>
    </r>
    <r>
      <rPr>
        <sz val="10"/>
        <rFont val="Arial"/>
        <family val="2"/>
      </rPr>
      <t xml:space="preserve">   I don't meet these requirements and, therefore, I can't take the credit.</t>
    </r>
  </si>
  <si>
    <t>meet the requirements</t>
  </si>
  <si>
    <t>to be considered</t>
  </si>
  <si>
    <t>unmarried' for the</t>
  </si>
  <si>
    <t>Check 'Yes' or 'No'</t>
  </si>
  <si>
    <t>box to the right</t>
  </si>
  <si>
    <t xml:space="preserve">     instructions.</t>
  </si>
  <si>
    <r>
      <t>Otherwise, subtract line 24 from the smaller of line 20 or line 21.   If zero or less, enter -0-.</t>
    </r>
    <r>
      <rPr>
        <b/>
        <sz val="10"/>
        <rFont val="Arial"/>
        <family val="2"/>
      </rPr>
      <t/>
    </r>
  </si>
  <si>
    <t>credit, complete lines 27 through 31 below.</t>
  </si>
  <si>
    <r>
      <rPr>
        <b/>
        <sz val="10"/>
        <rFont val="Arial"/>
        <family val="2"/>
      </rPr>
      <t>Sch. SE</t>
    </r>
    <r>
      <rPr>
        <sz val="10"/>
        <rFont val="Arial"/>
        <family val="2"/>
      </rPr>
      <t>, Line 8a</t>
    </r>
  </si>
  <si>
    <t>SS Tax Rate:</t>
  </si>
  <si>
    <t>Maximum SS Tax Earnings:</t>
  </si>
  <si>
    <t>Max. SS Tax:</t>
  </si>
  <si>
    <t>Employer count (You)</t>
  </si>
  <si>
    <t>Employer count (Spouse)</t>
  </si>
  <si>
    <r>
      <rPr>
        <b/>
        <sz val="10"/>
        <rFont val="Arial"/>
        <family val="2"/>
      </rPr>
      <t>Form 8959</t>
    </r>
    <r>
      <rPr>
        <sz val="10"/>
        <rFont val="Arial"/>
        <family val="2"/>
      </rPr>
      <t>, Additional Medicare Tax, Who Must File, Criterion 2 and 4; Line 14</t>
    </r>
  </si>
  <si>
    <r>
      <rPr>
        <b/>
        <sz val="10"/>
        <rFont val="Arial"/>
        <family val="2"/>
      </rPr>
      <t>Form 8959</t>
    </r>
    <r>
      <rPr>
        <sz val="10"/>
        <rFont val="Arial"/>
        <family val="2"/>
      </rPr>
      <t>, Additional Medicare Tax, Line 23</t>
    </r>
  </si>
  <si>
    <r>
      <rPr>
        <b/>
        <sz val="10"/>
        <rFont val="Arial"/>
        <family val="2"/>
      </rPr>
      <t>Sch. A</t>
    </r>
    <r>
      <rPr>
        <sz val="10"/>
        <rFont val="Arial"/>
        <family val="2"/>
      </rPr>
      <t>, Line 5</t>
    </r>
  </si>
  <si>
    <r>
      <rPr>
        <b/>
        <sz val="10"/>
        <rFont val="Arial"/>
        <family val="2"/>
      </rPr>
      <t>Form 1040</t>
    </r>
    <r>
      <rPr>
        <sz val="10"/>
        <rFont val="Arial"/>
        <family val="2"/>
      </rPr>
      <t>, Line 1.</t>
    </r>
  </si>
  <si>
    <r>
      <rPr>
        <b/>
        <sz val="10"/>
        <rFont val="Arial"/>
        <family val="2"/>
      </rPr>
      <t>Form 8959, Who Must File, Criterion 3; Form 8959,</t>
    </r>
    <r>
      <rPr>
        <sz val="10"/>
        <rFont val="Arial"/>
        <family val="2"/>
      </rPr>
      <t xml:space="preserve"> Additional Medicare Tax, Line 1</t>
    </r>
  </si>
  <si>
    <r>
      <rPr>
        <b/>
        <sz val="10"/>
        <rFont val="Arial"/>
        <family val="2"/>
      </rPr>
      <t>Form 2441</t>
    </r>
    <r>
      <rPr>
        <sz val="10"/>
        <rFont val="Arial"/>
        <family val="2"/>
      </rPr>
      <t>, Part III, Line 12</t>
    </r>
  </si>
  <si>
    <t>Tax family size. Enter your tax family size (see instructions).</t>
  </si>
  <si>
    <t>Enter total amount of premiums for qualified long-term insurance contracts</t>
  </si>
  <si>
    <t>Enter limit on long-term contract premiums (see instructions)</t>
  </si>
  <si>
    <t>Add lines 4 and 5.  Include this amount on Schedule A, line 1.</t>
  </si>
  <si>
    <t>Medical and Dental Expenses Worksheet -- Line 1</t>
  </si>
  <si>
    <r>
      <t xml:space="preserve">Enter </t>
    </r>
    <r>
      <rPr>
        <b/>
        <u/>
        <sz val="10"/>
        <rFont val="Arial"/>
        <family val="2"/>
      </rPr>
      <t>all</t>
    </r>
    <r>
      <rPr>
        <sz val="10"/>
        <rFont val="Arial"/>
        <family val="2"/>
      </rPr>
      <t xml:space="preserve"> </t>
    </r>
    <r>
      <rPr>
        <b/>
        <u/>
        <sz val="10"/>
        <rFont val="Arial"/>
        <family val="2"/>
      </rPr>
      <t>other</t>
    </r>
    <r>
      <rPr>
        <sz val="10"/>
        <rFont val="Arial"/>
        <family val="2"/>
      </rPr>
      <t xml:space="preserve"> medical and dental expenses</t>
    </r>
  </si>
  <si>
    <t>Worksheets for</t>
  </si>
  <si>
    <t xml:space="preserve">available at the right. </t>
  </si>
  <si>
    <t xml:space="preserve"> of the person for whom the premiums were paid.</t>
  </si>
  <si>
    <t>Maine</t>
  </si>
  <si>
    <t>Mass.</t>
  </si>
  <si>
    <t>D.C.</t>
  </si>
  <si>
    <t>Emancipation Day (D.C.)</t>
  </si>
  <si>
    <t>For 'Patriots' Day or</t>
  </si>
  <si>
    <t>Spouse cannot be claimed.</t>
  </si>
  <si>
    <t>If you are filing Form 2555 or 2555-EZ, you must use the Foreign Earned Income Tax Worksheet instead.</t>
  </si>
  <si>
    <t>Line 7</t>
  </si>
  <si>
    <t>Line 26</t>
  </si>
  <si>
    <t>Line 24</t>
  </si>
  <si>
    <t xml:space="preserve">.    .    .    .    .    .    .    .    .    .    .    .    .    .    .    .    .    .    .    .    .    .    .    .    .    .    .    .    . </t>
  </si>
  <si>
    <t xml:space="preserve">.    .    .    .    .    .    .    .    .    .    .    .    .    .    .    .    .    .    . </t>
  </si>
  <si>
    <t>Line 3a = 0</t>
  </si>
  <si>
    <t>Line 10 &lt;= 0</t>
  </si>
  <si>
    <r>
      <t xml:space="preserve">Figure the tax on the amount on </t>
    </r>
    <r>
      <rPr>
        <b/>
        <sz val="10"/>
        <rFont val="Arial"/>
        <family val="2"/>
      </rPr>
      <t>line 1</t>
    </r>
    <r>
      <rPr>
        <sz val="10"/>
        <rFont val="Arial"/>
        <family val="2"/>
      </rPr>
      <t>. If the amount on line 1 is less than $100,000, use the Tax Table to figure the tax.</t>
    </r>
  </si>
  <si>
    <t>Sch. D WS</t>
  </si>
  <si>
    <r>
      <t xml:space="preserve">annuity starting date was </t>
    </r>
    <r>
      <rPr>
        <b/>
        <sz val="9"/>
        <rFont val="Arial"/>
        <family val="2"/>
      </rPr>
      <t>before</t>
    </r>
    <r>
      <rPr>
        <sz val="9"/>
        <rFont val="Arial"/>
        <family val="2"/>
      </rPr>
      <t xml:space="preserve"> 1987, skip lines 6 and 7 and enter this amount on line 8.</t>
    </r>
  </si>
  <si>
    <r>
      <t xml:space="preserve">number from </t>
    </r>
    <r>
      <rPr>
        <b/>
        <sz val="9"/>
        <rFont val="Arial"/>
        <family val="2"/>
      </rPr>
      <t>Table 2</t>
    </r>
    <r>
      <rPr>
        <sz val="9"/>
        <rFont val="Arial"/>
        <family val="2"/>
      </rPr>
      <t xml:space="preserve"> below</t>
    </r>
  </si>
  <si>
    <r>
      <t xml:space="preserve">1997 </t>
    </r>
    <r>
      <rPr>
        <b/>
        <sz val="9"/>
        <rFont val="Arial"/>
        <family val="2"/>
      </rPr>
      <t>and</t>
    </r>
    <r>
      <rPr>
        <sz val="9"/>
        <rFont val="Arial"/>
        <family val="2"/>
      </rPr>
      <t xml:space="preserve"> the payments are for your life and that of your beneficiary, enter the appropriate</t>
    </r>
  </si>
  <si>
    <t xml:space="preserve"> .   .   .   .   .   .   .   .   .   .   .   .   .   .   .   .   .   .   .</t>
  </si>
  <si>
    <t>.   .   .   .   .   .   .   .   .   .   .   .   .   .   .   .   .   .   .   .   .</t>
  </si>
  <si>
    <t>.   .   .   .   .   .</t>
  </si>
  <si>
    <t>Sch. C</t>
  </si>
  <si>
    <t>Sch. E</t>
  </si>
  <si>
    <t>Sch. F</t>
  </si>
  <si>
    <t>Source:</t>
  </si>
  <si>
    <t>Sheet "1099-INT", Line 2</t>
  </si>
  <si>
    <r>
      <t xml:space="preserve">Be sure you have read the </t>
    </r>
    <r>
      <rPr>
        <b/>
        <sz val="10"/>
        <rFont val="Arial"/>
        <family val="2"/>
      </rPr>
      <t>Exception</t>
    </r>
    <r>
      <rPr>
        <sz val="10"/>
        <rFont val="Arial"/>
        <family val="2"/>
      </rPr>
      <t xml:space="preserve"> in the instructions for this line to see if you can use this worksheet instead of</t>
    </r>
  </si>
  <si>
    <t>Enter the amount from Schedule A, line 7</t>
  </si>
  <si>
    <t>Subtract line 4 from line 3</t>
  </si>
  <si>
    <t>Is the amount on line 5 more than the amount on line 6?</t>
  </si>
  <si>
    <t>Subtract line 6 from line 5</t>
  </si>
  <si>
    <t xml:space="preserve"> Is the amount on line 5 more than the amount on line 8?</t>
  </si>
  <si>
    <t>Enter -0-. Skip line 10. Enter on line 11 the amount from line 7, and go to line 12.</t>
  </si>
  <si>
    <t>Subtract line 8 from line 5</t>
  </si>
  <si>
    <t xml:space="preserve"> Add lines 7 and 10</t>
  </si>
  <si>
    <t>Next. Is the amount on line 12 more than the amount on line 13?</t>
  </si>
  <si>
    <r>
      <rPr>
        <b/>
        <sz val="10"/>
        <rFont val="Arial"/>
        <family val="2"/>
      </rPr>
      <t>Schedule X</t>
    </r>
    <r>
      <rPr>
        <sz val="10"/>
        <rFont val="Arial"/>
        <family val="2"/>
      </rPr>
      <t xml:space="preserve"> -- If your filing status is </t>
    </r>
    <r>
      <rPr>
        <b/>
        <sz val="10"/>
        <rFont val="Arial"/>
        <family val="2"/>
      </rPr>
      <t>Single</t>
    </r>
  </si>
  <si>
    <r>
      <rPr>
        <b/>
        <sz val="10"/>
        <rFont val="Arial"/>
        <family val="2"/>
      </rPr>
      <t>Schedule Y-1</t>
    </r>
    <r>
      <rPr>
        <sz val="10"/>
        <rFont val="Arial"/>
        <family val="2"/>
      </rPr>
      <t xml:space="preserve"> -- If your filing status is </t>
    </r>
    <r>
      <rPr>
        <b/>
        <sz val="10"/>
        <rFont val="Arial"/>
        <family val="2"/>
      </rPr>
      <t>Married filing jointly</t>
    </r>
    <r>
      <rPr>
        <sz val="10"/>
        <rFont val="Arial"/>
        <family val="2"/>
      </rPr>
      <t xml:space="preserve"> or </t>
    </r>
    <r>
      <rPr>
        <b/>
        <sz val="10"/>
        <rFont val="Arial"/>
        <family val="2"/>
      </rPr>
      <t>Qualifying widow(er)</t>
    </r>
  </si>
  <si>
    <r>
      <rPr>
        <b/>
        <sz val="10"/>
        <rFont val="Arial"/>
        <family val="2"/>
      </rPr>
      <t>Schedule Y-2</t>
    </r>
    <r>
      <rPr>
        <sz val="10"/>
        <rFont val="Arial"/>
        <family val="2"/>
      </rPr>
      <t xml:space="preserve"> -- If your filing status is </t>
    </r>
    <r>
      <rPr>
        <b/>
        <sz val="10"/>
        <rFont val="Arial"/>
        <family val="2"/>
      </rPr>
      <t>Married filing separately</t>
    </r>
  </si>
  <si>
    <r>
      <rPr>
        <b/>
        <sz val="10"/>
        <rFont val="Arial"/>
        <family val="2"/>
      </rPr>
      <t>Schedule Z</t>
    </r>
    <r>
      <rPr>
        <sz val="10"/>
        <rFont val="Arial"/>
        <family val="2"/>
      </rPr>
      <t xml:space="preserve"> -- If your filing status is </t>
    </r>
    <r>
      <rPr>
        <b/>
        <sz val="10"/>
        <rFont val="Arial"/>
        <family val="2"/>
      </rPr>
      <t>Head of household</t>
    </r>
  </si>
  <si>
    <t>Smaller of Sch. D, L15 or 16</t>
  </si>
  <si>
    <t>Add Sch. D, L 18 &amp; 19</t>
  </si>
  <si>
    <t>28.</t>
  </si>
  <si>
    <t>29.</t>
  </si>
  <si>
    <t>31.</t>
  </si>
  <si>
    <t>Smaller of L9 or SchD L19</t>
  </si>
  <si>
    <t>34.</t>
  </si>
  <si>
    <t>Form 1040, line 3a</t>
  </si>
  <si>
    <t>Form 4952, line 4g</t>
  </si>
  <si>
    <t>Form 4952, line 4e</t>
  </si>
  <si>
    <t>Subtract line 4 from 3</t>
  </si>
  <si>
    <t>Subtract line 5 from 2</t>
  </si>
  <si>
    <t>Smaller of line 3 or 4</t>
  </si>
  <si>
    <t>Subtract line 8 from 7</t>
  </si>
  <si>
    <t>Smaller of line 9 or 11</t>
  </si>
  <si>
    <t>Subtract line 12 from 10</t>
  </si>
  <si>
    <t>Sch. DTW line 15</t>
  </si>
  <si>
    <t>Smaller of line 1 or 15</t>
  </si>
  <si>
    <t>Smaller of line 14 or 16</t>
  </si>
  <si>
    <t>Subtract line 10 from 1</t>
  </si>
  <si>
    <t>Subtract line 17 from 16</t>
  </si>
  <si>
    <t>Smaller of line 23 or 27</t>
  </si>
  <si>
    <t>35.</t>
  </si>
  <si>
    <t>Amount from line 1</t>
  </si>
  <si>
    <t>36.</t>
  </si>
  <si>
    <t>37.</t>
  </si>
  <si>
    <t>38.</t>
  </si>
  <si>
    <t>Tax on Line 1</t>
  </si>
  <si>
    <t>&lt;&lt; Used?</t>
  </si>
  <si>
    <t>Do you, and your spouse if filing a joint return, have a social security number issued on or before the due date</t>
  </si>
  <si>
    <t>Line 2b   +</t>
  </si>
  <si>
    <t>Line 3b   +</t>
  </si>
  <si>
    <r>
      <rPr>
        <b/>
        <sz val="10"/>
        <rFont val="Arial"/>
        <family val="2"/>
      </rPr>
      <t>Yes.</t>
    </r>
    <r>
      <rPr>
        <sz val="10"/>
        <rFont val="Arial"/>
        <family val="2"/>
      </rPr>
      <t xml:space="preserve">  See </t>
    </r>
    <r>
      <rPr>
        <i/>
        <sz val="10"/>
        <rFont val="Arial"/>
        <family val="2"/>
      </rPr>
      <t>Form 4797 filers</t>
    </r>
    <r>
      <rPr>
        <sz val="10"/>
        <rFont val="Arial"/>
        <family val="2"/>
      </rPr>
      <t>,</t>
    </r>
  </si>
  <si>
    <r>
      <rPr>
        <b/>
        <sz val="10"/>
        <rFont val="Arial"/>
        <family val="2"/>
      </rPr>
      <t>No.</t>
    </r>
    <r>
      <rPr>
        <sz val="10"/>
        <rFont val="Arial"/>
        <family val="2"/>
      </rPr>
      <t xml:space="preserve">  You cannot take the credit.</t>
    </r>
  </si>
  <si>
    <r>
      <rPr>
        <b/>
        <sz val="10"/>
        <rFont val="Arial"/>
        <family val="2"/>
      </rPr>
      <t>Yes.</t>
    </r>
    <r>
      <rPr>
        <sz val="10"/>
        <rFont val="Arial"/>
        <family val="2"/>
      </rPr>
      <t xml:space="preserve">  Continue</t>
    </r>
  </si>
  <si>
    <r>
      <rPr>
        <b/>
        <sz val="10"/>
        <rFont val="Arial"/>
        <family val="2"/>
      </rPr>
      <t>No.</t>
    </r>
    <r>
      <rPr>
        <sz val="10"/>
        <rFont val="Arial"/>
        <family val="2"/>
      </rPr>
      <t xml:space="preserve">  Skip question 3; go to question 4.</t>
    </r>
  </si>
  <si>
    <r>
      <rPr>
        <b/>
        <sz val="10"/>
        <rFont val="Arial"/>
        <family val="2"/>
      </rPr>
      <t>No.</t>
    </r>
    <r>
      <rPr>
        <sz val="10"/>
        <rFont val="Arial"/>
        <family val="2"/>
      </rPr>
      <t xml:space="preserve"> Go to Step 2.</t>
    </r>
  </si>
  <si>
    <r>
      <rPr>
        <b/>
        <sz val="10"/>
        <rFont val="Arial"/>
        <family val="2"/>
      </rPr>
      <t>No.</t>
    </r>
    <r>
      <rPr>
        <sz val="10"/>
        <rFont val="Arial"/>
        <family val="2"/>
      </rPr>
      <t xml:space="preserve">  Continue</t>
    </r>
  </si>
  <si>
    <r>
      <rPr>
        <b/>
        <sz val="10"/>
        <rFont val="Arial"/>
        <family val="2"/>
      </rPr>
      <t>Yes.</t>
    </r>
    <r>
      <rPr>
        <sz val="10"/>
        <rFont val="Arial"/>
        <family val="2"/>
      </rPr>
      <t xml:space="preserve">  Continue.</t>
    </r>
  </si>
  <si>
    <r>
      <rPr>
        <b/>
        <sz val="10"/>
        <rFont val="Arial"/>
        <family val="2"/>
      </rPr>
      <t>No.</t>
    </r>
    <r>
      <rPr>
        <sz val="10"/>
        <rFont val="Arial"/>
        <family val="2"/>
      </rPr>
      <t xml:space="preserve">  STOP  You cannot take the credit.</t>
    </r>
  </si>
  <si>
    <r>
      <rPr>
        <b/>
        <sz val="10"/>
        <rFont val="Arial"/>
        <family val="2"/>
      </rPr>
      <t>Yes.</t>
    </r>
    <r>
      <rPr>
        <sz val="10"/>
        <rFont val="Arial"/>
        <family val="2"/>
      </rPr>
      <t xml:space="preserve">  Use Worksheet 1</t>
    </r>
  </si>
  <si>
    <r>
      <rPr>
        <sz val="10"/>
        <rFont val="Arial"/>
        <family val="2"/>
      </rPr>
      <t xml:space="preserve">No. </t>
    </r>
    <r>
      <rPr>
        <sz val="10"/>
        <rFont val="Arial"/>
        <family val="2"/>
      </rPr>
      <t xml:space="preserve"> Go to Step 3.</t>
    </r>
  </si>
  <si>
    <t>estimated tax paid (see Pub. 596 for examples)</t>
  </si>
  <si>
    <t>CAUTION:</t>
  </si>
  <si>
    <t>You can't take the credit for a child who didn't live with you for more than half the year, even if you paid most of the child's living expenses.  The IRS may ask you for documents to show you lived with each qualifying child.  Documents you might want to keep for this purpose include school and child care records and other records that show your child's address.</t>
  </si>
  <si>
    <t>TIP:</t>
  </si>
  <si>
    <r>
      <rPr>
        <b/>
        <sz val="10"/>
        <rFont val="Arial"/>
        <family val="2"/>
      </rPr>
      <t>No.</t>
    </r>
    <r>
      <rPr>
        <sz val="10"/>
        <rFont val="Arial"/>
        <family val="2"/>
      </rPr>
      <t xml:space="preserve">  Continue.</t>
    </r>
  </si>
  <si>
    <r>
      <rPr>
        <b/>
        <sz val="10"/>
        <rFont val="Arial"/>
        <family val="2"/>
      </rPr>
      <t xml:space="preserve">No. </t>
    </r>
    <r>
      <rPr>
        <sz val="10"/>
        <rFont val="Arial"/>
        <family val="2"/>
      </rPr>
      <t xml:space="preserve"> Skip Step 4; go to Step 5.</t>
    </r>
  </si>
  <si>
    <t>Enter the amount from Form 1040, line 1</t>
  </si>
  <si>
    <t>Enter any amount included on Form 1040, line 1,</t>
  </si>
  <si>
    <t xml:space="preserve">Enter any amount included on Form 1040, line 1, </t>
  </si>
  <si>
    <t>1040, line 1.)</t>
  </si>
  <si>
    <r>
      <rPr>
        <b/>
        <sz val="10"/>
        <rFont val="Arial"/>
        <family val="2"/>
      </rPr>
      <t>Yes.</t>
    </r>
    <r>
      <rPr>
        <sz val="10"/>
        <rFont val="Arial"/>
        <family val="2"/>
      </rPr>
      <t xml:space="preserve">  Skip question 3 and Step 6;</t>
    </r>
  </si>
  <si>
    <r>
      <rPr>
        <b/>
        <sz val="10"/>
        <rFont val="Arial"/>
        <family val="2"/>
      </rPr>
      <t xml:space="preserve">No. </t>
    </r>
    <r>
      <rPr>
        <sz val="10"/>
        <rFont val="Arial"/>
        <family val="2"/>
      </rPr>
      <t xml:space="preserve"> Continue</t>
    </r>
  </si>
  <si>
    <r>
      <rPr>
        <b/>
        <sz val="10"/>
        <rFont val="Arial"/>
        <family val="2"/>
      </rPr>
      <t>Yes.</t>
    </r>
    <r>
      <rPr>
        <sz val="10"/>
        <rFont val="Arial"/>
        <family val="2"/>
      </rPr>
      <t xml:space="preserve">  Go to Step 6.</t>
    </r>
  </si>
  <si>
    <r>
      <rPr>
        <b/>
        <sz val="10"/>
        <rFont val="Arial"/>
        <family val="2"/>
      </rPr>
      <t>No.</t>
    </r>
    <r>
      <rPr>
        <sz val="10"/>
        <rFont val="Arial"/>
        <family val="2"/>
      </rPr>
      <t xml:space="preserve">  You can't take the credit.</t>
    </r>
  </si>
  <si>
    <t>If line 2 is zero, STOP you can't take the credit.</t>
  </si>
  <si>
    <r>
      <t xml:space="preserve">        Then, enter the </t>
    </r>
    <r>
      <rPr>
        <b/>
        <sz val="10"/>
        <rFont val="Arial"/>
        <family val="2"/>
      </rPr>
      <t>smaller</t>
    </r>
    <r>
      <rPr>
        <sz val="10"/>
        <rFont val="Arial"/>
        <family val="2"/>
      </rPr>
      <t xml:space="preserve"> amount on line 6.</t>
    </r>
  </si>
  <si>
    <t>*If you have any Schedule K-1 amounts, complete the appropriate line(s) of Schedule SE, Section A.</t>
  </si>
  <si>
    <t>Reduce the Schedule K-1 amounts as described in the Partner’s Instructions for Schedule K-1. Enter</t>
  </si>
  <si>
    <r>
      <t>Note.</t>
    </r>
    <r>
      <rPr>
        <sz val="10"/>
        <rFont val="Arial"/>
        <family val="2"/>
      </rPr>
      <t xml:space="preserve"> If line 4b includes income on which you should have paid self-employment tax but didn't,</t>
    </r>
  </si>
  <si>
    <t>If line 4b is zero or less,   STOP  you can't take the credit. Enter “No” in the space to the left of Form 1040,</t>
  </si>
  <si>
    <t>If line 7 is zero,  STOP  you can't take the credit.</t>
  </si>
  <si>
    <r>
      <rPr>
        <b/>
        <sz val="10"/>
        <rFont val="Arial"/>
        <family val="2"/>
      </rPr>
      <t>Yes.</t>
    </r>
    <r>
      <rPr>
        <sz val="10"/>
        <rFont val="Arial"/>
        <family val="2"/>
      </rPr>
      <t xml:space="preserve">  Skip line 10; enter the amount from line 7 on line 11.</t>
    </r>
  </si>
  <si>
    <r>
      <rPr>
        <b/>
        <sz val="10"/>
        <rFont val="Arial"/>
        <family val="2"/>
      </rPr>
      <t xml:space="preserve">No. </t>
    </r>
    <r>
      <rPr>
        <sz val="10"/>
        <rFont val="Arial"/>
        <family val="2"/>
      </rPr>
      <t xml:space="preserve">  Go to line 10.</t>
    </r>
  </si>
  <si>
    <r>
      <rPr>
        <b/>
        <sz val="10"/>
        <rFont val="Arial"/>
        <family val="2"/>
      </rPr>
      <t>No.</t>
    </r>
    <r>
      <rPr>
        <sz val="10"/>
        <rFont val="Arial"/>
        <family val="2"/>
      </rPr>
      <t xml:space="preserve">  Look up the amount on line 8 in the EIC Table to find the</t>
    </r>
  </si>
  <si>
    <r>
      <rPr>
        <b/>
        <sz val="10"/>
        <rFont val="Arial"/>
        <family val="2"/>
      </rPr>
      <t>Yes.</t>
    </r>
    <r>
      <rPr>
        <sz val="10"/>
        <rFont val="Arial"/>
        <family val="2"/>
      </rPr>
      <t xml:space="preserve">  Leave line 10 blank; enter the amount from line 7 on line 11.</t>
    </r>
  </si>
  <si>
    <t>status and the number of children you have. Enter the credit here.</t>
  </si>
  <si>
    <r>
      <t>Form 8862,</t>
    </r>
    <r>
      <rPr>
        <i/>
        <sz val="10"/>
        <rFont val="Arial"/>
        <family val="2"/>
      </rPr>
      <t xml:space="preserve"> who must fi_x001F_le, earlier, to find out if you must file Form</t>
    </r>
  </si>
  <si>
    <t>Attachment
Sequence No.</t>
  </si>
  <si>
    <t>09</t>
  </si>
  <si>
    <t>Business address (including suite or room no.)</t>
  </si>
  <si>
    <r>
      <t xml:space="preserve">Accounting method:          </t>
    </r>
    <r>
      <rPr>
        <b/>
        <sz val="10"/>
        <rFont val="Arial"/>
        <family val="2"/>
      </rPr>
      <t>(1)</t>
    </r>
  </si>
  <si>
    <t>(other than on line 19)</t>
  </si>
  <si>
    <t xml:space="preserve"> Lower cost or market</t>
  </si>
  <si>
    <t xml:space="preserve"> Other (attach explanation)</t>
  </si>
  <si>
    <t>If "Yes", attach explanation</t>
  </si>
  <si>
    <t>Inventory at beginning of the year.  If different from last year's closing inventory, attach explanation</t>
  </si>
  <si>
    <t>Purchases less cost of items withdrawn for personal use</t>
  </si>
  <si>
    <t>Cost of labor.  Do not include any amounts paid to yourself</t>
  </si>
  <si>
    <t>Materials and supplies</t>
  </si>
  <si>
    <t>Other costs</t>
  </si>
  <si>
    <t>Add lines 35 through 39</t>
  </si>
  <si>
    <t>Inventory at end of year</t>
  </si>
  <si>
    <r>
      <rPr>
        <b/>
        <sz val="10"/>
        <rFont val="Arial"/>
        <family val="2"/>
      </rPr>
      <t>b</t>
    </r>
    <r>
      <rPr>
        <sz val="8"/>
        <rFont val="Arial"/>
        <family val="2"/>
      </rPr>
      <t xml:space="preserve"> Commuting (see instructions)</t>
    </r>
  </si>
  <si>
    <r>
      <t xml:space="preserve"> </t>
    </r>
    <r>
      <rPr>
        <b/>
        <sz val="10"/>
        <rFont val="Arial"/>
        <family val="2"/>
      </rPr>
      <t xml:space="preserve"> a</t>
    </r>
    <r>
      <rPr>
        <sz val="9"/>
        <rFont val="Arial"/>
        <family val="2"/>
      </rPr>
      <t xml:space="preserve">   </t>
    </r>
    <r>
      <rPr>
        <sz val="8"/>
        <rFont val="Arial"/>
        <family val="2"/>
      </rPr>
      <t xml:space="preserve">Business  </t>
    </r>
  </si>
  <si>
    <t>Do you have evidence to support your deduction?</t>
  </si>
  <si>
    <t>Do you (or your spouse) have another vehicle available for personal use?</t>
  </si>
  <si>
    <t>Wages (less employment credits)</t>
  </si>
  <si>
    <t xml:space="preserve">.   .   .   .   .   .   .   .   .   .   .   .   .   .   .   .   .   .   .   .   .   .   .   .   .   .   .   .   .   .   .   .   .   .   .   .   .   .   . </t>
  </si>
  <si>
    <t xml:space="preserve">.   .   .   .   .   .   .   .   .   .   .   .   .   .   .   .   .   .   .   .   .   .   .   .   .   .   .   .   .   .   .   .   .   .   .   .   .   .   .   .   .   .   .   .   .   . </t>
  </si>
  <si>
    <t>NOTE:  This sheet includes 2 Schedule SE forms.</t>
  </si>
  <si>
    <t>Note:  This sheet includes 2 Schedule C forms.</t>
  </si>
  <si>
    <r>
      <t xml:space="preserve">Go to </t>
    </r>
    <r>
      <rPr>
        <b/>
        <i/>
        <sz val="10"/>
        <rFont val="Arial"/>
        <family val="2"/>
      </rPr>
      <t>www.irs.gov/ScheduleE</t>
    </r>
    <r>
      <rPr>
        <b/>
        <sz val="10"/>
        <rFont val="Arial"/>
        <family val="2"/>
      </rPr>
      <t xml:space="preserve"> for instructions and the latest information.</t>
    </r>
  </si>
  <si>
    <t>Other interest</t>
  </si>
  <si>
    <r>
      <t xml:space="preserve">on </t>
    </r>
    <r>
      <rPr>
        <b/>
        <sz val="11"/>
        <rFont val="Arial"/>
        <family val="2"/>
      </rPr>
      <t>Form 8582</t>
    </r>
    <r>
      <rPr>
        <sz val="11"/>
        <rFont val="Arial"/>
        <family val="2"/>
      </rPr>
      <t xml:space="preserve"> (see instructions)</t>
    </r>
  </si>
  <si>
    <r>
      <t xml:space="preserve">must file </t>
    </r>
    <r>
      <rPr>
        <b/>
        <sz val="11"/>
        <rFont val="Arial"/>
        <family val="2"/>
      </rPr>
      <t>Form 6198</t>
    </r>
  </si>
  <si>
    <t>If result is a (loss), see instructions to find out if you</t>
  </si>
  <si>
    <t>Subtract line 20 from line 3 (rents) and/or 4 (royalties).</t>
  </si>
  <si>
    <r>
      <rPr>
        <b/>
        <sz val="11"/>
        <rFont val="Arial"/>
        <family val="2"/>
      </rPr>
      <t>Total rental real estate and royalty income or (loss).</t>
    </r>
    <r>
      <rPr>
        <sz val="11"/>
        <rFont val="Arial"/>
        <family val="2"/>
      </rPr>
      <t xml:space="preserve"> Combine lines 24 and 25. Enter the result</t>
    </r>
  </si>
  <si>
    <r>
      <t xml:space="preserve">stock, or receive a loan repayment from an S corporation, you </t>
    </r>
    <r>
      <rPr>
        <b/>
        <sz val="10"/>
        <rFont val="Arial"/>
        <family val="2"/>
      </rPr>
      <t>must</t>
    </r>
    <r>
      <rPr>
        <sz val="10"/>
        <rFont val="Arial"/>
        <family val="2"/>
      </rPr>
      <t xml:space="preserve"> check the box in column </t>
    </r>
    <r>
      <rPr>
        <b/>
        <sz val="10"/>
        <rFont val="Arial"/>
        <family val="2"/>
      </rPr>
      <t>(e)</t>
    </r>
    <r>
      <rPr>
        <sz val="10"/>
        <rFont val="Arial"/>
        <family val="2"/>
      </rPr>
      <t xml:space="preserve"> on line 28 and attach the required basis</t>
    </r>
  </si>
  <si>
    <t xml:space="preserve">   .   .   . </t>
  </si>
  <si>
    <r>
      <rPr>
        <b/>
        <sz val="11"/>
        <rFont val="Arial"/>
        <family val="2"/>
      </rPr>
      <t>Reconciliation of farming and fishing income.</t>
    </r>
    <r>
      <rPr>
        <sz val="10"/>
        <rFont val="Arial"/>
        <family val="2"/>
      </rPr>
      <t xml:space="preserve">  Enter your </t>
    </r>
    <r>
      <rPr>
        <b/>
        <sz val="10"/>
        <rFont val="Arial"/>
        <family val="2"/>
      </rPr>
      <t>gross</t>
    </r>
  </si>
  <si>
    <t>Date:</t>
  </si>
  <si>
    <t>Coverage Type?  (Self/Family)</t>
  </si>
  <si>
    <t>Dependent?</t>
  </si>
  <si>
    <t>Rule 1</t>
  </si>
  <si>
    <t>Family?</t>
  </si>
  <si>
    <t>Allocation</t>
  </si>
  <si>
    <t>Rule 2</t>
  </si>
  <si>
    <t>%</t>
  </si>
  <si>
    <t>Line 6</t>
  </si>
  <si>
    <t>Line 6  (Step 1) W/S (Married w/separate HSAs)</t>
  </si>
  <si>
    <t>Y or S</t>
  </si>
  <si>
    <t>Sch. A, Line 5a</t>
  </si>
  <si>
    <t>line 4b. But if your annuity starting date was after July 1, 1986,</t>
  </si>
  <si>
    <r>
      <t xml:space="preserve">If your pension or annuity is </t>
    </r>
    <r>
      <rPr>
        <u/>
        <sz val="10"/>
        <color rgb="FF008000"/>
        <rFont val="Arial"/>
        <family val="2"/>
      </rPr>
      <t>fully</t>
    </r>
    <r>
      <rPr>
        <sz val="10"/>
        <color rgb="FF008000"/>
        <rFont val="Arial"/>
        <family val="2"/>
      </rPr>
      <t xml:space="preserve"> </t>
    </r>
    <r>
      <rPr>
        <u/>
        <sz val="10"/>
        <color rgb="FF008000"/>
        <rFont val="Arial"/>
        <family val="2"/>
      </rPr>
      <t>taxable</t>
    </r>
    <r>
      <rPr>
        <sz val="10"/>
        <color rgb="FF008000"/>
        <rFont val="Arial"/>
        <family val="2"/>
      </rPr>
      <t>, this spreadsheet will automatically</t>
    </r>
  </si>
  <si>
    <r>
      <t xml:space="preserve">Enter the </t>
    </r>
    <r>
      <rPr>
        <b/>
        <sz val="10"/>
        <rFont val="Arial"/>
        <family val="2"/>
      </rPr>
      <t>smaller</t>
    </r>
    <r>
      <rPr>
        <sz val="10"/>
        <rFont val="Arial"/>
        <family val="2"/>
      </rPr>
      <t xml:space="preserve"> of line 2 or line 3</t>
    </r>
  </si>
  <si>
    <t>.   .   .   .   .   .   .   .   .   .   .   .   .   .   .   .   .   .   .   .   .   .   .   .   .   .   .   .   .   .   .   .</t>
  </si>
  <si>
    <r>
      <t>Exception:   Don't</t>
    </r>
    <r>
      <rPr>
        <sz val="9"/>
        <rFont val="Arial"/>
        <family val="2"/>
      </rPr>
      <t xml:space="preserve"> use the Qualified Dividends and Capital Gain Tax Worksheet </t>
    </r>
    <r>
      <rPr>
        <b/>
        <sz val="9"/>
        <rFont val="Arial"/>
        <family val="2"/>
      </rPr>
      <t>or</t>
    </r>
    <r>
      <rPr>
        <sz val="9"/>
        <rFont val="Arial"/>
        <family val="2"/>
      </rPr>
      <t xml:space="preserve"> this worksheet to figure your tax if:</t>
    </r>
  </si>
  <si>
    <t xml:space="preserve">.   .   .   .   .   .   .   .   .   .   .   .   .   .   .   .  </t>
  </si>
  <si>
    <t>.   .   .   .   .   .   .   .   .   .   .   .   .   .   .   .   .   .   .   .   .   .   .   .   .   .   .   .   .   .</t>
  </si>
  <si>
    <r>
      <t xml:space="preserve">Sequence No. </t>
    </r>
    <r>
      <rPr>
        <b/>
        <sz val="12"/>
        <rFont val="Arial"/>
        <family val="2"/>
      </rPr>
      <t>52</t>
    </r>
  </si>
  <si>
    <r>
      <t xml:space="preserve">  </t>
    </r>
    <r>
      <rPr>
        <b/>
        <i/>
        <sz val="11"/>
        <rFont val="Arial"/>
        <family val="2"/>
      </rPr>
      <t>Before you begin:</t>
    </r>
    <r>
      <rPr>
        <sz val="11"/>
        <rFont val="Arial"/>
        <family val="2"/>
      </rPr>
      <t xml:space="preserve">  </t>
    </r>
    <r>
      <rPr>
        <sz val="10"/>
        <rFont val="Arial"/>
        <family val="2"/>
      </rPr>
      <t>Complete Form 8853, Archer MSAs and Long-Term Care Insurance Contracts, if required.</t>
    </r>
  </si>
  <si>
    <r>
      <t xml:space="preserve">If any of the distributions included on line 16 meet any of the </t>
    </r>
    <r>
      <rPr>
        <b/>
        <sz val="10"/>
        <rFont val="Arial"/>
        <family val="2"/>
      </rPr>
      <t>Exceptions to the Additional</t>
    </r>
  </si>
  <si>
    <r>
      <t xml:space="preserve">  </t>
    </r>
    <r>
      <rPr>
        <b/>
        <i/>
        <sz val="11"/>
        <rFont val="Arial"/>
        <family val="2"/>
      </rPr>
      <t>Before you begin:</t>
    </r>
    <r>
      <rPr>
        <sz val="11"/>
        <rFont val="Arial"/>
        <family val="2"/>
      </rPr>
      <t xml:space="preserve"> </t>
    </r>
    <r>
      <rPr>
        <sz val="10"/>
        <rFont val="Arial"/>
        <family val="2"/>
      </rPr>
      <t xml:space="preserve"> Complete Form 8853, Archer MSAs and Long-Term Care Insurance Contracts, if required.</t>
    </r>
  </si>
  <si>
    <r>
      <t xml:space="preserve">Sequence No. </t>
    </r>
    <r>
      <rPr>
        <b/>
        <sz val="12"/>
        <rFont val="Arial"/>
        <family val="2"/>
      </rPr>
      <t>71</t>
    </r>
  </si>
  <si>
    <t>Subtract line 21 from line 19.  If zero or less, enter -0-. This is your Additional Medicare Tax</t>
  </si>
  <si>
    <t>withholding on Medicare wages</t>
  </si>
  <si>
    <r>
      <rPr>
        <b/>
        <sz val="10"/>
        <rFont val="Arial"/>
        <family val="2"/>
      </rPr>
      <t>Total Additional Medicare Tax withholding.</t>
    </r>
    <r>
      <rPr>
        <sz val="10"/>
        <rFont val="Arial"/>
        <family val="2"/>
      </rPr>
      <t xml:space="preserve"> Add lines 22 and 23. Also include this amount</t>
    </r>
  </si>
  <si>
    <t xml:space="preserve">    Attachment</t>
  </si>
  <si>
    <r>
      <t>Totals for all short-term transactions reported on Form 
1099-B for which basis was reported to the IRS and for 
which you have no adjustments (see instructions). 
However, if you choose to report all these transactions 
on Form 8949, leave this line blank and go to line 1b</t>
    </r>
    <r>
      <rPr>
        <b/>
        <sz val="9"/>
        <rFont val="Arial"/>
        <family val="2"/>
      </rPr>
      <t xml:space="preserve">   . </t>
    </r>
  </si>
  <si>
    <r>
      <t>Short-term gain from Form 6252, and short-term gain or (loss) from Forms 4684, 6781, and 8824</t>
    </r>
    <r>
      <rPr>
        <b/>
        <sz val="10"/>
        <rFont val="Arial"/>
        <family val="2"/>
      </rPr>
      <t xml:space="preserve">  .   .   .   .</t>
    </r>
  </si>
  <si>
    <r>
      <t xml:space="preserve">Short-term capital loss carryover. Enter the amount, if any, from line 8 of your </t>
    </r>
    <r>
      <rPr>
        <b/>
        <sz val="10"/>
        <rFont val="Arial"/>
        <family val="2"/>
      </rPr>
      <t>Capital Loss Carryover</t>
    </r>
  </si>
  <si>
    <r>
      <t>Worksheet</t>
    </r>
    <r>
      <rPr>
        <sz val="10"/>
        <rFont val="Arial"/>
        <family val="2"/>
      </rPr>
      <t xml:space="preserve"> in the instructions</t>
    </r>
  </si>
  <si>
    <r>
      <t>Net short-term capital gain or (loss).</t>
    </r>
    <r>
      <rPr>
        <sz val="10"/>
        <rFont val="Arial"/>
        <family val="2"/>
      </rPr>
      <t xml:space="preserve"> Combine lines 1a through 6 in column (h). If you have any long-
term capital gains or losses, go to Part II below. Otherwise, go to Part III on the back</t>
    </r>
    <r>
      <rPr>
        <b/>
        <sz val="10"/>
        <rFont val="Arial"/>
        <family val="2"/>
      </rPr>
      <t xml:space="preserve">  .   .   .   .   .   .   .   .   .   .   .   .</t>
    </r>
  </si>
  <si>
    <r>
      <rPr>
        <b/>
        <sz val="8"/>
        <rFont val="Arial"/>
        <family val="2"/>
      </rPr>
      <t xml:space="preserve">(d)
</t>
    </r>
    <r>
      <rPr>
        <sz val="8"/>
        <rFont val="Arial"/>
        <family val="2"/>
      </rPr>
      <t>Proceeds 
(sales price)</t>
    </r>
  </si>
  <si>
    <r>
      <rPr>
        <b/>
        <sz val="8"/>
        <rFont val="Arial"/>
        <family val="2"/>
      </rPr>
      <t>(e)</t>
    </r>
    <r>
      <rPr>
        <sz val="8"/>
        <rFont val="Arial"/>
        <family val="2"/>
      </rPr>
      <t xml:space="preserve">
Cost
(or other basis)</t>
    </r>
  </si>
  <si>
    <r>
      <rPr>
        <b/>
        <sz val="7"/>
        <rFont val="Arial"/>
        <family val="2"/>
      </rPr>
      <t xml:space="preserve">(g)
</t>
    </r>
    <r>
      <rPr>
        <sz val="7"/>
        <rFont val="Arial"/>
        <family val="2"/>
      </rPr>
      <t>Adjustments
to gain or loss from
Form(s) 8949, Part II,
line 2, column (g)</t>
    </r>
  </si>
  <si>
    <r>
      <t xml:space="preserve">Totals for all long-term transactions reported on Form 
1099-B for which basis was reported to the IRS and for 
which you have no adjustments (see instructions). 
However, if you choose to report all these transactions 
on Form 8949, leave this line blank and go to line 8b  </t>
    </r>
    <r>
      <rPr>
        <b/>
        <sz val="9"/>
        <rFont val="Arial"/>
        <family val="2"/>
      </rPr>
      <t>.   .</t>
    </r>
  </si>
  <si>
    <r>
      <t xml:space="preserve">Gain from Form 4797, Part I; long-term gain from Forms 2439 and 6252; and long-term gain or (loss)
from Forms 4684, 6781, and 8824    </t>
    </r>
    <r>
      <rPr>
        <b/>
        <sz val="10"/>
        <rFont val="Arial"/>
        <family val="2"/>
      </rPr>
      <t>.   .   .   .   .   .   .   .   .   .   .   .   .   .   .   .   .   .   .   .   .   .   .   .   .   .   .   .   .</t>
    </r>
  </si>
  <si>
    <r>
      <t xml:space="preserve">Long-term capital loss carryover. Enter the amount, if any, from line 13 of your </t>
    </r>
    <r>
      <rPr>
        <b/>
        <sz val="10"/>
        <rFont val="Arial"/>
        <family val="2"/>
      </rPr>
      <t>Capital Loss Carryover</t>
    </r>
  </si>
  <si>
    <r>
      <t xml:space="preserve">If line 16 is a </t>
    </r>
    <r>
      <rPr>
        <b/>
        <sz val="10"/>
        <rFont val="Arial"/>
        <family val="2"/>
      </rPr>
      <t>loss</t>
    </r>
    <r>
      <rPr>
        <sz val="10"/>
        <rFont val="Arial"/>
        <family val="2"/>
      </rPr>
      <t>, skip lines 17 through 20 below. Then go to line 21. Also be sure to complete</t>
    </r>
  </si>
  <si>
    <r>
      <t xml:space="preserve">Are lines 15 and 16 </t>
    </r>
    <r>
      <rPr>
        <b/>
        <sz val="11"/>
        <rFont val="Arial"/>
        <family val="2"/>
      </rPr>
      <t>both</t>
    </r>
    <r>
      <rPr>
        <sz val="11"/>
        <rFont val="Arial"/>
        <family val="2"/>
      </rPr>
      <t xml:space="preserve"> gains?</t>
    </r>
  </si>
  <si>
    <r>
      <t xml:space="preserve">If you are required to complete the </t>
    </r>
    <r>
      <rPr>
        <b/>
        <sz val="11"/>
        <rFont val="Arial"/>
        <family val="2"/>
      </rPr>
      <t>Unrecaptured Section 1250 Gain Worksheet</t>
    </r>
    <r>
      <rPr>
        <sz val="11"/>
        <rFont val="Arial"/>
        <family val="2"/>
      </rPr>
      <t xml:space="preserve"> (see</t>
    </r>
  </si>
  <si>
    <r>
      <t xml:space="preserve">Yes.  </t>
    </r>
    <r>
      <rPr>
        <sz val="10"/>
        <rFont val="Arial"/>
        <family val="2"/>
      </rPr>
      <t xml:space="preserve">Complete the </t>
    </r>
    <r>
      <rPr>
        <b/>
        <sz val="10"/>
        <rFont val="Arial"/>
        <family val="2"/>
      </rPr>
      <t>Qualified Dividends and Capital Gain Tax Worksheet</t>
    </r>
    <r>
      <rPr>
        <sz val="10"/>
        <rFont val="Arial"/>
        <family val="2"/>
      </rPr>
      <t xml:space="preserve"> in the instructions</t>
    </r>
  </si>
  <si>
    <t>12A</t>
  </si>
  <si>
    <t>instructions). For long-term transactions, see page 2.</t>
  </si>
  <si>
    <t>Schedule D, line 1a; you aren't required to report these transactions on Form 8949 (see instructions).</t>
  </si>
  <si>
    <r>
      <t xml:space="preserve"> </t>
    </r>
    <r>
      <rPr>
        <b/>
        <sz val="10"/>
        <rFont val="Arial"/>
        <family val="2"/>
      </rPr>
      <t>(B)</t>
    </r>
    <r>
      <rPr>
        <sz val="10"/>
        <rFont val="Arial"/>
        <family val="2"/>
      </rPr>
      <t xml:space="preserve"> Short-term transactions reported on Form(s) 1099-B showing basis </t>
    </r>
    <r>
      <rPr>
        <b/>
        <sz val="10"/>
        <rFont val="Arial"/>
        <family val="2"/>
      </rPr>
      <t>wasn't</t>
    </r>
    <r>
      <rPr>
        <sz val="10"/>
        <rFont val="Arial"/>
        <family val="2"/>
      </rPr>
      <t xml:space="preserve"> reported to the IRS</t>
    </r>
  </si>
  <si>
    <r>
      <t xml:space="preserve"> </t>
    </r>
    <r>
      <rPr>
        <b/>
        <sz val="10"/>
        <rFont val="Arial"/>
        <family val="2"/>
      </rPr>
      <t>(A)</t>
    </r>
    <r>
      <rPr>
        <sz val="10"/>
        <rFont val="Arial"/>
        <family val="2"/>
      </rPr>
      <t xml:space="preserve"> Short-term transactions reported on Form(s) 1099-B showing basis was reported to the IRS (see </t>
    </r>
    <r>
      <rPr>
        <b/>
        <sz val="10"/>
        <rFont val="Arial"/>
        <family val="2"/>
      </rPr>
      <t>Note</t>
    </r>
    <r>
      <rPr>
        <sz val="10"/>
        <rFont val="Arial"/>
        <family val="2"/>
      </rPr>
      <t xml:space="preserve"> above)</t>
    </r>
  </si>
  <si>
    <r>
      <t xml:space="preserve"> </t>
    </r>
    <r>
      <rPr>
        <b/>
        <sz val="10"/>
        <rFont val="Arial"/>
        <family val="2"/>
      </rPr>
      <t xml:space="preserve">(C) </t>
    </r>
    <r>
      <rPr>
        <sz val="10"/>
        <rFont val="Arial"/>
        <family val="2"/>
      </rPr>
      <t>Short-term transactions not reported to you on Form 1099-B</t>
    </r>
  </si>
  <si>
    <r>
      <rPr>
        <b/>
        <sz val="10"/>
        <rFont val="Arial"/>
        <family val="2"/>
      </rPr>
      <t>Note.</t>
    </r>
    <r>
      <rPr>
        <sz val="10"/>
        <rFont val="Arial"/>
        <family val="2"/>
      </rPr>
      <t xml:space="preserve"> If you checked Box A above but the basis reported to the IRS was incorrect, enter in column (e) the basis as reported to the IRS, and enter an 
adjustment in column (g) to correct the basis. See </t>
    </r>
    <r>
      <rPr>
        <i/>
        <sz val="10"/>
        <rFont val="Arial"/>
        <family val="2"/>
      </rPr>
      <t>Column (g)</t>
    </r>
    <r>
      <rPr>
        <sz val="10"/>
        <rFont val="Arial"/>
        <family val="2"/>
      </rPr>
      <t xml:space="preserve"> in the separate instructions for how to figure the amount of the adjustment.</t>
    </r>
  </si>
  <si>
    <t>are generally short-term (see</t>
  </si>
  <si>
    <t>are generally long-term (see</t>
  </si>
  <si>
    <t>instructions). For short-term transactions, see page 1.</t>
  </si>
  <si>
    <t>you aren't required to report these transactions on Form 8949 (see instructions).</t>
  </si>
  <si>
    <r>
      <t xml:space="preserve"> </t>
    </r>
    <r>
      <rPr>
        <b/>
        <sz val="10"/>
        <rFont val="Arial"/>
        <family val="2"/>
      </rPr>
      <t>(D)</t>
    </r>
    <r>
      <rPr>
        <sz val="10"/>
        <rFont val="Arial"/>
        <family val="2"/>
      </rPr>
      <t xml:space="preserve"> Long-term transactions reported on Form(s) 1099-B showing basis was reported to the IRS (see </t>
    </r>
    <r>
      <rPr>
        <b/>
        <sz val="10"/>
        <rFont val="Arial"/>
        <family val="2"/>
      </rPr>
      <t>Note</t>
    </r>
    <r>
      <rPr>
        <sz val="10"/>
        <rFont val="Arial"/>
        <family val="2"/>
      </rPr>
      <t xml:space="preserve"> above)</t>
    </r>
  </si>
  <si>
    <r>
      <t xml:space="preserve"> </t>
    </r>
    <r>
      <rPr>
        <b/>
        <sz val="10"/>
        <rFont val="Arial"/>
        <family val="2"/>
      </rPr>
      <t>(E)</t>
    </r>
    <r>
      <rPr>
        <sz val="10"/>
        <rFont val="Arial"/>
        <family val="2"/>
      </rPr>
      <t xml:space="preserve"> Long-term transactions reported on Form(s) 1099-B showing basis </t>
    </r>
    <r>
      <rPr>
        <b/>
        <sz val="10"/>
        <rFont val="Arial"/>
        <family val="2"/>
      </rPr>
      <t>wasn't</t>
    </r>
    <r>
      <rPr>
        <sz val="10"/>
        <rFont val="Arial"/>
        <family val="2"/>
      </rPr>
      <t xml:space="preserve"> reported to the IRS</t>
    </r>
  </si>
  <si>
    <r>
      <t xml:space="preserve"> </t>
    </r>
    <r>
      <rPr>
        <b/>
        <sz val="10"/>
        <rFont val="Arial"/>
        <family val="2"/>
      </rPr>
      <t>(F)</t>
    </r>
    <r>
      <rPr>
        <sz val="10"/>
        <rFont val="Arial"/>
        <family val="2"/>
      </rPr>
      <t xml:space="preserve"> Long-term transactions not reported to you on Form 1099-B</t>
    </r>
  </si>
  <si>
    <r>
      <rPr>
        <b/>
        <sz val="7"/>
        <rFont val="Arial"/>
        <family val="2"/>
      </rPr>
      <t>Adjustment, if any, to gain or loss.</t>
    </r>
    <r>
      <rPr>
        <sz val="7"/>
        <rFont val="Arial"/>
        <family val="2"/>
      </rPr>
      <t xml:space="preserve"> 
If you enter an amount in column (g), 
enter a code in column (f). 
</t>
    </r>
    <r>
      <rPr>
        <b/>
        <sz val="7"/>
        <rFont val="Arial"/>
        <family val="2"/>
      </rPr>
      <t>See the separate instructions.</t>
    </r>
  </si>
  <si>
    <r>
      <rPr>
        <b/>
        <sz val="8"/>
        <rFont val="Arial"/>
        <family val="2"/>
      </rPr>
      <t>(b)</t>
    </r>
    <r>
      <rPr>
        <sz val="8"/>
        <rFont val="Arial"/>
        <family val="2"/>
      </rPr>
      <t xml:space="preserve">
Date acquired
(Mo., day, yr.)</t>
    </r>
  </si>
  <si>
    <r>
      <rPr>
        <b/>
        <sz val="8"/>
        <rFont val="Arial"/>
        <family val="2"/>
      </rPr>
      <t xml:space="preserve">(f) </t>
    </r>
    <r>
      <rPr>
        <sz val="8"/>
        <rFont val="Arial"/>
        <family val="2"/>
      </rPr>
      <t xml:space="preserve">
Code(s) from 
instructions</t>
    </r>
  </si>
  <si>
    <t>Credit for the Elderly or the Disabled</t>
  </si>
  <si>
    <r>
      <t xml:space="preserve">Attachment
Sequence No. </t>
    </r>
    <r>
      <rPr>
        <b/>
        <sz val="12"/>
        <rFont val="Arial"/>
        <family val="2"/>
      </rPr>
      <t>16</t>
    </r>
  </si>
  <si>
    <t xml:space="preserve">Cat. No. 11359K </t>
  </si>
  <si>
    <t>You were age 65 or older</t>
  </si>
  <si>
    <t xml:space="preserve">• </t>
  </si>
  <si>
    <t>you received taxable disability income.</t>
  </si>
  <si>
    <t>But you must also meet other tests. See instructions.</t>
  </si>
  <si>
    <t>In most cases, the IRS can figure the credit for you. See instructions.</t>
  </si>
  <si>
    <t xml:space="preserve">   Check the Box for Your Filing Status and Age</t>
  </si>
  <si>
    <t>If your filing status is:</t>
  </si>
  <si>
    <t>Check only one box:</t>
  </si>
  <si>
    <t>Single,</t>
  </si>
  <si>
    <t>Head of household, or</t>
  </si>
  <si>
    <t>You were 65 or older</t>
  </si>
  <si>
    <t>You were under 65 and you retired on permanent and total disability</t>
  </si>
  <si>
    <t>Both spouses were 65 or older</t>
  </si>
  <si>
    <t>Both spouses were under 65, but only one spouse retired on permanent and</t>
  </si>
  <si>
    <t>total disability</t>
  </si>
  <si>
    <t>Both spouses were under 65, and both retired on permanent and total</t>
  </si>
  <si>
    <t>disability</t>
  </si>
  <si>
    <t>One spouse was 65 or older, and the other spouse was under 65 and retired</t>
  </si>
  <si>
    <t>on permanent and total disability</t>
  </si>
  <si>
    <t>One spouse was 65 or older, and the other spouse was under 65 and not</t>
  </si>
  <si>
    <t>retired on permanent and total disability</t>
  </si>
  <si>
    <t>Married filing</t>
  </si>
  <si>
    <t>jointly</t>
  </si>
  <si>
    <t>You were under 65, you retired on permanent and total disability, and you</t>
  </si>
  <si>
    <t>Did you check</t>
  </si>
  <si>
    <t>box 1, 3, 7 or 8?</t>
  </si>
  <si>
    <t>—————</t>
  </si>
  <si>
    <t xml:space="preserve">   Statement of Permanent and Total Disability</t>
  </si>
  <si>
    <t>If:</t>
  </si>
  <si>
    <t>You filed a physician’s statement for this disability for 1983 or an earlier year, or you filed or got a</t>
  </si>
  <si>
    <t>Due to your continued disabled condition, you were unable to engage in any substantial gainful activity</t>
  </si>
  <si>
    <t>keep the statement for your records.</t>
  </si>
  <si>
    <t xml:space="preserve">   Figure Your Credit</t>
  </si>
  <si>
    <t>If you checked (in Part I):</t>
  </si>
  <si>
    <t>Box 1, 2, 4, or 7</t>
  </si>
  <si>
    <t>Box 3, 5, or 6</t>
  </si>
  <si>
    <t>Box 8 or 9</t>
  </si>
  <si>
    <t>box 2, 4, 5, 6,</t>
  </si>
  <si>
    <t>or 9 in Part I?</t>
  </si>
  <si>
    <t>Enter the amount from line 10</t>
  </si>
  <si>
    <t>on line 12 and go to line 13.</t>
  </si>
  <si>
    <t>spouse who was under age 65. Enter the total.</t>
  </si>
  <si>
    <t>Box 2, 4, or 9, enter your taxable disability income.</t>
  </si>
  <si>
    <t>Box 5, add your taxable disability income to your spouse’s</t>
  </si>
  <si>
    <t>taxable disability income. Enter the total.</t>
  </si>
  <si>
    <t>——————————</t>
  </si>
  <si>
    <t>Only one.</t>
  </si>
  <si>
    <r>
      <t xml:space="preserve">If you completed line 11, enter the </t>
    </r>
    <r>
      <rPr>
        <b/>
        <sz val="9"/>
        <rFont val="Arial"/>
        <family val="2"/>
      </rPr>
      <t>smaller</t>
    </r>
    <r>
      <rPr>
        <sz val="9"/>
        <rFont val="Arial"/>
        <family val="2"/>
      </rPr>
      <t xml:space="preserve"> of line 10 or line 11. </t>
    </r>
    <r>
      <rPr>
        <b/>
        <sz val="9"/>
        <rFont val="Arial"/>
        <family val="2"/>
      </rPr>
      <t>All others</t>
    </r>
    <r>
      <rPr>
        <sz val="9"/>
        <rFont val="Arial"/>
        <family val="2"/>
      </rPr>
      <t>, enter the</t>
    </r>
  </si>
  <si>
    <t>amount from line 10</t>
  </si>
  <si>
    <t>Enter the following pensions, annuities, or disability income that</t>
  </si>
  <si>
    <t>Nontaxable part of social security benefits and nontaxable part</t>
  </si>
  <si>
    <t>of railroad retirement benefits treated as social security (see</t>
  </si>
  <si>
    <t>13a</t>
  </si>
  <si>
    <t>Nontaxable veterans’ pensions and any other pension, annuity,</t>
  </si>
  <si>
    <t>or disability benefit that is excluded from income under any</t>
  </si>
  <si>
    <t>other provision of law (see instructions)</t>
  </si>
  <si>
    <t>13b</t>
  </si>
  <si>
    <t xml:space="preserve">.   .   .   .   .   .   .   .   .   .   .   .   .   .   .   .   .   .   .   .   .   .   .  </t>
  </si>
  <si>
    <t>Add lines 13a and 13b. (Even though these income items aren’t</t>
  </si>
  <si>
    <t>didn’t receive any of the types of nontaxable income listed on</t>
  </si>
  <si>
    <t>line 13a or 13b, enter -0- on line 13c</t>
  </si>
  <si>
    <r>
      <t xml:space="preserve">taxable, they </t>
    </r>
    <r>
      <rPr>
        <b/>
        <sz val="9"/>
        <rFont val="Arial"/>
        <family val="2"/>
      </rPr>
      <t>must</t>
    </r>
    <r>
      <rPr>
        <sz val="9"/>
        <rFont val="Arial"/>
        <family val="2"/>
      </rPr>
      <t xml:space="preserve"> be included here to figure your credit.) If you</t>
    </r>
  </si>
  <si>
    <t>Enter the amount from Form 1040,</t>
  </si>
  <si>
    <t xml:space="preserve">  Skip Part II and complete Part III on the back.</t>
  </si>
  <si>
    <t xml:space="preserve">  Complete Parts II and III.</t>
  </si>
  <si>
    <t>13c</t>
  </si>
  <si>
    <t>Box 1 or 2</t>
  </si>
  <si>
    <t>Box 3, 4, 5, 6, or 7</t>
  </si>
  <si>
    <t>Subtract line 15 from line 14. If zero or</t>
  </si>
  <si>
    <t>less, enter -0-</t>
  </si>
  <si>
    <t>Enter one-half of line 16</t>
  </si>
  <si>
    <t>Add lines 13c and 17</t>
  </si>
  <si>
    <t>Tax liability limit. Enter the amount from the Credit Limit Worksheet in the instructions</t>
  </si>
  <si>
    <t>Download Form 1040 Schedule R</t>
  </si>
  <si>
    <t>Download Form 1040 Schedule R Instructions</t>
  </si>
  <si>
    <t>Credit Limit Worksheet—Line 21</t>
  </si>
  <si>
    <t>Use this worksheet to figure your credit limit.</t>
  </si>
  <si>
    <t>Keep for your records</t>
  </si>
  <si>
    <t xml:space="preserve">line 21. </t>
  </si>
  <si>
    <r>
      <rPr>
        <b/>
        <sz val="9"/>
        <rFont val="Arial"/>
        <family val="2"/>
      </rPr>
      <t>Credit for the elderly or the disabled.</t>
    </r>
    <r>
      <rPr>
        <sz val="9"/>
        <rFont val="Arial"/>
        <family val="2"/>
      </rPr>
      <t xml:space="preserve"> Enter the </t>
    </r>
    <r>
      <rPr>
        <b/>
        <sz val="9"/>
        <rFont val="Arial"/>
        <family val="2"/>
      </rPr>
      <t>smaller</t>
    </r>
    <r>
      <rPr>
        <sz val="9"/>
        <rFont val="Arial"/>
        <family val="2"/>
      </rPr>
      <t xml:space="preserve"> of line 20 or line 21. Also enter</t>
    </r>
  </si>
  <si>
    <t>Subtract line 18 from line 12.</t>
  </si>
  <si>
    <r>
      <t xml:space="preserve">If zero or less, </t>
    </r>
    <r>
      <rPr>
        <b/>
        <sz val="9"/>
        <rFont val="Arial"/>
        <family val="2"/>
      </rPr>
      <t>stop</t>
    </r>
    <r>
      <rPr>
        <sz val="9"/>
        <rFont val="Arial"/>
        <family val="2"/>
      </rPr>
      <t xml:space="preserve">; you </t>
    </r>
    <r>
      <rPr>
        <b/>
        <sz val="9"/>
        <rFont val="Arial"/>
        <family val="2"/>
      </rPr>
      <t>can’t</t>
    </r>
    <r>
      <rPr>
        <sz val="9"/>
        <rFont val="Arial"/>
        <family val="2"/>
      </rPr>
      <t xml:space="preserve"> take the credit.</t>
    </r>
  </si>
  <si>
    <t xml:space="preserve">.   .   .   .   .   .   .   .   .   .   .   .   .   .   .   .   .   .   .   .   .   .   .   .   .   .   .   .   .   .   .   .  </t>
  </si>
  <si>
    <t>Unemployment compensation</t>
  </si>
  <si>
    <t xml:space="preserve">.   .   .   .  </t>
  </si>
  <si>
    <t>Alternative minimum tax.  Attach Form 6251</t>
  </si>
  <si>
    <t>Form 8960</t>
  </si>
  <si>
    <t>checked.</t>
  </si>
  <si>
    <t>To override,</t>
  </si>
  <si>
    <t>of box to be</t>
  </si>
  <si>
    <t>enter number</t>
  </si>
  <si>
    <t xml:space="preserve">Under age 65? </t>
  </si>
  <si>
    <t>Go to www.irs.gov/ScheduleR for instructions and latest information.</t>
  </si>
  <si>
    <r>
      <t>No.</t>
    </r>
    <r>
      <rPr>
        <sz val="10"/>
        <rFont val="Arial"/>
        <family val="2"/>
      </rPr>
      <t xml:space="preserve">    Add lines 6 and 8.</t>
    </r>
  </si>
  <si>
    <t>worksheet instead of a publication to find out if any of your benefits are taxable.</t>
  </si>
  <si>
    <t>.   .   .   .   .   .   .   .   .   .   .   .   .</t>
  </si>
  <si>
    <r>
      <t xml:space="preserve">separately  and  you  </t>
    </r>
    <r>
      <rPr>
        <b/>
        <sz val="10"/>
        <rFont val="Arial"/>
        <family val="2"/>
      </rPr>
      <t>lived  apart</t>
    </r>
    <r>
      <rPr>
        <sz val="10"/>
        <rFont val="Arial"/>
        <family val="2"/>
      </rPr>
      <t xml:space="preserve">  from  your  spouse  for all</t>
    </r>
  </si>
  <si>
    <r>
      <t xml:space="preserve">Check here to remove </t>
    </r>
    <r>
      <rPr>
        <b/>
        <sz val="9"/>
        <color rgb="FF0070C0"/>
        <rFont val="Arial"/>
        <family val="2"/>
      </rPr>
      <t>blue</t>
    </r>
    <r>
      <rPr>
        <b/>
        <sz val="9"/>
        <color rgb="FF008000"/>
        <rFont val="Arial"/>
        <family val="2"/>
      </rPr>
      <t xml:space="preserve"> &amp; green colors from all sheets.</t>
    </r>
  </si>
  <si>
    <r>
      <t xml:space="preserve"> Yes.</t>
    </r>
    <r>
      <rPr>
        <sz val="10"/>
        <rFont val="Arial"/>
        <family val="2"/>
      </rPr>
      <t xml:space="preserve">  Subtract line 6 from line 5</t>
    </r>
    <r>
      <rPr>
        <b/>
        <sz val="10"/>
        <rFont val="Arial"/>
        <family val="2"/>
      </rPr>
      <t xml:space="preserve">     .   .   .   .   .   .   .   .   .   .   .</t>
    </r>
  </si>
  <si>
    <t>If you don't have a capital gain excess, complete the rest of either of those worksheets according to the worksheet's instructions. Then</t>
  </si>
  <si>
    <r>
      <t xml:space="preserve">Use this worksheet to figure your tax if </t>
    </r>
    <r>
      <rPr>
        <u/>
        <sz val="10"/>
        <rFont val="Arial"/>
        <family val="2"/>
      </rPr>
      <t>any</t>
    </r>
    <r>
      <rPr>
        <sz val="10"/>
        <rFont val="Arial"/>
        <family val="2"/>
      </rPr>
      <t xml:space="preserve"> of the following applies:</t>
    </r>
  </si>
  <si>
    <t xml:space="preserve">.    .    .    .    .    .    .    .    .    .    .    .    .    .    .    .    .    .    .    . </t>
  </si>
  <si>
    <r>
      <rPr>
        <b/>
        <sz val="10"/>
        <rFont val="Arial"/>
        <family val="2"/>
      </rPr>
      <t>No.</t>
    </r>
    <r>
      <rPr>
        <sz val="10"/>
        <rFont val="Arial"/>
        <family val="2"/>
      </rPr>
      <t xml:space="preserve">  Complete the</t>
    </r>
  </si>
  <si>
    <r>
      <rPr>
        <b/>
        <i/>
        <sz val="10"/>
        <rFont val="Arial"/>
        <family val="2"/>
      </rPr>
      <t xml:space="preserve">Before you begin: </t>
    </r>
    <r>
      <rPr>
        <sz val="10"/>
        <rFont val="Arial"/>
        <family val="2"/>
      </rPr>
      <t xml:space="preserve"> Be sure you are using the correct worksheet.</t>
    </r>
  </si>
  <si>
    <t>Don't include on these lines any statutory employee income, any net profit from services performed as a notary public,</t>
  </si>
  <si>
    <t>or any other amounts exempt from self-employment tax.</t>
  </si>
  <si>
    <t>any amount exempt from self-employment tax as the result of the filing and approval of Form 4029 or Form 4361,</t>
  </si>
  <si>
    <r>
      <t xml:space="preserve">Worksheet </t>
    </r>
    <r>
      <rPr>
        <b/>
        <sz val="16"/>
        <rFont val="Arial"/>
        <family val="2"/>
      </rPr>
      <t>B</t>
    </r>
  </si>
  <si>
    <t xml:space="preserve">        If you want to figure the credit yourself, enter the amount from line 4b on line 6 of this worksheet.</t>
  </si>
  <si>
    <t>Reminder  —</t>
  </si>
  <si>
    <t>TIP</t>
  </si>
  <si>
    <r>
      <t xml:space="preserve"> Sequence No. </t>
    </r>
    <r>
      <rPr>
        <b/>
        <sz val="12"/>
        <rFont val="Arial"/>
        <family val="2"/>
      </rPr>
      <t>08</t>
    </r>
  </si>
  <si>
    <t xml:space="preserve"> Attachment</t>
  </si>
  <si>
    <t xml:space="preserve">.   .   .   .   .   .   .   .   .   .   .   .   .   .   </t>
  </si>
  <si>
    <t>o  You exclude income from sources outside the United States or foreign housing, income earned by bona fide residents of American Samoa or Puerto Rico, interest income from series EE 
or I U.S. savings bonds issued after 1989, or employer-provided adoption benefits.</t>
  </si>
  <si>
    <r>
      <t xml:space="preserve">Add lines B, C, and D, and enter the total here. </t>
    </r>
    <r>
      <rPr>
        <b/>
        <sz val="10"/>
        <rFont val="Arial"/>
        <family val="2"/>
      </rPr>
      <t>Then, read the information below</t>
    </r>
  </si>
  <si>
    <t>.   .   .   .   .   .   .   .   .   .   .   .   .   .</t>
  </si>
  <si>
    <t>Do not return this notice to the SSA or the IRS. Keep it with your records.</t>
  </si>
  <si>
    <t>IRS.gov</t>
  </si>
  <si>
    <t>Catalog No. 61879N</t>
  </si>
  <si>
    <r>
      <t xml:space="preserve">Attachment
Sequence No. </t>
    </r>
    <r>
      <rPr>
        <b/>
        <sz val="12"/>
        <rFont val="Arial"/>
        <family val="2"/>
      </rPr>
      <t>14</t>
    </r>
  </si>
  <si>
    <t xml:space="preserve"> Social security number (SSN)</t>
  </si>
  <si>
    <r>
      <rPr>
        <b/>
        <sz val="10"/>
        <rFont val="Arial"/>
        <family val="2"/>
      </rPr>
      <t>Net farm profit or (loss).</t>
    </r>
    <r>
      <rPr>
        <sz val="10"/>
        <rFont val="Arial"/>
        <family val="2"/>
      </rPr>
      <t xml:space="preserve"> Subtract line 33 from line 9</t>
    </r>
  </si>
  <si>
    <t>.   .   .   .   .   .   .   .   .   .   .   .   .   .   .   .   .   .   .   .   .   .   .   .   .   .   .   .   .   .   .   .   .   .   .   .   .   .   .</t>
  </si>
  <si>
    <t>Sequence No.</t>
  </si>
  <si>
    <t xml:space="preserve">   Attachment     </t>
  </si>
  <si>
    <r>
      <t xml:space="preserve">tax home? See </t>
    </r>
    <r>
      <rPr>
        <b/>
        <i/>
        <sz val="10"/>
        <rFont val="Arial"/>
        <family val="2"/>
      </rPr>
      <t>Second foreign household</t>
    </r>
    <r>
      <rPr>
        <sz val="10"/>
        <rFont val="Arial"/>
        <family val="2"/>
      </rPr>
      <t xml:space="preserve"> in the instructions</t>
    </r>
  </si>
  <si>
    <r>
      <t xml:space="preserve">If you were present in the United States or its possessions during the tax year, complete columns </t>
    </r>
    <r>
      <rPr>
        <b/>
        <sz val="11"/>
        <rFont val="Arial"/>
        <family val="2"/>
      </rPr>
      <t>(a)–(d)</t>
    </r>
    <r>
      <rPr>
        <sz val="11"/>
        <rFont val="Arial"/>
        <family val="2"/>
      </rPr>
      <t xml:space="preserve"> below. </t>
    </r>
    <r>
      <rPr>
        <b/>
        <sz val="11"/>
        <rFont val="Arial"/>
        <family val="2"/>
      </rPr>
      <t>Don't</t>
    </r>
    <r>
      <rPr>
        <sz val="11"/>
        <rFont val="Arial"/>
        <family val="2"/>
      </rPr>
      <t xml:space="preserve"> include</t>
    </r>
  </si>
  <si>
    <r>
      <rPr>
        <b/>
        <sz val="11"/>
        <rFont val="Arial"/>
        <family val="2"/>
      </rPr>
      <t>Note:</t>
    </r>
    <r>
      <rPr>
        <sz val="11"/>
        <rFont val="Arial"/>
        <family val="2"/>
      </rPr>
      <t xml:space="preserve"> Enter on lines 19 through 23 all income, including noncash income, you earned and actually or constructively received during</t>
    </r>
  </si>
  <si>
    <r>
      <t xml:space="preserve">earned in a prior tax year, or will be earned in a later tax year (such as a bonus), see the instructions. </t>
    </r>
    <r>
      <rPr>
        <b/>
        <sz val="11"/>
        <rFont val="Arial"/>
        <family val="2"/>
      </rPr>
      <t>Don't</t>
    </r>
    <r>
      <rPr>
        <sz val="11"/>
        <rFont val="Arial"/>
        <family val="2"/>
      </rPr>
      <t xml:space="preserve"> include income from line</t>
    </r>
  </si>
  <si>
    <r>
      <t xml:space="preserve">14, column </t>
    </r>
    <r>
      <rPr>
        <b/>
        <sz val="11"/>
        <rFont val="Arial"/>
        <family val="2"/>
      </rPr>
      <t>(d)</t>
    </r>
    <r>
      <rPr>
        <sz val="11"/>
        <rFont val="Arial"/>
        <family val="2"/>
      </rPr>
      <t xml:space="preserve">, or line 18, column </t>
    </r>
    <r>
      <rPr>
        <b/>
        <sz val="11"/>
        <rFont val="Arial"/>
        <family val="2"/>
      </rPr>
      <t>(f)</t>
    </r>
    <r>
      <rPr>
        <sz val="11"/>
        <rFont val="Arial"/>
        <family val="2"/>
      </rPr>
      <t>. Report amounts in U.S. dollars, using the exchange rates in effect when you actually or</t>
    </r>
  </si>
  <si>
    <r>
      <t xml:space="preserve"> </t>
    </r>
    <r>
      <rPr>
        <b/>
        <sz val="11"/>
        <rFont val="Arial"/>
        <family val="2"/>
      </rPr>
      <t xml:space="preserve">Yes. </t>
    </r>
    <r>
      <rPr>
        <sz val="11"/>
        <rFont val="Arial"/>
        <family val="2"/>
      </rPr>
      <t xml:space="preserve"> Complete Part VI.</t>
    </r>
  </si>
  <si>
    <r>
      <t xml:space="preserve"> </t>
    </r>
    <r>
      <rPr>
        <b/>
        <sz val="11"/>
        <rFont val="Arial"/>
        <family val="2"/>
      </rPr>
      <t>No.</t>
    </r>
    <r>
      <rPr>
        <sz val="11"/>
        <rFont val="Arial"/>
        <family val="2"/>
      </rPr>
      <t xml:space="preserve">   Go to Part VII.</t>
    </r>
  </si>
  <si>
    <r>
      <t xml:space="preserve">Enter the </t>
    </r>
    <r>
      <rPr>
        <b/>
        <sz val="11"/>
        <rFont val="Arial"/>
        <family val="2"/>
      </rPr>
      <t>smaller</t>
    </r>
    <r>
      <rPr>
        <sz val="11"/>
        <rFont val="Arial"/>
        <family val="2"/>
      </rPr>
      <t xml:space="preserve"> of line 28 or line 29b</t>
    </r>
  </si>
  <si>
    <r>
      <rPr>
        <b/>
        <sz val="11"/>
        <rFont val="Arial"/>
        <family val="2"/>
      </rPr>
      <t xml:space="preserve">Housing exclusion. </t>
    </r>
    <r>
      <rPr>
        <sz val="11"/>
        <rFont val="Arial"/>
        <family val="2"/>
      </rPr>
      <t>Multiply line 33 by line 35. Enter the result but don't enter more than the</t>
    </r>
  </si>
  <si>
    <r>
      <t xml:space="preserve">Enter the </t>
    </r>
    <r>
      <rPr>
        <b/>
        <sz val="11"/>
        <rFont val="Arial"/>
        <family val="2"/>
      </rPr>
      <t>smaller</t>
    </r>
    <r>
      <rPr>
        <sz val="11"/>
        <rFont val="Arial"/>
        <family val="2"/>
      </rPr>
      <t xml:space="preserve"> of line 46 or line 47</t>
    </r>
  </si>
  <si>
    <t>the instructions)</t>
  </si>
  <si>
    <r>
      <t xml:space="preserve">Sequence No. </t>
    </r>
    <r>
      <rPr>
        <b/>
        <sz val="12"/>
        <rFont val="Arial"/>
        <family val="2"/>
      </rPr>
      <t>32</t>
    </r>
  </si>
  <si>
    <r>
      <t>Passive activities (difference between AMT and regular tax income or loss)</t>
    </r>
    <r>
      <rPr>
        <b/>
        <sz val="10"/>
        <rFont val="Arial"/>
        <family val="2"/>
      </rPr>
      <t xml:space="preserve"> </t>
    </r>
  </si>
  <si>
    <r>
      <t xml:space="preserve">Alternative minimum taxable income. </t>
    </r>
    <r>
      <rPr>
        <sz val="10"/>
        <rFont val="Arial"/>
        <family val="2"/>
      </rPr>
      <t>Combine lines 1 through 3. (If married filing separately and line 4</t>
    </r>
  </si>
  <si>
    <r>
      <t xml:space="preserve">If line 4 is </t>
    </r>
    <r>
      <rPr>
        <b/>
        <sz val="10"/>
        <rFont val="Arial"/>
        <family val="2"/>
      </rPr>
      <t>over</t>
    </r>
    <r>
      <rPr>
        <sz val="10"/>
        <rFont val="Arial"/>
        <family val="2"/>
      </rPr>
      <t xml:space="preserve"> the amount shown above for your filing status, see instructions.</t>
    </r>
  </si>
  <si>
    <t>Complete Part III only if you are required to do so by line 7 or by the Foreign Earned Income Tax Worksheet in the instructions.</t>
  </si>
  <si>
    <t>see instructions for the amount to enter</t>
  </si>
  <si>
    <t xml:space="preserve">.   .   .   .   .   .   .   .   .   .   .   .   .   .   .   .   .   .   .   .   .   .   .   .   .   .   .   .   .   .   .   . </t>
  </si>
  <si>
    <t>.   .   .   .   .   .   .   .   .   .   .   .   .   .   .   .   .   .   .   .   .   .   .   .   .   .   .   .   .   .   .   .   .   .</t>
  </si>
  <si>
    <t xml:space="preserve">.   .   .   .   .   .   .   .   .   .   .   .   .   .   .   .   .   .   .   .   .   .   .   .   .   .   .   .   .   .  </t>
  </si>
  <si>
    <t xml:space="preserve">   .   .   .   .   .   .   .   .   .   .   .   .   .   .   .   .   .   .   .   .   .   .   .   .   .   .   .   .   .   .   . </t>
  </si>
  <si>
    <r>
      <t xml:space="preserve">Are you filing </t>
    </r>
    <r>
      <rPr>
        <b/>
        <sz val="10"/>
        <rFont val="Arial"/>
        <family val="2"/>
      </rPr>
      <t>Schedule A</t>
    </r>
    <r>
      <rPr>
        <sz val="10"/>
        <rFont val="Arial"/>
        <family val="2"/>
      </rPr>
      <t>?</t>
    </r>
  </si>
  <si>
    <t xml:space="preserve">.   .   .   .   .   .   .   .   .   .   .   .   .   .   .   .   .   .   .   .   .   .   .   .   .   .   .   .   .   .   .   .   .   .   .   .   .   .  </t>
  </si>
  <si>
    <t xml:space="preserve">.   .   .   .   .   .   .   .   .   .   .   .   .   .   .   .   .   .   .   .   .   .   .   .   .   .   .   .   .   .   .   .   .   .   .   .  </t>
  </si>
  <si>
    <t>Exemption Worksheet—
Line 5</t>
  </si>
  <si>
    <t xml:space="preserve">  line 4, on line 6 and go to line 7.</t>
  </si>
  <si>
    <t>(AMTI) from Form 6251, line 4</t>
  </si>
  <si>
    <r>
      <t>enter -0-</t>
    </r>
    <r>
      <rPr>
        <b/>
        <sz val="10"/>
        <rFont val="Arial"/>
        <family val="2"/>
      </rPr>
      <t xml:space="preserve"> </t>
    </r>
  </si>
  <si>
    <t xml:space="preserve">.   .   .   .   .   .   .   .   .   .   .   .   .   .   .   .   .   .   .   .   .   .   .   .   .   .   .   .   .   .   .   .   .   .   .   .   .   .   .   .   .   . </t>
  </si>
  <si>
    <t>go to Form 6251, line 6 .   .   .   .   .   .   .   .   .   .   .   .   .   .   .   .   .   .   .   .   .   .   .   .   .   .   .   .   .   .   .   .   .   .   .   .   .   .</t>
  </si>
  <si>
    <t>Foreign Earned Income Tax Worksheet—Line 7</t>
  </si>
  <si>
    <t>If Form 6251, line 6, is zero, don't complete this worksheet.</t>
  </si>
  <si>
    <t>Enter the amount from Form 6251, line 6</t>
  </si>
  <si>
    <t>enter the amount from Form 6251, line 40, here.</t>
  </si>
  <si>
    <t>Subtract line 5 from line 4. Enter the result here and on Form 6251, line 7</t>
  </si>
  <si>
    <r>
      <t xml:space="preserve">Go to </t>
    </r>
    <r>
      <rPr>
        <i/>
        <sz val="10"/>
        <rFont val="Arial"/>
        <family val="2"/>
      </rPr>
      <t>www.irs.gov/Form8962</t>
    </r>
    <r>
      <rPr>
        <sz val="10"/>
        <rFont val="Arial"/>
        <family val="2"/>
      </rPr>
      <t xml:space="preserve"> for instructions and the latest information.</t>
    </r>
  </si>
  <si>
    <r>
      <rPr>
        <b/>
        <sz val="9"/>
        <rFont val="Arial"/>
        <family val="2"/>
      </rPr>
      <t>(a)</t>
    </r>
    <r>
      <rPr>
        <sz val="9"/>
        <rFont val="Arial"/>
        <family val="2"/>
      </rPr>
      <t xml:space="preserve"> Annual enrollment premiums (Form(s) 
1095-A, line 33A)</t>
    </r>
  </si>
  <si>
    <t>Excess advance premium tax credit repayment: Enter the smaller of line 27 or line 28 here and on Schedule 2</t>
  </si>
  <si>
    <t>Multiply the amounts on Form 1095-A by the allocation percentages entered by policy. Add all allocated policy amounts and non-</t>
  </si>
  <si>
    <t>Complete line(s) 35 and/or 36 to elect the alternative calculation for year of marriage. For eligibility to make the election, see instructions for line 9.</t>
  </si>
  <si>
    <r>
      <rPr>
        <b/>
        <sz val="10"/>
        <rFont val="Arial"/>
        <family val="2"/>
      </rPr>
      <t>Line 2b</t>
    </r>
    <r>
      <rPr>
        <sz val="10"/>
        <rFont val="Arial"/>
        <family val="2"/>
      </rPr>
      <t xml:space="preserve"> Enter on line 2b the combined modified AGI for all of your dependents who are required to file an income tax return because of their income meets the income tax return filing threshold. Use the worksheet next to figure the dependents' combined modified AGI.  Do not include the modified AGI of dependents who are filing a tax return only to claim a refund of tax withheld or estimated tax. </t>
    </r>
  </si>
  <si>
    <r>
      <t xml:space="preserve">This spreadsheet is free.  
</t>
    </r>
    <r>
      <rPr>
        <sz val="11"/>
        <color rgb="FF800000"/>
        <rFont val="Comic Sans MS"/>
        <family val="4"/>
      </rPr>
      <t xml:space="preserve">However, if you would like to show your appreciation, 
you may make a contribution by clicking one of the following links and 
sending money as indicated.
</t>
    </r>
  </si>
  <si>
    <t>https://www.zellepay.com/</t>
  </si>
  <si>
    <t>https://paypal.me/incometaxspreadsheet</t>
  </si>
  <si>
    <t>Glenn Reeves</t>
  </si>
  <si>
    <t>(Tax Calculator)</t>
  </si>
  <si>
    <t>US Mail:</t>
  </si>
  <si>
    <t>PayPal</t>
  </si>
  <si>
    <t>Zelle (App)</t>
  </si>
  <si>
    <t>(Send to:  IncomeTaxSpreadsheet@gmail.com )</t>
  </si>
  <si>
    <t>-- DISCLAIMER --
These spreadsheets are provided "as is", 
with no warranty of any kind, expressed or implied, and
 in no event will Glenn Reeves be liable for 
direct, indirect, incidental, or consequential damages
 resulting from the use of any of these spreadsheets. 
Glenn Reeves specifically disclaims the role of tax adviser. 
These spreadsheets attempt to perform the mechanics of tax preparation
 in accordance with IRS forms and instructions. 
The user must assume responsibility as to the correctness and 
appropriateness of any and all amounts entered and results produced.</t>
  </si>
  <si>
    <t>Thank you for using my spreadsheet and for any money you decide to send!</t>
  </si>
  <si>
    <t xml:space="preserve">particular line, then look for a sheet associated with that line (e.g. "Line 9 (QBID)") to determine if additional </t>
  </si>
  <si>
    <r>
      <rPr>
        <sz val="9"/>
        <rFont val="Arial"/>
        <family val="2"/>
      </rPr>
      <t>Form</t>
    </r>
    <r>
      <rPr>
        <sz val="10"/>
        <rFont val="Arial"/>
        <family val="2"/>
      </rPr>
      <t xml:space="preserve"> </t>
    </r>
    <r>
      <rPr>
        <b/>
        <sz val="24"/>
        <rFont val="Arial"/>
        <family val="2"/>
      </rPr>
      <t>1116</t>
    </r>
  </si>
  <si>
    <r>
      <t xml:space="preserve">Go to </t>
    </r>
    <r>
      <rPr>
        <b/>
        <i/>
        <sz val="9"/>
        <rFont val="Arial"/>
        <family val="2"/>
      </rPr>
      <t>www.irs.gov/Form1116</t>
    </r>
    <r>
      <rPr>
        <b/>
        <sz val="9"/>
        <rFont val="Arial"/>
        <family val="2"/>
      </rPr>
      <t xml:space="preserve"> for instructions and the latest information.</t>
    </r>
  </si>
  <si>
    <r>
      <t xml:space="preserve"> </t>
    </r>
    <r>
      <rPr>
        <b/>
        <sz val="9"/>
        <rFont val="Arial"/>
        <family val="2"/>
      </rPr>
      <t>Deductions and losses (Caution:</t>
    </r>
    <r>
      <rPr>
        <sz val="9"/>
        <rFont val="Arial"/>
        <family val="2"/>
      </rPr>
      <t xml:space="preserve"> See instructions.):</t>
    </r>
  </si>
  <si>
    <r>
      <t xml:space="preserve">Foreign Taxes Paid or Accrued </t>
    </r>
    <r>
      <rPr>
        <sz val="12"/>
        <rFont val="Arial"/>
        <family val="2"/>
      </rPr>
      <t xml:space="preserve"> (see instructions)</t>
    </r>
  </si>
  <si>
    <r>
      <rPr>
        <sz val="9"/>
        <rFont val="Arial"/>
        <family val="2"/>
      </rPr>
      <t xml:space="preserve">Page </t>
    </r>
    <r>
      <rPr>
        <b/>
        <sz val="12"/>
        <rFont val="Arial"/>
        <family val="2"/>
      </rPr>
      <t>2</t>
    </r>
  </si>
  <si>
    <r>
      <rPr>
        <sz val="9"/>
        <rFont val="Arial"/>
        <family val="2"/>
      </rPr>
      <t xml:space="preserve">Form </t>
    </r>
    <r>
      <rPr>
        <b/>
        <sz val="24"/>
        <rFont val="Arial"/>
        <family val="2"/>
      </rPr>
      <t>1116</t>
    </r>
  </si>
  <si>
    <t>(l) Date paid</t>
  </si>
  <si>
    <r>
      <t xml:space="preserve">Enter your </t>
    </r>
    <r>
      <rPr>
        <b/>
        <sz val="10"/>
        <rFont val="Arial"/>
        <family val="2"/>
      </rPr>
      <t xml:space="preserve">earned income.   </t>
    </r>
    <r>
      <rPr>
        <sz val="10"/>
        <rFont val="Arial"/>
        <family val="2"/>
      </rPr>
      <t>See instructions</t>
    </r>
  </si>
  <si>
    <t>Combine lines 12 through 14. See instructions</t>
  </si>
  <si>
    <r>
      <t xml:space="preserve">Enter the total amount of </t>
    </r>
    <r>
      <rPr>
        <b/>
        <sz val="11"/>
        <rFont val="Arial"/>
        <family val="2"/>
      </rPr>
      <t>qualified expenses</t>
    </r>
    <r>
      <rPr>
        <sz val="11"/>
        <rFont val="Arial"/>
        <family val="2"/>
      </rPr>
      <t xml:space="preserve"> incurred</t>
    </r>
  </si>
  <si>
    <t>qualifying person(s)</t>
  </si>
  <si>
    <r>
      <t>Deductible benefits.</t>
    </r>
    <r>
      <rPr>
        <sz val="11"/>
        <rFont val="Arial"/>
        <family val="2"/>
      </rPr>
      <t xml:space="preserve"> Enter the </t>
    </r>
    <r>
      <rPr>
        <b/>
        <sz val="11"/>
        <rFont val="Arial"/>
        <family val="2"/>
      </rPr>
      <t>smallest</t>
    </r>
    <r>
      <rPr>
        <sz val="11"/>
        <rFont val="Arial"/>
        <family val="2"/>
      </rPr>
      <t xml:space="preserve"> of line 20, 21, or 22. Also, include this amount on</t>
    </r>
  </si>
  <si>
    <t>the appropriate line(s) of your return. See instructions</t>
  </si>
  <si>
    <r>
      <rPr>
        <b/>
        <sz val="11"/>
        <rFont val="Arial"/>
        <family val="2"/>
      </rPr>
      <t>Excluded benefits.</t>
    </r>
    <r>
      <rPr>
        <sz val="11"/>
        <rFont val="Arial"/>
        <family val="2"/>
      </rPr>
      <t xml:space="preserve"> </t>
    </r>
    <r>
      <rPr>
        <b/>
        <sz val="11"/>
        <rFont val="Arial"/>
        <family val="2"/>
      </rPr>
      <t xml:space="preserve"> </t>
    </r>
    <r>
      <rPr>
        <sz val="11"/>
        <rFont val="Arial"/>
        <family val="2"/>
      </rPr>
      <t>If you checked "No" on line 22, enter the smaller of line 20 or 21.</t>
    </r>
  </si>
  <si>
    <r>
      <rPr>
        <b/>
        <sz val="11"/>
        <rFont val="Arial"/>
        <family val="2"/>
      </rPr>
      <t>Taxable benefits.</t>
    </r>
    <r>
      <rPr>
        <sz val="11"/>
        <rFont val="Arial"/>
        <family val="2"/>
      </rPr>
      <t xml:space="preserve"> Subtract line 25 from line 23. If zero or less, enter -0-. Also, include this</t>
    </r>
  </si>
  <si>
    <t>Add lines 24 and 25</t>
  </si>
  <si>
    <t>Subtract line 28 from line 27.</t>
  </si>
  <si>
    <r>
      <t xml:space="preserve">Exception. </t>
    </r>
    <r>
      <rPr>
        <sz val="11"/>
        <rFont val="Arial"/>
        <family val="2"/>
      </rPr>
      <t xml:space="preserve"> If you</t>
    </r>
  </si>
  <si>
    <r>
      <t xml:space="preserve">Complete line 2 on the front of this form. </t>
    </r>
    <r>
      <rPr>
        <b/>
        <sz val="11"/>
        <rFont val="Arial"/>
        <family val="2"/>
      </rPr>
      <t>Don't</t>
    </r>
    <r>
      <rPr>
        <sz val="11"/>
        <rFont val="Arial"/>
        <family val="2"/>
      </rPr>
      <t xml:space="preserve"> include in column (c) any benefits shown on</t>
    </r>
  </si>
  <si>
    <r>
      <t>on line 28 above. Then, add the amounts in column (c) and enter the total here</t>
    </r>
    <r>
      <rPr>
        <b/>
        <sz val="10"/>
        <rFont val="Arial"/>
        <family val="2"/>
      </rPr>
      <t xml:space="preserve">  .   .   .   .   .   .   .</t>
    </r>
  </si>
  <si>
    <r>
      <t xml:space="preserve">Enter the </t>
    </r>
    <r>
      <rPr>
        <b/>
        <sz val="11"/>
        <rFont val="Arial"/>
        <family val="2"/>
      </rPr>
      <t>smaller</t>
    </r>
    <r>
      <rPr>
        <sz val="11"/>
        <rFont val="Arial"/>
        <family val="2"/>
      </rPr>
      <t xml:space="preserve"> of line 29 or 30. Also, enter this amount on line 3 on the front of this form</t>
    </r>
  </si>
  <si>
    <r>
      <t xml:space="preserve">If zero or less, </t>
    </r>
    <r>
      <rPr>
        <b/>
        <sz val="11"/>
        <rFont val="Arial"/>
        <family val="2"/>
      </rPr>
      <t>stop</t>
    </r>
    <r>
      <rPr>
        <sz val="11"/>
        <rFont val="Arial"/>
        <family val="2"/>
      </rPr>
      <t>.    You can't take the credit.</t>
    </r>
  </si>
  <si>
    <r>
      <t xml:space="preserve">Enter the </t>
    </r>
    <r>
      <rPr>
        <b/>
        <sz val="12"/>
        <rFont val="Arial"/>
        <family val="2"/>
      </rPr>
      <t>smaller</t>
    </r>
    <r>
      <rPr>
        <sz val="12"/>
        <rFont val="Arial"/>
        <family val="2"/>
      </rPr>
      <t xml:space="preserve"> of line 15 or 16</t>
    </r>
  </si>
  <si>
    <r>
      <t xml:space="preserve">Enter your </t>
    </r>
    <r>
      <rPr>
        <b/>
        <sz val="12"/>
        <rFont val="Arial"/>
        <family val="2"/>
      </rPr>
      <t>earned income.</t>
    </r>
    <r>
      <rPr>
        <sz val="12"/>
        <rFont val="Arial"/>
        <family val="2"/>
      </rPr>
      <t xml:space="preserve">  See instructions</t>
    </r>
  </si>
  <si>
    <r>
      <t>h</t>
    </r>
    <r>
      <rPr>
        <sz val="12"/>
        <rFont val="Arial"/>
        <family val="2"/>
      </rPr>
      <t xml:space="preserve"> If married filing a joint return, enter your</t>
    </r>
  </si>
  <si>
    <r>
      <t>h</t>
    </r>
    <r>
      <rPr>
        <sz val="12"/>
        <rFont val="Arial"/>
        <family val="2"/>
      </rPr>
      <t xml:space="preserve"> If married filing separately, see</t>
    </r>
  </si>
  <si>
    <r>
      <t>h</t>
    </r>
    <r>
      <rPr>
        <sz val="12"/>
        <rFont val="Arial"/>
        <family val="2"/>
      </rPr>
      <t xml:space="preserve"> All others, enter the amount from line 18.</t>
    </r>
  </si>
  <si>
    <r>
      <t xml:space="preserve">Enter the </t>
    </r>
    <r>
      <rPr>
        <b/>
        <sz val="12"/>
        <rFont val="Arial"/>
        <family val="2"/>
      </rPr>
      <t>smallest</t>
    </r>
    <r>
      <rPr>
        <sz val="12"/>
        <rFont val="Arial"/>
        <family val="2"/>
      </rPr>
      <t xml:space="preserve"> of line 17, 18, or 19</t>
    </r>
  </si>
  <si>
    <r>
      <rPr>
        <b/>
        <sz val="12"/>
        <rFont val="Arial"/>
        <family val="2"/>
      </rPr>
      <t>No.</t>
    </r>
    <r>
      <rPr>
        <sz val="12"/>
        <rFont val="Arial"/>
        <family val="2"/>
      </rPr>
      <t xml:space="preserve">   Enter -0-. </t>
    </r>
  </si>
  <si>
    <r>
      <rPr>
        <b/>
        <sz val="12"/>
        <rFont val="Arial"/>
        <family val="2"/>
      </rPr>
      <t>Yes.</t>
    </r>
    <r>
      <rPr>
        <sz val="12"/>
        <rFont val="Arial"/>
        <family val="2"/>
      </rPr>
      <t xml:space="preserve">   Enter the amount here</t>
    </r>
  </si>
  <si>
    <t>Mandatory contributions you made to state disability benefit funds, temporary disability benefit funds, etc.</t>
  </si>
  <si>
    <r>
      <t xml:space="preserve">Total expenses.  </t>
    </r>
    <r>
      <rPr>
        <sz val="10"/>
        <rFont val="Arial"/>
        <family val="2"/>
      </rPr>
      <t>Add lines 10 through 32f. If line 32f is negative, see instructions</t>
    </r>
  </si>
  <si>
    <r>
      <rPr>
        <b/>
        <sz val="10"/>
        <rFont val="Arial"/>
        <family val="2"/>
      </rPr>
      <t xml:space="preserve">Gross income.  </t>
    </r>
    <r>
      <rPr>
        <sz val="10"/>
        <rFont val="Arial"/>
        <family val="2"/>
      </rPr>
      <t>Add amounts in the right column (lines 1c, 2, 3b, 4b, 5a, 5c, 6b, 6d, 7, and 8). If you use the</t>
    </r>
  </si>
  <si>
    <t>Subtract line 10 from line 3</t>
  </si>
  <si>
    <t>Multiply line 4 by line 5</t>
  </si>
  <si>
    <t>business apprentices, see instructions.)</t>
  </si>
  <si>
    <t>Self-employment tax from line 36 (complete Part II below)</t>
  </si>
  <si>
    <t>Total tax. Add lines 14, 15, and 16</t>
  </si>
  <si>
    <t>Subtract line 18 from line 17. If zero or less, enter -0-</t>
  </si>
  <si>
    <t>Multiply line 19 by line 20</t>
  </si>
  <si>
    <t>Enter the total of the amounts in all previous columns of line 27</t>
  </si>
  <si>
    <t>Subtract line 27 of the previous column from line 26</t>
  </si>
  <si>
    <t>Subtract line 30 from line 29. If zero or less, enter -0-</t>
  </si>
  <si>
    <t>Multiply line 28 by line 34</t>
  </si>
  <si>
    <t>Add lines 33 and 35. Enter here and on line 15 above</t>
  </si>
  <si>
    <t>Taxable amount not determined / total distr.</t>
  </si>
  <si>
    <r>
      <t>If using copy/paste to copy information from another source, be sure to paste using '</t>
    </r>
    <r>
      <rPr>
        <b/>
        <sz val="10"/>
        <rFont val="Arial"/>
        <family val="2"/>
      </rPr>
      <t>Paste-Values</t>
    </r>
    <r>
      <rPr>
        <sz val="10"/>
        <rFont val="Arial"/>
        <family val="2"/>
      </rPr>
      <t>'.</t>
    </r>
  </si>
  <si>
    <t>Click on the tab labeled '1040' and enter all of the information required for Form 1040, Page 1.</t>
  </si>
  <si>
    <t>HINT:  Recommend regularly checking and saving your spreadsheet.</t>
  </si>
  <si>
    <t>same as any visible character.</t>
  </si>
  <si>
    <t>Do not press the &lt;space&gt; bar because, although it is invisible, the &lt;space&gt; character is treated the</t>
  </si>
  <si>
    <t>Enter your birthdate and, if filing Married - Filing Jointly, enter your spouse's birthdate to the right of the Form 1040.</t>
  </si>
  <si>
    <t>per person</t>
  </si>
  <si>
    <t>1099-R</t>
  </si>
  <si>
    <t>Form 8960, Line 3 (for Dist. Code 'D' only)</t>
  </si>
  <si>
    <r>
      <t xml:space="preserve">Distribution code(s) </t>
    </r>
    <r>
      <rPr>
        <b/>
        <sz val="10"/>
        <rFont val="Arial"/>
        <family val="2"/>
      </rPr>
      <t>(Portion of line 2a w/Code D)</t>
    </r>
  </si>
  <si>
    <t>Portion of state and local taxes w/Code D</t>
  </si>
  <si>
    <t xml:space="preserve">  .   .   .   .   .   .   .   .   .   .   . </t>
  </si>
  <si>
    <r>
      <t>Enter here and include on your tax return</t>
    </r>
    <r>
      <rPr>
        <sz val="10"/>
        <rFont val="Arial"/>
        <family val="2"/>
      </rPr>
      <t xml:space="preserve"> (see instructions)</t>
    </r>
  </si>
  <si>
    <t xml:space="preserve"> .   .   .   .   .   .   .   .   .   .   .   .   .   .   . </t>
  </si>
  <si>
    <t xml:space="preserve">  .   .   .   .   .   .   .   .   .   .   .   .   .   .   .   .   .   .   . </t>
  </si>
  <si>
    <r>
      <rPr>
        <b/>
        <sz val="9"/>
        <rFont val="Arial"/>
        <family val="2"/>
      </rPr>
      <t>Who Must File:</t>
    </r>
    <r>
      <rPr>
        <sz val="9"/>
        <rFont val="Arial"/>
        <family val="2"/>
      </rPr>
      <t xml:space="preserve">  Attach Form 8960 to your return if your modified adjusted gross income (MAGI) is greater than the applicable threshold amount.</t>
    </r>
  </si>
  <si>
    <t>Family coverage at any time?</t>
  </si>
  <si>
    <t>Step 3</t>
  </si>
  <si>
    <t>Step 4</t>
  </si>
  <si>
    <t>of your return if they apply to you.</t>
  </si>
  <si>
    <t>number:</t>
  </si>
  <si>
    <t>Leave line 4 blank, enter -0- on line 5, and go</t>
  </si>
  <si>
    <t>to line 6.</t>
  </si>
  <si>
    <t>enter -0- on line 11, and go to line 12.</t>
  </si>
  <si>
    <t>If line 5 above is equal to or more than line 1 above, leave lines 7 through 10</t>
  </si>
  <si>
    <t>Add lines 7 and 8. Enter the total.</t>
  </si>
  <si>
    <t>Subtract line 10 from line 9. If the result is zero or less, enter -0-.</t>
  </si>
  <si>
    <t>Then, go to line 15.</t>
  </si>
  <si>
    <r>
      <t xml:space="preserve">  your exemption is zero. </t>
    </r>
    <r>
      <rPr>
        <b/>
        <sz val="10"/>
        <rFont val="Arial"/>
        <family val="2"/>
      </rPr>
      <t>Don't</t>
    </r>
    <r>
      <rPr>
        <sz val="10"/>
        <rFont val="Arial"/>
        <family val="2"/>
      </rPr>
      <t xml:space="preserve"> complete this worksheet; instead, enter the amount from Form 6251,</t>
    </r>
  </si>
  <si>
    <t>CarryBack from Current Year</t>
  </si>
  <si>
    <t>Line 21 less Line 33 (Must be &gt;=0)</t>
  </si>
  <si>
    <t>CarryForward to Next Year</t>
  </si>
  <si>
    <t>Line 14 less Line 33 (Must be &gt;=0)</t>
  </si>
  <si>
    <t>Important! - Retain these CarryBack and CarryForward amounts for EACH year you file Form 1116.</t>
  </si>
  <si>
    <t>They will be needed in future years when you can get a REFUND from CarryBack and for utilizing</t>
  </si>
  <si>
    <t>Unused CarryForward next year on Form 1116 Line 10.</t>
  </si>
  <si>
    <r>
      <t xml:space="preserve">Sequence No. </t>
    </r>
    <r>
      <rPr>
        <b/>
        <sz val="12"/>
        <rFont val="Arial"/>
        <family val="2"/>
      </rPr>
      <t>06</t>
    </r>
  </si>
  <si>
    <r>
      <rPr>
        <b/>
        <sz val="10"/>
        <rFont val="Arial"/>
        <family val="2"/>
      </rPr>
      <t>Required annual payment.</t>
    </r>
    <r>
      <rPr>
        <sz val="10"/>
        <rFont val="Arial"/>
        <family val="2"/>
      </rPr>
      <t xml:space="preserve"> Enter the </t>
    </r>
    <r>
      <rPr>
        <b/>
        <sz val="10"/>
        <rFont val="Arial"/>
        <family val="2"/>
      </rPr>
      <t>smaller</t>
    </r>
    <r>
      <rPr>
        <sz val="10"/>
        <rFont val="Arial"/>
        <family val="2"/>
      </rPr>
      <t xml:space="preserve"> of line 5 or line 8</t>
    </r>
  </si>
  <si>
    <r>
      <t xml:space="preserve">  </t>
    </r>
    <r>
      <rPr>
        <b/>
        <sz val="10"/>
        <rFont val="Arial"/>
        <family val="2"/>
      </rPr>
      <t>Don't</t>
    </r>
    <r>
      <rPr>
        <sz val="10"/>
        <rFont val="Arial"/>
        <family val="2"/>
      </rPr>
      <t xml:space="preserve"> file Form 2210 unless</t>
    </r>
  </si>
  <si>
    <r>
      <rPr>
        <b/>
        <sz val="12"/>
        <rFont val="Arial"/>
        <family val="2"/>
      </rPr>
      <t xml:space="preserve">Required installments. </t>
    </r>
    <r>
      <rPr>
        <sz val="12"/>
        <rFont val="Arial"/>
        <family val="2"/>
      </rPr>
      <t>If box C in Part II applies,</t>
    </r>
  </si>
  <si>
    <t>instructions). For column (a) only, also enter the</t>
  </si>
  <si>
    <r>
      <t xml:space="preserve">Estates and trusts, </t>
    </r>
    <r>
      <rPr>
        <b/>
        <sz val="10"/>
        <rFont val="Arial"/>
        <family val="2"/>
      </rPr>
      <t>don't</t>
    </r>
    <r>
      <rPr>
        <sz val="10"/>
        <rFont val="Arial"/>
        <family val="2"/>
      </rPr>
      <t xml:space="preserve"> use the period ending dates shown to the right.</t>
    </r>
  </si>
  <si>
    <r>
      <t xml:space="preserve">Enter the </t>
    </r>
    <r>
      <rPr>
        <b/>
        <sz val="11"/>
        <rFont val="Arial"/>
        <family val="2"/>
      </rPr>
      <t>larger</t>
    </r>
    <r>
      <rPr>
        <sz val="11"/>
        <rFont val="Arial"/>
        <family val="2"/>
      </rPr>
      <t xml:space="preserve"> of line 6 or line 7</t>
    </r>
  </si>
  <si>
    <r>
      <t xml:space="preserve">in each column. </t>
    </r>
    <r>
      <rPr>
        <sz val="11"/>
        <rFont val="Arial"/>
        <family val="2"/>
      </rPr>
      <t>(Estates and trusts, see instructions.)</t>
    </r>
  </si>
  <si>
    <t>Figure your tax on the amount on line 13 (see instructions)</t>
  </si>
  <si>
    <t>Overrides for Line 14</t>
  </si>
  <si>
    <t>14d</t>
  </si>
  <si>
    <t>Subtract line 12 from line 11.</t>
  </si>
  <si>
    <t xml:space="preserve">If zero or less, enter -0-      </t>
  </si>
  <si>
    <t>including, if applicable,  Additional  Medicare  Tax</t>
  </si>
  <si>
    <r>
      <t xml:space="preserve">Enter the </t>
    </r>
    <r>
      <rPr>
        <b/>
        <sz val="12"/>
        <rFont val="Arial"/>
        <family val="2"/>
      </rPr>
      <t>smaller</t>
    </r>
    <r>
      <rPr>
        <sz val="12"/>
        <rFont val="Arial"/>
        <family val="2"/>
      </rPr>
      <t xml:space="preserve"> of line 23 or line 26 here and on</t>
    </r>
  </si>
  <si>
    <r>
      <rPr>
        <b/>
        <sz val="10"/>
        <rFont val="Arial"/>
        <family val="2"/>
      </rPr>
      <t>Exception:</t>
    </r>
    <r>
      <rPr>
        <sz val="10"/>
        <rFont val="Arial"/>
        <family val="2"/>
      </rPr>
      <t xml:space="preserve"> If you filed Form 4137 or Form 8919, see instructions</t>
    </r>
  </si>
  <si>
    <r>
      <t xml:space="preserve">Multiply line 32 by the </t>
    </r>
    <r>
      <rPr>
        <b/>
        <sz val="11"/>
        <rFont val="Arial"/>
        <family val="2"/>
      </rPr>
      <t>smaller</t>
    </r>
    <r>
      <rPr>
        <sz val="11"/>
        <rFont val="Arial"/>
        <family val="2"/>
      </rPr>
      <t xml:space="preserve"> of line 28 or line 31</t>
    </r>
  </si>
  <si>
    <t>Annualization amounts. (Estates and trusts, see instructions.)</t>
  </si>
  <si>
    <t>Note:  This sheet includes two Schedule E forms.</t>
  </si>
  <si>
    <t>Sch. 1</t>
  </si>
  <si>
    <t>Refundable
Credits</t>
  </si>
  <si>
    <t>Days:</t>
  </si>
  <si>
    <r>
      <t xml:space="preserve">Number of days </t>
    </r>
    <r>
      <rPr>
        <b/>
        <sz val="9"/>
        <rFont val="Arial"/>
        <family val="2"/>
      </rPr>
      <t>from</t>
    </r>
    <r>
      <rPr>
        <sz val="9"/>
        <rFont val="Arial"/>
        <family val="2"/>
      </rPr>
      <t xml:space="preserve"> the date on line 2 to the date the amount </t>
    </r>
  </si>
  <si>
    <r>
      <t xml:space="preserve">Number of days </t>
    </r>
    <r>
      <rPr>
        <b/>
        <sz val="9"/>
        <rFont val="Arial"/>
        <family val="2"/>
      </rPr>
      <t>from</t>
    </r>
    <r>
      <rPr>
        <sz val="9"/>
        <rFont val="Arial"/>
        <family val="2"/>
      </rPr>
      <t xml:space="preserve"> the date on line 5 to the date the amount </t>
    </r>
  </si>
  <si>
    <r>
      <t xml:space="preserve">Number of days </t>
    </r>
    <r>
      <rPr>
        <b/>
        <sz val="9"/>
        <rFont val="Arial"/>
        <family val="2"/>
      </rPr>
      <t>from</t>
    </r>
    <r>
      <rPr>
        <sz val="9"/>
        <rFont val="Arial"/>
        <family val="2"/>
      </rPr>
      <t xml:space="preserve"> the date on line 8 to the date the amount </t>
    </r>
  </si>
  <si>
    <t>on line 6</t>
  </si>
  <si>
    <t>on line 9</t>
  </si>
  <si>
    <t>on line 12</t>
  </si>
  <si>
    <r>
      <t xml:space="preserve">This worksheet is used as a tool for calculating the taxable amount of </t>
    </r>
    <r>
      <rPr>
        <u/>
        <sz val="10"/>
        <rFont val="Arial"/>
        <family val="2"/>
      </rPr>
      <t>one</t>
    </r>
    <r>
      <rPr>
        <sz val="10"/>
        <rFont val="Arial"/>
        <family val="2"/>
      </rPr>
      <t xml:space="preserve"> annuity.  </t>
    </r>
  </si>
  <si>
    <r>
      <t>'</t>
    </r>
    <r>
      <rPr>
        <b/>
        <sz val="9"/>
        <color rgb="FFFF0000"/>
        <rFont val="Arial"/>
        <family val="2"/>
      </rPr>
      <t xml:space="preserve">1099-R', line 2a. </t>
    </r>
    <r>
      <rPr>
        <sz val="9"/>
        <rFont val="Arial"/>
        <family val="2"/>
      </rPr>
      <t xml:space="preserve"> If your Form 1099-R shows a larger amount, use the amount on this line instead of the amount from</t>
    </r>
  </si>
  <si>
    <r>
      <t xml:space="preserve">Enter the total pension or annuity payments from </t>
    </r>
    <r>
      <rPr>
        <b/>
        <sz val="9"/>
        <rFont val="Arial"/>
        <family val="2"/>
      </rPr>
      <t>Form 1099-R, box 1</t>
    </r>
    <r>
      <rPr>
        <sz val="9"/>
        <rFont val="Arial"/>
        <family val="2"/>
      </rPr>
      <t xml:space="preserve">. </t>
    </r>
  </si>
  <si>
    <r>
      <rPr>
        <b/>
        <sz val="10"/>
        <rFont val="Arial"/>
        <family val="2"/>
      </rPr>
      <t>Application to Individuals</t>
    </r>
    <r>
      <rPr>
        <sz val="10"/>
        <rFont val="Arial"/>
        <family val="2"/>
      </rPr>
      <t xml:space="preserve">
</t>
    </r>
  </si>
  <si>
    <t xml:space="preserve">(a) MAGI that’s over an applicable threshold amount, and </t>
  </si>
  <si>
    <t xml:space="preserve">(b) net investment income, </t>
  </si>
  <si>
    <t>The applicable threshold amount is based on your filing status.</t>
  </si>
  <si>
    <t>royalties, and rents, unless they’re derived from the ordinary course of a trade or business that isn’t (a) a passive activity, or</t>
  </si>
  <si>
    <r>
      <rPr>
        <b/>
        <sz val="10"/>
        <rFont val="Arial"/>
        <family val="2"/>
      </rPr>
      <t>Net investment income.</t>
    </r>
    <r>
      <rPr>
        <sz val="10"/>
        <rFont val="Arial"/>
        <family val="2"/>
      </rPr>
      <t xml:space="preserve"> Generally, net investment income includes gross income from interest, dividends, annuities,</t>
    </r>
  </si>
  <si>
    <t>for which a lower taxable amount is applicable for retired public safety officers.</t>
  </si>
  <si>
    <t>Taxable Amount, for the annuity for which the Taxable Amount has not been determined OR</t>
  </si>
  <si>
    <t xml:space="preserve">• All the income and any foreign taxes paid on it were reported to you on a qualified payee statement. </t>
  </si>
  <si>
    <t>• Your total creditable foreign taxes aren't more than $300 ($600 if married filing a joint return).</t>
  </si>
  <si>
    <t>Form 1040, Sch. 1, Line 30</t>
  </si>
  <si>
    <t>Sch. 3, Line 48   OR   Form 1116 (Cell A8)</t>
  </si>
  <si>
    <t xml:space="preserve">NOTE:  To clear an 'X' from an checkbox,  highlight it and then press the &lt;Delete&gt; key. </t>
  </si>
  <si>
    <t xml:space="preserve">NOTE:  To clear data from an override cell, highlight it and then press the &lt;Delete&gt; key. </t>
  </si>
  <si>
    <t>Click on the tab labeled 'W-2s' and enter any employment income reported to you on Form W-2.</t>
  </si>
  <si>
    <t>Click on the tab labeled '1099-INT' and enter any interest income reported to you on Form 1099-INT.</t>
  </si>
  <si>
    <t>Click on the tab labeled '1099-DIV' and enter any dividend income reported on Form 1099-DIV.</t>
  </si>
  <si>
    <t>Click on the tab labeled '1099-R' and enter any IRA/pension/annuity income reported to you on Form 1099-R.</t>
  </si>
  <si>
    <t>Click on the tab labeled 'SSA-1099' and enter any Social Security income reported to you on Form SSA-1099.</t>
  </si>
  <si>
    <t>NOTE: At any time, you may change the tab color by right-mouse clicking on the tab.  Also, at any time,</t>
  </si>
  <si>
    <t>you may click and drag sheet tabs to be arranged in any order you desire.  Doing so will not affect</t>
  </si>
  <si>
    <t>the function of the spreadsheet.</t>
  </si>
  <si>
    <t>W-2s</t>
  </si>
  <si>
    <t xml:space="preserve"> 4a.</t>
  </si>
  <si>
    <t>.   .   .   .   .   .   .   .   .   .   .   .   .   .   .   .   .   .   .   .   .   .   .   .   4b.</t>
  </si>
  <si>
    <t>Additional amount = Rate x (Taxable Income - Bottom of bracket)</t>
  </si>
  <si>
    <t>• Foreign taxes were paid on foreign “passive category income” (Box 'c') (which includes most interest and dividends).</t>
  </si>
  <si>
    <t>Loans taken out:</t>
  </si>
  <si>
    <t>(See instructions for exception for loans taken out prior to October 13, 1987.)</t>
  </si>
  <si>
    <t>(See instructions for other limits on home mortgage interest deductions.)</t>
  </si>
  <si>
    <r>
      <rPr>
        <sz val="10"/>
        <rFont val="Arial"/>
        <family val="2"/>
      </rPr>
      <t>(</t>
    </r>
    <r>
      <rPr>
        <i/>
        <sz val="10"/>
        <rFont val="Arial"/>
        <family val="2"/>
      </rPr>
      <t>dd-mmm-yyyy</t>
    </r>
    <r>
      <rPr>
        <sz val="10"/>
        <rFont val="Arial"/>
        <family val="2"/>
      </rPr>
      <t>)</t>
    </r>
  </si>
  <si>
    <t>Sch. A</t>
  </si>
  <si>
    <t>Debt Limit</t>
  </si>
  <si>
    <t>Form 1099-G, Certain Government Payments</t>
  </si>
  <si>
    <t>PAYER's TIN</t>
  </si>
  <si>
    <t>Unemployment Compensation</t>
  </si>
  <si>
    <t>State or local income tax refunds, credits, offsets</t>
  </si>
  <si>
    <t>Box 2 amount is for tax year</t>
  </si>
  <si>
    <t>RTAA Payments</t>
  </si>
  <si>
    <t>Taxable grants</t>
  </si>
  <si>
    <t>Check if box 2 is trade or business income</t>
  </si>
  <si>
    <t>Market gain</t>
  </si>
  <si>
    <t>10a</t>
  </si>
  <si>
    <t>10b</t>
  </si>
  <si>
    <t>Agriculture payments - Disaster payments</t>
  </si>
  <si>
    <t>Agriculture payments - Other payments</t>
  </si>
  <si>
    <t>Sch. F, Line 4a</t>
  </si>
  <si>
    <t>Sch. F, Line 6a</t>
  </si>
  <si>
    <t>Tax Withheld</t>
  </si>
  <si>
    <t>State taxes paid and reflected on Form 1099-G, Other Government Payments, Line 19, State Income</t>
  </si>
  <si>
    <r>
      <rPr>
        <b/>
        <sz val="10"/>
        <rFont val="Arial"/>
        <family val="2"/>
      </rPr>
      <t>Additional State and Local Income Taxes Paid.</t>
    </r>
    <r>
      <rPr>
        <sz val="10"/>
        <rFont val="Arial"/>
        <family val="2"/>
      </rPr>
      <t xml:space="preserve">   Add lines 1 through 4.  </t>
    </r>
  </si>
  <si>
    <t>1099-G</t>
  </si>
  <si>
    <r>
      <t xml:space="preserve">If </t>
    </r>
    <r>
      <rPr>
        <b/>
        <sz val="10"/>
        <rFont val="Arial"/>
        <family val="2"/>
      </rPr>
      <t>none</t>
    </r>
    <r>
      <rPr>
        <sz val="10"/>
        <rFont val="Arial"/>
        <family val="2"/>
      </rPr>
      <t xml:space="preserve"> of your benefits are taxable, but you must otherwise file a tax return, do the following</t>
    </r>
  </si>
  <si>
    <t>Line 1, Wages</t>
  </si>
  <si>
    <t>Line 2b, Taxable Interest</t>
  </si>
  <si>
    <t>Line 3b, Ordinary dividends</t>
  </si>
  <si>
    <t>Form 1040, Schedule A</t>
  </si>
  <si>
    <t>Line 5a, State &amp; local income taxes</t>
  </si>
  <si>
    <t>Line 8, Total investment income</t>
  </si>
  <si>
    <t>Line 9b, State income tax</t>
  </si>
  <si>
    <t>B*C/A</t>
  </si>
  <si>
    <t>1099-R (Dist. Code D)</t>
  </si>
  <si>
    <t>Form 1040, Line 2a</t>
  </si>
  <si>
    <t>Form 6251, Line 2g</t>
  </si>
  <si>
    <t>Sch. A, Line 5a and Form 8960, Line 9b</t>
  </si>
  <si>
    <t>F8949D</t>
  </si>
  <si>
    <t>8949D</t>
  </si>
  <si>
    <t>Google Pay</t>
  </si>
  <si>
    <t>https://pay.google.com/payments/</t>
  </si>
  <si>
    <t>Popmoney</t>
  </si>
  <si>
    <t>https://www.popmoney.com/</t>
  </si>
  <si>
    <t>Number of qualified children</t>
  </si>
  <si>
    <t>Overrides for Line 12</t>
  </si>
  <si>
    <t>Line 8 - Maximum required annual payment</t>
  </si>
  <si>
    <t>.   .   .   .   .   .   .   .   .   .   .   .   .   .   .   .   .   .   .   .   .   .   .   .   .   .</t>
  </si>
  <si>
    <r>
      <rPr>
        <b/>
        <sz val="10"/>
        <rFont val="Arial"/>
        <family val="2"/>
      </rPr>
      <t>Line 9b—State, Local, and Foreign Income Tax</t>
    </r>
    <r>
      <rPr>
        <sz val="10"/>
        <rFont val="Arial"/>
        <family val="2"/>
      </rPr>
      <t xml:space="preserve">
Include state, local, and foreign income taxes you paid for the tax year </t>
    </r>
    <r>
      <rPr>
        <b/>
        <i/>
        <sz val="10"/>
        <rFont val="Arial"/>
        <family val="2"/>
      </rPr>
      <t>that are attributable to net investment income</t>
    </r>
    <r>
      <rPr>
        <sz val="10"/>
        <rFont val="Arial"/>
        <family val="2"/>
      </rPr>
      <t xml:space="preserve">. Form 1040NR filers include only taxes paid for the U.S. residency period of the tax year. Sales taxes are not deductible in computing net investment income. You may not take a deduction for any foreign income taxes paid for the tax year if you took a credit for any portion of it. See section 275(a)(4).
You can determine the portion of your state, local, and foreign income taxes allocable to net investment income using any reasonable method. See </t>
    </r>
    <r>
      <rPr>
        <b/>
        <sz val="10"/>
        <rFont val="Arial"/>
        <family val="2"/>
      </rPr>
      <t>Reasonable method allocations</t>
    </r>
    <r>
      <rPr>
        <sz val="10"/>
        <rFont val="Arial"/>
        <family val="2"/>
      </rPr>
      <t xml:space="preserve"> in IRS Form 8960 instructions.
</t>
    </r>
    <r>
      <rPr>
        <b/>
        <sz val="10"/>
        <color rgb="FF008000"/>
        <rFont val="Arial"/>
        <family val="2"/>
      </rPr>
      <t>Note: IF YOU ITEMIZED YOUR DEDUCTIONS ON SCHEDULE A, this spreadsheet determines the amount for line 9b by multiplying the state and local income taxes paid by the fraction of investment income over adjusted gross income.</t>
    </r>
    <r>
      <rPr>
        <sz val="10"/>
        <rFont val="Arial"/>
        <family val="2"/>
      </rPr>
      <t xml:space="preserve">  Use the override cell (Q34) to enter a different amount.</t>
    </r>
  </si>
  <si>
    <t>Rental real estate, royalties, partnerships, S corporations, trusts, etc. Attach Schedule E</t>
  </si>
  <si>
    <t>Instructions</t>
  </si>
  <si>
    <t>1099-INT</t>
  </si>
  <si>
    <t>1099-DIV</t>
  </si>
  <si>
    <t>1099-MISC</t>
  </si>
  <si>
    <t>SSA-1099</t>
  </si>
  <si>
    <t>Sch. 2</t>
  </si>
  <si>
    <t>Sch. 3</t>
  </si>
  <si>
    <t>Sch. B</t>
  </si>
  <si>
    <t>Sch. R</t>
  </si>
  <si>
    <t>1116</t>
  </si>
  <si>
    <t>2210</t>
  </si>
  <si>
    <t>2441</t>
  </si>
  <si>
    <t>6251</t>
  </si>
  <si>
    <t>8283</t>
  </si>
  <si>
    <t>8812</t>
  </si>
  <si>
    <t>8889</t>
  </si>
  <si>
    <t>8949A</t>
  </si>
  <si>
    <t>8949B</t>
  </si>
  <si>
    <t>8949C</t>
  </si>
  <si>
    <t>8959</t>
  </si>
  <si>
    <t>8960</t>
  </si>
  <si>
    <t>EIC Table</t>
  </si>
  <si>
    <t>Tax Table</t>
  </si>
  <si>
    <t>Changes</t>
  </si>
  <si>
    <t>Table of Contents</t>
  </si>
  <si>
    <t>Title / Description</t>
  </si>
  <si>
    <t>Possible tax return coversheet which includes a disclaimer, important notes, and a summary.</t>
  </si>
  <si>
    <t>Table of contents with links to the sheets included in this spreadsheet.</t>
  </si>
  <si>
    <t>Important notes, general notes, and instructions to help you get started.</t>
  </si>
  <si>
    <r>
      <rPr>
        <b/>
        <sz val="10"/>
        <rFont val="Arial"/>
        <family val="2"/>
      </rPr>
      <t>Form W-2</t>
    </r>
    <r>
      <rPr>
        <sz val="10"/>
        <rFont val="Arial"/>
        <family val="2"/>
      </rPr>
      <t>, Wage and Tax Statement</t>
    </r>
  </si>
  <si>
    <r>
      <rPr>
        <b/>
        <sz val="10"/>
        <rFont val="Arial"/>
        <family val="2"/>
      </rPr>
      <t>Form 1099-INT</t>
    </r>
    <r>
      <rPr>
        <sz val="10"/>
        <rFont val="Arial"/>
        <family val="2"/>
      </rPr>
      <t>, Interest Income</t>
    </r>
  </si>
  <si>
    <r>
      <rPr>
        <b/>
        <sz val="10"/>
        <rFont val="Arial"/>
        <family val="2"/>
      </rPr>
      <t>Form 1099-DIV</t>
    </r>
    <r>
      <rPr>
        <sz val="10"/>
        <rFont val="Arial"/>
        <family val="2"/>
      </rPr>
      <t>, Dividend Income</t>
    </r>
  </si>
  <si>
    <r>
      <rPr>
        <b/>
        <sz val="10"/>
        <rFont val="Arial"/>
        <family val="2"/>
      </rPr>
      <t>Form 1099-G</t>
    </r>
    <r>
      <rPr>
        <sz val="10"/>
        <rFont val="Arial"/>
        <family val="2"/>
      </rPr>
      <t>, Certain Government Payments</t>
    </r>
  </si>
  <si>
    <r>
      <rPr>
        <b/>
        <sz val="10"/>
        <rFont val="Arial"/>
        <family val="2"/>
      </rPr>
      <t>Form 1099-MISC</t>
    </r>
    <r>
      <rPr>
        <sz val="10"/>
        <rFont val="Arial"/>
        <family val="2"/>
      </rPr>
      <t>, Miscellaneous Income   (Way too complicated -- included for information)</t>
    </r>
  </si>
  <si>
    <r>
      <rPr>
        <b/>
        <sz val="10"/>
        <rFont val="Arial"/>
        <family val="2"/>
      </rPr>
      <t>Form 1099-R</t>
    </r>
    <r>
      <rPr>
        <sz val="10"/>
        <rFont val="Arial"/>
        <family val="2"/>
      </rPr>
      <t>, Distributions From Pensions, Annuities, Retirement or Profit-Sharing  Plans, IRAs, Insurance Contracts, etc.</t>
    </r>
  </si>
  <si>
    <r>
      <rPr>
        <b/>
        <sz val="10"/>
        <rFont val="Arial"/>
        <family val="2"/>
      </rPr>
      <t>Form SSA-1099</t>
    </r>
    <r>
      <rPr>
        <sz val="10"/>
        <rFont val="Arial"/>
        <family val="2"/>
      </rPr>
      <t xml:space="preserve">, Social Security Benefit Statement and </t>
    </r>
    <r>
      <rPr>
        <b/>
        <sz val="10"/>
        <rFont val="Arial"/>
        <family val="2"/>
      </rPr>
      <t>IRS Notice 703</t>
    </r>
    <r>
      <rPr>
        <sz val="10"/>
        <rFont val="Arial"/>
        <family val="2"/>
      </rPr>
      <t>, To See If Your Social Security Benefits May Be Taxable</t>
    </r>
  </si>
  <si>
    <r>
      <rPr>
        <b/>
        <sz val="10"/>
        <rFont val="Arial"/>
        <family val="2"/>
      </rPr>
      <t>Form 1040</t>
    </r>
    <r>
      <rPr>
        <sz val="10"/>
        <rFont val="Arial"/>
        <family val="2"/>
      </rPr>
      <t>, U.S. Individual Income Tax Return</t>
    </r>
  </si>
  <si>
    <r>
      <rPr>
        <b/>
        <sz val="10"/>
        <rFont val="Arial"/>
        <family val="2"/>
      </rPr>
      <t>Schedule 1</t>
    </r>
    <r>
      <rPr>
        <sz val="10"/>
        <rFont val="Arial"/>
        <family val="2"/>
      </rPr>
      <t>, Additional Income and Adjustments to Income</t>
    </r>
  </si>
  <si>
    <r>
      <rPr>
        <b/>
        <sz val="10"/>
        <rFont val="Arial"/>
        <family val="2"/>
      </rPr>
      <t>Schedule 3</t>
    </r>
    <r>
      <rPr>
        <sz val="10"/>
        <rFont val="Arial"/>
        <family val="2"/>
      </rPr>
      <t>, Nonrefundable Credits</t>
    </r>
  </si>
  <si>
    <t>Schedule A, Itemized Deductions</t>
  </si>
  <si>
    <t>Schedule B, Interest and Ordinary Dividends</t>
  </si>
  <si>
    <t>Schedule D, Capital Gains and Losses</t>
  </si>
  <si>
    <r>
      <rPr>
        <u/>
        <sz val="10"/>
        <rFont val="Arial"/>
        <family val="2"/>
      </rPr>
      <t>Schedule D Worksheets</t>
    </r>
    <r>
      <rPr>
        <b/>
        <sz val="10"/>
        <rFont val="Arial"/>
        <family val="2"/>
      </rPr>
      <t xml:space="preserve">
-  Capital Loss Carryover Worksheet—Schedule D, Lines 6 and 14
-  28% Rate Gain Worksheet—Schedule D, Line 18
-  Schedule D Tax Worksheet</t>
    </r>
  </si>
  <si>
    <t>Schedule F, Profit or Loss from Farming</t>
  </si>
  <si>
    <t>Schedule R, Credit for the Elderly or the Disabled</t>
  </si>
  <si>
    <t>Form 1116, Foreign Tax Credit</t>
  </si>
  <si>
    <t>Form 2441, Child and Dependent Care Expenses</t>
  </si>
  <si>
    <t>Form 2555, Foreign Earned Income</t>
  </si>
  <si>
    <t>Form 6251, Alternative Minimum Tax—Individuals</t>
  </si>
  <si>
    <t>Form 8283, Noncash Charitable Contributions</t>
  </si>
  <si>
    <t>Form 8949, Sales and Other Dispositions of Capital Assets</t>
  </si>
  <si>
    <r>
      <t>Schedule SE, Self-Employement Tax</t>
    </r>
    <r>
      <rPr>
        <sz val="10"/>
        <rFont val="Arial"/>
        <family val="2"/>
      </rPr>
      <t xml:space="preserve">   (Two Schedule SE's are included)</t>
    </r>
  </si>
  <si>
    <r>
      <t>Schedule C, Profit or Loss from Business</t>
    </r>
    <r>
      <rPr>
        <sz val="10"/>
        <rFont val="Arial"/>
        <family val="2"/>
      </rPr>
      <t xml:space="preserve">   (Two Schedule C's are included)</t>
    </r>
  </si>
  <si>
    <t>Form 8959, Additional Medicare Tax</t>
  </si>
  <si>
    <t>Form 8962, Premium Tax Credit</t>
  </si>
  <si>
    <r>
      <t>Earned Income Credit (EIC) Table</t>
    </r>
    <r>
      <rPr>
        <sz val="10"/>
        <rFont val="Arial"/>
        <family val="2"/>
      </rPr>
      <t xml:space="preserve">  (From Form 1040, General Instructions)</t>
    </r>
  </si>
  <si>
    <t>Changes made to this spreadsheet since it's first publication this tax year</t>
  </si>
  <si>
    <r>
      <t xml:space="preserve">Sheet Name 
</t>
    </r>
    <r>
      <rPr>
        <b/>
        <u/>
        <sz val="10"/>
        <rFont val="Arial"/>
        <family val="2"/>
      </rPr>
      <t>(with hyperlink)</t>
    </r>
  </si>
  <si>
    <r>
      <rPr>
        <b/>
        <sz val="10"/>
        <rFont val="Arial"/>
        <family val="2"/>
      </rPr>
      <t xml:space="preserve">Tax Table </t>
    </r>
    <r>
      <rPr>
        <sz val="10"/>
        <rFont val="Arial"/>
        <family val="2"/>
      </rPr>
      <t xml:space="preserve"> (From Form 1040, General Instructions)</t>
    </r>
  </si>
  <si>
    <r>
      <t>Enter your</t>
    </r>
    <r>
      <rPr>
        <b/>
        <sz val="10"/>
        <rFont val="Arial"/>
        <family val="2"/>
      </rPr>
      <t xml:space="preserve"> total income</t>
    </r>
    <r>
      <rPr>
        <sz val="10"/>
        <rFont val="Arial"/>
        <family val="2"/>
      </rPr>
      <t xml:space="preserve"> that is taxable (excluding Line A), such as pensions, wages, interest, ordinary
dividends, and capital gain distributions. </t>
    </r>
    <r>
      <rPr>
        <b/>
        <sz val="10"/>
        <rFont val="Arial"/>
        <family val="2"/>
      </rPr>
      <t>Do not</t>
    </r>
    <r>
      <rPr>
        <sz val="10"/>
        <rFont val="Arial"/>
        <family val="2"/>
      </rPr>
      <t xml:space="preserve"> reduce your income by any items such
as student loan interest deduction, the standard deduction (or itemized deductions), or</t>
    </r>
  </si>
  <si>
    <r>
      <t>exemptions</t>
    </r>
    <r>
      <rPr>
        <b/>
        <sz val="10"/>
        <rFont val="Arial"/>
        <family val="2"/>
      </rPr>
      <t xml:space="preserve"> .   .   .   .   .   .   .   .   .   .   .   .   .   .   .   .   .   .   .   .   .   .   .   .   .   .   .   .   .   .   .   .   .   .   .   .   .   .   .   .   .</t>
    </r>
  </si>
  <si>
    <r>
      <t xml:space="preserve">Check here to hide </t>
    </r>
    <r>
      <rPr>
        <b/>
        <sz val="9"/>
        <color theme="4" tint="-0.249977111117893"/>
        <rFont val="Arial"/>
        <family val="2"/>
      </rPr>
      <t>Social Security numbers</t>
    </r>
    <r>
      <rPr>
        <b/>
        <sz val="9"/>
        <color rgb="FF008000"/>
        <rFont val="Arial"/>
        <family val="2"/>
      </rPr>
      <t xml:space="preserve"> from forms.</t>
    </r>
  </si>
  <si>
    <t>Revision Date/Time:</t>
  </si>
  <si>
    <r>
      <rPr>
        <b/>
        <sz val="10"/>
        <rFont val="Courier New"/>
        <family val="3"/>
      </rPr>
      <t>No password is needed.</t>
    </r>
    <r>
      <rPr>
        <sz val="10"/>
        <rFont val="Courier New"/>
        <family val="3"/>
      </rPr>
      <t xml:space="preserve"> 
If you find a data entry cell to be protected, it is because it is a calculated value using 
input from another location in the spreadsheet.  Read the instructions for that line to determine where 
the values are derived.  However, for most calculated cells, a manual override cell is provided if you 
need to override the calculated value.  After a while, you will figure out that the spreadsheet is completely functional without needing to unprotect it.</t>
    </r>
  </si>
  <si>
    <t xml:space="preserve">If you find you're using an earlier version, review the changes made since your version </t>
  </si>
  <si>
    <t>to determine if the problem you've encountered has has already been fixed.</t>
  </si>
  <si>
    <t>If so, please download the latest version and begin again.  (There is no simple way to migrate...)</t>
  </si>
  <si>
    <t xml:space="preserve">If you cannot determine (or you're not sure) as to whether or not the problem(s) you've found </t>
  </si>
  <si>
    <r>
      <rPr>
        <b/>
        <sz val="10"/>
        <rFont val="Courier New"/>
        <family val="3"/>
      </rPr>
      <t>Errors</t>
    </r>
    <r>
      <rPr>
        <sz val="10"/>
        <rFont val="Courier New"/>
        <family val="3"/>
      </rPr>
      <t xml:space="preserve">
If you find an error, first check the revision date/time above against the 
revision number of the latest spreadsheet to be published at:</t>
    </r>
    <r>
      <rPr>
        <b/>
        <sz val="11"/>
        <color theme="4" tint="-0.249977111117893"/>
        <rFont val="Courier New"/>
        <family val="3"/>
      </rPr>
      <t/>
    </r>
  </si>
  <si>
    <t>&lt;&lt; Current Revision Date &amp; Time</t>
  </si>
  <si>
    <t>has been corrected, please do your fellow taxpayers a favor by reporting the problem to:</t>
  </si>
  <si>
    <t>Name(s) shown on return.</t>
  </si>
  <si>
    <t>Do not enter name and social security number if shown on other side.</t>
  </si>
  <si>
    <t xml:space="preserve">  Limits on Home Mortgage Interest — Line 8a</t>
  </si>
  <si>
    <t>Consideration (by you) in Sch. A, Line 9</t>
  </si>
  <si>
    <t>Worksheet for Line 18 (Worldwide Qualified Dividends and Capital Gains)</t>
  </si>
  <si>
    <t>See the instructions for line 18 below before starting this worksheet.</t>
  </si>
  <si>
    <r>
      <rPr>
        <b/>
        <sz val="10"/>
        <rFont val="Arial"/>
        <family val="2"/>
      </rPr>
      <t xml:space="preserve">Estates and trusts: </t>
    </r>
    <r>
      <rPr>
        <sz val="10"/>
        <rFont val="Arial"/>
        <family val="2"/>
      </rPr>
      <t>Enter taxable income without the deduction for your exemption</t>
    </r>
  </si>
  <si>
    <t>Add lines 3, 5, 7, 9, and 10</t>
  </si>
  <si>
    <t>Subtract line 11 from line 1. Enter the result here and on Form 1116, line 18</t>
  </si>
  <si>
    <t>Your spouse</t>
  </si>
  <si>
    <t>This form is for:</t>
  </si>
  <si>
    <t>State income tax</t>
  </si>
  <si>
    <t>Local income tax</t>
  </si>
  <si>
    <t>Capital gain (included in box 2a)</t>
  </si>
  <si>
    <t xml:space="preserve">.   .   .   .   .   .   .   .   .   .   .   .   .   .   .   .   .   .   .   .   .   .   .   .   .   .   .   .   .   .   .   .   .   .   .   .   .   .   .   .   .   .   .   .   .   .   .   .   .   .   . </t>
  </si>
  <si>
    <t>11c</t>
  </si>
  <si>
    <t>15c</t>
  </si>
  <si>
    <t>16c</t>
  </si>
  <si>
    <t>17c</t>
  </si>
  <si>
    <t>20c</t>
  </si>
  <si>
    <t>Attach to Form 1040, 1040-SR, or 1040-NR.</t>
  </si>
  <si>
    <t>See the instructions to report additional policy amount allocations.</t>
  </si>
  <si>
    <t>lines 45 and 50.  .  .  .  .  .  .  .  .  .  .  .  .  .  .  .  .  .  .  .  .</t>
  </si>
  <si>
    <t>Enter any amounts from Form 2555,</t>
  </si>
  <si>
    <t>result.  .  .  .  .  .  .  .  .  .  .  .  .  .  .  .  .  .  .  .  .  .  .  .  .  .  .  .  .</t>
  </si>
  <si>
    <t>line 2a.  .  .  .  .  .  .  .  .  .  .  .  .  .  .  .  .  .  .  .  .  .  .  .  .  .  .  .  .  .</t>
  </si>
  <si>
    <t>*If you are filing Form 8814 and the amount on Form 8814, line 4, is more than $1,100, you must enter certain amounts from that form on Worksheet 1-2. See Form 8814 under line 2b in the instructions.</t>
  </si>
  <si>
    <t>For each dependent filing Form 1040 or 1040-SR:</t>
  </si>
  <si>
    <t>Form 2555, lines 45 and 50.  .  .  .  .  .  .  .  .  .  .  .  .  .  .  .  .  .  .  .  .  .  .  .  .  .  .  .  .</t>
  </si>
  <si>
    <r>
      <t xml:space="preserve">Worksheet 1-2. </t>
    </r>
    <r>
      <rPr>
        <b/>
        <sz val="12"/>
        <rFont val="Arial"/>
        <family val="2"/>
      </rPr>
      <t>Dependents' Combined Modified AGI—Line 2b</t>
    </r>
  </si>
  <si>
    <r>
      <t xml:space="preserve">Worksheet 1-1. </t>
    </r>
    <r>
      <rPr>
        <b/>
        <sz val="12"/>
        <rFont val="Arial"/>
        <family val="2"/>
      </rPr>
      <t>Taxpayer's Modified AGI—Line 2a</t>
    </r>
  </si>
  <si>
    <t>Married filing separately (MFS)</t>
  </si>
  <si>
    <t>Head of Household (HOH)</t>
  </si>
  <si>
    <t>Check only</t>
  </si>
  <si>
    <t>one box.</t>
  </si>
  <si>
    <t>If you checked the MFS box, enter the name of spouse.</t>
  </si>
  <si>
    <t>Your first name and middle initial</t>
  </si>
  <si>
    <t>If joint return, spouse's first name and middle initial</t>
  </si>
  <si>
    <t>Foreign province/state/county</t>
  </si>
  <si>
    <t>Presidential Election Campaign</t>
  </si>
  <si>
    <t>Someone can claim:</t>
  </si>
  <si>
    <t>You:</t>
  </si>
  <si>
    <t xml:space="preserve"> Is blind</t>
  </si>
  <si>
    <t>Age / Blindness</t>
  </si>
  <si>
    <t xml:space="preserve">Spouse: </t>
  </si>
  <si>
    <t>Standard
Deduction</t>
  </si>
  <si>
    <t xml:space="preserve"> Spouse itemizes on a separate return or you were a dual-status alien</t>
  </si>
  <si>
    <t>(4)</t>
  </si>
  <si>
    <t>if qualified for (see instructions):</t>
  </si>
  <si>
    <t xml:space="preserve"> Are blind</t>
  </si>
  <si>
    <t>Taxable income.</t>
  </si>
  <si>
    <t>Capital gain or (loss).  Attach Schedule D if required. If not required, check here</t>
  </si>
  <si>
    <t xml:space="preserve"> Single</t>
  </si>
  <si>
    <t xml:space="preserve"> Married filing jointly</t>
  </si>
  <si>
    <t>IRA Distributions</t>
  </si>
  <si>
    <t>Pensions and annuities</t>
  </si>
  <si>
    <t>Check if any from Form(s):</t>
  </si>
  <si>
    <t>Earned income credit (EIC)</t>
  </si>
  <si>
    <t>American opportunity credit from Form 8863, line 8</t>
  </si>
  <si>
    <t>Email address</t>
  </si>
  <si>
    <t>Preparer’s name</t>
  </si>
  <si>
    <t xml:space="preserve">You had over $1,500 of taxable interest or ordinary dividends. </t>
  </si>
  <si>
    <t xml:space="preserve">You received interest from a seller-financed mortgage and the buyer used the property as a personal residence. </t>
  </si>
  <si>
    <t xml:space="preserve">You have accrued interest from a bond. </t>
  </si>
  <si>
    <t xml:space="preserve">You are reporting original issue discount (OID) of less than the amount shown on Form 1099-OID. </t>
  </si>
  <si>
    <t xml:space="preserve">You are reporting interest income of less than the amount shown on a Form 1099 due to amortizable bond premium. </t>
  </si>
  <si>
    <t xml:space="preserve">You are claiming the exclusion of interest from series EE or I U.S. savings bonds issued after 1989. </t>
  </si>
  <si>
    <t xml:space="preserve">You received interest or ordinary dividends as a nominee. </t>
  </si>
  <si>
    <t xml:space="preserve"> received a distribution from, or were a grantor of, or transfer-or to, a foreign trust. </t>
  </si>
  <si>
    <t>You had a financial interest in, or signature authority over, a financial account in a foreign country or you</t>
  </si>
  <si>
    <t>Total of 1099-INT and 1099-DIV income:</t>
  </si>
  <si>
    <t>Alimony received</t>
  </si>
  <si>
    <t>Date of original divorce or separation agreement (see instructions)</t>
  </si>
  <si>
    <t>Business income or (loss). Attach Schedule C</t>
  </si>
  <si>
    <t>Other gains or (losses). Attach Form 4797</t>
  </si>
  <si>
    <t>Farm income or (loss). Attach Schedule F</t>
  </si>
  <si>
    <t>Additional Income</t>
  </si>
  <si>
    <t>Adjustments to Income</t>
  </si>
  <si>
    <t>Moving expenses for members of the Armed Forces. Attach Form 3903</t>
  </si>
  <si>
    <t>Attach to Form 1040 or 1040-SR.</t>
  </si>
  <si>
    <t>Name(s) shown on Form 1040 or 1040-SR</t>
  </si>
  <si>
    <t>Recipient's SSN</t>
  </si>
  <si>
    <t xml:space="preserve">.   .   .   .   .   .   .   .   .   .   .   .   .   .   .   .   .   .   .   .   .   .   .   .   .   .  </t>
  </si>
  <si>
    <t>Additional Taxes</t>
  </si>
  <si>
    <r>
      <rPr>
        <b/>
        <sz val="10"/>
        <rFont val="Arial"/>
        <family val="2"/>
      </rPr>
      <t>Schedule 2</t>
    </r>
    <r>
      <rPr>
        <sz val="10"/>
        <rFont val="Arial"/>
        <family val="2"/>
      </rPr>
      <t>, Additional Taxes</t>
    </r>
  </si>
  <si>
    <t>Excess advance premium tax credit repayment. Attach Form 8962</t>
  </si>
  <si>
    <t>Self-employment tax. Attach Schedule SE</t>
  </si>
  <si>
    <t>Household employment taxes. Attach Schedule H</t>
  </si>
  <si>
    <r>
      <t>4</t>
    </r>
    <r>
      <rPr>
        <b/>
        <sz val="9"/>
        <rFont val="Arial"/>
        <family val="2"/>
      </rPr>
      <t xml:space="preserve">  Attach to Form 1040, 1040-SR, 1040NR, 1040-PR, or 1040-SS.</t>
    </r>
  </si>
  <si>
    <t>one Form W-2, enter the total of the amounts from box 5</t>
  </si>
  <si>
    <t>Medicare wages and tips from Form W-2, box 5. If you have more than</t>
  </si>
  <si>
    <t>go to Part III</t>
  </si>
  <si>
    <t>box 14 (see instructions)</t>
  </si>
  <si>
    <t>Railroad retirement (RRTA) compensation and tips from Form(s) W-2,</t>
  </si>
  <si>
    <t>Medicare tax withheld from Form W-2, box 6.  If you have more than one</t>
  </si>
  <si>
    <t>Form W-2, enter the total of the amounts from box 6</t>
  </si>
  <si>
    <r>
      <t>Form</t>
    </r>
    <r>
      <rPr>
        <sz val="10"/>
        <rFont val="Arial"/>
        <family val="2"/>
      </rPr>
      <t xml:space="preserve"> </t>
    </r>
    <r>
      <rPr>
        <b/>
        <sz val="12"/>
        <rFont val="Arial"/>
        <family val="2"/>
      </rPr>
      <t>8959</t>
    </r>
  </si>
  <si>
    <r>
      <t xml:space="preserve">Sequence No.  </t>
    </r>
    <r>
      <rPr>
        <b/>
        <sz val="12"/>
        <rFont val="Arial"/>
        <family val="2"/>
      </rPr>
      <t>02</t>
    </r>
  </si>
  <si>
    <t>Net premium tax credit. Attach Form 8962</t>
  </si>
  <si>
    <t>Credit for federal tax on fuels. Attach Form 4136</t>
  </si>
  <si>
    <r>
      <rPr>
        <b/>
        <sz val="10"/>
        <rFont val="Arial"/>
        <family val="2"/>
      </rPr>
      <t>Net Premium Tax Credit:</t>
    </r>
    <r>
      <rPr>
        <sz val="10"/>
        <rFont val="Arial"/>
        <family val="2"/>
      </rPr>
      <t xml:space="preserve"> If line 24 is greater than line 25, subtract line 25 from line 24. Enter the difference here and</t>
    </r>
  </si>
  <si>
    <r>
      <t xml:space="preserve">(Complete </t>
    </r>
    <r>
      <rPr>
        <b/>
        <sz val="10"/>
        <rFont val="Arial"/>
        <family val="2"/>
      </rPr>
      <t>only</t>
    </r>
    <r>
      <rPr>
        <sz val="10"/>
        <rFont val="Arial"/>
        <family val="2"/>
      </rPr>
      <t xml:space="preserve"> if you checked box 2, 4, 5, 6, or 9 above.)</t>
    </r>
  </si>
  <si>
    <r>
      <t xml:space="preserve">statement for tax years after 1983 and your physician signed line B on the statement, </t>
    </r>
    <r>
      <rPr>
        <b/>
        <sz val="11"/>
        <rFont val="Arial"/>
        <family val="2"/>
      </rPr>
      <t>and</t>
    </r>
  </si>
  <si>
    <r>
      <t xml:space="preserve">If you </t>
    </r>
    <r>
      <rPr>
        <b/>
        <sz val="11"/>
        <rFont val="Arial"/>
        <family val="2"/>
      </rPr>
      <t>didn’t</t>
    </r>
    <r>
      <rPr>
        <sz val="11"/>
        <rFont val="Arial"/>
        <family val="2"/>
      </rPr>
      <t xml:space="preserve"> check this box, have your physician complete the statement in the instructions. You </t>
    </r>
    <r>
      <rPr>
        <b/>
        <sz val="11"/>
        <rFont val="Arial"/>
        <family val="2"/>
      </rPr>
      <t>must</t>
    </r>
  </si>
  <si>
    <r>
      <t xml:space="preserve">But if zero or less, </t>
    </r>
    <r>
      <rPr>
        <b/>
        <sz val="9"/>
        <rFont val="Arial"/>
        <family val="2"/>
      </rPr>
      <t>STOP</t>
    </r>
    <r>
      <rPr>
        <sz val="9"/>
        <rFont val="Arial"/>
        <family val="2"/>
      </rPr>
      <t>, you can't take this credit</t>
    </r>
  </si>
  <si>
    <t>.   .   .   .   .</t>
  </si>
  <si>
    <t>Enter the amount, if any, from Form 1040 or 1040-SR, line 2a</t>
  </si>
  <si>
    <r>
      <rPr>
        <b/>
        <sz val="10"/>
        <rFont val="Arial"/>
        <family val="2"/>
      </rPr>
      <t xml:space="preserve"> No.                </t>
    </r>
    <r>
      <rPr>
        <sz val="10"/>
        <rFont val="Arial"/>
        <family val="2"/>
      </rPr>
      <t>None of your social security benefits are taxable.  Enter -0- on Form 1040</t>
    </r>
  </si>
  <si>
    <t xml:space="preserve">Subtract line 10 from line 9. If zero or less, enter -0- </t>
  </si>
  <si>
    <r>
      <t>Enter the</t>
    </r>
    <r>
      <rPr>
        <b/>
        <sz val="10"/>
        <rFont val="Arial"/>
        <family val="2"/>
      </rPr>
      <t xml:space="preserve"> smaller</t>
    </r>
    <r>
      <rPr>
        <sz val="10"/>
        <rFont val="Arial"/>
        <family val="2"/>
      </rPr>
      <t xml:space="preserve"> of line 2 or line 3.   If born after  January 1, </t>
    </r>
  </si>
  <si>
    <t>.   .   .   .   .   .   .   .   .   4c.</t>
  </si>
  <si>
    <r>
      <t xml:space="preserve">Be sure you have read the </t>
    </r>
    <r>
      <rPr>
        <b/>
        <i/>
        <sz val="10"/>
        <rFont val="Arial"/>
        <family val="2"/>
      </rPr>
      <t>Exception</t>
    </r>
    <r>
      <rPr>
        <sz val="10"/>
        <rFont val="Arial"/>
        <family val="2"/>
      </rPr>
      <t xml:space="preserve"> above to see if you can use this worksheet instead of</t>
    </r>
  </si>
  <si>
    <t>Is the amount of state and local income taxes (or general sales taxes), real estate taxes, and personal property</t>
  </si>
  <si>
    <t>Enter the amount from line 1 on line 3 and go to line 4.</t>
  </si>
  <si>
    <t>from the amount of state and local income taxes (or</t>
  </si>
  <si>
    <t>general sales taxes), real estate taxes, and personal</t>
  </si>
  <si>
    <t>Is the amount on line 1 more than the amount on line 2?</t>
  </si>
  <si>
    <t>None of your refund is taxable.</t>
  </si>
  <si>
    <t>STOP</t>
  </si>
  <si>
    <t>line 4 on line 8, and go to line 9.</t>
  </si>
  <si>
    <t>Check any boxes that apply. *</t>
  </si>
  <si>
    <t>No boxes checked. Enter -0-.</t>
  </si>
  <si>
    <t xml:space="preserve"> You are blind.</t>
  </si>
  <si>
    <t xml:space="preserve"> Spouse is blind.</t>
  </si>
  <si>
    <t>if your spouse had no income, isn't filing a return, and can't be claimed as a dependent on</t>
  </si>
  <si>
    <t>*If your filing status is married filing separately, you can check the boxes for your spouse only</t>
  </si>
  <si>
    <t>another person's return.</t>
  </si>
  <si>
    <t>Add lines 5 and 6</t>
  </si>
  <si>
    <r>
      <t>Taxable part of your refund.</t>
    </r>
    <r>
      <rPr>
        <sz val="10"/>
        <rFont val="Arial"/>
        <family val="2"/>
      </rPr>
      <t xml:space="preserve"> Enter the </t>
    </r>
    <r>
      <rPr>
        <b/>
        <sz val="10"/>
        <rFont val="Arial"/>
        <family val="2"/>
      </rPr>
      <t>smaller</t>
    </r>
    <r>
      <rPr>
        <sz val="10"/>
        <rFont val="Arial"/>
        <family val="2"/>
      </rPr>
      <t xml:space="preserve"> of line 3 or line 8 here and on Schedule 1, line 1.</t>
    </r>
  </si>
  <si>
    <r>
      <t xml:space="preserve">Enter the income tax refund from </t>
    </r>
    <r>
      <rPr>
        <b/>
        <sz val="10"/>
        <rFont val="Arial"/>
        <family val="2"/>
      </rPr>
      <t>Form(s) 1099-G</t>
    </r>
    <r>
      <rPr>
        <sz val="10"/>
        <rFont val="Arial"/>
        <family val="2"/>
      </rPr>
      <t xml:space="preserve"> (or similar statement).  </t>
    </r>
  </si>
  <si>
    <t>Married filing jointly  (MFJ)</t>
  </si>
  <si>
    <t>Single  (S)</t>
  </si>
  <si>
    <t>Head of household  (HOH)</t>
  </si>
  <si>
    <t>Qualifying widow(er)  (QW)</t>
  </si>
  <si>
    <t>Is the amount on line 7 less than the amount on line 4?</t>
  </si>
  <si>
    <t>Subtract line 7 from line 4</t>
  </si>
  <si>
    <t>State and Local Income Tax (SALT) Refund Worksheet -- Schedule 1, Line 1</t>
  </si>
  <si>
    <t>Qualified Dividends and Capital Gain Tax Worksheet—Line 12a</t>
  </si>
  <si>
    <t>Enter the amount from Form 1040 or 1040-SR, line 3a* .    .    .    .    .    .    .</t>
  </si>
  <si>
    <t>3. Reduce (but not below zero) the amount on your Schedule D (Form 1040 or 1040-SR), line 18, by your capital gain excess.</t>
  </si>
  <si>
    <t>Schedule D (Form 1040 or 1040-SR).</t>
  </si>
  <si>
    <t>2555 (relating to foreign earned income), enter the amount from</t>
  </si>
  <si>
    <t xml:space="preserve">Enter the amount from Form 1040 or </t>
  </si>
  <si>
    <t>* If you are filing Form 2555, see the footnote in the Foreign Earned Income Tax Worksheet before completing this line.</t>
  </si>
  <si>
    <r>
      <t xml:space="preserve">Enter the amount from your (and your spouse's, if filing jointly) Form 2555, lines 45 and 50  </t>
    </r>
    <r>
      <rPr>
        <b/>
        <sz val="10"/>
        <rFont val="Arial"/>
        <family val="2"/>
      </rPr>
      <t>.    .    .    .    .    .    .    .    .</t>
    </r>
  </si>
  <si>
    <t>computation method applies. (Do not use a second Foreign Earned Income Tax Worksheet to figure</t>
  </si>
  <si>
    <t>the tax on this line)</t>
  </si>
  <si>
    <t>Worksheet).  If the result is more than zero, that amount is your capital gain excess.</t>
  </si>
  <si>
    <r>
      <t>h</t>
    </r>
    <r>
      <rPr>
        <sz val="10"/>
        <rFont val="Arial"/>
        <family val="2"/>
      </rPr>
      <t xml:space="preserve">  You reported qualified dividends on Form 1040 or 1040-SR, line 3a.</t>
    </r>
  </si>
  <si>
    <t>Earned Income Credit =&gt;</t>
  </si>
  <si>
    <t>Are you filing Form 2555 (relating to foreign earned income)?</t>
  </si>
  <si>
    <r>
      <rPr>
        <b/>
        <sz val="10"/>
        <rFont val="Arial"/>
        <family val="2"/>
      </rPr>
      <t>Yes.</t>
    </r>
    <r>
      <rPr>
        <sz val="10"/>
        <rFont val="Arial"/>
        <family val="2"/>
      </rPr>
      <t xml:space="preserve">  STOP  You can't take the credit.</t>
    </r>
  </si>
  <si>
    <r>
      <t xml:space="preserve">Add the amounts from Form 1040 or 1040-SR:       </t>
    </r>
    <r>
      <rPr>
        <i/>
        <sz val="10"/>
        <rFont val="Arial"/>
        <family val="2"/>
      </rPr>
      <t>(This is automatically completed.)</t>
    </r>
  </si>
  <si>
    <t xml:space="preserve">Line 2a     </t>
  </si>
  <si>
    <t>a nongovernmental section 457 plan. (Enter “DFC”</t>
  </si>
  <si>
    <t>line 1, that you received as a pension or annuity</t>
  </si>
  <si>
    <t>Enter any amount included on Form 1040 or 1040-SR,</t>
  </si>
  <si>
    <t>from a nonqualified deferred compensation plan or</t>
  </si>
  <si>
    <t>Form 1040 or 1040-SR, line 1.) This amount may be</t>
  </si>
  <si>
    <t>shown in box 11 of Form W-2. If you received such</t>
  </si>
  <si>
    <r>
      <rPr>
        <b/>
        <sz val="10"/>
        <rFont val="Arial"/>
        <family val="2"/>
      </rPr>
      <t xml:space="preserve">Yes. </t>
    </r>
    <r>
      <rPr>
        <sz val="10"/>
        <rFont val="Arial"/>
        <family val="2"/>
      </rPr>
      <t xml:space="preserve"> You can't take the credit.</t>
    </r>
  </si>
  <si>
    <r>
      <rPr>
        <b/>
        <sz val="10"/>
        <rFont val="Arial"/>
        <family val="2"/>
      </rPr>
      <t xml:space="preserve">No. </t>
    </r>
    <r>
      <rPr>
        <sz val="10"/>
        <rFont val="Arial"/>
        <family val="2"/>
      </rPr>
      <t xml:space="preserve"> STOP  You can't take the credit.</t>
    </r>
  </si>
  <si>
    <t>applicable amount below on line 7 for that column and go to line 8.</t>
  </si>
  <si>
    <t>reported on Schedule 1, line 2a</t>
  </si>
  <si>
    <t>Simplified Computation</t>
  </si>
  <si>
    <t>Qualified Business Income Deduction</t>
  </si>
  <si>
    <t>Attach to your tax return.</t>
  </si>
  <si>
    <r>
      <t xml:space="preserve">Go to </t>
    </r>
    <r>
      <rPr>
        <b/>
        <i/>
        <sz val="10"/>
        <rFont val="Arial"/>
        <family val="2"/>
      </rPr>
      <t>www.irs.gov/Form8995</t>
    </r>
    <r>
      <rPr>
        <b/>
        <sz val="10"/>
        <rFont val="Arial"/>
        <family val="2"/>
      </rPr>
      <t xml:space="preserve"> for instructions and the latest information.</t>
    </r>
  </si>
  <si>
    <t xml:space="preserve">  Your taxpayer identifcation number</t>
  </si>
  <si>
    <t xml:space="preserve">
1</t>
  </si>
  <si>
    <r>
      <rPr>
        <sz val="8"/>
        <rFont val="Arial"/>
        <family val="2"/>
      </rPr>
      <t xml:space="preserve">
</t>
    </r>
    <r>
      <rPr>
        <sz val="10"/>
        <rFont val="Arial"/>
        <family val="2"/>
      </rPr>
      <t>(a)  Trade, business, or aggregation name</t>
    </r>
  </si>
  <si>
    <t>(b)  Taxpayer
identification number</t>
  </si>
  <si>
    <t>(c)  Qualified business
income or (loss)</t>
  </si>
  <si>
    <t>Qualified business net (loss) carryforward from the prior year</t>
  </si>
  <si>
    <t>column (c )</t>
  </si>
  <si>
    <t xml:space="preserve">Total qualified business income or (loss). Combine lines 1i through 1v, </t>
  </si>
  <si>
    <r>
      <t xml:space="preserve">Form </t>
    </r>
    <r>
      <rPr>
        <b/>
        <sz val="12"/>
        <rFont val="Arial"/>
        <family val="2"/>
      </rPr>
      <t>8995</t>
    </r>
  </si>
  <si>
    <t>Cat. No. 37806C</t>
  </si>
  <si>
    <t>For Privacy Act and Paperwork Reduction Act Notice, see instructions.</t>
  </si>
  <si>
    <t>Qualified REIT dividends and publicly traded partnership (PTP) income or (loss)</t>
  </si>
  <si>
    <t>Qualified REIT dividends and qualified PTP (loss) carryforward from the prior</t>
  </si>
  <si>
    <t>Total qualified REIT dividends and PTP income. Combine lines 6 and 7. If zero</t>
  </si>
  <si>
    <t>or less, enter -0-</t>
  </si>
  <si>
    <t>Taxable income before qualified business income deduction</t>
  </si>
  <si>
    <t>Net capital gain (see instructions)</t>
  </si>
  <si>
    <t>zero, enter -0-</t>
  </si>
  <si>
    <t>Enter the amount from Form 1040 or 1040-SR, line 1</t>
  </si>
  <si>
    <t>Otherwise, skip lines 2a through 2e and go to line 3.</t>
  </si>
  <si>
    <t>For Paperwork Reduction Act Notice, see the Instructions for Form 1040 or 1040-SR.</t>
  </si>
  <si>
    <r>
      <t xml:space="preserve">Sequence No. </t>
    </r>
    <r>
      <rPr>
        <b/>
        <sz val="12"/>
        <rFont val="Arial"/>
        <family val="2"/>
      </rPr>
      <t>07</t>
    </r>
  </si>
  <si>
    <t>Home mortgage interest and points reported to you on Form 1098.</t>
  </si>
  <si>
    <t>See instructions if limited</t>
  </si>
  <si>
    <t>1040-SR, line 2b.)</t>
  </si>
  <si>
    <t>Form 1040 and</t>
  </si>
  <si>
    <t>1040-SR, line 3b.)</t>
  </si>
  <si>
    <r>
      <t xml:space="preserve">Add the amounts on line 5. Enter the total here and on Form 1040 or 1040-SR, line 3b   </t>
    </r>
    <r>
      <rPr>
        <b/>
        <sz val="9"/>
        <rFont val="Arial"/>
        <family val="2"/>
      </rPr>
      <t>.   .   .   .   .   .</t>
    </r>
  </si>
  <si>
    <t xml:space="preserve">    Sequence No.</t>
  </si>
  <si>
    <t>Attach to Form 1040, 1040-SR, or Form 1040-NR.</t>
  </si>
  <si>
    <t>Did you dispose of any investment(s) in a qualified opportunity fund during the tax year?</t>
  </si>
  <si>
    <t>If “Yes,” attach Form 8949 and see its instructions for additional requirements for reporting your gain or loss.</t>
  </si>
  <si>
    <r>
      <t>No.</t>
    </r>
    <r>
      <rPr>
        <sz val="10"/>
        <rFont val="Arial"/>
        <family val="2"/>
      </rPr>
      <t xml:space="preserve">  Complete the rest of Form 1040, 1040-SR, or 1040-NR.</t>
    </r>
  </si>
  <si>
    <r>
      <t xml:space="preserve">Line 15 or line 16 of Schedule D is zero or less </t>
    </r>
    <r>
      <rPr>
        <b/>
        <sz val="9"/>
        <rFont val="Arial"/>
        <family val="2"/>
      </rPr>
      <t>and</t>
    </r>
    <r>
      <rPr>
        <sz val="9"/>
        <rFont val="Arial"/>
        <family val="2"/>
      </rPr>
      <t xml:space="preserve"> you have no qualified dividends on Form 1040 or 1040-SR, line 3a;</t>
    </r>
  </si>
  <si>
    <t xml:space="preserve">Form 2555 (relating to foreign earned income), enter instead the amount from line 3 of the </t>
  </si>
  <si>
    <r>
      <t xml:space="preserve">Enter the </t>
    </r>
    <r>
      <rPr>
        <b/>
        <sz val="10"/>
        <rFont val="Arial"/>
        <family val="2"/>
      </rPr>
      <t>smaller</t>
    </r>
    <r>
      <rPr>
        <sz val="10"/>
        <rFont val="Arial"/>
        <family val="2"/>
      </rPr>
      <t xml:space="preserve"> of line 1 or:</t>
    </r>
  </si>
  <si>
    <r>
      <t xml:space="preserve">Enter the </t>
    </r>
    <r>
      <rPr>
        <b/>
        <sz val="10"/>
        <rFont val="Arial"/>
        <family val="2"/>
      </rPr>
      <t>smaller</t>
    </r>
    <r>
      <rPr>
        <sz val="10"/>
        <rFont val="Arial"/>
        <family val="2"/>
      </rPr>
      <t xml:space="preserve"> of line 14 or line 19</t>
    </r>
  </si>
  <si>
    <r>
      <t xml:space="preserve">Enter the </t>
    </r>
    <r>
      <rPr>
        <b/>
        <sz val="10"/>
        <rFont val="Arial"/>
        <family val="2"/>
      </rPr>
      <t>larger</t>
    </r>
    <r>
      <rPr>
        <sz val="10"/>
        <rFont val="Arial"/>
        <family val="2"/>
      </rPr>
      <t xml:space="preserve"> of line 18 or line 20</t>
    </r>
  </si>
  <si>
    <t>If lines 1 and 16 are the same, skip lines 23 through 43 and go to line 44. Otherwise, go to line 23.</t>
  </si>
  <si>
    <t>Enter the amount from line 22 (if line 22 is blank, enter -0-)</t>
  </si>
  <si>
    <t>Subtract line 24 from line 23. If zero or less, enter -0-</t>
  </si>
  <si>
    <t>Enter the smaller of line 1 or line 26</t>
  </si>
  <si>
    <t>Add lines 21 and 22</t>
  </si>
  <si>
    <t>Subtract line 28 from line 27. If zero or less, enter -0-</t>
  </si>
  <si>
    <r>
      <t xml:space="preserve">Enter the </t>
    </r>
    <r>
      <rPr>
        <b/>
        <sz val="10"/>
        <rFont val="Arial"/>
        <family val="2"/>
      </rPr>
      <t>smaller</t>
    </r>
    <r>
      <rPr>
        <sz val="10"/>
        <rFont val="Arial"/>
        <family val="2"/>
      </rPr>
      <t xml:space="preserve"> of line 25 or line 29</t>
    </r>
  </si>
  <si>
    <t>**If you are filing Form 2555, see the footnote in the Foreign Earned Income Tax Worksheet in the Instructions for</t>
  </si>
  <si>
    <t>Add lines 24 and 30</t>
  </si>
  <si>
    <t>If lines 1 and 32 are the same, skip lines 33 through 43 and go to line 44. Otherwise, go to line 33.</t>
  </si>
  <si>
    <t>Subtract line 32 from line 23</t>
  </si>
  <si>
    <t>If Schedule D, line 19, is zero or blank, skip lines 35 through 40 and go to line 41. Otherwise, go to line 35.</t>
  </si>
  <si>
    <t>Add lines 10 and 21</t>
  </si>
  <si>
    <t>Subtract line 37 from line 36. If zero or less, enter -0-</t>
  </si>
  <si>
    <t>Subtract line 38 from line 35. If zero or less, enter -0-</t>
  </si>
  <si>
    <t>If Schedule D, line 18, is zero or blank, skip lines 41 through 43 and go to line 44. Otherwise, go to line 41.</t>
  </si>
  <si>
    <t>Add lines 21, 22, 30, 33, and 39</t>
  </si>
  <si>
    <t>Subtract line 41 from line 1</t>
  </si>
  <si>
    <t>SchDTW_Line21</t>
  </si>
  <si>
    <r>
      <t xml:space="preserve">Figure the tax on the amount on </t>
    </r>
    <r>
      <rPr>
        <b/>
        <sz val="10"/>
        <rFont val="Arial"/>
        <family val="2"/>
      </rPr>
      <t>line 21</t>
    </r>
    <r>
      <rPr>
        <sz val="10"/>
        <rFont val="Arial"/>
        <family val="2"/>
      </rPr>
      <t>. If the amount on line 21 is less than $100,000, use the Tax Table to figure the tax.</t>
    </r>
  </si>
  <si>
    <t>If the amount on line 21 is $100,000 or more, use the Tax Computation Worksheet</t>
  </si>
  <si>
    <t>Add lines 31, 34, 40, 43, and 44</t>
  </si>
  <si>
    <r>
      <t>Tax on all taxable income (including capital gains and qualified dividends).</t>
    </r>
    <r>
      <rPr>
        <sz val="10"/>
        <rFont val="Arial"/>
        <family val="2"/>
      </rPr>
      <t xml:space="preserve"> Enter the </t>
    </r>
    <r>
      <rPr>
        <b/>
        <sz val="10"/>
        <rFont val="Arial"/>
        <family val="2"/>
      </rPr>
      <t>smaller</t>
    </r>
    <r>
      <rPr>
        <sz val="10"/>
        <rFont val="Arial"/>
        <family val="2"/>
      </rPr>
      <t xml:space="preserve"> of line 45 or line 46. Also</t>
    </r>
  </si>
  <si>
    <t>for Forms 1040 and 1040-SR)</t>
  </si>
  <si>
    <t>SCHEDULE E</t>
  </si>
  <si>
    <t>Attach to Form 1040, 1040-SR, 1040NR, or Form 1041.</t>
  </si>
  <si>
    <r>
      <rPr>
        <b/>
        <sz val="9"/>
        <rFont val="Arial"/>
        <family val="2"/>
      </rPr>
      <t>(i)</t>
    </r>
    <r>
      <rPr>
        <sz val="9"/>
        <rFont val="Arial"/>
        <family val="2"/>
      </rPr>
      <t xml:space="preserve">  Nonpassive loss allowed
(see </t>
    </r>
    <r>
      <rPr>
        <b/>
        <sz val="9"/>
        <rFont val="Arial"/>
        <family val="2"/>
      </rPr>
      <t>Schedule K-1</t>
    </r>
    <r>
      <rPr>
        <sz val="9"/>
        <rFont val="Arial"/>
        <family val="2"/>
      </rPr>
      <t>)</t>
    </r>
  </si>
  <si>
    <t xml:space="preserve"> . </t>
  </si>
  <si>
    <t>Attach to Form 1040, Form 1040-SR, Form 1040NR, Form 1041, or Form 1065.</t>
  </si>
  <si>
    <t>Employee benefit programs other than</t>
  </si>
  <si>
    <t>on line 23</t>
  </si>
  <si>
    <t>report the following.</t>
  </si>
  <si>
    <t>From Sch. C, line 31; and Sch. K-1 (Form 1065), box 14, code A.</t>
  </si>
  <si>
    <t>From Sch. C, line 7; and Sch. K-1 (Form 1065), box 14, code C.</t>
  </si>
  <si>
    <t>Attach to Form 1040, 1040-SR, 1040-NR, 1041, or 990-T.</t>
  </si>
  <si>
    <t>Attach to Form 1040, 1040-SR, 1040-NR, 1040NR-EZ, or 1041.</t>
  </si>
  <si>
    <r>
      <t xml:space="preserve">You </t>
    </r>
    <r>
      <rPr>
        <b/>
        <sz val="10"/>
        <rFont val="Arial"/>
        <family val="2"/>
      </rPr>
      <t>must</t>
    </r>
    <r>
      <rPr>
        <sz val="10"/>
        <rFont val="Arial"/>
        <family val="2"/>
      </rPr>
      <t xml:space="preserve"> file Form 2210. Does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in Part II apply?</t>
    </r>
  </si>
  <si>
    <r>
      <rPr>
        <b/>
        <sz val="10"/>
        <rFont val="Arial"/>
        <family val="2"/>
      </rPr>
      <t>stop</t>
    </r>
    <r>
      <rPr>
        <sz val="10"/>
        <rFont val="Arial"/>
        <family val="2"/>
      </rPr>
      <t xml:space="preserve">; you don't owe a penalty. </t>
    </r>
    <r>
      <rPr>
        <b/>
        <sz val="10"/>
        <rFont val="Arial"/>
        <family val="2"/>
      </rPr>
      <t>Don't</t>
    </r>
    <r>
      <rPr>
        <sz val="10"/>
        <rFont val="Arial"/>
        <family val="2"/>
      </rPr>
      <t xml:space="preserve"> file Form 2210.</t>
    </r>
  </si>
  <si>
    <r>
      <rPr>
        <b/>
        <sz val="11"/>
        <rFont val="Arial"/>
        <family val="2"/>
      </rPr>
      <t>Penalty.</t>
    </r>
    <r>
      <rPr>
        <sz val="11"/>
        <rFont val="Arial"/>
        <family val="2"/>
      </rPr>
      <t xml:space="preserve"> Enter the total penalty from line 14 of the Worksheet for Form 2210, Part IV, Section B -</t>
    </r>
  </si>
  <si>
    <t>Form 1040, 1040-SR, or 1040-NR filers, enter -0-</t>
  </si>
  <si>
    <t>(Form 1040, Form 1040-SR, and Form 1040-NR filers only)</t>
  </si>
  <si>
    <t>Schedule 4 (Form 1040), lines 57, 59 (additional tax on distributions only), 60a*, 60b, and any write-ins on line 62 with the exception of:</t>
  </si>
  <si>
    <t>Interest accrued on deferred tax under a section 1294 election for the year of termination (see Form 8621, Part VI, line 24, and Instructions for Form 8621). Also, subtract the amount from Form 8621, line 9c, that has been entered in brackets to the left of Form 1040, line 64.</t>
  </si>
  <si>
    <t>If Schedule AI, line 13, is zero for the period, don’t complete this worksheet.</t>
  </si>
  <si>
    <t>of Schedule AI.</t>
  </si>
  <si>
    <t>Enter the annualized amount* of foreign earned income and housing amount excluded or deducted (from</t>
  </si>
  <si>
    <t>Line 5</t>
  </si>
  <si>
    <t>Line 2</t>
  </si>
  <si>
    <r>
      <t>4</t>
    </r>
    <r>
      <rPr>
        <b/>
        <sz val="9"/>
        <rFont val="Arial"/>
        <family val="2"/>
      </rPr>
      <t xml:space="preserve">  Attach to Form 1040, 1040-SR, or 1040-NR.</t>
    </r>
  </si>
  <si>
    <r>
      <t xml:space="preserve">Sequence No. </t>
    </r>
    <r>
      <rPr>
        <b/>
        <sz val="14"/>
        <rFont val="Arial"/>
        <family val="2"/>
      </rPr>
      <t>21</t>
    </r>
  </si>
  <si>
    <r>
      <rPr>
        <b/>
        <sz val="11"/>
        <rFont val="Arial"/>
        <family val="2"/>
      </rPr>
      <t xml:space="preserve"> 1</t>
    </r>
    <r>
      <rPr>
        <b/>
        <sz val="8"/>
        <rFont val="Arial"/>
        <family val="2"/>
      </rPr>
      <t xml:space="preserve">     (a)</t>
    </r>
  </si>
  <si>
    <t>b. Excluded as foreign earned income (including any
housing exclusion) on Form 2555, line 43,</t>
  </si>
  <si>
    <t>c. Also reported on Schedule SE (Form 1040 or 1040-SR)</t>
  </si>
  <si>
    <t>If you use either optional method to figure self-employment</t>
  </si>
  <si>
    <t>tax, subtract any deduction you claim on Schedule 1 (Form</t>
  </si>
  <si>
    <t>from the total of the amounts shown on Schedule SE,</t>
  </si>
  <si>
    <t>Section B, lines 3 and 4b.</t>
  </si>
  <si>
    <t>If you received church employee income of $108.28 or more,</t>
  </si>
  <si>
    <t>subtract any deduction you claim on Form 1040 or 1040-SR</t>
  </si>
  <si>
    <t>line 14; or Form 1040NR, line 27, from the total of the amounts</t>
  </si>
  <si>
    <t>amounts shown on Schedule SE, Section B, lines 3, 4b, and 5a.</t>
  </si>
  <si>
    <r>
      <t xml:space="preserve">3. If you are filing </t>
    </r>
    <r>
      <rPr>
        <b/>
        <sz val="10"/>
        <rFont val="Arial"/>
        <family val="2"/>
      </rPr>
      <t>Schedule C</t>
    </r>
    <r>
      <rPr>
        <sz val="10"/>
        <rFont val="Arial"/>
        <family val="2"/>
      </rPr>
      <t xml:space="preserve"> (Form 1040 or 1040-SR) </t>
    </r>
  </si>
  <si>
    <t>schedule.</t>
  </si>
  <si>
    <t>Name shown on Form 1040 or 1040-SR</t>
  </si>
  <si>
    <r>
      <t xml:space="preserve">the income from column </t>
    </r>
    <r>
      <rPr>
        <b/>
        <sz val="11"/>
        <rFont val="Arial"/>
        <family val="2"/>
      </rPr>
      <t>(d)</t>
    </r>
    <r>
      <rPr>
        <sz val="11"/>
        <rFont val="Arial"/>
        <family val="2"/>
      </rPr>
      <t xml:space="preserve"> in Part IV, but report it on Form 1040 or 1040-SR.</t>
    </r>
  </si>
  <si>
    <r>
      <t xml:space="preserve">month period."  </t>
    </r>
    <r>
      <rPr>
        <b/>
        <sz val="11"/>
        <rFont val="Arial"/>
        <family val="2"/>
      </rPr>
      <t>Don't</t>
    </r>
    <r>
      <rPr>
        <sz val="11"/>
        <rFont val="Arial"/>
        <family val="2"/>
      </rPr>
      <t xml:space="preserve"> include the income from column </t>
    </r>
    <r>
      <rPr>
        <b/>
        <sz val="11"/>
        <rFont val="Arial"/>
        <family val="2"/>
      </rPr>
      <t>(f)</t>
    </r>
    <r>
      <rPr>
        <sz val="11"/>
        <rFont val="Arial"/>
        <family val="2"/>
      </rPr>
      <t xml:space="preserve"> below in Part IV, but report it on Form 1040 or 1040-SR.</t>
    </r>
  </si>
  <si>
    <t>If you have no travel to report during the period, enter “Physically present in a foreign country or countries for the entire 12-</t>
  </si>
  <si>
    <t>performed the service.</t>
  </si>
  <si>
    <t>allocable to the excluded income. See instructions and attach computation</t>
  </si>
  <si>
    <r>
      <t xml:space="preserve">Form </t>
    </r>
    <r>
      <rPr>
        <b/>
        <sz val="14"/>
        <rFont val="Arial"/>
        <family val="2"/>
      </rPr>
      <t xml:space="preserve">2555 </t>
    </r>
  </si>
  <si>
    <t>Enter as positive amount.</t>
  </si>
  <si>
    <r>
      <rPr>
        <sz val="8"/>
        <rFont val="Arial"/>
        <family val="2"/>
      </rPr>
      <t xml:space="preserve"> </t>
    </r>
    <r>
      <rPr>
        <sz val="8"/>
        <rFont val="Wingdings"/>
        <charset val="2"/>
      </rPr>
      <t>l</t>
    </r>
  </si>
  <si>
    <r>
      <t xml:space="preserve">Page   </t>
    </r>
    <r>
      <rPr>
        <b/>
        <sz val="12"/>
        <rFont val="Arial"/>
        <family val="2"/>
      </rPr>
      <t>2</t>
    </r>
  </si>
  <si>
    <t>worksheet in the instructions for line 7</t>
  </si>
  <si>
    <r>
      <t>necessary) (see instructions). If you are filing Form 2555, see instructions for the amount to enter</t>
    </r>
    <r>
      <rPr>
        <b/>
        <sz val="10"/>
        <rFont val="Arial"/>
        <family val="2"/>
      </rPr>
      <t>.   .   .   .</t>
    </r>
  </si>
  <si>
    <r>
      <t xml:space="preserve">Enter the </t>
    </r>
    <r>
      <rPr>
        <b/>
        <sz val="10"/>
        <rFont val="Arial"/>
        <family val="2"/>
      </rPr>
      <t>smaller</t>
    </r>
    <r>
      <rPr>
        <sz val="10"/>
        <rFont val="Arial"/>
        <family val="2"/>
      </rPr>
      <t xml:space="preserve"> of line 12 or line 15</t>
    </r>
  </si>
  <si>
    <t>line 14 of the Schedule D Tax Worksheet, whichever applies (as figured for the regular tax). If you did not</t>
  </si>
  <si>
    <r>
      <t xml:space="preserve">Enter the </t>
    </r>
    <r>
      <rPr>
        <b/>
        <sz val="10"/>
        <rFont val="Arial"/>
        <family val="2"/>
      </rPr>
      <t>smaller</t>
    </r>
    <r>
      <rPr>
        <sz val="10"/>
        <rFont val="Arial"/>
        <family val="2"/>
      </rPr>
      <t xml:space="preserve"> of line 12 or line 13</t>
    </r>
  </si>
  <si>
    <r>
      <t xml:space="preserve">Enter the </t>
    </r>
    <r>
      <rPr>
        <b/>
        <sz val="10"/>
        <rFont val="Arial"/>
        <family val="2"/>
      </rPr>
      <t>smaller</t>
    </r>
    <r>
      <rPr>
        <sz val="10"/>
        <rFont val="Arial"/>
        <family val="2"/>
      </rPr>
      <t xml:space="preserve"> of line 21 or line 22. This amount is taxed at 0%</t>
    </r>
  </si>
  <si>
    <t>Subtract line 23 from line 22</t>
  </si>
  <si>
    <t>line 21 of the Schedule D Tax Worksheet, whichever applies (as figured for the regular tax). If you did not</t>
  </si>
  <si>
    <t>If lines 32 and 12 are same, skip lines 33 through 37 and go to line 38. Otherwise, go to line 33.</t>
  </si>
  <si>
    <r>
      <t xml:space="preserve">Enter the </t>
    </r>
    <r>
      <rPr>
        <b/>
        <sz val="10"/>
        <rFont val="Arial"/>
        <family val="2"/>
      </rPr>
      <t>smaller</t>
    </r>
    <r>
      <rPr>
        <sz val="10"/>
        <rFont val="Arial"/>
        <family val="2"/>
      </rPr>
      <t xml:space="preserve"> of line 38 or line 39 here and on line 7. If you are filing Form 2555, do not enter this</t>
    </r>
  </si>
  <si>
    <t>amount on line 7. Instead, enter it on line 4 of the worksheet in the instructions for line 7</t>
  </si>
  <si>
    <r>
      <t>Form</t>
    </r>
    <r>
      <rPr>
        <sz val="10"/>
        <rFont val="Arial"/>
        <family val="2"/>
      </rPr>
      <t xml:space="preserve"> </t>
    </r>
    <r>
      <rPr>
        <b/>
        <sz val="12"/>
        <rFont val="Arial"/>
        <family val="2"/>
      </rPr>
      <t>6251</t>
    </r>
  </si>
  <si>
    <r>
      <t xml:space="preserve">  Alternative Minimum Taxable Income </t>
    </r>
    <r>
      <rPr>
        <sz val="12"/>
        <rFont val="Arial"/>
        <family val="2"/>
      </rPr>
      <t xml:space="preserve">   (See instructions for how to complete each line.)</t>
    </r>
  </si>
  <si>
    <t>Enter any tax refund from Schedule 1, lines 1 and 8</t>
  </si>
  <si>
    <t>STOP  Don’t complete the rest of this worksheet. You don’t owe alternative minimum</t>
  </si>
  <si>
    <t>tax and don’t need to fill out Form 6251. Leave Schedule 2, line 1 blank.</t>
  </si>
  <si>
    <t>You don’t owe alternative minimum tax and don’t need to fill out Form 6251. Leave Schedule 2, line 1, blank.</t>
  </si>
  <si>
    <t>lines 45 and 50</t>
  </si>
  <si>
    <t>on Form 6251, line 12. Complete the rest of Part III of Form 6251. However, before completing Part III, see</t>
  </si>
  <si>
    <r>
      <rPr>
        <i/>
        <sz val="8"/>
        <rFont val="Arial"/>
        <family val="2"/>
      </rPr>
      <t>Form 2555</t>
    </r>
    <r>
      <rPr>
        <sz val="8"/>
        <rFont val="Arial"/>
        <family val="2"/>
      </rPr>
      <t>, later, to see if you must complete Part III with certain modifications. Then</t>
    </r>
  </si>
  <si>
    <t>Attach one or more Forms 8283 to your tax return if you claimed a total deduction</t>
  </si>
  <si>
    <r>
      <t xml:space="preserve">Go to </t>
    </r>
    <r>
      <rPr>
        <i/>
        <sz val="10"/>
        <rFont val="Arial"/>
        <family val="2"/>
      </rPr>
      <t>www.irs.gov/Form8283</t>
    </r>
    <r>
      <rPr>
        <sz val="10"/>
        <rFont val="Arial"/>
        <family val="2"/>
      </rPr>
      <t xml:space="preserve"> for instructions and the latest information.</t>
    </r>
  </si>
  <si>
    <r>
      <rPr>
        <b/>
        <sz val="11"/>
        <rFont val="Arial"/>
        <family val="2"/>
      </rPr>
      <t>Note:</t>
    </r>
    <r>
      <rPr>
        <sz val="11"/>
        <rFont val="Arial"/>
        <family val="2"/>
      </rPr>
      <t xml:space="preserve"> </t>
    </r>
  </si>
  <si>
    <t>Also, I declare that I perform appraisals on a regular basis; and that because of my qualifications as described in the appraisal, I am qualified to make appraisals of the type of property being valued. I certify that the appraisal fees were not based on a percentage of the appraised property value. Furthermore, I understand that a false or fraudulent overstatement of the property value as described in the qualified appraisal or this Form 8283 may subject me to the penalty under section 6701(a) (aiding and abetting the understatement of tax liability). I understand that my appraisal will be used in connection with a return or claim for refund. I also understand that, if there is a substantial or gross valuation misstatement of the value of the property claimed on the return or claim for refund that is based on my appraisal, I may be subject to a penalty under section 6695A of the Internal Revenue Code, as well as other applicable penalties. I affirm that I have not been at any time in the three-year period ending on the date of the appraisal barred from presenting evidence or testimony before the Department of the Treasury or the Internal Revenue Service pursuant to 31 U.S.C. 330(c).</t>
  </si>
  <si>
    <r>
      <t xml:space="preserve">  </t>
    </r>
    <r>
      <rPr>
        <b/>
        <sz val="9"/>
        <rFont val="Marlett"/>
        <charset val="2"/>
      </rPr>
      <t>4</t>
    </r>
    <r>
      <rPr>
        <b/>
        <sz val="9"/>
        <rFont val="Arial"/>
        <family val="2"/>
      </rPr>
      <t xml:space="preserve">  Attach to Form 1040 or 1040-SR or Form 1040-NR.</t>
    </r>
  </si>
  <si>
    <r>
      <t>Form</t>
    </r>
    <r>
      <rPr>
        <sz val="10"/>
        <rFont val="Arial"/>
        <family val="2"/>
      </rPr>
      <t xml:space="preserve"> </t>
    </r>
    <r>
      <rPr>
        <b/>
        <sz val="11"/>
        <rFont val="Arial"/>
        <family val="2"/>
      </rPr>
      <t>8889</t>
    </r>
  </si>
  <si>
    <t>Name(s) shown on Form 1040, 1040-SR, or Form 1040-NR</t>
  </si>
  <si>
    <t>Name(s) shown on return. Name and SSN or taxpayer identification no. not required if shown on other side</t>
  </si>
  <si>
    <t>The output of this worksheet must be manually entered into line 2a of the sheet labeled "1099-R",</t>
  </si>
  <si>
    <r>
      <t>More than one pension or annuity:</t>
    </r>
    <r>
      <rPr>
        <sz val="9"/>
        <rFont val="Arial"/>
        <family val="2"/>
      </rPr>
      <t xml:space="preserve">  If you had more than one partially taxable pension or annuity, </t>
    </r>
    <r>
      <rPr>
        <b/>
        <sz val="9"/>
        <rFont val="Arial"/>
        <family val="2"/>
      </rPr>
      <t>figure the taxable part of each separately.</t>
    </r>
  </si>
  <si>
    <t>before entering an amount on line 2a of '1099-R'</t>
  </si>
  <si>
    <t>.   .   .   .   .   .   .   .   .   .   .</t>
  </si>
  <si>
    <r>
      <rPr>
        <b/>
        <sz val="10"/>
        <rFont val="Arial"/>
        <family val="2"/>
      </rPr>
      <t>Line 13a (CTC)</t>
    </r>
    <r>
      <rPr>
        <sz val="10"/>
        <rFont val="Arial"/>
        <family val="2"/>
      </rPr>
      <t xml:space="preserve">, Child Tax Credit W/S, Line 11 W/S, Line 6; </t>
    </r>
    <r>
      <rPr>
        <b/>
        <sz val="10"/>
        <rFont val="Arial"/>
        <family val="2"/>
      </rPr>
      <t>Form 8812</t>
    </r>
    <r>
      <rPr>
        <sz val="10"/>
        <rFont val="Arial"/>
        <family val="2"/>
      </rPr>
      <t>, Line 9 W/S, Line 1</t>
    </r>
  </si>
  <si>
    <r>
      <rPr>
        <b/>
        <sz val="10"/>
        <rFont val="Arial"/>
        <family val="2"/>
      </rPr>
      <t>Line 13a</t>
    </r>
    <r>
      <rPr>
        <sz val="10"/>
        <rFont val="Arial"/>
        <family val="2"/>
      </rPr>
      <t xml:space="preserve">, Child Tax Credit Worksheet, Line 14 Worksheet, Line 7; </t>
    </r>
    <r>
      <rPr>
        <b/>
        <sz val="10"/>
        <rFont val="Arial"/>
        <family val="2"/>
      </rPr>
      <t>Form 8812</t>
    </r>
    <r>
      <rPr>
        <sz val="10"/>
        <rFont val="Arial"/>
        <family val="2"/>
      </rPr>
      <t xml:space="preserve">, Line 9 W/S, Line 2; </t>
    </r>
    <r>
      <rPr>
        <b/>
        <sz val="10"/>
        <rFont val="Arial"/>
        <family val="2"/>
      </rPr>
      <t>Form 8959</t>
    </r>
    <r>
      <rPr>
        <sz val="10"/>
        <rFont val="Arial"/>
        <family val="2"/>
      </rPr>
      <t>, Additional Medicare Tax, Line 19</t>
    </r>
  </si>
  <si>
    <r>
      <t xml:space="preserve">Sequence No. </t>
    </r>
    <r>
      <rPr>
        <b/>
        <sz val="14"/>
        <rFont val="Arial"/>
        <family val="2"/>
      </rPr>
      <t>72</t>
    </r>
  </si>
  <si>
    <r>
      <rPr>
        <b/>
        <sz val="10"/>
        <rFont val="Arial"/>
        <family val="2"/>
      </rPr>
      <t>U.S. citizens and residents.</t>
    </r>
    <r>
      <rPr>
        <sz val="10"/>
        <rFont val="Arial"/>
        <family val="2"/>
      </rPr>
      <t xml:space="preserve"> Individuals who have for the tax year </t>
    </r>
  </si>
  <si>
    <t>Highest tax bracket for estates and trusts for the year (see instructions)</t>
  </si>
  <si>
    <r>
      <t>Depreciation on assets placed in service after 1986 (difference between regular tax and AMT)</t>
    </r>
    <r>
      <rPr>
        <b/>
        <sz val="10"/>
        <rFont val="Arial"/>
        <family val="2"/>
      </rPr>
      <t xml:space="preserve"> .   .   .   .   .</t>
    </r>
  </si>
  <si>
    <t>2   a</t>
  </si>
  <si>
    <r>
      <t>Form</t>
    </r>
    <r>
      <rPr>
        <sz val="10"/>
        <rFont val="Arial"/>
        <family val="2"/>
      </rPr>
      <t xml:space="preserve"> </t>
    </r>
    <r>
      <rPr>
        <b/>
        <sz val="11"/>
        <rFont val="Arial"/>
        <family val="2"/>
      </rPr>
      <t>6251</t>
    </r>
  </si>
  <si>
    <t>Worksheet To See if You Should Fill in Form 6251—Schedule 2, Line 1</t>
  </si>
  <si>
    <r>
      <t xml:space="preserve">Portion of Line 8 attributed to tax refund  </t>
    </r>
    <r>
      <rPr>
        <b/>
        <sz val="9"/>
        <rFont val="Arial"/>
        <family val="2"/>
      </rPr>
      <t>↑</t>
    </r>
  </si>
  <si>
    <t>(This is used here and Form 6251, Line 2b.)</t>
  </si>
  <si>
    <t>Line 4 —  Alternative Minimum</t>
  </si>
  <si>
    <t>for</t>
  </si>
  <si>
    <t xml:space="preserve"> Earned Income Worksheet</t>
  </si>
  <si>
    <t>Disregard community property laws when figuring the amounts to enter on this worksheet.</t>
  </si>
  <si>
    <t>If married filing jointly, include your spouse's amounts with yours when completing this worksheet.</t>
  </si>
  <si>
    <t>This amount should be shown in Form(s) W-2, box 12, with code Q</t>
  </si>
  <si>
    <r>
      <t xml:space="preserve">Enter the amount of any </t>
    </r>
    <r>
      <rPr>
        <b/>
        <sz val="10"/>
        <rFont val="Arial"/>
        <family val="2"/>
      </rPr>
      <t>nontaxable combat pay</t>
    </r>
    <r>
      <rPr>
        <sz val="10"/>
        <rFont val="Arial"/>
        <family val="2"/>
      </rPr>
      <t xml:space="preserve"> received.</t>
    </r>
  </si>
  <si>
    <r>
      <rPr>
        <b/>
        <sz val="10"/>
        <rFont val="Arial"/>
        <family val="2"/>
      </rPr>
      <t>NEXT:</t>
    </r>
    <r>
      <rPr>
        <sz val="10"/>
        <rFont val="Arial"/>
        <family val="2"/>
      </rPr>
      <t xml:space="preserve">  If you are filing Schedule C, F, or SE, or you received a Schedule K-1 (Form 1065), go to line 2a. </t>
    </r>
  </si>
  <si>
    <t>Enter any statutory employee income reported on line 1 of Schedule C.</t>
  </si>
  <si>
    <t>code A (other than farming). Reduce any Schedule K-1 amounts as described in the instructions for</t>
  </si>
  <si>
    <t>completing Schedule SE in the Partner's Instructions for Schedule K-1. Do not include on this line</t>
  </si>
  <si>
    <t>any statutory employee income or any other amounts exempt from self-employment tax. Options</t>
  </si>
  <si>
    <t>and commodities dealers must add any gain or subtract any loss (in the normal course of dealing in</t>
  </si>
  <si>
    <t>or trading section 1256 contracts) from section 1256 contracts or related property</t>
  </si>
  <si>
    <t>2c.</t>
  </si>
  <si>
    <t>partnerships, Schedule K-1 (Form 1065), box 14, code A.* Reduce any</t>
  </si>
  <si>
    <t>Schedule K-1 amounts as described in the instructions for completing</t>
  </si>
  <si>
    <t>Schedule SE in the Partner's Instructions for Schedule K-1. Do not include on this</t>
  </si>
  <si>
    <t>line any amounts exempt from self-employment tax</t>
  </si>
  <si>
    <r>
      <t xml:space="preserve">Enter any </t>
    </r>
    <r>
      <rPr>
        <b/>
        <sz val="10"/>
        <rFont val="Arial"/>
        <family val="2"/>
      </rPr>
      <t>net profit or (loss) from Schedule C</t>
    </r>
    <r>
      <rPr>
        <sz val="10"/>
        <rFont val="Arial"/>
        <family val="2"/>
      </rPr>
      <t>, line 31, and Schedule K-1 (Form 1065), box 14,</t>
    </r>
  </si>
  <si>
    <r>
      <t xml:space="preserve">Enter any </t>
    </r>
    <r>
      <rPr>
        <b/>
        <sz val="10"/>
        <rFont val="Arial"/>
        <family val="2"/>
      </rPr>
      <t>net farm profit or (loss) from Schedule F</t>
    </r>
    <r>
      <rPr>
        <sz val="10"/>
        <rFont val="Arial"/>
        <family val="2"/>
      </rPr>
      <t>, line 34, and from farm</t>
    </r>
  </si>
  <si>
    <t>Sch. F, line 34</t>
  </si>
  <si>
    <t>Sch. C, line 31</t>
  </si>
  <si>
    <t>Sch. C, line 1</t>
  </si>
  <si>
    <t>(if box is checked)</t>
  </si>
  <si>
    <t>2d.</t>
  </si>
  <si>
    <t>and enter on line 2e the amount from line 2c</t>
  </si>
  <si>
    <r>
      <t xml:space="preserve">If you used the </t>
    </r>
    <r>
      <rPr>
        <b/>
        <sz val="10"/>
        <rFont val="Arial"/>
        <family val="2"/>
      </rPr>
      <t>farm optional method</t>
    </r>
    <r>
      <rPr>
        <sz val="10"/>
        <rFont val="Arial"/>
        <family val="2"/>
      </rPr>
      <t xml:space="preserve"> to figure net earnings from self-employment,</t>
    </r>
  </si>
  <si>
    <r>
      <t xml:space="preserve">enter the amount from </t>
    </r>
    <r>
      <rPr>
        <b/>
        <sz val="10"/>
        <rFont val="Arial"/>
        <family val="2"/>
      </rPr>
      <t>Schedule SE, Section B, line 15</t>
    </r>
    <r>
      <rPr>
        <sz val="10"/>
        <rFont val="Arial"/>
        <family val="2"/>
      </rPr>
      <t>. Otherwise, skip this line</t>
    </r>
  </si>
  <si>
    <t>Sch. SE, line 15</t>
  </si>
  <si>
    <t>(Sum of both forms)</t>
  </si>
  <si>
    <t>If line 2c is a profit, enter the smaller of line 2c or line 2d. If line 2c is a (loss), enter the (loss)</t>
  </si>
  <si>
    <t>from line 2c</t>
  </si>
  <si>
    <t>2e.</t>
  </si>
  <si>
    <t>Instead, enter -0- on line 3 of the Line 14 Worksheet or line 6a of Schedule 8812, whichever applies.</t>
  </si>
  <si>
    <t>Combine lines 1a, 1b, 2a, 2b, and 2e.</t>
  </si>
  <si>
    <t>If zero or less, stop. Do not complete the rest of this worksheet.</t>
  </si>
  <si>
    <t>Enter any amount included on line 1a that is:</t>
  </si>
  <si>
    <t>on the dotted line next to line 1 of Form 1040 or 1040-SR, or line 8 of Form 1040-NR)</t>
  </si>
  <si>
    <t>nongovernmental section 457 plan (enter “DFC” and this amount on the dotted</t>
  </si>
  <si>
    <t>4b.</t>
  </si>
  <si>
    <t>4c.</t>
  </si>
  <si>
    <t>4d.</t>
  </si>
  <si>
    <t>Enter the amount from Schedule 1 (Form 1040 or 1040-SR), line 14, or Form 1040-NR, line 27.</t>
  </si>
  <si>
    <t>Add lines 4a, 4b, 4c, 4d, and 5</t>
  </si>
  <si>
    <t>*If you have any Schedule K-1 amounts and you are not required to file Schedule SE, complete the appropriate</t>
  </si>
  <si>
    <t>line(s) of Schedule SE, Section A. Put your name and social security number on Schedule SE and attach it to</t>
  </si>
  <si>
    <t>your return.</t>
  </si>
  <si>
    <t>Page 10</t>
  </si>
  <si>
    <r>
      <t>A</t>
    </r>
    <r>
      <rPr>
        <b/>
        <sz val="10"/>
        <rFont val="Arial"/>
        <family val="2"/>
      </rPr>
      <t xml:space="preserve"> pension or annuity from a nonqualified deferred compensation plan</t>
    </r>
    <r>
      <rPr>
        <sz val="10"/>
        <rFont val="Arial"/>
        <family val="2"/>
      </rPr>
      <t xml:space="preserve"> or a</t>
    </r>
  </si>
  <si>
    <r>
      <t xml:space="preserve">For </t>
    </r>
    <r>
      <rPr>
        <b/>
        <sz val="10"/>
        <rFont val="Arial"/>
        <family val="2"/>
      </rPr>
      <t>work done while an inmate in a penal institution</t>
    </r>
    <r>
      <rPr>
        <sz val="10"/>
        <rFont val="Arial"/>
        <family val="2"/>
      </rPr>
      <t xml:space="preserve"> (enter “PRI” and this amount</t>
    </r>
  </si>
  <si>
    <r>
      <t xml:space="preserve">A </t>
    </r>
    <r>
      <rPr>
        <b/>
        <sz val="10"/>
        <rFont val="Arial"/>
        <family val="2"/>
      </rPr>
      <t>scholarship or fellowship grant not reported on Form W-2</t>
    </r>
  </si>
  <si>
    <r>
      <rPr>
        <b/>
        <sz val="10"/>
        <rFont val="Arial"/>
        <family val="2"/>
      </rPr>
      <t>Medicaid waiver payments you exclude from income</t>
    </r>
    <r>
      <rPr>
        <sz val="10"/>
        <rFont val="Arial"/>
        <family val="2"/>
      </rPr>
      <t xml:space="preserve"> (see the instructions for</t>
    </r>
  </si>
  <si>
    <t>To:</t>
  </si>
  <si>
    <t>Earned Inc WS</t>
  </si>
  <si>
    <r>
      <rPr>
        <b/>
        <sz val="10"/>
        <rFont val="Arial"/>
        <family val="2"/>
      </rPr>
      <t>Earned Income.</t>
    </r>
    <r>
      <rPr>
        <sz val="10"/>
        <rFont val="Arial"/>
        <family val="2"/>
      </rPr>
      <t xml:space="preserve">   Subtract line 6 from line 3</t>
    </r>
  </si>
  <si>
    <t>Use this worksheet for input to:</t>
  </si>
  <si>
    <r>
      <t>Earned Income (from '</t>
    </r>
    <r>
      <rPr>
        <i/>
        <sz val="10"/>
        <rFont val="Arial"/>
        <family val="2"/>
      </rPr>
      <t>Earned Inc WS</t>
    </r>
    <r>
      <rPr>
        <sz val="10"/>
        <rFont val="Arial"/>
        <family val="2"/>
      </rPr>
      <t>', line 7)</t>
    </r>
  </si>
  <si>
    <t>Use form anyway.</t>
  </si>
  <si>
    <r>
      <rPr>
        <b/>
        <sz val="10"/>
        <rFont val="Arial"/>
        <family val="2"/>
      </rPr>
      <t>Earned Income Worksheet</t>
    </r>
    <r>
      <rPr>
        <sz val="10"/>
        <rFont val="Arial"/>
        <family val="2"/>
      </rPr>
      <t xml:space="preserve">  — Used as input to Line 9 (SD Depnts), Line 13a (CTC), &amp; Form 8812.</t>
    </r>
  </si>
  <si>
    <t>Enter the amount from line 13 of Schedule AI for the</t>
  </si>
  <si>
    <t>Line 7 - FEITW</t>
  </si>
  <si>
    <t>Line 24 - FEITW</t>
  </si>
  <si>
    <t>Line 1 - FEITW</t>
  </si>
  <si>
    <t>Line 18 - FEITW</t>
  </si>
  <si>
    <r>
      <t>(</t>
    </r>
    <r>
      <rPr>
        <b/>
        <sz val="10"/>
        <rFont val="Arial"/>
        <family val="2"/>
      </rPr>
      <t>Note.</t>
    </r>
    <r>
      <rPr>
        <sz val="10"/>
        <rFont val="Arial"/>
        <family val="2"/>
      </rPr>
      <t xml:space="preserve"> You don’t have to use the same method for each period on Schedule AI.)</t>
    </r>
  </si>
  <si>
    <t>This amount will automatically be entered on Schedule 8812, line 6b.</t>
  </si>
  <si>
    <t>Sch. 1, line 8</t>
  </si>
  <si>
    <t>Sch. 1, line 8 and 'Earned Inc WS', line 4a</t>
  </si>
  <si>
    <t xml:space="preserve">Publication 915, Social Security and Equivalent Railroad Retirement Benefits </t>
  </si>
  <si>
    <t>ordinary dividends, and capital gain distributions. Don’t reduce your income by any deductions,</t>
  </si>
  <si>
    <t>exclusions (listed earlier), or exemptions</t>
  </si>
  <si>
    <r>
      <t xml:space="preserve">Enter your total income that is taxable (excluding line A), such as </t>
    </r>
    <r>
      <rPr>
        <b/>
        <sz val="10"/>
        <rFont val="Arial"/>
        <family val="2"/>
      </rPr>
      <t>pensions</t>
    </r>
    <r>
      <rPr>
        <sz val="10"/>
        <rFont val="Arial"/>
        <family val="2"/>
      </rPr>
      <t>, wages, interest,</t>
    </r>
  </si>
  <si>
    <t>State and local income taxes or general sales taxes. You may include</t>
  </si>
  <si>
    <t>either income taxes or general sales taxes on line 5a, but not both.</t>
  </si>
  <si>
    <t>If you elect to include general sales taxes instead of income taxes,</t>
  </si>
  <si>
    <t>check this box</t>
  </si>
  <si>
    <t>Points not reported to you on Form 1098. See instructions for special</t>
  </si>
  <si>
    <t xml:space="preserve">rules </t>
  </si>
  <si>
    <t>Mortgage insurance premiums (see instructions)</t>
  </si>
  <si>
    <t>Add lines 8a through 8d</t>
  </si>
  <si>
    <t>Investment interest. Attach Form 4952 if required.  See instructions</t>
  </si>
  <si>
    <r>
      <t xml:space="preserve">see instructions. You </t>
    </r>
    <r>
      <rPr>
        <b/>
        <sz val="9"/>
        <rFont val="Arial"/>
        <family val="2"/>
      </rPr>
      <t>must</t>
    </r>
    <r>
      <rPr>
        <sz val="9"/>
        <rFont val="Arial"/>
        <family val="2"/>
      </rPr>
      <t xml:space="preserve"> attach Form 8283 if over $500 </t>
    </r>
    <r>
      <rPr>
        <b/>
        <sz val="9"/>
        <rFont val="Arial"/>
        <family val="2"/>
      </rPr>
      <t>.   .   .   .   .</t>
    </r>
  </si>
  <si>
    <t>Other than by cash or check. If any gift of $250 or more,</t>
  </si>
  <si>
    <t>Sch. 1, Line 1 (SALT)</t>
  </si>
  <si>
    <t>Adjustment for net income or loss derived in the ordinary course of a non-</t>
  </si>
  <si>
    <t>section 1411 trade or business (see instructions)</t>
  </si>
  <si>
    <r>
      <t xml:space="preserve">But </t>
    </r>
    <r>
      <rPr>
        <b/>
        <sz val="10"/>
        <rFont val="Arial"/>
        <family val="2"/>
      </rPr>
      <t>don't</t>
    </r>
    <r>
      <rPr>
        <sz val="10"/>
        <rFont val="Arial"/>
        <family val="2"/>
      </rPr>
      <t xml:space="preserve"> enter more than the</t>
    </r>
  </si>
  <si>
    <t>Enter the amount shown below for the filing status claimed on your</t>
  </si>
  <si>
    <t xml:space="preserve">  Your spouse as a dependent</t>
  </si>
  <si>
    <t>Year (e.g. '1997')</t>
  </si>
  <si>
    <t>Paid
Preparers
Use Only</t>
  </si>
  <si>
    <t>8863</t>
  </si>
  <si>
    <r>
      <t xml:space="preserve">Go to </t>
    </r>
    <r>
      <rPr>
        <i/>
        <sz val="10"/>
        <rFont val="Arial"/>
        <family val="2"/>
      </rPr>
      <t>www.irs.gov/Form8863</t>
    </r>
    <r>
      <rPr>
        <sz val="10"/>
        <rFont val="Arial"/>
        <family val="2"/>
      </rPr>
      <t xml:space="preserve"> for instructions and the latest information.</t>
    </r>
  </si>
  <si>
    <t>Refundable American Opportunity Credit</t>
  </si>
  <si>
    <r>
      <rPr>
        <b/>
        <sz val="18"/>
        <rFont val="Arial"/>
        <family val="2"/>
      </rPr>
      <t>Education Credits</t>
    </r>
    <r>
      <rPr>
        <b/>
        <sz val="14"/>
        <rFont val="Arial"/>
        <family val="2"/>
      </rPr>
      <t xml:space="preserve">
(American Opportunity and Lifetime Learning Credits)</t>
    </r>
  </si>
  <si>
    <t>After completing Part III for each student, enter the total of all amounts from all Parts III, line 30</t>
  </si>
  <si>
    <t>or qualifying widow(er)</t>
  </si>
  <si>
    <t>2555 or 4563, or you’re excluding income from Puerto Rico, see Pub. 970 for</t>
  </si>
  <si>
    <t>credit</t>
  </si>
  <si>
    <t>qualifying widow(er)</t>
  </si>
  <si>
    <t>If line 4 is:</t>
  </si>
  <si>
    <t>Equal to or more than line 5, enter 1.000 on line 6</t>
  </si>
  <si>
    <t>Less than line 5, divide line 4 by line 5. Enter the result as a decimal (rounded to</t>
  </si>
  <si>
    <t>at least three places)</t>
  </si>
  <si>
    <t xml:space="preserve">.   .   .   .   .    .   .   .   .   .   .   .   .   .   .   .   .   .   .   .   .   . </t>
  </si>
  <si>
    <t>skip line 8, enter the amount from line 7 on line 9, and check this box</t>
  </si>
  <si>
    <t>Nonrefundable Education Credits</t>
  </si>
  <si>
    <t>Subtract line 8 from line 7. Enter here and on line 2 of the Credit Limit Worksheet (see instructions)</t>
  </si>
  <si>
    <t>After completing Part III for each student, enter the total of all amounts from all Parts III, line 31. If</t>
  </si>
  <si>
    <t>zero, skip lines 11 through 17, enter -0- on line 18, and go to line 19</t>
  </si>
  <si>
    <t>the amount to enter</t>
  </si>
  <si>
    <t>Subtract line 14 from line 13. If zero or less, skip lines 16 and 17, enter -0- on</t>
  </si>
  <si>
    <t>line 18, and go to line 19</t>
  </si>
  <si>
    <t>If line 15 is:</t>
  </si>
  <si>
    <t>Equal to or more than line 16, enter 1.000 on line 17 and go to line 18</t>
  </si>
  <si>
    <t>Less than line 16, divide line 15 by line 16. Enter the result as a decimal (rounded to at least three</t>
  </si>
  <si>
    <t>places)</t>
  </si>
  <si>
    <t xml:space="preserve">.   .   .   .   .   .   .   .   .   .   .   .    .   .   .   .   .   .   .   .    .   .   .   .   .   .   .   .   .   .   .   .   .   .   .   .   . </t>
  </si>
  <si>
    <t>Multiply line 12 by line 17. Enter here and on line 1 of the Credit Limit Worksheet (see instructions)</t>
  </si>
  <si>
    <r>
      <rPr>
        <sz val="8"/>
        <rFont val="Arial"/>
        <family val="2"/>
      </rPr>
      <t xml:space="preserve">Form </t>
    </r>
    <r>
      <rPr>
        <b/>
        <sz val="12"/>
        <rFont val="Arial"/>
        <family val="2"/>
      </rPr>
      <t>8863</t>
    </r>
  </si>
  <si>
    <t>Cat. No. 25379M</t>
  </si>
  <si>
    <t>Student name (as shown on page 1 of your tax return)</t>
  </si>
  <si>
    <t>Student social security number (as shown on page 1 of</t>
  </si>
  <si>
    <t>your tax return)</t>
  </si>
  <si>
    <t>Educational institution information (see instructions)</t>
  </si>
  <si>
    <t>Name of first educational institution</t>
  </si>
  <si>
    <t>Name of second educational institution (if any)</t>
  </si>
  <si>
    <t>Address. Number and street (or P.O. box). City, town or</t>
  </si>
  <si>
    <t>post office, state, and ZIP code. If a foreign address, see</t>
  </si>
  <si>
    <t>(3)</t>
  </si>
  <si>
    <t>Enter the institution’s employer identification number (EIN)
if you’re claiming the American opportunity credit or if you
checked “Yes” in (2) or (3). You can get the EIN from Form
1098-T or from the institution.</t>
  </si>
  <si>
    <t>-</t>
  </si>
  <si>
    <t>Has the Hope Scholarship Credit or American opportunity</t>
  </si>
  <si>
    <t>credit been claimed for this student for any 4 tax years</t>
  </si>
  <si>
    <r>
      <t xml:space="preserve">Yes -- </t>
    </r>
    <r>
      <rPr>
        <b/>
        <sz val="10"/>
        <rFont val="Arial"/>
        <family val="2"/>
      </rPr>
      <t>Stop!</t>
    </r>
  </si>
  <si>
    <t>Go to line 31 for this student.</t>
  </si>
  <si>
    <t>Was the student enrolled at least half-time for at least one</t>
  </si>
  <si>
    <t xml:space="preserve">.    .    .    .    .    .    .    .    .    .    .    .    .    .    .    .    .    . </t>
  </si>
  <si>
    <t>academic period that began or is treated as having begun in</t>
  </si>
  <si>
    <t>leading towards a postsecondary degree, certificate, or</t>
  </si>
  <si>
    <t>other recognized postsecondary educational credential?</t>
  </si>
  <si>
    <r>
      <t xml:space="preserve">No -- </t>
    </r>
    <r>
      <rPr>
        <b/>
        <sz val="10"/>
        <rFont val="Arial"/>
        <family val="2"/>
      </rPr>
      <t>Stop!</t>
    </r>
    <r>
      <rPr>
        <sz val="10"/>
        <rFont val="Arial"/>
        <family val="2"/>
      </rPr>
      <t xml:space="preserve">  Go to Line 31.</t>
    </r>
  </si>
  <si>
    <t>for this student</t>
  </si>
  <si>
    <t>No -- Go to line 24.</t>
  </si>
  <si>
    <t>No -- Go to line 26.</t>
  </si>
  <si>
    <t>felony for possession or distribution of a controlled</t>
  </si>
  <si>
    <t>substance?</t>
  </si>
  <si>
    <t>No -- Complete lines 27</t>
  </si>
  <si>
    <t>through 30 for this student.</t>
  </si>
  <si>
    <t>American Opportunity Credit</t>
  </si>
  <si>
    <t>Adjusted qualified education expenses (see instructions).</t>
  </si>
  <si>
    <t>If line 28 is zero, enter the amount from line 27. Otherwise, add $2,000 to the amount on line 29 and</t>
  </si>
  <si>
    <t>enter the result. Skip line 31. Include the total of all amounts from all Parts III, line 30, on Part I, line 1.</t>
  </si>
  <si>
    <t>Lifetime Learning Credit</t>
  </si>
  <si>
    <t>Refundable American opportunity credit.</t>
  </si>
  <si>
    <t>Student</t>
  </si>
  <si>
    <t>Part III, Line 31</t>
  </si>
  <si>
    <t>See below for</t>
  </si>
  <si>
    <t>Complete this worksheet to figure the amount to enter on line 19.</t>
  </si>
  <si>
    <t>2.  Enter the amount from Form 8863, line 9.</t>
  </si>
  <si>
    <t>1.  Enter the amount from Form 8863, line 18.</t>
  </si>
  <si>
    <t>3.  Add lines 1 and 2.</t>
  </si>
  <si>
    <t>5.  Enter the total of your credits from:</t>
  </si>
  <si>
    <t>6.  Subtract line 5 from line 4.</t>
  </si>
  <si>
    <t>7.  Enter the smaller of line 3 or line 6 here and on Form 8863, line 19.</t>
  </si>
  <si>
    <t>Credit Limit Worksheet from Instructions for Form 8863</t>
  </si>
  <si>
    <t>Adjusted Qualified Education Expenses Worksheet</t>
  </si>
  <si>
    <t>Complete a separate worksheet for each student for each academic period beginning or treated as beginning</t>
  </si>
  <si>
    <r>
      <rPr>
        <b/>
        <sz val="10"/>
        <rFont val="Arial"/>
        <family val="2"/>
      </rPr>
      <t xml:space="preserve">2.  </t>
    </r>
    <r>
      <rPr>
        <sz val="10"/>
        <rFont val="Arial"/>
        <family val="2"/>
      </rPr>
      <t>Less adjustments</t>
    </r>
  </si>
  <si>
    <r>
      <rPr>
        <b/>
        <sz val="10"/>
        <rFont val="Arial"/>
        <family val="2"/>
      </rPr>
      <t xml:space="preserve">1.  </t>
    </r>
    <r>
      <rPr>
        <sz val="10"/>
        <rFont val="Arial"/>
        <family val="2"/>
      </rPr>
      <t>Total qualified education expenses paid for or on behalf of the student in</t>
    </r>
  </si>
  <si>
    <t>the academic period</t>
  </si>
  <si>
    <r>
      <rPr>
        <b/>
        <sz val="10"/>
        <rFont val="Arial"/>
        <family val="2"/>
      </rPr>
      <t xml:space="preserve">3.  </t>
    </r>
    <r>
      <rPr>
        <sz val="10"/>
        <rFont val="Arial"/>
        <family val="2"/>
      </rPr>
      <t>Total adjustments (add lines 2a, 2b, and 2c)</t>
    </r>
  </si>
  <si>
    <t>4.  Adjusted qualified education expenses. Subtract line 3 from line 1. If zero or less, enter -0-</t>
  </si>
  <si>
    <t>Adjusted qualified education expenses (see instructions). Include the total of all amounts from all Parts</t>
  </si>
  <si>
    <t>III, line 31, on Part II, line 10</t>
  </si>
  <si>
    <t>Did the student complete the first 4 years of post secondary</t>
  </si>
  <si>
    <t>T</t>
  </si>
  <si>
    <t xml:space="preserve">.   .   .   .   .    .   .   .   .   .   .   .   .    .   .   .   .   .   .   .   .   .   .   .   .   .   .   .   .   . </t>
  </si>
  <si>
    <t xml:space="preserve">.   .   .   .    .   .   .   .   .   .   .   .   .   .   .   .   .   .   .   .   . </t>
  </si>
  <si>
    <t>each student.</t>
  </si>
  <si>
    <t>opportunity credit or lifetime learning credit. Use additional copies of page 2 as needed for</t>
  </si>
  <si>
    <t xml:space="preserve">
</t>
  </si>
  <si>
    <t xml:space="preserve">Complete Part III for each student for whom you’re claiming either the American </t>
  </si>
  <si>
    <r>
      <t xml:space="preserve">Enter result into Part III, line 27  </t>
    </r>
    <r>
      <rPr>
        <u/>
        <sz val="10"/>
        <rFont val="Arial"/>
        <family val="2"/>
      </rPr>
      <t>OR</t>
    </r>
    <r>
      <rPr>
        <sz val="10"/>
        <rFont val="Arial"/>
        <family val="2"/>
      </rPr>
      <t xml:space="preserve">  line 31.</t>
    </r>
  </si>
  <si>
    <t>Complete a separate Part III on page 2 for each student for whom you’re claiming either credit before</t>
  </si>
  <si>
    <t>you complete Parts I and II.</t>
  </si>
  <si>
    <t>Part III, Line 30</t>
  </si>
  <si>
    <t>Form 8863, Education Credits (American Opportunity and Lifetime Learning Credits)</t>
  </si>
  <si>
    <r>
      <t xml:space="preserve">Determine the number of individuals in your tax family using your tax return. Your tax family generally includes you, your spouse if you are filing a joint return, and your dependents. If you checked the “Someone can claim you as a dependent” box, or if you’re filing jointly and you checked the “Someone can claim your spouse as a dependent” box on your tax return, you or your spouse are not included in the tax family size calculation for purposes of </t>
    </r>
    <r>
      <rPr>
        <b/>
        <sz val="10"/>
        <rFont val="Arial"/>
        <family val="2"/>
      </rPr>
      <t>Form 8962, Premium Tax Credit, line 1</t>
    </r>
    <r>
      <rPr>
        <sz val="10"/>
        <rFont val="Arial"/>
        <family val="2"/>
      </rPr>
      <t>.</t>
    </r>
  </si>
  <si>
    <t>Tax Family Size  (for Form 8962, Premium Tax Credit)</t>
  </si>
  <si>
    <t>Yes -- Go to line 25.</t>
  </si>
  <si>
    <t>Amounts of more than $600 will NOT typically be reported on Schedule 1 (Form 1040), Line 8.</t>
  </si>
  <si>
    <t>Designee's name</t>
  </si>
  <si>
    <t>8606</t>
  </si>
  <si>
    <t xml:space="preserve">   Your social security number</t>
  </si>
  <si>
    <t>Apt. no.</t>
  </si>
  <si>
    <t xml:space="preserve"> City, town or post office, state, and ZIP code. If you have a foreign address, also complete the spaces below (see instructions).</t>
  </si>
  <si>
    <t xml:space="preserve"> Home address (number and street, or P.O. box if mail is not delivered to your home)</t>
  </si>
  <si>
    <t xml:space="preserve">  Foreign country name</t>
  </si>
  <si>
    <t xml:space="preserve"> Foreign province/state/county</t>
  </si>
  <si>
    <t xml:space="preserve"> Foreign postal code</t>
  </si>
  <si>
    <t>Fill in Your Address
Only if You Are 
Filing This Form by 
Itself and Not With
Your Tax Return</t>
  </si>
  <si>
    <t>Nondeductible Contributions to Traditional IRAs and Distributions From Traditional, SEP, and SIMPLE IRAs</t>
  </si>
  <si>
    <t>Complete this part only if one or more of the following apply.</t>
  </si>
  <si>
    <t>one-time distribution to fund an HSA, conversion, recharacterization, or return of certain contributions.</t>
  </si>
  <si>
    <t>Enter your total basis in traditional IRAs. See instructions</t>
  </si>
  <si>
    <t>Go to line 4.</t>
  </si>
  <si>
    <t>from traditional, SEP, or SIMPLE IRAs,</t>
  </si>
  <si>
    <t>or make a Roth IRA conversion?</t>
  </si>
  <si>
    <t>Enter the net amount you converted from traditional, SEP, and SIMPLE IRAs to</t>
  </si>
  <si>
    <t>Add lines 6, 7, and 8</t>
  </si>
  <si>
    <t>Divide line 5 by line 9. Enter the result as a decimal rounded to at least 3</t>
  </si>
  <si>
    <t>places. If the result is 1.000 or more, enter “1.000”</t>
  </si>
  <si>
    <t>Multiply line 8 by line 10. This is the nontaxable portion of the amount you</t>
  </si>
  <si>
    <t>converted to Roth IRAs. Also enter this amount on line 17</t>
  </si>
  <si>
    <t>Multiply line 7 by line 10. This is the nontaxable portion of your distributions</t>
  </si>
  <si>
    <t>that you did not convert to a Roth IRA</t>
  </si>
  <si>
    <t>Add lines 11 and 12. This is the nontaxable portion of all your distributions</t>
  </si>
  <si>
    <t>Subtract line 12 from line 7</t>
  </si>
  <si>
    <t>15a</t>
  </si>
  <si>
    <t>15b</t>
  </si>
  <si>
    <t>For Privacy Act and Paperwork Reduction Act Notice, see separate instructions.</t>
  </si>
  <si>
    <t>Cat. No. 63966F</t>
  </si>
  <si>
    <r>
      <rPr>
        <sz val="8"/>
        <rFont val="Arial"/>
        <family val="2"/>
      </rPr>
      <t xml:space="preserve">Form </t>
    </r>
    <r>
      <rPr>
        <b/>
        <sz val="12"/>
        <rFont val="Arial"/>
        <family val="2"/>
      </rPr>
      <t>8606</t>
    </r>
  </si>
  <si>
    <t>This is</t>
  </si>
  <si>
    <t>Subtract line 13 from line 3.</t>
  </si>
  <si>
    <t>Taxable amount.</t>
  </si>
  <si>
    <t>59½ at the time of the distribution. See instructions.</t>
  </si>
  <si>
    <r>
      <rPr>
        <b/>
        <sz val="11"/>
        <rFont val="Arial"/>
        <family val="2"/>
      </rPr>
      <t>Note:</t>
    </r>
    <r>
      <rPr>
        <sz val="11"/>
        <rFont val="Arial"/>
        <family val="2"/>
      </rPr>
      <t xml:space="preserve"> You may be subject to an additional 10% tax on the amount on line 15c if you were under age</t>
    </r>
  </si>
  <si>
    <t>If you completed Part I, enter the amount from line 8. Otherwise, enter the net amount you converted</t>
  </si>
  <si>
    <t xml:space="preserve">.   .   .   .   .   .   .   .   .   .   .   .   .   .   .   .   .   .   .   .   .   </t>
  </si>
  <si>
    <t>If you completed Part I, enter the amount from line 11. Otherwise, enter your basis in the amount on</t>
  </si>
  <si>
    <t>line 16 (see instructions)</t>
  </si>
  <si>
    <t>Taxable  amount.</t>
  </si>
  <si>
    <t>Distributions From Roth IRAs</t>
  </si>
  <si>
    <t>by the total of all your prior qualified first-time homebuyer distributions</t>
  </si>
  <si>
    <r>
      <t>Qualified first-time homebuyer expenses (see instructions).</t>
    </r>
    <r>
      <rPr>
        <b/>
        <sz val="11"/>
        <rFont val="Arial"/>
        <family val="2"/>
      </rPr>
      <t/>
    </r>
  </si>
  <si>
    <r>
      <t xml:space="preserve"> </t>
    </r>
    <r>
      <rPr>
        <b/>
        <sz val="11"/>
        <rFont val="Arial"/>
        <family val="2"/>
      </rPr>
      <t>Do not</t>
    </r>
    <r>
      <rPr>
        <sz val="11"/>
        <rFont val="Arial"/>
        <family val="2"/>
      </rPr>
      <t xml:space="preserve"> enter more than </t>
    </r>
  </si>
  <si>
    <t>Enter your basis in Roth IRA contributions (see instructions).</t>
  </si>
  <si>
    <t>Subtract line 22 from line 21. If zero or less, enter -0- and skip lines 24 and 25. If more than zero, you</t>
  </si>
  <si>
    <t>may be subject to an additional tax (see instructions)</t>
  </si>
  <si>
    <t>Enter your basis in conversions from traditional, SEP, and SIMPLE IRAs and rollovers from qualified</t>
  </si>
  <si>
    <t>retirement plans to a Roth IRA. See instructions</t>
  </si>
  <si>
    <t>25a</t>
  </si>
  <si>
    <t>Subtract line 24 from line 23. If zero or less, enter -0- and skip lines 25b and 25c</t>
  </si>
  <si>
    <t>25b</t>
  </si>
  <si>
    <t>25c</t>
  </si>
  <si>
    <t xml:space="preserve">  Under penalties of perjury, I declare that I have examined this form, including accompanying attachments, and to the best of my knowledge and</t>
  </si>
  <si>
    <t xml:space="preserve">   belief, it is true, correct, and complete. Declaration of preparer (other than taxpayer) is based on all information of which preparer has any knowledge.</t>
  </si>
  <si>
    <t>Sign Here Only if You</t>
  </si>
  <si>
    <t>Are Filing This Form</t>
  </si>
  <si>
    <t>by Itself and Not With</t>
  </si>
  <si>
    <t>Your Tax Return</t>
  </si>
  <si>
    <t xml:space="preserve">  Print/Type preparer’s name</t>
  </si>
  <si>
    <t xml:space="preserve">  Preparer’s signature</t>
  </si>
  <si>
    <t xml:space="preserve">  Date</t>
  </si>
  <si>
    <t>Check</t>
  </si>
  <si>
    <t>self-employed</t>
  </si>
  <si>
    <t>if</t>
  </si>
  <si>
    <t xml:space="preserve"> PTIN</t>
  </si>
  <si>
    <t xml:space="preserve">  Firm's name</t>
  </si>
  <si>
    <t xml:space="preserve">  Firm's address</t>
  </si>
  <si>
    <t xml:space="preserve">  Firm's EIN</t>
  </si>
  <si>
    <t xml:space="preserve">  Phone no.</t>
  </si>
  <si>
    <r>
      <t xml:space="preserve">Enter the value of </t>
    </r>
    <r>
      <rPr>
        <b/>
        <sz val="11"/>
        <rFont val="Arial"/>
        <family val="2"/>
      </rPr>
      <t xml:space="preserve">all </t>
    </r>
    <r>
      <rPr>
        <sz val="11"/>
        <rFont val="Arial"/>
        <family val="2"/>
      </rPr>
      <t>your traditional, SEP, and SIMPLE IRAs as of December</t>
    </r>
  </si>
  <si>
    <t>25 a</t>
  </si>
  <si>
    <t>15 a</t>
  </si>
  <si>
    <t>Paid Preparer Use Only</t>
  </si>
  <si>
    <r>
      <rPr>
        <b/>
        <sz val="11"/>
        <rFont val="Arial"/>
        <family val="2"/>
      </rPr>
      <t>and</t>
    </r>
    <r>
      <rPr>
        <sz val="11"/>
        <rFont val="Arial"/>
        <family val="2"/>
      </rPr>
      <t xml:space="preserve">  you made nondeductible contributions to a</t>
    </r>
  </si>
  <si>
    <r>
      <rPr>
        <b/>
        <sz val="11"/>
        <rFont val="Arial"/>
        <family val="2"/>
      </rPr>
      <t>and</t>
    </r>
    <r>
      <rPr>
        <sz val="11"/>
        <rFont val="Arial"/>
        <family val="2"/>
      </rPr>
      <t xml:space="preserve">  you made</t>
    </r>
  </si>
  <si>
    <t>Form 8606, Nondeductible IRAs</t>
  </si>
  <si>
    <t>This Form 8606 is for:</t>
  </si>
  <si>
    <r>
      <t xml:space="preserve">taxable part to enter on line 4d. </t>
    </r>
    <r>
      <rPr>
        <u/>
        <sz val="10"/>
        <rFont val="Arial"/>
        <family val="2"/>
      </rPr>
      <t>But</t>
    </r>
    <r>
      <rPr>
        <sz val="10"/>
        <rFont val="Arial"/>
        <family val="2"/>
      </rPr>
      <t xml:space="preserve"> if your annuity starting date was </t>
    </r>
    <r>
      <rPr>
        <u/>
        <sz val="10"/>
        <rFont val="Arial"/>
        <family val="2"/>
      </rPr>
      <t>after</t>
    </r>
    <r>
      <rPr>
        <sz val="10"/>
        <rFont val="Arial"/>
        <family val="2"/>
      </rPr>
      <t xml:space="preserve"> July 1, 1986, see </t>
    </r>
    <r>
      <rPr>
        <i/>
        <sz val="10"/>
        <rFont val="Arial"/>
        <family val="2"/>
      </rPr>
      <t>Simplified Method</t>
    </r>
    <r>
      <rPr>
        <sz val="10"/>
        <rFont val="Arial"/>
        <family val="2"/>
      </rPr>
      <t xml:space="preserve"> to find out</t>
    </r>
  </si>
  <si>
    <t>If your Form 1099-R shows a taxable amount, you can report that amount on Form 1040, line 4d. But you may be able to report</t>
  </si>
  <si>
    <t>Additional Credits and Payments</t>
  </si>
  <si>
    <t>Form 1116</t>
  </si>
  <si>
    <t>INSTRUCTIONS for LibreOffice Users:</t>
  </si>
  <si>
    <t>To save a copy of this spreadsheet in .ods format, perform the following steps:</t>
  </si>
  <si>
    <t>State and Local Income Tax Refund Worksheet — Line 1</t>
  </si>
  <si>
    <t>Total Deductions</t>
  </si>
  <si>
    <r>
      <t xml:space="preserve">If your IRA is </t>
    </r>
    <r>
      <rPr>
        <u/>
        <sz val="10"/>
        <color rgb="FF008000"/>
        <rFont val="Arial"/>
        <family val="2"/>
      </rPr>
      <t>fully</t>
    </r>
    <r>
      <rPr>
        <sz val="10"/>
        <color rgb="FF008000"/>
        <rFont val="Arial"/>
        <family val="2"/>
      </rPr>
      <t xml:space="preserve"> </t>
    </r>
    <r>
      <rPr>
        <u/>
        <sz val="10"/>
        <color rgb="FF008000"/>
        <rFont val="Arial"/>
        <family val="2"/>
      </rPr>
      <t>taxable</t>
    </r>
    <r>
      <rPr>
        <sz val="10"/>
        <color rgb="FF008000"/>
        <rFont val="Arial"/>
        <family val="2"/>
      </rPr>
      <t>, this spreadsheet will automatically enter</t>
    </r>
  </si>
  <si>
    <t>do not make an entry on line 4a.</t>
  </si>
  <si>
    <t>the total IRA distributions (from Form(s) 1099-R, box 2a) on line 4b;</t>
  </si>
  <si>
    <t>enter the total pension or annuity distributions (from Form(s) 1099-R, box 2a)</t>
  </si>
  <si>
    <r>
      <t xml:space="preserve">Number of days </t>
    </r>
    <r>
      <rPr>
        <b/>
        <sz val="9"/>
        <rFont val="Arial"/>
        <family val="2"/>
      </rPr>
      <t>from</t>
    </r>
    <r>
      <rPr>
        <sz val="9"/>
        <rFont val="Arial"/>
        <family val="2"/>
      </rPr>
      <t xml:space="preserve"> the date on line 11 to the date the amount </t>
    </r>
  </si>
  <si>
    <r>
      <t xml:space="preserve">You request a </t>
    </r>
    <r>
      <rPr>
        <b/>
        <sz val="10"/>
        <rFont val="Arial"/>
        <family val="2"/>
      </rPr>
      <t>waiver</t>
    </r>
    <r>
      <rPr>
        <sz val="10"/>
        <rFont val="Arial"/>
        <family val="2"/>
      </rPr>
      <t xml:space="preserve"> (see instructions) of your entire penalty. You must check this box and file page 1 of Form 2210, but you</t>
    </r>
  </si>
  <si>
    <t xml:space="preserve"> aren't required to figure your penalty.</t>
  </si>
  <si>
    <r>
      <t>Schedule AI—Annualized Income Installment Method</t>
    </r>
    <r>
      <rPr>
        <sz val="10"/>
        <rFont val="Arial"/>
        <family val="2"/>
      </rPr>
      <t xml:space="preserve"> (See the instructions.)</t>
    </r>
  </si>
  <si>
    <t>OMB No. 1545-0123</t>
  </si>
  <si>
    <t>ii</t>
  </si>
  <si>
    <t>iii</t>
  </si>
  <si>
    <t>iv</t>
  </si>
  <si>
    <t>v</t>
  </si>
  <si>
    <t>https://aspe.hhs.gov/poverty-guidelines</t>
  </si>
  <si>
    <t>Download Form 8962 Instructions</t>
  </si>
  <si>
    <t>Download Form 8962</t>
  </si>
  <si>
    <t>Draft IRS</t>
  </si>
  <si>
    <t>Updated</t>
  </si>
  <si>
    <t>Final IRS</t>
  </si>
  <si>
    <t>Final</t>
  </si>
  <si>
    <t>N/A</t>
  </si>
  <si>
    <t>Instruction</t>
  </si>
  <si>
    <t>Draft Form</t>
  </si>
  <si>
    <t>Schedule 8812, Additional Child Tax Credit</t>
  </si>
  <si>
    <r>
      <t xml:space="preserve">  </t>
    </r>
    <r>
      <rPr>
        <b/>
        <sz val="9"/>
        <rFont val="Marlett"/>
        <charset val="2"/>
      </rPr>
      <t>4</t>
    </r>
    <r>
      <rPr>
        <b/>
        <sz val="9"/>
        <rFont val="Arial"/>
        <family val="2"/>
      </rPr>
      <t xml:space="preserve">  Go to </t>
    </r>
    <r>
      <rPr>
        <b/>
        <i/>
        <sz val="9"/>
        <rFont val="Arial"/>
        <family val="2"/>
      </rPr>
      <t>www.irs.gov/Form8959</t>
    </r>
    <r>
      <rPr>
        <b/>
        <sz val="9"/>
        <rFont val="Arial"/>
        <family val="2"/>
      </rPr>
      <t xml:space="preserve"> for instructions and the latest information.</t>
    </r>
  </si>
  <si>
    <t xml:space="preserve"> .   .   .   .   .   .   .   .   .   .   .   .   .   .   .   .   .   .   .   .   .   .   .   .   .   .   .   .   .   .   .   .   .   . </t>
  </si>
  <si>
    <t>Enter here and go to Part IV</t>
  </si>
  <si>
    <t>Check here if you, or your 
spouse if filing jointly, want $3 
to go to this fund.  Checking a 
box below will not change 
your tax or refund.</t>
  </si>
  <si>
    <t xml:space="preserve"> You as a dependent</t>
  </si>
  <si>
    <t>Dependents</t>
  </si>
  <si>
    <t>(see instructions) :</t>
  </si>
  <si>
    <r>
      <rPr>
        <b/>
        <sz val="9"/>
        <rFont val="Arial"/>
        <family val="2"/>
      </rPr>
      <t>(2)</t>
    </r>
    <r>
      <rPr>
        <sz val="9"/>
        <rFont val="Arial"/>
        <family val="2"/>
      </rPr>
      <t xml:space="preserve"> Social security 
number</t>
    </r>
  </si>
  <si>
    <r>
      <rPr>
        <b/>
        <sz val="10"/>
        <rFont val="Arial"/>
        <family val="2"/>
      </rPr>
      <t>(3)</t>
    </r>
    <r>
      <rPr>
        <sz val="10"/>
        <rFont val="Arial"/>
        <family val="2"/>
      </rPr>
      <t xml:space="preserve"> Relationship 
to you</t>
    </r>
  </si>
  <si>
    <t>If more 
than four 
dependents, 
see instructions 
and check</t>
  </si>
  <si>
    <t>Subtract line 14 from line 11.</t>
  </si>
  <si>
    <t>The tax in Line 16 is</t>
  </si>
  <si>
    <t>Amount from Schedule 2, line 3</t>
  </si>
  <si>
    <t>Add lines 16 and 17</t>
  </si>
  <si>
    <t>Subtract line 21 from line 18. If zero or less, enter -0-</t>
  </si>
  <si>
    <r>
      <t xml:space="preserve">Add lines 22 and 23. This is your </t>
    </r>
    <r>
      <rPr>
        <b/>
        <sz val="9"/>
        <rFont val="Arial"/>
        <family val="2"/>
      </rPr>
      <t>total tax</t>
    </r>
  </si>
  <si>
    <t>Form(s) W-2</t>
  </si>
  <si>
    <t>Other forms (see instructions)</t>
  </si>
  <si>
    <t>Add lines 25a through 25c</t>
  </si>
  <si>
    <t>25d</t>
  </si>
  <si>
    <t>Federal income tax withheld from:</t>
  </si>
  <si>
    <t>Form(s) 1099</t>
  </si>
  <si>
    <t>Recovery rebate credit. See instructions</t>
  </si>
  <si>
    <t>Other payments or refundable credits:</t>
  </si>
  <si>
    <t>Form 2439</t>
  </si>
  <si>
    <t>Qualified sick and family leave credits from Schedule(s) H and</t>
  </si>
  <si>
    <t>Health coverage tax credit from Form 8885</t>
  </si>
  <si>
    <r>
      <t xml:space="preserve">Add lines 25d, 26, and 32. These are your </t>
    </r>
    <r>
      <rPr>
        <b/>
        <sz val="9"/>
        <rFont val="Arial"/>
        <family val="2"/>
      </rPr>
      <t>total payments</t>
    </r>
  </si>
  <si>
    <r>
      <t xml:space="preserve">If line 33 is more than line 24, subtract line 24 from line 33. This is the amount you </t>
    </r>
    <r>
      <rPr>
        <b/>
        <sz val="9"/>
        <rFont val="Arial"/>
        <family val="2"/>
      </rPr>
      <t>overpaid</t>
    </r>
  </si>
  <si>
    <r>
      <t xml:space="preserve">Amount of line 34 you want </t>
    </r>
    <r>
      <rPr>
        <b/>
        <sz val="9"/>
        <rFont val="Arial"/>
        <family val="2"/>
      </rPr>
      <t>refunded to you</t>
    </r>
    <r>
      <rPr>
        <sz val="9"/>
        <rFont val="Arial"/>
        <family val="2"/>
      </rPr>
      <t>. If Form 8888 is attached, check here</t>
    </r>
  </si>
  <si>
    <r>
      <rPr>
        <b/>
        <sz val="9"/>
        <rFont val="Arial"/>
        <family val="2"/>
      </rPr>
      <t xml:space="preserve">c </t>
    </r>
    <r>
      <rPr>
        <sz val="9"/>
        <rFont val="Arial"/>
        <family val="2"/>
      </rPr>
      <t>Type:</t>
    </r>
  </si>
  <si>
    <r>
      <t>Line 27 — Earned Income Credit Worksheet</t>
    </r>
    <r>
      <rPr>
        <sz val="10"/>
        <rFont val="Arial"/>
        <family val="2"/>
      </rPr>
      <t xml:space="preserve">  —  Spreadsheet provides assistance in completing this.</t>
    </r>
  </si>
  <si>
    <t>Line 27 (EIC)</t>
  </si>
  <si>
    <t>Simplified Method Worksheet—Lines 5a and 5b</t>
  </si>
  <si>
    <t>Enter the total of the taxable parts on Form 1040 or 1040-SR, line 5b.</t>
  </si>
  <si>
    <t>on Form 1040 or 1040-SR, line 5a.</t>
  </si>
  <si>
    <t>Also, include this amount on Form 1040 or 1040-SR, line 5a</t>
  </si>
  <si>
    <t>If you manually enter the taxable amount from line 9 of this worksheet into 1099-R, line 2a, this spreadsheet will automatically update Form 1040, line 5a.</t>
  </si>
  <si>
    <r>
      <rPr>
        <b/>
        <sz val="10"/>
        <rFont val="Arial"/>
        <family val="2"/>
      </rPr>
      <t>Simplified Method Worksheet—Lines 5a and 5b</t>
    </r>
    <r>
      <rPr>
        <sz val="10"/>
        <rFont val="Arial"/>
        <family val="2"/>
      </rPr>
      <t xml:space="preserve">  -- to determine taxable amount of retirement pension or annuity.</t>
    </r>
  </si>
  <si>
    <t>Lines 5ab (Simplified Meth WS)</t>
  </si>
  <si>
    <t>Third Party Designee</t>
  </si>
  <si>
    <t>Personal identification 
number (PIN)</t>
  </si>
  <si>
    <t>Do you want to allow another person to discuss this return with the IRS?</t>
  </si>
  <si>
    <r>
      <t xml:space="preserve">Go to </t>
    </r>
    <r>
      <rPr>
        <i/>
        <sz val="9"/>
        <rFont val="Arial"/>
        <family val="2"/>
      </rPr>
      <t>www.irs.gov/Form1040</t>
    </r>
    <r>
      <rPr>
        <sz val="9"/>
        <rFont val="Arial"/>
        <family val="2"/>
      </rPr>
      <t xml:space="preserve"> for instructions and the latest information.</t>
    </r>
  </si>
  <si>
    <t>ZIP Code</t>
  </si>
  <si>
    <r>
      <t xml:space="preserve">City, town, or post office.  </t>
    </r>
    <r>
      <rPr>
        <sz val="8"/>
        <rFont val="Arial"/>
        <family val="2"/>
      </rPr>
      <t xml:space="preserve"> If you have a foreign address, also complete spaces below.</t>
    </r>
  </si>
  <si>
    <r>
      <rPr>
        <b/>
        <sz val="9"/>
        <rFont val="Arial"/>
        <family val="2"/>
      </rPr>
      <t>(1)</t>
    </r>
    <r>
      <rPr>
        <sz val="9"/>
        <rFont val="Arial"/>
        <family val="2"/>
      </rPr>
      <t xml:space="preserve">  First name</t>
    </r>
  </si>
  <si>
    <r>
      <rPr>
        <sz val="9"/>
        <rFont val="Arial"/>
        <family val="2"/>
      </rPr>
      <t xml:space="preserve">Page  </t>
    </r>
    <r>
      <rPr>
        <b/>
        <sz val="12"/>
        <rFont val="Arial"/>
        <family val="2"/>
      </rPr>
      <t>2</t>
    </r>
  </si>
  <si>
    <r>
      <rPr>
        <sz val="9"/>
        <rFont val="Arial"/>
        <family val="2"/>
      </rPr>
      <t xml:space="preserve">8814 </t>
    </r>
    <r>
      <rPr>
        <sz val="8"/>
        <rFont val="Arial"/>
        <family val="2"/>
      </rPr>
      <t xml:space="preserve">     </t>
    </r>
    <r>
      <rPr>
        <b/>
        <sz val="10"/>
        <rFont val="Arial"/>
        <family val="2"/>
      </rPr>
      <t>2</t>
    </r>
  </si>
  <si>
    <r>
      <rPr>
        <sz val="9"/>
        <rFont val="Arial"/>
        <family val="2"/>
      </rPr>
      <t xml:space="preserve">4972 </t>
    </r>
    <r>
      <rPr>
        <sz val="8"/>
        <rFont val="Arial"/>
        <family val="2"/>
      </rPr>
      <t xml:space="preserve">   </t>
    </r>
    <r>
      <rPr>
        <b/>
        <sz val="10"/>
        <rFont val="Arial"/>
        <family val="2"/>
      </rPr>
      <t>3</t>
    </r>
  </si>
  <si>
    <r>
      <rPr>
        <b/>
        <sz val="9"/>
        <rFont val="Arial"/>
        <family val="2"/>
      </rPr>
      <t xml:space="preserve">Yes.  </t>
    </r>
    <r>
      <rPr>
        <sz val="9"/>
        <rFont val="Arial"/>
        <family val="2"/>
      </rPr>
      <t>Complete below.</t>
    </r>
  </si>
  <si>
    <t>Form 1040, Line 11</t>
  </si>
  <si>
    <t>Form 1040, Line 14</t>
  </si>
  <si>
    <t>Form 1040, Line 15</t>
  </si>
  <si>
    <t>Form 1040, Line 24</t>
  </si>
  <si>
    <t>Form 1040, Line 33</t>
  </si>
  <si>
    <t>Form 1040, Line 25b</t>
  </si>
  <si>
    <r>
      <rPr>
        <b/>
        <sz val="10"/>
        <rFont val="Arial"/>
        <family val="2"/>
      </rPr>
      <t>Form 1040</t>
    </r>
    <r>
      <rPr>
        <sz val="10"/>
        <rFont val="Arial"/>
        <family val="2"/>
      </rPr>
      <t>, Line 25a</t>
    </r>
  </si>
  <si>
    <t>Name(s) shown on Form 1040, 1040-SR, or 1040-NR</t>
  </si>
  <si>
    <t>Form 1099-G</t>
  </si>
  <si>
    <t xml:space="preserve">.   .   .   .   .   .   .   .   .   .   </t>
  </si>
  <si>
    <t xml:space="preserve">line next to line 1 of Form 1040 or 1040-SR). </t>
  </si>
  <si>
    <t>This amount may be shown in box 11 of your Form W-2. If you received such an</t>
  </si>
  <si>
    <t xml:space="preserve">amount but box 11 is blank, contact your employer for the amount received. </t>
  </si>
  <si>
    <t>amount in earned income, in which case enter zero.</t>
  </si>
  <si>
    <t>Schedule 1 (Form 1040 or 1040-SR), line 8, unless you choose to include this</t>
  </si>
  <si>
    <t>Form 1040 Instructions (Line 27 - Earned Income Credit)</t>
  </si>
  <si>
    <t>Social Security Benefits Worksheet – Lines 6a and 6b</t>
  </si>
  <si>
    <t>the right of the word "benefits" on line 6a.  If you don't, you may get a math error notice from the IRS.</t>
  </si>
  <si>
    <r>
      <t xml:space="preserve">Be sure you have read the </t>
    </r>
    <r>
      <rPr>
        <b/>
        <i/>
        <sz val="10"/>
        <rFont val="Arial"/>
        <family val="2"/>
      </rPr>
      <t>Exception</t>
    </r>
    <r>
      <rPr>
        <sz val="10"/>
        <rFont val="Arial"/>
        <family val="2"/>
      </rPr>
      <t xml:space="preserve"> in the line 6a and 6b instructions to see if you can use this</t>
    </r>
  </si>
  <si>
    <t>line 6a</t>
  </si>
  <si>
    <r>
      <t xml:space="preserve">RRB-1099. </t>
    </r>
    <r>
      <rPr>
        <sz val="9"/>
        <rFont val="Arial"/>
        <family val="2"/>
      </rPr>
      <t xml:space="preserve"> Also, enter this amount on Form 1040 or 1040-SR, </t>
    </r>
  </si>
  <si>
    <t xml:space="preserve">                       or 1040-SR, line 6b.</t>
  </si>
  <si>
    <r>
      <t xml:space="preserve">No.               </t>
    </r>
    <r>
      <rPr>
        <sz val="10"/>
        <rFont val="Arial"/>
        <family val="2"/>
      </rPr>
      <t>None of your social security benefits are taxable. Enter -0- on Form 1040 or 1040-SR, line 6b.</t>
    </r>
  </si>
  <si>
    <t>Also, enter this amount on Form 1040 or 1040-SR, line 6b.</t>
  </si>
  <si>
    <t>Line 6ab (SS Bene)</t>
  </si>
  <si>
    <t>this amount on Form 1040 or 1040-SR, line 12. Otherwise, go to line 4b</t>
  </si>
  <si>
    <t>Line 12 (SD Depnts)</t>
  </si>
  <si>
    <t>Standard Deduction Worksheet for Dependents — Line 12</t>
  </si>
  <si>
    <r>
      <rPr>
        <b/>
        <sz val="10"/>
        <rFont val="Arial"/>
        <family val="2"/>
      </rPr>
      <t>Social Security Benefits Worksheet – Lines 6a and 6b</t>
    </r>
    <r>
      <rPr>
        <sz val="10"/>
        <rFont val="Arial"/>
        <family val="2"/>
      </rPr>
      <t xml:space="preserve">  -- to determine taxable amount of Social Security benefits.</t>
    </r>
  </si>
  <si>
    <t>(Form 1040)</t>
  </si>
  <si>
    <t>Net Qualified Disaster Losses</t>
  </si>
  <si>
    <t>NQDL</t>
  </si>
  <si>
    <t>Other Itemized</t>
  </si>
  <si>
    <t>↑ Description ↑</t>
  </si>
  <si>
    <t>↑  Amount  ↑</t>
  </si>
  <si>
    <r>
      <rPr>
        <b/>
        <sz val="9"/>
        <rFont val="Arial"/>
        <family val="2"/>
      </rPr>
      <t>Caution:</t>
    </r>
    <r>
      <rPr>
        <sz val="9"/>
        <rFont val="Arial"/>
        <family val="2"/>
      </rPr>
      <t xml:space="preserve"> If you are claiming a net qualified disaster loss on Form 4684, see the instructions for line 16.</t>
    </r>
  </si>
  <si>
    <r>
      <t xml:space="preserve">Go to </t>
    </r>
    <r>
      <rPr>
        <b/>
        <i/>
        <sz val="9"/>
        <rFont val="Arial"/>
        <family val="2"/>
      </rPr>
      <t>www.irs.gov/ScheduleA</t>
    </r>
    <r>
      <rPr>
        <b/>
        <sz val="9"/>
        <rFont val="Arial"/>
        <family val="2"/>
      </rPr>
      <t xml:space="preserve"> for instructions and the latest information.</t>
    </r>
  </si>
  <si>
    <t>Enter amount from Form 1040 or 1040-SR, line 11</t>
  </si>
  <si>
    <r>
      <rPr>
        <b/>
        <sz val="8"/>
        <rFont val="Arial"/>
        <family val="2"/>
      </rPr>
      <t>Caution:</t>
    </r>
    <r>
      <rPr>
        <sz val="8"/>
        <rFont val="Arial"/>
        <family val="2"/>
      </rPr>
      <t xml:space="preserve">  Your mortgage interest deduction may be limited (see instructions).</t>
    </r>
  </si>
  <si>
    <t>Home mortgage interest not reported to you on Form 1098.  See</t>
  </si>
  <si>
    <t>instructions if limited. If paid to the person from whom you bought the</t>
  </si>
  <si>
    <t>home, see instructions and show that person's name, identifying no.,</t>
  </si>
  <si>
    <t>and address</t>
  </si>
  <si>
    <r>
      <t xml:space="preserve">If you wish to deduct </t>
    </r>
    <r>
      <rPr>
        <i/>
        <sz val="9"/>
        <rFont val="Arial"/>
        <family val="2"/>
      </rPr>
      <t>General sales taxes</t>
    </r>
    <r>
      <rPr>
        <sz val="9"/>
        <rFont val="Arial"/>
        <family val="2"/>
      </rPr>
      <t>, enter the tax amount in Column Q and place an 'X' in box 5a.</t>
    </r>
  </si>
  <si>
    <t>The amount you can deduct for charitable contributions generally is limited to no more than 60% of your adjusted gross income (AGI).</t>
  </si>
  <si>
    <t>Your deduction may be further limited to 50%, 30%, or 20% of your AGI, depending on the type of property you give</t>
  </si>
  <si>
    <r>
      <t xml:space="preserve"> </t>
    </r>
    <r>
      <rPr>
        <b/>
        <sz val="9"/>
        <rFont val="Marlett"/>
        <charset val="2"/>
      </rPr>
      <t>4</t>
    </r>
    <r>
      <rPr>
        <b/>
        <sz val="9"/>
        <rFont val="Arial"/>
        <family val="2"/>
      </rPr>
      <t xml:space="preserve"> Go to </t>
    </r>
    <r>
      <rPr>
        <b/>
        <i/>
        <sz val="9"/>
        <rFont val="Arial"/>
        <family val="2"/>
      </rPr>
      <t>www.irs.gov/ScheduleB</t>
    </r>
    <r>
      <rPr>
        <b/>
        <sz val="9"/>
        <rFont val="Arial"/>
        <family val="2"/>
      </rPr>
      <t xml:space="preserve"> for instructions and the latest information.</t>
    </r>
  </si>
  <si>
    <r>
      <t xml:space="preserve">      </t>
    </r>
    <r>
      <rPr>
        <b/>
        <sz val="9"/>
        <rFont val="Marlett"/>
        <charset val="2"/>
      </rPr>
      <t>4</t>
    </r>
    <r>
      <rPr>
        <b/>
        <sz val="9"/>
        <rFont val="Arial"/>
        <family val="2"/>
      </rPr>
      <t xml:space="preserve"> Attach to Form 1040A or 1040.</t>
    </r>
  </si>
  <si>
    <r>
      <t>Subtract line 3 from line 2. Enter the result here and on Form 1040 or 1040-SR, line 2b</t>
    </r>
    <r>
      <rPr>
        <b/>
        <sz val="9"/>
        <rFont val="Arial"/>
        <family val="2"/>
      </rPr>
      <t xml:space="preserve"> .</t>
    </r>
  </si>
  <si>
    <t xml:space="preserve"> .   .   .   .   .   .   .   .   .   .   .   .   .   .   .   .   .   .   .   .   .   .   .   .   .   .   .   .   </t>
  </si>
  <si>
    <t xml:space="preserve">.   .   .   .   .   .   .   </t>
  </si>
  <si>
    <r>
      <t xml:space="preserve">Add the amounts on line 1  </t>
    </r>
    <r>
      <rPr>
        <b/>
        <sz val="10"/>
        <rFont val="Arial"/>
        <family val="2"/>
      </rPr>
      <t>.   .   .   .   .   .   .   .   .   .   .   .   .   .   .   .   .   .   .   .   .   .   .   .   .   .   .   .   .   .   .   .   .   .   .   .</t>
    </r>
  </si>
  <si>
    <r>
      <t xml:space="preserve">Use </t>
    </r>
    <r>
      <rPr>
        <b/>
        <sz val="11"/>
        <color rgb="FF000000"/>
        <rFont val="Calibri"/>
        <family val="2"/>
        <scheme val="minor"/>
      </rPr>
      <t>Schedule B</t>
    </r>
    <r>
      <rPr>
        <sz val="11"/>
        <color rgb="FF000000"/>
        <rFont val="Calibri"/>
        <family val="2"/>
        <scheme val="minor"/>
      </rPr>
      <t xml:space="preserve"> (Form 1040) if any of the following applies. </t>
    </r>
  </si>
  <si>
    <r>
      <t xml:space="preserve">Go to </t>
    </r>
    <r>
      <rPr>
        <b/>
        <i/>
        <sz val="10"/>
        <rFont val="Arial"/>
        <family val="2"/>
      </rPr>
      <t>www.irs.gov/ScheduleC</t>
    </r>
    <r>
      <rPr>
        <b/>
        <sz val="10"/>
        <rFont val="Arial"/>
        <family val="2"/>
      </rPr>
      <t xml:space="preserve"> for instructions and the latest information.</t>
    </r>
  </si>
  <si>
    <r>
      <t xml:space="preserve">   </t>
    </r>
    <r>
      <rPr>
        <b/>
        <sz val="12"/>
        <rFont val="Arial"/>
        <family val="2"/>
      </rPr>
      <t>Expenses</t>
    </r>
  </si>
  <si>
    <r>
      <t xml:space="preserve">Enter expenses for business use of your home </t>
    </r>
    <r>
      <rPr>
        <b/>
        <sz val="11"/>
        <rFont val="Arial"/>
        <family val="2"/>
      </rPr>
      <t>only</t>
    </r>
    <r>
      <rPr>
        <sz val="11"/>
        <rFont val="Arial"/>
        <family val="2"/>
      </rPr>
      <t xml:space="preserve"> on line 30.</t>
    </r>
  </si>
  <si>
    <r>
      <t>Total expenses</t>
    </r>
    <r>
      <rPr>
        <sz val="10"/>
        <rFont val="Arial"/>
        <family val="2"/>
      </rPr>
      <t xml:space="preserve"> before expenses for business use of home.  Add lines 8 through 27a</t>
    </r>
  </si>
  <si>
    <t xml:space="preserve">.   .   .   .   .   .   .   .   .   .   .      </t>
  </si>
  <si>
    <t xml:space="preserve">.   .   .   .   .   .   .   .   .      </t>
  </si>
  <si>
    <r>
      <rPr>
        <b/>
        <sz val="10"/>
        <rFont val="Arial"/>
        <family val="2"/>
      </rPr>
      <t>B</t>
    </r>
    <r>
      <rPr>
        <b/>
        <sz val="9"/>
        <rFont val="Arial"/>
        <family val="2"/>
      </rPr>
      <t xml:space="preserve">  Enter code from instructions</t>
    </r>
  </si>
  <si>
    <r>
      <rPr>
        <b/>
        <sz val="10"/>
        <rFont val="Arial"/>
        <family val="2"/>
      </rPr>
      <t>D</t>
    </r>
    <r>
      <rPr>
        <b/>
        <sz val="9"/>
        <rFont val="Arial"/>
        <family val="2"/>
      </rPr>
      <t xml:space="preserve">  Employer ID number (EIN)</t>
    </r>
    <r>
      <rPr>
        <sz val="9"/>
        <rFont val="Arial"/>
        <family val="2"/>
      </rPr>
      <t xml:space="preserve"> (see instr.)</t>
    </r>
  </si>
  <si>
    <r>
      <t xml:space="preserve">• If you checked 32b, you </t>
    </r>
    <r>
      <rPr>
        <b/>
        <sz val="10"/>
        <rFont val="Arial"/>
        <family val="2"/>
      </rPr>
      <t>must</t>
    </r>
    <r>
      <rPr>
        <sz val="10"/>
        <rFont val="Arial"/>
        <family val="2"/>
      </rPr>
      <t xml:space="preserve"> attach </t>
    </r>
    <r>
      <rPr>
        <b/>
        <sz val="10"/>
        <rFont val="Arial"/>
        <family val="2"/>
      </rPr>
      <t>Form 6198</t>
    </r>
    <r>
      <rPr>
        <sz val="10"/>
        <rFont val="Arial"/>
        <family val="2"/>
      </rPr>
      <t>. Your loss may be limited.</t>
    </r>
  </si>
  <si>
    <r>
      <t>Net profit or (loss).</t>
    </r>
    <r>
      <rPr>
        <sz val="10"/>
        <rFont val="Arial"/>
        <family val="2"/>
      </rPr>
      <t xml:space="preserve">  Subtract line 30 from line 29.</t>
    </r>
  </si>
  <si>
    <r>
      <t>Gross profit.</t>
    </r>
    <r>
      <rPr>
        <sz val="10"/>
        <rFont val="Arial"/>
        <family val="2"/>
      </rPr>
      <t xml:space="preserve">  Subtract line 4 from line 3</t>
    </r>
  </si>
  <si>
    <r>
      <t>Gross income.</t>
    </r>
    <r>
      <rPr>
        <sz val="10"/>
        <rFont val="Arial"/>
        <family val="2"/>
      </rPr>
      <t xml:space="preserve">  Add lines 5 and 6</t>
    </r>
  </si>
  <si>
    <r>
      <t xml:space="preserve">checked the box on line 1, see instructions). Estates and trusts, enter on </t>
    </r>
    <r>
      <rPr>
        <b/>
        <sz val="11"/>
        <rFont val="Arial"/>
        <family val="2"/>
      </rPr>
      <t>Form 1041, line 3</t>
    </r>
    <r>
      <rPr>
        <sz val="11"/>
        <rFont val="Arial"/>
        <family val="2"/>
      </rPr>
      <t>.</t>
    </r>
  </si>
  <si>
    <r>
      <t xml:space="preserve">• If a loss, you </t>
    </r>
    <r>
      <rPr>
        <b/>
        <sz val="11"/>
        <rFont val="Arial"/>
        <family val="2"/>
      </rPr>
      <t>must</t>
    </r>
    <r>
      <rPr>
        <sz val="11"/>
        <rFont val="Arial"/>
        <family val="2"/>
      </rPr>
      <t xml:space="preserve"> go to line 32.</t>
    </r>
  </si>
  <si>
    <r>
      <t xml:space="preserve">• If you checked 32a, enter the loss on both </t>
    </r>
    <r>
      <rPr>
        <b/>
        <sz val="10"/>
        <rFont val="Arial"/>
        <family val="2"/>
      </rPr>
      <t>Schedule 1 (Form 1040), line 3,</t>
    </r>
    <r>
      <rPr>
        <sz val="10"/>
        <rFont val="Arial"/>
        <family val="2"/>
      </rPr>
      <t xml:space="preserve"> and on </t>
    </r>
    <r>
      <rPr>
        <b/>
        <sz val="10"/>
        <rFont val="Arial"/>
        <family val="2"/>
      </rPr>
      <t>Schedule</t>
    </r>
  </si>
  <si>
    <r>
      <rPr>
        <b/>
        <sz val="10"/>
        <rFont val="Arial"/>
        <family val="2"/>
      </rPr>
      <t>Form 1041, line 3</t>
    </r>
    <r>
      <rPr>
        <sz val="10"/>
        <rFont val="Arial"/>
        <family val="2"/>
      </rPr>
      <t>.</t>
    </r>
  </si>
  <si>
    <t xml:space="preserve">32a </t>
  </si>
  <si>
    <t xml:space="preserve">32b </t>
  </si>
  <si>
    <r>
      <t xml:space="preserve">• If you checked 32a, enter the loss on both </t>
    </r>
    <r>
      <rPr>
        <b/>
        <sz val="10"/>
        <rFont val="Arial"/>
        <family val="2"/>
      </rPr>
      <t>Schedule 1 (Form 1040), line 3</t>
    </r>
    <r>
      <rPr>
        <sz val="10"/>
        <rFont val="Arial"/>
        <family val="2"/>
      </rPr>
      <t xml:space="preserve">, and on </t>
    </r>
    <r>
      <rPr>
        <b/>
        <sz val="10"/>
        <rFont val="Arial"/>
        <family val="2"/>
      </rPr>
      <t>Schedule</t>
    </r>
  </si>
  <si>
    <t>Form 1041, line 3.</t>
  </si>
  <si>
    <r>
      <rPr>
        <b/>
        <sz val="10"/>
        <rFont val="Arial"/>
        <family val="2"/>
      </rPr>
      <t>SE, line 2</t>
    </r>
    <r>
      <rPr>
        <sz val="10"/>
        <rFont val="Arial"/>
        <family val="2"/>
      </rPr>
      <t>. (If you checked the box on line 1, see the line 31 instructions). Estates and trusts, enter on</t>
    </r>
  </si>
  <si>
    <r>
      <rPr>
        <b/>
        <sz val="11"/>
        <rFont val="Arial"/>
        <family val="2"/>
      </rPr>
      <t xml:space="preserve">   Cost of Goods Sold</t>
    </r>
    <r>
      <rPr>
        <sz val="11"/>
        <rFont val="Arial"/>
        <family val="2"/>
      </rPr>
      <t xml:space="preserve">  (see instructions)</t>
    </r>
  </si>
  <si>
    <r>
      <t>Total other expenses.</t>
    </r>
    <r>
      <rPr>
        <sz val="10"/>
        <rFont val="Arial"/>
        <family val="2"/>
      </rPr>
      <t xml:space="preserve">   Enter here and on line 27a</t>
    </r>
  </si>
  <si>
    <t xml:space="preserve">.   .    .   .   .   .   .   .   .   .   .   .   .   .   .   .   .   .   .   .    .   .   .   .   .   .   . </t>
  </si>
  <si>
    <t xml:space="preserve">  47  a</t>
  </si>
  <si>
    <r>
      <t>Cost of goods sold.</t>
    </r>
    <r>
      <rPr>
        <sz val="10"/>
        <rFont val="Arial"/>
        <family val="2"/>
      </rPr>
      <t xml:space="preserve">   Subtract line 41 from line 40.  Enter the result here and on line 4</t>
    </r>
  </si>
  <si>
    <r>
      <t xml:space="preserve">If line 16 is a </t>
    </r>
    <r>
      <rPr>
        <b/>
        <sz val="10"/>
        <rFont val="Arial"/>
        <family val="2"/>
      </rPr>
      <t>gain</t>
    </r>
    <r>
      <rPr>
        <sz val="10"/>
        <rFont val="Arial"/>
        <family val="2"/>
      </rPr>
      <t>, enter the amount from line 16 on Form 1040, 1040-SR, or 1040-NR, line 7.</t>
    </r>
  </si>
  <si>
    <t>Then go to line 17 below.</t>
  </si>
  <si>
    <t>Then go to line 22.</t>
  </si>
  <si>
    <r>
      <t xml:space="preserve">If line 16 is a loss, enter here and on Form 1040, 1040-SR, 1040-NR, line 7, the </t>
    </r>
    <r>
      <rPr>
        <b/>
        <sz val="10"/>
        <rFont val="Arial"/>
        <family val="2"/>
      </rPr>
      <t>smaller</t>
    </r>
    <r>
      <rPr>
        <sz val="10"/>
        <rFont val="Arial"/>
        <family val="2"/>
      </rPr>
      <t xml:space="preserve"> of:</t>
    </r>
  </si>
  <si>
    <r>
      <t>Note:</t>
    </r>
    <r>
      <rPr>
        <sz val="10"/>
        <rFont val="Arial"/>
        <family val="2"/>
      </rPr>
      <t xml:space="preserve"> When figuring which amount is smaller, treat both amounts as positive numbers.</t>
    </r>
  </si>
  <si>
    <t>Do you have qualified dividends on Form 1040, 1040-SR, or 1040-NR, line 3a?</t>
  </si>
  <si>
    <t>for Form 1040 or 1040-SR, line 16.</t>
  </si>
  <si>
    <r>
      <t xml:space="preserve">value closing inventory    </t>
    </r>
    <r>
      <rPr>
        <b/>
        <sz val="10"/>
        <rFont val="Arial"/>
        <family val="2"/>
      </rPr>
      <t>a</t>
    </r>
  </si>
  <si>
    <t xml:space="preserve">Cost </t>
  </si>
  <si>
    <r>
      <t xml:space="preserve">value closing inventory     </t>
    </r>
    <r>
      <rPr>
        <b/>
        <sz val="10"/>
        <rFont val="Arial"/>
        <family val="2"/>
      </rPr>
      <t>a</t>
    </r>
  </si>
  <si>
    <r>
      <t xml:space="preserve"> </t>
    </r>
    <r>
      <rPr>
        <b/>
        <sz val="10"/>
        <rFont val="Arial"/>
        <family val="2"/>
      </rPr>
      <t xml:space="preserve"> a</t>
    </r>
    <r>
      <rPr>
        <sz val="10"/>
        <rFont val="Arial"/>
        <family val="2"/>
      </rPr>
      <t xml:space="preserve">   Business</t>
    </r>
  </si>
  <si>
    <t>the amount, if any, from line 7 of that worksheet</t>
  </si>
  <si>
    <r>
      <t xml:space="preserve">If you are required to complete the </t>
    </r>
    <r>
      <rPr>
        <b/>
        <sz val="11"/>
        <rFont val="Arial"/>
        <family val="2"/>
      </rPr>
      <t>28% Rate Gain Worksheet</t>
    </r>
    <r>
      <rPr>
        <sz val="11"/>
        <rFont val="Arial"/>
        <family val="2"/>
      </rPr>
      <t xml:space="preserve"> (see instructions), enter</t>
    </r>
  </si>
  <si>
    <t>If the amount would have been a loss if you could enter a negative number on that line, enclose the amount in parentheses</t>
  </si>
  <si>
    <t xml:space="preserve">.   .   .   .   .   .   .   .   .   .   .   .   .   .   .   .   .   .   .   .   .   .   .   .   .   .   .   .   .   </t>
  </si>
  <si>
    <t xml:space="preserve">.   .   .   .   .   .   .   .   .   .   .   .   .   .   .   .   .   .   .   .   .   .   .   .   .   .   .   .   </t>
  </si>
  <si>
    <t>Before completing this worksheet, complete Form 1040 or 1040-SR through line 15.</t>
  </si>
  <si>
    <t xml:space="preserve">Enter your taxable income from Form 1040 or 1040-SR, line 15. (However, if you are filing </t>
  </si>
  <si>
    <t>Foreign Earned Income Tax Worksheet in the Instructions for Form 1040 or 1040-SR, line 16)</t>
  </si>
  <si>
    <t>Enter the amount from Form 4952 (used to figure investment interest</t>
  </si>
  <si>
    <t>include this amount on Form 1040 or 1040-SR, line 16. (If you are filing Form 2555, don't enter this amount</t>
  </si>
  <si>
    <t>Form 1040 and 1040-SR, line 16, before completing this line.</t>
  </si>
  <si>
    <r>
      <t xml:space="preserve">For each rental real estate property listed 
above, report the number of fair rental and 
personal use days. Check the </t>
    </r>
    <r>
      <rPr>
        <b/>
        <sz val="9"/>
        <rFont val="Arial"/>
        <family val="2"/>
      </rPr>
      <t>QJV</t>
    </r>
    <r>
      <rPr>
        <sz val="9"/>
        <rFont val="Arial"/>
        <family val="2"/>
      </rPr>
      <t xml:space="preserve"> box only
if you meet the requirements to file as a 
qualified joint venture. See instructions.</t>
    </r>
  </si>
  <si>
    <t>Are you reporting any loss not allowed in a prior year due to the at-risk or basis limitations, a prior year unallowed loss from a</t>
  </si>
  <si>
    <t>If you answered “Yes,” see instructions before completing this section</t>
  </si>
  <si>
    <t>passive activity (if that loss was not reported on Form 8582), or unreimbursed partnership expenses?</t>
  </si>
  <si>
    <t>Total income or (loss). Combine lines 26, 32, 37, 39, and 40. Enter the result here and on Schedule 1 (Form 1040), line 5.</t>
  </si>
  <si>
    <t>Foreign Earned Income Tax Worksheet — Line 16</t>
  </si>
  <si>
    <t>If Form 1040 or 1040-SR, line 15, is zero, do not complete this worksheet.</t>
  </si>
  <si>
    <t>Enter the amount from Form 1040 or 1040-SR, line 15</t>
  </si>
  <si>
    <t>Qualified Dividends and Capital Gain Tax Worksheet*, Schedule D Tax Worksheet*, or Form</t>
  </si>
  <si>
    <t>Form 1040 or 1040-SR, line 15, from line 4 of your Qualified Dividends and Capital Gain Tax Worksheet (line 10 of your Schedule D Tax</t>
  </si>
  <si>
    <r>
      <t>h</t>
    </r>
    <r>
      <rPr>
        <sz val="10"/>
        <rFont val="Arial"/>
        <family val="2"/>
      </rPr>
      <t xml:space="preserve">  You don't have to file Schedule D and you reported capital gain distributions on Form 1040 or 1040-SR, line 7.</t>
    </r>
  </si>
  <si>
    <t>or you have to file Form 4952,</t>
  </si>
  <si>
    <r>
      <rPr>
        <b/>
        <sz val="10"/>
        <rFont val="Arial"/>
        <family val="2"/>
      </rPr>
      <t>Note:</t>
    </r>
    <r>
      <rPr>
        <sz val="10"/>
        <rFont val="Arial"/>
        <family val="2"/>
      </rPr>
      <t xml:space="preserve"> If you had income from farming or fishing, your tax may be less if you choose to figure it using income averaging on </t>
    </r>
    <r>
      <rPr>
        <b/>
        <sz val="10"/>
        <rFont val="Arial"/>
        <family val="2"/>
      </rPr>
      <t>Schedule J</t>
    </r>
    <r>
      <rPr>
        <sz val="10"/>
        <rFont val="Arial"/>
        <family val="2"/>
      </rPr>
      <t>.</t>
    </r>
  </si>
  <si>
    <t>(Form 1040, Schedule J, Income Averaging for Farmers and Fishermen, is NOT included in this spreadsheet.)</t>
  </si>
  <si>
    <t>Qualified Dividends and Capital Gain Tax Worksheet—Line 16</t>
  </si>
  <si>
    <t>you checked the box on Form 1040 or 1040-SR, line 7.</t>
  </si>
  <si>
    <t>Enter the amount from Form 1040 or 1040-SR, line 15.  However, if you are filing Form</t>
  </si>
  <si>
    <t>1040-SR, line 7</t>
  </si>
  <si>
    <t>Subtract line 4 from line 1.  If zero or less, enter -0-</t>
  </si>
  <si>
    <t>Subtract line 8 from line 7. This amount is taxed at 0%</t>
  </si>
  <si>
    <t>Enter the smaller of line 5 or line 7</t>
  </si>
  <si>
    <t>Enter the smaller of line 1 or line 4</t>
  </si>
  <si>
    <t>Enter the amount from line 9</t>
  </si>
  <si>
    <t>Subtract line 11 from line 10</t>
  </si>
  <si>
    <t>Enter the smaller of line 1 or line 13</t>
  </si>
  <si>
    <t>Add lines 9 and 17</t>
  </si>
  <si>
    <t>Subtract line 15 from line 14. If zero or less, enter -0-</t>
  </si>
  <si>
    <t>Enter the smaller of line 12 or line 16</t>
  </si>
  <si>
    <t>Subtract line 19 from line 10</t>
  </si>
  <si>
    <t>Figure the tax on the amount on line 5. If the amount on line 5 is less than $100,000, use the Tax</t>
  </si>
  <si>
    <t>Table to figure this tax. If the amount on line 5 is $100,000 or more, use the Tax Computation</t>
  </si>
  <si>
    <t>CGTW_Line5</t>
  </si>
  <si>
    <t>Add lines 5 and 9</t>
  </si>
  <si>
    <t>Add lines 18, 21, and 22</t>
  </si>
  <si>
    <t>Tax on Line 5.</t>
  </si>
  <si>
    <t>Amount from Form 1040, Line 3a.</t>
  </si>
  <si>
    <t>Amount from Form 1040, Line 7, or smallest of Sch. D, Line 15 or 16.</t>
  </si>
  <si>
    <t>Subtract line 13 from 1</t>
  </si>
  <si>
    <t>Smaller of line 1 or Amt.</t>
  </si>
  <si>
    <t>Smaller of line 14 or 19</t>
  </si>
  <si>
    <t>Larger of line 18 or 20</t>
  </si>
  <si>
    <t>Enter smaller of line 1 or 13</t>
  </si>
  <si>
    <t>Amt. from line 22.</t>
  </si>
  <si>
    <t>Subt. Line 24 from 23 (&gt;=0)</t>
  </si>
  <si>
    <t>Amt. from line 26</t>
  </si>
  <si>
    <t>Smaller of line 1 or 26</t>
  </si>
  <si>
    <t>Subt. line 28 from 27. (&gt;=0)</t>
  </si>
  <si>
    <t xml:space="preserve">   30</t>
  </si>
  <si>
    <t>Subtract line 32 from 23</t>
  </si>
  <si>
    <t>Subt. line 37 from 36 (&gt;=0)</t>
  </si>
  <si>
    <t>Subt. line 38 from 35 (&gt;=0)</t>
  </si>
  <si>
    <t>Add line 21, 22, 30, 33, &amp; 39</t>
  </si>
  <si>
    <t>Subtract line 41 from 1</t>
  </si>
  <si>
    <t>Tax on Line 21</t>
  </si>
  <si>
    <t>AA91</t>
  </si>
  <si>
    <t>46.</t>
  </si>
  <si>
    <t>Add line 31, 34, 40, 43, &amp; 44</t>
  </si>
  <si>
    <t>AA71</t>
  </si>
  <si>
    <t>47.</t>
  </si>
  <si>
    <r>
      <rPr>
        <b/>
        <sz val="10"/>
        <rFont val="Arial"/>
        <family val="2"/>
      </rPr>
      <t>TAX:</t>
    </r>
    <r>
      <rPr>
        <sz val="10"/>
        <rFont val="Arial"/>
        <family val="2"/>
      </rPr>
      <t xml:space="preserve"> Smaller of line 45 or 46</t>
    </r>
  </si>
  <si>
    <t>&lt; Customize &gt;</t>
  </si>
  <si>
    <t>&lt; FEITW, Line 3 &gt;</t>
  </si>
  <si>
    <t xml:space="preserve">.   .   .   .   .   .   .   .   .   .   .   .   .   .   .   .   .   .   .   .   .   .   .   .   .   .   .   .   .   .   .   .   .   .   .   </t>
  </si>
  <si>
    <t>Enter the total of all collectibles gain or (loss) from Form 4684, line 4 (but only if Form 4684, line 15, is more than zero);</t>
  </si>
  <si>
    <r>
      <t>Form 6252; Form 6781, Part II; and Form 8824</t>
    </r>
    <r>
      <rPr>
        <b/>
        <sz val="9"/>
        <rFont val="Arial"/>
        <family val="2"/>
      </rPr>
      <t xml:space="preserve">.   .   .   .   .   .   .   .   .   .   .   .   .   .   .   .   .   .   .   .   .   .   .   .   .   </t>
    </r>
  </si>
  <si>
    <r>
      <rPr>
        <b/>
        <sz val="12"/>
        <rFont val="Arial"/>
        <family val="2"/>
      </rPr>
      <t>SCHEDULE F</t>
    </r>
    <r>
      <rPr>
        <b/>
        <sz val="10"/>
        <rFont val="Arial"/>
        <family val="2"/>
      </rPr>
      <t xml:space="preserve">
</t>
    </r>
    <r>
      <rPr>
        <b/>
        <sz val="9"/>
        <rFont val="Arial"/>
        <family val="2"/>
      </rPr>
      <t>(Form 1040)</t>
    </r>
  </si>
  <si>
    <t xml:space="preserve">.   .   .   .   .   .   .   .   </t>
  </si>
  <si>
    <t xml:space="preserve">.   .   .   .   .   .   .   .   .   .   .   .   .   .   .   .   </t>
  </si>
  <si>
    <t xml:space="preserve">.   .   .   .   .   </t>
  </si>
  <si>
    <r>
      <rPr>
        <b/>
        <sz val="10"/>
        <rFont val="Arial"/>
        <family val="2"/>
      </rPr>
      <t>6d</t>
    </r>
    <r>
      <rPr>
        <sz val="9"/>
        <rFont val="Arial"/>
        <family val="2"/>
      </rPr>
      <t xml:space="preserve">  Amount deferred from</t>
    </r>
  </si>
  <si>
    <t>Do not file Schedule F (Form 1040) to</t>
  </si>
  <si>
    <t>Schedule C (Form 1040).</t>
  </si>
  <si>
    <t>other pet animals. Instead file Schedule C (Form 1040).</t>
  </si>
  <si>
    <t>D  Employer ID number (EIN), (see instr)</t>
  </si>
  <si>
    <t>Schedule R
(Form 1040)</t>
  </si>
  <si>
    <t>Complete and attach to Form 1040.</t>
  </si>
  <si>
    <t>Subtract line 2 from line 1. Enter this amount on Schedule R (Form 1040),</t>
  </si>
  <si>
    <r>
      <t xml:space="preserve">You were under age 65, you retired on </t>
    </r>
    <r>
      <rPr>
        <b/>
        <sz val="9"/>
        <rFont val="Arial"/>
        <family val="2"/>
      </rPr>
      <t xml:space="preserve">permanent and total </t>
    </r>
    <r>
      <rPr>
        <sz val="9"/>
        <rFont val="Arial"/>
        <family val="2"/>
      </rPr>
      <t>disability, and</t>
    </r>
  </si>
  <si>
    <t>Enter the amount from Form 1040, line 18</t>
  </si>
  <si>
    <r>
      <t xml:space="preserve">For more details on what to include on line 11, see </t>
    </r>
    <r>
      <rPr>
        <sz val="9"/>
        <rFont val="Arial"/>
        <family val="2"/>
      </rPr>
      <t>Figure Your Credit</t>
    </r>
    <r>
      <rPr>
        <i/>
        <sz val="9"/>
        <rFont val="Arial"/>
        <family val="2"/>
      </rPr>
      <t xml:space="preserve"> in the instructions.</t>
    </r>
  </si>
  <si>
    <t>line 11</t>
  </si>
  <si>
    <t xml:space="preserve">Attach to Form 1040, 1040-SR,  or  1040NR.   </t>
  </si>
  <si>
    <r>
      <rPr>
        <b/>
        <sz val="10"/>
        <rFont val="Arial"/>
        <family val="2"/>
      </rPr>
      <t>Note:</t>
    </r>
    <r>
      <rPr>
        <sz val="10"/>
        <rFont val="Arial"/>
        <family val="2"/>
      </rPr>
      <t xml:space="preserve"> If your only income subject to self-employment tax is </t>
    </r>
    <r>
      <rPr>
        <b/>
        <sz val="10"/>
        <rFont val="Arial"/>
        <family val="2"/>
      </rPr>
      <t>church employee income</t>
    </r>
    <r>
      <rPr>
        <sz val="10"/>
        <rFont val="Arial"/>
        <family val="2"/>
      </rPr>
      <t>, see instructions for how to report your income</t>
    </r>
  </si>
  <si>
    <t>and the definition of church employee income.</t>
  </si>
  <si>
    <t>Skip lines 1a and 1b if you use the farm optional method in Part II. See instructions.</t>
  </si>
  <si>
    <t>Skip line 2 if you use the nonfarm optional method in Part II. See instructions.</t>
  </si>
  <si>
    <t>Otherwise, enter the amount from line 3</t>
  </si>
  <si>
    <t>definition of church employee income</t>
  </si>
  <si>
    <t>Maximum amount of combined wages and self-employment earnings subject to social security tax or</t>
  </si>
  <si>
    <t>Total social security wages and tips (total of boxes 3 and 7 on Form(s) W-2)</t>
  </si>
  <si>
    <t>Unreported tips subject to social security tax from Form 4137, line 10</t>
  </si>
  <si>
    <t>Wages subject to social security tax from Form 8919, line 10</t>
  </si>
  <si>
    <t>lines 8b through 10, and go to line 11</t>
  </si>
  <si>
    <r>
      <t xml:space="preserve"> Enter the result here and on </t>
    </r>
    <r>
      <rPr>
        <b/>
        <sz val="10"/>
        <rFont val="Arial"/>
        <family val="2"/>
      </rPr>
      <t xml:space="preserve">Schedule 1 </t>
    </r>
  </si>
  <si>
    <t>this amount on line 4b above</t>
  </si>
  <si>
    <r>
      <t xml:space="preserve">Nonfarm Optional Method.     </t>
    </r>
    <r>
      <rPr>
        <sz val="9"/>
        <rFont val="Arial"/>
        <family val="2"/>
      </rPr>
      <t xml:space="preserve">You may use this method </t>
    </r>
    <r>
      <rPr>
        <b/>
        <sz val="9"/>
        <rFont val="Arial"/>
        <family val="2"/>
      </rPr>
      <t>only</t>
    </r>
    <r>
      <rPr>
        <sz val="9"/>
        <rFont val="Arial"/>
        <family val="2"/>
      </rPr>
      <t xml:space="preserve"> if   </t>
    </r>
    <r>
      <rPr>
        <b/>
        <sz val="9"/>
        <rFont val="Arial"/>
        <family val="2"/>
      </rPr>
      <t>(a)</t>
    </r>
    <r>
      <rPr>
        <sz val="9"/>
        <rFont val="Arial"/>
        <family val="2"/>
      </rPr>
      <t xml:space="preserve"> your net nonfarm profits</t>
    </r>
    <r>
      <rPr>
        <vertAlign val="superscript"/>
        <sz val="9"/>
        <rFont val="Arial"/>
        <family val="2"/>
      </rPr>
      <t>3</t>
    </r>
    <r>
      <rPr>
        <sz val="9"/>
        <rFont val="Arial"/>
        <family val="2"/>
      </rPr>
      <t xml:space="preserve"> were  less</t>
    </r>
  </si>
  <si>
    <r>
      <t xml:space="preserve">Enter the </t>
    </r>
    <r>
      <rPr>
        <b/>
        <sz val="10"/>
        <rFont val="Arial"/>
        <family val="2"/>
      </rPr>
      <t>smaller</t>
    </r>
    <r>
      <rPr>
        <sz val="10"/>
        <rFont val="Arial"/>
        <family val="2"/>
      </rPr>
      <t xml:space="preserve"> of: two-thirds (2 ⁄3) of gross nonfarm income</t>
    </r>
    <r>
      <rPr>
        <vertAlign val="superscript"/>
        <sz val="10"/>
        <rFont val="Arial"/>
        <family val="2"/>
      </rPr>
      <t>4</t>
    </r>
    <r>
      <rPr>
        <sz val="10"/>
        <rFont val="Arial"/>
        <family val="2"/>
      </rPr>
      <t xml:space="preserve"> (not less than zero) </t>
    </r>
    <r>
      <rPr>
        <b/>
        <sz val="10"/>
        <rFont val="Arial"/>
        <family val="2"/>
      </rPr>
      <t>or</t>
    </r>
    <r>
      <rPr>
        <sz val="10"/>
        <rFont val="Arial"/>
        <family val="2"/>
      </rPr>
      <t xml:space="preserve"> the amount on</t>
    </r>
  </si>
  <si>
    <t>line 16. Also include this amount on line 4b above</t>
  </si>
  <si>
    <r>
      <t xml:space="preserve">Attachment
Sequence No. </t>
    </r>
    <r>
      <rPr>
        <b/>
        <sz val="12"/>
        <rFont val="Arial"/>
        <family val="2"/>
      </rPr>
      <t>17</t>
    </r>
  </si>
  <si>
    <t>Railroad retirement 
(tier 1) compensation</t>
  </si>
  <si>
    <t>See instructions for</t>
  </si>
  <si>
    <t>Name of person with self-employment income (as shown on Form 1040 or 1040-NR)</t>
  </si>
  <si>
    <r>
      <t xml:space="preserve">Multiply the </t>
    </r>
    <r>
      <rPr>
        <b/>
        <sz val="10"/>
        <rFont val="Arial"/>
        <family val="2"/>
      </rPr>
      <t>smaller</t>
    </r>
    <r>
      <rPr>
        <sz val="10"/>
        <rFont val="Arial"/>
        <family val="2"/>
      </rPr>
      <t xml:space="preserve"> of  line 6 or line 9 by</t>
    </r>
  </si>
  <si>
    <r>
      <rPr>
        <b/>
        <sz val="10"/>
        <rFont val="Arial"/>
        <family val="2"/>
      </rPr>
      <t>Self-employment tax.</t>
    </r>
    <r>
      <rPr>
        <sz val="10"/>
        <rFont val="Arial"/>
        <family val="2"/>
      </rPr>
      <t xml:space="preserve"> Add lines 10 and 11. Enter here and on </t>
    </r>
    <r>
      <rPr>
        <b/>
        <sz val="10"/>
        <rFont val="Arial"/>
        <family val="2"/>
      </rPr>
      <t>Schedule 2 (Form 1040), line 4</t>
    </r>
  </si>
  <si>
    <r>
      <rPr>
        <b/>
        <sz val="10"/>
        <rFont val="Arial"/>
        <family val="2"/>
      </rPr>
      <t>stop</t>
    </r>
    <r>
      <rPr>
        <sz val="10"/>
        <rFont val="Arial"/>
        <family val="2"/>
      </rPr>
      <t xml:space="preserve">; you don’t owe self-employment tax. </t>
    </r>
    <r>
      <rPr>
        <b/>
        <sz val="10"/>
        <rFont val="Arial"/>
        <family val="2"/>
      </rPr>
      <t>Exception:</t>
    </r>
    <r>
      <rPr>
        <sz val="10"/>
        <rFont val="Arial"/>
        <family val="2"/>
      </rPr>
      <t xml:space="preserve"> If</t>
    </r>
  </si>
  <si>
    <r>
      <t>Enter your</t>
    </r>
    <r>
      <rPr>
        <b/>
        <sz val="10"/>
        <rFont val="Arial"/>
        <family val="2"/>
      </rPr>
      <t xml:space="preserve">  church employee income</t>
    </r>
    <r>
      <rPr>
        <sz val="10"/>
        <rFont val="Arial"/>
        <family val="2"/>
      </rPr>
      <t xml:space="preserve">  from Form W-2.</t>
    </r>
  </si>
  <si>
    <r>
      <rPr>
        <b/>
        <sz val="10"/>
        <rFont val="Arial"/>
        <family val="2"/>
      </rPr>
      <t>other</t>
    </r>
    <r>
      <rPr>
        <sz val="10"/>
        <rFont val="Arial"/>
        <family val="2"/>
      </rPr>
      <t xml:space="preserve"> net earnings from self-employment, check here and continue with Part I</t>
    </r>
  </si>
  <si>
    <r>
      <t xml:space="preserve">If you are a minister, member of a religious order, or Christian Science practitioner </t>
    </r>
    <r>
      <rPr>
        <b/>
        <sz val="10"/>
        <rFont val="Arial"/>
        <family val="2"/>
      </rPr>
      <t>and</t>
    </r>
    <r>
      <rPr>
        <sz val="10"/>
        <rFont val="Arial"/>
        <family val="2"/>
      </rPr>
      <t xml:space="preserve"> you filed Form 4361, but you had</t>
    </r>
  </si>
  <si>
    <t>box 14, code A (for farm partnerships)</t>
  </si>
  <si>
    <r>
      <t xml:space="preserve">For </t>
    </r>
    <r>
      <rPr>
        <b/>
        <sz val="10"/>
        <rFont val="Arial"/>
        <family val="2"/>
      </rPr>
      <t>line 2</t>
    </r>
    <r>
      <rPr>
        <sz val="10"/>
        <rFont val="Arial"/>
        <family val="2"/>
      </rPr>
      <t>, enter amount from Sch. K-1 (Form 1065),</t>
    </r>
  </si>
  <si>
    <r>
      <t xml:space="preserve">For </t>
    </r>
    <r>
      <rPr>
        <b/>
        <sz val="10"/>
        <rFont val="Arial"/>
        <family val="2"/>
      </rPr>
      <t>line 1b</t>
    </r>
    <r>
      <rPr>
        <sz val="10"/>
        <rFont val="Arial"/>
        <family val="2"/>
      </rPr>
      <t>, enter amount of Conservation Reserve Program payments</t>
    </r>
  </si>
  <si>
    <r>
      <t xml:space="preserve">For </t>
    </r>
    <r>
      <rPr>
        <b/>
        <sz val="10"/>
        <rFont val="Arial"/>
        <family val="2"/>
      </rPr>
      <t>line 1a</t>
    </r>
    <r>
      <rPr>
        <sz val="10"/>
        <rFont val="Arial"/>
        <family val="2"/>
      </rPr>
      <t>, enter amount from Sch. K-1 (Form 1065),</t>
    </r>
  </si>
  <si>
    <t>box 14, code A (other than farming)</t>
  </si>
  <si>
    <r>
      <t xml:space="preserve">Enter the </t>
    </r>
    <r>
      <rPr>
        <b/>
        <sz val="10"/>
        <rFont val="Arial"/>
        <family val="2"/>
      </rPr>
      <t>smaller</t>
    </r>
    <r>
      <rPr>
        <sz val="10"/>
        <rFont val="Arial"/>
        <family val="2"/>
      </rPr>
      <t xml:space="preserve"> of: two-thirds (2 ⁄3) of gross farm income</t>
    </r>
    <r>
      <rPr>
        <vertAlign val="superscript"/>
        <sz val="10"/>
        <rFont val="Arial"/>
        <family val="2"/>
      </rPr>
      <t xml:space="preserve">1 </t>
    </r>
    <r>
      <rPr>
        <sz val="10"/>
        <rFont val="Arial"/>
        <family val="2"/>
      </rPr>
      <t xml:space="preserve">(not less than zero)  </t>
    </r>
    <r>
      <rPr>
        <b/>
        <sz val="10"/>
        <rFont val="Arial"/>
        <family val="2"/>
      </rPr>
      <t>or</t>
    </r>
  </si>
  <si>
    <t>Also, include</t>
  </si>
  <si>
    <r>
      <rPr>
        <b/>
        <sz val="10"/>
        <rFont val="Arial"/>
        <family val="2"/>
      </rPr>
      <t>Individuals:</t>
    </r>
    <r>
      <rPr>
        <sz val="10"/>
        <rFont val="Arial"/>
        <family val="2"/>
      </rPr>
      <t xml:space="preserve"> Enter the amount from line 15 of your Form 1040,</t>
    </r>
  </si>
  <si>
    <r>
      <rPr>
        <b/>
        <sz val="10"/>
        <rFont val="Arial"/>
        <family val="2"/>
      </rPr>
      <t>Individuals:</t>
    </r>
    <r>
      <rPr>
        <sz val="10"/>
        <rFont val="Arial"/>
        <family val="2"/>
      </rPr>
      <t xml:space="preserve"> Enter the total of Form 1040 or 1040-SR, line 16, and Schedule 2 (Form 1040), line 2.  If</t>
    </r>
  </si>
  <si>
    <t>you are a nonresident alien, enter the total of Form 1040-NR, line 16 and Schedule 2 (Form 1040),</t>
  </si>
  <si>
    <r>
      <t xml:space="preserve">line 2. </t>
    </r>
    <r>
      <rPr>
        <b/>
        <sz val="10"/>
        <rFont val="Arial"/>
        <family val="2"/>
      </rPr>
      <t>Estates and trusts:</t>
    </r>
    <r>
      <rPr>
        <sz val="10"/>
        <rFont val="Arial"/>
        <family val="2"/>
      </rPr>
      <t xml:space="preserve"> Enter the amount from Form 1041, Schedule G, line 1a; or the total of</t>
    </r>
  </si>
  <si>
    <r>
      <rPr>
        <b/>
        <sz val="10"/>
        <rFont val="Arial"/>
        <family val="2"/>
      </rPr>
      <t>Individuals:</t>
    </r>
    <r>
      <rPr>
        <sz val="10"/>
        <rFont val="Arial"/>
        <family val="2"/>
      </rPr>
      <t xml:space="preserve"> Enter the total of Form 1040 or 1040-SR, line 16, and Schedule 2 (Form 1040), line 2. If</t>
    </r>
  </si>
  <si>
    <t>Form 990-T, Part II, lines 2, 3, 4, and 6. Foreign estates and trusts should enter the amount from</t>
  </si>
  <si>
    <t>Form 1040-NR, line 16</t>
  </si>
  <si>
    <t>Increase in limitation (section 960(c))</t>
  </si>
  <si>
    <r>
      <t xml:space="preserve">Enter the </t>
    </r>
    <r>
      <rPr>
        <b/>
        <sz val="10"/>
        <rFont val="Arial"/>
        <family val="2"/>
      </rPr>
      <t xml:space="preserve">smaller </t>
    </r>
    <r>
      <rPr>
        <sz val="10"/>
        <rFont val="Arial"/>
        <family val="2"/>
      </rPr>
      <t>of line 14 or line 23. If this is the only Form 1116 you are filing, skip lines 25</t>
    </r>
  </si>
  <si>
    <t>through 32 and enter this amount on line 33. Otherwise, complete the appropriate line in Part IV (see</t>
  </si>
  <si>
    <t>Add lines 25 through 31</t>
  </si>
  <si>
    <r>
      <t xml:space="preserve">Enter the </t>
    </r>
    <r>
      <rPr>
        <b/>
        <sz val="10"/>
        <rFont val="Arial"/>
        <family val="2"/>
      </rPr>
      <t>smaller</t>
    </r>
    <r>
      <rPr>
        <sz val="10"/>
        <rFont val="Arial"/>
        <family val="2"/>
      </rPr>
      <t xml:space="preserve"> of line 20 or line 32</t>
    </r>
  </si>
  <si>
    <r>
      <t xml:space="preserve">Subtract line 34 from line 33. This is your </t>
    </r>
    <r>
      <rPr>
        <b/>
        <sz val="10"/>
        <rFont val="Arial"/>
        <family val="2"/>
      </rPr>
      <t>foreign tax credit</t>
    </r>
    <r>
      <rPr>
        <sz val="10"/>
        <rFont val="Arial"/>
        <family val="2"/>
      </rPr>
      <t>. Enter here and on Schedule 3 (Form</t>
    </r>
  </si>
  <si>
    <t>1040), line 1; Form 1041, Schedule G, line 2a; or Form 990-T, Part III, line 1a</t>
  </si>
  <si>
    <r>
      <rPr>
        <b/>
        <sz val="10"/>
        <rFont val="Arial"/>
        <family val="2"/>
      </rPr>
      <t>Individuals:</t>
    </r>
    <r>
      <rPr>
        <sz val="10"/>
        <rFont val="Arial"/>
        <family val="2"/>
      </rPr>
      <t xml:space="preserve"> Enter the amount from Form 1040, 1040-SR, or 1040-NR, line 15.</t>
    </r>
  </si>
  <si>
    <t>Part I. Skip lines 18 through 24. However, if you are filing more than</t>
  </si>
  <si>
    <t xml:space="preserve"> .   .   .   .   .   .   .   .   .   .   .   .   .   .   .   .   .   .   .   .   .   .   .   .   .   .   .   .   .   .   .   .   .  </t>
  </si>
  <si>
    <t>Attachment   
Sequence No.</t>
  </si>
  <si>
    <t>income without the deduction for your exemption</t>
  </si>
  <si>
    <r>
      <t xml:space="preserve">1040-SR, or 1040-NR. </t>
    </r>
    <r>
      <rPr>
        <b/>
        <sz val="10"/>
        <rFont val="Arial"/>
        <family val="2"/>
      </rPr>
      <t>Estates and trusts:</t>
    </r>
    <r>
      <rPr>
        <sz val="10"/>
        <rFont val="Arial"/>
        <family val="2"/>
      </rPr>
      <t xml:space="preserve"> Enter your taxable</t>
    </r>
  </si>
  <si>
    <r>
      <t xml:space="preserve">1040-SR, or 1040-NR. </t>
    </r>
    <r>
      <rPr>
        <b/>
        <sz val="10"/>
        <rFont val="Arial"/>
        <family val="2"/>
      </rPr>
      <t>Estates and trusts:</t>
    </r>
    <r>
      <rPr>
        <sz val="10"/>
        <rFont val="Arial"/>
        <family val="2"/>
      </rPr>
      <t xml:space="preserve">  Enter your taxable</t>
    </r>
  </si>
  <si>
    <t>Add  the  amounts  in  column (c)  of line 2.</t>
  </si>
  <si>
    <t>If married filing jointly,  enter your spouse’s earned income  (if you or your spouse was a student</t>
  </si>
  <si>
    <t>Enter the amount from Form 1040, 1040-SR, or 1040-NR, line 11</t>
  </si>
  <si>
    <r>
      <t xml:space="preserve">or was disabled, see the instructions); </t>
    </r>
    <r>
      <rPr>
        <b/>
        <sz val="10"/>
        <rFont val="Arial"/>
        <family val="2"/>
      </rPr>
      <t>all others</t>
    </r>
    <r>
      <rPr>
        <sz val="10"/>
        <rFont val="Arial"/>
        <family val="2"/>
      </rPr>
      <t>, enter the amount from line 4</t>
    </r>
  </si>
  <si>
    <t xml:space="preserve">  .   .   .   .   .   .   .   .   . </t>
  </si>
  <si>
    <t>on Schedule 3 (Form 1040), line 2</t>
  </si>
  <si>
    <t>amount on Form 1040 or 1040-SR, line 1; or Form 1040-NR, line 1a. On the dotted line next</t>
  </si>
  <si>
    <t>to Form 1040 or 1040-SR, line 1; or Form 1040-NR, line 1a, enter “DCB”</t>
  </si>
  <si>
    <r>
      <t xml:space="preserve">Note: </t>
    </r>
    <r>
      <rPr>
        <sz val="12"/>
        <rFont val="Arial"/>
        <family val="2"/>
      </rPr>
      <t>U.S. citizens and all resident aliens can use this test. See instructions.</t>
    </r>
  </si>
  <si>
    <r>
      <rPr>
        <b/>
        <sz val="11"/>
        <rFont val="Arial"/>
        <family val="2"/>
      </rPr>
      <t xml:space="preserve">Note: </t>
    </r>
    <r>
      <rPr>
        <sz val="11"/>
        <rFont val="Arial"/>
        <family val="2"/>
      </rPr>
      <t>The housing deduction is figured in Part IX. If you choose to claim the foreign earned income</t>
    </r>
  </si>
  <si>
    <t>exclusion, complete Parts VII and VIII before Part IX.</t>
  </si>
  <si>
    <t>Deductions allowed in figuring your adjusted gross income (Form 1040 or 1040-SR, line 11) that are</t>
  </si>
  <si>
    <r>
      <t>Taxpayers Claiming the Housing Deduction</t>
    </r>
    <r>
      <rPr>
        <sz val="12"/>
        <rFont val="Arial"/>
        <family val="2"/>
      </rPr>
      <t>—Complete this part only if (a) line 33 is more than line 36, and
(b) line 27 is more than line 43.</t>
    </r>
  </si>
  <si>
    <r>
      <rPr>
        <b/>
        <sz val="11"/>
        <rFont val="Arial"/>
        <family val="2"/>
      </rPr>
      <t xml:space="preserve">Note:  </t>
    </r>
    <r>
      <rPr>
        <sz val="11"/>
        <rFont val="Arial"/>
        <family val="2"/>
      </rPr>
      <t xml:space="preserve">If line 47 is </t>
    </r>
    <r>
      <rPr>
        <b/>
        <sz val="11"/>
        <rFont val="Arial"/>
        <family val="2"/>
      </rPr>
      <t>more</t>
    </r>
    <r>
      <rPr>
        <sz val="11"/>
        <rFont val="Arial"/>
        <family val="2"/>
      </rPr>
      <t xml:space="preserve"> </t>
    </r>
    <r>
      <rPr>
        <b/>
        <sz val="11"/>
        <rFont val="Arial"/>
        <family val="2"/>
      </rPr>
      <t xml:space="preserve">than </t>
    </r>
    <r>
      <rPr>
        <sz val="11"/>
        <rFont val="Arial"/>
        <family val="2"/>
      </rPr>
      <t xml:space="preserve">line 48 and you couldn't  deduct </t>
    </r>
  </si>
  <si>
    <t>the result here. (If less than zero, enter as a negative amount.)</t>
  </si>
  <si>
    <t>If filing Schedule A (Form 1040), enter the taxes from Schedule A, line 7; otherwise, enter the amount from</t>
  </si>
  <si>
    <t>Tax refund from Schedule 1 (Form 1040), line 1 or line 8</t>
  </si>
  <si>
    <t>Enter the amount from Form 1040, line 15, if more than zero. If Form 1040, line 15,</t>
  </si>
  <si>
    <t>is zero, subtract lines 12 and 13 of Form 1040 from line 11 of Form 1040 and enter</t>
  </si>
  <si>
    <t>Form 1040, line 12</t>
  </si>
  <si>
    <t>Net operating loss deduction from Schedule 1 (Form 1040), line 8.</t>
  </si>
  <si>
    <t>Enter the amount from Schedule D (Form 1040), line 19  (as refigured for the AMT, if</t>
  </si>
  <si>
    <t>amount from Form 1040, line 11b; if zero or less, enter -0-. If you are filing Form 2555,</t>
  </si>
  <si>
    <t>qualified dividends on Form 1040, line 3a; or you had a gain on both lines 15 and 16 of Schedule D</t>
  </si>
  <si>
    <t>(Form 1040)(as refigured for the AMT, if necessary), enter the amount from line 3 of this worksheet</t>
  </si>
  <si>
    <t>If you reported capital gain distributions directly on Form 1040 or 1040-SR, line 7; you reported</t>
  </si>
  <si>
    <t>If you are filing Form 2555, see instructions for the amount to enter.</t>
  </si>
  <si>
    <t>qualified dividends on Form 1040 or 1040-SR, line 3a; or you had a gain on both lines 15 and</t>
  </si>
  <si>
    <t>16 of Schedule D (Form 1040) (as refigured for the AMT, if necessary), complete Part III on the</t>
  </si>
  <si>
    <t>back and enter the amount from line 40 here.</t>
  </si>
  <si>
    <t>married filing separately) from the result.</t>
  </si>
  <si>
    <t>Add Form 1040 or 1040-SR, line 16 (minus any tax from Form 4972), and Schedule 2 (Form 1040), line 2.</t>
  </si>
  <si>
    <t>Subtract from the result any foreign tax credit from Schedule 3 (Form 1040), line 1. If you used Schedule J</t>
  </si>
  <si>
    <t>to figure your tax on Form 1040 or 1040-SR, line 16, refigure that tax without using Schedule J before</t>
  </si>
  <si>
    <t>completing this line (see instructions)</t>
  </si>
  <si>
    <t>Enter the amount from line 4 of the Qualified Dividends and Capital Gain Tax Worksheet in the Instructions</t>
  </si>
  <si>
    <t>for Forms 1040 and 1040-SR or the amount from line 13 of the Schedule D Tax Worksheet in the</t>
  </si>
  <si>
    <t>Instructions for Schedule D (Form 1040), whichever applies (as refigured for the AMT, if necessary) (see</t>
  </si>
  <si>
    <r>
      <t xml:space="preserve">from line 13. Otherwise, add lines 13 and 14, and enter the </t>
    </r>
    <r>
      <rPr>
        <b/>
        <sz val="10"/>
        <rFont val="Arial"/>
        <family val="2"/>
      </rPr>
      <t xml:space="preserve">smaller </t>
    </r>
    <r>
      <rPr>
        <sz val="10"/>
        <rFont val="Arial"/>
        <family val="2"/>
      </rPr>
      <t>of that result or the amount from line 10</t>
    </r>
  </si>
  <si>
    <t>of the Schedule D Tax Worksheet (as refigured for the AMT, if necessary). If you are filing Form 2555,</t>
  </si>
  <si>
    <t>Enter the amount from line 5 of the Qualified Dividends and Capital Gain Tax Worksheet or the amount from</t>
  </si>
  <si>
    <t>complete either worksheet for the regular tax, enter the amount from Form 1040 or 1040-SR, line 15; if</t>
  </si>
  <si>
    <t>Enter the amount from line 5 of the Qualified Dividends &amp; Capital Gain Tax Worksheet or the amount from</t>
  </si>
  <si>
    <t>Skip lines 1 and 2; subtract Form 1040 or 1040-SR, line 13, or Form 1040-NR, line 13a, from Form</t>
  </si>
  <si>
    <t>1040, 1040-SR, or 1040-NR, line 11, and enter the result on line 3 and go to line 4.</t>
  </si>
  <si>
    <t>Enter the amount from Form 1040, line 7</t>
  </si>
  <si>
    <t>Add Form 1040, 1040-SR, or 1040-NR, line 16 (minus any tax from Form 4972), and Schedule 2, line 2.</t>
  </si>
  <si>
    <t xml:space="preserve"> without using Schedule J before including it in this calculation)</t>
  </si>
  <si>
    <t>(If you used Schedule J to figure your tax on the entry space on Form 1040, 1040-SR, or 1040-NR, line 16, refigure that tax</t>
  </si>
  <si>
    <t>Also, enter this amount on Form 6251, line 5, and</t>
  </si>
  <si>
    <t>If you reported capital gain distributions directly on Form 1040 or 1040-SR, line 7; or you reported</t>
  </si>
  <si>
    <t>Form 1040, 1040-SR, or 1040-NR, line 4b</t>
  </si>
  <si>
    <t>(see instructions).</t>
  </si>
  <si>
    <r>
      <t xml:space="preserve">If line 21 is zero, </t>
    </r>
    <r>
      <rPr>
        <b/>
        <sz val="11"/>
        <rFont val="Arial"/>
        <family val="2"/>
      </rPr>
      <t>stop here</t>
    </r>
  </si>
  <si>
    <r>
      <t xml:space="preserve">Form 1040, 1040-SR, </t>
    </r>
    <r>
      <rPr>
        <b/>
        <sz val="11"/>
        <rFont val="Arial"/>
        <family val="2"/>
      </rPr>
      <t>or</t>
    </r>
    <r>
      <rPr>
        <sz val="11"/>
        <rFont val="Arial"/>
        <family val="2"/>
      </rPr>
      <t xml:space="preserve"> 1040-NR, line 4b</t>
    </r>
  </si>
  <si>
    <t>distribution, one-time distribution to fund an HSA, conversion, recharacterization, or return of certain contributions.</t>
  </si>
  <si>
    <t xml:space="preserve">.   .   .   .   .   .   .   .   .   .   .   .   .   .   .   .   .   .   .   .   .   .   .   .   .   .   .  </t>
  </si>
  <si>
    <t xml:space="preserve">.   .   .   .   .   .   .   .   .   .   .   .   .   .   .   .   .   .   .   .   .   .   .   .   .   .   .   </t>
  </si>
  <si>
    <t>Internal Revenue Service   (99)</t>
  </si>
  <si>
    <t>Enter the amount from Form 1040 or 1040-SR, line 11. If you’re filing Form</t>
  </si>
  <si>
    <r>
      <rPr>
        <b/>
        <sz val="11"/>
        <rFont val="Arial"/>
        <family val="2"/>
      </rPr>
      <t>stop</t>
    </r>
    <r>
      <rPr>
        <sz val="11"/>
        <rFont val="Arial"/>
        <family val="2"/>
      </rPr>
      <t>; you can’t take any education</t>
    </r>
  </si>
  <si>
    <r>
      <t>Multiply line 1 by line 6.</t>
    </r>
    <r>
      <rPr>
        <b/>
        <sz val="11"/>
        <rFont val="Arial"/>
        <family val="2"/>
      </rPr>
      <t xml:space="preserve"> Caution:</t>
    </r>
    <r>
      <rPr>
        <sz val="11"/>
        <rFont val="Arial"/>
        <family val="2"/>
      </rPr>
      <t xml:space="preserve"> If you were under age 24 at the end of the year </t>
    </r>
    <r>
      <rPr>
        <b/>
        <sz val="11"/>
        <rFont val="Arial"/>
        <family val="2"/>
      </rPr>
      <t>and</t>
    </r>
    <r>
      <rPr>
        <sz val="11"/>
        <rFont val="Arial"/>
        <family val="2"/>
      </rPr>
      <t xml:space="preserve"> meet the</t>
    </r>
  </si>
  <si>
    <r>
      <t xml:space="preserve">conditions described in the instructions, you </t>
    </r>
    <r>
      <rPr>
        <b/>
        <sz val="11"/>
        <rFont val="Arial"/>
        <family val="2"/>
      </rPr>
      <t>can’t</t>
    </r>
    <r>
      <rPr>
        <sz val="11"/>
        <rFont val="Arial"/>
        <family val="2"/>
      </rPr>
      <t xml:space="preserve"> take the refundable American opportunity credit;</t>
    </r>
  </si>
  <si>
    <t>on Form 1040 or 1040-SR, line 29. Then go to line 9 below</t>
  </si>
  <si>
    <t>Enter the amount from Form 1040 or 1040-SR, line 11. If you're filing Form</t>
  </si>
  <si>
    <r>
      <rPr>
        <b/>
        <sz val="11"/>
        <rFont val="Arial"/>
        <family val="2"/>
      </rPr>
      <t>Nonrefundable education credits.</t>
    </r>
    <r>
      <rPr>
        <sz val="11"/>
        <rFont val="Arial"/>
        <family val="2"/>
      </rPr>
      <t xml:space="preserve"> Enter the amount from line 7 of the Credit Limit Worksheet (see</t>
    </r>
  </si>
  <si>
    <t>instructions) here and on Schedule 3 (Form 1040), line 3</t>
  </si>
  <si>
    <r>
      <t xml:space="preserve">Student and Educational Institution Information. </t>
    </r>
    <r>
      <rPr>
        <sz val="14"/>
        <rFont val="Arial"/>
        <family val="2"/>
      </rPr>
      <t>See instructions.</t>
    </r>
  </si>
  <si>
    <r>
      <t xml:space="preserve">You </t>
    </r>
    <r>
      <rPr>
        <b/>
        <sz val="12"/>
        <rFont val="Arial"/>
        <family val="2"/>
      </rPr>
      <t>can't</t>
    </r>
    <r>
      <rPr>
        <sz val="12"/>
        <rFont val="Arial"/>
        <family val="2"/>
      </rPr>
      <t xml:space="preserve"> take the American opportunity credit and the lifetime learning credit for the </t>
    </r>
    <r>
      <rPr>
        <b/>
        <sz val="12"/>
        <rFont val="Arial"/>
        <family val="2"/>
      </rPr>
      <t>same student</t>
    </r>
    <r>
      <rPr>
        <sz val="12"/>
        <rFont val="Arial"/>
        <family val="2"/>
      </rPr>
      <t xml:space="preserve"> in the same year.</t>
    </r>
  </si>
  <si>
    <t>If you complete lines 27 through 30 for this student, don’t complete line 31.</t>
  </si>
  <si>
    <t>include any amount contributed to your spouse’s Archer MSAs</t>
  </si>
  <si>
    <t>Enter the amount from line 5. But if you and your spouse each have separate HSAs and had family</t>
  </si>
  <si>
    <r>
      <rPr>
        <sz val="9"/>
        <rFont val="Arial"/>
        <family val="2"/>
      </rPr>
      <t xml:space="preserve">enter </t>
    </r>
    <r>
      <rPr>
        <b/>
        <sz val="10"/>
        <rFont val="Arial"/>
        <family val="2"/>
      </rPr>
      <t xml:space="preserve">.   .   .   .   .  </t>
    </r>
  </si>
  <si>
    <r>
      <rPr>
        <b/>
        <sz val="10"/>
        <rFont val="Arial"/>
        <family val="2"/>
      </rPr>
      <t>Caution:</t>
    </r>
    <r>
      <rPr>
        <sz val="9"/>
        <rFont val="Arial"/>
        <family val="2"/>
      </rPr>
      <t xml:space="preserve">  If line 2 is more than line 13, you may have to pay an additional tax.  See instructions.</t>
    </r>
  </si>
  <si>
    <r>
      <rPr>
        <b/>
        <sz val="11"/>
        <rFont val="Arial"/>
        <family val="2"/>
      </rPr>
      <t xml:space="preserve"> Income and Additional Tax for Failure To Maintain HDHP Coverage</t>
    </r>
    <r>
      <rPr>
        <sz val="11"/>
        <rFont val="Arial"/>
        <family val="2"/>
      </rPr>
      <t>. See the instructions before</t>
    </r>
  </si>
  <si>
    <t>Social security number of HSA beneficiary. If both spouses have HSAs, see instructions</t>
  </si>
  <si>
    <r>
      <rPr>
        <b/>
        <sz val="10"/>
        <rFont val="Arial"/>
        <family val="2"/>
      </rPr>
      <t>Note.</t>
    </r>
    <r>
      <rPr>
        <sz val="10"/>
        <rFont val="Arial"/>
        <family val="2"/>
      </rPr>
      <t xml:space="preserve"> If you checked Box A above but the basis reported to the IRS was incorrect, enter in column (e) the basis as reported to the IRS, and enter an adjustment in column (g) to correct the basis. See </t>
    </r>
    <r>
      <rPr>
        <i/>
        <sz val="10"/>
        <rFont val="Arial"/>
        <family val="2"/>
      </rPr>
      <t>Column (g)</t>
    </r>
    <r>
      <rPr>
        <sz val="10"/>
        <rFont val="Arial"/>
        <family val="2"/>
      </rPr>
      <t xml:space="preserve"> in the separate instructions for how to figure the amount of the adjustment.</t>
    </r>
  </si>
  <si>
    <t>Before you check Box A, B, or C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</si>
  <si>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Before you check Box D, E, or F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</si>
  <si>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Your social security number or EIN</t>
  </si>
  <si>
    <t xml:space="preserve"> (b) a trade or business of trading in financial instruments or commodities.  (See IRS Form 8960 instructions for more detail.)</t>
  </si>
  <si>
    <t>Line 7, Capital gains</t>
  </si>
  <si>
    <t>Line 11, Adjusted gross income</t>
  </si>
  <si>
    <t>amount on Form 1041-QFT, line 15, and</t>
  </si>
  <si>
    <t>Stop here.</t>
  </si>
  <si>
    <t>If line 25 is greater than line 24,</t>
  </si>
  <si>
    <t>leave this line blank and continue to line 27</t>
  </si>
  <si>
    <t>(Form 1040) line 2</t>
  </si>
  <si>
    <t xml:space="preserve">.   .   .   .   .   .   .   .   .   .   .   .   .   .   .   .   .   .   .   .   .   .   .   .   .   .   .   .   .   .   .   .   .   .   .   .   .   .   .   .   .   .   . </t>
  </si>
  <si>
    <r>
      <rPr>
        <sz val="8"/>
        <rFont val="Arial"/>
        <family val="2"/>
      </rPr>
      <t xml:space="preserve">Form </t>
    </r>
    <r>
      <rPr>
        <b/>
        <sz val="14"/>
        <rFont val="Arial"/>
        <family val="2"/>
      </rPr>
      <t>8962</t>
    </r>
  </si>
  <si>
    <t>Enter your adjusted gross income (AGI)* from Form 1040,</t>
  </si>
  <si>
    <t>1040-SR, or Form 1040-NR, line 11.  .  .  .  .  .  .  .</t>
  </si>
  <si>
    <t>Enter any tax-exempt interest from Form 1040,</t>
  </si>
  <si>
    <t>1040-SR, Form 1040-NR, line 2a.  .  .</t>
  </si>
  <si>
    <r>
      <rPr>
        <b/>
        <sz val="9"/>
        <rFont val="Arial"/>
        <family val="2"/>
      </rPr>
      <t>Form 1040 or 1040-SR filers:</t>
    </r>
    <r>
      <rPr>
        <sz val="9"/>
        <rFont val="Arial"/>
        <family val="2"/>
      </rPr>
      <t xml:space="preserve"> If line 6a is more than</t>
    </r>
  </si>
  <si>
    <t>line 6b, subtract line 6b from line 6a and enter the</t>
  </si>
  <si>
    <t>Enter the AGI* for your dependents from Form 1040,</t>
  </si>
  <si>
    <t>1040-SR, or Form 1040-NR, line 11.  .  .  .  .  .  .  .  .  .  .  .  .  .  .  .  .  .  .  .  .  .  .  .  .  .  .  .  .</t>
  </si>
  <si>
    <t>from Form 1040, 1040-SR, or Form 1040-NR,</t>
  </si>
  <si>
    <t>line 2a.  .  .  .  .  .  .  .  .  .  .  .  .  .  .  .  .  .  .  .  .  .  .  .  .  .  .  .  .</t>
  </si>
  <si>
    <t>If line 6a is more than Form 1040, line 6b,</t>
  </si>
  <si>
    <t>subtract line 6b from line 6a and enter the result.  .  .  .</t>
  </si>
  <si>
    <t>Fam. Size</t>
  </si>
  <si>
    <t>Total qualified REIT dividends and PTP (loss) carryforward. Combine lines 6 &amp; 7.  If greater than</t>
  </si>
  <si>
    <t>Total qualified business (loss) carryforward. Combine lines 2 and 3. If greater than zero, enter -0-</t>
  </si>
  <si>
    <t>Total qualified business income. Combine lines 2 &amp; 3. If zero or less, enter -0-</t>
  </si>
  <si>
    <t>on the applicable line of your return</t>
  </si>
  <si>
    <r>
      <t xml:space="preserve"> </t>
    </r>
    <r>
      <rPr>
        <sz val="9"/>
        <rFont val="Arial"/>
        <family val="2"/>
      </rPr>
      <t>Form</t>
    </r>
  </si>
  <si>
    <t>Line 16 (QDCG Tax)</t>
  </si>
  <si>
    <r>
      <t>Tax on all taxable income.</t>
    </r>
    <r>
      <rPr>
        <sz val="9"/>
        <rFont val="Arial"/>
        <family val="2"/>
      </rPr>
      <t xml:space="preserve">  Enter the </t>
    </r>
    <r>
      <rPr>
        <b/>
        <sz val="9"/>
        <rFont val="Arial"/>
        <family val="2"/>
      </rPr>
      <t>smaller</t>
    </r>
    <r>
      <rPr>
        <sz val="9"/>
        <rFont val="Arial"/>
        <family val="2"/>
      </rPr>
      <t xml:space="preserve"> of line 23 or line 24.   Also include this amount on the entry</t>
    </r>
  </si>
  <si>
    <t>space for Form 1040 or 1040-SR, line 16.  If you are filing Form 2555, do not enter this amount on the</t>
  </si>
  <si>
    <t>Tax Worksheet</t>
  </si>
  <si>
    <t>entry space on Form 1040 or 1040-SR, line 16. Instead, enter it on line 4 of the Foreign Earned Income</t>
  </si>
  <si>
    <t xml:space="preserve">.    .    .    .    .    .    .    .    .    .    .    .    .    .    .    .    .    .    .    .    .    .    .    .    .    .    .    .    .    .    .    .    . </t>
  </si>
  <si>
    <t>8615, whichever applies. See the instructions for Form 1040 or 1040-SR, line 16 to see which tax</t>
  </si>
  <si>
    <t>Line 7*   +</t>
  </si>
  <si>
    <t>*If line 7 is a loss, enter -0-.</t>
  </si>
  <si>
    <t>Enter any amount included on Form 1040 or</t>
  </si>
  <si>
    <t>1040-SR, line 1, that is a Medicaid waiver</t>
  </si>
  <si>
    <t>payment you exclude from income (see the</t>
  </si>
  <si>
    <t>instructions for Schedule 1, line 8), unless you</t>
  </si>
  <si>
    <t>choose to include this amount in earned income,</t>
  </si>
  <si>
    <t>in which case enter zero</t>
  </si>
  <si>
    <t>Add lines 2, 3, 4, and 5.</t>
  </si>
  <si>
    <t>Subtract line 6 from line 1</t>
  </si>
  <si>
    <t>Home mortgage interest</t>
  </si>
  <si>
    <t>Enter the amount from Form 1040 or 1040-SR, line 11.</t>
  </si>
  <si>
    <t>Line 27</t>
  </si>
  <si>
    <t>- Statutory Employees Filing Schedule C</t>
  </si>
  <si>
    <t>Enter the amount from Schedule C, line 1, that</t>
  </si>
  <si>
    <t>line 27.</t>
  </si>
  <si>
    <r>
      <rPr>
        <b/>
        <sz val="10"/>
        <rFont val="Arial"/>
        <family val="2"/>
      </rPr>
      <t>No.</t>
    </r>
    <r>
      <rPr>
        <sz val="10"/>
        <rFont val="Arial"/>
        <family val="2"/>
      </rPr>
      <t xml:space="preserve">   STOP  You can't take the credit. Enter “No” in the space to the left of Form 1040, line 27.</t>
    </r>
  </si>
  <si>
    <t>Complete lines 4a through 4e if you gave less than an entire interest in a property listed in Section B, Part I.</t>
  </si>
  <si>
    <t>Complete lines 5a through 5c if conditions were placed on a contribution listed in Section B, Part I; also</t>
  </si>
  <si>
    <t>attach the required statement. See instructions.</t>
  </si>
  <si>
    <r>
      <t>Taxpayer (Donor) Statement—</t>
    </r>
    <r>
      <rPr>
        <sz val="12"/>
        <rFont val="Arial"/>
        <family val="2"/>
      </rPr>
      <t>List each item included in Section B, Part I above that the appraisal identifies</t>
    </r>
  </si>
  <si>
    <t>as having a value of $500 or less. See instructions.</t>
  </si>
  <si>
    <t>I declare that the following item(s) included in Section B, Part I above has to the best of my knowledge and belief an appraised value</t>
  </si>
  <si>
    <t>of not more than $500 (per item). Enter identifying letter from Section B, Part I and describe the specific item. See instructions.</t>
  </si>
  <si>
    <t>Declaration of Appraiser</t>
  </si>
  <si>
    <t>Donee Acknowledgment</t>
  </si>
  <si>
    <t>as described in Section B, Part I, above on the following date</t>
  </si>
  <si>
    <t>Furthermore, this organization affirms that in the event it sells, exchanges, or otherwise disposes of the property described in Section B, Part I</t>
  </si>
  <si>
    <t>donor a copy of that form. This acknowledgment does not represent agreement with the claimed fair market value.</t>
  </si>
  <si>
    <r>
      <t xml:space="preserve">(or any portion thereof) within 3 years after the date of receipt, it will file </t>
    </r>
    <r>
      <rPr>
        <b/>
        <sz val="10"/>
        <rFont val="Arial"/>
        <family val="2"/>
      </rPr>
      <t>Form 8282</t>
    </r>
    <r>
      <rPr>
        <sz val="10"/>
        <rFont val="Arial"/>
        <family val="2"/>
      </rPr>
      <t>, Donee Information Return, with the IRS and give the</t>
    </r>
  </si>
  <si>
    <t>Clothing and household items</t>
  </si>
  <si>
    <t>(h) Amount claimed 
as a deduction 
(see instructions)</t>
  </si>
  <si>
    <t>(d) Date acquired
by donor
(mo., yr.)</t>
  </si>
  <si>
    <t>Partial Interests and Restricted Use Property (Other Than Qualified Conservation Contributions)—</t>
  </si>
  <si>
    <t>Enter the letter from Section B, Part I that identifies the property for which you gave less than an entire interest</t>
  </si>
  <si>
    <t>If Section B, Part II applies to more than one property, attach a separate statement.</t>
  </si>
  <si>
    <t>Is there a restriction, either temporary or permanent, on the donee’s right to use or dispose of the donated property?</t>
  </si>
  <si>
    <t>Information on Donated Property</t>
  </si>
  <si>
    <t>*Art includes paintings, sculptures, watercolors, prints, drawings, ceramics, antiques, decorative arts, textiles, carpets, silver, rare manuscripts,</t>
  </si>
  <si>
    <t>historical memorabilia, and other similar objects.</t>
  </si>
  <si>
    <r>
      <rPr>
        <b/>
        <sz val="11"/>
        <rFont val="Arial"/>
        <family val="2"/>
      </rPr>
      <t xml:space="preserve">Note. </t>
    </r>
    <r>
      <rPr>
        <sz val="11"/>
        <rFont val="Arial"/>
        <family val="2"/>
      </rPr>
      <t xml:space="preserve"> In certain cases, you must attach a qualified appraisal of the property.  See instructions.</t>
    </r>
  </si>
  <si>
    <t>Be sure you have read the 10-item list in the instructions for this line. You may not be able to use this worksheet.</t>
  </si>
  <si>
    <t>Enter the amount from Form 1040 or 1040-SR, line 9</t>
  </si>
  <si>
    <t xml:space="preserve"> .   .   .   .   .   .   .   .   .   .   .   .   </t>
  </si>
  <si>
    <r>
      <rPr>
        <b/>
        <sz val="9"/>
        <rFont val="Arial"/>
        <family val="2"/>
      </rPr>
      <t xml:space="preserve">Don't </t>
    </r>
    <r>
      <rPr>
        <sz val="9"/>
        <rFont val="Arial"/>
        <family val="2"/>
      </rPr>
      <t>include this amount in figuring any other deduction on your return (such as on Schedule A, C, E, etc.)</t>
    </r>
  </si>
  <si>
    <t>W-2 SS W&amp;T</t>
  </si>
  <si>
    <t>Sch. F Line 34</t>
  </si>
  <si>
    <t>BOTH</t>
  </si>
  <si>
    <t>Use which SSN?</t>
  </si>
  <si>
    <t>Your's</t>
  </si>
  <si>
    <t>Your spouse's</t>
  </si>
  <si>
    <t>Line</t>
  </si>
  <si>
    <t>Source</t>
  </si>
  <si>
    <t>8a.</t>
  </si>
  <si>
    <t>from Sch. F, line 4b, or Sch. K-1, box 20, code AH</t>
  </si>
  <si>
    <t>Sch. C1 Line 31</t>
  </si>
  <si>
    <t>Sch. C2 Line 31</t>
  </si>
  <si>
    <t>Input to Form 2441</t>
  </si>
  <si>
    <t>You (Line 5)</t>
  </si>
  <si>
    <t>Spouse (Line 6)</t>
  </si>
  <si>
    <t>Combined</t>
  </si>
  <si>
    <t>Sch. SE 1</t>
  </si>
  <si>
    <t>Sch. SE 2</t>
  </si>
  <si>
    <t>#1</t>
  </si>
  <si>
    <t>#2</t>
  </si>
  <si>
    <t>Neither</t>
  </si>
  <si>
    <t>Sch. C1 &amp; C2 Line 31</t>
  </si>
  <si>
    <t>Note: Information from these check boxes are used in:  
Sch. SE, Section B, Line 8a, and  
Form 2441, Lines 4 and 5.</t>
  </si>
  <si>
    <t>Sch C1 St Emp</t>
  </si>
  <si>
    <t>Sch C2 St Emp</t>
  </si>
  <si>
    <t>Sch C1 &amp; C2 St Emp</t>
  </si>
  <si>
    <t>This Schedule SE is being completed for:</t>
  </si>
  <si>
    <t>Schedule SE #1</t>
  </si>
  <si>
    <t>Schedule SE #2</t>
  </si>
  <si>
    <t>Sch. SE #1 Line 12</t>
  </si>
  <si>
    <t>Sch. SE #1 Line 13</t>
  </si>
  <si>
    <t>Sch. SE #2 Line 12</t>
  </si>
  <si>
    <t>Sch. SE #2 Line 13</t>
  </si>
  <si>
    <t>Sch. SE, line 13 (Sum of both forms)</t>
  </si>
  <si>
    <t>Self-employment income from Schedule SE (Form 1040), Part I, line 6. If you</t>
  </si>
  <si>
    <t>had a loss, enter -0- (Form 1040-PR or 1040-SS filers, see instructions.)</t>
  </si>
  <si>
    <t>Sch. SE Line 5b</t>
  </si>
  <si>
    <t>Sch. SE Line 6</t>
  </si>
  <si>
    <t>with federal income tax withholding on Form 1040, 1040-SR, or 1040-NR, line 25c</t>
  </si>
  <si>
    <t>(Form 1040-PR or 1040-SS filers, see instructions)</t>
  </si>
  <si>
    <r>
      <t xml:space="preserve">Be sure to enter </t>
    </r>
    <r>
      <rPr>
        <u/>
        <sz val="10"/>
        <rFont val="Arial"/>
        <family val="2"/>
      </rPr>
      <t>your</t>
    </r>
    <r>
      <rPr>
        <sz val="10"/>
        <rFont val="Arial"/>
        <family val="2"/>
      </rPr>
      <t xml:space="preserve"> information in Rows 2 through 24 and your </t>
    </r>
    <r>
      <rPr>
        <u/>
        <sz val="10"/>
        <rFont val="Arial"/>
        <family val="2"/>
      </rPr>
      <t>spouse's</t>
    </r>
    <r>
      <rPr>
        <sz val="10"/>
        <rFont val="Arial"/>
        <family val="2"/>
      </rPr>
      <t xml:space="preserve"> information into Rows 31 through 53.</t>
    </r>
  </si>
  <si>
    <t>Your SSN</t>
  </si>
  <si>
    <t>Spouse's SSN</t>
  </si>
  <si>
    <r>
      <t xml:space="preserve">Filing status:  </t>
    </r>
    <r>
      <rPr>
        <b/>
        <sz val="10"/>
        <rFont val="Courier New"/>
        <family val="3"/>
      </rPr>
      <t>Married Filing Jointly</t>
    </r>
  </si>
  <si>
    <r>
      <t xml:space="preserve">Filing status:  </t>
    </r>
    <r>
      <rPr>
        <b/>
        <sz val="10"/>
        <rFont val="Courier New"/>
        <family val="3"/>
      </rPr>
      <t>Single</t>
    </r>
  </si>
  <si>
    <r>
      <t xml:space="preserve">Filing status:  </t>
    </r>
    <r>
      <rPr>
        <b/>
        <sz val="9"/>
        <rFont val="Courier New"/>
        <family val="3"/>
      </rPr>
      <t>Married Filing Separately</t>
    </r>
  </si>
  <si>
    <r>
      <t xml:space="preserve">Filing status:  </t>
    </r>
    <r>
      <rPr>
        <b/>
        <sz val="10"/>
        <rFont val="Courier New"/>
        <family val="3"/>
      </rPr>
      <t>Head of Household</t>
    </r>
  </si>
  <si>
    <t>Additional State and Local Income Taxes Paid Worksheet—Line 5a</t>
  </si>
  <si>
    <r>
      <t xml:space="preserve">   </t>
    </r>
    <r>
      <rPr>
        <b/>
        <sz val="11"/>
        <rFont val="Arial"/>
        <family val="2"/>
      </rPr>
      <t>Information on Your Vehicle.</t>
    </r>
    <r>
      <rPr>
        <sz val="10"/>
        <rFont val="Arial"/>
        <family val="2"/>
      </rPr>
      <t/>
    </r>
  </si>
  <si>
    <t xml:space="preserve">.    .    .    .    .    .    .    .    .    .    .    .    .    .    .    .    .   .    .    .    .    .    .    .    .    .    . </t>
  </si>
  <si>
    <t xml:space="preserve">.   .   .   .   .   .   .   .   .   .   .   .   .   .   .   .   .   .   .   .   .   .   .   .   .   .   .   .   .   .   .   .   .   .   .   .   .   .   .   .   .   .   .   .   .   .   .   .   </t>
  </si>
  <si>
    <t xml:space="preserve">.   .   .   .   .   .   .   .   .   .   .   .   .   .   .   .   .   .   .   .   .   .   .   .   .   .   .   .   .   .   .   .   .   .   .   .   .   .   .   .   .   .   .   .   .   .   </t>
  </si>
  <si>
    <t>box 11, code D</t>
  </si>
  <si>
    <t xml:space="preserve">.   .   .   .   .   .   .   .   .   .   .   .   .   .   .   .   .   .   .   .   .   .   .   .   .   .   .   .   .   .   .   .   .   .   .   .   .   .   .   .  </t>
  </si>
  <si>
    <t>Complete this worksheet only if line 18 or line 19 of Schedule D is more than zero and lines 15 and 16 of Schedule D are gains or</t>
  </si>
  <si>
    <t>Before completing this worksheet, complete Form 1040, 1040-SR, or 1040-NR through line 15.</t>
  </si>
  <si>
    <t>Form 1040 or 1040-SR, line 15 (Taxable Income), is zero or less.</t>
  </si>
  <si>
    <t>Instead, see the instructions for Forms 1040 and 1040-SR, line 16 (or Form 1040-NR, line 16).</t>
  </si>
  <si>
    <t>Enter your qualified dividends from Form 1040, 1040-SR,</t>
  </si>
  <si>
    <t>1040-SR, or 1040-NR, line 3a</t>
  </si>
  <si>
    <r>
      <t xml:space="preserve">   Go to </t>
    </r>
    <r>
      <rPr>
        <b/>
        <i/>
        <sz val="9"/>
        <rFont val="Arial"/>
        <family val="2"/>
      </rPr>
      <t>www.irs.gov/ScheduleD</t>
    </r>
    <r>
      <rPr>
        <b/>
        <sz val="9"/>
        <rFont val="Arial"/>
        <family val="2"/>
      </rPr>
      <t xml:space="preserve"> for instructions and the latest information.</t>
    </r>
  </si>
  <si>
    <r>
      <t xml:space="preserve">Totals for all transactions reported on Form(s) 8949 with 
</t>
    </r>
    <r>
      <rPr>
        <b/>
        <sz val="9"/>
        <rFont val="Arial"/>
        <family val="2"/>
      </rPr>
      <t>Box B</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</si>
  <si>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A</t>
    </r>
    <r>
      <rPr>
        <sz val="9"/>
        <rFont val="Arial"/>
        <family val="2"/>
      </rPr>
      <t xml:space="preserve"> checked</t>
    </r>
    <r>
      <rPr>
        <b/>
        <sz val="9"/>
        <rFont val="Arial"/>
        <family val="2"/>
      </rPr>
      <t xml:space="preserve">  .   .   .   .   .   .   .   .   .   .   .   .   .   .   .</t>
    </r>
  </si>
  <si>
    <r>
      <t xml:space="preserve">Totals for all transactions reported on Form(s) 8949 with 
</t>
    </r>
    <r>
      <rPr>
        <b/>
        <sz val="9"/>
        <rFont val="Arial"/>
        <family val="2"/>
      </rPr>
      <t>Box C</t>
    </r>
    <r>
      <rPr>
        <sz val="9"/>
        <rFont val="Arial"/>
        <family val="2"/>
      </rPr>
      <t xml:space="preserve"> checked</t>
    </r>
    <r>
      <rPr>
        <b/>
        <sz val="9"/>
        <rFont val="Arial"/>
        <family val="2"/>
      </rPr>
      <t xml:space="preserve"> .   .   .   .   .   .   .   .   .   .   .   .   .   .   .   . </t>
    </r>
  </si>
  <si>
    <r>
      <t xml:space="preserve">Totals for all transactions reported on Form(s) 8949 with 
</t>
    </r>
    <r>
      <rPr>
        <b/>
        <sz val="9"/>
        <rFont val="Arial"/>
        <family val="2"/>
      </rPr>
      <t>Box D</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</si>
  <si>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E</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</si>
  <si>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F</t>
    </r>
    <r>
      <rPr>
        <sz val="9"/>
        <rFont val="Arial"/>
        <family val="2"/>
      </rPr>
      <t xml:space="preserve"> checked</t>
    </r>
    <r>
      <rPr>
        <b/>
        <sz val="9"/>
        <rFont val="Arial"/>
        <family val="2"/>
      </rPr>
      <t xml:space="preserve"> .   .   .   .   .   .   .   .   .   .   .   .   .   .   .   .</t>
    </r>
  </si>
  <si>
    <r>
      <t xml:space="preserve">Net long-term capital gain or (loss). </t>
    </r>
    <r>
      <rPr>
        <sz val="10"/>
        <rFont val="Arial"/>
        <family val="2"/>
      </rPr>
      <t>Combine lines 8a thru 14 in column (h). Then go to Part III on
the back</t>
    </r>
    <r>
      <rPr>
        <b/>
        <sz val="10"/>
        <rFont val="Arial"/>
        <family val="2"/>
      </rPr>
      <t xml:space="preserve">   .   .   .   .   .   .   .   .   .   .   .   .   .   .   .   .   .   .   .   .   .   .   .   .   .   .   .   .   .   .   .   .   .   .   .   .   .   .   .   .   .</t>
    </r>
  </si>
  <si>
    <t>Net long-term gain or (loss) from partnerships, S corporations, estates, &amp; trusts from Schedules(s) K-1</t>
  </si>
  <si>
    <t>If line 16 is zero, skip lines 17 through 21 below and enter -0- on Form 1040 or 1040-SR, line 7.</t>
  </si>
  <si>
    <r>
      <t xml:space="preserve">for Form 1040 or 1040-SR, line 16. </t>
    </r>
    <r>
      <rPr>
        <b/>
        <sz val="10"/>
        <rFont val="Arial"/>
        <family val="2"/>
      </rPr>
      <t>Don't</t>
    </r>
    <r>
      <rPr>
        <sz val="10"/>
        <rFont val="Arial"/>
        <family val="2"/>
      </rPr>
      <t xml:space="preserve"> complete lines 21 and 22 below</t>
    </r>
  </si>
  <si>
    <t>Schedule 1 (Form 1040), line 5. Otherwise, include this amount in the total on line 41 on page 2</t>
  </si>
  <si>
    <t>Qualified business income deduction. Enter the lesser of line 10 or line 14. Also enter this amount</t>
  </si>
  <si>
    <t>Prior to printing, to remove colors from all forms and worksheets, place an 'X' in Cell AK2 on the '1040' sheet.</t>
  </si>
  <si>
    <t>Likewise, to remove social security numbers from all forms and worksheets, place an "X" in Cell AK3 on the '1040' sheet.</t>
  </si>
  <si>
    <t>Add lines 1 and 2. Enter here and on Form 1040, 1040-SR, or 1040-NR, line 17</t>
  </si>
  <si>
    <t>Recovery Rebate Credit Worksheet—Line 30</t>
  </si>
  <si>
    <t>See the instructions for line 30 to find out if you can take this credit and for definitions and other information</t>
  </si>
  <si>
    <t>needed to fill out this worksheet.</t>
  </si>
  <si>
    <t>If you received Notice 1444 and Notice 1444-B, have them available.</t>
  </si>
  <si>
    <t>Go to line 2.</t>
  </si>
  <si>
    <t>Don’t complete the rest of this worksheet and don’t enter any amount on line 30.</t>
  </si>
  <si>
    <t>You can't take the credit.</t>
  </si>
  <si>
    <t>Go to line 5.</t>
  </si>
  <si>
    <t>Your credit is not limited.</t>
  </si>
  <si>
    <t>Your credit is limited.</t>
  </si>
  <si>
    <t xml:space="preserve">.   .   .   .   .   .   .   .   .   .   .   .   .   .   .   .   .   .   .   .   .   .   .   .   .   .   .   .   .   .   .   .   .   .   .   .   .   .   .  </t>
  </si>
  <si>
    <t>Line 30 (Rebate Credit)</t>
  </si>
  <si>
    <t>instructions if not filing Form 1040.)</t>
  </si>
  <si>
    <t>complete line 8. Instead, enter the amount from line 5 on</t>
  </si>
  <si>
    <t>tax (as figured earlier) and enter the total on</t>
  </si>
  <si>
    <t>110% of the amount of the tax computed earlier.</t>
  </si>
  <si>
    <t xml:space="preserve">.   .   .   .   .   .   .   .   .   .   .   .   .   .   .   .   .     </t>
  </si>
  <si>
    <t>Form 8995, QBID, Line 6</t>
  </si>
  <si>
    <t>Annual contrib. amt. Multiply line 3 by</t>
  </si>
  <si>
    <t xml:space="preserve">.   .   .   .   .   .   .   .   .   .   .   .   .   .   .   .   .   .   .   .   .   .   .   .   .   .   .   .   .   .   .   .   .   .   .   .   .   .   .   .   .   .   .   .   .   .   .   .   .   .   .   .   .   .   .   .   .   .   .   .   .   .   .    </t>
  </si>
  <si>
    <t>1040, line 25b</t>
  </si>
  <si>
    <t>.   .   .   .   .   .   .   .   .   .   .   .   .   .   .   .   .   .   .   .   .   .  1.</t>
  </si>
  <si>
    <t>Line A is used in</t>
  </si>
  <si>
    <t>Sheet "Line 6ab (SS Bene)", line 1.</t>
  </si>
  <si>
    <t>Used in 1040, line 25b</t>
  </si>
  <si>
    <r>
      <t xml:space="preserve">Add lines 1, 2b, 3b, 4b, 5b, 6b, 7, and 8. This is your </t>
    </r>
    <r>
      <rPr>
        <b/>
        <sz val="9"/>
        <rFont val="Arial"/>
        <family val="2"/>
      </rPr>
      <t>total income</t>
    </r>
  </si>
  <si>
    <t>Rollover</t>
  </si>
  <si>
    <t>Enter the amount from Schedule SE, Part I, line 3.</t>
  </si>
  <si>
    <t>Enter any amount from Schedule SE, Part I, line 4b and line 5a.</t>
  </si>
  <si>
    <t>Enter the amount from Schedule SE, Part I, line 13.</t>
  </si>
  <si>
    <t>Schedule K-1 (Form 1065), box 14, code A (other than farming)*.</t>
  </si>
  <si>
    <t>Enter any net profit or (loss) from Schedule C, line 31; and</t>
  </si>
  <si>
    <t xml:space="preserve">         next to line 27.</t>
  </si>
  <si>
    <t>Federal Income Tax Spreadsheet</t>
  </si>
  <si>
    <r>
      <t xml:space="preserve">were,  or  were  considered,  an  eligible  individual  with  the  </t>
    </r>
    <r>
      <rPr>
        <b/>
        <sz val="9"/>
        <rFont val="Arial"/>
        <family val="2"/>
      </rPr>
      <t>same</t>
    </r>
    <r>
      <rPr>
        <sz val="9"/>
        <rFont val="Arial"/>
        <family val="2"/>
      </rPr>
      <t xml:space="preserve">  coverage, </t>
    </r>
  </si>
  <si>
    <r>
      <t xml:space="preserve">family coverage).   </t>
    </r>
    <r>
      <rPr>
        <b/>
        <sz val="9"/>
        <rFont val="Arial"/>
        <family val="2"/>
      </rPr>
      <t>All others</t>
    </r>
    <r>
      <rPr>
        <sz val="9"/>
        <rFont val="Arial"/>
        <family val="2"/>
      </rPr>
      <t>, see instructions for the amount to enter</t>
    </r>
  </si>
  <si>
    <t xml:space="preserve">   .   .   .   .   .   .   .   .   .   .   .   .   .   .   .   .   .   .   . </t>
  </si>
  <si>
    <t xml:space="preserve">.   .   .   .   .    .   .   .   .   .   .   .   .   .   .   .   .   .   .   .   .   .   .   .   .   .   .   .   .   .   .   .   .   . </t>
  </si>
  <si>
    <t xml:space="preserve"> .   .   .   .   .   .   .   .   .   .   .   .   .   .   .   .   .   .   .   .   . </t>
  </si>
  <si>
    <r>
      <t xml:space="preserve">family coverage). </t>
    </r>
    <r>
      <rPr>
        <b/>
        <sz val="9"/>
        <rFont val="Arial"/>
        <family val="2"/>
      </rPr>
      <t>All others</t>
    </r>
    <r>
      <rPr>
        <sz val="9"/>
        <rFont val="Arial"/>
        <family val="2"/>
      </rPr>
      <t>, see the instructions for the amount to enter</t>
    </r>
  </si>
  <si>
    <t>Form 8889, Health Savings Accounts</t>
  </si>
  <si>
    <t>Rental real estate, royalties, partnerships, S corporations, trusts, etc. (see</t>
  </si>
  <si>
    <t>Form 8960, Net Investment Income Tax—Individuals, Estates, and Trusts</t>
  </si>
  <si>
    <r>
      <rPr>
        <b/>
        <i/>
        <sz val="11"/>
        <rFont val="Arial"/>
        <family val="2"/>
      </rPr>
      <t>Note.</t>
    </r>
    <r>
      <rPr>
        <i/>
        <sz val="11"/>
        <rFont val="Arial"/>
        <family val="2"/>
      </rPr>
      <t xml:space="preserve"> You can claim the qualified business income deduction </t>
    </r>
    <r>
      <rPr>
        <b/>
        <i/>
        <sz val="11"/>
        <rFont val="Arial"/>
        <family val="2"/>
      </rPr>
      <t>only</t>
    </r>
    <r>
      <rPr>
        <i/>
        <sz val="11"/>
        <rFont val="Arial"/>
        <family val="2"/>
      </rPr>
      <t xml:space="preserve"> if you have qualified business income from a qualified trade or 
business, real estate investment trust dividends, publicly traded partnership income, or a domestic production activities deduction 
passed through from an agricultural or horticultural cooperative. See instructions.</t>
    </r>
  </si>
  <si>
    <t>Form 8995, Qualified Business Income Deduction Simplified Computation</t>
  </si>
  <si>
    <t xml:space="preserve">(Send to:  IncomeTaxSpreadsheet@gmail.com ) </t>
  </si>
  <si>
    <t>Form 1040, Line 4a, 5a</t>
  </si>
  <si>
    <t>Form 1040, Line 4b, 5b</t>
  </si>
  <si>
    <t>No CEI and 4c&lt;$400</t>
  </si>
  <si>
    <t>CEI and 4c&lt;$400</t>
  </si>
  <si>
    <t>If you are filing a joint return, go to line 3.</t>
  </si>
  <si>
    <t>Qualification for EIC Rebate Credit</t>
  </si>
  <si>
    <t>Preparation</t>
  </si>
  <si>
    <t>YOU &gt;=25 Test</t>
  </si>
  <si>
    <t>YOU &lt;65 Test</t>
  </si>
  <si>
    <t>SPOUSE &gt;=25 Test</t>
  </si>
  <si>
    <t>SPOUSE &lt;65 Test</t>
  </si>
  <si>
    <t>Check if PART 1 applies to you.</t>
  </si>
  <si>
    <t>Check if PART 2 applies to you.</t>
  </si>
  <si>
    <t>CONV</t>
  </si>
  <si>
    <t xml:space="preserve">Qualified
Conversion
to ROTH IRA </t>
  </si>
  <si>
    <t xml:space="preserve">Qualified
CONVersion
to ROTH IRA </t>
  </si>
  <si>
    <t>4562</t>
  </si>
  <si>
    <r>
      <rPr>
        <b/>
        <sz val="18"/>
        <rFont val="Arial"/>
        <family val="2"/>
      </rPr>
      <t>Depreciation and Amortization</t>
    </r>
    <r>
      <rPr>
        <b/>
        <sz val="14"/>
        <rFont val="Arial"/>
        <family val="2"/>
      </rPr>
      <t xml:space="preserve">
</t>
    </r>
    <r>
      <rPr>
        <b/>
        <sz val="12"/>
        <rFont val="Arial"/>
        <family val="2"/>
      </rPr>
      <t>(Including Information on Listed Property)</t>
    </r>
  </si>
  <si>
    <t>OMB No. 1545-0172</t>
  </si>
  <si>
    <t>Depreciation Worksheet (Keep for your records.)</t>
  </si>
  <si>
    <t>Description of Property</t>
  </si>
  <si>
    <t>Date Placed in Service</t>
  </si>
  <si>
    <t>Cost or Other Basis</t>
  </si>
  <si>
    <t>Business/ Investment Use %</t>
  </si>
  <si>
    <t>Section 179 Special Allowance, and Other Basis Reductions</t>
  </si>
  <si>
    <t>Depreciation Prior Years</t>
  </si>
  <si>
    <t>Basis for Depreciation</t>
  </si>
  <si>
    <t>Method/ Convention</t>
  </si>
  <si>
    <t>Recovery Period</t>
  </si>
  <si>
    <t>Rate or Table
%</t>
  </si>
  <si>
    <t>Depreciation Deduction</t>
  </si>
  <si>
    <t>Internal Revenue Service     (99)</t>
  </si>
  <si>
    <r>
      <t xml:space="preserve">Go to </t>
    </r>
    <r>
      <rPr>
        <b/>
        <i/>
        <sz val="10"/>
        <rFont val="Arial"/>
        <family val="2"/>
      </rPr>
      <t>www.irs.gov/Form4562</t>
    </r>
    <r>
      <rPr>
        <b/>
        <sz val="10"/>
        <rFont val="Arial"/>
        <family val="2"/>
      </rPr>
      <t xml:space="preserve"> for instructions and the latest information.</t>
    </r>
  </si>
  <si>
    <t xml:space="preserve"> Business or activity to which this form relates</t>
  </si>
  <si>
    <t xml:space="preserve"> Identifying number</t>
  </si>
  <si>
    <t>Election To Expense Certain Property Under Section 179</t>
  </si>
  <si>
    <r>
      <rPr>
        <b/>
        <sz val="13"/>
        <rFont val="Arial"/>
        <family val="2"/>
      </rPr>
      <t>Note:</t>
    </r>
    <r>
      <rPr>
        <sz val="13"/>
        <rFont val="Arial"/>
        <family val="2"/>
      </rPr>
      <t xml:space="preserve"> If you have any listed property, complete Part V before you complete Part I.</t>
    </r>
  </si>
  <si>
    <t>Maximum amount (see instructions)</t>
  </si>
  <si>
    <t>Total cost of section 179 property placed in service (see instructions)</t>
  </si>
  <si>
    <t>Threshold cost of section 179 property before reduction in limitation (see instructions)</t>
  </si>
  <si>
    <t>Reduction in limitation. Subtract line 3 from line 2. If zero or less, enter -0-</t>
  </si>
  <si>
    <t>Dollar limitation for tax year. Subtract line 4 from line 1. If zero or less, enter -0-. If married filing</t>
  </si>
  <si>
    <t>separately, see instructions</t>
  </si>
  <si>
    <r>
      <rPr>
        <b/>
        <sz val="10"/>
        <rFont val="Arial"/>
        <family val="2"/>
      </rPr>
      <t>(a)</t>
    </r>
    <r>
      <rPr>
        <sz val="10"/>
        <rFont val="Arial"/>
        <family val="2"/>
      </rPr>
      <t xml:space="preserve"> Description of property</t>
    </r>
  </si>
  <si>
    <r>
      <rPr>
        <b/>
        <sz val="9"/>
        <rFont val="Arial"/>
        <family val="2"/>
      </rPr>
      <t>(b)</t>
    </r>
    <r>
      <rPr>
        <sz val="9"/>
        <rFont val="Arial"/>
        <family val="2"/>
      </rPr>
      <t xml:space="preserve"> Cost (business use only)</t>
    </r>
  </si>
  <si>
    <r>
      <rPr>
        <b/>
        <sz val="10"/>
        <rFont val="Arial"/>
        <family val="2"/>
      </rPr>
      <t>(c)</t>
    </r>
    <r>
      <rPr>
        <sz val="10"/>
        <rFont val="Arial"/>
        <family val="2"/>
      </rPr>
      <t xml:space="preserve"> Elected cost</t>
    </r>
  </si>
  <si>
    <t>Listed property. Enter the amount from line 29</t>
  </si>
  <si>
    <t>Total elected cost of section 179 property. Add amounts in column (c), lines 6 and 7</t>
  </si>
  <si>
    <t>Business Income</t>
  </si>
  <si>
    <r>
      <t xml:space="preserve">Business income limitation. </t>
    </r>
    <r>
      <rPr>
        <sz val="10"/>
        <rFont val="Arial"/>
        <family val="2"/>
      </rPr>
      <t>Enter the smaller of business income (not less than zero) or line 5. See instructions</t>
    </r>
  </si>
  <si>
    <t>Section 179 expense deduction. Add lines 9 and 10, but don’t enter more than line 11</t>
  </si>
  <si>
    <r>
      <t xml:space="preserve">Note:  </t>
    </r>
    <r>
      <rPr>
        <sz val="12"/>
        <rFont val="Arial"/>
        <family val="2"/>
      </rPr>
      <t>Don’t use Part II or Part III below for listed property. Instead, use Part V.</t>
    </r>
  </si>
  <si>
    <r>
      <t xml:space="preserve">Special Depreciation Allowance and Other Depreciation (Don’t </t>
    </r>
    <r>
      <rPr>
        <sz val="12"/>
        <rFont val="Arial"/>
        <family val="2"/>
      </rPr>
      <t>include listed property. See instructions</t>
    </r>
    <r>
      <rPr>
        <b/>
        <sz val="12"/>
        <rFont val="Arial"/>
        <family val="2"/>
      </rPr>
      <t>.)</t>
    </r>
  </si>
  <si>
    <t>Special depreciation allowance for qualified property (other than listed property) placed in service</t>
  </si>
  <si>
    <t>during the tax year. See instructions</t>
  </si>
  <si>
    <t>Property subject to section 168(f)(1) election</t>
  </si>
  <si>
    <t>Other depreciation (including ACRS)</t>
  </si>
  <si>
    <r>
      <t xml:space="preserve">MACRS Depreciation (Don’t </t>
    </r>
    <r>
      <rPr>
        <sz val="12"/>
        <rFont val="Arial"/>
        <family val="2"/>
      </rPr>
      <t>include listed property. See instructions.</t>
    </r>
    <r>
      <rPr>
        <b/>
        <sz val="12"/>
        <rFont val="Arial"/>
        <family val="2"/>
      </rPr>
      <t>)</t>
    </r>
  </si>
  <si>
    <t>If you are electing to group any assets placed in service during the tax year into one or more general</t>
  </si>
  <si>
    <t>asset accounts, check here</t>
  </si>
  <si>
    <r>
      <rPr>
        <b/>
        <sz val="10"/>
        <rFont val="Arial"/>
        <family val="2"/>
      </rPr>
      <t>(a)</t>
    </r>
    <r>
      <rPr>
        <sz val="10"/>
        <rFont val="Arial"/>
        <family val="2"/>
      </rPr>
      <t xml:space="preserve"> Classification of property</t>
    </r>
  </si>
  <si>
    <r>
      <rPr>
        <b/>
        <sz val="10"/>
        <rFont val="Arial"/>
        <family val="2"/>
      </rPr>
      <t>(b)</t>
    </r>
    <r>
      <rPr>
        <sz val="10"/>
        <rFont val="Arial"/>
        <family val="2"/>
      </rPr>
      <t xml:space="preserve"> Month and year placed in 
service</t>
    </r>
  </si>
  <si>
    <r>
      <rPr>
        <b/>
        <sz val="9"/>
        <rFont val="Arial"/>
        <family val="2"/>
      </rPr>
      <t>(c)</t>
    </r>
    <r>
      <rPr>
        <sz val="9"/>
        <rFont val="Arial"/>
        <family val="2"/>
      </rPr>
      <t xml:space="preserve"> Basis for depreciation (business/investment use only—see instructions)</t>
    </r>
  </si>
  <si>
    <r>
      <rPr>
        <b/>
        <sz val="10"/>
        <rFont val="Arial"/>
        <family val="2"/>
      </rPr>
      <t>(d)</t>
    </r>
    <r>
      <rPr>
        <sz val="10"/>
        <rFont val="Arial"/>
        <family val="2"/>
      </rPr>
      <t xml:space="preserve"> Recovery period</t>
    </r>
  </si>
  <si>
    <r>
      <rPr>
        <b/>
        <sz val="10"/>
        <rFont val="Arial"/>
        <family val="2"/>
      </rPr>
      <t>(e)</t>
    </r>
    <r>
      <rPr>
        <sz val="10"/>
        <rFont val="Arial"/>
        <family val="2"/>
      </rPr>
      <t xml:space="preserve"> Convention</t>
    </r>
  </si>
  <si>
    <r>
      <rPr>
        <b/>
        <sz val="10"/>
        <rFont val="Arial"/>
        <family val="2"/>
      </rPr>
      <t>(f)</t>
    </r>
    <r>
      <rPr>
        <sz val="10"/>
        <rFont val="Arial"/>
        <family val="2"/>
      </rPr>
      <t xml:space="preserve"> Method</t>
    </r>
  </si>
  <si>
    <r>
      <rPr>
        <b/>
        <sz val="10"/>
        <rFont val="Arial"/>
        <family val="2"/>
      </rPr>
      <t xml:space="preserve">(g) </t>
    </r>
    <r>
      <rPr>
        <sz val="10"/>
        <rFont val="Arial"/>
        <family val="2"/>
      </rPr>
      <t>Depreciation deduction</t>
    </r>
  </si>
  <si>
    <t>3-year property</t>
  </si>
  <si>
    <r>
      <t xml:space="preserve">   </t>
    </r>
    <r>
      <rPr>
        <b/>
        <sz val="12"/>
        <rFont val="Arial"/>
        <family val="2"/>
      </rPr>
      <t xml:space="preserve">b </t>
    </r>
  </si>
  <si>
    <t>5-year property</t>
  </si>
  <si>
    <r>
      <t xml:space="preserve">   </t>
    </r>
    <r>
      <rPr>
        <b/>
        <sz val="12"/>
        <rFont val="Arial"/>
        <family val="2"/>
      </rPr>
      <t xml:space="preserve">c  </t>
    </r>
  </si>
  <si>
    <t>7-year property</t>
  </si>
  <si>
    <r>
      <t xml:space="preserve">   </t>
    </r>
    <r>
      <rPr>
        <b/>
        <sz val="12"/>
        <rFont val="Arial"/>
        <family val="2"/>
      </rPr>
      <t xml:space="preserve">d  </t>
    </r>
  </si>
  <si>
    <t>10-year property</t>
  </si>
  <si>
    <r>
      <t xml:space="preserve">   </t>
    </r>
    <r>
      <rPr>
        <b/>
        <sz val="12"/>
        <rFont val="Arial"/>
        <family val="2"/>
      </rPr>
      <t xml:space="preserve">e  </t>
    </r>
  </si>
  <si>
    <t>15-year property</t>
  </si>
  <si>
    <r>
      <t xml:space="preserve">   </t>
    </r>
    <r>
      <rPr>
        <b/>
        <sz val="12"/>
        <rFont val="Arial"/>
        <family val="2"/>
      </rPr>
      <t xml:space="preserve">f  </t>
    </r>
  </si>
  <si>
    <t>20-year property</t>
  </si>
  <si>
    <r>
      <t xml:space="preserve">   </t>
    </r>
    <r>
      <rPr>
        <b/>
        <sz val="12"/>
        <rFont val="Arial"/>
        <family val="2"/>
      </rPr>
      <t xml:space="preserve">g  </t>
    </r>
  </si>
  <si>
    <t>25-year property</t>
  </si>
  <si>
    <t>25 yrs.</t>
  </si>
  <si>
    <t>S/L</t>
  </si>
  <si>
    <r>
      <t xml:space="preserve">   </t>
    </r>
    <r>
      <rPr>
        <b/>
        <sz val="12"/>
        <rFont val="Arial"/>
        <family val="2"/>
      </rPr>
      <t>h</t>
    </r>
  </si>
  <si>
    <t>Residential rental</t>
  </si>
  <si>
    <t>27.5 yrs.</t>
  </si>
  <si>
    <t>MM</t>
  </si>
  <si>
    <t>property</t>
  </si>
  <si>
    <t xml:space="preserve">   i  </t>
  </si>
  <si>
    <t>Nonresidential real</t>
  </si>
  <si>
    <t>39 yrs.</t>
  </si>
  <si>
    <t>Class life</t>
  </si>
  <si>
    <t>12-year</t>
  </si>
  <si>
    <t>12 yrs.</t>
  </si>
  <si>
    <t>30-year</t>
  </si>
  <si>
    <t>30 yrs.</t>
  </si>
  <si>
    <t>40-year</t>
  </si>
  <si>
    <t>40 yrs.</t>
  </si>
  <si>
    <r>
      <t xml:space="preserve">Summary </t>
    </r>
    <r>
      <rPr>
        <sz val="12"/>
        <rFont val="Arial"/>
        <family val="2"/>
      </rPr>
      <t>(See instructions.)</t>
    </r>
  </si>
  <si>
    <t>Listed property. Enter amount from line 28</t>
  </si>
  <si>
    <t>here and on the appropriate lines of your return. Partnerships and S corporations—see instructions</t>
  </si>
  <si>
    <t>For assets shown above and placed in service during the current year, enter the</t>
  </si>
  <si>
    <t>portion of the basis attributable to section 263A costs</t>
  </si>
  <si>
    <t>Cat. No. 12906N</t>
  </si>
  <si>
    <r>
      <rPr>
        <sz val="8"/>
        <rFont val="Arial"/>
        <family val="2"/>
      </rPr>
      <t xml:space="preserve">Form </t>
    </r>
    <r>
      <rPr>
        <b/>
        <sz val="12"/>
        <rFont val="Arial"/>
        <family val="2"/>
      </rPr>
      <t>4562</t>
    </r>
  </si>
  <si>
    <r>
      <rPr>
        <sz val="8"/>
        <rFont val="Arial"/>
        <family val="2"/>
      </rPr>
      <t xml:space="preserve">Page </t>
    </r>
    <r>
      <rPr>
        <b/>
        <sz val="12"/>
        <rFont val="Arial"/>
        <family val="2"/>
      </rPr>
      <t xml:space="preserve">2  </t>
    </r>
  </si>
  <si>
    <t>Listed Property</t>
  </si>
  <si>
    <t xml:space="preserve">(Include automobiles, certain other vehicles, certain aircraft, and property used for </t>
  </si>
  <si>
    <t>entertainment, recreation, or amusement.)</t>
  </si>
  <si>
    <r>
      <rPr>
        <b/>
        <sz val="12"/>
        <rFont val="Arial"/>
        <family val="2"/>
      </rPr>
      <t>Note:</t>
    </r>
    <r>
      <rPr>
        <sz val="14"/>
        <rFont val="Arial"/>
        <family val="2"/>
      </rPr>
      <t/>
    </r>
  </si>
  <si>
    <r>
      <t xml:space="preserve">For any vehicle for which you are using the standard mileage rate or deducting lease expense, complete </t>
    </r>
    <r>
      <rPr>
        <b/>
        <sz val="12"/>
        <rFont val="Arial"/>
        <family val="2"/>
      </rPr>
      <t>only</t>
    </r>
    <r>
      <rPr>
        <sz val="12"/>
        <rFont val="Arial"/>
        <family val="2"/>
      </rPr>
      <t xml:space="preserve"> 24a, </t>
    </r>
  </si>
  <si>
    <t>24b, columns (a) through (c) of Section A, all of Section B, and Section C if applicable.</t>
  </si>
  <si>
    <r>
      <t xml:space="preserve">Section A—Depreciation and Other Information (Caution: </t>
    </r>
    <r>
      <rPr>
        <sz val="13"/>
        <rFont val="Arial"/>
        <family val="2"/>
      </rPr>
      <t>See the instructions for limits for passenger automobiles.</t>
    </r>
    <r>
      <rPr>
        <b/>
        <sz val="13"/>
        <rFont val="Arial"/>
        <family val="2"/>
      </rPr>
      <t>)</t>
    </r>
  </si>
  <si>
    <t>Do you have evidence to support the business/investment use claimed?</t>
  </si>
  <si>
    <t>If “Yes,” is the evidence written?</t>
  </si>
  <si>
    <r>
      <rPr>
        <b/>
        <sz val="9"/>
        <rFont val="Arial"/>
        <family val="2"/>
      </rPr>
      <t>(a)</t>
    </r>
    <r>
      <rPr>
        <sz val="9"/>
        <rFont val="Arial"/>
        <family val="2"/>
      </rPr>
      <t xml:space="preserve">
Type of property (list
vehicles first)</t>
    </r>
  </si>
  <si>
    <r>
      <rPr>
        <b/>
        <sz val="9"/>
        <rFont val="Arial"/>
        <family val="2"/>
      </rPr>
      <t>(b)</t>
    </r>
    <r>
      <rPr>
        <sz val="9"/>
        <rFont val="Arial"/>
        <family val="2"/>
      </rPr>
      <t xml:space="preserve">
Date placed
in service</t>
    </r>
  </si>
  <si>
    <r>
      <rPr>
        <b/>
        <sz val="8"/>
        <rFont val="Arial"/>
        <family val="2"/>
      </rPr>
      <t>(c)</t>
    </r>
    <r>
      <rPr>
        <sz val="8"/>
        <rFont val="Arial"/>
        <family val="2"/>
      </rPr>
      <t xml:space="preserve">
Business/
investment use
percentage</t>
    </r>
  </si>
  <si>
    <r>
      <rPr>
        <b/>
        <sz val="10"/>
        <rFont val="Arial"/>
        <family val="2"/>
      </rPr>
      <t>(d)</t>
    </r>
    <r>
      <rPr>
        <sz val="10"/>
        <rFont val="Arial"/>
        <family val="2"/>
      </rPr>
      <t xml:space="preserve">
Cost or other basis</t>
    </r>
  </si>
  <si>
    <r>
      <rPr>
        <b/>
        <sz val="9"/>
        <rFont val="Arial"/>
        <family val="2"/>
      </rPr>
      <t>(e)</t>
    </r>
    <r>
      <rPr>
        <sz val="9"/>
        <rFont val="Arial"/>
        <family val="2"/>
      </rPr>
      <t xml:space="preserve">
Basis for depreciation
(business/investment
use only)</t>
    </r>
  </si>
  <si>
    <r>
      <rPr>
        <b/>
        <sz val="10"/>
        <rFont val="Arial"/>
        <family val="2"/>
      </rPr>
      <t>(f)</t>
    </r>
    <r>
      <rPr>
        <sz val="10"/>
        <rFont val="Arial"/>
        <family val="2"/>
      </rPr>
      <t xml:space="preserve">
Recovery
period</t>
    </r>
  </si>
  <si>
    <r>
      <rPr>
        <b/>
        <sz val="10"/>
        <rFont val="Arial"/>
        <family val="2"/>
      </rPr>
      <t>(g)</t>
    </r>
    <r>
      <rPr>
        <sz val="10"/>
        <rFont val="Arial"/>
        <family val="2"/>
      </rPr>
      <t xml:space="preserve">
Method/
Convention</t>
    </r>
  </si>
  <si>
    <r>
      <rPr>
        <b/>
        <sz val="10"/>
        <rFont val="Arial"/>
        <family val="2"/>
      </rPr>
      <t>(h)</t>
    </r>
    <r>
      <rPr>
        <sz val="10"/>
        <rFont val="Arial"/>
        <family val="2"/>
      </rPr>
      <t xml:space="preserve">
Depreciation 
deduction</t>
    </r>
  </si>
  <si>
    <r>
      <rPr>
        <b/>
        <sz val="10"/>
        <rFont val="Arial"/>
        <family val="2"/>
      </rPr>
      <t>(i)</t>
    </r>
    <r>
      <rPr>
        <sz val="10"/>
        <rFont val="Arial"/>
        <family val="2"/>
      </rPr>
      <t xml:space="preserve">
Elected Section 179 
cost</t>
    </r>
  </si>
  <si>
    <t>Special depreciation allowance for qualified listed property placed in service during</t>
  </si>
  <si>
    <t>the tax year and used more than 50% in a qualified business use. See instructions</t>
  </si>
  <si>
    <t>Property used more than 50% in a qualified business use:</t>
  </si>
  <si>
    <t>Property used 50% or less in a qualified business use :</t>
  </si>
  <si>
    <t>Add amounts in column (h), lines 25 through 27. Enter here and on line 21, page 1</t>
  </si>
  <si>
    <t>Add amounts in column (i), line 26. Enter here and on line 7, page 1</t>
  </si>
  <si>
    <t>Section B—Information on Use of Vehicles</t>
  </si>
  <si>
    <t>Complete this section for vehicles used by a sole proprietor, partner, or other “more than 5% owner,” or related person. If you provided vehicles</t>
  </si>
  <si>
    <t>to you're employees, first answer the questions in Section C to see if you meet an exception to completing this section for those vehicles.</t>
  </si>
  <si>
    <t xml:space="preserve">
30</t>
  </si>
  <si>
    <r>
      <t>Total business/investment miles driven during
the year (</t>
    </r>
    <r>
      <rPr>
        <b/>
        <sz val="10"/>
        <rFont val="Arial"/>
        <family val="2"/>
      </rPr>
      <t>don’t</t>
    </r>
    <r>
      <rPr>
        <sz val="10"/>
        <rFont val="Arial"/>
        <family val="2"/>
      </rPr>
      <t xml:space="preserve"> include commuting miles)</t>
    </r>
  </si>
  <si>
    <r>
      <rPr>
        <b/>
        <sz val="10"/>
        <rFont val="Arial"/>
        <family val="2"/>
      </rPr>
      <t>(a)</t>
    </r>
    <r>
      <rPr>
        <sz val="10"/>
        <rFont val="Arial"/>
        <family val="2"/>
      </rPr>
      <t xml:space="preserve">
Vehicle 1</t>
    </r>
  </si>
  <si>
    <r>
      <rPr>
        <b/>
        <sz val="10"/>
        <rFont val="Arial"/>
        <family val="2"/>
      </rPr>
      <t>(b)</t>
    </r>
    <r>
      <rPr>
        <sz val="10"/>
        <rFont val="Arial"/>
        <family val="2"/>
      </rPr>
      <t xml:space="preserve">
Vehicle 2</t>
    </r>
  </si>
  <si>
    <r>
      <rPr>
        <b/>
        <sz val="10"/>
        <rFont val="Arial"/>
        <family val="2"/>
      </rPr>
      <t>(c)</t>
    </r>
    <r>
      <rPr>
        <sz val="10"/>
        <rFont val="Arial"/>
        <family val="2"/>
      </rPr>
      <t xml:space="preserve">
Vehicle 3</t>
    </r>
  </si>
  <si>
    <r>
      <rPr>
        <b/>
        <sz val="10"/>
        <rFont val="Arial"/>
        <family val="2"/>
      </rPr>
      <t>(d)</t>
    </r>
    <r>
      <rPr>
        <sz val="10"/>
        <rFont val="Arial"/>
        <family val="2"/>
      </rPr>
      <t xml:space="preserve">
Vehicle 4</t>
    </r>
  </si>
  <si>
    <r>
      <rPr>
        <b/>
        <sz val="10"/>
        <rFont val="Arial"/>
        <family val="2"/>
      </rPr>
      <t>(e)</t>
    </r>
    <r>
      <rPr>
        <sz val="10"/>
        <rFont val="Arial"/>
        <family val="2"/>
      </rPr>
      <t xml:space="preserve">
Vehicle 5</t>
    </r>
  </si>
  <si>
    <r>
      <rPr>
        <b/>
        <sz val="10"/>
        <rFont val="Arial"/>
        <family val="2"/>
      </rPr>
      <t>(f)</t>
    </r>
    <r>
      <rPr>
        <sz val="10"/>
        <rFont val="Arial"/>
        <family val="2"/>
      </rPr>
      <t xml:space="preserve">
Vehicle 6</t>
    </r>
  </si>
  <si>
    <t>Total commuting miles driven during the year</t>
  </si>
  <si>
    <t>Total other personal (noncommuting)</t>
  </si>
  <si>
    <t>miles driven</t>
  </si>
  <si>
    <t>Total miles driven during the year. Add</t>
  </si>
  <si>
    <t>lines 30 through 32</t>
  </si>
  <si>
    <t>Was the vehicle available for personal</t>
  </si>
  <si>
    <t>use during off-duty hours?</t>
  </si>
  <si>
    <t>Was the vehicle used primarily by a more than 5% owner or related person?</t>
  </si>
  <si>
    <t>Is another vehicle available for personal use?</t>
  </si>
  <si>
    <t>Section C—Questions for Employers Who Provide Vehicles for Use by Their Employees</t>
  </si>
  <si>
    <t>Answer these questions to determine if you meet an exception to completing Section B for vehicles used by employees who aren’t</t>
  </si>
  <si>
    <t>more than 5% owners or related persons. See instructions.</t>
  </si>
  <si>
    <t>Do you maintain a written policy statement that prohibits all personal use of vehicles, including commuting, by</t>
  </si>
  <si>
    <t>YES</t>
  </si>
  <si>
    <t>NO</t>
  </si>
  <si>
    <t>your employees?</t>
  </si>
  <si>
    <t>Do you maintain a written policy statement that prohibits personal use of vehicles, except commuting, by your</t>
  </si>
  <si>
    <t>employees? See the instructions for vehicles used by corporate officers, directors, or 1% or more owners</t>
  </si>
  <si>
    <t>Do you treat all use of vehicles by employees as personal use?</t>
  </si>
  <si>
    <t>Do you provide more than five vehicles to your employees, obtain information from your employees about the</t>
  </si>
  <si>
    <t>use of the vehicles, and retain the information received?</t>
  </si>
  <si>
    <t>Do you meet the requirements concerning qualified automobile demonstration use? See instructions</t>
  </si>
  <si>
    <r>
      <rPr>
        <b/>
        <sz val="12"/>
        <rFont val="Arial"/>
        <family val="2"/>
      </rPr>
      <t xml:space="preserve">Note: </t>
    </r>
    <r>
      <rPr>
        <sz val="12"/>
        <rFont val="Arial"/>
        <family val="2"/>
      </rPr>
      <t>If your answer to 37, 38, 39, 40, or 41 is “Yes,” don’t complete Section B for the covered vehicles.</t>
    </r>
  </si>
  <si>
    <t>Amortization</t>
  </si>
  <si>
    <t>(a)
Description of costs</t>
  </si>
  <si>
    <r>
      <rPr>
        <b/>
        <sz val="11"/>
        <rFont val="Arial"/>
        <family val="2"/>
      </rPr>
      <t>(b)</t>
    </r>
    <r>
      <rPr>
        <sz val="11"/>
        <rFont val="Arial"/>
        <family val="2"/>
      </rPr>
      <t xml:space="preserve">
Date amortization
begins</t>
    </r>
  </si>
  <si>
    <r>
      <rPr>
        <b/>
        <sz val="11"/>
        <rFont val="Arial"/>
        <family val="2"/>
      </rPr>
      <t>(c)</t>
    </r>
    <r>
      <rPr>
        <sz val="11"/>
        <rFont val="Arial"/>
        <family val="2"/>
      </rPr>
      <t xml:space="preserve">
Amortizable amount</t>
    </r>
  </si>
  <si>
    <r>
      <rPr>
        <b/>
        <sz val="11"/>
        <rFont val="Arial"/>
        <family val="2"/>
      </rPr>
      <t>(d)</t>
    </r>
    <r>
      <rPr>
        <sz val="11"/>
        <rFont val="Arial"/>
        <family val="2"/>
      </rPr>
      <t xml:space="preserve">
Code section</t>
    </r>
  </si>
  <si>
    <r>
      <rPr>
        <b/>
        <sz val="11"/>
        <rFont val="Arial"/>
        <family val="2"/>
      </rPr>
      <t>(e)</t>
    </r>
    <r>
      <rPr>
        <sz val="11"/>
        <rFont val="Arial"/>
        <family val="2"/>
      </rPr>
      <t xml:space="preserve">
Amortization
period or
percentage</t>
    </r>
  </si>
  <si>
    <r>
      <rPr>
        <b/>
        <sz val="11"/>
        <rFont val="Arial"/>
        <family val="2"/>
      </rPr>
      <t xml:space="preserve">(f)
</t>
    </r>
    <r>
      <rPr>
        <sz val="11"/>
        <rFont val="Arial"/>
        <family val="2"/>
      </rPr>
      <t>Amortization for this year</t>
    </r>
  </si>
  <si>
    <r>
      <rPr>
        <b/>
        <sz val="12"/>
        <rFont val="Arial"/>
        <family val="2"/>
      </rPr>
      <t>Total.</t>
    </r>
    <r>
      <rPr>
        <sz val="12"/>
        <rFont val="Arial"/>
        <family val="2"/>
      </rPr>
      <t xml:space="preserve"> Add amounts in column (f). See the instructions for where to report</t>
    </r>
  </si>
  <si>
    <r>
      <rPr>
        <sz val="8"/>
        <rFont val="Arial"/>
        <family val="2"/>
      </rPr>
      <t xml:space="preserve">Form </t>
    </r>
    <r>
      <rPr>
        <b/>
        <sz val="14"/>
        <rFont val="Arial"/>
        <family val="2"/>
      </rPr>
      <t>4562</t>
    </r>
  </si>
  <si>
    <t>Description of property</t>
  </si>
  <si>
    <t>Date
Placed in Service</t>
  </si>
  <si>
    <t>Cost or
Other
Basis</t>
  </si>
  <si>
    <t>Business/
Investment
Use %</t>
  </si>
  <si>
    <t>Section 179
Special
Allowance,
and Other
Basis
Reductions</t>
  </si>
  <si>
    <t>Method/
Convention</t>
  </si>
  <si>
    <t>Recovery
Period</t>
  </si>
  <si>
    <t>Rate or 
Table %</t>
  </si>
  <si>
    <t>Depreciation
Deduction</t>
  </si>
  <si>
    <t>Form 4562, Depreciation and Amortization</t>
  </si>
  <si>
    <r>
      <t xml:space="preserve">Tentative deduction. Enter the </t>
    </r>
    <r>
      <rPr>
        <b/>
        <sz val="12"/>
        <rFont val="Arial"/>
        <family val="2"/>
      </rPr>
      <t>smaller</t>
    </r>
    <r>
      <rPr>
        <sz val="12"/>
        <rFont val="Arial"/>
        <family val="2"/>
      </rPr>
      <t xml:space="preserve"> of line 5 or line 8</t>
    </r>
  </si>
  <si>
    <t xml:space="preserve">.   .   .   .   .   .   .   .   .   .   .   .   .   .   .   .   .   .   .   .   .   .   .   .   .   .   .   .   .   .   .   .   .   .   .   .   .   .   .   .   .   .   .   .   .  </t>
  </si>
  <si>
    <r>
      <rPr>
        <b/>
        <sz val="12"/>
        <rFont val="Arial"/>
        <family val="2"/>
      </rPr>
      <t>Total.</t>
    </r>
    <r>
      <rPr>
        <sz val="12"/>
        <rFont val="Arial"/>
        <family val="2"/>
      </rPr>
      <t xml:space="preserve"> Add amounts from line 12, lines 14 through 17, lines 19 and 20 in column (g), and line 21. Enter</t>
    </r>
  </si>
  <si>
    <t>on line 5b; do not make an entry on line 5a.</t>
  </si>
  <si>
    <r>
      <t xml:space="preserve">see Simplified Method, sheet </t>
    </r>
    <r>
      <rPr>
        <b/>
        <sz val="10"/>
        <color rgb="FF008000"/>
        <rFont val="Arial"/>
        <family val="2"/>
      </rPr>
      <t>"Lines 5ab (Simplified Meth WS)"</t>
    </r>
    <r>
      <rPr>
        <sz val="10"/>
        <color rgb="FF008000"/>
        <rFont val="Arial"/>
        <family val="2"/>
      </rPr>
      <t xml:space="preserve">, to find out if you </t>
    </r>
  </si>
  <si>
    <t>taxable part for you for a $1,000 fee. For details, see Pub. 939.</t>
  </si>
  <si>
    <t>must use that method to figure the taxable part.  You can ask the IRS to figure the</t>
  </si>
  <si>
    <r>
      <t xml:space="preserve">The sheet labeled </t>
    </r>
    <r>
      <rPr>
        <b/>
        <sz val="10"/>
        <color rgb="FF008000"/>
        <rFont val="Arial"/>
        <family val="2"/>
      </rPr>
      <t>"Line 5ab (Simplified Meth WS)"</t>
    </r>
    <r>
      <rPr>
        <sz val="10"/>
        <color rgb="FF008000"/>
        <rFont val="Arial"/>
        <family val="2"/>
      </rPr>
      <t xml:space="preserve"> is a stand-alone worksheet that</t>
    </r>
  </si>
  <si>
    <t>is used to calculate the taxable amount of a pension or annuity that is not fully taxable.</t>
  </si>
  <si>
    <r>
      <t xml:space="preserve">Enter the total amount from </t>
    </r>
    <r>
      <rPr>
        <b/>
        <sz val="10"/>
        <rFont val="Arial"/>
        <family val="2"/>
      </rPr>
      <t>box 5</t>
    </r>
    <r>
      <rPr>
        <sz val="10"/>
        <rFont val="Arial"/>
        <family val="2"/>
      </rPr>
      <t xml:space="preserve"> of all your </t>
    </r>
    <r>
      <rPr>
        <b/>
        <sz val="10"/>
        <rFont val="Arial"/>
        <family val="2"/>
      </rPr>
      <t>Forms SSA-1099</t>
    </r>
    <r>
      <rPr>
        <sz val="10"/>
        <rFont val="Arial"/>
        <family val="2"/>
      </rPr>
      <t>. Include the</t>
    </r>
  </si>
  <si>
    <t>Railroad Retirement Benefits, for
rules on a lump-sum election you
can make that may reduce the
amount of your taxable benefits.</t>
  </si>
  <si>
    <t>(Rev. October 2020)</t>
  </si>
  <si>
    <t>Used on Notice 703, Line A (below)</t>
  </si>
  <si>
    <r>
      <t xml:space="preserve">o  Enter the total amount from line A above on Form 1040, line 6a, </t>
    </r>
    <r>
      <rPr>
        <b/>
        <sz val="10"/>
        <rFont val="Arial"/>
        <family val="2"/>
      </rPr>
      <t>and</t>
    </r>
    <r>
      <rPr>
        <sz val="10"/>
        <rFont val="Arial"/>
        <family val="2"/>
      </rPr>
      <t xml:space="preserve"> enter -0- on Form 1040, line 6b.</t>
    </r>
  </si>
  <si>
    <t>Total Pension / Annuities</t>
  </si>
  <si>
    <t>Total
Pension / Annuities</t>
  </si>
  <si>
    <r>
      <t>stop here</t>
    </r>
    <r>
      <rPr>
        <i/>
        <sz val="11"/>
        <rFont val="Arial"/>
        <family val="2"/>
      </rPr>
      <t xml:space="preserve"> and </t>
    </r>
  </si>
  <si>
    <t>See the earlier instructions for line 16 to see if you can use this worksheet to figure your tax.</t>
  </si>
  <si>
    <t>FATCA filing requirement</t>
  </si>
  <si>
    <t>Date of Payment</t>
  </si>
  <si>
    <t>Head of house</t>
  </si>
  <si>
    <t>(See the instructions if you are filing Form 1040-NR.)</t>
  </si>
  <si>
    <t>Form 2210 unless you checked a box in Part II</t>
  </si>
  <si>
    <t>Don't file</t>
  </si>
  <si>
    <t>stop here; you don't owe a penalty.</t>
  </si>
  <si>
    <t>Figure the Penalty. Also include this amount on Form 1040, 1040-SR, or 1040-NR, line 38; or</t>
  </si>
  <si>
    <r>
      <rPr>
        <sz val="11"/>
        <rFont val="Arial"/>
        <family val="2"/>
      </rPr>
      <t>Form 1041, line 27.</t>
    </r>
    <r>
      <rPr>
        <b/>
        <sz val="11"/>
        <rFont val="Arial"/>
        <family val="2"/>
      </rPr>
      <t xml:space="preserve">  Don't file Form 2210 unless you checked a box in Part II</t>
    </r>
  </si>
  <si>
    <r>
      <t xml:space="preserve">Deduction for qualified business income. </t>
    </r>
    <r>
      <rPr>
        <b/>
        <sz val="11"/>
        <rFont val="Arial"/>
        <family val="2"/>
      </rPr>
      <t>Estates &amp; trusts:</t>
    </r>
  </si>
  <si>
    <t>Subtract this amount from the amount on line 3, skip</t>
  </si>
  <si>
    <t>line 10, and enter the result on line 11</t>
  </si>
  <si>
    <t>Complete lines 22–27 of one column before going to line 22 of the next column.</t>
  </si>
  <si>
    <t>Annualization amounts (see instructions)</t>
  </si>
  <si>
    <r>
      <rPr>
        <b/>
        <sz val="9"/>
        <rFont val="Arial"/>
        <family val="2"/>
      </rPr>
      <t>Proportion (P)</t>
    </r>
    <r>
      <rPr>
        <sz val="9"/>
        <rFont val="Arial"/>
        <family val="2"/>
      </rPr>
      <t xml:space="preserve">
(see instructions)</t>
    </r>
  </si>
  <si>
    <t>Enter</t>
  </si>
  <si>
    <t>AJ through AQ</t>
  </si>
  <si>
    <t>Recovery rebate credit.</t>
  </si>
  <si>
    <t>Qualified sick and family leave credits from Schedule H &amp; Form 7202</t>
  </si>
  <si>
    <t>(Schedule 3, line 12b).</t>
  </si>
  <si>
    <t>Enter "IRA" or "P/A" or "CONV" &gt;&gt;&gt;</t>
  </si>
  <si>
    <t>4.  Enter the amount from Form 1040 or 1040-SR, line 18</t>
  </si>
  <si>
    <t>https://sites.google.com/view/incometaxspreadsheet/home/changes</t>
  </si>
  <si>
    <t>Are lines 18 and 19 both zero or blank and are you not filing Form 4952?</t>
  </si>
  <si>
    <t>Check here if</t>
  </si>
  <si>
    <t>filing Form 4952.</t>
  </si>
  <si>
    <t>Cat. No. 11358Z</t>
  </si>
  <si>
    <t>Year:</t>
  </si>
  <si>
    <t>&lt;&lt;&lt; Check here to use Lifetime Learnng Credit.</t>
  </si>
  <si>
    <t/>
  </si>
  <si>
    <t>Spouse Total</t>
  </si>
  <si>
    <t>Your Total</t>
  </si>
  <si>
    <t>Sch. 1 Line 8 WS', line 7</t>
  </si>
  <si>
    <t>Sch. 1 Line 8 WS', line 8     /    Sch. 1, line 7</t>
  </si>
  <si>
    <r>
      <rPr>
        <b/>
        <sz val="10"/>
        <rFont val="Arial"/>
        <family val="2"/>
      </rPr>
      <t xml:space="preserve">Sch. 3 </t>
    </r>
    <r>
      <rPr>
        <sz val="10"/>
        <rFont val="Arial"/>
        <family val="2"/>
      </rPr>
      <t>(Form 1040), Line 10</t>
    </r>
  </si>
  <si>
    <t>Line 4b</t>
  </si>
  <si>
    <t>Dotted</t>
  </si>
  <si>
    <r>
      <rPr>
        <b/>
        <sz val="10"/>
        <rFont val="Arial"/>
        <family val="2"/>
      </rPr>
      <t>&lt;&lt;&lt;</t>
    </r>
    <r>
      <rPr>
        <sz val="10"/>
        <rFont val="Arial"/>
        <family val="2"/>
      </rPr>
      <t xml:space="preserve"> Enter </t>
    </r>
    <r>
      <rPr>
        <b/>
        <sz val="10"/>
        <rFont val="Arial"/>
        <family val="2"/>
      </rPr>
      <t>Alimony Received</t>
    </r>
    <r>
      <rPr>
        <sz val="10"/>
        <rFont val="Arial"/>
        <family val="2"/>
      </rPr>
      <t xml:space="preserve"> here.</t>
    </r>
  </si>
  <si>
    <r>
      <t xml:space="preserve">Deductions subject to AGI limitations under section 67 or section 68. Any deduction allowed against net investment income that, for purposes of computing your regular income tax, is subject to either the 2% floor on miscellaneous </t>
    </r>
    <r>
      <rPr>
        <b/>
        <sz val="10"/>
        <rFont val="Arial"/>
        <family val="2"/>
      </rPr>
      <t>itemized</t>
    </r>
    <r>
      <rPr>
        <sz val="10"/>
        <rFont val="Arial"/>
        <family val="2"/>
      </rPr>
      <t xml:space="preserve"> deductions (section 67) or the overall limitation on </t>
    </r>
    <r>
      <rPr>
        <b/>
        <sz val="10"/>
        <rFont val="Arial"/>
        <family val="2"/>
      </rPr>
      <t>itemized</t>
    </r>
    <r>
      <rPr>
        <sz val="10"/>
        <rFont val="Arial"/>
        <family val="2"/>
      </rPr>
      <t xml:space="preserve"> deductions (section 68) is allowed in determining net investment income, but only to the extent the items are deductible after application of both limitations.</t>
    </r>
  </si>
  <si>
    <r>
      <rPr>
        <b/>
        <sz val="12"/>
        <rFont val="Arial"/>
        <family val="2"/>
      </rPr>
      <t>SCHEDULE 1</t>
    </r>
    <r>
      <rPr>
        <b/>
        <sz val="11"/>
        <rFont val="Arial"/>
        <family val="2"/>
      </rPr>
      <t xml:space="preserve">
(Form 1040)</t>
    </r>
  </si>
  <si>
    <t>8f</t>
  </si>
  <si>
    <t>8g</t>
  </si>
  <si>
    <t>8h</t>
  </si>
  <si>
    <t>8i</t>
  </si>
  <si>
    <t>8j</t>
  </si>
  <si>
    <t>8k</t>
  </si>
  <si>
    <t>8l</t>
  </si>
  <si>
    <t>8m</t>
  </si>
  <si>
    <t>8n</t>
  </si>
  <si>
    <t>8o</t>
  </si>
  <si>
    <t>8p</t>
  </si>
  <si>
    <t>8z</t>
  </si>
  <si>
    <t>Other income:</t>
  </si>
  <si>
    <t>z</t>
  </si>
  <si>
    <t>Net operating loss</t>
  </si>
  <si>
    <t>Gambling income</t>
  </si>
  <si>
    <t>Cancellation of debt</t>
  </si>
  <si>
    <t>Foreign earned income exclusion from Form 2555</t>
  </si>
  <si>
    <t>Taxable Health Savings Account distribution</t>
  </si>
  <si>
    <t>Alaska Permanent Fund dividends</t>
  </si>
  <si>
    <t>Jury duty pay</t>
  </si>
  <si>
    <t>Prizes and awards</t>
  </si>
  <si>
    <t>Activity not engaged in for profit income</t>
  </si>
  <si>
    <t>Stock options</t>
  </si>
  <si>
    <t>Income from the rental of personal property if you engaged in</t>
  </si>
  <si>
    <t>the rental for profit but were not in the business of renting such</t>
  </si>
  <si>
    <t>Olympic and Paralympic medals and USOC prize money (see</t>
  </si>
  <si>
    <t>Section 951(a) inclusion (see instructions)</t>
  </si>
  <si>
    <t>Section 951A(a) inclusion (see instructions)</t>
  </si>
  <si>
    <t>Section 461(l) excess business loss adjustment</t>
  </si>
  <si>
    <t>Taxable distributions from an ABLE account (see instructions)</t>
  </si>
  <si>
    <t>Other income.  List type and amount</t>
  </si>
  <si>
    <t>Total other income. Add lines 8a through 8z</t>
  </si>
  <si>
    <t>Combine lines 1 through 7 and 9. Enter here and on Form 1040, 1040-SR, or</t>
  </si>
  <si>
    <t>1040-NR, line 8</t>
  </si>
  <si>
    <t>24c</t>
  </si>
  <si>
    <t>24d</t>
  </si>
  <si>
    <t>24e</t>
  </si>
  <si>
    <t>24f</t>
  </si>
  <si>
    <t>24g</t>
  </si>
  <si>
    <t>24h</t>
  </si>
  <si>
    <t>24i</t>
  </si>
  <si>
    <t>24j</t>
  </si>
  <si>
    <t>Jury duty pay (see instructions)</t>
  </si>
  <si>
    <t>Deductible expenses related to income reported on line 8k from</t>
  </si>
  <si>
    <t>the rental of personal property engaged in for profit</t>
  </si>
  <si>
    <t>Nontaxable amount of the value of Olympic and Paralympic</t>
  </si>
  <si>
    <t>medals and USOC prize money reported on line 8l</t>
  </si>
  <si>
    <t>Reforestation amortization and expenses</t>
  </si>
  <si>
    <t>Repayment of supplemental unemployment benefits under the</t>
  </si>
  <si>
    <t>Trade Act of 1974</t>
  </si>
  <si>
    <t>Contributions to section 501(c)(18)(D) pension plans</t>
  </si>
  <si>
    <t>Contributions by certain chaplains to section 403(b) plans</t>
  </si>
  <si>
    <t>Attorney fees and court costs for actions involving certain</t>
  </si>
  <si>
    <t>unlawful discrimination claims (see instructions)</t>
  </si>
  <si>
    <t>Attorney fees and court costs you paid in connection with an</t>
  </si>
  <si>
    <t>award from the IRS for information you provided that helped the</t>
  </si>
  <si>
    <t>IRS detect tax law violations</t>
  </si>
  <si>
    <t>Housing deduction from Form 2555</t>
  </si>
  <si>
    <t>Excess deductions of section 67(e) expenses from Schedule K-1</t>
  </si>
  <si>
    <t>(Form 1041)</t>
  </si>
  <si>
    <t>Total other adjustments. Add lines 24a through 24z</t>
  </si>
  <si>
    <t>here and on Form 1040 or 1040-SR, line 10, or Form 1040-NR, line 10a</t>
  </si>
  <si>
    <t>Other adjustments.  List type and amount</t>
  </si>
  <si>
    <t>24z</t>
  </si>
  <si>
    <t xml:space="preserve">  Limit on Home Mortgage Insurance Premium — Line 8d</t>
  </si>
  <si>
    <t>You can't deduct your mortgage insurance premiums if the amount on Form 1040 or 1040-SR, line 11, is more than</t>
  </si>
  <si>
    <t>Mortgage Insurance</t>
  </si>
  <si>
    <t>Premiums</t>
  </si>
  <si>
    <t>Enter the total premiums you paid in 2020 for qualified mortgage insurance for a contract issued</t>
  </si>
  <si>
    <t>Is the amount on line 2 more than the amount on line 3?</t>
  </si>
  <si>
    <t>Your deduction isn't limited. Enter the amount from line 1 of this worksheet on</t>
  </si>
  <si>
    <t>(AGI)</t>
  </si>
  <si>
    <t>ß</t>
  </si>
  <si>
    <t>For example, increase $425 to $1,000, increase $2,025 to $3,000; or if married filing</t>
  </si>
  <si>
    <t>separately, increase $425 to $500, increase $2,025 to $2,500, etc.</t>
  </si>
  <si>
    <t>Divide line 4 by $10,000 ($5,000 if married filing separately). Enter the result as a decimal.</t>
  </si>
  <si>
    <t>If the result is 1.0 or more, enter 1.0.</t>
  </si>
  <si>
    <t>Multiply line 1 by line 5</t>
  </si>
  <si>
    <t>Enter the result here and on Schedule A, line 8d</t>
  </si>
  <si>
    <r>
      <rPr>
        <b/>
        <sz val="10"/>
        <rFont val="Arial"/>
        <family val="2"/>
      </rPr>
      <t>Mortgage insurance premiums deduction.</t>
    </r>
    <r>
      <rPr>
        <sz val="10"/>
        <rFont val="Arial"/>
        <family val="2"/>
      </rPr>
      <t xml:space="preserve"> Subtract line 6 from line 1.</t>
    </r>
  </si>
  <si>
    <r>
      <t xml:space="preserve">Schedule A, line 8d. </t>
    </r>
    <r>
      <rPr>
        <b/>
        <sz val="10"/>
        <rFont val="Arial"/>
        <family val="2"/>
      </rPr>
      <t>Don't</t>
    </r>
    <r>
      <rPr>
        <sz val="10"/>
        <rFont val="Arial"/>
        <family val="2"/>
      </rPr>
      <t xml:space="preserve"> complete the rest of this worksheet.</t>
    </r>
  </si>
  <si>
    <r>
      <t xml:space="preserve">Enter your adjusted gross income from Form 1040 or 1040-SR, line 11 </t>
    </r>
    <r>
      <rPr>
        <b/>
        <sz val="10"/>
        <rFont val="Arial"/>
        <family val="2"/>
      </rPr>
      <t>.   .   .   .   .   .</t>
    </r>
  </si>
  <si>
    <t xml:space="preserve">  Mortgage Insurance Premiums (MIP) Deduction Worksheet — Line 8d</t>
  </si>
  <si>
    <r>
      <rPr>
        <b/>
        <sz val="10"/>
        <rFont val="Arial"/>
        <family val="2"/>
      </rPr>
      <t>Note:</t>
    </r>
    <r>
      <rPr>
        <sz val="10"/>
        <rFont val="Arial"/>
        <family val="2"/>
      </rPr>
      <t xml:space="preserve"> This worksheet determines your MIP deduction if your adjusted gross income is &gt; $100,000 but &lt; $109,000.
(If married filing separately, if your AGI is &gt; $50,000 but &lt; $54,500.)</t>
    </r>
  </si>
  <si>
    <r>
      <t xml:space="preserve">your deduction is limited and you must use the </t>
    </r>
    <r>
      <rPr>
        <b/>
        <sz val="10"/>
        <rFont val="Arial"/>
        <family val="2"/>
      </rPr>
      <t>Mortgage Insurance Premiums Deduction Worksheet</t>
    </r>
    <r>
      <rPr>
        <sz val="10"/>
        <rFont val="Arial"/>
        <family val="2"/>
      </rPr>
      <t xml:space="preserve"> to figure your deduction.</t>
    </r>
  </si>
  <si>
    <t>after December 31, 2006.  (From cell S46.)</t>
  </si>
  <si>
    <t>Last checked</t>
  </si>
  <si>
    <r>
      <rPr>
        <b/>
        <sz val="10"/>
        <rFont val="Arial"/>
        <family val="2"/>
      </rPr>
      <t xml:space="preserve">Schedule C. </t>
    </r>
    <r>
      <rPr>
        <sz val="10"/>
        <rFont val="Arial"/>
        <family val="2"/>
      </rPr>
      <t xml:space="preserve"> See instructions.  If you are an individual, report farm rental income or loss from </t>
    </r>
    <r>
      <rPr>
        <b/>
        <sz val="10"/>
        <rFont val="Arial"/>
        <family val="2"/>
      </rPr>
      <t>Form 4835</t>
    </r>
    <r>
      <rPr>
        <sz val="10"/>
        <rFont val="Arial"/>
        <family val="2"/>
      </rPr>
      <t xml:space="preserve"> on page 2, line 40.</t>
    </r>
  </si>
  <si>
    <t>Type of Property (from list below)</t>
  </si>
  <si>
    <t>Fair Rental
Days</t>
  </si>
  <si>
    <t>Personal Use
Days</t>
  </si>
  <si>
    <r>
      <rPr>
        <b/>
        <sz val="10"/>
        <rFont val="Arial"/>
        <family val="2"/>
      </rPr>
      <t>Schedule C.</t>
    </r>
    <r>
      <rPr>
        <sz val="10"/>
        <rFont val="Arial"/>
        <family val="2"/>
      </rPr>
      <t xml:space="preserve">  See instructions.  If you are an individual, report farm rental income or loss from </t>
    </r>
    <r>
      <rPr>
        <b/>
        <sz val="10"/>
        <rFont val="Arial"/>
        <family val="2"/>
      </rPr>
      <t>Form 4835</t>
    </r>
    <r>
      <rPr>
        <sz val="10"/>
        <rFont val="Arial"/>
        <family val="2"/>
      </rPr>
      <t xml:space="preserve"> on page 2, line 40.</t>
    </r>
  </si>
  <si>
    <r>
      <rPr>
        <b/>
        <sz val="10"/>
        <rFont val="Arial"/>
        <family val="2"/>
      </rPr>
      <t>Reconciliation for real estate professionals.</t>
    </r>
    <r>
      <rPr>
        <sz val="10"/>
        <rFont val="Arial"/>
        <family val="2"/>
      </rPr>
      <t xml:space="preserve"> If you were a real estate professional</t>
    </r>
  </si>
  <si>
    <t>1040, 1040-SR, or 1040-NR from all rental real estate activities in which</t>
  </si>
  <si>
    <t>you materially participated under the passive activity loss rules</t>
  </si>
  <si>
    <t xml:space="preserve">   .   .   .  </t>
  </si>
  <si>
    <t>(see instructions),  enter the net income or (loss) you reported  anywhere on Form</t>
  </si>
  <si>
    <t>Expenses.</t>
  </si>
  <si>
    <r>
      <t xml:space="preserve">Enter expenses for business use of your home </t>
    </r>
    <r>
      <rPr>
        <b/>
        <sz val="12"/>
        <rFont val="Arial"/>
        <family val="2"/>
      </rPr>
      <t>only</t>
    </r>
    <r>
      <rPr>
        <sz val="12"/>
        <rFont val="Arial"/>
        <family val="2"/>
      </rPr>
      <t xml:space="preserve"> on line 30.</t>
    </r>
  </si>
  <si>
    <r>
      <t xml:space="preserve">• If a profit, enter on both </t>
    </r>
    <r>
      <rPr>
        <b/>
        <sz val="11"/>
        <rFont val="Arial"/>
        <family val="2"/>
      </rPr>
      <t>Schedule 1 (Form 1040), line 3,</t>
    </r>
    <r>
      <rPr>
        <sz val="11"/>
        <rFont val="Arial"/>
        <family val="2"/>
      </rPr>
      <t xml:space="preserve"> and on </t>
    </r>
    <r>
      <rPr>
        <b/>
        <sz val="11"/>
        <rFont val="Arial"/>
        <family val="2"/>
      </rPr>
      <t>Schedule SE, line 2.</t>
    </r>
    <r>
      <rPr>
        <sz val="11"/>
        <rFont val="Arial"/>
        <family val="2"/>
      </rPr>
      <t xml:space="preserve">  (If you</t>
    </r>
  </si>
  <si>
    <t>If you have a loss, check the box that describes your investment in this activity. See instructions.</t>
  </si>
  <si>
    <t>If you have a loss, check the box that describes your investment in this activity.  See instructions.</t>
  </si>
  <si>
    <r>
      <t xml:space="preserve">Complete this part </t>
    </r>
    <r>
      <rPr>
        <b/>
        <sz val="11"/>
        <rFont val="Arial"/>
        <family val="2"/>
      </rPr>
      <t>only</t>
    </r>
    <r>
      <rPr>
        <sz val="11"/>
        <rFont val="Arial"/>
        <family val="2"/>
      </rPr>
      <t xml:space="preserve"> if you are claiming car or truck expenses on line 9 and</t>
    </r>
  </si>
  <si>
    <t xml:space="preserve">   are not required to file Form 4562 for this business. See the instructions for line 13 on instructions to find out if you must file</t>
  </si>
  <si>
    <t xml:space="preserve">   Form 4562.</t>
  </si>
  <si>
    <t>Net farm profit or (loss) from Schedule F, line 34, and farm partnerships, Schedule K-1 (Form 1065),</t>
  </si>
  <si>
    <t>box 14, code A</t>
  </si>
  <si>
    <t>Net profit or (loss) from Schedule C, line 31; and Schedule K-1 (Form 1065), box 14, code A (other than</t>
  </si>
  <si>
    <t>farming). See instructions for other income to report or if you are a minister or member of a religious order</t>
  </si>
  <si>
    <t>From Sch. F, line 34, and Sch. K-1 (Form 1065),  box 14, code A - minus the amount you would've entered on line 1b had you not used the optional method.</t>
  </si>
  <si>
    <t>(Form 1040), line 15</t>
  </si>
  <si>
    <t>Credit for child and dependent care expenses from Form 2441, line 11.  Attach</t>
  </si>
  <si>
    <t>Form 2441</t>
  </si>
  <si>
    <t>Other nonrefundable credits:</t>
  </si>
  <si>
    <t>General business credit.  Attach Form 3800</t>
  </si>
  <si>
    <t>Credit for prior year minimum tax.  Attach Form 8801</t>
  </si>
  <si>
    <t>Adoption credit. Attach Form 8839</t>
  </si>
  <si>
    <t>Credit for the elderly or disabled. Attach Schedule R</t>
  </si>
  <si>
    <t>Alternative motor vehicle credit. Attach Form 8910</t>
  </si>
  <si>
    <t>Qualified plug-in motor vehicle credit. Attach Form 8936</t>
  </si>
  <si>
    <t>Mortgage interest credit. Attach Form 8396</t>
  </si>
  <si>
    <t>District of Columbia first-time homebuyer credit. Attach Form 8859</t>
  </si>
  <si>
    <t>Qualified electric vehicle credit. Attach Form 8834</t>
  </si>
  <si>
    <t>Alternative fuel vehicle refueling property credit. Attach Form 8911</t>
  </si>
  <si>
    <t>Credit to holders of tax credit bonds. Attach Form 8912</t>
  </si>
  <si>
    <t>Amount on Form 8978, line 14. See instructions</t>
  </si>
  <si>
    <t>Other nonrefundable credits. List type and amount</t>
  </si>
  <si>
    <t>Total other nonrefundable credits. Add lines 6a through 6z</t>
  </si>
  <si>
    <t>6c</t>
  </si>
  <si>
    <t>6e</t>
  </si>
  <si>
    <t>6f</t>
  </si>
  <si>
    <t>6g</t>
  </si>
  <si>
    <t>6h</t>
  </si>
  <si>
    <t>6i</t>
  </si>
  <si>
    <t>6j</t>
  </si>
  <si>
    <t>6k</t>
  </si>
  <si>
    <t>6l</t>
  </si>
  <si>
    <t>6z</t>
  </si>
  <si>
    <t>this amount on Schedule 3 (Form 1040), line 6d</t>
  </si>
  <si>
    <t>Add lines 1 through 5 and 7. Enter here and on Form 1040, 1040-SR, or 1040-NR,</t>
  </si>
  <si>
    <t>line 20</t>
  </si>
  <si>
    <t>(continued on page 2)</t>
  </si>
  <si>
    <t>Credit for repayment of amounts included in income from earlier</t>
  </si>
  <si>
    <t>years</t>
  </si>
  <si>
    <t>13d</t>
  </si>
  <si>
    <t>13e</t>
  </si>
  <si>
    <t>Other payments or refundable credits. List type and amount</t>
  </si>
  <si>
    <t>Total other payments or refundable credits. Add lines 13a through 13z</t>
  </si>
  <si>
    <t>Add lines 9 through 12 and 14. Enter here and on Form 1040, 1040-SR, or 1040-NR,</t>
  </si>
  <si>
    <t>line 31</t>
  </si>
  <si>
    <t>Deferred amount of net 965 tax liability (see instructions)</t>
  </si>
  <si>
    <t>Credit for child and dependent care expenses from Form 2441,</t>
  </si>
  <si>
    <t>line 10.  Attach Form 2441</t>
  </si>
  <si>
    <t>13f</t>
  </si>
  <si>
    <t>13g</t>
  </si>
  <si>
    <t>13h</t>
  </si>
  <si>
    <t>13z</t>
  </si>
  <si>
    <t xml:space="preserve">.   .   .   .   .   .   .   .   .   </t>
  </si>
  <si>
    <t xml:space="preserve">.   .   .   .   .   .   .   .   .   .   .   </t>
  </si>
  <si>
    <t xml:space="preserve">.   .   </t>
  </si>
  <si>
    <t xml:space="preserve">.   .   .   .   .   .   .   .   .   .   .   .   .   .   .   .   .   .   .   </t>
  </si>
  <si>
    <t xml:space="preserve">.    .   .   .   .   .   .   .   .   .  </t>
  </si>
  <si>
    <r>
      <t xml:space="preserve">SCHEDULE 3
</t>
    </r>
    <r>
      <rPr>
        <b/>
        <sz val="11"/>
        <rFont val="Arial"/>
        <family val="2"/>
      </rPr>
      <t>(Form 1040)</t>
    </r>
  </si>
  <si>
    <t>Qualifying Widow(er) (QW)</t>
  </si>
  <si>
    <t>Adjustments to income from Schedule 1, line 26</t>
  </si>
  <si>
    <t>Add lines 12c and 13</t>
  </si>
  <si>
    <r>
      <t xml:space="preserve">Subtract line 10 from line 9. This is your </t>
    </r>
    <r>
      <rPr>
        <b/>
        <sz val="9"/>
        <rFont val="Arial"/>
        <family val="2"/>
      </rPr>
      <t>adjusted gross income</t>
    </r>
  </si>
  <si>
    <t>If you checked any</t>
  </si>
  <si>
    <t xml:space="preserve">box, see instructions. </t>
  </si>
  <si>
    <r>
      <t xml:space="preserve">Form </t>
    </r>
    <r>
      <rPr>
        <b/>
        <sz val="12"/>
        <rFont val="Arial"/>
        <family val="2"/>
      </rPr>
      <t>1040</t>
    </r>
  </si>
  <si>
    <t>Nonrefundable child tax credit or credit for other dependents from Schedule 8812</t>
  </si>
  <si>
    <t xml:space="preserve">.   </t>
  </si>
  <si>
    <t>Amount from Schedule 3, line 8</t>
  </si>
  <si>
    <t>Other taxes, including self-employment tax, from Schedule 2, line 21</t>
  </si>
  <si>
    <t>If you have a qualifying child, attach Sch EIC.</t>
  </si>
  <si>
    <t>Amount from Schedule 3, line 15</t>
  </si>
  <si>
    <t>Nontaxable combat pay election</t>
  </si>
  <si>
    <t>27c</t>
  </si>
  <si>
    <r>
      <t xml:space="preserve">Add lines 27a and 28 through 31. These are your </t>
    </r>
    <r>
      <rPr>
        <b/>
        <sz val="9"/>
        <rFont val="Arial"/>
        <family val="2"/>
      </rPr>
      <t>total other payments and refundable credits</t>
    </r>
  </si>
  <si>
    <r>
      <rPr>
        <b/>
        <sz val="9"/>
        <rFont val="Arial"/>
        <family val="2"/>
      </rPr>
      <t>Amount you owe.</t>
    </r>
    <r>
      <rPr>
        <sz val="9"/>
        <rFont val="Arial"/>
        <family val="2"/>
      </rPr>
      <t xml:space="preserve"> Subtract line 33 from line 24. For details on how to pay, see instructions</t>
    </r>
  </si>
  <si>
    <t>Refundable child tax credit or additional child tax credit from Schedule 8812</t>
  </si>
  <si>
    <t xml:space="preserve"> If you checked the HOH or QW box, enter the child’s name if the qualifying </t>
  </si>
  <si>
    <t>person is a child but not your dependent.</t>
  </si>
  <si>
    <t>Child tax credit</t>
  </si>
  <si>
    <t>filing separately</t>
  </si>
  <si>
    <t>Add lines 12a and 12b</t>
  </si>
  <si>
    <r>
      <t>25c</t>
    </r>
    <r>
      <rPr>
        <sz val="10"/>
        <rFont val="Arial"/>
        <family val="2"/>
      </rPr>
      <t xml:space="preserve"> (add)</t>
    </r>
  </si>
  <si>
    <r>
      <rPr>
        <b/>
        <sz val="12"/>
        <rFont val="Arial"/>
        <family val="2"/>
      </rPr>
      <t>SCHEDULE 2</t>
    </r>
    <r>
      <rPr>
        <b/>
        <sz val="11"/>
        <rFont val="Arial"/>
        <family val="2"/>
      </rPr>
      <t xml:space="preserve">
(Form 1040)</t>
    </r>
  </si>
  <si>
    <t>Form 6251, Line 11</t>
  </si>
  <si>
    <t>Form 8962, line 29</t>
  </si>
  <si>
    <t>Form 1040, Sch. SE, line 12</t>
  </si>
  <si>
    <t>Attach Form 4137</t>
  </si>
  <si>
    <t>Social security and Medicare tax on unreported tip income.</t>
  </si>
  <si>
    <t>Uncollected social security and Medicare tax on wages. Attach</t>
  </si>
  <si>
    <t>Form 8919</t>
  </si>
  <si>
    <t>Total additional social security and Medicare tax.  Add lines 5 and 6</t>
  </si>
  <si>
    <t>Additional tax on IRAs or other tax-favored accounts. Attach Form 5329 if required</t>
  </si>
  <si>
    <t>Repayment of first-time homebuyer credit.  Attach Form 5405 if required</t>
  </si>
  <si>
    <t>Additional Medicare Tax.  Attach Form 8959</t>
  </si>
  <si>
    <t>Net investment income tax.  Attach Form 8960</t>
  </si>
  <si>
    <t>Uncollected social security and Medicare tax on tips or group-term life</t>
  </si>
  <si>
    <t>insurance from Form W-2, box 12</t>
  </si>
  <si>
    <t>Interest on tax due on installment income from the sale of certain residential lots</t>
  </si>
  <si>
    <t>and timeshares</t>
  </si>
  <si>
    <t>Interest on the deferred tax on gain from certain installment sales with a sales price</t>
  </si>
  <si>
    <t>over $150,000</t>
  </si>
  <si>
    <t>Recapture of low-income housing credit. Attach Form 8611</t>
  </si>
  <si>
    <t>Schedule 2 (Form 1040)  2021</t>
  </si>
  <si>
    <r>
      <t>Other Taxes</t>
    </r>
    <r>
      <rPr>
        <i/>
        <sz val="12"/>
        <rFont val="Arial"/>
        <family val="2"/>
      </rPr>
      <t xml:space="preserve">  (continued)</t>
    </r>
  </si>
  <si>
    <t>Other additional taxes:</t>
  </si>
  <si>
    <t>amount</t>
  </si>
  <si>
    <t>Recapture of other credits. List type, form number, and</t>
  </si>
  <si>
    <t>Compensation you received from a nonqualified deferred</t>
  </si>
  <si>
    <t>compensation plan described in section 457A</t>
  </si>
  <si>
    <t>Section 72(m)(5) excess benefits tax</t>
  </si>
  <si>
    <t>Golden parachute payments</t>
  </si>
  <si>
    <t>Tax on accumulation distribution of trusts</t>
  </si>
  <si>
    <t>Excise tax on insider stock compensation from an expatriated</t>
  </si>
  <si>
    <t>corporation</t>
  </si>
  <si>
    <t>Look-back interest under section 167(g) or 460(b) from Form</t>
  </si>
  <si>
    <t>8697 or 8866</t>
  </si>
  <si>
    <t>Tax on non-effectively connected income for any part of the</t>
  </si>
  <si>
    <t>year you were a nonresident alien from Form 1040-NR</t>
  </si>
  <si>
    <t>Any interest from Form 8621, line 16f, relating to distributions</t>
  </si>
  <si>
    <t>from, and dispositions of, stock of a section 1291 fund</t>
  </si>
  <si>
    <t>Any interest from Form 8621, line 24</t>
  </si>
  <si>
    <t>Any other taxes. List type and amount</t>
  </si>
  <si>
    <t>Recapture of federal mortgage subsidy. If you sold your home in</t>
  </si>
  <si>
    <t>individual.  Attach Form 8889</t>
  </si>
  <si>
    <t>Additional tax on Medicare Advantage MSA distributions. Attach</t>
  </si>
  <si>
    <t>Form 8853</t>
  </si>
  <si>
    <t>Recapture of a charitable contribution deduction related to a</t>
  </si>
  <si>
    <t>Total additional taxes.  Add lines 17a through 17z</t>
  </si>
  <si>
    <t>17z</t>
  </si>
  <si>
    <t>17d</t>
  </si>
  <si>
    <t>17e</t>
  </si>
  <si>
    <t>17f</t>
  </si>
  <si>
    <t>17g</t>
  </si>
  <si>
    <t>17h</t>
  </si>
  <si>
    <t>17i</t>
  </si>
  <si>
    <t>17j</t>
  </si>
  <si>
    <t>17k</t>
  </si>
  <si>
    <t>17l</t>
  </si>
  <si>
    <t>17m</t>
  </si>
  <si>
    <t>17n</t>
  </si>
  <si>
    <t>17o</t>
  </si>
  <si>
    <t>17p</t>
  </si>
  <si>
    <t>17q</t>
  </si>
  <si>
    <t>Additional tax from Schedule 8812</t>
  </si>
  <si>
    <t>Section 965 net tax liability installment from Form 965-A</t>
  </si>
  <si>
    <t>Add lines 4, 7 through 16, 18, and 19.  These are your total other taxes.  Enter here</t>
  </si>
  <si>
    <t>and on Form 1040 or 1040-SR, line 23, or Form 1040-NR, line 23b</t>
  </si>
  <si>
    <t xml:space="preserve"> .   .   .   .   .   .   .   .   .   .  </t>
  </si>
  <si>
    <t xml:space="preserve"> .   .   .   .   .   .   .   .   .   .   .   .  </t>
  </si>
  <si>
    <t xml:space="preserve"> .   .   .   .  </t>
  </si>
  <si>
    <t xml:space="preserve"> .   .   .   .   .   .   .   .   .   .   .   .   .   .   .   .   .   .   .   .   .   .   .   .  </t>
  </si>
  <si>
    <t xml:space="preserve">  .   .   .   .   .   .  </t>
  </si>
  <si>
    <t>Form 8959, line 18.</t>
  </si>
  <si>
    <t>Add lines 7, 13, and 17. Also include this amount on Schedule 2 (Form 1040), line 11, (Form 1040-PR</t>
  </si>
  <si>
    <t>or 1040-SS filers, see instructions), and go to Part V</t>
  </si>
  <si>
    <t>Form 8960, line 17.</t>
  </si>
  <si>
    <t>Additional tax on HSA distributions.   Attach Form 8889</t>
  </si>
  <si>
    <t>Additional tax on an HSA because you didn't remain an eligible</t>
  </si>
  <si>
    <t>Additional tax on Archer MSA distributions. Attach Form 8853</t>
  </si>
  <si>
    <t>Credits for Qualifying Children
and Other Dependents</t>
  </si>
  <si>
    <t>Part I-A</t>
  </si>
  <si>
    <t>Child Tax Credit and Credit for Other Dependents</t>
  </si>
  <si>
    <t>Enter the amount from line 11 of your Form 1040, 1040-SR, or 1040-NR</t>
  </si>
  <si>
    <t>Enter income from Puerto Rico that you excluded</t>
  </si>
  <si>
    <t>Enter the amounts from lines 45 and 50 of your Form 2555</t>
  </si>
  <si>
    <t>Enter the amount from line 15 of your  Form 4563</t>
  </si>
  <si>
    <t>Add lines 2a through 2c</t>
  </si>
  <si>
    <t>Add lines 1 and 2d</t>
  </si>
  <si>
    <t>Subtract line 4b from line 4a</t>
  </si>
  <si>
    <t>Number of other dependents, including any qualifying children who are not under age</t>
  </si>
  <si>
    <t>18 or who do not have the required social security number</t>
  </si>
  <si>
    <t>Add lines 5 and 7</t>
  </si>
  <si>
    <t>Subtract line 9 from line 3.</t>
  </si>
  <si>
    <t>If more than zero and not a multiple of $1,000, enter the next multiple of $1,000.  For</t>
  </si>
  <si>
    <t>example, if the result is $425, enter $1,000; if the result is $1,025, enter $2,000, etc.</t>
  </si>
  <si>
    <t>Check all the boxes that apply to you (or your spouse if married filing jointly).</t>
  </si>
  <si>
    <t>Filers Who Check a Box on Line 13</t>
  </si>
  <si>
    <t>Part I-B</t>
  </si>
  <si>
    <t>Enter the smaller of line 7 or line 12</t>
  </si>
  <si>
    <t>Subtract line 14a from line 12</t>
  </si>
  <si>
    <t>Enter the smaller of line 14a or line 14c</t>
  </si>
  <si>
    <t>Add lines 14b and 14d</t>
  </si>
  <si>
    <t>Enter the aggregate amount of advance child tax credit payments you (and your spouse if filing jointly) received</t>
  </si>
  <si>
    <t>instructions before entering an amount on this line</t>
  </si>
  <si>
    <t>14e</t>
  </si>
  <si>
    <t>14f</t>
  </si>
  <si>
    <t>Subtract line 14f from line 14e. If zero or less, enter -0- on lines 14g through 14i and go to Part III</t>
  </si>
  <si>
    <t>19 of your Form 1040, 1040-SR, or 1040-NR</t>
  </si>
  <si>
    <t>14g</t>
  </si>
  <si>
    <t>14h</t>
  </si>
  <si>
    <t>filing jointly) on your Letter(s) 6419, the processing of your return will be delayed.</t>
  </si>
  <si>
    <t>your Form 1040, 1040-SR, or 1040-NR</t>
  </si>
  <si>
    <t>14i</t>
  </si>
  <si>
    <t>Number of qualifying children under age 18 with the required social security number</t>
  </si>
  <si>
    <t>Line 5 Worksheet</t>
  </si>
  <si>
    <t>Add lines 1 and line 2</t>
  </si>
  <si>
    <t>Married filing jointly  ---</t>
  </si>
  <si>
    <t>Qualifying widow(er) ---</t>
  </si>
  <si>
    <t>Head of household   ---</t>
  </si>
  <si>
    <t>All other filing statuses   ---</t>
  </si>
  <si>
    <t>Enter the smaller of line 5 or line 6</t>
  </si>
  <si>
    <t>Married filing jointly or Qualifying widow(er)    ---</t>
  </si>
  <si>
    <t>Subtract line 8 from Schedule 8812, line 3</t>
  </si>
  <si>
    <t>If more than zero and not a multiple of $1,000, enter the next multiple of $1,000</t>
  </si>
  <si>
    <t>For example, if the result is $425, enter $1,000, if the result is $1,025, enter $2,000, etc.</t>
  </si>
  <si>
    <t>Enter the smaller of line 7 or line 10</t>
  </si>
  <si>
    <t>Subtract line 11 from line 3.  Enter on Schedule 8812, line 5</t>
  </si>
  <si>
    <t>Credit Limit Worksheet A</t>
  </si>
  <si>
    <r>
      <rPr>
        <b/>
        <sz val="9"/>
        <rFont val="Arial"/>
        <family val="2"/>
      </rPr>
      <t>Schedule 3,</t>
    </r>
    <r>
      <rPr>
        <sz val="9"/>
        <rFont val="Arial"/>
        <family val="2"/>
      </rPr>
      <t xml:space="preserve"> line 1</t>
    </r>
  </si>
  <si>
    <r>
      <rPr>
        <b/>
        <sz val="9"/>
        <rFont val="Arial"/>
        <family val="2"/>
      </rPr>
      <t>Schedule 3,</t>
    </r>
    <r>
      <rPr>
        <sz val="9"/>
        <rFont val="Arial"/>
        <family val="2"/>
      </rPr>
      <t xml:space="preserve"> line 2</t>
    </r>
  </si>
  <si>
    <r>
      <rPr>
        <b/>
        <sz val="9"/>
        <rFont val="Arial"/>
        <family val="2"/>
      </rPr>
      <t>Schedule 3,</t>
    </r>
    <r>
      <rPr>
        <sz val="9"/>
        <rFont val="Arial"/>
        <family val="2"/>
      </rPr>
      <t xml:space="preserve"> line 3</t>
    </r>
  </si>
  <si>
    <r>
      <rPr>
        <b/>
        <sz val="9"/>
        <rFont val="Arial"/>
        <family val="2"/>
      </rPr>
      <t>Schedule 3,</t>
    </r>
    <r>
      <rPr>
        <sz val="9"/>
        <rFont val="Arial"/>
        <family val="2"/>
      </rPr>
      <t xml:space="preserve"> line 4</t>
    </r>
  </si>
  <si>
    <r>
      <rPr>
        <b/>
        <sz val="9"/>
        <rFont val="Arial"/>
        <family val="2"/>
      </rPr>
      <t>Schedule R,</t>
    </r>
    <r>
      <rPr>
        <sz val="9"/>
        <rFont val="Arial"/>
        <family val="2"/>
      </rPr>
      <t xml:space="preserve"> line 22</t>
    </r>
  </si>
  <si>
    <r>
      <rPr>
        <b/>
        <sz val="9"/>
        <rFont val="Arial"/>
        <family val="2"/>
      </rPr>
      <t>Form 5695,</t>
    </r>
    <r>
      <rPr>
        <sz val="9"/>
        <rFont val="Arial"/>
        <family val="2"/>
      </rPr>
      <t xml:space="preserve"> line 30</t>
    </r>
  </si>
  <si>
    <r>
      <rPr>
        <b/>
        <sz val="9"/>
        <rFont val="Arial"/>
        <family val="2"/>
      </rPr>
      <t>Form 8910,</t>
    </r>
    <r>
      <rPr>
        <sz val="9"/>
        <rFont val="Arial"/>
        <family val="2"/>
      </rPr>
      <t xml:space="preserve"> line 15</t>
    </r>
  </si>
  <si>
    <r>
      <rPr>
        <b/>
        <sz val="9"/>
        <rFont val="Arial"/>
        <family val="2"/>
      </rPr>
      <t>Form 8936,</t>
    </r>
    <r>
      <rPr>
        <sz val="9"/>
        <rFont val="Arial"/>
        <family val="2"/>
      </rPr>
      <t xml:space="preserve"> line 23</t>
    </r>
  </si>
  <si>
    <t>Add the following amounts (if applicable) from:</t>
  </si>
  <si>
    <t>+</t>
  </si>
  <si>
    <r>
      <rPr>
        <b/>
        <sz val="9"/>
        <rFont val="Arial"/>
        <family val="2"/>
      </rPr>
      <t>Schedule 3,</t>
    </r>
    <r>
      <rPr>
        <sz val="9"/>
        <rFont val="Arial"/>
        <family val="2"/>
      </rPr>
      <t xml:space="preserve"> line 6l  (6L)</t>
    </r>
  </si>
  <si>
    <t>You are completing Part I–C of Schedule 8812.</t>
  </si>
  <si>
    <t>You are claiming one or more of the following credits.</t>
  </si>
  <si>
    <t>Mortgage interest credit, Form 8396.</t>
  </si>
  <si>
    <t>You are not filing Form 2555.</t>
  </si>
  <si>
    <t>Line 4a of Schedule 8812 is more than zero.</t>
  </si>
  <si>
    <t>If you are not completing Credit Limit Worksheet B, enter -0-; otherwise, enter</t>
  </si>
  <si>
    <t>the amount from the Credit Limit Worksheet B.</t>
  </si>
  <si>
    <t>District of Columbia First-time homebuyer credit, Form 8859.</t>
  </si>
  <si>
    <t>Subtract line 4 from line 3. Enter here and on Schedule 8812, line 14c or line</t>
  </si>
  <si>
    <t>15a, whichever applies</t>
  </si>
  <si>
    <t>Part I-C</t>
  </si>
  <si>
    <t>Filers Who Do Not Check a Box on Line 13</t>
  </si>
  <si>
    <t>Enter the smaller of line 12 or line 15a</t>
  </si>
  <si>
    <t>Additional child tax credit. Complete Parts II-A through II-C if you meet each of the following items.</t>
  </si>
  <si>
    <t>Line 4a is more than zero.</t>
  </si>
  <si>
    <t>Line 12 is more than line 15a.</t>
  </si>
  <si>
    <t>Add lines 15b and 15c</t>
  </si>
  <si>
    <t>See your letter(s) 6419 for the amounts to include on this line. If you are missing Letter 6419, see the</t>
  </si>
  <si>
    <t>Subtract line 15e from line 15d. If zero or less, enter -0- on lines 15f through 15h and go to Part III</t>
  </si>
  <si>
    <t>dependents. Enter this amount on line 19 of your Form 1040, 1040-SR, or 1040-NR</t>
  </si>
  <si>
    <t>Form 1040, 1040-SR, or 1040-NR</t>
  </si>
  <si>
    <t>Part II-A</t>
  </si>
  <si>
    <t>Additional Child Tax Credit</t>
  </si>
  <si>
    <t>(use only if completing Part I-C)</t>
  </si>
  <si>
    <t>Number of qualifying children under 18 with the required social security number:</t>
  </si>
  <si>
    <t>Earned income (see instructions)</t>
  </si>
  <si>
    <t>20 on line 27.</t>
  </si>
  <si>
    <t>Otherwise, go to line 21.</t>
  </si>
  <si>
    <t>Part II-B</t>
  </si>
  <si>
    <t>Certain Filers Who Have Three or More Qualifying Children</t>
  </si>
  <si>
    <t>Withheld social security, Medicare, and Additional Medicare taxes from Form(s) W-2,</t>
  </si>
  <si>
    <t>boxes 4 and 6. If married filing jointly, include your spouse’s amounts with yours. If</t>
  </si>
  <si>
    <t>your employer withheld or you paid Additional Medicare Tax or tier 1 RRTA taxes, see</t>
  </si>
  <si>
    <t>Enter the total of the amounts from Schedule 1 (Form 1040), line 15; Schedule 2 (Form</t>
  </si>
  <si>
    <t>1040), line 5; Schedule 2 (Form 1040), line 6; and Schedule 2 (Form 1040), line 13</t>
  </si>
  <si>
    <t>1040 and</t>
  </si>
  <si>
    <t>1040-SR filers:</t>
  </si>
  <si>
    <t>Enter the total of the amounts from Form 1040 or 1040-SR, line 27a,</t>
  </si>
  <si>
    <t>and Schedule 3 (Form 1040), line 11.</t>
  </si>
  <si>
    <t>1040-NR filers:</t>
  </si>
  <si>
    <t>Enter the amount from Schedule 3 (Form 1040), line 11.</t>
  </si>
  <si>
    <t>Part II-C</t>
  </si>
  <si>
    <t>Enter this amount on line 15c</t>
  </si>
  <si>
    <t>Schedule 8812 (Form 1040)</t>
  </si>
  <si>
    <t>15d</t>
  </si>
  <si>
    <t>15e</t>
  </si>
  <si>
    <t>15f</t>
  </si>
  <si>
    <t>15g</t>
  </si>
  <si>
    <t>15h</t>
  </si>
  <si>
    <t>Leave line 19 blank and enter -0- on line 20.</t>
  </si>
  <si>
    <t>Next.</t>
  </si>
  <si>
    <t>Married filing jointly   ---</t>
  </si>
  <si>
    <t xml:space="preserve"> 14a</t>
  </si>
  <si>
    <t>See your Letter(s) 6419 for the amounts to include on this line. If you are missing Letter 6419, see the</t>
  </si>
  <si>
    <t>If you completed Parts II-A through II-C, enter the amount from line 27; otherwise, enter -0-</t>
  </si>
  <si>
    <r>
      <t xml:space="preserve">Go to </t>
    </r>
    <r>
      <rPr>
        <b/>
        <i/>
        <sz val="9"/>
        <rFont val="Arial"/>
        <family val="2"/>
      </rPr>
      <t>www.irs.gov/Schedule8812</t>
    </r>
    <r>
      <rPr>
        <b/>
        <sz val="9"/>
        <rFont val="Arial"/>
        <family val="2"/>
      </rPr>
      <t xml:space="preserve"> for instructions and the latest information.</t>
    </r>
  </si>
  <si>
    <t>Birthdate</t>
  </si>
  <si>
    <t>Valid SSN?</t>
  </si>
  <si>
    <t>More
Dependents</t>
  </si>
  <si>
    <t>Under 18 w/SSN</t>
  </si>
  <si>
    <t>Form 8812 &gt;</t>
  </si>
  <si>
    <t>Line 4a</t>
  </si>
  <si>
    <t>Child Tax Credit</t>
  </si>
  <si>
    <t>Other Dependent</t>
  </si>
  <si>
    <t>Both (Error)</t>
  </si>
  <si>
    <t>Enter information for dependents on the 'Dependents' sheet.</t>
  </si>
  <si>
    <t>QC</t>
  </si>
  <si>
    <t>To be counted for Child Tax Credit, 
the following must be included:
- a valid Social Security Number
- Child Tax Credit box checked
- Birthdate</t>
  </si>
  <si>
    <t>Leave box 13A blank.</t>
  </si>
  <si>
    <t>Check against instructions.</t>
  </si>
  <si>
    <t>© Glenn Reeves, 2022</t>
  </si>
  <si>
    <t>Ordinary dividends</t>
  </si>
  <si>
    <t>Taxable interest</t>
  </si>
  <si>
    <t xml:space="preserve">.   .   .   .   .   .   .   .    </t>
  </si>
  <si>
    <t xml:space="preserve"> Standard Deduction</t>
  </si>
  <si>
    <t>Attach Sch. B
if required.</t>
  </si>
  <si>
    <r>
      <rPr>
        <b/>
        <sz val="10"/>
        <rFont val="Arial"/>
        <family val="2"/>
      </rPr>
      <t>Tax</t>
    </r>
    <r>
      <rPr>
        <sz val="10"/>
        <rFont val="Arial"/>
        <family val="2"/>
      </rPr>
      <t xml:space="preserve"> </t>
    </r>
    <r>
      <rPr>
        <sz val="9"/>
        <rFont val="Arial"/>
        <family val="2"/>
      </rPr>
      <t>(see instructions).</t>
    </r>
  </si>
  <si>
    <t>taxpayers who are at least age 18, to claim the EIC. See instructions</t>
  </si>
  <si>
    <t>Amount 
You Owe</t>
  </si>
  <si>
    <t>Children</t>
  </si>
  <si>
    <t>Certain business expenses of reservists, performing artists, and fee-basis government</t>
  </si>
  <si>
    <t>officials. Attach Form 2106</t>
  </si>
  <si>
    <t>Other adjustments:</t>
  </si>
  <si>
    <t>Archer MSA deduction</t>
  </si>
  <si>
    <r>
      <t xml:space="preserve">Add lines 11 through 23 and 25. These are your </t>
    </r>
    <r>
      <rPr>
        <b/>
        <sz val="12"/>
        <rFont val="Arial"/>
        <family val="2"/>
      </rPr>
      <t>adjustments to income</t>
    </r>
    <r>
      <rPr>
        <sz val="12"/>
        <rFont val="Arial"/>
        <family val="2"/>
      </rPr>
      <t>. Enter</t>
    </r>
  </si>
  <si>
    <t>If you made payments to or for your spouse or former spouse under a divorce or separation agreement entered into on or before December 31, 2018, you may be able to take this deduction. You can't take a deduction for alimony payments you made to or for your spouse if you entered into your divorce or separation agreement after December 31, 2018, or if you entered into the agreement on or before December 31, 2018, and the agreement was changed after December 31, 2018, to expressly provide that alimony received is not included in your former spouse's income. Use Tax Topic 452 or see Pub. 504.</t>
  </si>
  <si>
    <t>Enter amounts received as alimony or separate maintenance pursuant to a divorce or separation agreement entered into on or before December 31, 2018, unless that agreement was changed after December 31, 2018, to expressly provide that alimony received isn't included in your income. Alimony received is not included in your income if you entered into a divorce or separation agreement after December 31, 2018. If you are including alimony in your income, you must let the person who made the payments know your social security number. If you don’t, you may have to pay a penalty. For more details, see Pub. 504. If you are including alimony payments from more than one divorce or separation agreement in your income, enter the total of all alimony received on line 2a.</t>
  </si>
  <si>
    <t xml:space="preserve">    net capital gain and qualified dividends in certain situations.</t>
  </si>
  <si>
    <t>Line 27a, 27b, and 27c --</t>
  </si>
  <si>
    <t>Enter “No” on the dotted line next to Form 1040, line 27a.</t>
  </si>
  <si>
    <r>
      <rPr>
        <b/>
        <sz val="10"/>
        <rFont val="Arial"/>
        <family val="2"/>
      </rPr>
      <t>No.</t>
    </r>
    <r>
      <rPr>
        <sz val="10"/>
        <rFont val="Arial"/>
        <family val="2"/>
      </rPr>
      <t xml:space="preserve">  Skip questions 2 through 6; go to Step 4.</t>
    </r>
  </si>
  <si>
    <t xml:space="preserve">         Step 4; go to Step 5.</t>
  </si>
  <si>
    <r>
      <rPr>
        <b/>
        <sz val="10"/>
        <rFont val="Arial"/>
        <family val="2"/>
      </rPr>
      <t>Yes.</t>
    </r>
    <r>
      <rPr>
        <sz val="10"/>
        <rFont val="Arial"/>
        <family val="2"/>
      </rPr>
      <t xml:space="preserve">  Skip questions 3 through 6 and</t>
    </r>
  </si>
  <si>
    <t>Are you a married taxpayer whose filing status is married</t>
  </si>
  <si>
    <t>filing separately or head of household?</t>
  </si>
  <si>
    <t>Did you and your spouse have the same principal residence</t>
  </si>
  <si>
    <r>
      <rPr>
        <b/>
        <sz val="10"/>
        <rFont val="Arial"/>
        <family val="2"/>
      </rPr>
      <t>No.</t>
    </r>
    <r>
      <rPr>
        <sz val="10"/>
        <rFont val="Arial"/>
        <family val="2"/>
      </rPr>
      <t xml:space="preserve">  Skip question 5; go to question 6.</t>
    </r>
  </si>
  <si>
    <t>Are you legally separated according to your state law under</t>
  </si>
  <si>
    <t>a written separation agreement or a decree of separate</t>
  </si>
  <si>
    <t>maintenance and you lived apart from your spouse at the</t>
  </si>
  <si>
    <t>Do you have at least one child who meets the conditions to</t>
  </si>
  <si>
    <t>be your qualifying child for the purpose of claiming the EIC?</t>
  </si>
  <si>
    <r>
      <rPr>
        <b/>
        <sz val="10"/>
        <rFont val="Arial"/>
        <family val="2"/>
      </rPr>
      <t>No.</t>
    </r>
    <r>
      <rPr>
        <sz val="10"/>
        <rFont val="Arial"/>
        <family val="2"/>
      </rPr>
      <t xml:space="preserve">  Stop</t>
    </r>
  </si>
  <si>
    <t>SPOUSE &gt;=24 Test</t>
  </si>
  <si>
    <t>YOU &gt;=24 Test</t>
  </si>
  <si>
    <r>
      <rPr>
        <b/>
        <sz val="10"/>
        <rFont val="Arial"/>
        <family val="2"/>
      </rPr>
      <t>Yes.</t>
    </r>
    <r>
      <rPr>
        <sz val="10"/>
        <rFont val="Arial"/>
        <family val="2"/>
      </rPr>
      <t xml:space="preserve">  Stop.</t>
    </r>
  </si>
  <si>
    <t>your spouse if filing a joint return, were born before January</t>
  </si>
  <si>
    <t>you answer.</t>
  </si>
  <si>
    <t xml:space="preserve"> .    .    .    .    .    .    .    .    .    .    .    .    .    .    .    .    .    .    .    .    .    .    .    .    .    . </t>
  </si>
  <si>
    <t xml:space="preserve">.    .    .    .    .    .    .    .    .    .    .    .    .    .    .    .    .    .    .    .    .    .    .    .    .    .    .    .    .    . </t>
  </si>
  <si>
    <t>Figure any write-in adjustments to be entered on the dotted line next to Schedule 1, line 24z.</t>
  </si>
  <si>
    <t>(See the instructions for Schedule 1, line 24z).</t>
  </si>
  <si>
    <t>Combine the amounts from Form 1040 or 1040-SR, lines 1, 2b, 3b, 4b, 5b, 7, and 8</t>
  </si>
  <si>
    <t>Enter the total of the amounts from Schedule 1, lines 11 through 20, and 23 and 25</t>
  </si>
  <si>
    <t>Add lines 4a and 4b. Enter the total here and on Form 1040 or 1040-SR, line 12a</t>
  </si>
  <si>
    <t xml:space="preserve">   1040 or 1040-SR, line 1,  and Schedule 1, lines 3 and 6, minus the amount, if any, on Schedule 1, line 15. </t>
  </si>
  <si>
    <t>Check here if you (or your spouse if married filing jointly) have a principal place of abode in the United States</t>
  </si>
  <si>
    <r>
      <t xml:space="preserve">If line 4a is more than zero, enter the amount from the </t>
    </r>
    <r>
      <rPr>
        <b/>
        <sz val="10"/>
        <rFont val="Cambria"/>
        <family val="1"/>
        <scheme val="major"/>
      </rPr>
      <t>Line 5 Worksheet</t>
    </r>
    <r>
      <rPr>
        <sz val="10"/>
        <rFont val="Cambria"/>
        <family val="1"/>
        <scheme val="major"/>
      </rPr>
      <t>; otherwise, enter -0-</t>
    </r>
  </si>
  <si>
    <r>
      <t>Caution:</t>
    </r>
    <r>
      <rPr>
        <sz val="10"/>
        <rFont val="Cambria"/>
        <family val="1"/>
        <scheme val="major"/>
      </rPr>
      <t xml:space="preserve"> If you did not check a box on line 13, do not complete Part I-B; instead, skip to Part I-C.</t>
    </r>
  </si>
  <si>
    <r>
      <t xml:space="preserve">If line 14a is zero, enter -0-; otherwise, enter the amount from the </t>
    </r>
    <r>
      <rPr>
        <b/>
        <sz val="10"/>
        <rFont val="Cambria"/>
        <family val="1"/>
        <scheme val="major"/>
      </rPr>
      <t>Credit Limit Worksheet A</t>
    </r>
  </si>
  <si>
    <r>
      <rPr>
        <b/>
        <sz val="10"/>
        <rFont val="Cambria"/>
        <family val="1"/>
        <scheme val="major"/>
      </rPr>
      <t>Caution:</t>
    </r>
    <r>
      <rPr>
        <sz val="10"/>
        <rFont val="Cambria"/>
        <family val="1"/>
        <scheme val="major"/>
      </rPr>
      <t xml:space="preserve"> If the amount on this line doesn’t match the aggregate amounts reported to you (and your spouse if</t>
    </r>
  </si>
  <si>
    <r>
      <t xml:space="preserve">Enter the smaller of line 14d or line 14g. </t>
    </r>
    <r>
      <rPr>
        <b/>
        <sz val="10"/>
        <rFont val="Cambria"/>
        <family val="1"/>
        <scheme val="major"/>
      </rPr>
      <t>This is your credit for other dependents. Enter this amount on line</t>
    </r>
  </si>
  <si>
    <r>
      <t xml:space="preserve">Subtract line 14h from line 14g. </t>
    </r>
    <r>
      <rPr>
        <b/>
        <sz val="10"/>
        <rFont val="Cambria"/>
        <family val="1"/>
        <scheme val="major"/>
      </rPr>
      <t>This is your refundable child tax credit. Enter this amount on line 28 of</t>
    </r>
  </si>
  <si>
    <t>instructions before entering an amount on this line.  If you didn’t receive any advance child tax credit payments</t>
  </si>
  <si>
    <r>
      <t>Caution:</t>
    </r>
    <r>
      <rPr>
        <sz val="10"/>
        <rFont val="Cambria"/>
        <family val="1"/>
        <scheme val="major"/>
      </rPr>
      <t xml:space="preserve"> If you checked a box on line 13, do not complete Part I-C.</t>
    </r>
  </si>
  <si>
    <r>
      <t xml:space="preserve">Enter the amount from the </t>
    </r>
    <r>
      <rPr>
        <b/>
        <sz val="10"/>
        <rFont val="Cambria"/>
        <family val="1"/>
        <scheme val="major"/>
      </rPr>
      <t>Credit Limit Worksheet A</t>
    </r>
  </si>
  <si>
    <r>
      <t xml:space="preserve">Enter the smaller of lines 15b or line 15f. </t>
    </r>
    <r>
      <rPr>
        <b/>
        <sz val="10"/>
        <rFont val="Cambria"/>
        <family val="1"/>
        <scheme val="major"/>
      </rPr>
      <t>This is your nonrefundable child tax credit and credit for other</t>
    </r>
  </si>
  <si>
    <r>
      <rPr>
        <b/>
        <sz val="10"/>
        <rFont val="Cambria"/>
        <family val="1"/>
        <scheme val="major"/>
      </rPr>
      <t>Caution:</t>
    </r>
    <r>
      <rPr>
        <sz val="10"/>
        <rFont val="Cambria"/>
        <family val="1"/>
        <scheme val="major"/>
      </rPr>
      <t xml:space="preserve">  If the amount on this line doesn't match the aggregate amounts reported to you (and your spouse if</t>
    </r>
  </si>
  <si>
    <r>
      <t>Caution:</t>
    </r>
    <r>
      <rPr>
        <sz val="10"/>
        <rFont val="Cambria"/>
        <family val="1"/>
        <scheme val="major"/>
      </rPr>
      <t xml:space="preserve"> If you file Form 2555, do not complete Parts II-A through II-C; you cannot claim the additional child tax credit</t>
    </r>
  </si>
  <si>
    <r>
      <t>Caution:</t>
    </r>
    <r>
      <rPr>
        <sz val="10"/>
        <rFont val="Cambria"/>
        <family val="1"/>
        <scheme val="major"/>
      </rPr>
      <t xml:space="preserve"> If you checked a box on line 13, do not complete Parts II-A through II-C; you cannot claim the additional child tax credit.</t>
    </r>
  </si>
  <si>
    <r>
      <t xml:space="preserve">Subtract line 15g from line 15f.  </t>
    </r>
    <r>
      <rPr>
        <b/>
        <sz val="10"/>
        <rFont val="Cambria"/>
        <family val="1"/>
        <scheme val="major"/>
      </rPr>
      <t>This is your additional child tax credit. Enter this amount on line 28 of your</t>
    </r>
  </si>
  <si>
    <r>
      <rPr>
        <b/>
        <sz val="10"/>
        <rFont val="Cambria"/>
        <family val="1"/>
        <scheme val="major"/>
      </rPr>
      <t>TIP:</t>
    </r>
    <r>
      <rPr>
        <sz val="10"/>
        <rFont val="Cambria"/>
        <family val="1"/>
        <scheme val="major"/>
      </rPr>
      <t xml:space="preserve"> The number of children you use for this line is the same as the number of children you used for line 4a.</t>
    </r>
  </si>
  <si>
    <r>
      <t xml:space="preserve">Enter the </t>
    </r>
    <r>
      <rPr>
        <b/>
        <sz val="10"/>
        <rFont val="Cambria"/>
        <family val="1"/>
        <scheme val="major"/>
      </rPr>
      <t xml:space="preserve">smaller </t>
    </r>
    <r>
      <rPr>
        <sz val="10"/>
        <rFont val="Cambria"/>
        <family val="1"/>
        <scheme val="major"/>
      </rPr>
      <t>of line 16a or line 16b</t>
    </r>
  </si>
  <si>
    <t>If line 20 is equal to or more than line 17, skip Part II-B and enter the amount from line 17 on line 27.</t>
  </si>
  <si>
    <r>
      <rPr>
        <b/>
        <sz val="10"/>
        <rFont val="Cambria"/>
        <family val="1"/>
        <scheme val="major"/>
      </rPr>
      <t xml:space="preserve"> No.</t>
    </r>
    <r>
      <rPr>
        <sz val="10"/>
        <rFont val="Cambria"/>
        <family val="1"/>
        <scheme val="major"/>
      </rPr>
      <t xml:space="preserve"> </t>
    </r>
  </si>
  <si>
    <r>
      <t xml:space="preserve">Enter the </t>
    </r>
    <r>
      <rPr>
        <b/>
        <sz val="10"/>
        <rFont val="Cambria"/>
        <family val="1"/>
        <scheme val="major"/>
      </rPr>
      <t>larger</t>
    </r>
    <r>
      <rPr>
        <sz val="10"/>
        <rFont val="Cambria"/>
        <family val="1"/>
        <scheme val="major"/>
      </rPr>
      <t xml:space="preserve"> of line 20 or line 25</t>
    </r>
  </si>
  <si>
    <r>
      <rPr>
        <b/>
        <sz val="10"/>
        <rFont val="Cambria"/>
        <family val="1"/>
        <scheme val="major"/>
      </rPr>
      <t>Next,</t>
    </r>
    <r>
      <rPr>
        <sz val="10"/>
        <rFont val="Cambria"/>
        <family val="1"/>
        <scheme val="major"/>
      </rPr>
      <t xml:space="preserve"> enter the</t>
    </r>
    <r>
      <rPr>
        <b/>
        <sz val="10"/>
        <rFont val="Cambria"/>
        <family val="1"/>
        <scheme val="major"/>
      </rPr>
      <t xml:space="preserve"> smaller</t>
    </r>
    <r>
      <rPr>
        <sz val="10"/>
        <rFont val="Cambria"/>
        <family val="1"/>
        <scheme val="major"/>
      </rPr>
      <t xml:space="preserve"> of line 17 or line 26 on line 27.</t>
    </r>
  </si>
  <si>
    <r>
      <t xml:space="preserve">If line 20 is zero, enter -0- on line 15c. Otherwise, skip Part II-B and enter the </t>
    </r>
    <r>
      <rPr>
        <b/>
        <sz val="10"/>
        <rFont val="Cambria"/>
        <family val="1"/>
        <scheme val="major"/>
      </rPr>
      <t>smaller</t>
    </r>
    <r>
      <rPr>
        <sz val="10"/>
        <rFont val="Cambria"/>
        <family val="1"/>
        <scheme val="major"/>
      </rPr>
      <t xml:space="preserve"> of line 17 or line</t>
    </r>
  </si>
  <si>
    <r>
      <rPr>
        <sz val="9"/>
        <rFont val="Arial"/>
        <family val="2"/>
      </rPr>
      <t>Page</t>
    </r>
    <r>
      <rPr>
        <b/>
        <sz val="9"/>
        <rFont val="Arial"/>
        <family val="2"/>
      </rPr>
      <t xml:space="preserve"> </t>
    </r>
    <r>
      <rPr>
        <b/>
        <sz val="14"/>
        <rFont val="Arial"/>
        <family val="2"/>
      </rPr>
      <t>2</t>
    </r>
  </si>
  <si>
    <r>
      <rPr>
        <sz val="9"/>
        <rFont val="Arial"/>
        <family val="2"/>
      </rPr>
      <t xml:space="preserve">Page </t>
    </r>
    <r>
      <rPr>
        <b/>
        <sz val="14"/>
        <rFont val="Arial"/>
        <family val="2"/>
      </rPr>
      <t>3</t>
    </r>
  </si>
  <si>
    <r>
      <t xml:space="preserve">Additional Tax </t>
    </r>
    <r>
      <rPr>
        <sz val="12"/>
        <rFont val="Arial"/>
        <family val="2"/>
      </rPr>
      <t>(use only if line 14g or line 15f, whichever applies, is zero)</t>
    </r>
  </si>
  <si>
    <t>28a</t>
  </si>
  <si>
    <t>Enter the amount from line 14f or line 15e, whichever applies</t>
  </si>
  <si>
    <t>Enter the amount from line 14e or line 15d, whichever applies</t>
  </si>
  <si>
    <t>Excess advance child tax credit payments. Subtract line 28b from line 28a. If zero, stop; you do not owe the</t>
  </si>
  <si>
    <t>additional tax</t>
  </si>
  <si>
    <t xml:space="preserve">.   .   .   .   .   .   .   .   .   .   .   .   .   .   .   .   .   .   .   .   .   .   .   .   .   .   .   .   .   .   .   .   .   .   .   .   .   .   .   .   .   .   .   . </t>
  </si>
  <si>
    <t>28b</t>
  </si>
  <si>
    <t>Enter the number of qualifying children taken into account in determining the annual advance amount you</t>
  </si>
  <si>
    <t>return, or you received more than one Letter 6419, see the instructions before entering a number on this line</t>
  </si>
  <si>
    <r>
      <rPr>
        <b/>
        <sz val="10"/>
        <rFont val="Cambria"/>
        <family val="1"/>
        <scheme val="major"/>
      </rPr>
      <t>Caution:</t>
    </r>
    <r>
      <rPr>
        <sz val="10"/>
        <rFont val="Cambria"/>
        <family val="1"/>
        <scheme val="major"/>
      </rPr>
      <t xml:space="preserve"> If the amount on this line doesn’t match the number of qualifying children reported to you (and your</t>
    </r>
  </si>
  <si>
    <t>spouse if filing jointly) on your Letter(s) 6419, the processing of your return will be delayed.</t>
  </si>
  <si>
    <t>Enter the smaller of line 4a or line 30</t>
  </si>
  <si>
    <t>Married filing jointly or Qualifying widow(er) ---</t>
  </si>
  <si>
    <t>Head of household ---</t>
  </si>
  <si>
    <t>All other filing statuses ---</t>
  </si>
  <si>
    <t>Subtract line 33 from line 3. If zero or less, enter -0-</t>
  </si>
  <si>
    <t>Enter the amount from line 33</t>
  </si>
  <si>
    <t>Divide line 34 by line 35. Enter the result as a decimal (rounded to at least three places). If the result is 1.000 or</t>
  </si>
  <si>
    <t>more, enter 1.000</t>
  </si>
  <si>
    <t>Multiply line 37 by line 36</t>
  </si>
  <si>
    <t>Subtract line 38 from line 37</t>
  </si>
  <si>
    <t>this amount on Schedule 2 (Form 1040), line 19</t>
  </si>
  <si>
    <r>
      <t xml:space="preserve">Subtract line 39 from line 29. If zero or less, enter -0-.  </t>
    </r>
    <r>
      <rPr>
        <b/>
        <sz val="10"/>
        <rFont val="Cambria"/>
        <family val="1"/>
        <scheme val="major"/>
      </rPr>
      <t>This is your additional tax. If more than zero, enter</t>
    </r>
  </si>
  <si>
    <t xml:space="preserve">.   .   .   .   .   .   .   .   .   .   .   .   .   .   .   .   .   .   .   .   .   .   .   .   .   .   .   .   .   .   .   .   .   .   .   .   . </t>
  </si>
  <si>
    <t>Enter the amount from line 18 of your Form 1040, 1040-SR, or 1040-NR</t>
  </si>
  <si>
    <t xml:space="preserve">Total number of dependents:  </t>
  </si>
  <si>
    <t xml:space="preserve">Total number of Child Tax Credits:    [Line 19 (CTC), Line 27a (EIC), Line 30 (Rebate Credit)]  </t>
  </si>
  <si>
    <t xml:space="preserve">Total number of Other Dependents:    [Line 19 (CTC)]  </t>
  </si>
  <si>
    <t>Under 6 w/SSN</t>
  </si>
  <si>
    <t>Other Depend</t>
  </si>
  <si>
    <t>You are NOT filing Form 2555.</t>
  </si>
  <si>
    <t>AND</t>
  </si>
  <si>
    <t xml:space="preserve">.   .   .   .   .   .   .   .   .   .   .   .   .   .   .   .   .   .   .   .   .   .   .   .   .   .   .   .   .   .   .   .   .   .   .   .   .   .   .   .   . </t>
  </si>
  <si>
    <t>(Entered into Form 1040, line 28.)</t>
  </si>
  <si>
    <t>15b.1</t>
  </si>
  <si>
    <t>15b.2</t>
  </si>
  <si>
    <t>15b.3</t>
  </si>
  <si>
    <t>Credit Limit Worksheet B</t>
  </si>
  <si>
    <t>Complete the Earned Income Worksheet, later in these instructions.</t>
  </si>
  <si>
    <t>1040 and 1040-SR _x001F_lers. Complete line 27a; Schedule 2, line 5; Schedule 2, line 6; and</t>
  </si>
  <si>
    <t>Schedule 3, line 11 of your return if they apply to you.</t>
  </si>
  <si>
    <t>1040-NR _x001F_lers. Complete Schedule 2, line 5; Schedule 2, line 6; and Schedule 3, line 11</t>
  </si>
  <si>
    <t>Use this worksheet only if you meet each of the items discussed under line 3 of Credit Limit Worksheet A, including</t>
  </si>
  <si>
    <t>that you are completing Part I–C and are not _x001F_ling Form 2555.</t>
  </si>
  <si>
    <t>Enter the amount from Schedule 8812, line 12</t>
  </si>
  <si>
    <t>Number of qualifying children under 18 with the required social security</t>
  </si>
  <si>
    <r>
      <rPr>
        <b/>
        <sz val="9"/>
        <rFont val="Arial"/>
        <family val="2"/>
      </rPr>
      <t>TIP:</t>
    </r>
    <r>
      <rPr>
        <sz val="9"/>
        <rFont val="Arial"/>
        <family val="2"/>
      </rPr>
      <t xml:space="preserve">  The number of children you use for this line is the same as the number of</t>
    </r>
  </si>
  <si>
    <t>children you used for line 4a of Schedule 8812.</t>
  </si>
  <si>
    <t>Enter your earned income from line 7 of the Earned</t>
  </si>
  <si>
    <t>Income Worksheet.</t>
  </si>
  <si>
    <t>back to Credit Limit Worksheet A and do the following. Enter -0- on line 4,</t>
  </si>
  <si>
    <t>and complete line 5.</t>
  </si>
  <si>
    <t>If both line 2 and line 5 are more than zero, leave lines 7 through 10 blank,</t>
  </si>
  <si>
    <t>blank, enter -0- on line 11, and go to line 12. Otherwise, go to line 7.</t>
  </si>
  <si>
    <t>Worksheet to _x001F_gure the amount to enter; otherwise enter</t>
  </si>
  <si>
    <t>the total of the following amounts from Form(s) W-2.</t>
  </si>
  <si>
    <t>Social security tax withheld from box 4, and</t>
  </si>
  <si>
    <t>Medicare tax withheld from box 6.</t>
  </si>
  <si>
    <t>If married filing jointly, include your spouse’s amounts with yours when completing lines 7 and 8.</t>
  </si>
  <si>
    <t>Enter the total of any amounts from—</t>
  </si>
  <si>
    <t>Schedule 1, line 15;</t>
  </si>
  <si>
    <t>Schedule 2, line 5;</t>
  </si>
  <si>
    <t>Schedule 2, line 6; and</t>
  </si>
  <si>
    <t>Schedule 2, line 13.</t>
  </si>
  <si>
    <t>Credit Limit Worksheet B—Continued</t>
  </si>
  <si>
    <t>- 7 -</t>
  </si>
  <si>
    <t>from Form 1040 or 1040-SR, line 27a, and Schedule 3,</t>
  </si>
  <si>
    <t>line 11.</t>
  </si>
  <si>
    <r>
      <rPr>
        <b/>
        <sz val="9"/>
        <rFont val="Arial"/>
        <family val="2"/>
      </rPr>
      <t>1040 and 1040-SR filers.</t>
    </r>
    <r>
      <rPr>
        <sz val="9"/>
        <rFont val="Arial"/>
        <family val="2"/>
      </rPr>
      <t xml:space="preserve"> Enter the total of the amounts</t>
    </r>
  </si>
  <si>
    <r>
      <rPr>
        <b/>
        <sz val="9"/>
        <rFont val="Arial"/>
        <family val="2"/>
      </rPr>
      <t>1040-NR filers.</t>
    </r>
    <r>
      <rPr>
        <sz val="9"/>
        <rFont val="Arial"/>
        <family val="2"/>
      </rPr>
      <t xml:space="preserve"> Enter the amount from Schedule 3,</t>
    </r>
  </si>
  <si>
    <t>Enter the larger of line 5 or line 11.</t>
  </si>
  <si>
    <t>Enter the smaller of line 2 or line 12.</t>
  </si>
  <si>
    <t>Is the amount on line 13 of this worksheet more than the amount on line 1?</t>
  </si>
  <si>
    <t>Subtract line 13 from line 1. Enter the result.</t>
  </si>
  <si>
    <t>Residential energy ef_x001F_cient property credit, Form 5695, Part I.</t>
  </si>
  <si>
    <t>District of Columbia _x001F_rst-time homebuyer credit, Form 8859.</t>
  </si>
  <si>
    <r>
      <rPr>
        <b/>
        <sz val="9"/>
        <rFont val="Arial"/>
        <family val="2"/>
      </rPr>
      <t xml:space="preserve">Next, </t>
    </r>
    <r>
      <rPr>
        <sz val="9"/>
        <rFont val="Arial"/>
        <family val="2"/>
      </rPr>
      <t>figure the amount of any of the following credits that you are claiming.</t>
    </r>
  </si>
  <si>
    <t>Enter the total of the amounts from—</t>
  </si>
  <si>
    <t>Form 8859, line 3.</t>
  </si>
  <si>
    <t>line 4 of Credit Limit</t>
  </si>
  <si>
    <t>Worksheet A.</t>
  </si>
  <si>
    <t>Go to line 6.</t>
  </si>
  <si>
    <t>If  you  aren't  filing a joint return, go to line 5.</t>
  </si>
  <si>
    <t>Do you have any dependents listed in the Dependents section on page 1 of Form 1040 or 1040-SR for whom you</t>
  </si>
  <si>
    <t>entered a social security number that was issued on or before the due date of your 2021 return (including</t>
  </si>
  <si>
    <t>extensions) or an adoption taxpayer identification number?</t>
  </si>
  <si>
    <t>Enter zero on line 6 and go to line 7.</t>
  </si>
  <si>
    <t>You can’t take the credit. Don’t complete the rest of this worksheet and don’t enter any amount on line 30.</t>
  </si>
  <si>
    <t>1040-SR for whom you entered a social security number that was issued on or before the due date of your 2021</t>
  </si>
  <si>
    <t>return (including extensions) or an adoption taxpayer identification number</t>
  </si>
  <si>
    <t>Enter the amount from line 11 of Form 1040 or 1040-SR and go to line 10</t>
  </si>
  <si>
    <t>Enter the amount from line 8 on line 12 and skip lines 10 and 11.</t>
  </si>
  <si>
    <t>Is line 9 more than the amount shown below for your filing status?</t>
  </si>
  <si>
    <t>Divide line 10 by the amount shown below for your filing status. Enter the result as a decimal (rounded to at least 2 places).</t>
  </si>
  <si>
    <t>Multiply line 8 by line 11</t>
  </si>
  <si>
    <t>Enter the amount, if any, of EIP 3 that was issued to you. If filing a joint return, include the amount, if any, of</t>
  </si>
  <si>
    <r>
      <rPr>
        <b/>
        <sz val="11"/>
        <rFont val="Arial"/>
        <family val="2"/>
      </rPr>
      <t>Recovery rebate credit.</t>
    </r>
    <r>
      <rPr>
        <sz val="11"/>
        <rFont val="Arial"/>
        <family val="2"/>
      </rPr>
      <t xml:space="preserve"> Subtract line 13 from line 12. If zero or less, enter -0-. If line 13 is more than line 12,</t>
    </r>
  </si>
  <si>
    <t>you don’t have to pay back the difference. Enter the result here and, if more than zero, on line 30 of Form 1040 or</t>
  </si>
  <si>
    <t>1040-SR</t>
  </si>
  <si>
    <t>Don’t include on line 13 any amount you received but later returned to the IRS.</t>
  </si>
  <si>
    <t>If you can't take the recovery rebate credit, you don't have to repay any amount of EIP 3 on Form 1040 or 1040-SR.</t>
  </si>
  <si>
    <t>Amount you received?</t>
  </si>
  <si>
    <t>issued to you</t>
  </si>
  <si>
    <t>Actual amount</t>
  </si>
  <si>
    <t>of EIP3</t>
  </si>
  <si>
    <r>
      <t xml:space="preserve">return (including extensions) for you </t>
    </r>
    <r>
      <rPr>
        <u/>
        <sz val="11"/>
        <rFont val="Arial"/>
        <family val="2"/>
      </rPr>
      <t>and</t>
    </r>
    <r>
      <rPr>
        <sz val="11"/>
        <rFont val="Arial"/>
        <family val="2"/>
      </rPr>
      <t>, if filing a joint return, your spouse?</t>
    </r>
  </si>
  <si>
    <t>Depend
w/SSN</t>
  </si>
  <si>
    <t>Line 30 WS &gt;</t>
  </si>
  <si>
    <t>Other
Dependents</t>
  </si>
  <si>
    <t>Dependents w/SSNs</t>
  </si>
  <si>
    <t>Under 18 w/SSNs</t>
  </si>
  <si>
    <t>Under 6
w/SSNs</t>
  </si>
  <si>
    <t>AGI  &gt;&gt;&gt;</t>
  </si>
  <si>
    <t>Subtract line 9 from the amount shown above for your filing status</t>
  </si>
  <si>
    <t>Standard Rebate Credit</t>
  </si>
  <si>
    <t>Adjustment Based on Adjusted Gross Income (AGI)</t>
  </si>
  <si>
    <t>Recovery rebate credit</t>
  </si>
  <si>
    <t>BELOW: 
Enter amount of
EIP 3 issued to you
if it was different from the amount indicated.</t>
  </si>
  <si>
    <t>Is the amount on line 11 of Form 1040 or 1040-SR (AGI) more than the amount shown below for your filing status?</t>
  </si>
  <si>
    <t>If line 2 or line 5 above is zero, enter the amount from line 1 above on line 14</t>
  </si>
  <si>
    <t>of this worksheet. Do not complete the rest of this worksheet. Instead, go</t>
  </si>
  <si>
    <t>3.1</t>
  </si>
  <si>
    <t>3.2</t>
  </si>
  <si>
    <t>3.3</t>
  </si>
  <si>
    <t>3.4</t>
  </si>
  <si>
    <t>Complete the Credit Limit Worksheet B</t>
  </si>
  <si>
    <t>only if you meet all of the following:</t>
  </si>
  <si>
    <t>Complete
Credit Limit
Worksheet B?</t>
  </si>
  <si>
    <t>Car   and   truck  expenses   (see</t>
  </si>
  <si>
    <t xml:space="preserve"> .   .   </t>
  </si>
  <si>
    <t xml:space="preserve">  .    .   .    .    .    .   .   .   .   .   </t>
  </si>
  <si>
    <r>
      <t xml:space="preserve">You </t>
    </r>
    <r>
      <rPr>
        <b/>
        <sz val="9"/>
        <rFont val="Arial"/>
        <family val="2"/>
      </rPr>
      <t>must</t>
    </r>
    <r>
      <rPr>
        <sz val="9"/>
        <rFont val="Arial"/>
        <family val="2"/>
      </rPr>
      <t xml:space="preserve"> complete line 11.</t>
    </r>
  </si>
  <si>
    <t>Otherwise, go to line 20</t>
  </si>
  <si>
    <t>Enter the amount from Schedule 3 (Form 1040), lines 1, 2, and 6l</t>
  </si>
  <si>
    <t>If you have more than three care providers, see the instructions and check this box</t>
  </si>
  <si>
    <t>(SSN or EIN)</t>
  </si>
  <si>
    <r>
      <rPr>
        <b/>
        <sz val="8"/>
        <rFont val="Arial"/>
        <family val="2"/>
      </rPr>
      <t>(c)</t>
    </r>
    <r>
      <rPr>
        <sz val="8"/>
        <rFont val="Arial"/>
        <family val="2"/>
      </rPr>
      <t xml:space="preserve"> Identifying number</t>
    </r>
  </si>
  <si>
    <r>
      <rPr>
        <b/>
        <sz val="7"/>
        <rFont val="Arial"/>
        <family val="2"/>
      </rPr>
      <t>(d)</t>
    </r>
    <r>
      <rPr>
        <sz val="7"/>
        <rFont val="Arial"/>
        <family val="2"/>
      </rPr>
      <t xml:space="preserve"> Check here if the care provider is your household employee. (see instructions)</t>
    </r>
  </si>
  <si>
    <r>
      <t xml:space="preserve">        (e)</t>
    </r>
    <r>
      <rPr>
        <sz val="8"/>
        <rFont val="Arial"/>
        <family val="2"/>
      </rPr>
      <t xml:space="preserve"> Amount paid</t>
    </r>
  </si>
  <si>
    <t>If the care was provided in your home, you may owe employment taxes. For details, see the instructions for Schedule H</t>
  </si>
  <si>
    <r>
      <t xml:space="preserve">Information about your </t>
    </r>
    <r>
      <rPr>
        <b/>
        <sz val="10"/>
        <rFont val="Arial"/>
        <family val="2"/>
      </rPr>
      <t>qualifying person(s).</t>
    </r>
    <r>
      <rPr>
        <sz val="10"/>
        <rFont val="Arial"/>
        <family val="2"/>
      </rPr>
      <t xml:space="preserve"> If you have more than three qualifying persons, see the instructions and check</t>
    </r>
  </si>
  <si>
    <t>this box</t>
  </si>
  <si>
    <t xml:space="preserve">.   .   .   .   .   .   .   .   .   .   .   .   .   .   .   .   .   .   .   .   .   .   .   .   .   .   .   .   .   .   .   .   .   .   .   .   .   .   .   .   .   .   .   .   .   .   .   .   . </t>
  </si>
  <si>
    <t>amount to enter.</t>
  </si>
  <si>
    <t>claim a credit on line 9b.</t>
  </si>
  <si>
    <t>Multiply line 6 by the decimal amount on line 8.</t>
  </si>
  <si>
    <t>amount from line 13 of the worksheet here. Otherwise, go to line 10</t>
  </si>
  <si>
    <t>But not over:</t>
  </si>
  <si>
    <t>Worksheet for 2020 Expenses Paid in 2021</t>
  </si>
  <si>
    <t>Use this worksheet to figure the credit you may claim for 2020 expenses paid in 2021.</t>
  </si>
  <si>
    <t>Add the amounts on lines 1 and 2</t>
  </si>
  <si>
    <t>Subtract the amount on line 5 from the amount on line 4 and enter the result</t>
  </si>
  <si>
    <t>Compare your earned income for 2020 and your spouse's earned income for 2020 and enter the</t>
  </si>
  <si>
    <t>smaller amount</t>
  </si>
  <si>
    <t>Compare the amounts on lines 3, 6, and 7, and enter the smallest amount</t>
  </si>
  <si>
    <t>Enter the amount on which you figured the credit for 2020 (from your 2020 Form 2441, line 6)</t>
  </si>
  <si>
    <t>You can't increase your 2021 credit by any previous year's expenses</t>
  </si>
  <si>
    <t>Enter your 2020 adjusted gross income (from your 2020 Form 1040, 1040-SR, or 1040-NR,</t>
  </si>
  <si>
    <t>line 11)</t>
  </si>
  <si>
    <t>Find your 2020 adjusted gross income in the table below and enter the corresponding decimal amount</t>
  </si>
  <si>
    <t>No limit</t>
  </si>
  <si>
    <t>IF your 2020 adjusted gross income is:</t>
  </si>
  <si>
    <t>THEN the decimal</t>
  </si>
  <si>
    <t>amount is:</t>
  </si>
  <si>
    <t>Multiply line 10 by line 12 and enter the amount here and on Form 2441, line 9b</t>
  </si>
  <si>
    <t>Name, address, and identifying number of persons or organizations who provided the care:</t>
  </si>
  <si>
    <t>First and last name and taxpayer identification number of the qualifying person that received the care:</t>
  </si>
  <si>
    <t>Attach to your tax return a copy of this worksheet or a statement explaining how you figured the credit for prior year expenses that</t>
  </si>
  <si>
    <t>includes all the same information that is in the worksheet, including the name, address, and taxpayer identification number of the</t>
  </si>
  <si>
    <t>persons or organizations providing the care and the name and taxpayer identification number of the person for whom you paid for</t>
  </si>
  <si>
    <t>care.</t>
  </si>
  <si>
    <t>Number of qualifiying</t>
  </si>
  <si>
    <t>Subtract the amount on line 9 from the amount on line 8 and enter the result.</t>
  </si>
  <si>
    <t>If zero or less, stop here.</t>
  </si>
  <si>
    <t>Enter the amount from Form 2441, line 10</t>
  </si>
  <si>
    <t>Enter the amount from Form 1040, 1040-SR, or</t>
  </si>
  <si>
    <t>1040-NR, line 18</t>
  </si>
  <si>
    <t>Enter the amount from Schedule 3 (Form 1040), line 1</t>
  </si>
  <si>
    <t>(foreign tax credit) and line 6l (Form 8978, line 14)</t>
  </si>
  <si>
    <t>Subtract line 3 from line 2. If zero or less, stop; you can’t</t>
  </si>
  <si>
    <t>Enter the smaller of line 1 or line 4 here; also enter this</t>
  </si>
  <si>
    <t>amount on Form 2441, line 11, and on Schedule 3</t>
  </si>
  <si>
    <t>(Form 1040), line 2</t>
  </si>
  <si>
    <t>Add lines 9a and 9b and enter the result. If you checked the box on line B above, this is your</t>
  </si>
  <si>
    <r>
      <rPr>
        <b/>
        <sz val="10"/>
        <rFont val="Arial"/>
        <family val="2"/>
      </rPr>
      <t>refundable credit for child and dependent care expenses;</t>
    </r>
    <r>
      <rPr>
        <sz val="10"/>
        <rFont val="Arial"/>
        <family val="2"/>
      </rPr>
      <t xml:space="preserve"> enter the amount from this line on</t>
    </r>
  </si>
  <si>
    <t>Schedule 3 (Form 1040), line 13g, and don’t complete line 11. If you didn’t check the box on line B</t>
  </si>
  <si>
    <t>above, go to line 11</t>
  </si>
  <si>
    <r>
      <rPr>
        <b/>
        <sz val="10"/>
        <rFont val="Arial"/>
        <family val="2"/>
      </rPr>
      <t>Nonrefundable credit for child and dependent care expenses.</t>
    </r>
    <r>
      <rPr>
        <sz val="10"/>
        <rFont val="Arial"/>
        <family val="2"/>
      </rPr>
      <t xml:space="preserve"> If you didn’t check the box on</t>
    </r>
  </si>
  <si>
    <t>line B above, your credit is nonrefundable and limited by the amount of your tax; see the</t>
  </si>
  <si>
    <t>instructions to figure the portion of line 10 that you can claim and enter that amount here and on</t>
  </si>
  <si>
    <r>
      <rPr>
        <b/>
        <sz val="10"/>
        <rFont val="Arial"/>
        <family val="2"/>
      </rPr>
      <t>A</t>
    </r>
    <r>
      <rPr>
        <sz val="10"/>
        <rFont val="Arial"/>
        <family val="2"/>
      </rPr>
      <t xml:space="preserve">  You can't claim a credit for  child and dependent care expenses if your filing status is  married filing separately  unless you meet the</t>
    </r>
  </si>
  <si>
    <r>
      <rPr>
        <b/>
        <sz val="10"/>
        <rFont val="Arial"/>
        <family val="2"/>
      </rPr>
      <t>B</t>
    </r>
    <r>
      <rPr>
        <sz val="10"/>
        <rFont val="Arial"/>
        <family val="2"/>
      </rPr>
      <t xml:space="preserve">  For 2021, your credit for child and dependent care expenses is refundable if you, or your spouse if married filing jointly, had a</t>
    </r>
  </si>
  <si>
    <t>principal place of abode in the United States for more than half of 2021.</t>
  </si>
  <si>
    <t xml:space="preserve">If you meet these requirements, check this box.   </t>
  </si>
  <si>
    <t xml:space="preserve">X </t>
  </si>
  <si>
    <r>
      <t xml:space="preserve">as an employee should be shown in box 10 of your Form(s) W-2. </t>
    </r>
    <r>
      <rPr>
        <b/>
        <sz val="11"/>
        <rFont val="Arial"/>
        <family val="2"/>
      </rPr>
      <t>Don’t</t>
    </r>
    <r>
      <rPr>
        <sz val="11"/>
        <rFont val="Arial"/>
        <family val="2"/>
      </rPr>
      <t xml:space="preserve"> include amounts</t>
    </r>
  </si>
  <si>
    <t>reported as wages in box 1 of Form(s) W-2. If you were self-employed or a partner, include</t>
  </si>
  <si>
    <t xml:space="preserve">Amounts  you received </t>
  </si>
  <si>
    <r>
      <t xml:space="preserve">Enter total  amount of </t>
    </r>
    <r>
      <rPr>
        <b/>
        <sz val="10"/>
        <rFont val="Arial"/>
        <family val="2"/>
      </rPr>
      <t>dependent care benefits</t>
    </r>
  </si>
  <si>
    <t>amounts you received under a dependent care assistance program from your sole proprietor-</t>
  </si>
  <si>
    <t>ship or partnership</t>
  </si>
  <si>
    <t>the amount.  See instructions</t>
  </si>
  <si>
    <t>required to enter your spouse’s earned income on line 19). If you</t>
  </si>
  <si>
    <t>amount you enter on line 21. However, don’t enter more than the</t>
  </si>
  <si>
    <t>maximum amount allowed under your dependent care plan. See</t>
  </si>
  <si>
    <r>
      <t xml:space="preserve">Credit for Child and Dependent Care Expenses </t>
    </r>
    <r>
      <rPr>
        <sz val="11"/>
        <rFont val="Arial"/>
        <family val="2"/>
      </rPr>
      <t>– (Continued)</t>
    </r>
  </si>
  <si>
    <r>
      <t xml:space="preserve">   Persons or Organizations Who Provided the Care –</t>
    </r>
    <r>
      <rPr>
        <sz val="12"/>
        <rFont val="Arial"/>
        <family val="2"/>
      </rPr>
      <t xml:space="preserve"> (Continued)</t>
    </r>
  </si>
  <si>
    <r>
      <t xml:space="preserve">Information about your </t>
    </r>
    <r>
      <rPr>
        <b/>
        <sz val="10"/>
        <rFont val="Arial"/>
        <family val="2"/>
      </rPr>
      <t>qualifying person(s).</t>
    </r>
    <r>
      <rPr>
        <sz val="10"/>
        <rFont val="Arial"/>
        <family val="2"/>
      </rPr>
      <t xml:space="preserve"> </t>
    </r>
  </si>
  <si>
    <t>No. of qualifying persons.</t>
  </si>
  <si>
    <t>&lt;&lt;</t>
  </si>
  <si>
    <t>Only complete line 11 if you did not check the box on line B. If you checked the box on line B, leave line 11 blank.</t>
  </si>
  <si>
    <t>Earned income for figuring the credit includes the following amounts.</t>
  </si>
  <si>
    <t>d. Received for work performed while an inmate in a</t>
  </si>
  <si>
    <t>e. Received as a pension or annuity from a</t>
  </si>
  <si>
    <t xml:space="preserve">(Form 1040 or 1040-SR), line 15; </t>
  </si>
  <si>
    <t>Credit Limit Worksheet -- For Line 11.</t>
  </si>
  <si>
    <t>IRA Deduction Worksheet – Schedule 1, Line 20</t>
  </si>
  <si>
    <t>Sch. 1 Line 20 (IRA)</t>
  </si>
  <si>
    <t>IRA Deduction Worksheet — Schedule 1, Line 20</t>
  </si>
  <si>
    <t>Retirement Plan?)?</t>
  </si>
  <si>
    <t>Schedule 1, lines 11 through 19a, plus 23 and 25</t>
  </si>
  <si>
    <t>Enter the total of the amounts from</t>
  </si>
  <si>
    <t xml:space="preserve">lines 15 and 16. </t>
  </si>
  <si>
    <t>Amount entered on Schedule 1, line 20 --&gt;</t>
  </si>
  <si>
    <t>line next to Schedule 1, line 20. If you do not, you may get a math error notice from the IRS.</t>
  </si>
  <si>
    <t xml:space="preserve">    Student Loan Interest Deduction Worksheet—Schedule 1, Line 21</t>
  </si>
  <si>
    <t>Figure any write-in adjustments to be entered on the dotted line next to Schedule 1, line 24z</t>
  </si>
  <si>
    <t>(see the instructions for Schedule 1, line 24z).</t>
  </si>
  <si>
    <r>
      <rPr>
        <b/>
        <sz val="10"/>
        <rFont val="Arial"/>
        <family val="2"/>
      </rPr>
      <t>Student loan interest deduction.</t>
    </r>
    <r>
      <rPr>
        <sz val="10"/>
        <rFont val="Arial"/>
        <family val="2"/>
      </rPr>
      <t xml:space="preserve"> Subtract line 8 from line 1. Enter the result here and on Schedule 1, line 21</t>
    </r>
  </si>
  <si>
    <r>
      <rPr>
        <b/>
        <sz val="10"/>
        <rFont val="Arial"/>
        <family val="2"/>
      </rPr>
      <t xml:space="preserve">Don’t </t>
    </r>
    <r>
      <rPr>
        <sz val="10"/>
        <rFont val="Arial"/>
        <family val="2"/>
      </rPr>
      <t>include this amount in figuring any other deduction on your return (such as on Schedule A, C, E, etc.)</t>
    </r>
  </si>
  <si>
    <t>Student Loan Interest Deduction Worksheet — Schedule 1, Line 21</t>
  </si>
  <si>
    <t>Sch. 1 Line 21 (Stu Loan)</t>
  </si>
  <si>
    <t xml:space="preserve"> .   .   .  </t>
  </si>
  <si>
    <t xml:space="preserve">.   .    .   .   .   .   .   .   .   .   .   .   .   .   .   .   .   .   .   .   .   .   .   .   .   .   .   .   .  </t>
  </si>
  <si>
    <t>Lines 1, 5, 8, and 14 are</t>
  </si>
  <si>
    <t>Form 1040 or 1040-SR, line 12a</t>
  </si>
  <si>
    <r>
      <t xml:space="preserve">o   You can deduct the part of your </t>
    </r>
    <r>
      <rPr>
        <b/>
        <sz val="8"/>
        <rFont val="Arial"/>
        <family val="2"/>
      </rPr>
      <t>medical and dental expenses</t>
    </r>
    <r>
      <rPr>
        <sz val="8"/>
        <rFont val="Arial"/>
        <family val="2"/>
      </rPr>
      <t xml:space="preserve"> that exceed </t>
    </r>
  </si>
  <si>
    <r>
      <t xml:space="preserve">o   The amount you can deduct for qualified </t>
    </r>
    <r>
      <rPr>
        <b/>
        <sz val="8"/>
        <rFont val="Arial"/>
        <family val="2"/>
      </rPr>
      <t>long-term care insurance</t>
    </r>
    <r>
      <rPr>
        <sz val="8"/>
        <rFont val="Arial"/>
        <family val="2"/>
      </rPr>
      <t xml:space="preserve"> contracts (as defined in Pub. 502) depends on the age, at  the  end</t>
    </r>
  </si>
  <si>
    <r>
      <rPr>
        <b/>
        <sz val="8"/>
        <rFont val="Arial"/>
        <family val="2"/>
      </rPr>
      <t>Caution:</t>
    </r>
    <r>
      <rPr>
        <sz val="8"/>
        <rFont val="Arial"/>
        <family val="2"/>
      </rPr>
      <t xml:space="preserve"> If 
required, failure to file FinCEN Form 114 may result in substantial penalties. 
See instructions.</t>
    </r>
  </si>
  <si>
    <t>Attach to Form 1040, 1040-SR, 1040-NR, or 1041; partnerships generally must file Form 1065.</t>
  </si>
  <si>
    <r>
      <t>When did you place your vehicle in service for business purposes?   (month/day/year)</t>
    </r>
    <r>
      <rPr>
        <sz val="10"/>
        <rFont val="Arial"/>
        <family val="2"/>
      </rPr>
      <t/>
    </r>
  </si>
  <si>
    <t>/</t>
  </si>
  <si>
    <t xml:space="preserve"> less than zero if a negative amount on that line. Otherwise, you don't have any carryovers.</t>
  </si>
  <si>
    <t>if you file Form 4952 and you have an amount on line 4g, even if you don’t need to file Schedule D.</t>
  </si>
  <si>
    <r>
      <t xml:space="preserve">expense deduction), line 4g  </t>
    </r>
    <r>
      <rPr>
        <b/>
        <sz val="10"/>
        <rFont val="Arial"/>
        <family val="2"/>
      </rPr>
      <t xml:space="preserve"> .   .   .   .   .   .   .   .   .   .</t>
    </r>
  </si>
  <si>
    <t>on Form 1040 or 1040-SR, line 16. Instead, enter it on line 4 of the Foreign Earned Income Tax Worksheet in the instructions</t>
  </si>
  <si>
    <r>
      <rPr>
        <b/>
        <sz val="12"/>
        <rFont val="Arial"/>
        <family val="2"/>
      </rPr>
      <t>Note:</t>
    </r>
    <r>
      <rPr>
        <sz val="12"/>
        <rFont val="Arial"/>
        <family val="2"/>
      </rPr>
      <t xml:space="preserve"> Only U.S. citizens and resident aliens who are citizens or nationals of U.S. treaty countries can use this</t>
    </r>
  </si>
  <si>
    <t>test. See instructions.</t>
  </si>
  <si>
    <t>Taxpayers Qualifying Under Bona Fide Residence Test</t>
  </si>
  <si>
    <r>
      <rPr>
        <sz val="8"/>
        <rFont val="Arial"/>
        <family val="2"/>
      </rPr>
      <t xml:space="preserve">Form </t>
    </r>
    <r>
      <rPr>
        <b/>
        <sz val="14"/>
        <rFont val="Arial"/>
        <family val="2"/>
      </rPr>
      <t>2555</t>
    </r>
  </si>
  <si>
    <r>
      <rPr>
        <sz val="10"/>
        <rFont val="Arial"/>
        <family val="2"/>
      </rPr>
      <t>Form</t>
    </r>
    <r>
      <rPr>
        <sz val="11"/>
        <rFont val="Arial"/>
        <family val="2"/>
      </rPr>
      <t xml:space="preserve"> </t>
    </r>
    <r>
      <rPr>
        <b/>
        <sz val="14"/>
        <rFont val="Arial"/>
        <family val="2"/>
      </rPr>
      <t>2555</t>
    </r>
  </si>
  <si>
    <r>
      <rPr>
        <b/>
        <sz val="10"/>
        <rFont val="Arial"/>
        <family val="2"/>
      </rPr>
      <t>Foreign earned income exclusion.</t>
    </r>
    <r>
      <rPr>
        <sz val="10"/>
        <rFont val="Arial"/>
        <family val="2"/>
      </rPr>
      <t xml:space="preserve"> Enter the </t>
    </r>
    <r>
      <rPr>
        <b/>
        <sz val="10"/>
        <rFont val="Arial"/>
        <family val="2"/>
      </rPr>
      <t>smaller</t>
    </r>
    <r>
      <rPr>
        <sz val="10"/>
        <rFont val="Arial"/>
        <family val="2"/>
      </rPr>
      <t xml:space="preserve"> of line 40 or line 41. Also, complete Part VIII</t>
    </r>
  </si>
  <si>
    <t>and 1040-SR an amount on this line</t>
  </si>
  <si>
    <t>line 24j. Complete the Foreign Earned Income Tax Worksheet in the Instructions for Forms 1040</t>
  </si>
  <si>
    <r>
      <rPr>
        <b/>
        <sz val="11"/>
        <rFont val="Arial"/>
        <family val="2"/>
      </rPr>
      <t>Housing deduction.</t>
    </r>
    <r>
      <rPr>
        <sz val="11"/>
        <rFont val="Arial"/>
        <family val="2"/>
      </rPr>
      <t xml:space="preserve">  Add lines 48 and 49. Enter the total here and on Schedule 1 (Form 1040),</t>
    </r>
  </si>
  <si>
    <t>S/L -</t>
  </si>
  <si>
    <r>
      <rPr>
        <b/>
        <sz val="10"/>
        <rFont val="Arial"/>
        <family val="2"/>
      </rPr>
      <t>AMT.</t>
    </r>
    <r>
      <rPr>
        <sz val="10"/>
        <rFont val="Arial"/>
        <family val="2"/>
      </rPr>
      <t xml:space="preserve"> Subtract line 10 from line 9. If zero or less, enter -0-. Enter here and on Schedule 2 (1040), line 1</t>
    </r>
  </si>
  <si>
    <t>(Rev. December 2021)</t>
  </si>
  <si>
    <t>(c) Description and condition of donated property 
(For a vehicle, enter the year, make, model, and 
mileage. For securities and other property, 
see instructions.)</t>
  </si>
  <si>
    <r>
      <rPr>
        <b/>
        <sz val="12"/>
        <rFont val="Arial"/>
        <family val="2"/>
      </rPr>
      <t>Donated Property of $5,000 or Less and Publicly Traded Securities</t>
    </r>
    <r>
      <rPr>
        <sz val="12"/>
        <rFont val="Arial"/>
        <family val="2"/>
      </rPr>
      <t xml:space="preserve">—List in this section </t>
    </r>
    <r>
      <rPr>
        <b/>
        <sz val="12"/>
        <rFont val="Arial"/>
        <family val="2"/>
      </rPr>
      <t>only</t>
    </r>
    <r>
      <rPr>
        <sz val="12"/>
        <rFont val="Arial"/>
        <family val="2"/>
      </rPr>
      <t xml:space="preserve"> items</t>
    </r>
  </si>
  <si>
    <t>(or a group of similar items) for which you claimed a deduction of $5,000 or less. Also list publicly traded</t>
  </si>
  <si>
    <t>securities and certain other property even if the deduction is more than $5,000.  See instructions.</t>
  </si>
  <si>
    <r>
      <rPr>
        <b/>
        <sz val="8"/>
        <rFont val="Arial"/>
        <family val="2"/>
      </rPr>
      <t>(g)</t>
    </r>
    <r>
      <rPr>
        <sz val="8"/>
        <rFont val="Arial"/>
        <family val="2"/>
      </rPr>
      <t xml:space="preserve"> Donor’s cost 
or adjusted basis</t>
    </r>
  </si>
  <si>
    <r>
      <rPr>
        <b/>
        <sz val="8"/>
        <rFont val="Arial"/>
        <family val="2"/>
      </rPr>
      <t>(i)</t>
    </r>
    <r>
      <rPr>
        <sz val="8"/>
        <rFont val="Arial"/>
        <family val="2"/>
      </rPr>
      <t xml:space="preserve"> Method used to determine 
the fair market value</t>
    </r>
  </si>
  <si>
    <t>Donated Property Over $5,000 (Except Publicly Traded Securities, Vehicles, Intellectual Property or</t>
  </si>
  <si>
    <r>
      <t>Inventory Reportable in Section A)—</t>
    </r>
    <r>
      <rPr>
        <sz val="11"/>
        <rFont val="Arial"/>
        <family val="2"/>
      </rPr>
      <t>Complete this section for one item (or a group of similar items) for</t>
    </r>
  </si>
  <si>
    <t>which you claimed a deduction of more than $5,000 per item or group (except contributions reportable in</t>
  </si>
  <si>
    <t>Section A). Provide a separate form for each item donated unless it is part of a group of similar items. A</t>
  </si>
  <si>
    <t>qualified appraisal is generally required for items reportable in Section B. See instructions.</t>
  </si>
  <si>
    <r>
      <rPr>
        <b/>
        <sz val="10"/>
        <rFont val="Arial"/>
        <family val="2"/>
      </rPr>
      <t>(b)</t>
    </r>
    <r>
      <rPr>
        <sz val="10"/>
        <rFont val="Arial"/>
        <family val="2"/>
      </rPr>
      <t xml:space="preserve"> If tangible property was donated, give a brief summary 
of the overall physical condition of the property at the time of the gift</t>
    </r>
  </si>
  <si>
    <t>(g) For bargain sales, enter amount received</t>
  </si>
  <si>
    <t>(i) Date of 
contribution 
(see instructions)</t>
  </si>
  <si>
    <t>Form 8283 (Rev. 12-2021)</t>
  </si>
  <si>
    <t>Appraiser name</t>
  </si>
  <si>
    <t>(Rev. 12-2021)</t>
  </si>
  <si>
    <t>Nondeductible IRAs</t>
  </si>
  <si>
    <t>Go to www.irs.gov/Form8606 for instructions and the latest information.</t>
  </si>
  <si>
    <t>Tax Day</t>
  </si>
  <si>
    <t>Forms 8915-D, and 8915-F</t>
  </si>
  <si>
    <t>Form 8915-F, line 14, as applicable</t>
  </si>
  <si>
    <t>Do not</t>
  </si>
  <si>
    <t>include rollovers (other than repayments of qualified disaster distributions</t>
  </si>
  <si>
    <t>time distribution to fund an HSA, conversions to a Roth IRA, certain returned</t>
  </si>
  <si>
    <t>contributions, or recharacterizations of traditional IRA contributions  (see</t>
  </si>
  <si>
    <t>from traditional, SEP, or SIMPLE IRA,</t>
  </si>
  <si>
    <t>charitable distribution, one-time distribution to fund an HSA, recharacterization, or return of certain contributions</t>
  </si>
  <si>
    <r>
      <t xml:space="preserve">This sheet includes </t>
    </r>
    <r>
      <rPr>
        <b/>
        <u/>
        <sz val="12"/>
        <color rgb="FF008000"/>
        <rFont val="Arial"/>
        <family val="2"/>
      </rPr>
      <t>two</t>
    </r>
    <r>
      <rPr>
        <sz val="12"/>
        <color rgb="FF008000"/>
        <rFont val="Arial"/>
        <family val="2"/>
      </rPr>
      <t xml:space="preserve"> Form 8606 forms.</t>
    </r>
  </si>
  <si>
    <t xml:space="preserve">  Enter the amount from line 3 on line 14.</t>
  </si>
  <si>
    <t xml:space="preserve">  Do not complete the rest of Part I.</t>
  </si>
  <si>
    <t xml:space="preserve">     Schedule 3 (Form 1040), lines 1, 2, 6d and 6l</t>
  </si>
  <si>
    <t xml:space="preserve">.   .   .   .    .   .   .   .   .   .   .   .   .   .   .   .   .   .   .   .   .   .   .   .   .   .   .   .   .   .   .   .   . </t>
  </si>
  <si>
    <r>
      <rPr>
        <b/>
        <sz val="9"/>
        <rFont val="Arial"/>
        <family val="2"/>
      </rPr>
      <t>HSA deduction.</t>
    </r>
    <r>
      <rPr>
        <sz val="9"/>
        <rFont val="Arial"/>
        <family val="2"/>
      </rPr>
      <t xml:space="preserve"> Enter the </t>
    </r>
    <r>
      <rPr>
        <b/>
        <sz val="9"/>
        <rFont val="Arial"/>
        <family val="2"/>
      </rPr>
      <t>smaller</t>
    </r>
    <r>
      <rPr>
        <sz val="9"/>
        <rFont val="Arial"/>
        <family val="2"/>
      </rPr>
      <t xml:space="preserve"> of line 2 or line 12 here and on Schedule 1 (Form 1040), Part II, line 13</t>
    </r>
  </si>
  <si>
    <t>Schedule 1, Line 13</t>
  </si>
  <si>
    <t>Schedule 1, Line 8e</t>
  </si>
  <si>
    <t>Schedule 1, Line 8z</t>
  </si>
  <si>
    <t>Form 8889</t>
  </si>
  <si>
    <t>Sheet "8889", line 13</t>
  </si>
  <si>
    <t>(Form 1040), Part II, line 17c</t>
  </si>
  <si>
    <t>(Form 1040), Part II, line 17d</t>
  </si>
  <si>
    <r>
      <t xml:space="preserve">Total income.  </t>
    </r>
    <r>
      <rPr>
        <sz val="10"/>
        <rFont val="Arial"/>
        <family val="2"/>
      </rPr>
      <t>Add lines 18 and 19. Include this amount on Schedule 1 (Form 1040), Part I,</t>
    </r>
  </si>
  <si>
    <t>line 8z, and enter “HSA” and the amount on the dotted line</t>
  </si>
  <si>
    <t>Schedule 2, Line 17d</t>
  </si>
  <si>
    <t>Schedule 2, Line 17c</t>
  </si>
  <si>
    <t>Form 8889, line 17a</t>
  </si>
  <si>
    <t>Form 8889, line 21</t>
  </si>
  <si>
    <r>
      <t xml:space="preserve">Manual
Override </t>
    </r>
    <r>
      <rPr>
        <b/>
        <sz val="10"/>
        <rFont val="Wingdings"/>
        <charset val="2"/>
      </rPr>
      <t>ê</t>
    </r>
  </si>
  <si>
    <r>
      <rPr>
        <b/>
        <sz val="10"/>
        <rFont val="Arial"/>
        <family val="2"/>
      </rPr>
      <t>Taxable HSA distributions.</t>
    </r>
    <r>
      <rPr>
        <sz val="10"/>
        <rFont val="Arial"/>
        <family val="2"/>
      </rPr>
      <t xml:space="preserve">   Subtract line 15 from line 14c. If zero or less, enter -0-. Also,</t>
    </r>
  </si>
  <si>
    <t>include this amount in the total on Schedule 1 (Form 1040), Part I, line 8e</t>
  </si>
  <si>
    <r>
      <rPr>
        <b/>
        <sz val="8"/>
        <rFont val="Arial"/>
        <family val="2"/>
      </rPr>
      <t>(c)</t>
    </r>
    <r>
      <rPr>
        <sz val="8"/>
        <rFont val="Arial"/>
        <family val="2"/>
      </rPr>
      <t xml:space="preserve">
Date sold or
disposed of
(Mo., day, yr.)</t>
    </r>
  </si>
  <si>
    <r>
      <rPr>
        <b/>
        <sz val="11"/>
        <rFont val="Arial"/>
        <family val="2"/>
      </rPr>
      <t>Enter here and include on your tax return</t>
    </r>
    <r>
      <rPr>
        <sz val="11"/>
        <rFont val="Arial"/>
        <family val="2"/>
      </rPr>
      <t xml:space="preserve"> </t>
    </r>
  </si>
  <si>
    <t>Hide
note.</t>
  </si>
  <si>
    <t>B.</t>
  </si>
  <si>
    <t>A.</t>
  </si>
  <si>
    <t xml:space="preserve">  If you, or your spouse (if filing a joint return), received, or were approved to receive, unemployment compensation for any week beginning during 2021,</t>
  </si>
  <si>
    <t xml:space="preserve">  check the box. See instructions</t>
  </si>
  <si>
    <t xml:space="preserve">  You cannot claim the PTC if your filing status is married filing separately unless you qualify for an exception (see instructions). If you qualify, check the box</t>
  </si>
  <si>
    <t>Amount from Line 4 of Form 8962.</t>
  </si>
  <si>
    <t>Divide the amount on line 1 above by the</t>
  </si>
  <si>
    <t>amount on line 2 above. Do not round; instead,</t>
  </si>
  <si>
    <t>multiply this number by 100 (to express it as a</t>
  </si>
  <si>
    <t>percentage) and then drop any numbers after</t>
  </si>
  <si>
    <t>the decimal point.</t>
  </si>
  <si>
    <r>
      <t xml:space="preserve">•  </t>
    </r>
    <r>
      <rPr>
        <b/>
        <sz val="8.5"/>
        <color rgb="FF000000"/>
        <rFont val="Arial"/>
        <family val="2"/>
      </rPr>
      <t>Yes.</t>
    </r>
  </si>
  <si>
    <t>Enter 401 here and on line 5 of Form 8962.</t>
  </si>
  <si>
    <r>
      <t xml:space="preserve">•  </t>
    </r>
    <r>
      <rPr>
        <b/>
        <sz val="8.5"/>
        <color rgb="FF000000"/>
        <rFont val="Arial"/>
        <family val="2"/>
      </rPr>
      <t>No.</t>
    </r>
  </si>
  <si>
    <t>Enter the result here and on line 5 of Form 8962.</t>
  </si>
  <si>
    <t>in the instructions.</t>
  </si>
  <si>
    <r>
      <t xml:space="preserve">*If line 4 is below 100, see </t>
    </r>
    <r>
      <rPr>
        <i/>
        <sz val="8.5"/>
        <color rgb="FF000000"/>
        <rFont val="Arial"/>
        <family val="2"/>
      </rPr>
      <t>Household income below 100% of the federal poverty line</t>
    </r>
    <r>
      <rPr>
        <sz val="8.5"/>
        <color rgb="FF000000"/>
        <rFont val="Arial"/>
        <family val="2"/>
      </rPr>
      <t xml:space="preserve"> </t>
    </r>
  </si>
  <si>
    <t>Are you allocating policy amounts with another taxpayer or do you want to use the alternative calculation for year of marriage?  See instructions.</t>
  </si>
  <si>
    <t xml:space="preserve">Annual Totals </t>
  </si>
  <si>
    <t>on Schedule 3 (Form 1040), line 9. If line 24 equals line 25, enter -0-.</t>
  </si>
  <si>
    <t>400 or more  .   .   .   .   .   .  leave line 28 blank</t>
  </si>
  <si>
    <t>Manual &gt;</t>
  </si>
  <si>
    <t xml:space="preserve">On Form 1040, to save time, it's generally okay to enter alternate information (e.g. SSN = 111-22-3333).  </t>
  </si>
  <si>
    <t>Be aware, to perform an accurate tax calculation, the spreadsheet will need reasonably accurate birthdate,</t>
  </si>
  <si>
    <t>accurate state of residence, and a valid SSN.  Don't leave these cells blank.</t>
  </si>
  <si>
    <r>
      <t xml:space="preserve">You don't owe a penalty. </t>
    </r>
    <r>
      <rPr>
        <b/>
        <sz val="10"/>
        <rFont val="Arial"/>
        <family val="2"/>
      </rPr>
      <t xml:space="preserve">Don't </t>
    </r>
    <r>
      <rPr>
        <sz val="10"/>
        <rFont val="Arial"/>
        <family val="2"/>
      </rPr>
      <t xml:space="preserve">file Form 2210 unless
</t>
    </r>
    <r>
      <rPr>
        <b/>
        <sz val="10"/>
        <rFont val="Arial"/>
        <family val="2"/>
      </rPr>
      <t>box E</t>
    </r>
    <r>
      <rPr>
        <sz val="10"/>
        <rFont val="Arial"/>
        <family val="2"/>
      </rPr>
      <t xml:space="preserve"> in Part II applies, then file page 1 of Form 2210.</t>
    </r>
  </si>
  <si>
    <r>
      <rPr>
        <b/>
        <sz val="11"/>
        <rFont val="Arial"/>
        <family val="2"/>
      </rPr>
      <t>Don't file Form 2210.</t>
    </r>
    <r>
      <rPr>
        <sz val="11"/>
        <rFont val="Arial"/>
        <family val="2"/>
      </rPr>
      <t xml:space="preserve"> You aren't required to figure
your penalty because the IRS will figure it and send
you a bill for any unpaid amount. If you want to figure
it, you may use Part III as a worksheet and
enter your penalty amount on your tax return, but
</t>
    </r>
    <r>
      <rPr>
        <b/>
        <sz val="11"/>
        <rFont val="Arial"/>
        <family val="2"/>
      </rPr>
      <t>don't file Form 2210.</t>
    </r>
  </si>
  <si>
    <r>
      <t xml:space="preserve">You </t>
    </r>
    <r>
      <rPr>
        <b/>
        <sz val="11"/>
        <rFont val="Arial"/>
        <family val="2"/>
      </rPr>
      <t>aren't</t>
    </r>
    <r>
      <rPr>
        <sz val="11"/>
        <rFont val="Arial"/>
        <family val="2"/>
      </rPr>
      <t xml:space="preserve"> required to figure your penalty because the IRS
will figure it and send you a bill for any unpaid amount. If
you want to figure it, you may use Part III as a worksheet
and enter your penalty amount on your tax return, but </t>
    </r>
    <r>
      <rPr>
        <b/>
        <sz val="11"/>
        <rFont val="Arial"/>
        <family val="2"/>
      </rPr>
      <t>file only page 1 of Form 2210.</t>
    </r>
  </si>
  <si>
    <t>Other taxes, including self-employment tax and, if applicable, Additional Medicare Tax and/or Net</t>
  </si>
  <si>
    <t>Investment Income Tax (see instructions)</t>
  </si>
  <si>
    <t>Other payments and refundable credits (see instructions)</t>
  </si>
  <si>
    <t>will figure it and send you a bill for any unpaid amount. If you want to figure your penalty, you may use Part III as a worksheet</t>
  </si>
  <si>
    <r>
      <t xml:space="preserve">and enter your penalty on your tax return, but </t>
    </r>
    <r>
      <rPr>
        <b/>
        <sz val="10"/>
        <rFont val="Arial"/>
        <family val="2"/>
      </rPr>
      <t>file only page 1 of Form 2210.</t>
    </r>
  </si>
  <si>
    <t>Section A—Figure Your Underpayment</t>
  </si>
  <si>
    <t>Penalty Computation</t>
  </si>
  <si>
    <t>enter the amounts from Schedule AI, line 27.</t>
  </si>
  <si>
    <t>each column. For fiscal year filers, see instructions</t>
  </si>
  <si>
    <t>amount from line 11 on line 15 column (a). If line 11</t>
  </si>
  <si>
    <t>is equal to or more than line 10 for all payment periods,</t>
  </si>
  <si>
    <t>Enter the amount, if any, from line 18 in the previous</t>
  </si>
  <si>
    <t>Add the amounts on lines 16 and 17 in the previous</t>
  </si>
  <si>
    <t>For column (a) only, enter the amount from line 11</t>
  </si>
  <si>
    <t>If line 15 is zero, subtract line 13 from line 14.</t>
  </si>
  <si>
    <r>
      <rPr>
        <b/>
        <sz val="12"/>
        <rFont val="Arial"/>
        <family val="2"/>
      </rPr>
      <t>Underpayment.</t>
    </r>
    <r>
      <rPr>
        <sz val="12"/>
        <rFont val="Arial"/>
        <family val="2"/>
      </rPr>
      <t xml:space="preserve"> If line 10 is equal to or more than</t>
    </r>
  </si>
  <si>
    <t>Overpayment. If line 15 is more than line 10,</t>
  </si>
  <si>
    <t>subtract line 10 from line 15. Then go to line 12 of</t>
  </si>
  <si>
    <t>of the next column. Otherwise, go to line 18</t>
  </si>
  <si>
    <t>line 15, subtract line 10 from line 15. Then go to line 12</t>
  </si>
  <si>
    <t>Enter your adjusted gross income for each period. See</t>
  </si>
  <si>
    <t>instructions. (Estates and trusts, enter your taxable</t>
  </si>
  <si>
    <r>
      <rPr>
        <b/>
        <sz val="10"/>
        <rFont val="Arial"/>
        <family val="2"/>
      </rPr>
      <t>Exception:</t>
    </r>
    <r>
      <rPr>
        <sz val="10"/>
        <rFont val="Arial"/>
        <family val="2"/>
      </rPr>
      <t xml:space="preserve">  Estates and trusts, skip to line 9</t>
    </r>
  </si>
  <si>
    <t xml:space="preserve">each column. All others enter -0-, and skip to line 7. </t>
  </si>
  <si>
    <t>deduction and line 12b from Form 1040 or 1040-SR.</t>
  </si>
  <si>
    <r>
      <t xml:space="preserve">(1040-NR filers, enter -0-. </t>
    </r>
    <r>
      <rPr>
        <b/>
        <sz val="11"/>
        <rFont val="Arial"/>
        <family val="2"/>
      </rPr>
      <t xml:space="preserve">Exception:  </t>
    </r>
    <r>
      <rPr>
        <sz val="11"/>
        <rFont val="Arial"/>
        <family val="2"/>
      </rPr>
      <t>Indian students and</t>
    </r>
  </si>
  <si>
    <t>Form 2210, Part III, line 10</t>
  </si>
  <si>
    <t>(Penalty Worksheet)</t>
  </si>
  <si>
    <t>Worksheet for Form 2210, Part III, Section B—Figure the Penalty</t>
  </si>
  <si>
    <t>you will need to make more than one computation for that column.</t>
  </si>
  <si>
    <t>Enter your underpayment from Part III, Section A, line 17</t>
  </si>
  <si>
    <t>Penalty. Add all amounts on lines 4, 7, 10, and 13 in all columns. Enter the total here and on line 19 of Part III,</t>
  </si>
  <si>
    <t>-7-</t>
  </si>
  <si>
    <t>Subtract line 17 from line 16.  If zerio or less, enter -0-</t>
  </si>
  <si>
    <t>Enter the amount from line 15. If line 15 is blank, enter -0-</t>
  </si>
  <si>
    <r>
      <t xml:space="preserve">Enter the </t>
    </r>
    <r>
      <rPr>
        <b/>
        <sz val="10"/>
        <rFont val="Arial"/>
        <family val="2"/>
      </rPr>
      <t>smaller</t>
    </r>
    <r>
      <rPr>
        <sz val="10"/>
        <rFont val="Arial"/>
        <family val="2"/>
      </rPr>
      <t xml:space="preserve"> of line 1 or line 9</t>
    </r>
  </si>
  <si>
    <t>Enter the larger of line 12 or line 13</t>
  </si>
  <si>
    <r>
      <t xml:space="preserve">Note. </t>
    </r>
    <r>
      <rPr>
        <sz val="10"/>
        <rFont val="Arial"/>
        <family val="2"/>
      </rPr>
      <t xml:space="preserve"> If line 11 and line 12 are the same, </t>
    </r>
  </si>
  <si>
    <t>skip line 15 and go to line 16.</t>
  </si>
  <si>
    <r>
      <rPr>
        <b/>
        <sz val="10"/>
        <rFont val="Arial"/>
        <family val="2"/>
      </rPr>
      <t>Note.</t>
    </r>
    <r>
      <rPr>
        <sz val="10"/>
        <rFont val="Arial"/>
        <family val="2"/>
      </rPr>
      <t xml:space="preserve"> If lines 1 and 11 are the same,</t>
    </r>
  </si>
  <si>
    <t>skip lines 16 through 36 and go to line 37.</t>
  </si>
  <si>
    <r>
      <t xml:space="preserve">Enter the </t>
    </r>
    <r>
      <rPr>
        <b/>
        <sz val="10"/>
        <rFont val="Arial"/>
        <family val="2"/>
      </rPr>
      <t>smaller</t>
    </r>
    <r>
      <rPr>
        <sz val="10"/>
        <rFont val="Arial"/>
        <family val="2"/>
      </rPr>
      <t xml:space="preserve"> of line 10 or line 11</t>
    </r>
  </si>
  <si>
    <t>Subtract line 12 from line 11. This amount is taxed at 0%</t>
  </si>
  <si>
    <t>Subtract line 4 from line 1. If zero or less, enter -0-</t>
  </si>
  <si>
    <t>Enter the amount from the appropriate worksheet.</t>
  </si>
  <si>
    <r>
      <rPr>
        <sz val="10"/>
        <rFont val="Marlett"/>
        <charset val="2"/>
      </rPr>
      <t>h</t>
    </r>
    <r>
      <rPr>
        <sz val="10"/>
        <rFont val="Arial"/>
        <family val="2"/>
      </rPr>
      <t xml:space="preserve"> Line 3 of your 2021 Estimated Tax Worksheet.</t>
    </r>
  </si>
  <si>
    <t>(Worksheet 2-1 in Pub. 505)</t>
  </si>
  <si>
    <t>exclude or deduct foreign earned income or housing)</t>
  </si>
  <si>
    <r>
      <rPr>
        <sz val="10"/>
        <rFont val="Marlett"/>
        <charset val="2"/>
      </rPr>
      <t>h</t>
    </r>
    <r>
      <rPr>
        <sz val="10"/>
        <rFont val="Arial"/>
        <family val="2"/>
      </rPr>
      <t xml:space="preserve"> Line 3 of Worksheet 2-6 in Pub. 505</t>
    </r>
    <r>
      <rPr>
        <sz val="10"/>
        <rFont val="Arial"/>
        <family val="2"/>
        <charset val="2"/>
      </rPr>
      <t xml:space="preserve"> (use if you will </t>
    </r>
  </si>
  <si>
    <r>
      <t xml:space="preserve">Enter the </t>
    </r>
    <r>
      <rPr>
        <b/>
        <sz val="10"/>
        <rFont val="Arial"/>
        <family val="2"/>
      </rPr>
      <t>smaller</t>
    </r>
    <r>
      <rPr>
        <sz val="10"/>
        <rFont val="Arial"/>
        <family val="2"/>
      </rPr>
      <t xml:space="preserve"> of line 3 or line 7</t>
    </r>
  </si>
  <si>
    <t>Subtract line 9 from line 1. If zero or less, enter -0-</t>
  </si>
  <si>
    <t>Subtract line 8 from line 4</t>
  </si>
  <si>
    <r>
      <t xml:space="preserve">Enter the </t>
    </r>
    <r>
      <rPr>
        <b/>
        <sz val="10"/>
        <rFont val="Arial"/>
        <family val="2"/>
      </rPr>
      <t>smaller</t>
    </r>
    <r>
      <rPr>
        <sz val="10"/>
        <rFont val="Arial"/>
        <family val="2"/>
      </rPr>
      <t xml:space="preserve"> of line 1 or line 19</t>
    </r>
  </si>
  <si>
    <r>
      <t xml:space="preserve">Enter the </t>
    </r>
    <r>
      <rPr>
        <b/>
        <sz val="10"/>
        <rFont val="Arial"/>
        <family val="2"/>
      </rPr>
      <t>smaller</t>
    </r>
    <r>
      <rPr>
        <sz val="10"/>
        <rFont val="Arial"/>
        <family val="2"/>
      </rPr>
      <t xml:space="preserve"> of line 18 or line 22</t>
    </r>
  </si>
  <si>
    <t>Subtract line 21 from line 20. If zero or less, enter -0-</t>
  </si>
  <si>
    <t>Add line 17 and line 23.</t>
  </si>
  <si>
    <t>Subtract line 25 from line 16</t>
  </si>
  <si>
    <t>Enter the smaller of line 3 or line 6</t>
  </si>
  <si>
    <t>Add lines 4 and 14</t>
  </si>
  <si>
    <t>30.</t>
  </si>
  <si>
    <t>Subtract line 31 from line 28. If zero or less, enter -0-</t>
  </si>
  <si>
    <t>Add lines 14, 15, 23, 26, and 32</t>
  </si>
  <si>
    <r>
      <rPr>
        <b/>
        <sz val="10"/>
        <rFont val="Arial"/>
        <family val="2"/>
      </rPr>
      <t>Note.</t>
    </r>
    <r>
      <rPr>
        <sz val="10"/>
        <rFont val="Arial"/>
        <family val="2"/>
      </rPr>
      <t xml:space="preserve"> If line 5 is zero or blank, skip lines 34 through 36 and</t>
    </r>
  </si>
  <si>
    <t>go to line 37 .</t>
  </si>
  <si>
    <t>Subtract line 34 from line 1</t>
  </si>
  <si>
    <t>Line 14 - Est. Tax WS</t>
  </si>
  <si>
    <t>Line 37 - Est. Tax WS</t>
  </si>
  <si>
    <t>Add lines 24, 27, 33, 36, and 37</t>
  </si>
  <si>
    <t>Schedules</t>
  </si>
  <si>
    <r>
      <rPr>
        <b/>
        <sz val="10"/>
        <rFont val="Arial"/>
        <family val="2"/>
      </rPr>
      <t>Figure the tax</t>
    </r>
    <r>
      <rPr>
        <sz val="10"/>
        <rFont val="Arial"/>
        <family val="2"/>
      </rPr>
      <t xml:space="preserve"> on the amount on line 1 from the 2021 Tax Rate</t>
    </r>
  </si>
  <si>
    <r>
      <rPr>
        <b/>
        <sz val="10"/>
        <rFont val="Arial"/>
        <family val="2"/>
      </rPr>
      <t>Figure the tax</t>
    </r>
    <r>
      <rPr>
        <sz val="10"/>
        <rFont val="Arial"/>
        <family val="2"/>
      </rPr>
      <t xml:space="preserve"> on the amount on line 14 from</t>
    </r>
  </si>
  <si>
    <t>Line 1 - Est. Tax WS</t>
  </si>
  <si>
    <t>Line 39 - Est. Tax WS</t>
  </si>
  <si>
    <r>
      <t xml:space="preserve">Tax on all taxable income (including capital gains and qualified dividends). </t>
    </r>
    <r>
      <rPr>
        <sz val="10"/>
        <rFont val="Arial"/>
        <family val="2"/>
      </rPr>
      <t xml:space="preserve">Enter the </t>
    </r>
    <r>
      <rPr>
        <b/>
        <sz val="10"/>
        <rFont val="Arial"/>
        <family val="2"/>
      </rPr>
      <t>smaller</t>
    </r>
    <r>
      <rPr>
        <sz val="10"/>
        <rFont val="Arial"/>
        <family val="2"/>
      </rPr>
      <t xml:space="preserve"> of line 38</t>
    </r>
  </si>
  <si>
    <t>Enter the smaller of line 38 or line 39 here and on Part I, line 4 (or line 4 of Worksheet 2-6 in Pub. 505)</t>
  </si>
  <si>
    <t>skip lines 26 through 36 and go to line 37</t>
  </si>
  <si>
    <t>If line 1 equals the sum of lines 21 and 23, then</t>
  </si>
  <si>
    <t>* If you’re a household employer, include your household employment taxes on line 2. 
Don’t include household employment taxes if both of the following are true: 
(1) You didn’t have federal income tax withheld from your income, and 
(2) You wouldn’t be required to make estimated tax payments even if the household employment taxes weren't included.</t>
  </si>
  <si>
    <t>IF you file Form 1040, THEN include on line 2 the amounts on...</t>
  </si>
  <si>
    <r>
      <rPr>
        <b/>
        <sz val="9"/>
        <rFont val="Arial"/>
        <family val="2"/>
      </rPr>
      <t>Schedule 2 (Form 1040):</t>
    </r>
    <r>
      <rPr>
        <sz val="9"/>
        <rFont val="Arial"/>
        <family val="2"/>
      </rPr>
      <t xml:space="preserve">
Line 4,
Line 8 (additional tax on distributions only),
Line 9, 
Line 10,
Line 11,
Line 12,
Line 14,
Line 15,
Line 16,</t>
    </r>
  </si>
  <si>
    <t xml:space="preserve">
Line 17a,
Line 17c,
Line 17d,
Line 17e,
Line 17f,
Line 17g,
Line 17h,
Line 17i,
Line 17j,
Line 17l,
Line 17z,
Line 19.</t>
  </si>
  <si>
    <t>Refundable child and dependent care expenses credit from Form</t>
  </si>
  <si>
    <t>2441 (Schedule 3 (Form 1040), line 13g).</t>
  </si>
  <si>
    <t xml:space="preserve">Subtract line 14 from line 13. If zero or less, enter -0-. </t>
  </si>
  <si>
    <t xml:space="preserve">                                                                                                                                                                                                       </t>
  </si>
  <si>
    <t xml:space="preserve">                                                                         </t>
  </si>
  <si>
    <r>
      <rPr>
        <b/>
        <sz val="12"/>
        <rFont val="Arial"/>
        <family val="2"/>
      </rPr>
      <t xml:space="preserve">Section B - Figure the Penalty   </t>
    </r>
    <r>
      <rPr>
        <sz val="12"/>
        <rFont val="Arial"/>
        <family val="2"/>
      </rPr>
      <t xml:space="preserve"> </t>
    </r>
    <r>
      <rPr>
        <sz val="11"/>
        <rFont val="Arial"/>
        <family val="2"/>
      </rPr>
      <t>(Use the Worksheet for Form 2210, Part III, Section B - Figure Penalty in the instructions.)</t>
    </r>
  </si>
  <si>
    <t>Not yet working.</t>
  </si>
  <si>
    <t>Default SSN?</t>
  </si>
  <si>
    <t>B/D Missing?</t>
  </si>
  <si>
    <t>LTC Contr.</t>
  </si>
  <si>
    <t>Limit</t>
  </si>
  <si>
    <t>4802 N 124th Ct</t>
  </si>
  <si>
    <t>Kansas City, KS  66109-3809</t>
  </si>
  <si>
    <t xml:space="preserve">    Standard Deduction Worksheet for Dependents -- Line 12a</t>
  </si>
  <si>
    <t>All</t>
  </si>
  <si>
    <t>Review every tab to determine its applicability to your tax return and make sure each sheet is completed.</t>
  </si>
  <si>
    <t>Other income from Schedule 1, line 10</t>
  </si>
  <si>
    <t>Charitable contributions if you take the standard deduction (see instructions)</t>
  </si>
  <si>
    <t>Qualified business income deduction from Form 8995 or Form 8995-A</t>
  </si>
  <si>
    <t>Type (Code)</t>
  </si>
  <si>
    <t>Line 8z Entry</t>
  </si>
  <si>
    <t>sation plan that fails to meet the requirements of section 409A</t>
  </si>
  <si>
    <t>Income you received from a nonqualified deferred compen-</t>
  </si>
  <si>
    <t xml:space="preserve">. </t>
  </si>
  <si>
    <r>
      <rPr>
        <b/>
        <sz val="10"/>
        <rFont val="Arial"/>
        <family val="2"/>
      </rPr>
      <t>Yes.</t>
    </r>
    <r>
      <rPr>
        <sz val="10"/>
        <rFont val="Arial"/>
        <family val="2"/>
      </rPr>
      <t xml:space="preserve">  Skip question 3,</t>
    </r>
  </si>
  <si>
    <r>
      <t xml:space="preserve">and </t>
    </r>
    <r>
      <rPr>
        <b/>
        <sz val="10"/>
        <rFont val="Arial"/>
        <family val="2"/>
      </rPr>
      <t>not</t>
    </r>
    <r>
      <rPr>
        <sz val="10"/>
        <rFont val="Arial"/>
        <family val="2"/>
      </rPr>
      <t xml:space="preserve"> a</t>
    </r>
  </si>
  <si>
    <r>
      <t xml:space="preserve">See </t>
    </r>
    <r>
      <rPr>
        <i/>
        <sz val="10"/>
        <rFont val="Arial"/>
        <family val="2"/>
      </rPr>
      <t>Specified student</t>
    </r>
    <r>
      <rPr>
        <sz val="10"/>
        <rFont val="Arial"/>
        <family val="2"/>
      </rPr>
      <t>, later, before you answer. You, or</t>
    </r>
  </si>
  <si>
    <t>your spouse if filing a joint return, were at least age 19 at</t>
  </si>
  <si>
    <t>were born before January 2, 2003. If your spouse died in</t>
  </si>
  <si>
    <r>
      <rPr>
        <b/>
        <sz val="10"/>
        <rFont val="Arial"/>
        <family val="2"/>
      </rPr>
      <t>Yes.</t>
    </r>
    <r>
      <rPr>
        <sz val="10"/>
        <rFont val="Arial"/>
        <family val="2"/>
      </rPr>
      <t xml:space="preserve">  Skip question 4,</t>
    </r>
  </si>
  <si>
    <t>Were you, or your spouse if filing a joint return, a qualified</t>
  </si>
  <si>
    <t>former foster youth or a qualified homeless youth and at</t>
  </si>
  <si>
    <t>youth and Qualified homeless youth, later, before you</t>
  </si>
  <si>
    <t>answer. You, or your spouse if filing a joint return, were at</t>
  </si>
  <si>
    <t>filing a joint return, were born before January 2, 2004. If</t>
  </si>
  <si>
    <r>
      <rPr>
        <b/>
        <sz val="10"/>
        <rFont val="Arial"/>
        <family val="2"/>
      </rPr>
      <t>No.</t>
    </r>
    <r>
      <rPr>
        <sz val="10"/>
        <rFont val="Arial"/>
        <family val="2"/>
      </rPr>
      <t xml:space="preserve">    </t>
    </r>
    <r>
      <rPr>
        <b/>
        <sz val="10"/>
        <rFont val="Arial"/>
        <family val="2"/>
      </rPr>
      <t>STOP</t>
    </r>
  </si>
  <si>
    <t>A qualified former foster youth must consent for entities</t>
  </si>
  <si>
    <t>who administer a plan under part B or part E of title IV of</t>
  </si>
  <si>
    <t>the Social Security Act to disclose information related to</t>
  </si>
  <si>
    <t>their status as a qualified former foster youth. This consent</t>
  </si>
  <si>
    <t>is given by checking the box on line 27a. Qualified</t>
  </si>
  <si>
    <t>homeless youth are required to certify that they are</t>
  </si>
  <si>
    <t>unaccompanied, homeless or at risk of homelessness, and</t>
  </si>
  <si>
    <t>self-supporting by checking the box on line 27a. Did you</t>
  </si>
  <si>
    <t>check the box on line 27a?</t>
  </si>
  <si>
    <t>line next to line 27a.</t>
  </si>
  <si>
    <r>
      <rPr>
        <b/>
        <sz val="10"/>
        <rFont val="Arial"/>
        <family val="2"/>
      </rPr>
      <t>No.</t>
    </r>
    <r>
      <rPr>
        <sz val="10"/>
        <rFont val="Arial"/>
        <family val="2"/>
      </rPr>
      <t xml:space="preserve">    </t>
    </r>
    <r>
      <rPr>
        <b/>
        <sz val="10"/>
        <rFont val="Arial"/>
        <family val="2"/>
      </rPr>
      <t>Continue</t>
    </r>
  </si>
  <si>
    <r>
      <rPr>
        <b/>
        <sz val="10"/>
        <rFont val="Arial"/>
        <family val="2"/>
      </rPr>
      <t>Yes.</t>
    </r>
    <r>
      <rPr>
        <sz val="10"/>
        <rFont val="Arial"/>
        <family val="2"/>
      </rPr>
      <t xml:space="preserve">  Skip questions 8 and 9;</t>
    </r>
  </si>
  <si>
    <t>go to Step 5.</t>
  </si>
  <si>
    <t>(Check “No” if the other person isn't required to file, and</t>
  </si>
  <si>
    <r>
      <rPr>
        <b/>
        <sz val="10"/>
        <rFont val="Arial"/>
        <family val="2"/>
      </rPr>
      <t>Yes.</t>
    </r>
    <r>
      <rPr>
        <sz val="10"/>
        <rFont val="Arial"/>
        <family val="2"/>
      </rPr>
      <t xml:space="preserve">  STOP</t>
    </r>
  </si>
  <si>
    <r>
      <rPr>
        <b/>
        <sz val="10"/>
        <rFont val="Arial"/>
        <family val="2"/>
      </rPr>
      <t>No.</t>
    </r>
    <r>
      <rPr>
        <sz val="10"/>
        <rFont val="Arial"/>
        <family val="2"/>
      </rPr>
      <t xml:space="preserve">    Continue</t>
    </r>
  </si>
  <si>
    <t>4, and 5; Go to question 6.</t>
  </si>
  <si>
    <t>and 5; Go to question 6.</t>
  </si>
  <si>
    <t>Enter “No” in the space to the left of Form 1040 or 1040-SR, line 27a.</t>
  </si>
  <si>
    <t>Enter “No” on the dotted line next to Form 1040 or 1040-SR, line 27a.</t>
  </si>
  <si>
    <t>go to question 6.</t>
  </si>
  <si>
    <r>
      <rPr>
        <b/>
        <sz val="10"/>
        <rFont val="Arial"/>
        <family val="2"/>
      </rPr>
      <t>No.</t>
    </r>
    <r>
      <rPr>
        <sz val="10"/>
        <rFont val="Arial"/>
        <family val="2"/>
      </rPr>
      <t xml:space="preserve">  Skip questions 4 and 5; </t>
    </r>
  </si>
  <si>
    <r>
      <t xml:space="preserve">Form 2210, Underpayment of Estimated Tax by Individuals, Estates, and Trusts               </t>
    </r>
    <r>
      <rPr>
        <b/>
        <sz val="10"/>
        <color rgb="FFC00000"/>
        <rFont val="Arial"/>
        <family val="2"/>
      </rPr>
      <t>&lt; Not finished. &gt;</t>
    </r>
  </si>
  <si>
    <t>Revised calculation for Line 12b to double the allowed charitable contribution from $150 ($300 for MFJ) to $300 ($600 for MFJ).  Thank you, Alyssa J!</t>
  </si>
  <si>
    <t>Corrected line 1 to show Foreign Tax Credit from Form 1116.  Thank you, Aized M.</t>
  </si>
  <si>
    <t>Corrected wording and calculation for line 4 of 'Line 5 Worksheet' to 'Multiply Schedule 8812, line 4a, by $2,000' in lieu of 'line 4c'. Thank you, Mike R.</t>
  </si>
  <si>
    <t>Corrected 'Line 19' to reflect Schedule 8812, line 14h, versus line 40, Child Tax Credit. Thank you, J J and Chip S.</t>
  </si>
  <si>
    <t>Corrected calculation for Tax Family Size (Cell AO35) that is used by Form 8962, line 1. Thank you, Mark A.</t>
  </si>
  <si>
    <t>https://www.irs.gov/pub/irs-pdf/f1099msc_21.pdf</t>
  </si>
  <si>
    <t>Note: Previous year poverty line numbers are used by the IRS.</t>
  </si>
  <si>
    <t>1099-R, 1040, 
Form 8606</t>
  </si>
  <si>
    <t>Made several minor tweeks to correct minor errors and to improve usability.  Calculations not affected.</t>
  </si>
  <si>
    <r>
      <t xml:space="preserve">Line 27a — </t>
    </r>
    <r>
      <rPr>
        <b/>
        <i/>
        <sz val="12"/>
        <rFont val="Arial"/>
        <family val="2"/>
      </rPr>
      <t>Continued</t>
    </r>
  </si>
  <si>
    <t>Enter this amount on Form 1040, line 27a.</t>
  </si>
  <si>
    <t>Form 8862, who must  file, earlier, to find out if you must file Form 8862 to</t>
  </si>
  <si>
    <t>from farm partnerships, Schedule K-1 (Form 1065), box 14, code A*.</t>
  </si>
  <si>
    <t>Enter any net farm profit or (loss) from Schedule F, line 34, and</t>
  </si>
  <si>
    <t>Schedule F, line 34</t>
  </si>
  <si>
    <t>Schedule K-1 (Form 1065), box 14, code A*</t>
  </si>
  <si>
    <t>M481</t>
  </si>
  <si>
    <t>M490</t>
  </si>
  <si>
    <t>Information needed for Lines 2, 3, 4, 5, and 8 may be</t>
  </si>
  <si>
    <t>the amount of your nontaxable combat pay</t>
  </si>
  <si>
    <t>on line 27b of Form 1040 or 1040-SR.</t>
  </si>
  <si>
    <r>
      <t xml:space="preserve">See </t>
    </r>
    <r>
      <rPr>
        <i/>
        <sz val="10"/>
        <rFont val="Arial"/>
        <family val="2"/>
      </rPr>
      <t xml:space="preserve">Combat pay, </t>
    </r>
    <r>
      <rPr>
        <sz val="10"/>
        <rFont val="Arial"/>
        <family val="2"/>
      </rPr>
      <t>nontaxable, later</t>
    </r>
  </si>
  <si>
    <t>*You may elect to use your 2019 earned income to figure your EIC if your</t>
  </si>
  <si>
    <t>2019 earned income is more than your 2021 earned income. For details,</t>
  </si>
  <si>
    <t>see Pub. 596. If you make this election, skip question 2 and go to question</t>
  </si>
  <si>
    <t>See three CAUTION statements in the Form 1040, General Instructions (Page 41)</t>
  </si>
  <si>
    <t>Source: Form 1040, line 27b</t>
  </si>
  <si>
    <t>Line 27a (EIC)</t>
  </si>
  <si>
    <t>Significantly reworked EIC worksheet based on user input.  Thanks, Brian K. and Wayne D.</t>
  </si>
  <si>
    <t>1).   Load the spreadsheet as an .xlsx file, then save it as an .fods file.</t>
  </si>
  <si>
    <t>2).   Close the .fods file. Then re-open the .fods file</t>
  </si>
  <si>
    <t>3).   Save the .fods file as an .ods file.</t>
  </si>
  <si>
    <t>4)    Close the .ods file.  Then, re-open the .ods file.</t>
  </si>
  <si>
    <r>
      <t xml:space="preserve">Multiply the  </t>
    </r>
    <r>
      <rPr>
        <b/>
        <sz val="10"/>
        <rFont val="Arial"/>
        <family val="2"/>
      </rPr>
      <t>smaller</t>
    </r>
    <r>
      <rPr>
        <sz val="10"/>
        <rFont val="Arial"/>
        <family val="2"/>
      </rPr>
      <t xml:space="preserve">  of  line 6  or  line 9 by</t>
    </r>
  </si>
  <si>
    <t>Corrected line 9 (on both forms) so they wouldn't be blank - unless they should be.  Thank you, Ken B.</t>
  </si>
  <si>
    <r>
      <t xml:space="preserve">1. The amount shown on </t>
    </r>
    <r>
      <rPr>
        <b/>
        <sz val="10"/>
        <rFont val="Arial"/>
        <family val="2"/>
      </rPr>
      <t>Form 1040</t>
    </r>
    <r>
      <rPr>
        <sz val="10"/>
        <rFont val="Arial"/>
        <family val="2"/>
      </rPr>
      <t xml:space="preserve"> or 1040-SR, </t>
    </r>
    <r>
      <rPr>
        <b/>
        <sz val="10"/>
        <rFont val="Arial"/>
        <family val="2"/>
      </rPr>
      <t>line 1</t>
    </r>
    <r>
      <rPr>
        <sz val="10"/>
        <rFont val="Arial"/>
        <family val="2"/>
      </rPr>
      <t>; or Form 1040NR, line 1a; minus any amount:</t>
    </r>
  </si>
  <si>
    <r>
      <t xml:space="preserve">2. The amount shown on </t>
    </r>
    <r>
      <rPr>
        <b/>
        <sz val="10"/>
        <rFont val="Arial"/>
        <family val="2"/>
      </rPr>
      <t>Schedule SE, line 3</t>
    </r>
    <r>
      <rPr>
        <sz val="10"/>
        <rFont val="Arial"/>
        <family val="2"/>
      </rPr>
      <t xml:space="preserve">, </t>
    </r>
  </si>
  <si>
    <r>
      <rPr>
        <b/>
        <sz val="10"/>
        <rFont val="Arial"/>
        <family val="2"/>
      </rPr>
      <t>minus</t>
    </r>
    <r>
      <rPr>
        <sz val="10"/>
        <rFont val="Arial"/>
        <family val="2"/>
      </rPr>
      <t xml:space="preserve"> any deduction you claim on </t>
    </r>
    <r>
      <rPr>
        <b/>
        <sz val="10"/>
        <rFont val="Arial"/>
        <family val="2"/>
      </rPr>
      <t>Schedule 1, line 15</t>
    </r>
    <r>
      <rPr>
        <sz val="10"/>
        <rFont val="Arial"/>
        <family val="2"/>
      </rPr>
      <t>.</t>
    </r>
  </si>
  <si>
    <t>Grand Total</t>
  </si>
  <si>
    <t xml:space="preserve"> &gt; to Sch. 1, line 15</t>
  </si>
  <si>
    <r>
      <rPr>
        <b/>
        <sz val="10"/>
        <rFont val="Arial"/>
        <family val="2"/>
      </rPr>
      <t>as a statutory employee</t>
    </r>
    <r>
      <rPr>
        <sz val="10"/>
        <rFont val="Arial"/>
        <family val="2"/>
      </rPr>
      <t>, the amount shown on</t>
    </r>
    <r>
      <rPr>
        <b/>
        <sz val="10"/>
        <rFont val="Arial"/>
        <family val="2"/>
      </rPr>
      <t xml:space="preserve"> line1</t>
    </r>
    <r>
      <rPr>
        <sz val="10"/>
        <rFont val="Arial"/>
        <family val="2"/>
      </rPr>
      <t xml:space="preserve"> of the</t>
    </r>
  </si>
  <si>
    <t>Improved calculation of lines 4 and 5 - primarily related to subtracting the amount from Schedule 1, line 15. Schedule SE line 13 was used in lieu of Schedule 1, line 15, to allow for correct distribution between Form 2441, line 4 (you) and line 5 (spouse).  Thank you, Dan S.</t>
  </si>
  <si>
    <t>Corrected calculation for Line 12b to give $600 charitable deduction to those with a filing status of married filing jointly. All other filing statuses are limited to $300.  Thank you, Bob J.</t>
  </si>
  <si>
    <t>and 12b and enter the total on Schedule 1, line 20. Or, if you want, you can deduct</t>
  </si>
  <si>
    <t>are explained earlier in these instructions for line 20.</t>
  </si>
  <si>
    <t>Sheet "Sch. 1, Line 20 (IRA)"</t>
  </si>
  <si>
    <t>Sheet "Line 21 (Stu Loan)"</t>
  </si>
  <si>
    <t>Significantly reworked Part II, Alternate Minimum Tax (AMT) and the 'Line 5 Exemption Worksheet'.  Thank you, Aized M.</t>
  </si>
  <si>
    <t>Made line 13 of 'Worksheet To See if You Should Fill in Form 6251—Schedule 2, Line 1' a manual entry to eliminate circular reference.  Thank you, John S. and Aized M.</t>
  </si>
  <si>
    <t>At line 4c, fixed sheet such that it stops if the combination of lines 4a and 4b are less than $400.  Thank you, David B.</t>
  </si>
  <si>
    <t>Corrected line 13 of 'Worksheet To See if You Should Fill in Form 6251—Schedule 2, Line 1'.  Manual entry no longer required.  Circular reference eliminated.</t>
  </si>
  <si>
    <t>Days in qualifying</t>
  </si>
  <si>
    <t>period.</t>
  </si>
  <si>
    <t>&lt;</t>
  </si>
  <si>
    <t>Reworked all of page 3 to correct and enhance.  Thank you, SoulFruit.</t>
  </si>
  <si>
    <t>Coversheet</t>
  </si>
  <si>
    <t>Corrected line 8a (both forms) to include Railroad Retirement (tier 1) Compensation entry.</t>
  </si>
  <si>
    <t>Line 12a was calculated using:</t>
  </si>
  <si>
    <t>Important user information:</t>
  </si>
  <si>
    <t>To prevent being 'double taxed', leave Form 1099-R, line 2a, Taxable Amount, blank for every IRA for which the</t>
  </si>
  <si>
    <r>
      <t xml:space="preserve">taxable amount is being calculated by </t>
    </r>
    <r>
      <rPr>
        <b/>
        <sz val="10"/>
        <rFont val="Arial"/>
        <family val="2"/>
      </rPr>
      <t>Form 8606, Nondeductible IRAs</t>
    </r>
    <r>
      <rPr>
        <sz val="10"/>
        <rFont val="Arial"/>
        <family val="2"/>
      </rPr>
      <t>.</t>
    </r>
  </si>
  <si>
    <t>Improved alignment of 'override' cells for line 12a, Deductions, and line 12b, Charitable Contributions.</t>
  </si>
  <si>
    <r>
      <t xml:space="preserve">At the top of the sheet, added: 
"Important user information: To prevent being 'double taxed', leave Form 1099-R, line 2a, Taxable Amount, blank for every IRA for which the taxable amount is being calculated by </t>
    </r>
    <r>
      <rPr>
        <b/>
        <sz val="10"/>
        <rFont val="Arial"/>
        <family val="2"/>
      </rPr>
      <t>Form 8606, Nondeductible IRAs</t>
    </r>
    <r>
      <rPr>
        <sz val="10"/>
        <rFont val="Arial"/>
        <family val="2"/>
      </rPr>
      <t>."</t>
    </r>
  </si>
  <si>
    <t>Sheet '8812', line 18</t>
  </si>
  <si>
    <t>Sheet 'Line 12a (SD Depnts)'</t>
  </si>
  <si>
    <t>enter this amount in the space provided prior to line 2.</t>
  </si>
  <si>
    <r>
      <t xml:space="preserve">If you were sent here from </t>
    </r>
    <r>
      <rPr>
        <b/>
        <sz val="10"/>
        <rFont val="Arial"/>
        <family val="2"/>
      </rPr>
      <t>Line 12a, Standard Deduction for Dependents Worksheet,</t>
    </r>
  </si>
  <si>
    <r>
      <t xml:space="preserve">If you were sent here from </t>
    </r>
    <r>
      <rPr>
        <b/>
        <sz val="10"/>
        <rFont val="Arial"/>
        <family val="2"/>
      </rPr>
      <t>Schedule 8812</t>
    </r>
    <r>
      <rPr>
        <sz val="10"/>
        <rFont val="Arial"/>
        <family val="2"/>
      </rPr>
      <t>, enter this amount on line 18a of that form.</t>
    </r>
  </si>
  <si>
    <t>Sheet 'Line 12a, Standard Deduction for Dependents'</t>
  </si>
  <si>
    <t>Schedule 8812, Credits for Qualifying Children and Other Dependents</t>
  </si>
  <si>
    <t xml:space="preserve">-   line 2 of the Line 12a, Standard Deductions for Dependents, Worksheet    and/or </t>
  </si>
  <si>
    <t>-   line 18a of Schedule 8812, Credits for Qualifying Children and Other Dependents</t>
  </si>
  <si>
    <t>Publication 972, Child Tax Credit (2020) (w/updated references for 2021)</t>
  </si>
  <si>
    <t>Updated for 2021 tax year.</t>
  </si>
  <si>
    <t>Updated references from Publication 972 (2020) for 2021 tax year. (No calculations were changed.)</t>
  </si>
  <si>
    <t>Corrected line 6 for those with a filing status of 'Head of Household'.  Thank you, Charlie T.</t>
  </si>
  <si>
    <t>Corrected line 11 to subtract Form 1040, line 12c, from Taxable Income (versus just line 12a). 
Thank you, RVJ.</t>
  </si>
  <si>
    <t>Yourself</t>
  </si>
  <si>
    <t>Both</t>
  </si>
  <si>
    <t>Corrected input to line 15 from Sch. SE, line 13, in the case where Sch. SE was for BOTH the taxpayer and their spouse.  Thank you, Kevin S.</t>
  </si>
  <si>
    <t>Updated reference to "2020 Form 1040, Line 11b for Taxable Income" to be "2020 Form 1040, Line 15 for Taxable Income".  Thank you, Robert H.</t>
  </si>
  <si>
    <t>qualifying period that fall within your</t>
  </si>
  <si>
    <t>No. of days of your</t>
  </si>
  <si>
    <t>Corrected line 39 calculation to accept tax year periods of other than 365.  Thank you, Renae T.</t>
  </si>
  <si>
    <t>Corrected line 29 to properly handle when line 28 is blank.  Thank you, Thomas F.</t>
  </si>
  <si>
    <t>Unproteccted cell O3 to allow the form to be used even if the worksheet determines that it is not needed.  Thank you, Thomas F.</t>
  </si>
  <si>
    <t>W-2, 1099-INT, 
1099-DIV, 1099-R</t>
  </si>
  <si>
    <t>Changed rounding such that numbers are rounded before being summed.  This is to bring this spreadsheet with IRS rounding rules.</t>
  </si>
  <si>
    <t>fractional interest in tangible personal property</t>
  </si>
  <si>
    <t>OR manually entered here.</t>
  </si>
  <si>
    <t>entered on the sheet labeled "Earned Inc Calc"</t>
  </si>
  <si>
    <t>instructions).</t>
  </si>
  <si>
    <t>If you are filing Form 2555, see instructions for the amount to enter</t>
  </si>
  <si>
    <t>zero or less, enter -0-.</t>
  </si>
  <si>
    <t>Line 16 (QDCG Tax),
Sch. D WS,
6251</t>
  </si>
  <si>
    <t>Improved each of these sheets to ensure the correct sheet is being implemented.  Thank you Arlene, C.</t>
  </si>
  <si>
    <t>Corrected line 10 to correctly calculate the amount to the $1,000 increments.  Thank you, Matt L.</t>
  </si>
  <si>
    <t>Removed $2,000 test data from line 1 of the 28% Rate Gain Worksheet -- Line 18.  Thank you, Martin W.</t>
  </si>
  <si>
    <r>
      <t>25b</t>
    </r>
    <r>
      <rPr>
        <sz val="10"/>
        <rFont val="Arial"/>
        <family val="2"/>
      </rPr>
      <t xml:space="preserve"> (add)</t>
    </r>
  </si>
  <si>
    <t>Applied conditional formatting to all cells so the fill color would be white if the Remove Color box was check on the sheet labeled '1040'.  Thank you, Randy H.</t>
  </si>
  <si>
    <t>Result</t>
  </si>
  <si>
    <t>Nontaxable combat pay (from Form 1040, line 27b)</t>
  </si>
  <si>
    <t>Subtract line 15b from line 12.</t>
  </si>
  <si>
    <t>If zero, skip Parts II-A and II-B and enter -0- on line 27.</t>
  </si>
  <si>
    <t>1040-SR if you enter an amount on this line</t>
  </si>
  <si>
    <t>line 8d. Complete the Foreign Earned Income Tax Worksheet in the Instructions for Forms 1040 and</t>
  </si>
  <si>
    <t>Subtract line 44 from line 43. Enter the result here and in parentheses on Schedule 1 (Form 1040),</t>
  </si>
  <si>
    <t>Added input from Form 2555, line 45.  Thank you, Yehuda R!</t>
  </si>
  <si>
    <t>Updated wording for line 45 to match 2021 tax year wording.  Thanks again, Yehuda R!</t>
  </si>
  <si>
    <t>www.excel1040.com</t>
  </si>
  <si>
    <t>Made many improvements.  If you used previous version, review it carefully.  The IRS should be ashamed of themselves to creating such a mind-bending form.  (e.g. Some instructions use double-negatives.)</t>
  </si>
  <si>
    <t>Subtract line 31 from line 30.</t>
  </si>
  <si>
    <t>to line 33</t>
  </si>
  <si>
    <t>If zero, skip to line 40 and enter the amount from line 29; otherwise, continue</t>
  </si>
  <si>
    <t>Corrected calculations of lines 32 through 40.  Thank you Tom B and Vic K.!!</t>
  </si>
  <si>
    <t>8829</t>
  </si>
  <si>
    <t>Expenses for Business Use of Your Home</t>
  </si>
  <si>
    <t>Name(s) of proprietor(s)</t>
  </si>
  <si>
    <t>Part of Your Home Used for Business</t>
  </si>
  <si>
    <t>Area used regularly and exclusively for business, regularly for daycare, or for storage of inventory</t>
  </si>
  <si>
    <t>or product samples (see instructions)</t>
  </si>
  <si>
    <t>Total area of home</t>
  </si>
  <si>
    <t>Divide line 1 by line 2. Enter the result as a percentage</t>
  </si>
  <si>
    <t>For daycare facilities not used exclusively for business, go to line 4. All others, go to line 7.</t>
  </si>
  <si>
    <t>Multiply days used for daycare during year by hours used per day</t>
  </si>
  <si>
    <t>If you started or stopped using your home for daycare during the year,</t>
  </si>
  <si>
    <t>Divide line 4 by line 5. Enter the result as a decimal amount</t>
  </si>
  <si>
    <t>Business percentage. For daycare facilities not used exclusively for business, multiply line 6 by</t>
  </si>
  <si>
    <t>line 3 (enter the result as a percentage). All others, enter the amount from line 3</t>
  </si>
  <si>
    <t>Figure Your Allowable Deduction</t>
  </si>
  <si>
    <t>Enter the amount from Schedule C, line 29, plus any gain derived from the business use of your home,</t>
  </si>
  <si>
    <t>minus any loss from the trade or business not derived from the business use of your home. See instructions.</t>
  </si>
  <si>
    <t>(a) Direct expenses</t>
  </si>
  <si>
    <t>(b) Indirect expenses</t>
  </si>
  <si>
    <t>See instructions for columns (a) and (b) before completing lines 9–22.</t>
  </si>
  <si>
    <t>Casualty losses (see instructions)</t>
  </si>
  <si>
    <t>Deductible mortgage interest (see instructions)</t>
  </si>
  <si>
    <t>Real estate taxes (see instructions)</t>
  </si>
  <si>
    <t>Add lines 9, 10, and 11</t>
  </si>
  <si>
    <t>Multiply line 12, column (b), by line 7</t>
  </si>
  <si>
    <t>Add line 12, column (a), and line 13</t>
  </si>
  <si>
    <t>Subtract line 14 from line 8. If zero or less, enter -0-</t>
  </si>
  <si>
    <t>Depreciation of Your Home</t>
  </si>
  <si>
    <t>Excess mortgage interest (see instructions)</t>
  </si>
  <si>
    <t>Excess real estate taxes (see instructions)</t>
  </si>
  <si>
    <t>Rent</t>
  </si>
  <si>
    <t>Other expenses (see instructions)</t>
  </si>
  <si>
    <t>Add lines 16 through 22</t>
  </si>
  <si>
    <t>Miltiply line 23, column (b), by line 7</t>
  </si>
  <si>
    <t>Carryover of prior year operating expenses (see instructions)</t>
  </si>
  <si>
    <t xml:space="preserve">   .   .   .   .   .   .   .   .  </t>
  </si>
  <si>
    <t>Add line 23, column (a), line 24, and line 25</t>
  </si>
  <si>
    <t>Allowable operating expenses. Enter the smaller of line 15 or line 26</t>
  </si>
  <si>
    <t>Limit on excess casualty losses and depreciation. Subtract line 27 from line 15</t>
  </si>
  <si>
    <t>Excess casualty losses (see instructions)</t>
  </si>
  <si>
    <t>Depreciation of your home from line 42 below</t>
  </si>
  <si>
    <t>Carryover of prior year excess casualty losses and depreciation (see instructions)</t>
  </si>
  <si>
    <t>Add lines 29 through 31</t>
  </si>
  <si>
    <t>Allowable excess casualty losses and depreciation. Enter the smaller of line 28 or line 32</t>
  </si>
  <si>
    <t>Add lines 14, 27, and 33</t>
  </si>
  <si>
    <t>Casualty loss portion, if any, from lines 14 and 33. Carry amount to Form 4684. See instructions</t>
  </si>
  <si>
    <t>Allowable expenses for business use of your home. Subtract line 35 from line 34. Enter here</t>
  </si>
  <si>
    <t>and on Schedule C, line 30. If your home was used for more than one business, see instructions.</t>
  </si>
  <si>
    <t>Enter the smaller of your home’s adjusted basis or its fair market value. See instructions</t>
  </si>
  <si>
    <t>Value of land included on line 37</t>
  </si>
  <si>
    <t>Basis of building. Subtract line 38 from line 37</t>
  </si>
  <si>
    <t>Business basis of building. Multiply line 39 by line 7</t>
  </si>
  <si>
    <t>Depreciation percentage (see instructions)</t>
  </si>
  <si>
    <t>Depreciation allowable (see instructions). Multiply line 40 by line 41. Enter here and on line 30 above</t>
  </si>
  <si>
    <t>Operating expenses. Subtract line 27 from line 26. If less than zero, enter -0-</t>
  </si>
  <si>
    <t>Excess casualty losses and depreciation. Subtract line 33 from line 32. If less than zero, enter -0-</t>
  </si>
  <si>
    <t>Cat. No. 13232M</t>
  </si>
  <si>
    <r>
      <rPr>
        <sz val="8"/>
        <rFont val="Arial"/>
        <family val="2"/>
      </rPr>
      <t xml:space="preserve">Form </t>
    </r>
    <r>
      <rPr>
        <b/>
        <sz val="12"/>
        <rFont val="Arial"/>
        <family val="2"/>
      </rPr>
      <t>8829</t>
    </r>
  </si>
  <si>
    <t>Download Form 8829</t>
  </si>
  <si>
    <t>Download Form 8829 Instructions</t>
  </si>
  <si>
    <t>Sch. C Line 29</t>
  </si>
  <si>
    <t>Line 11 Worksheet</t>
  </si>
  <si>
    <t>Enter your state and local income taxes</t>
  </si>
  <si>
    <t xml:space="preserve"> (or, if you elect on Schedule A, your state</t>
  </si>
  <si>
    <t>and local general sales taxes) that are</t>
  </si>
  <si>
    <t>personal expenses</t>
  </si>
  <si>
    <t>Enter all the state and local real estate</t>
  </si>
  <si>
    <t>taxes you paid on the home in which you</t>
  </si>
  <si>
    <t>conducted business</t>
  </si>
  <si>
    <t>taxes you paid that are a personal expense</t>
  </si>
  <si>
    <t>and not included in line 2</t>
  </si>
  <si>
    <t>Enter any other state and local real estate</t>
  </si>
  <si>
    <t>Enter your state and local personal property</t>
  </si>
  <si>
    <t>taxes that are a personal expense</t>
  </si>
  <si>
    <t>Add lines 1 through 4</t>
  </si>
  <si>
    <t>Multiply line 2 by the percentage on</t>
  </si>
  <si>
    <t>Form 8829, line 7</t>
  </si>
  <si>
    <t>filing separately). If zero or less, enter -0-</t>
  </si>
  <si>
    <t>Real estate taxes reported on line 11.</t>
  </si>
  <si>
    <t>Enter the smaller of line 6 or line 8 here and in</t>
  </si>
  <si>
    <t>column (a) of Form 8829, line 11</t>
  </si>
  <si>
    <t>Excess real estate taxes reported on line 17.</t>
  </si>
  <si>
    <t>Subtract line 9 from line 6</t>
  </si>
  <si>
    <t>Enter number for month (e.g. February = 2)</t>
  </si>
  <si>
    <t>(See instructions for Line 41.)</t>
  </si>
  <si>
    <t xml:space="preserve">.   .   .   .   .   .   .   .   .   .   .   .   .   .   .   .   .   .   .   .   .   .   .   .   .   .   .   .   .   .   .   .   .   .   .   . </t>
  </si>
  <si>
    <t>NOTE:  Use this worksheet only if the total of your attributable state and</t>
  </si>
  <si>
    <t>Sch. C Form</t>
  </si>
  <si>
    <t>Check if applicable.</t>
  </si>
  <si>
    <t>Form 8829, Expenses for Business Use of Your Home</t>
  </si>
  <si>
    <t>Due to popular request, added new sheet labeled '8829'.  It is for  "Expenses for Business Use of Your Home".  Thanks to all of you who requested this form.</t>
  </si>
  <si>
    <t>Removed the '0' from Override for Line 14g (Cell AS54) which is disrupting the calculation.  Thank you, Will P.</t>
  </si>
  <si>
    <t>Changed formatting of line 11 to show 4 decimal places.  Formatting change only - calculation results not affected.  Thank you, Dave S.</t>
  </si>
  <si>
    <t>Check here if your busines was for 'daycare'.</t>
  </si>
  <si>
    <t>Corrected logic for lines 1 through 7.  Thank you, Craig W.</t>
  </si>
  <si>
    <t>Improved rounding of inputs that feed into Line 11, Adjusted Gross Income, and Line 14, Total Deductions.</t>
  </si>
  <si>
    <t>Form 1040 or 1040-SR, Line 10.</t>
  </si>
  <si>
    <t>&lt;---  Sch. D, line 21 is a loss,     AND</t>
  </si>
  <si>
    <t>&lt;---  Sch. D, line 21, loss is &lt; line 16 loss,  OR</t>
  </si>
  <si>
    <t>&lt;---  Form 1040, line 15, would have been &lt; $0.</t>
  </si>
  <si>
    <t>Reworked line 30 to handle incorrect inputs where the area used to figure your deduction exceeds 300 sq. ft. and when area used for the deduction exceeds the total area of the home.  Thank you, Jon D.</t>
  </si>
  <si>
    <t>V2</t>
  </si>
  <si>
    <t>V6</t>
  </si>
  <si>
    <t>FEI_TW_Line3</t>
  </si>
  <si>
    <t>FEI_TW_Line2c</t>
  </si>
  <si>
    <t>V85</t>
  </si>
  <si>
    <t>V89</t>
  </si>
  <si>
    <t>X132</t>
  </si>
  <si>
    <t>X112</t>
  </si>
  <si>
    <t>Reworked each of these to repair link errors.</t>
  </si>
  <si>
    <t>Sch. E / Sch. E (2)</t>
  </si>
  <si>
    <t>Schedule E, Supplemental Income and Loss (2 forms)</t>
  </si>
  <si>
    <t>Sch. E (2)</t>
  </si>
  <si>
    <t>AGI</t>
  </si>
  <si>
    <t>MaxEITC</t>
  </si>
  <si>
    <t>MaxAGI-1</t>
  </si>
  <si>
    <t>MaxAGI-2</t>
  </si>
  <si>
    <t>MaxAGI-3</t>
  </si>
  <si>
    <t>Slope-1</t>
  </si>
  <si>
    <t>Slope-2</t>
  </si>
  <si>
    <t>Slope-3</t>
  </si>
  <si>
    <t>If you completed the Qualified Dividends and Capital Gain Tax Worksheet, you must figure the amount to enter on line 18 if:</t>
  </si>
  <si>
    <t>1. Line 5 of your Qualified Dividends and Capital Gain Tax Worksheet is greater than zero, and</t>
  </si>
  <si>
    <t>2. Line 23 of your Qualified Dividends and Capital Gain Tax Worksheet is less than line 24 of that worksheet.</t>
  </si>
  <si>
    <t>See instructions for Form 1116 to see if you qualify for an exception that allows you to elect to NOT adjust your qualified</t>
  </si>
  <si>
    <r>
      <t xml:space="preserve">dividends and capital gains. If so, you must make this election by </t>
    </r>
    <r>
      <rPr>
        <u/>
        <sz val="10"/>
        <rFont val="Arial"/>
        <family val="2"/>
      </rPr>
      <t>not</t>
    </r>
    <r>
      <rPr>
        <sz val="10"/>
        <rFont val="Arial"/>
        <family val="2"/>
      </rPr>
      <t xml:space="preserve"> completing ths worsheet.</t>
    </r>
  </si>
  <si>
    <t>Reworked calculation and worksheet for Line 18 for those with qualified dividends and capital gains.  Thank you, Doug R.</t>
  </si>
  <si>
    <t>Corrected calculation of lines 30 and 31.  Line 31 was typically blank.  Thank you, Dave K.</t>
  </si>
  <si>
    <t>Corrected calculation for line 15 to yield '0' if line 14 is blank and line 8 is a (loss).  Thank you, Dr. B!</t>
  </si>
  <si>
    <t>Reworked calculation of lines 30 and 31, again, to correctly handle cases where line 30b is larger than 300.  Thank you, Jon D.</t>
  </si>
  <si>
    <t>Corrected line 17 (on both forms) which was producing an #VALUE! error throughout the spreadsheet.  Thank you, Allen B. for being the first to report this.</t>
  </si>
  <si>
    <t>Gross income limitation</t>
  </si>
  <si>
    <t>Sch. C, Line 29</t>
  </si>
  <si>
    <t>Use of home gain (F8949)</t>
  </si>
  <si>
    <t>C.</t>
  </si>
  <si>
    <t>Add lines A and B</t>
  </si>
  <si>
    <t>D.</t>
  </si>
  <si>
    <t>F8949 losses not from home</t>
  </si>
  <si>
    <t>E.</t>
  </si>
  <si>
    <t>Subtract line D from line C.</t>
  </si>
  <si>
    <t>Allowable square footage.</t>
  </si>
  <si>
    <t>Maximum allowable amount</t>
  </si>
  <si>
    <t>Multiply line 3a by line 3b.</t>
  </si>
  <si>
    <t>Simplified method amount</t>
  </si>
  <si>
    <t>Multiply line 2 by line 3c</t>
  </si>
  <si>
    <t>(as positive number)</t>
  </si>
  <si>
    <t>Smaller of line 1 or 4. If &lt;=0, then 0.</t>
  </si>
  <si>
    <t>Enter as decimal.</t>
  </si>
  <si>
    <t>Enter on Sch C line 30</t>
  </si>
  <si>
    <t>Daycare decimal (See instr.)</t>
  </si>
  <si>
    <t>Simplified Method Worksheet  (See instructions for Schedule C, line 30.)</t>
  </si>
  <si>
    <t>Reworked calculation for line 30 once again.  (I might have gotten it right this time.) Thank you, Jon D. and Allen B.</t>
  </si>
  <si>
    <t>Corrected line 16 tax calculation.  It was yielding '0', when Foreign Earned Income was reported on Form 2555.  Thank you, Pierre C.</t>
  </si>
  <si>
    <t>Corrected calculation for line 31. It was showing the results of the Simplified Method Worksheet and not line 29 less line 30.  Thank you, Chip S.</t>
  </si>
  <si>
    <t>8880</t>
  </si>
  <si>
    <t>Credit for Qualified Retirement Savings Contributions</t>
  </si>
  <si>
    <r>
      <t xml:space="preserve">Go to </t>
    </r>
    <r>
      <rPr>
        <i/>
        <sz val="10"/>
        <rFont val="Arial"/>
        <family val="2"/>
      </rPr>
      <t>www.irs.gov/Form8880</t>
    </r>
    <r>
      <rPr>
        <sz val="10"/>
        <rFont val="Arial"/>
        <family val="2"/>
      </rPr>
      <t xml:space="preserve"> for the latest information.</t>
    </r>
  </si>
  <si>
    <r>
      <t xml:space="preserve">Go to </t>
    </r>
    <r>
      <rPr>
        <i/>
        <sz val="10"/>
        <rFont val="Arial"/>
        <family val="2"/>
      </rPr>
      <t>www.irs.gov/Form8829</t>
    </r>
    <r>
      <rPr>
        <sz val="10"/>
        <rFont val="Arial"/>
        <family val="2"/>
      </rPr>
      <t xml:space="preserve"> for instructions and the latest information.</t>
    </r>
  </si>
  <si>
    <t>married filing jointly.</t>
  </si>
  <si>
    <t>(b) Your spouse</t>
  </si>
  <si>
    <t>(a) You</t>
  </si>
  <si>
    <t>Traditional and Roth IRA contributions, and ABLE account contributions by the</t>
  </si>
  <si>
    <t>Enter the amount from Form 1040, 1040-SR, or 1040-NR, line 11*</t>
  </si>
  <si>
    <t>include both spouses’ amounts in both columns. See instructions for exceptions</t>
  </si>
  <si>
    <t>Enter the applicable decimal amount from the table below</t>
  </si>
  <si>
    <t>Single, Married filing separately, or 
Qualifying widow(er)</t>
  </si>
  <si>
    <t>Enter on line 9 --</t>
  </si>
  <si>
    <t>Married
filing jointly</t>
  </si>
  <si>
    <t>Head of
household</t>
  </si>
  <si>
    <t>Over ---</t>
  </si>
  <si>
    <t>But not
over ---</t>
  </si>
  <si>
    <t>x 0.</t>
  </si>
  <si>
    <r>
      <rPr>
        <b/>
        <sz val="12"/>
        <rFont val="Arial"/>
        <family val="2"/>
      </rPr>
      <t>Note:</t>
    </r>
    <r>
      <rPr>
        <sz val="12"/>
        <rFont val="Arial"/>
        <family val="2"/>
      </rPr>
      <t xml:space="preserve"> If line 9 is zero, </t>
    </r>
    <r>
      <rPr>
        <b/>
        <sz val="12"/>
        <rFont val="Arial"/>
        <family val="2"/>
      </rPr>
      <t>stop</t>
    </r>
    <r>
      <rPr>
        <sz val="12"/>
        <rFont val="Arial"/>
        <family val="2"/>
      </rPr>
      <t>; you can’t take this credit.</t>
    </r>
  </si>
  <si>
    <t>Multiply line 7 by line 9</t>
  </si>
  <si>
    <t>Limitation based on tax liability. Enter the amount from the Credit Limit Worksheet in the instructions</t>
  </si>
  <si>
    <t>and on Schedule 3 (Form 1040), line 4</t>
  </si>
  <si>
    <t>Download Form 8880 &amp; Instructions</t>
  </si>
  <si>
    <t>Puerto Rico or for bona fide residents of American Samoa.</t>
  </si>
  <si>
    <t>*See Pub. 590-A for the amount to enter if you claim any exclusion or deduction for foreign earned income, foreign housing, or income from</t>
  </si>
  <si>
    <t>Cat. No. 33394D</t>
  </si>
  <si>
    <r>
      <rPr>
        <sz val="8"/>
        <rFont val="Arial"/>
        <family val="2"/>
      </rPr>
      <t xml:space="preserve">Form </t>
    </r>
    <r>
      <rPr>
        <b/>
        <sz val="14"/>
        <rFont val="Arial"/>
        <family val="2"/>
      </rPr>
      <t>8880</t>
    </r>
  </si>
  <si>
    <t>Elective deferrals to 401(k) or other qualified employer plan, voluntary employee</t>
  </si>
  <si>
    <t>Form 1040, 1040-SR, or 1040-NR filers: Enter</t>
  </si>
  <si>
    <t>the total of your credits from Schedule 3, lines 1</t>
  </si>
  <si>
    <t>through 3, 6d, and 6l</t>
  </si>
  <si>
    <t>Subtract line 2 from line 1. Also enter this amount</t>
  </si>
  <si>
    <t>Complete this worksheet to figure the amount to enter on line 11.</t>
  </si>
  <si>
    <t>Credit Limit Worksheet</t>
  </si>
  <si>
    <t>Before you complete the following worksheet, figure the amount of any</t>
  </si>
  <si>
    <t>credit for the elderly or the disabled you’re claiming on Schedule 3</t>
  </si>
  <si>
    <t>(Form 1040), line 6d. See Schedule R (Form 1040) to figure the credit.</t>
  </si>
  <si>
    <t>Line 11</t>
  </si>
  <si>
    <r>
      <t xml:space="preserve">You </t>
    </r>
    <r>
      <rPr>
        <b/>
        <sz val="12"/>
        <rFont val="Arial"/>
        <family val="2"/>
      </rPr>
      <t>cannot</t>
    </r>
    <r>
      <rPr>
        <sz val="12"/>
        <rFont val="Arial"/>
        <family val="2"/>
      </rPr>
      <t xml:space="preserve"> take this credit if </t>
    </r>
    <r>
      <rPr>
        <b/>
        <sz val="12"/>
        <rFont val="Arial"/>
        <family val="2"/>
      </rPr>
      <t>either</t>
    </r>
    <r>
      <rPr>
        <sz val="12"/>
        <rFont val="Arial"/>
        <family val="2"/>
      </rPr>
      <t xml:space="preserve"> of the following applies.</t>
    </r>
  </si>
  <si>
    <r>
      <rPr>
        <b/>
        <sz val="12"/>
        <rFont val="Arial"/>
        <family val="2"/>
      </rPr>
      <t>Credit for qualified retirement savings contributions.</t>
    </r>
    <r>
      <rPr>
        <sz val="12"/>
        <rFont val="Arial"/>
        <family val="2"/>
      </rPr>
      <t xml:space="preserve"> Enter the smaller of line 10 or line 11 here</t>
    </r>
  </si>
  <si>
    <r>
      <t xml:space="preserve">or (c) was a </t>
    </r>
    <r>
      <rPr>
        <b/>
        <i/>
        <sz val="11"/>
        <rFont val="Arial"/>
        <family val="2"/>
      </rPr>
      <t>student</t>
    </r>
    <r>
      <rPr>
        <i/>
        <sz val="11"/>
        <rFont val="Arial"/>
        <family val="2"/>
      </rPr>
      <t xml:space="preserve"> (see instructions).</t>
    </r>
  </si>
  <si>
    <t>The person(s) who made the qualified contribution or elective deferral</t>
  </si>
  <si>
    <t>(b) is claimed as a</t>
  </si>
  <si>
    <t>Add the amounts on line 6.</t>
  </si>
  <si>
    <r>
      <t xml:space="preserve">If zero, </t>
    </r>
    <r>
      <rPr>
        <b/>
        <sz val="12"/>
        <rFont val="Arial"/>
        <family val="2"/>
      </rPr>
      <t>stop</t>
    </r>
    <r>
      <rPr>
        <sz val="12"/>
        <rFont val="Arial"/>
        <family val="2"/>
      </rPr>
      <t>; you can’t take this credit</t>
    </r>
  </si>
  <si>
    <r>
      <t xml:space="preserve">In each column, enter the </t>
    </r>
    <r>
      <rPr>
        <b/>
        <sz val="12"/>
        <rFont val="Arial"/>
        <family val="2"/>
      </rPr>
      <t>smaller</t>
    </r>
    <r>
      <rPr>
        <sz val="12"/>
        <rFont val="Arial"/>
        <family val="2"/>
      </rPr>
      <t xml:space="preserve"> of</t>
    </r>
  </si>
  <si>
    <r>
      <t xml:space="preserve">Certain distributions received </t>
    </r>
    <r>
      <rPr>
        <b/>
        <sz val="12"/>
        <rFont val="Arial"/>
        <family val="2"/>
      </rPr>
      <t>after</t>
    </r>
  </si>
  <si>
    <r>
      <t xml:space="preserve">and </t>
    </r>
    <r>
      <rPr>
        <b/>
        <sz val="12"/>
        <rFont val="Arial"/>
        <family val="2"/>
      </rPr>
      <t>before</t>
    </r>
    <r>
      <rPr>
        <sz val="12"/>
        <rFont val="Arial"/>
        <family val="2"/>
      </rPr>
      <t xml:space="preserve"> the due date (including</t>
    </r>
  </si>
  <si>
    <r>
      <rPr>
        <b/>
        <sz val="12"/>
        <rFont val="Arial"/>
        <family val="2"/>
      </rPr>
      <t>Do not</t>
    </r>
    <r>
      <rPr>
        <sz val="12"/>
        <rFont val="Arial"/>
        <family val="2"/>
      </rPr>
      <t xml:space="preserve"> include rollover contributions</t>
    </r>
  </si>
  <si>
    <t>If line 8 is —</t>
  </si>
  <si>
    <t>And your filing status is—</t>
  </si>
  <si>
    <r>
      <rPr>
        <b/>
        <sz val="10"/>
        <rFont val="Arial"/>
        <family val="2"/>
      </rPr>
      <t>stop</t>
    </r>
    <r>
      <rPr>
        <sz val="10"/>
        <rFont val="Arial"/>
        <family val="2"/>
      </rPr>
      <t>; you can’t take the credit—don’t file this form</t>
    </r>
  </si>
  <si>
    <t>on Form 8880, line 11.  But if zero or less,</t>
  </si>
  <si>
    <t>Added new Form 8880, Credit for Qualified Retirement Savings Contributions.</t>
  </si>
  <si>
    <t>Form 8880, Credit for Qualified Retirement Savings Contributions</t>
  </si>
  <si>
    <t>Override 17(a)</t>
  </si>
  <si>
    <t>Corrected line 30 to receive input from Form 8829, line 36, if Form 8829 has been completed.  Thank you, Bruce D!</t>
  </si>
  <si>
    <t>Corrected handling of Line 17.  Also, corrected and improved the Line 11 Worksheet.</t>
  </si>
  <si>
    <t>1099-R, Form 8606</t>
  </si>
  <si>
    <t>Reworked Form 1099-R, line 2a, to collect "Taxable Amounts" of IRA conversions to Roth IRAs.  Thank you, Fred O.</t>
  </si>
  <si>
    <t>Note: Parts I and II should work okay. This sheet is protected without a password.  The IRS will calculate any penalty and send you a bill.</t>
  </si>
  <si>
    <t>Updated line 32 instructions and calculation for 2021.  Thank you, Jashinta D!</t>
  </si>
  <si>
    <t>Enter information on qualifying children and dependents on the 'Dependents' tab.</t>
  </si>
  <si>
    <t>one or more other sheets which ultimately feed to the Form 1040.  Deleting any sheet will most likely cause the</t>
  </si>
  <si>
    <r>
      <rPr>
        <b/>
        <sz val="10"/>
        <rFont val="Arial"/>
        <family val="2"/>
      </rPr>
      <t>DO NOT DELETE UNUSED SHEETS.</t>
    </r>
    <r>
      <rPr>
        <sz val="10"/>
        <rFont val="Arial"/>
        <family val="2"/>
      </rPr>
      <t xml:space="preserve">  This spreadsheet employs references and links that tie one sheet to</t>
    </r>
  </si>
  <si>
    <t>spreadsheet to completely stop functioning.</t>
  </si>
  <si>
    <t>Be sure to enter 'IRA', 'P/A', or 'CONV' at the top of each row to let the spreadsheet know if the income is from</t>
  </si>
  <si>
    <t>an Individual Retirement Account, Pension/Annuity, or Conversion (from an IRA to a Roth IRA).</t>
  </si>
  <si>
    <t xml:space="preserve">Reworked line 16, Tax, to properly include tax input from Line 16 (QDCG Tax) when the Foreign Earned Income Tax Worksheet is used.  Thank you, Chris D. </t>
  </si>
  <si>
    <t>the entry space on Form 1040 or 1040-SR, line 16</t>
  </si>
  <si>
    <t>Corrected line 16, Tax, to use Foreign Earned Income Tax Worksheet only to calculate Tax, if it is completed.  Thanks, again, Chris D.</t>
  </si>
  <si>
    <t>Corrected rounding everywhere.  Thank you, Ross P.</t>
  </si>
  <si>
    <t>Corrected calculation for line 16a and unprotected override cells.  Thank you, Alex H.!!</t>
  </si>
  <si>
    <t>Corrected tax table amounts for the following:
Single / 35% tax bracket
MFS / 24%, 32%, &amp; 35% tax brackets
Head of Household / 24%, 32%, &amp; 35% tax brackets 
NOTE: The amount of the discrepancy was relatively small and only affected tax returns with taxable income of &gt; $100,000 tax
Thank you, Vasileios K!!</t>
  </si>
  <si>
    <t xml:space="preserve"> to figure your tax.</t>
  </si>
  <si>
    <t>(Form 4952)</t>
  </si>
  <si>
    <t>Corrected logic for lines 16 through 22.  Previous logic was allowing Sch. D Tax Worksheet and the Qualified Dividend and Capital Gains Tax Worksheet to be active at the same time.  Thank you, Mike E.</t>
  </si>
  <si>
    <t>Otherwise, complete the Qualified Dividends and Capital Gain Tax Worksheet in the Instructions for Form 1040 or 1040-SR, line 16,</t>
  </si>
  <si>
    <t>Minor fix to message that appears at cell AQ75.  (Calculation not affected.)
Corrected "#REF" error on the 3rd Form 1116, line 27.</t>
  </si>
  <si>
    <t>Manual Income Tax Calculator</t>
  </si>
  <si>
    <t>Taxable Inc.</t>
  </si>
  <si>
    <t>&lt;= $100K</t>
  </si>
  <si>
    <t>&gt; $100K</t>
  </si>
  <si>
    <t>Improved 'Manual Tax Calculator".</t>
  </si>
  <si>
    <t>Unlinked Manual Tax Calculator from 'external data source'.</t>
  </si>
  <si>
    <t>Corrected line 9 for those filing as Single, Married filing separately, or Qualifying widow(er).  
Thank you Chet G.</t>
  </si>
  <si>
    <t>Corrected calculation for Line 19 to include Nonrefundable CTC or Credit for Other Dependents when Sch. 8812, Part I-C, when box 13 is not checked. Thank you, Robb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</si>
</sst>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164" formatCode="0."/>
    <numFmt numFmtId="165" formatCode="[&lt;=9999999]###\-####;\(###\)\ ###\-####"/>
    <numFmt numFmtId="166" formatCode="000\-00\-0000"/>
    <numFmt numFmtId="167" formatCode="[&gt;9]&quot;X&quot;;#"/>
    <numFmt numFmtId="168" formatCode="&quot;$&quot;#,##0"/>
    <numFmt numFmtId="169" formatCode="mmmm\ d\,\ yyyy"/>
    <numFmt numFmtId="170" formatCode="0_);[Red]\(0\)"/>
    <numFmt numFmtId="171" formatCode="0.0%"/>
    <numFmt numFmtId="172" formatCode="#,##0.0_);\(#,##0.0\)"/>
    <numFmt numFmtId="173" formatCode="#,##0.000_);\(#,##0.000\)"/>
    <numFmt numFmtId="174" formatCode="m/d/yyyy;@"/>
    <numFmt numFmtId="175" formatCode="#,##0.000"/>
    <numFmt numFmtId="176" formatCode="0_);\(0\)"/>
    <numFmt numFmtId="177" formatCode="0.000"/>
    <numFmt numFmtId="178" formatCode="#,##0.000_);[Red]\(#,##0.000\)"/>
    <numFmt numFmtId="179" formatCode="[$-409]h:mm\ AM/PM;@"/>
    <numFmt numFmtId="180" formatCode="0.0000"/>
    <numFmt numFmtId="181" formatCode="0.0"/>
    <numFmt numFmtId="182" formatCode="[$-409]d\-mmm\-yyyy;@"/>
    <numFmt numFmtId="183" formatCode="[$-409]mmmm\ d\,\ yyyy;@"/>
    <numFmt numFmtId="184" formatCode="dd\-mmm\-yyyy\ h:mm\ AM/PM"/>
    <numFmt numFmtId="185" formatCode="dd\-mmm\-yyyy"/>
    <numFmt numFmtId="186" formatCode="mmmm"/>
    <numFmt numFmtId="187" formatCode="0.00000"/>
    <numFmt numFmtId="188" formatCode="m/d/yy;@"/>
    <numFmt numFmtId="189" formatCode="&quot;$&quot;#,##0.00"/>
    <numFmt numFmtId="190" formatCode="mmm\,\ yyyy"/>
    <numFmt numFmtId="191" formatCode="#,##0.0000_);\(#,##0.0000\)"/>
    <numFmt numFmtId="192" formatCode="#,##0.0000"/>
    <numFmt numFmtId="193" formatCode="_(* #,##0.0000_);_(* \(#,##0.0000\);_(* &quot;-&quot;????_);_(@_)"/>
    <numFmt numFmtId="194" formatCode="#,##0;[Red]#,##0"/>
    <numFmt numFmtId="195" formatCode="#,##0.0"/>
    <numFmt numFmtId="196" formatCode="0.000_);\(0.000\)"/>
    <numFmt numFmtId="197" formatCode="0.00000_);\(0.00000\)"/>
    <numFmt numFmtId="198" formatCode="00000"/>
    <numFmt numFmtId="199" formatCode="mmm\-yyyy"/>
    <numFmt numFmtId="200" formatCode="0.00_);\(0.00\)"/>
    <numFmt numFmtId="201" formatCode="&quot;$&quot;#,##0.0000"/>
    <numFmt numFmtId="202" formatCode="&quot;$&quot;#,##0.000000"/>
    <numFmt numFmtId="203" formatCode="#,##0.0000000"/>
    <numFmt numFmtId="204" formatCode="#,##0.000000"/>
    <numFmt numFmtId="205" formatCode="0.0_);\(0.0\)"/>
  </numFmts>
  <fonts count="319">
    <font>
      <sz val="10"/>
      <name val="Arial"/>
    </font>
    <font>
      <sz val="11"/>
      <color theme="1"/>
      <name val="Calibri"/>
      <family val="2"/>
      <scheme val="minor"/>
    </font>
    <font>
      <sz val="11"/>
      <color theme="1"/>
      <name val="Calibri"/>
      <family val="2"/>
      <scheme val="minor"/>
    </font>
    <font>
      <b/>
      <sz val="10"/>
      <name val="Arial"/>
      <family val="2"/>
    </font>
    <font>
      <i/>
      <sz val="10"/>
      <name val="Arial"/>
      <family val="2"/>
    </font>
    <font>
      <sz val="10"/>
      <name val="Arial"/>
      <family val="2"/>
    </font>
    <font>
      <b/>
      <sz val="10"/>
      <name val="Arial"/>
      <family val="2"/>
    </font>
    <font>
      <sz val="9"/>
      <name val="Arial"/>
      <family val="2"/>
    </font>
    <font>
      <b/>
      <sz val="9"/>
      <name val="Arial"/>
      <family val="2"/>
    </font>
    <font>
      <b/>
      <sz val="9"/>
      <name val="Arial"/>
      <family val="2"/>
    </font>
    <font>
      <sz val="8"/>
      <name val="Arial"/>
      <family val="2"/>
    </font>
    <font>
      <sz val="9"/>
      <name val="Arial"/>
      <family val="2"/>
    </font>
    <font>
      <b/>
      <sz val="12"/>
      <name val="Arial"/>
      <family val="2"/>
    </font>
    <font>
      <b/>
      <sz val="8"/>
      <name val="Arial"/>
      <family val="2"/>
    </font>
    <font>
      <sz val="8"/>
      <name val="Arial"/>
      <family val="2"/>
    </font>
    <font>
      <b/>
      <sz val="12"/>
      <name val="Arial"/>
      <family val="2"/>
    </font>
    <font>
      <sz val="12"/>
      <name val="Arial"/>
      <family val="2"/>
    </font>
    <font>
      <b/>
      <sz val="8"/>
      <name val="Arial"/>
      <family val="2"/>
    </font>
    <font>
      <b/>
      <sz val="11"/>
      <name val="Arial"/>
      <family val="2"/>
    </font>
    <font>
      <sz val="7"/>
      <name val="Arial"/>
      <family val="2"/>
    </font>
    <font>
      <sz val="10"/>
      <name val="Wingdings"/>
      <charset val="2"/>
    </font>
    <font>
      <sz val="10"/>
      <name val="Arial"/>
      <family val="2"/>
    </font>
    <font>
      <b/>
      <sz val="7"/>
      <name val="Arial"/>
      <family val="2"/>
    </font>
    <font>
      <b/>
      <sz val="14"/>
      <name val="Arial"/>
      <family val="2"/>
    </font>
    <font>
      <b/>
      <sz val="20"/>
      <name val="Arial"/>
      <family val="2"/>
    </font>
    <font>
      <sz val="10"/>
      <color indexed="9"/>
      <name val="Arial"/>
      <family val="2"/>
    </font>
    <font>
      <i/>
      <sz val="12"/>
      <name val="Arial"/>
      <family val="2"/>
    </font>
    <font>
      <i/>
      <sz val="11"/>
      <name val="Arial"/>
      <family val="2"/>
    </font>
    <font>
      <u/>
      <sz val="10"/>
      <name val="Arial"/>
      <family val="2"/>
    </font>
    <font>
      <b/>
      <u/>
      <sz val="10"/>
      <name val="Arial"/>
      <family val="2"/>
    </font>
    <font>
      <sz val="9"/>
      <name val="Wingdings"/>
      <charset val="2"/>
    </font>
    <font>
      <b/>
      <i/>
      <sz val="11"/>
      <name val="Arial"/>
      <family val="2"/>
    </font>
    <font>
      <b/>
      <i/>
      <sz val="11"/>
      <name val="Arial"/>
      <family val="2"/>
    </font>
    <font>
      <sz val="8"/>
      <color indexed="9"/>
      <name val="Arial"/>
      <family val="2"/>
    </font>
    <font>
      <i/>
      <sz val="10"/>
      <name val="Arial"/>
      <family val="2"/>
    </font>
    <font>
      <b/>
      <sz val="9"/>
      <color indexed="9"/>
      <name val="Arial"/>
      <family val="2"/>
    </font>
    <font>
      <sz val="9"/>
      <color indexed="8"/>
      <name val="Arial"/>
      <family val="2"/>
    </font>
    <font>
      <b/>
      <u/>
      <sz val="12"/>
      <color indexed="18"/>
      <name val="Arial"/>
      <family val="2"/>
    </font>
    <font>
      <u/>
      <sz val="8"/>
      <name val="Arial"/>
      <family val="2"/>
    </font>
    <font>
      <b/>
      <u/>
      <sz val="12"/>
      <name val="Arial"/>
      <family val="2"/>
    </font>
    <font>
      <sz val="8"/>
      <name val="Wingdings"/>
      <charset val="2"/>
    </font>
    <font>
      <sz val="10"/>
      <name val="Marlett"/>
      <charset val="2"/>
    </font>
    <font>
      <i/>
      <sz val="9"/>
      <name val="Arial"/>
      <family val="2"/>
    </font>
    <font>
      <b/>
      <sz val="12"/>
      <name val="Marlett"/>
      <charset val="2"/>
    </font>
    <font>
      <b/>
      <sz val="8"/>
      <name val="Marlett"/>
      <charset val="2"/>
    </font>
    <font>
      <sz val="12"/>
      <name val="Arial"/>
      <family val="2"/>
    </font>
    <font>
      <b/>
      <i/>
      <sz val="12"/>
      <name val="Arial"/>
      <family val="2"/>
    </font>
    <font>
      <b/>
      <sz val="9"/>
      <name val="Marlett"/>
      <charset val="2"/>
    </font>
    <font>
      <sz val="11"/>
      <name val="Marlett"/>
      <charset val="2"/>
    </font>
    <font>
      <sz val="9"/>
      <color indexed="9"/>
      <name val="Arial"/>
      <family val="2"/>
    </font>
    <font>
      <b/>
      <sz val="16"/>
      <name val="Arial"/>
      <family val="2"/>
    </font>
    <font>
      <b/>
      <sz val="10"/>
      <name val="Wingdings"/>
      <charset val="2"/>
    </font>
    <font>
      <sz val="6"/>
      <name val="Arial"/>
      <family val="2"/>
    </font>
    <font>
      <sz val="11"/>
      <name val="Arial"/>
      <family val="2"/>
    </font>
    <font>
      <b/>
      <sz val="9"/>
      <name val="Wingdings"/>
      <charset val="2"/>
    </font>
    <font>
      <b/>
      <sz val="11"/>
      <color indexed="9"/>
      <name val="Arial"/>
      <family val="2"/>
    </font>
    <font>
      <b/>
      <sz val="6"/>
      <name val="Arial"/>
      <family val="2"/>
    </font>
    <font>
      <b/>
      <sz val="10"/>
      <color indexed="9"/>
      <name val="Arial"/>
      <family val="2"/>
    </font>
    <font>
      <sz val="9"/>
      <name val="Marlett"/>
      <charset val="2"/>
    </font>
    <font>
      <b/>
      <sz val="14"/>
      <name val="Marlett"/>
      <charset val="2"/>
    </font>
    <font>
      <b/>
      <sz val="10"/>
      <color indexed="9"/>
      <name val="Arial"/>
      <family val="2"/>
    </font>
    <font>
      <sz val="11"/>
      <color indexed="9"/>
      <name val="Arial"/>
      <family val="2"/>
    </font>
    <font>
      <b/>
      <i/>
      <sz val="9"/>
      <name val="Arial"/>
      <family val="2"/>
    </font>
    <font>
      <b/>
      <i/>
      <sz val="10"/>
      <name val="Arial"/>
      <family val="2"/>
    </font>
    <font>
      <b/>
      <sz val="10"/>
      <color indexed="10"/>
      <name val="Arial"/>
      <family val="2"/>
    </font>
    <font>
      <b/>
      <sz val="22"/>
      <name val="Arial"/>
      <family val="2"/>
    </font>
    <font>
      <sz val="10"/>
      <name val="Symbol"/>
      <family val="1"/>
      <charset val="2"/>
    </font>
    <font>
      <i/>
      <sz val="12"/>
      <name val="Century Schoolbook"/>
      <family val="1"/>
    </font>
    <font>
      <b/>
      <i/>
      <sz val="14"/>
      <name val="Times New Roman"/>
      <family val="1"/>
    </font>
    <font>
      <b/>
      <sz val="12"/>
      <color indexed="10"/>
      <name val="Arial"/>
      <family val="2"/>
    </font>
    <font>
      <b/>
      <i/>
      <sz val="12"/>
      <name val="Arial"/>
      <family val="2"/>
    </font>
    <font>
      <b/>
      <sz val="8"/>
      <color indexed="9"/>
      <name val="Arial"/>
      <family val="2"/>
    </font>
    <font>
      <sz val="8"/>
      <color indexed="8"/>
      <name val="Arial"/>
      <family val="2"/>
    </font>
    <font>
      <b/>
      <sz val="9"/>
      <color indexed="10"/>
      <name val="Arial"/>
      <family val="2"/>
    </font>
    <font>
      <b/>
      <sz val="11"/>
      <color indexed="10"/>
      <name val="Arial"/>
      <family val="2"/>
    </font>
    <font>
      <u/>
      <sz val="10"/>
      <color indexed="12"/>
      <name val="Arial"/>
      <family val="2"/>
    </font>
    <font>
      <i/>
      <sz val="12"/>
      <name val="Times New Roman"/>
      <family val="1"/>
    </font>
    <font>
      <sz val="10"/>
      <color indexed="10"/>
      <name val="Arial"/>
      <family val="2"/>
    </font>
    <font>
      <b/>
      <sz val="12"/>
      <color indexed="10"/>
      <name val="Symbol"/>
      <family val="1"/>
      <charset val="2"/>
    </font>
    <font>
      <b/>
      <sz val="10"/>
      <color indexed="10"/>
      <name val="Arial"/>
      <family val="2"/>
    </font>
    <font>
      <b/>
      <i/>
      <sz val="9"/>
      <color indexed="10"/>
      <name val="Arial"/>
      <family val="2"/>
    </font>
    <font>
      <b/>
      <sz val="26"/>
      <name val="Arial"/>
      <family val="2"/>
    </font>
    <font>
      <b/>
      <sz val="13"/>
      <name val="Arial"/>
      <family val="2"/>
    </font>
    <font>
      <sz val="14"/>
      <name val="Arial"/>
      <family val="2"/>
    </font>
    <font>
      <b/>
      <sz val="12"/>
      <color indexed="9"/>
      <name val="Arial"/>
      <family val="2"/>
    </font>
    <font>
      <b/>
      <sz val="8"/>
      <color indexed="10"/>
      <name val="Arial"/>
      <family val="2"/>
    </font>
    <font>
      <vertAlign val="superscript"/>
      <sz val="10"/>
      <name val="Arial"/>
      <family val="2"/>
    </font>
    <font>
      <sz val="7"/>
      <color indexed="16"/>
      <name val="Arial"/>
      <family val="2"/>
    </font>
    <font>
      <b/>
      <i/>
      <sz val="10"/>
      <color indexed="10"/>
      <name val="Arial"/>
      <family val="2"/>
    </font>
    <font>
      <b/>
      <sz val="10"/>
      <color indexed="17"/>
      <name val="Arial"/>
      <family val="2"/>
    </font>
    <font>
      <sz val="10"/>
      <color indexed="22"/>
      <name val="Arial"/>
      <family val="2"/>
    </font>
    <font>
      <b/>
      <sz val="16"/>
      <name val="Wingdings 2"/>
      <family val="1"/>
      <charset val="2"/>
    </font>
    <font>
      <sz val="10"/>
      <color indexed="8"/>
      <name val="Arial"/>
      <family val="2"/>
    </font>
    <font>
      <b/>
      <sz val="7"/>
      <name val="Arial"/>
      <family val="2"/>
    </font>
    <font>
      <b/>
      <sz val="10"/>
      <name val="Marlett"/>
      <charset val="2"/>
    </font>
    <font>
      <b/>
      <sz val="18"/>
      <name val="Arial"/>
      <family val="2"/>
    </font>
    <font>
      <sz val="9"/>
      <color indexed="9"/>
      <name val="Arial"/>
      <family val="2"/>
    </font>
    <font>
      <sz val="12"/>
      <color indexed="9"/>
      <name val="Arial"/>
      <family val="2"/>
    </font>
    <font>
      <b/>
      <u/>
      <sz val="10"/>
      <color indexed="12"/>
      <name val="Arial"/>
      <family val="2"/>
    </font>
    <font>
      <sz val="8"/>
      <color indexed="10"/>
      <name val="Arial"/>
      <family val="2"/>
    </font>
    <font>
      <sz val="9"/>
      <color indexed="10"/>
      <name val="Arial"/>
      <family val="2"/>
    </font>
    <font>
      <sz val="8"/>
      <name val="Symbol"/>
      <family val="1"/>
      <charset val="2"/>
    </font>
    <font>
      <b/>
      <sz val="28"/>
      <name val="Arial"/>
      <family val="2"/>
    </font>
    <font>
      <sz val="22"/>
      <name val="Arial"/>
      <family val="2"/>
    </font>
    <font>
      <b/>
      <sz val="10"/>
      <name val="Symbol"/>
      <family val="1"/>
      <charset val="2"/>
    </font>
    <font>
      <b/>
      <sz val="10"/>
      <color indexed="8"/>
      <name val="Arial"/>
      <family val="2"/>
    </font>
    <font>
      <u/>
      <sz val="8"/>
      <name val="Arial"/>
      <family val="2"/>
    </font>
    <font>
      <b/>
      <sz val="10"/>
      <color indexed="9"/>
      <name val="Marlett"/>
      <charset val="2"/>
    </font>
    <font>
      <sz val="10"/>
      <color indexed="17"/>
      <name val="Arial"/>
      <family val="2"/>
    </font>
    <font>
      <sz val="10"/>
      <name val="Arial"/>
      <family val="2"/>
    </font>
    <font>
      <sz val="8"/>
      <color indexed="9"/>
      <name val="Arial"/>
      <family val="2"/>
    </font>
    <font>
      <sz val="10"/>
      <color indexed="9"/>
      <name val="Arial"/>
      <family val="2"/>
    </font>
    <font>
      <sz val="10"/>
      <color indexed="10"/>
      <name val="Arial"/>
      <family val="2"/>
    </font>
    <font>
      <sz val="12"/>
      <name val="Courier New"/>
      <family val="3"/>
    </font>
    <font>
      <b/>
      <sz val="11"/>
      <name val="Courier"/>
      <family val="3"/>
    </font>
    <font>
      <sz val="12"/>
      <name val="Courier"/>
      <family val="3"/>
    </font>
    <font>
      <b/>
      <sz val="10"/>
      <name val="Courier New"/>
      <family val="3"/>
    </font>
    <font>
      <sz val="8"/>
      <color indexed="22"/>
      <name val="Arial"/>
      <family val="2"/>
    </font>
    <font>
      <b/>
      <sz val="10"/>
      <color indexed="9"/>
      <name val="Arial"/>
      <family val="2"/>
    </font>
    <font>
      <b/>
      <sz val="12"/>
      <name val="Calibri"/>
      <family val="2"/>
    </font>
    <font>
      <sz val="10"/>
      <color indexed="9"/>
      <name val="Arial"/>
      <family val="2"/>
    </font>
    <font>
      <sz val="10"/>
      <color indexed="22"/>
      <name val="Arial"/>
      <family val="2"/>
    </font>
    <font>
      <b/>
      <sz val="10"/>
      <color indexed="10"/>
      <name val="Arial"/>
      <family val="2"/>
    </font>
    <font>
      <b/>
      <sz val="24"/>
      <name val="Arial"/>
      <family val="2"/>
    </font>
    <font>
      <u/>
      <sz val="10"/>
      <color indexed="12"/>
      <name val="Arial"/>
      <family val="2"/>
    </font>
    <font>
      <b/>
      <sz val="8"/>
      <color rgb="FFFF0000"/>
      <name val="Arial"/>
      <family val="2"/>
    </font>
    <font>
      <b/>
      <sz val="10"/>
      <color theme="0" tint="-0.499984740745262"/>
      <name val="Arial"/>
      <family val="2"/>
    </font>
    <font>
      <sz val="10"/>
      <color theme="0" tint="-0.499984740745262"/>
      <name val="Arial"/>
      <family val="2"/>
    </font>
    <font>
      <sz val="10"/>
      <color rgb="FFFF0000"/>
      <name val="Arial"/>
      <family val="2"/>
    </font>
    <font>
      <sz val="10"/>
      <color theme="0"/>
      <name val="Arial"/>
      <family val="2"/>
    </font>
    <font>
      <sz val="10"/>
      <color theme="0" tint="-0.24994659260841701"/>
      <name val="Arial"/>
      <family val="2"/>
    </font>
    <font>
      <sz val="8"/>
      <color theme="0"/>
      <name val="Arial"/>
      <family val="2"/>
    </font>
    <font>
      <sz val="10"/>
      <color theme="0" tint="-0.249977111117893"/>
      <name val="Arial"/>
      <family val="2"/>
    </font>
    <font>
      <b/>
      <i/>
      <sz val="8"/>
      <name val="Arial"/>
      <family val="2"/>
    </font>
    <font>
      <sz val="9"/>
      <color rgb="FFFF0000"/>
      <name val="Arial"/>
      <family val="2"/>
    </font>
    <font>
      <sz val="9"/>
      <color theme="0"/>
      <name val="Arial"/>
      <family val="2"/>
    </font>
    <font>
      <sz val="8"/>
      <color rgb="FFFF0000"/>
      <name val="Arial"/>
      <family val="2"/>
    </font>
    <font>
      <i/>
      <sz val="7"/>
      <name val="Arial"/>
      <family val="2"/>
    </font>
    <font>
      <i/>
      <sz val="9"/>
      <color rgb="FFFF0000"/>
      <name val="Arial"/>
      <family val="2"/>
    </font>
    <font>
      <b/>
      <sz val="9"/>
      <color rgb="FFFF0000"/>
      <name val="Arial"/>
      <family val="2"/>
    </font>
    <font>
      <sz val="16"/>
      <name val="Arial"/>
      <family val="2"/>
    </font>
    <font>
      <b/>
      <sz val="10"/>
      <color rgb="FFFF0000"/>
      <name val="Arial"/>
      <family val="2"/>
    </font>
    <font>
      <b/>
      <sz val="9"/>
      <color theme="0"/>
      <name val="Arial"/>
      <family val="2"/>
    </font>
    <font>
      <b/>
      <sz val="12"/>
      <color theme="0"/>
      <name val="Arial"/>
      <family val="2"/>
    </font>
    <font>
      <sz val="26"/>
      <name val="Arial"/>
      <family val="2"/>
    </font>
    <font>
      <b/>
      <sz val="10"/>
      <color theme="0"/>
      <name val="Arial"/>
      <family val="2"/>
    </font>
    <font>
      <sz val="10"/>
      <color theme="0" tint="-4.9989318521683403E-2"/>
      <name val="Arial"/>
      <family val="2"/>
    </font>
    <font>
      <sz val="8"/>
      <color theme="0" tint="-0.249977111117893"/>
      <name val="Arial"/>
      <family val="2"/>
    </font>
    <font>
      <sz val="10"/>
      <name val="Courier New"/>
      <family val="3"/>
    </font>
    <font>
      <sz val="12"/>
      <color rgb="FFFF0000"/>
      <name val="Arial"/>
      <family val="2"/>
    </font>
    <font>
      <b/>
      <i/>
      <sz val="14"/>
      <name val="Arial"/>
      <family val="2"/>
    </font>
    <font>
      <sz val="10"/>
      <color theme="0" tint="-0.34998626667073579"/>
      <name val="Arial"/>
      <family val="2"/>
    </font>
    <font>
      <i/>
      <sz val="8"/>
      <name val="Arial"/>
      <family val="2"/>
    </font>
    <font>
      <sz val="24"/>
      <name val="Arial"/>
      <family val="2"/>
    </font>
    <font>
      <sz val="11"/>
      <color theme="0"/>
      <name val="Arial"/>
      <family val="2"/>
    </font>
    <font>
      <b/>
      <sz val="11"/>
      <name val="Courier New"/>
      <family val="3"/>
    </font>
    <font>
      <sz val="11"/>
      <name val="Courier New"/>
      <family val="3"/>
    </font>
    <font>
      <b/>
      <sz val="8"/>
      <color theme="0"/>
      <name val="Arial"/>
      <family val="2"/>
    </font>
    <font>
      <sz val="8"/>
      <color theme="0" tint="-4.9989318521683403E-2"/>
      <name val="Arial"/>
      <family val="2"/>
    </font>
    <font>
      <sz val="8.5"/>
      <color rgb="FF000000"/>
      <name val="Arial"/>
      <family val="2"/>
    </font>
    <font>
      <sz val="8.5"/>
      <name val="Arial"/>
      <family val="2"/>
    </font>
    <font>
      <b/>
      <sz val="8.5"/>
      <name val="Arial"/>
      <family val="2"/>
    </font>
    <font>
      <sz val="10"/>
      <name val="Arial"/>
      <family val="2"/>
    </font>
    <font>
      <sz val="8"/>
      <name val="Arial"/>
      <family val="2"/>
    </font>
    <font>
      <b/>
      <sz val="8"/>
      <name val="Arial"/>
      <family val="2"/>
    </font>
    <font>
      <b/>
      <sz val="10"/>
      <name val="Arial"/>
      <family val="2"/>
    </font>
    <font>
      <b/>
      <sz val="20"/>
      <name val="Arial"/>
      <family val="2"/>
    </font>
    <font>
      <u/>
      <sz val="10"/>
      <color indexed="12"/>
      <name val="Arial"/>
      <family val="2"/>
    </font>
    <font>
      <b/>
      <sz val="10"/>
      <color rgb="FFC00000"/>
      <name val="Arial"/>
      <family val="2"/>
    </font>
    <font>
      <sz val="18"/>
      <color rgb="FF800000"/>
      <name val="Comic Sans MS"/>
      <family val="4"/>
    </font>
    <font>
      <sz val="11"/>
      <color rgb="FF800000"/>
      <name val="Comic Sans MS"/>
      <family val="4"/>
    </font>
    <font>
      <sz val="10"/>
      <color rgb="FFC00000"/>
      <name val="Arial"/>
      <family val="2"/>
    </font>
    <font>
      <b/>
      <sz val="30"/>
      <name val="Arial"/>
      <family val="2"/>
    </font>
    <font>
      <sz val="30"/>
      <name val="Arial"/>
      <family val="2"/>
    </font>
    <font>
      <b/>
      <sz val="8.5"/>
      <color rgb="FF000000"/>
      <name val="Arial"/>
      <family val="2"/>
    </font>
    <font>
      <sz val="8.5"/>
      <color rgb="FF000000"/>
      <name val="HelveticaWorld-Regular"/>
    </font>
    <font>
      <b/>
      <sz val="10"/>
      <name val="Arial"/>
      <family val="2"/>
    </font>
    <font>
      <sz val="10"/>
      <name val="Cambria"/>
      <family val="1"/>
    </font>
    <font>
      <b/>
      <sz val="10"/>
      <name val="Cambria"/>
      <family val="1"/>
    </font>
    <font>
      <sz val="9"/>
      <name val="Cambria"/>
      <family val="1"/>
    </font>
    <font>
      <i/>
      <sz val="9"/>
      <name val="Cambria"/>
      <family val="1"/>
    </font>
    <font>
      <sz val="8.5"/>
      <name val="Cambria"/>
      <family val="1"/>
    </font>
    <font>
      <b/>
      <sz val="8.5"/>
      <name val="Cambria"/>
      <family val="1"/>
    </font>
    <font>
      <b/>
      <sz val="12"/>
      <color theme="0"/>
      <name val="Symbol"/>
      <family val="1"/>
      <charset val="2"/>
    </font>
    <font>
      <b/>
      <sz val="10"/>
      <color rgb="FF008000"/>
      <name val="Arial"/>
      <family val="2"/>
    </font>
    <font>
      <b/>
      <sz val="10"/>
      <color indexed="17"/>
      <name val="Symbol"/>
      <family val="1"/>
      <charset val="2"/>
    </font>
    <font>
      <b/>
      <sz val="10"/>
      <color rgb="FF008000"/>
      <name val="Symbol"/>
      <family val="1"/>
      <charset val="2"/>
    </font>
    <font>
      <b/>
      <sz val="14"/>
      <color rgb="FFFF0000"/>
      <name val="Arial"/>
      <family val="2"/>
    </font>
    <font>
      <b/>
      <sz val="10"/>
      <color theme="4" tint="-0.249977111117893"/>
      <name val="Arial"/>
      <family val="2"/>
    </font>
    <font>
      <b/>
      <sz val="9"/>
      <color rgb="FF008000"/>
      <name val="Arial"/>
      <family val="2"/>
    </font>
    <font>
      <b/>
      <sz val="10"/>
      <color theme="0" tint="-0.249977111117893"/>
      <name val="Arial"/>
      <family val="2"/>
    </font>
    <font>
      <sz val="6"/>
      <name val="Wingdings"/>
      <charset val="2"/>
    </font>
    <font>
      <b/>
      <sz val="12"/>
      <color rgb="FFC00000"/>
      <name val="Arial"/>
      <family val="2"/>
    </font>
    <font>
      <b/>
      <sz val="9"/>
      <color rgb="FFC00000"/>
      <name val="Arial"/>
      <family val="2"/>
    </font>
    <font>
      <b/>
      <sz val="11"/>
      <color theme="0"/>
      <name val="Arial"/>
      <family val="2"/>
    </font>
    <font>
      <sz val="11"/>
      <name val="Tempus Sans ITC"/>
      <family val="5"/>
    </font>
    <font>
      <sz val="10"/>
      <name val="Tempus Sans ITC"/>
      <family val="5"/>
    </font>
    <font>
      <b/>
      <sz val="10"/>
      <color rgb="FFFF0000"/>
      <name val="Symbol"/>
      <family val="1"/>
      <charset val="2"/>
    </font>
    <font>
      <b/>
      <sz val="9"/>
      <name val="Symbol"/>
      <family val="1"/>
      <charset val="2"/>
    </font>
    <font>
      <b/>
      <sz val="11"/>
      <color rgb="FFC00000"/>
      <name val="Arial"/>
      <family val="2"/>
    </font>
    <font>
      <b/>
      <sz val="11"/>
      <color rgb="FFFF0000"/>
      <name val="Arial"/>
      <family val="2"/>
    </font>
    <font>
      <sz val="9"/>
      <name val="Arial Unicode MS"/>
      <family val="2"/>
    </font>
    <font>
      <sz val="9"/>
      <color indexed="8"/>
      <name val="Courier New"/>
      <family val="3"/>
    </font>
    <font>
      <sz val="10"/>
      <color indexed="9"/>
      <name val="Courier New"/>
      <family val="3"/>
    </font>
    <font>
      <sz val="10"/>
      <color theme="0"/>
      <name val="Courier New"/>
      <family val="3"/>
    </font>
    <font>
      <sz val="12"/>
      <color theme="0"/>
      <name val="Courier New"/>
      <family val="3"/>
    </font>
    <font>
      <b/>
      <i/>
      <sz val="8"/>
      <color rgb="FFC00000"/>
      <name val="Arial"/>
      <family val="2"/>
    </font>
    <font>
      <sz val="9"/>
      <color rgb="FFC00000"/>
      <name val="Arial"/>
      <family val="2"/>
    </font>
    <font>
      <b/>
      <sz val="10"/>
      <color theme="0"/>
      <name val="Courier New"/>
      <family val="3"/>
    </font>
    <font>
      <vertAlign val="superscript"/>
      <sz val="9"/>
      <name val="Arial"/>
      <family val="2"/>
    </font>
    <font>
      <sz val="9"/>
      <color rgb="FF008000"/>
      <name val="Arial"/>
      <family val="2"/>
    </font>
    <font>
      <sz val="8"/>
      <color theme="0" tint="-0.34998626667073579"/>
      <name val="Arial"/>
      <family val="2"/>
    </font>
    <font>
      <sz val="10"/>
      <color rgb="FF00B050"/>
      <name val="Courier New"/>
      <family val="3"/>
    </font>
    <font>
      <sz val="10"/>
      <color theme="4" tint="0.59996337778862885"/>
      <name val="Arial"/>
      <family val="2"/>
    </font>
    <font>
      <sz val="11"/>
      <color indexed="22"/>
      <name val="Arial"/>
      <family val="2"/>
    </font>
    <font>
      <sz val="13"/>
      <name val="Arial"/>
      <family val="2"/>
    </font>
    <font>
      <sz val="8"/>
      <color theme="0" tint="-0.24994659260841701"/>
      <name val="Arial"/>
      <family val="2"/>
    </font>
    <font>
      <u/>
      <sz val="10"/>
      <color theme="0"/>
      <name val="Arial"/>
      <family val="2"/>
    </font>
    <font>
      <b/>
      <sz val="9"/>
      <color rgb="FF555555"/>
      <name val="Inherit"/>
    </font>
    <font>
      <sz val="9"/>
      <name val="Courier New"/>
      <family val="3"/>
    </font>
    <font>
      <sz val="9"/>
      <color theme="0"/>
      <name val="Courier New"/>
      <family val="3"/>
    </font>
    <font>
      <sz val="9"/>
      <color rgb="FF555555"/>
      <name val="Arial"/>
      <family val="2"/>
    </font>
    <font>
      <sz val="9"/>
      <color rgb="FF555555"/>
      <name val="Courier New"/>
      <family val="3"/>
    </font>
    <font>
      <b/>
      <sz val="9"/>
      <color theme="0"/>
      <name val="Courier New"/>
      <family val="3"/>
    </font>
    <font>
      <b/>
      <sz val="16"/>
      <color theme="0"/>
      <name val="Symbol"/>
      <family val="1"/>
      <charset val="2"/>
    </font>
    <font>
      <sz val="12"/>
      <color theme="0"/>
      <name val="Arial"/>
      <family val="2"/>
    </font>
    <font>
      <sz val="12"/>
      <name val="Times New Roman"/>
      <family val="1"/>
    </font>
    <font>
      <sz val="8"/>
      <color rgb="FFC00000"/>
      <name val="Arial"/>
      <family val="2"/>
    </font>
    <font>
      <b/>
      <sz val="12"/>
      <name val="Cambria"/>
      <family val="1"/>
      <scheme val="major"/>
    </font>
    <font>
      <sz val="11"/>
      <name val="Cambria"/>
      <family val="1"/>
      <scheme val="major"/>
    </font>
    <font>
      <b/>
      <sz val="11"/>
      <name val="Cambria"/>
      <family val="1"/>
      <scheme val="major"/>
    </font>
    <font>
      <sz val="12"/>
      <name val="Cambria"/>
      <family val="1"/>
      <scheme val="major"/>
    </font>
    <font>
      <b/>
      <u/>
      <sz val="8"/>
      <name val="Arial"/>
      <family val="2"/>
    </font>
    <font>
      <b/>
      <sz val="8"/>
      <color rgb="FFC00000"/>
      <name val="Arial"/>
      <family val="2"/>
    </font>
    <font>
      <sz val="10"/>
      <color rgb="FF008000"/>
      <name val="Arial"/>
      <family val="2"/>
    </font>
    <font>
      <b/>
      <sz val="8"/>
      <color rgb="FF008000"/>
      <name val="Arial"/>
      <family val="2"/>
    </font>
    <font>
      <sz val="10.5"/>
      <name val="Arial"/>
      <family val="2"/>
    </font>
    <font>
      <b/>
      <sz val="10.5"/>
      <name val="Arial"/>
      <family val="2"/>
    </font>
    <font>
      <b/>
      <sz val="12"/>
      <color rgb="FFFF0000"/>
      <name val="Arial"/>
      <family val="2"/>
    </font>
    <font>
      <b/>
      <sz val="11"/>
      <color rgb="FF008000"/>
      <name val="Arial"/>
      <family val="2"/>
    </font>
    <font>
      <sz val="7"/>
      <color theme="0"/>
      <name val="Arial"/>
      <family val="2"/>
    </font>
    <font>
      <b/>
      <u/>
      <sz val="11"/>
      <name val="Arial"/>
      <family val="2"/>
    </font>
    <font>
      <b/>
      <sz val="9"/>
      <color theme="0" tint="-0.249977111117893"/>
      <name val="Arial"/>
      <family val="2"/>
    </font>
    <font>
      <b/>
      <i/>
      <sz val="12"/>
      <color rgb="FFC00000"/>
      <name val="Arial"/>
      <family val="2"/>
    </font>
    <font>
      <sz val="8"/>
      <color theme="0" tint="-0.499984740745262"/>
      <name val="Arial"/>
      <family val="2"/>
    </font>
    <font>
      <b/>
      <sz val="8"/>
      <color theme="0" tint="-0.499984740745262"/>
      <name val="Arial"/>
      <family val="2"/>
    </font>
    <font>
      <u/>
      <sz val="10"/>
      <color rgb="FF008000"/>
      <name val="Arial"/>
      <family val="2"/>
    </font>
    <font>
      <sz val="6"/>
      <color theme="0"/>
      <name val="Arial"/>
      <family val="2"/>
    </font>
    <font>
      <sz val="7"/>
      <color theme="0" tint="-0.14996795556505021"/>
      <name val="Arial"/>
      <family val="2"/>
    </font>
    <font>
      <sz val="7"/>
      <color theme="0" tint="-0.249977111117893"/>
      <name val="Arial"/>
      <family val="2"/>
    </font>
    <font>
      <b/>
      <sz val="9"/>
      <color rgb="FF0070C0"/>
      <name val="Arial"/>
      <family val="2"/>
    </font>
    <font>
      <b/>
      <sz val="10"/>
      <color rgb="FF800000"/>
      <name val="Comic Sans MS"/>
      <family val="4"/>
    </font>
    <font>
      <b/>
      <sz val="14"/>
      <color theme="9" tint="-0.499984740745262"/>
      <name val="Comic Sans MS"/>
      <family val="4"/>
    </font>
    <font>
      <b/>
      <sz val="14"/>
      <color theme="0"/>
      <name val="Arial"/>
      <family val="2"/>
    </font>
    <font>
      <sz val="14"/>
      <color theme="0"/>
      <name val="Arial"/>
      <family val="2"/>
    </font>
    <font>
      <b/>
      <sz val="14"/>
      <color indexed="9"/>
      <name val="Arial"/>
      <family val="2"/>
    </font>
    <font>
      <sz val="12"/>
      <name val="Marlett"/>
      <charset val="2"/>
    </font>
    <font>
      <b/>
      <i/>
      <sz val="13"/>
      <name val="Arial"/>
      <family val="2"/>
    </font>
    <font>
      <sz val="8"/>
      <color theme="0" tint="-0.14999847407452621"/>
      <name val="Arial"/>
      <family val="2"/>
    </font>
    <font>
      <sz val="10"/>
      <color theme="0" tint="-0.14999847407452621"/>
      <name val="Arial"/>
      <family val="2"/>
    </font>
    <font>
      <sz val="12"/>
      <color theme="0" tint="-0.14999847407452621"/>
      <name val="Arial"/>
      <family val="2"/>
    </font>
    <font>
      <b/>
      <sz val="9"/>
      <color theme="4" tint="-0.249977111117893"/>
      <name val="Arial"/>
      <family val="2"/>
    </font>
    <font>
      <b/>
      <sz val="11"/>
      <color theme="4" tint="-0.249977111117893"/>
      <name val="Courier New"/>
      <family val="3"/>
    </font>
    <font>
      <u/>
      <sz val="10"/>
      <color indexed="12"/>
      <name val="Courier New"/>
      <family val="3"/>
    </font>
    <font>
      <sz val="8"/>
      <color rgb="FF008000"/>
      <name val="Arial"/>
      <family val="2"/>
    </font>
    <font>
      <sz val="10"/>
      <color rgb="FF000000"/>
      <name val="Times New Roman"/>
      <family val="1"/>
    </font>
    <font>
      <sz val="10"/>
      <color rgb="FF000000"/>
      <name val="Calibri"/>
      <family val="2"/>
      <scheme val="minor"/>
    </font>
    <font>
      <sz val="11"/>
      <color rgb="FF000000"/>
      <name val="Calibri"/>
      <family val="2"/>
      <scheme val="minor"/>
    </font>
    <font>
      <b/>
      <sz val="11"/>
      <color rgb="FF000000"/>
      <name val="Calibri"/>
      <family val="2"/>
      <scheme val="minor"/>
    </font>
    <font>
      <b/>
      <sz val="12"/>
      <color theme="0" tint="-0.249977111117893"/>
      <name val="Symbol"/>
      <family val="1"/>
      <charset val="2"/>
    </font>
    <font>
      <b/>
      <sz val="12"/>
      <name val="Arial Narrow"/>
      <family val="2"/>
    </font>
    <font>
      <i/>
      <sz val="10"/>
      <color indexed="22"/>
      <name val="Arial"/>
      <family val="2"/>
    </font>
    <font>
      <b/>
      <i/>
      <sz val="16"/>
      <color theme="0"/>
      <name val="Symbol"/>
      <family val="1"/>
      <charset val="2"/>
    </font>
    <font>
      <i/>
      <sz val="13"/>
      <name val="Arial"/>
      <family val="2"/>
    </font>
    <font>
      <b/>
      <sz val="10"/>
      <color theme="0" tint="-0.34998626667073579"/>
      <name val="Arial"/>
      <family val="2"/>
    </font>
    <font>
      <sz val="12"/>
      <color rgb="FF008000"/>
      <name val="Arial"/>
      <family val="2"/>
    </font>
    <font>
      <b/>
      <sz val="10"/>
      <color theme="9" tint="-0.249977111117893"/>
      <name val="Arial"/>
      <family val="2"/>
    </font>
    <font>
      <sz val="10"/>
      <color rgb="FF002060"/>
      <name val="Arial"/>
      <family val="2"/>
    </font>
    <font>
      <sz val="10"/>
      <color theme="0" tint="-0.14996795556505021"/>
      <name val="Arial"/>
      <family val="2"/>
    </font>
    <font>
      <b/>
      <sz val="11"/>
      <color theme="0"/>
      <name val="Calibri"/>
      <family val="2"/>
      <scheme val="minor"/>
    </font>
    <font>
      <b/>
      <sz val="9"/>
      <name val="Courier New"/>
      <family val="3"/>
    </font>
    <font>
      <u/>
      <sz val="11"/>
      <name val="Arial"/>
      <family val="2"/>
    </font>
    <font>
      <b/>
      <sz val="11"/>
      <name val="Calibri"/>
      <family val="2"/>
    </font>
    <font>
      <b/>
      <sz val="32"/>
      <name val="Arial"/>
      <family val="2"/>
    </font>
    <font>
      <sz val="32"/>
      <name val="Arial"/>
      <family val="2"/>
    </font>
    <font>
      <b/>
      <sz val="12"/>
      <name val="Calibri"/>
      <family val="2"/>
      <scheme val="minor"/>
    </font>
    <font>
      <b/>
      <sz val="14"/>
      <name val="Calibri"/>
      <family val="2"/>
      <scheme val="minor"/>
    </font>
    <font>
      <sz val="12"/>
      <name val="Tempus Sans ITC"/>
      <family val="5"/>
    </font>
    <font>
      <i/>
      <sz val="14"/>
      <name val="Arial"/>
      <family val="2"/>
    </font>
    <font>
      <b/>
      <sz val="9"/>
      <color rgb="FF000000"/>
      <name val="Arial"/>
      <family val="2"/>
    </font>
    <font>
      <b/>
      <sz val="11"/>
      <color rgb="FF000000"/>
      <name val="Arial"/>
      <family val="2"/>
    </font>
    <font>
      <sz val="11"/>
      <color rgb="FFC00000"/>
      <name val="Arial"/>
      <family val="2"/>
    </font>
    <font>
      <sz val="10"/>
      <color theme="2"/>
      <name val="Arial"/>
      <family val="2"/>
    </font>
    <font>
      <b/>
      <sz val="14"/>
      <name val="Arial Narrow"/>
      <family val="2"/>
    </font>
    <font>
      <sz val="11"/>
      <name val="Microsoft YaHei Light"/>
      <family val="2"/>
    </font>
    <font>
      <sz val="12"/>
      <name val="Microsoft YaHei UI Light"/>
      <family val="2"/>
    </font>
    <font>
      <b/>
      <sz val="18"/>
      <name val="Arial Narrow"/>
      <family val="2"/>
    </font>
    <font>
      <b/>
      <sz val="26"/>
      <name val="Harvest"/>
    </font>
    <font>
      <sz val="10"/>
      <name val="Harvest"/>
    </font>
    <font>
      <sz val="10"/>
      <name val="Cambria"/>
      <family val="1"/>
      <scheme val="major"/>
    </font>
    <font>
      <b/>
      <sz val="10"/>
      <name val="Cambria"/>
      <family val="1"/>
      <scheme val="major"/>
    </font>
    <font>
      <b/>
      <sz val="12"/>
      <color rgb="FF008000"/>
      <name val="Arial"/>
      <family val="2"/>
    </font>
    <font>
      <b/>
      <sz val="10"/>
      <color indexed="22"/>
      <name val="Arial"/>
      <family val="2"/>
    </font>
    <font>
      <b/>
      <sz val="36"/>
      <name val="Arial"/>
      <family val="2"/>
    </font>
    <font>
      <sz val="36"/>
      <name val="Arial"/>
      <family val="2"/>
    </font>
    <font>
      <b/>
      <u/>
      <sz val="12"/>
      <color rgb="FF008000"/>
      <name val="Arial"/>
      <family val="2"/>
    </font>
    <font>
      <b/>
      <sz val="8"/>
      <color theme="0" tint="-0.249977111117893"/>
      <name val="Arial"/>
      <family val="2"/>
    </font>
    <font>
      <sz val="8"/>
      <color theme="3" tint="-0.249977111117893"/>
      <name val="Arial"/>
      <family val="2"/>
    </font>
    <font>
      <i/>
      <sz val="8.5"/>
      <color rgb="FF000000"/>
      <name val="Arial"/>
      <family val="2"/>
    </font>
    <font>
      <sz val="8.5"/>
      <color theme="0"/>
      <name val="Arial"/>
      <family val="2"/>
    </font>
    <font>
      <sz val="10"/>
      <name val="Arial"/>
      <family val="2"/>
      <charset val="2"/>
    </font>
    <font>
      <b/>
      <sz val="12"/>
      <color indexed="8"/>
      <name val="Arial"/>
      <family val="2"/>
    </font>
    <font>
      <sz val="10"/>
      <color rgb="FFB9FFF2"/>
      <name val="Arial"/>
      <family val="2"/>
    </font>
    <font>
      <sz val="11"/>
      <name val="Times New Roman"/>
      <family val="1"/>
    </font>
    <font>
      <sz val="10"/>
      <color theme="0"/>
      <name val="Cambria"/>
      <family val="1"/>
    </font>
    <font>
      <b/>
      <sz val="10"/>
      <color indexed="12"/>
      <name val="Arial"/>
      <family val="2"/>
    </font>
    <font>
      <sz val="9"/>
      <color rgb="FF0070C0"/>
      <name val="Arial"/>
      <family val="2"/>
    </font>
    <font>
      <sz val="10"/>
      <color rgb="FF0070C0"/>
      <name val="Arial"/>
      <family val="2"/>
    </font>
    <font>
      <b/>
      <sz val="12"/>
      <name val="Courier New"/>
      <family val="3"/>
    </font>
  </fonts>
  <fills count="43">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indexed="9"/>
        <bgColor indexed="26"/>
      </patternFill>
    </fill>
    <fill>
      <patternFill patternType="solid">
        <fgColor indexed="22"/>
        <bgColor indexed="64"/>
      </patternFill>
    </fill>
    <fill>
      <patternFill patternType="solid">
        <fgColor indexed="29"/>
        <bgColor indexed="64"/>
      </patternFill>
    </fill>
    <fill>
      <patternFill patternType="solid">
        <fgColor indexed="22"/>
        <bgColor indexed="9"/>
      </patternFill>
    </fill>
    <fill>
      <patternFill patternType="lightUp">
        <bgColor indexed="9"/>
      </patternFill>
    </fill>
    <fill>
      <patternFill patternType="solid">
        <fgColor indexed="8"/>
        <bgColor indexed="9"/>
      </patternFill>
    </fill>
    <fill>
      <patternFill patternType="lightUp"/>
    </fill>
    <fill>
      <patternFill patternType="solid">
        <fgColor indexed="47"/>
        <bgColor indexed="64"/>
      </patternFill>
    </fill>
    <fill>
      <patternFill patternType="solid">
        <fgColor indexed="22"/>
        <bgColor indexed="26"/>
      </patternFill>
    </fill>
    <fill>
      <patternFill patternType="solid">
        <fgColor indexed="8"/>
        <bgColor indexed="64"/>
      </patternFill>
    </fill>
    <fill>
      <patternFill patternType="darkUp">
        <fgColor indexed="9"/>
        <bgColor indexed="9"/>
      </patternFill>
    </fill>
    <fill>
      <patternFill patternType="solid">
        <fgColor theme="0"/>
        <bgColor indexed="9"/>
      </patternFill>
    </fill>
    <fill>
      <patternFill patternType="solid">
        <fgColor theme="0"/>
        <bgColor indexed="64"/>
      </patternFill>
    </fill>
    <fill>
      <patternFill patternType="solid">
        <fgColor theme="4" tint="0.79998168889431442"/>
        <bgColor indexed="64"/>
      </patternFill>
    </fill>
    <fill>
      <patternFill patternType="lightUp">
        <bgColor theme="0"/>
      </patternFill>
    </fill>
    <fill>
      <patternFill patternType="solid">
        <fgColor rgb="FFD1FFFF"/>
        <bgColor indexed="64"/>
      </patternFill>
    </fill>
    <fill>
      <patternFill patternType="solid">
        <fgColor theme="0" tint="-0.14996795556505021"/>
        <bgColor indexed="64"/>
      </patternFill>
    </fill>
    <fill>
      <patternFill patternType="solid">
        <fgColor theme="4" tint="0.79998168889431442"/>
        <bgColor indexed="9"/>
      </patternFill>
    </fill>
    <fill>
      <patternFill patternType="solid">
        <fgColor theme="0" tint="-0.24994659260841701"/>
        <bgColor indexed="64"/>
      </patternFill>
    </fill>
    <fill>
      <patternFill patternType="solid">
        <fgColor theme="0" tint="-0.14996795556505021"/>
        <bgColor indexed="9"/>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4" tint="0.59996337778862885"/>
        <bgColor indexed="9"/>
      </patternFill>
    </fill>
    <fill>
      <patternFill patternType="solid">
        <fgColor theme="4" tint="0.59996337778862885"/>
        <bgColor indexed="64"/>
      </patternFill>
    </fill>
    <fill>
      <patternFill patternType="solid">
        <fgColor theme="4" tint="0.59999389629810485"/>
        <bgColor indexed="9"/>
      </patternFill>
    </fill>
    <fill>
      <patternFill patternType="solid">
        <fgColor theme="0" tint="-4.9989318521683403E-2"/>
        <bgColor indexed="9"/>
      </patternFill>
    </fill>
    <fill>
      <patternFill patternType="solid">
        <fgColor theme="3" tint="0.59999389629810485"/>
        <bgColor indexed="64"/>
      </patternFill>
    </fill>
    <fill>
      <patternFill patternType="solid">
        <fgColor theme="1"/>
        <bgColor indexed="64"/>
      </patternFill>
    </fill>
    <fill>
      <patternFill patternType="solid">
        <fgColor theme="8" tint="0.79998168889431442"/>
        <bgColor indexed="64"/>
      </patternFill>
    </fill>
    <fill>
      <patternFill patternType="solid">
        <fgColor theme="3" tint="0.59996337778862885"/>
        <bgColor indexed="64"/>
      </patternFill>
    </fill>
    <fill>
      <patternFill patternType="solid">
        <fgColor rgb="FFFEFEFE"/>
        <bgColor indexed="64"/>
      </patternFill>
    </fill>
    <fill>
      <patternFill patternType="solid">
        <fgColor rgb="FFF2F2F2"/>
        <bgColor indexed="64"/>
      </patternFill>
    </fill>
    <fill>
      <patternFill patternType="solid">
        <fgColor theme="0"/>
        <bgColor auto="1"/>
      </patternFill>
    </fill>
    <fill>
      <patternFill patternType="solid">
        <fgColor theme="0" tint="-0.24994659260841701"/>
        <bgColor indexed="9"/>
      </patternFill>
    </fill>
    <fill>
      <patternFill patternType="solid">
        <fgColor theme="0" tint="-0.249977111117893"/>
        <bgColor indexed="64"/>
      </patternFill>
    </fill>
    <fill>
      <patternFill patternType="solid">
        <fgColor rgb="FFA5A5A5"/>
      </patternFill>
    </fill>
    <fill>
      <patternFill patternType="lightUp">
        <fgColor auto="1"/>
        <bgColor indexed="9"/>
      </patternFill>
    </fill>
    <fill>
      <patternFill patternType="solid">
        <fgColor rgb="FFDDFFF9"/>
        <bgColor indexed="64"/>
      </patternFill>
    </fill>
  </fills>
  <borders count="226">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dotted">
        <color indexed="64"/>
      </bottom>
      <diagonal/>
    </border>
    <border>
      <left/>
      <right/>
      <top/>
      <bottom style="medium">
        <color indexed="64"/>
      </bottom>
      <diagonal/>
    </border>
    <border>
      <left style="medium">
        <color indexed="64"/>
      </left>
      <right/>
      <top/>
      <bottom/>
      <diagonal/>
    </border>
    <border>
      <left style="thin">
        <color indexed="64"/>
      </left>
      <right style="thin">
        <color indexed="64"/>
      </right>
      <top/>
      <bottom/>
      <diagonal/>
    </border>
    <border>
      <left/>
      <right/>
      <top style="medium">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ck">
        <color indexed="64"/>
      </top>
      <bottom/>
      <diagonal/>
    </border>
    <border>
      <left/>
      <right style="thin">
        <color indexed="64"/>
      </right>
      <top/>
      <bottom style="thick">
        <color indexed="64"/>
      </bottom>
      <diagonal/>
    </border>
    <border>
      <left style="thin">
        <color indexed="64"/>
      </left>
      <right style="dotted">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thick">
        <color indexed="64"/>
      </right>
      <top style="thick">
        <color indexed="64"/>
      </top>
      <bottom/>
      <diagonal/>
    </border>
    <border>
      <left/>
      <right style="thick">
        <color indexed="64"/>
      </right>
      <top/>
      <bottom style="thick">
        <color indexed="64"/>
      </bottom>
      <diagonal/>
    </border>
    <border>
      <left/>
      <right/>
      <top style="thick">
        <color indexed="64"/>
      </top>
      <bottom style="thin">
        <color indexed="64"/>
      </bottom>
      <diagonal/>
    </border>
    <border>
      <left style="thin">
        <color indexed="64"/>
      </left>
      <right/>
      <top/>
      <bottom style="thick">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dotted">
        <color indexed="64"/>
      </top>
      <bottom/>
      <diagonal/>
    </border>
    <border>
      <left/>
      <right/>
      <top/>
      <bottom style="dotted">
        <color indexed="22"/>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top style="thick">
        <color indexed="64"/>
      </top>
      <bottom/>
      <diagonal/>
    </border>
    <border>
      <left style="thick">
        <color indexed="64"/>
      </left>
      <right/>
      <top/>
      <bottom style="thick">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style="thick">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dott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top/>
      <bottom style="dashed">
        <color indexed="64"/>
      </bottom>
      <diagonal/>
    </border>
    <border>
      <left/>
      <right style="medium">
        <color indexed="64"/>
      </right>
      <top style="thin">
        <color indexed="64"/>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ash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ck">
        <color indexed="64"/>
      </right>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right/>
      <top style="thin">
        <color indexed="64"/>
      </top>
      <bottom style="thick">
        <color indexed="64"/>
      </bottom>
      <diagonal/>
    </border>
    <border>
      <left style="thick">
        <color indexed="64"/>
      </left>
      <right/>
      <top/>
      <bottom/>
      <diagonal/>
    </border>
    <border>
      <left style="thick">
        <color indexed="64"/>
      </left>
      <right/>
      <top/>
      <bottom style="thin">
        <color indexed="64"/>
      </bottom>
      <diagonal/>
    </border>
    <border>
      <left style="medium">
        <color indexed="64"/>
      </left>
      <right style="medium">
        <color indexed="64"/>
      </right>
      <top/>
      <bottom/>
      <diagonal/>
    </border>
    <border>
      <left style="thin">
        <color indexed="64"/>
      </left>
      <right style="dotted">
        <color indexed="64"/>
      </right>
      <top/>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top style="dashed">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ashed">
        <color indexed="64"/>
      </top>
      <bottom style="dashed">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medium">
        <color theme="1"/>
      </top>
      <bottom style="dotted">
        <color indexed="22"/>
      </bottom>
      <diagonal/>
    </border>
    <border>
      <left/>
      <right/>
      <top/>
      <bottom style="medium">
        <color theme="1"/>
      </bottom>
      <diagonal/>
    </border>
    <border>
      <left/>
      <right style="thin">
        <color indexed="64"/>
      </right>
      <top style="dashed">
        <color indexed="64"/>
      </top>
      <bottom style="thin">
        <color indexed="64"/>
      </bottom>
      <diagonal/>
    </border>
    <border>
      <left style="thin">
        <color theme="1"/>
      </left>
      <right style="thin">
        <color theme="1"/>
      </right>
      <top/>
      <bottom style="thin">
        <color theme="1"/>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medium">
        <color indexed="64"/>
      </left>
      <right style="medium">
        <color indexed="64"/>
      </right>
      <top style="double">
        <color indexed="64"/>
      </top>
      <bottom style="medium">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indexed="64"/>
      </right>
      <top style="dashed">
        <color indexed="64"/>
      </top>
      <bottom style="dashed">
        <color indexed="64"/>
      </bottom>
      <diagonal/>
    </border>
    <border>
      <left/>
      <right/>
      <top style="dashed">
        <color indexed="64"/>
      </top>
      <bottom style="thin">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bottom style="medium">
        <color rgb="FFCCCCCC"/>
      </bottom>
      <diagonal/>
    </border>
    <border>
      <left/>
      <right/>
      <top/>
      <bottom style="dotted">
        <color auto="1"/>
      </bottom>
      <diagonal/>
    </border>
    <border>
      <left style="thin">
        <color indexed="64"/>
      </left>
      <right/>
      <top/>
      <bottom style="medium">
        <color theme="1"/>
      </bottom>
      <diagonal/>
    </border>
    <border>
      <left/>
      <right/>
      <top style="medium">
        <color theme="1"/>
      </top>
      <bottom/>
      <diagonal/>
    </border>
    <border>
      <left style="thin">
        <color indexed="64"/>
      </left>
      <right/>
      <top/>
      <bottom style="dotted">
        <color indexed="64"/>
      </bottom>
      <diagonal/>
    </border>
    <border>
      <left/>
      <right style="medium">
        <color indexed="64"/>
      </right>
      <top/>
      <bottom style="thick">
        <color indexed="64"/>
      </bottom>
      <diagonal/>
    </border>
    <border>
      <left/>
      <right/>
      <top style="medium">
        <color indexed="64"/>
      </top>
      <bottom style="dotted">
        <color indexed="64"/>
      </bottom>
      <diagonal/>
    </border>
    <border>
      <left/>
      <right/>
      <top/>
      <bottom style="mediumDashed">
        <color auto="1"/>
      </bottom>
      <diagonal/>
    </border>
    <border>
      <left/>
      <right/>
      <top style="medium">
        <color indexed="64"/>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
      <left style="medium">
        <color indexed="64"/>
      </left>
      <right style="thick">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thick">
        <color indexed="64"/>
      </top>
      <bottom style="medium">
        <color indexed="64"/>
      </bottom>
      <diagonal/>
    </border>
    <border>
      <left/>
      <right style="dashed">
        <color auto="1"/>
      </right>
      <top style="dashed">
        <color auto="1"/>
      </top>
      <bottom/>
      <diagonal/>
    </border>
    <border>
      <left/>
      <right style="dashed">
        <color auto="1"/>
      </right>
      <top/>
      <bottom/>
      <diagonal/>
    </border>
    <border>
      <left style="dashed">
        <color auto="1"/>
      </left>
      <right style="medium">
        <color indexed="64"/>
      </right>
      <top style="thick">
        <color indexed="64"/>
      </top>
      <bottom style="medium">
        <color indexed="64"/>
      </bottom>
      <diagonal/>
    </border>
    <border>
      <left style="medium">
        <color indexed="64"/>
      </left>
      <right style="dashed">
        <color auto="1"/>
      </right>
      <top style="thick">
        <color indexed="64"/>
      </top>
      <bottom style="medium">
        <color indexed="64"/>
      </bottom>
      <diagonal/>
    </border>
    <border>
      <left style="medium">
        <color indexed="64"/>
      </left>
      <right style="dashed">
        <color auto="1"/>
      </right>
      <top style="medium">
        <color indexed="64"/>
      </top>
      <bottom style="medium">
        <color indexed="64"/>
      </bottom>
      <diagonal/>
    </border>
    <border>
      <left style="dashed">
        <color auto="1"/>
      </left>
      <right/>
      <top/>
      <bottom style="thick">
        <color indexed="64"/>
      </bottom>
      <diagonal/>
    </border>
    <border>
      <left style="medium">
        <color indexed="64"/>
      </left>
      <right style="dashed">
        <color auto="1"/>
      </right>
      <top style="medium">
        <color indexed="64"/>
      </top>
      <bottom style="thick">
        <color indexed="64"/>
      </bottom>
      <diagonal/>
    </border>
    <border>
      <left/>
      <right style="dashed">
        <color auto="1"/>
      </right>
      <top/>
      <bottom style="dashed">
        <color auto="1"/>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ck">
        <color indexed="64"/>
      </left>
      <right/>
      <top/>
      <bottom style="medium">
        <color indexed="64"/>
      </bottom>
      <diagonal/>
    </border>
    <border>
      <left style="medium">
        <color indexed="64"/>
      </left>
      <right style="medium">
        <color indexed="64"/>
      </right>
      <top/>
      <bottom style="thin">
        <color indexed="64"/>
      </bottom>
      <diagonal/>
    </border>
    <border>
      <left style="thin">
        <color indexed="64"/>
      </left>
      <right style="thick">
        <color indexed="64"/>
      </right>
      <top/>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top style="thick">
        <color indexed="64"/>
      </top>
      <bottom/>
      <diagonal/>
    </border>
    <border>
      <left style="medium">
        <color indexed="64"/>
      </left>
      <right/>
      <top/>
      <bottom style="dashed">
        <color indexed="64"/>
      </bottom>
      <diagonal/>
    </border>
    <border>
      <left/>
      <right style="medium">
        <color indexed="64"/>
      </right>
      <top/>
      <bottom style="dashed">
        <color indexed="64"/>
      </bottom>
      <diagonal/>
    </border>
    <border>
      <left style="medium">
        <color indexed="64"/>
      </left>
      <right/>
      <top style="dashed">
        <color indexed="64"/>
      </top>
      <bottom/>
      <diagonal/>
    </border>
    <border>
      <left/>
      <right style="medium">
        <color indexed="64"/>
      </right>
      <top style="dashed">
        <color indexed="64"/>
      </top>
      <bottom/>
      <diagonal/>
    </border>
    <border>
      <left style="medium">
        <color indexed="64"/>
      </left>
      <right/>
      <top style="medium">
        <color indexed="64"/>
      </top>
      <bottom style="dashed">
        <color indexed="64"/>
      </bottom>
      <diagonal/>
    </border>
    <border>
      <left/>
      <right/>
      <top style="mediumDashed">
        <color auto="1"/>
      </top>
      <bottom/>
      <diagonal/>
    </border>
    <border>
      <left style="medium">
        <color indexed="64"/>
      </left>
      <right/>
      <top style="dashed">
        <color indexed="64"/>
      </top>
      <bottom style="dashed">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style="mediumDashed">
        <color auto="1"/>
      </right>
      <top/>
      <bottom/>
      <diagonal/>
    </border>
    <border>
      <left style="mediumDashed">
        <color auto="1"/>
      </left>
      <right/>
      <top/>
      <bottom style="mediumDashed">
        <color auto="1"/>
      </bottom>
      <diagonal/>
    </border>
    <border>
      <left/>
      <right style="mediumDashed">
        <color auto="1"/>
      </right>
      <top/>
      <bottom style="mediumDashed">
        <color auto="1"/>
      </bottom>
      <diagonal/>
    </border>
    <border>
      <left style="thin">
        <color indexed="64"/>
      </left>
      <right/>
      <top style="thick">
        <color indexed="64"/>
      </top>
      <bottom style="thin">
        <color indexed="64"/>
      </bottom>
      <diagonal/>
    </border>
    <border>
      <left style="thin">
        <color indexed="64"/>
      </left>
      <right style="thin">
        <color indexed="64"/>
      </right>
      <top style="medium">
        <color auto="1"/>
      </top>
      <bottom/>
      <diagonal/>
    </border>
    <border>
      <left style="thin">
        <color indexed="64"/>
      </left>
      <right/>
      <top style="thin">
        <color indexed="64"/>
      </top>
      <bottom style="thick">
        <color indexed="64"/>
      </bottom>
      <diagonal/>
    </border>
    <border>
      <left style="medium">
        <color auto="1"/>
      </left>
      <right style="thin">
        <color auto="1"/>
      </right>
      <top/>
      <bottom/>
      <diagonal/>
    </border>
    <border>
      <left style="medium">
        <color auto="1"/>
      </left>
      <right style="thin">
        <color auto="1"/>
      </right>
      <top/>
      <bottom style="medium">
        <color indexed="64"/>
      </bottom>
      <diagonal/>
    </border>
    <border>
      <left style="medium">
        <color auto="1"/>
      </left>
      <right style="thin">
        <color auto="1"/>
      </right>
      <top style="medium">
        <color auto="1"/>
      </top>
      <bottom/>
      <diagonal/>
    </border>
    <border>
      <left style="thin">
        <color indexed="64"/>
      </left>
      <right style="medium">
        <color indexed="64"/>
      </right>
      <top style="medium">
        <color auto="1"/>
      </top>
      <bottom/>
      <diagonal/>
    </border>
    <border>
      <left style="medium">
        <color indexed="64"/>
      </left>
      <right/>
      <top/>
      <bottom style="thick">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bottom style="dashed">
        <color indexed="64"/>
      </bottom>
      <diagonal/>
    </border>
    <border>
      <left style="double">
        <color rgb="FF3F3F3F"/>
      </left>
      <right style="double">
        <color rgb="FF3F3F3F"/>
      </right>
      <top style="double">
        <color rgb="FF3F3F3F"/>
      </top>
      <bottom style="double">
        <color rgb="FF3F3F3F"/>
      </bottom>
      <diagonal/>
    </border>
    <border>
      <left/>
      <right/>
      <top style="dashed">
        <color indexed="64"/>
      </top>
      <bottom style="medium">
        <color auto="1"/>
      </bottom>
      <diagonal/>
    </border>
    <border>
      <left/>
      <right style="thin">
        <color indexed="64"/>
      </right>
      <top style="dashed">
        <color indexed="64"/>
      </top>
      <bottom style="medium">
        <color auto="1"/>
      </bottom>
      <diagonal/>
    </border>
    <border>
      <left/>
      <right style="medium">
        <color indexed="64"/>
      </right>
      <top style="thick">
        <color indexed="64"/>
      </top>
      <bottom style="medium">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diagonal/>
    </border>
    <border>
      <left style="thick">
        <color indexed="64"/>
      </left>
      <right style="thick">
        <color indexed="64"/>
      </right>
      <top/>
      <bottom/>
      <diagonal/>
    </border>
    <border>
      <left/>
      <right style="thick">
        <color indexed="64"/>
      </right>
      <top/>
      <bottom style="medium">
        <color indexed="64"/>
      </bottom>
      <diagonal/>
    </border>
    <border>
      <left style="thick">
        <color indexed="64"/>
      </left>
      <right style="thick">
        <color indexed="64"/>
      </right>
      <top/>
      <bottom style="medium">
        <color indexed="64"/>
      </bottom>
      <diagonal/>
    </border>
  </borders>
  <cellStyleXfs count="11">
    <xf numFmtId="0" fontId="0" fillId="0" borderId="0"/>
    <xf numFmtId="44" fontId="5" fillId="0" borderId="0" applyFont="0" applyFill="0" applyBorder="0" applyAlignment="0" applyProtection="0"/>
    <xf numFmtId="0" fontId="75"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5" fillId="0" borderId="0"/>
    <xf numFmtId="0" fontId="167" fillId="0" borderId="0" applyNumberFormat="0" applyFill="0" applyBorder="0" applyAlignment="0" applyProtection="0">
      <alignment vertical="top"/>
      <protection locked="0"/>
    </xf>
    <xf numFmtId="0" fontId="279" fillId="40" borderId="214" applyNumberFormat="0" applyAlignment="0" applyProtection="0"/>
    <xf numFmtId="0" fontId="2" fillId="0" borderId="0"/>
    <xf numFmtId="0" fontId="75"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1" fillId="0" borderId="0"/>
  </cellStyleXfs>
  <cellXfs count="9992">
    <xf numFmtId="0" fontId="0" fillId="0" borderId="0" xfId="0"/>
    <xf numFmtId="0" fontId="3" fillId="0" borderId="0" xfId="0" applyFont="1"/>
    <xf numFmtId="4" fontId="7" fillId="0" borderId="0" xfId="0" applyNumberFormat="1" applyFont="1"/>
    <xf numFmtId="0" fontId="10" fillId="0" borderId="0" xfId="0" applyFont="1"/>
    <xf numFmtId="4" fontId="0" fillId="0" borderId="0" xfId="0" applyNumberFormat="1"/>
    <xf numFmtId="0" fontId="21" fillId="0" borderId="0" xfId="0" applyFont="1" applyProtection="1">
      <protection hidden="1"/>
    </xf>
    <xf numFmtId="0" fontId="25" fillId="0" borderId="0" xfId="0" applyFont="1"/>
    <xf numFmtId="4" fontId="25" fillId="2" borderId="0" xfId="0" applyNumberFormat="1" applyFont="1" applyFill="1" applyProtection="1">
      <protection hidden="1"/>
    </xf>
    <xf numFmtId="39" fontId="7" fillId="0" borderId="0" xfId="0" applyNumberFormat="1" applyFont="1" applyAlignment="1" applyProtection="1">
      <alignment horizontal="right"/>
      <protection hidden="1"/>
    </xf>
    <xf numFmtId="0" fontId="8" fillId="0" borderId="0" xfId="0" applyFont="1" applyAlignment="1" applyProtection="1">
      <alignment horizontal="right"/>
      <protection hidden="1"/>
    </xf>
    <xf numFmtId="0" fontId="7" fillId="0" borderId="0" xfId="0" applyFont="1" applyAlignment="1" applyProtection="1">
      <alignment horizontal="left"/>
      <protection hidden="1"/>
    </xf>
    <xf numFmtId="4" fontId="7" fillId="0" borderId="0" xfId="0" applyNumberFormat="1" applyFont="1" applyAlignment="1" applyProtection="1">
      <alignment horizontal="left"/>
      <protection hidden="1"/>
    </xf>
    <xf numFmtId="4" fontId="7" fillId="0" borderId="0" xfId="0" applyNumberFormat="1" applyFont="1" applyAlignment="1" applyProtection="1">
      <alignment horizontal="center"/>
      <protection hidden="1"/>
    </xf>
    <xf numFmtId="39" fontId="7" fillId="0" borderId="0" xfId="0" applyNumberFormat="1" applyFont="1" applyAlignment="1" applyProtection="1">
      <alignment horizontal="center"/>
      <protection hidden="1"/>
    </xf>
    <xf numFmtId="0" fontId="25" fillId="2" borderId="0" xfId="0" applyFont="1" applyFill="1" applyProtection="1">
      <protection hidden="1"/>
    </xf>
    <xf numFmtId="0" fontId="7" fillId="0" borderId="0" xfId="0" applyFont="1"/>
    <xf numFmtId="0" fontId="3" fillId="3" borderId="1" xfId="0" applyFont="1" applyFill="1" applyBorder="1" applyProtection="1">
      <protection hidden="1"/>
    </xf>
    <xf numFmtId="0" fontId="0" fillId="3" borderId="1" xfId="0" applyFill="1" applyBorder="1" applyProtection="1">
      <protection hidden="1"/>
    </xf>
    <xf numFmtId="4" fontId="0" fillId="3" borderId="1" xfId="0" applyNumberFormat="1" applyFill="1" applyBorder="1" applyProtection="1">
      <protection hidden="1"/>
    </xf>
    <xf numFmtId="4" fontId="7" fillId="3" borderId="0" xfId="0" applyNumberFormat="1" applyFont="1" applyFill="1" applyAlignment="1" applyProtection="1">
      <alignment horizontal="right"/>
      <protection hidden="1"/>
    </xf>
    <xf numFmtId="4" fontId="7" fillId="3" borderId="3" xfId="0" applyNumberFormat="1" applyFont="1" applyFill="1" applyBorder="1" applyProtection="1">
      <protection hidden="1"/>
    </xf>
    <xf numFmtId="0" fontId="10" fillId="3" borderId="0" xfId="0" applyFont="1" applyFill="1" applyProtection="1">
      <protection hidden="1"/>
    </xf>
    <xf numFmtId="0" fontId="3" fillId="3" borderId="0" xfId="0" applyFont="1" applyFill="1" applyProtection="1">
      <protection hidden="1"/>
    </xf>
    <xf numFmtId="0" fontId="0" fillId="2" borderId="0" xfId="0" applyFill="1" applyProtection="1">
      <protection hidden="1"/>
    </xf>
    <xf numFmtId="0" fontId="3" fillId="2" borderId="0" xfId="0" applyFont="1" applyFill="1" applyProtection="1">
      <protection hidden="1"/>
    </xf>
    <xf numFmtId="0" fontId="0" fillId="4" borderId="0" xfId="0" applyFill="1" applyProtection="1">
      <protection locked="0"/>
    </xf>
    <xf numFmtId="0" fontId="0" fillId="4" borderId="0" xfId="0" applyFill="1" applyProtection="1">
      <protection locked="0" hidden="1"/>
    </xf>
    <xf numFmtId="0" fontId="10" fillId="2" borderId="6" xfId="0" applyFont="1" applyFill="1" applyBorder="1" applyProtection="1">
      <protection hidden="1"/>
    </xf>
    <xf numFmtId="0" fontId="10" fillId="2" borderId="5" xfId="0" applyFont="1" applyFill="1" applyBorder="1" applyAlignment="1" applyProtection="1">
      <alignment horizontal="right"/>
      <protection hidden="1"/>
    </xf>
    <xf numFmtId="0" fontId="10" fillId="2" borderId="5" xfId="0" applyFont="1" applyFill="1" applyBorder="1" applyProtection="1">
      <protection hidden="1"/>
    </xf>
    <xf numFmtId="0" fontId="10" fillId="2" borderId="0" xfId="0" applyFont="1" applyFill="1" applyProtection="1">
      <protection hidden="1"/>
    </xf>
    <xf numFmtId="0" fontId="0" fillId="2" borderId="8" xfId="0" applyFill="1" applyBorder="1" applyProtection="1">
      <protection hidden="1"/>
    </xf>
    <xf numFmtId="0" fontId="10" fillId="2" borderId="1" xfId="0" applyFont="1" applyFill="1" applyBorder="1" applyProtection="1">
      <protection hidden="1"/>
    </xf>
    <xf numFmtId="0" fontId="10" fillId="2" borderId="0" xfId="0" applyFont="1" applyFill="1" applyAlignment="1" applyProtection="1">
      <alignment horizontal="left"/>
      <protection hidden="1"/>
    </xf>
    <xf numFmtId="0" fontId="10" fillId="2" borderId="3" xfId="0" applyFont="1" applyFill="1" applyBorder="1" applyProtection="1">
      <protection hidden="1"/>
    </xf>
    <xf numFmtId="0" fontId="14" fillId="2" borderId="0" xfId="0" applyFont="1" applyFill="1" applyProtection="1">
      <protection hidden="1"/>
    </xf>
    <xf numFmtId="0" fontId="0" fillId="2" borderId="5" xfId="0" applyFill="1" applyBorder="1" applyProtection="1">
      <protection hidden="1"/>
    </xf>
    <xf numFmtId="0" fontId="10" fillId="2" borderId="9" xfId="0" applyFont="1" applyFill="1" applyBorder="1" applyProtection="1">
      <protection hidden="1"/>
    </xf>
    <xf numFmtId="0" fontId="6" fillId="2" borderId="0" xfId="0" applyFont="1" applyFill="1" applyProtection="1">
      <protection hidden="1"/>
    </xf>
    <xf numFmtId="0" fontId="6" fillId="2" borderId="0" xfId="0" applyFont="1" applyFill="1" applyAlignment="1" applyProtection="1">
      <alignment horizontal="right"/>
      <protection hidden="1"/>
    </xf>
    <xf numFmtId="0" fontId="3" fillId="2" borderId="0" xfId="0" applyFont="1" applyFill="1" applyAlignment="1" applyProtection="1">
      <alignment horizontal="center"/>
      <protection hidden="1"/>
    </xf>
    <xf numFmtId="0" fontId="0" fillId="2" borderId="1" xfId="0" applyFill="1" applyBorder="1" applyProtection="1">
      <protection hidden="1"/>
    </xf>
    <xf numFmtId="0" fontId="0" fillId="0" borderId="0" xfId="0" applyProtection="1">
      <protection hidden="1"/>
    </xf>
    <xf numFmtId="0" fontId="0" fillId="2" borderId="10" xfId="0" applyFill="1" applyBorder="1" applyProtection="1">
      <protection hidden="1"/>
    </xf>
    <xf numFmtId="0" fontId="7" fillId="2" borderId="5" xfId="0" applyFont="1" applyFill="1" applyBorder="1" applyProtection="1">
      <protection hidden="1"/>
    </xf>
    <xf numFmtId="0" fontId="17" fillId="2" borderId="0" xfId="0" applyFont="1" applyFill="1" applyProtection="1">
      <protection hidden="1"/>
    </xf>
    <xf numFmtId="0" fontId="0" fillId="2" borderId="12" xfId="0" applyFill="1" applyBorder="1" applyProtection="1">
      <protection hidden="1"/>
    </xf>
    <xf numFmtId="0" fontId="10" fillId="5" borderId="0" xfId="0" applyFont="1" applyFill="1" applyProtection="1">
      <protection hidden="1"/>
    </xf>
    <xf numFmtId="0" fontId="6" fillId="2" borderId="0" xfId="0" applyFont="1" applyFill="1" applyAlignment="1" applyProtection="1">
      <alignment horizontal="center"/>
      <protection hidden="1"/>
    </xf>
    <xf numFmtId="0" fontId="5" fillId="2" borderId="0" xfId="0" applyFont="1" applyFill="1" applyAlignment="1" applyProtection="1">
      <alignment horizontal="left"/>
      <protection hidden="1"/>
    </xf>
    <xf numFmtId="0" fontId="0" fillId="2" borderId="0" xfId="0" applyFill="1" applyAlignment="1" applyProtection="1">
      <alignment horizontal="left"/>
      <protection hidden="1"/>
    </xf>
    <xf numFmtId="0" fontId="25" fillId="2" borderId="0" xfId="0" applyFont="1" applyFill="1" applyAlignment="1" applyProtection="1">
      <alignment horizontal="right"/>
      <protection hidden="1"/>
    </xf>
    <xf numFmtId="0" fontId="0" fillId="2" borderId="15" xfId="0" applyFill="1" applyBorder="1" applyProtection="1">
      <protection hidden="1"/>
    </xf>
    <xf numFmtId="0" fontId="0" fillId="2" borderId="16" xfId="0" applyFill="1" applyBorder="1" applyProtection="1">
      <protection hidden="1"/>
    </xf>
    <xf numFmtId="0" fontId="0" fillId="2" borderId="9" xfId="0" applyFill="1" applyBorder="1" applyProtection="1">
      <protection hidden="1"/>
    </xf>
    <xf numFmtId="0" fontId="0" fillId="2" borderId="6" xfId="0" applyFill="1" applyBorder="1" applyProtection="1">
      <protection hidden="1"/>
    </xf>
    <xf numFmtId="0" fontId="7" fillId="2" borderId="0" xfId="0" applyFont="1" applyFill="1" applyProtection="1">
      <protection hidden="1"/>
    </xf>
    <xf numFmtId="4" fontId="0" fillId="3" borderId="17" xfId="0" applyNumberFormat="1" applyFill="1" applyBorder="1" applyProtection="1">
      <protection hidden="1"/>
    </xf>
    <xf numFmtId="0" fontId="0" fillId="3" borderId="17" xfId="0" applyFill="1" applyBorder="1" applyProtection="1">
      <protection hidden="1"/>
    </xf>
    <xf numFmtId="40" fontId="0" fillId="2" borderId="0" xfId="0" applyNumberFormat="1" applyFill="1" applyProtection="1">
      <protection hidden="1"/>
    </xf>
    <xf numFmtId="164" fontId="6" fillId="2" borderId="8" xfId="0" applyNumberFormat="1" applyFont="1" applyFill="1" applyBorder="1" applyProtection="1">
      <protection hidden="1"/>
    </xf>
    <xf numFmtId="40" fontId="0" fillId="2" borderId="8" xfId="0" applyNumberFormat="1" applyFill="1" applyBorder="1" applyProtection="1">
      <protection hidden="1"/>
    </xf>
    <xf numFmtId="40" fontId="0" fillId="2" borderId="20" xfId="0" applyNumberFormat="1" applyFill="1" applyBorder="1" applyProtection="1">
      <protection hidden="1"/>
    </xf>
    <xf numFmtId="164" fontId="6" fillId="2" borderId="6" xfId="0" applyNumberFormat="1" applyFont="1" applyFill="1" applyBorder="1" applyAlignment="1" applyProtection="1">
      <alignment vertical="top"/>
      <protection hidden="1"/>
    </xf>
    <xf numFmtId="164" fontId="6" fillId="2" borderId="0" xfId="0" applyNumberFormat="1" applyFont="1" applyFill="1" applyProtection="1">
      <protection hidden="1"/>
    </xf>
    <xf numFmtId="164" fontId="6" fillId="2" borderId="0" xfId="0" quotePrefix="1" applyNumberFormat="1" applyFont="1" applyFill="1" applyProtection="1">
      <protection hidden="1"/>
    </xf>
    <xf numFmtId="40" fontId="0" fillId="2" borderId="21" xfId="0" applyNumberFormat="1" applyFill="1" applyBorder="1" applyProtection="1">
      <protection hidden="1"/>
    </xf>
    <xf numFmtId="0" fontId="20" fillId="2" borderId="0" xfId="0" applyFont="1" applyFill="1" applyProtection="1">
      <protection hidden="1"/>
    </xf>
    <xf numFmtId="40" fontId="3" fillId="2" borderId="0" xfId="0" applyNumberFormat="1" applyFont="1" applyFill="1" applyProtection="1">
      <protection hidden="1"/>
    </xf>
    <xf numFmtId="40" fontId="3" fillId="2" borderId="0" xfId="0" applyNumberFormat="1" applyFont="1" applyFill="1" applyAlignment="1" applyProtection="1">
      <alignment horizontal="right"/>
      <protection hidden="1"/>
    </xf>
    <xf numFmtId="0" fontId="5" fillId="2" borderId="0" xfId="0" applyFont="1" applyFill="1" applyProtection="1">
      <protection hidden="1"/>
    </xf>
    <xf numFmtId="164" fontId="6" fillId="2" borderId="0" xfId="0" applyNumberFormat="1" applyFont="1" applyFill="1" applyAlignment="1" applyProtection="1">
      <alignment horizontal="right"/>
      <protection hidden="1"/>
    </xf>
    <xf numFmtId="40" fontId="0" fillId="2" borderId="0" xfId="0" applyNumberFormat="1" applyFill="1" applyAlignment="1" applyProtection="1">
      <alignment horizontal="right"/>
      <protection hidden="1"/>
    </xf>
    <xf numFmtId="164" fontId="6" fillId="2" borderId="22" xfId="0" applyNumberFormat="1" applyFont="1" applyFill="1" applyBorder="1" applyAlignment="1" applyProtection="1">
      <alignment vertical="top"/>
      <protection hidden="1"/>
    </xf>
    <xf numFmtId="40" fontId="0" fillId="2" borderId="5" xfId="0" applyNumberFormat="1" applyFill="1" applyBorder="1" applyProtection="1">
      <protection hidden="1"/>
    </xf>
    <xf numFmtId="164" fontId="6" fillId="2" borderId="5" xfId="0" applyNumberFormat="1" applyFont="1" applyFill="1" applyBorder="1" applyProtection="1">
      <protection hidden="1"/>
    </xf>
    <xf numFmtId="40" fontId="0" fillId="2" borderId="23" xfId="0" applyNumberFormat="1" applyFill="1" applyBorder="1" applyProtection="1">
      <protection hidden="1"/>
    </xf>
    <xf numFmtId="0" fontId="3" fillId="5" borderId="0" xfId="0" applyFont="1" applyFill="1" applyAlignment="1" applyProtection="1">
      <alignment horizontal="right"/>
      <protection hidden="1"/>
    </xf>
    <xf numFmtId="0" fontId="0" fillId="5" borderId="0" xfId="0" applyFill="1" applyProtection="1">
      <protection hidden="1"/>
    </xf>
    <xf numFmtId="0" fontId="0" fillId="6" borderId="0" xfId="0" applyFill="1" applyProtection="1">
      <protection hidden="1"/>
    </xf>
    <xf numFmtId="0" fontId="6" fillId="5" borderId="0" xfId="0" applyFont="1" applyFill="1" applyAlignment="1" applyProtection="1">
      <alignment horizontal="right"/>
      <protection hidden="1"/>
    </xf>
    <xf numFmtId="1" fontId="3" fillId="5" borderId="0" xfId="0" applyNumberFormat="1" applyFont="1" applyFill="1" applyProtection="1">
      <protection hidden="1"/>
    </xf>
    <xf numFmtId="1" fontId="5" fillId="5" borderId="0" xfId="0" applyNumberFormat="1" applyFont="1" applyFill="1" applyAlignment="1" applyProtection="1">
      <alignment horizontal="right"/>
      <protection hidden="1"/>
    </xf>
    <xf numFmtId="1" fontId="25" fillId="5" borderId="0" xfId="0" applyNumberFormat="1" applyFont="1" applyFill="1" applyProtection="1">
      <protection hidden="1"/>
    </xf>
    <xf numFmtId="0" fontId="0" fillId="5" borderId="5" xfId="0" applyFill="1" applyBorder="1" applyProtection="1">
      <protection hidden="1"/>
    </xf>
    <xf numFmtId="0" fontId="0" fillId="2" borderId="0" xfId="0" applyFill="1" applyAlignment="1" applyProtection="1">
      <alignment wrapText="1"/>
      <protection hidden="1"/>
    </xf>
    <xf numFmtId="40" fontId="15" fillId="2" borderId="0" xfId="0" applyNumberFormat="1" applyFont="1" applyFill="1" applyAlignment="1" applyProtection="1">
      <alignment horizontal="right"/>
      <protection hidden="1"/>
    </xf>
    <xf numFmtId="40" fontId="23" fillId="2" borderId="0" xfId="0" applyNumberFormat="1" applyFont="1" applyFill="1" applyAlignment="1" applyProtection="1">
      <alignment horizontal="right"/>
      <protection hidden="1"/>
    </xf>
    <xf numFmtId="0" fontId="0" fillId="2" borderId="24" xfId="0" applyFill="1" applyBorder="1" applyProtection="1">
      <protection hidden="1"/>
    </xf>
    <xf numFmtId="0" fontId="0" fillId="2" borderId="22" xfId="0" applyFill="1" applyBorder="1" applyProtection="1">
      <protection hidden="1"/>
    </xf>
    <xf numFmtId="0" fontId="0" fillId="5" borderId="24" xfId="0" applyFill="1" applyBorder="1" applyProtection="1">
      <protection hidden="1"/>
    </xf>
    <xf numFmtId="0" fontId="0" fillId="5" borderId="8" xfId="0" applyFill="1" applyBorder="1" applyProtection="1">
      <protection hidden="1"/>
    </xf>
    <xf numFmtId="0" fontId="0" fillId="5" borderId="6" xfId="0" applyFill="1" applyBorder="1" applyProtection="1">
      <protection hidden="1"/>
    </xf>
    <xf numFmtId="0" fontId="10" fillId="5" borderId="0" xfId="0" applyFont="1" applyFill="1" applyAlignment="1" applyProtection="1">
      <alignment horizontal="center"/>
      <protection hidden="1"/>
    </xf>
    <xf numFmtId="0" fontId="0" fillId="5" borderId="22" xfId="0" applyFill="1" applyBorder="1" applyProtection="1">
      <protection hidden="1"/>
    </xf>
    <xf numFmtId="0" fontId="10" fillId="5" borderId="5" xfId="0" applyFont="1" applyFill="1" applyBorder="1" applyAlignment="1" applyProtection="1">
      <alignment horizontal="center"/>
      <protection hidden="1"/>
    </xf>
    <xf numFmtId="0" fontId="0" fillId="2" borderId="20" xfId="0" applyFill="1" applyBorder="1" applyProtection="1">
      <protection hidden="1"/>
    </xf>
    <xf numFmtId="0" fontId="0" fillId="2" borderId="21" xfId="0" applyFill="1" applyBorder="1" applyProtection="1">
      <protection hidden="1"/>
    </xf>
    <xf numFmtId="0" fontId="0" fillId="2" borderId="23" xfId="0" applyFill="1" applyBorder="1" applyProtection="1">
      <protection hidden="1"/>
    </xf>
    <xf numFmtId="0" fontId="26" fillId="2" borderId="0" xfId="0" applyFont="1" applyFill="1" applyProtection="1">
      <protection hidden="1"/>
    </xf>
    <xf numFmtId="0" fontId="0" fillId="2" borderId="0" xfId="0" applyFill="1" applyAlignment="1" applyProtection="1">
      <alignment vertical="top"/>
      <protection hidden="1"/>
    </xf>
    <xf numFmtId="40" fontId="0" fillId="2" borderId="1" xfId="0" applyNumberFormat="1" applyFill="1" applyBorder="1" applyProtection="1">
      <protection hidden="1"/>
    </xf>
    <xf numFmtId="40" fontId="0" fillId="2" borderId="0" xfId="0" applyNumberFormat="1" applyFill="1" applyAlignment="1" applyProtection="1">
      <alignment horizontal="center"/>
      <protection hidden="1"/>
    </xf>
    <xf numFmtId="40" fontId="21" fillId="2" borderId="0" xfId="0" applyNumberFormat="1" applyFont="1" applyFill="1" applyAlignment="1" applyProtection="1">
      <alignment horizontal="center"/>
      <protection hidden="1"/>
    </xf>
    <xf numFmtId="164" fontId="6" fillId="2" borderId="21" xfId="0" applyNumberFormat="1" applyFont="1" applyFill="1" applyBorder="1" applyProtection="1">
      <protection hidden="1"/>
    </xf>
    <xf numFmtId="40" fontId="28" fillId="2" borderId="0" xfId="0" applyNumberFormat="1" applyFont="1" applyFill="1" applyAlignment="1" applyProtection="1">
      <alignment horizontal="center"/>
      <protection hidden="1"/>
    </xf>
    <xf numFmtId="38" fontId="0" fillId="2" borderId="0" xfId="0" applyNumberFormat="1" applyFill="1" applyAlignment="1" applyProtection="1">
      <alignment horizontal="center"/>
      <protection hidden="1"/>
    </xf>
    <xf numFmtId="38" fontId="0" fillId="2" borderId="21" xfId="0" applyNumberFormat="1" applyFill="1" applyBorder="1" applyAlignment="1" applyProtection="1">
      <alignment horizontal="center"/>
      <protection hidden="1"/>
    </xf>
    <xf numFmtId="40" fontId="0" fillId="2" borderId="0" xfId="0" applyNumberFormat="1" applyFill="1" applyAlignment="1" applyProtection="1">
      <alignment horizontal="left"/>
      <protection hidden="1"/>
    </xf>
    <xf numFmtId="164" fontId="29" fillId="2" borderId="0" xfId="0" applyNumberFormat="1" applyFont="1" applyFill="1" applyProtection="1">
      <protection hidden="1"/>
    </xf>
    <xf numFmtId="40" fontId="0" fillId="2" borderId="6" xfId="0" applyNumberFormat="1" applyFill="1" applyBorder="1" applyAlignment="1" applyProtection="1">
      <alignment horizontal="left"/>
      <protection hidden="1"/>
    </xf>
    <xf numFmtId="40" fontId="21" fillId="2" borderId="6" xfId="0" applyNumberFormat="1" applyFont="1" applyFill="1" applyBorder="1" applyAlignment="1" applyProtection="1">
      <alignment horizontal="left"/>
      <protection hidden="1"/>
    </xf>
    <xf numFmtId="0" fontId="0" fillId="2" borderId="5" xfId="0" applyFill="1" applyBorder="1" applyAlignment="1" applyProtection="1">
      <alignment wrapText="1"/>
      <protection hidden="1"/>
    </xf>
    <xf numFmtId="0" fontId="27" fillId="2" borderId="1" xfId="0" applyFont="1" applyFill="1" applyBorder="1" applyProtection="1">
      <protection hidden="1"/>
    </xf>
    <xf numFmtId="0" fontId="26" fillId="2" borderId="1" xfId="0" applyFont="1" applyFill="1" applyBorder="1" applyProtection="1">
      <protection hidden="1"/>
    </xf>
    <xf numFmtId="0" fontId="16" fillId="2" borderId="1" xfId="0" applyFont="1" applyFill="1" applyBorder="1" applyProtection="1">
      <protection hidden="1"/>
    </xf>
    <xf numFmtId="40" fontId="21" fillId="2" borderId="21" xfId="0" applyNumberFormat="1" applyFont="1" applyFill="1" applyBorder="1" applyProtection="1">
      <protection hidden="1"/>
    </xf>
    <xf numFmtId="0" fontId="3" fillId="2" borderId="2" xfId="0" applyFont="1" applyFill="1" applyBorder="1" applyAlignment="1" applyProtection="1">
      <alignment horizontal="center"/>
      <protection hidden="1"/>
    </xf>
    <xf numFmtId="0" fontId="30" fillId="2" borderId="0" xfId="0" applyFont="1" applyFill="1" applyProtection="1">
      <protection hidden="1"/>
    </xf>
    <xf numFmtId="40" fontId="4" fillId="2" borderId="0" xfId="0" applyNumberFormat="1" applyFont="1" applyFill="1" applyAlignment="1" applyProtection="1">
      <alignment horizontal="left"/>
      <protection hidden="1"/>
    </xf>
    <xf numFmtId="0" fontId="26" fillId="2" borderId="1" xfId="0" applyFont="1" applyFill="1" applyBorder="1" applyAlignment="1" applyProtection="1">
      <alignment vertical="center"/>
      <protection hidden="1"/>
    </xf>
    <xf numFmtId="0" fontId="16" fillId="2" borderId="1" xfId="0" applyFont="1" applyFill="1" applyBorder="1" applyAlignment="1" applyProtection="1">
      <alignment vertical="center"/>
      <protection hidden="1"/>
    </xf>
    <xf numFmtId="0" fontId="0" fillId="2" borderId="0" xfId="0" applyFill="1" applyAlignment="1" applyProtection="1">
      <alignment vertical="center"/>
      <protection hidden="1"/>
    </xf>
    <xf numFmtId="164" fontId="6" fillId="2" borderId="0" xfId="0" applyNumberFormat="1" applyFont="1" applyFill="1" applyAlignment="1" applyProtection="1">
      <alignment horizontal="center"/>
      <protection hidden="1"/>
    </xf>
    <xf numFmtId="40" fontId="3" fillId="2" borderId="0" xfId="0" applyNumberFormat="1" applyFont="1" applyFill="1" applyAlignment="1" applyProtection="1">
      <alignment horizontal="center"/>
      <protection hidden="1"/>
    </xf>
    <xf numFmtId="40" fontId="3" fillId="2" borderId="21" xfId="0" applyNumberFormat="1" applyFont="1" applyFill="1" applyBorder="1" applyProtection="1">
      <protection hidden="1"/>
    </xf>
    <xf numFmtId="40" fontId="5" fillId="2" borderId="0" xfId="0" applyNumberFormat="1" applyFont="1" applyFill="1" applyProtection="1">
      <protection hidden="1"/>
    </xf>
    <xf numFmtId="164" fontId="6" fillId="2" borderId="0" xfId="0" applyNumberFormat="1" applyFont="1" applyFill="1" applyAlignment="1" applyProtection="1">
      <alignment vertical="top"/>
      <protection hidden="1"/>
    </xf>
    <xf numFmtId="4" fontId="0" fillId="2" borderId="0" xfId="0" applyNumberFormat="1" applyFill="1" applyProtection="1">
      <protection hidden="1"/>
    </xf>
    <xf numFmtId="40" fontId="5" fillId="2" borderId="0" xfId="0" applyNumberFormat="1" applyFont="1" applyFill="1" applyAlignment="1" applyProtection="1">
      <alignment horizontal="left"/>
      <protection hidden="1"/>
    </xf>
    <xf numFmtId="164" fontId="17" fillId="2" borderId="0" xfId="0" applyNumberFormat="1" applyFont="1" applyFill="1" applyProtection="1">
      <protection hidden="1"/>
    </xf>
    <xf numFmtId="164" fontId="6" fillId="2" borderId="5" xfId="0" applyNumberFormat="1" applyFont="1" applyFill="1" applyBorder="1" applyAlignment="1" applyProtection="1">
      <alignment vertical="top"/>
      <protection hidden="1"/>
    </xf>
    <xf numFmtId="0" fontId="16" fillId="2" borderId="0" xfId="0" applyFont="1" applyFill="1" applyProtection="1">
      <protection hidden="1"/>
    </xf>
    <xf numFmtId="0" fontId="0" fillId="2" borderId="0" xfId="0" applyFill="1" applyAlignment="1" applyProtection="1">
      <alignment horizontal="right"/>
      <protection hidden="1"/>
    </xf>
    <xf numFmtId="0" fontId="0" fillId="3" borderId="0" xfId="0" applyFill="1" applyProtection="1">
      <protection hidden="1"/>
    </xf>
    <xf numFmtId="4" fontId="0" fillId="3" borderId="0" xfId="0" applyNumberFormat="1" applyFill="1" applyProtection="1">
      <protection hidden="1"/>
    </xf>
    <xf numFmtId="0" fontId="19" fillId="3" borderId="0" xfId="0" applyFont="1" applyFill="1" applyAlignment="1" applyProtection="1">
      <alignment vertical="center"/>
      <protection hidden="1"/>
    </xf>
    <xf numFmtId="1" fontId="14" fillId="3" borderId="0" xfId="0" applyNumberFormat="1" applyFont="1" applyFill="1" applyAlignment="1" applyProtection="1">
      <alignment horizontal="left" vertical="center"/>
      <protection hidden="1"/>
    </xf>
    <xf numFmtId="0" fontId="0" fillId="3" borderId="1" xfId="0" applyFill="1" applyBorder="1" applyAlignment="1" applyProtection="1">
      <alignment vertical="center"/>
      <protection hidden="1"/>
    </xf>
    <xf numFmtId="0" fontId="9" fillId="3" borderId="0" xfId="0" applyFont="1" applyFill="1" applyAlignment="1" applyProtection="1">
      <alignment horizontal="left"/>
      <protection hidden="1"/>
    </xf>
    <xf numFmtId="0" fontId="13" fillId="3" borderId="0" xfId="0" applyFont="1" applyFill="1" applyProtection="1">
      <protection hidden="1"/>
    </xf>
    <xf numFmtId="4" fontId="9" fillId="3" borderId="0" xfId="0" applyNumberFormat="1" applyFont="1" applyFill="1" applyAlignment="1" applyProtection="1">
      <alignment horizontal="center"/>
      <protection hidden="1"/>
    </xf>
    <xf numFmtId="0" fontId="3" fillId="3" borderId="10" xfId="0" applyFont="1" applyFill="1" applyBorder="1" applyProtection="1">
      <protection hidden="1"/>
    </xf>
    <xf numFmtId="0" fontId="10" fillId="3" borderId="1" xfId="0" applyFont="1" applyFill="1" applyBorder="1" applyProtection="1">
      <protection hidden="1"/>
    </xf>
    <xf numFmtId="0" fontId="14" fillId="3" borderId="0" xfId="0" applyFont="1" applyFill="1" applyProtection="1">
      <protection hidden="1"/>
    </xf>
    <xf numFmtId="4" fontId="7" fillId="3" borderId="0" xfId="0" applyNumberFormat="1" applyFont="1" applyFill="1" applyProtection="1">
      <protection hidden="1"/>
    </xf>
    <xf numFmtId="0" fontId="13" fillId="3" borderId="1" xfId="0" applyFont="1" applyFill="1" applyBorder="1" applyProtection="1">
      <protection hidden="1"/>
    </xf>
    <xf numFmtId="0" fontId="3" fillId="0" borderId="0" xfId="0" applyFont="1" applyProtection="1">
      <protection hidden="1"/>
    </xf>
    <xf numFmtId="0" fontId="8" fillId="3" borderId="1" xfId="0" applyFont="1" applyFill="1" applyBorder="1" applyProtection="1">
      <protection hidden="1"/>
    </xf>
    <xf numFmtId="0" fontId="17" fillId="3" borderId="0" xfId="0" applyFont="1" applyFill="1" applyProtection="1">
      <protection hidden="1"/>
    </xf>
    <xf numFmtId="4" fontId="0" fillId="3" borderId="15" xfId="0" applyNumberFormat="1" applyFill="1" applyBorder="1" applyProtection="1">
      <protection hidden="1"/>
    </xf>
    <xf numFmtId="0" fontId="3" fillId="3" borderId="9" xfId="0" applyFont="1" applyFill="1" applyBorder="1" applyProtection="1">
      <protection hidden="1"/>
    </xf>
    <xf numFmtId="0" fontId="10" fillId="3" borderId="26" xfId="0" applyFont="1" applyFill="1" applyBorder="1" applyProtection="1">
      <protection hidden="1"/>
    </xf>
    <xf numFmtId="4" fontId="0" fillId="3" borderId="9" xfId="0" applyNumberFormat="1" applyFill="1" applyBorder="1" applyProtection="1">
      <protection hidden="1"/>
    </xf>
    <xf numFmtId="0" fontId="3" fillId="3" borderId="0" xfId="0" applyFont="1" applyFill="1" applyAlignment="1" applyProtection="1">
      <alignment horizontal="right"/>
      <protection hidden="1"/>
    </xf>
    <xf numFmtId="0" fontId="6" fillId="3" borderId="0" xfId="0" applyFont="1" applyFill="1" applyAlignment="1" applyProtection="1">
      <alignment horizontal="right"/>
      <protection hidden="1"/>
    </xf>
    <xf numFmtId="0" fontId="3" fillId="3" borderId="5" xfId="0" applyFont="1" applyFill="1" applyBorder="1" applyProtection="1">
      <protection hidden="1"/>
    </xf>
    <xf numFmtId="0" fontId="0" fillId="3" borderId="5" xfId="0" applyFill="1" applyBorder="1" applyProtection="1">
      <protection hidden="1"/>
    </xf>
    <xf numFmtId="0" fontId="10" fillId="3" borderId="5" xfId="0" applyFont="1" applyFill="1" applyBorder="1" applyProtection="1">
      <protection hidden="1"/>
    </xf>
    <xf numFmtId="0" fontId="8" fillId="3" borderId="8" xfId="0" applyFont="1" applyFill="1" applyBorder="1" applyProtection="1">
      <protection hidden="1"/>
    </xf>
    <xf numFmtId="0" fontId="3" fillId="3" borderId="8" xfId="0" applyFont="1" applyFill="1" applyBorder="1" applyProtection="1">
      <protection hidden="1"/>
    </xf>
    <xf numFmtId="0" fontId="8" fillId="3" borderId="0" xfId="0" applyFont="1" applyFill="1" applyProtection="1">
      <protection hidden="1"/>
    </xf>
    <xf numFmtId="0" fontId="8" fillId="3" borderId="0" xfId="0" applyFont="1" applyFill="1" applyAlignment="1" applyProtection="1">
      <alignment horizontal="center"/>
      <protection hidden="1"/>
    </xf>
    <xf numFmtId="0" fontId="8" fillId="3" borderId="0" xfId="0" applyFont="1" applyFill="1" applyAlignment="1" applyProtection="1">
      <alignment horizontal="left"/>
      <protection hidden="1"/>
    </xf>
    <xf numFmtId="0" fontId="7" fillId="3" borderId="0" xfId="0" applyFont="1" applyFill="1" applyProtection="1">
      <protection hidden="1"/>
    </xf>
    <xf numFmtId="1" fontId="23" fillId="3" borderId="0" xfId="0" applyNumberFormat="1" applyFont="1" applyFill="1" applyAlignment="1" applyProtection="1">
      <alignment horizontal="center"/>
      <protection hidden="1"/>
    </xf>
    <xf numFmtId="0" fontId="58" fillId="3" borderId="0" xfId="0" applyFont="1" applyFill="1" applyAlignment="1" applyProtection="1">
      <alignment vertical="center"/>
      <protection hidden="1"/>
    </xf>
    <xf numFmtId="0" fontId="8" fillId="3" borderId="21" xfId="0" applyFont="1" applyFill="1" applyBorder="1" applyProtection="1">
      <protection hidden="1"/>
    </xf>
    <xf numFmtId="4" fontId="0" fillId="3" borderId="25" xfId="0" applyNumberFormat="1" applyFill="1" applyBorder="1" applyProtection="1">
      <protection hidden="1"/>
    </xf>
    <xf numFmtId="0" fontId="11" fillId="3" borderId="0" xfId="0" applyFont="1" applyFill="1" applyProtection="1">
      <protection hidden="1"/>
    </xf>
    <xf numFmtId="0" fontId="8" fillId="3" borderId="3" xfId="0" applyFont="1" applyFill="1" applyBorder="1" applyProtection="1">
      <protection hidden="1"/>
    </xf>
    <xf numFmtId="0" fontId="11" fillId="3" borderId="1" xfId="0" applyFont="1" applyFill="1" applyBorder="1" applyProtection="1">
      <protection hidden="1"/>
    </xf>
    <xf numFmtId="0" fontId="9" fillId="3" borderId="0" xfId="0" applyFont="1" applyFill="1" applyAlignment="1" applyProtection="1">
      <alignment horizontal="right"/>
      <protection hidden="1"/>
    </xf>
    <xf numFmtId="0" fontId="15" fillId="3" borderId="26" xfId="0" applyFont="1" applyFill="1" applyBorder="1" applyProtection="1">
      <protection hidden="1"/>
    </xf>
    <xf numFmtId="0" fontId="18" fillId="3" borderId="26" xfId="0" applyFont="1" applyFill="1" applyBorder="1" applyProtection="1">
      <protection hidden="1"/>
    </xf>
    <xf numFmtId="0" fontId="53" fillId="3" borderId="26" xfId="0" applyFont="1" applyFill="1" applyBorder="1" applyProtection="1">
      <protection hidden="1"/>
    </xf>
    <xf numFmtId="4" fontId="53" fillId="3" borderId="26" xfId="0" applyNumberFormat="1" applyFont="1" applyFill="1" applyBorder="1" applyProtection="1">
      <protection hidden="1"/>
    </xf>
    <xf numFmtId="39" fontId="53" fillId="3" borderId="26" xfId="0" applyNumberFormat="1" applyFont="1" applyFill="1" applyBorder="1" applyProtection="1">
      <protection hidden="1"/>
    </xf>
    <xf numFmtId="0" fontId="21" fillId="3" borderId="0" xfId="0" applyFont="1" applyFill="1" applyAlignment="1" applyProtection="1">
      <alignment horizontal="left"/>
      <protection hidden="1"/>
    </xf>
    <xf numFmtId="0" fontId="11" fillId="3" borderId="0" xfId="0" applyFont="1" applyFill="1" applyAlignment="1" applyProtection="1">
      <alignment horizontal="center"/>
      <protection hidden="1"/>
    </xf>
    <xf numFmtId="4" fontId="11" fillId="3" borderId="0" xfId="0" applyNumberFormat="1" applyFont="1" applyFill="1" applyAlignment="1" applyProtection="1">
      <alignment horizontal="center"/>
      <protection hidden="1"/>
    </xf>
    <xf numFmtId="39" fontId="11" fillId="3" borderId="0" xfId="0" applyNumberFormat="1" applyFont="1" applyFill="1" applyAlignment="1" applyProtection="1">
      <alignment horizontal="center"/>
      <protection hidden="1"/>
    </xf>
    <xf numFmtId="0" fontId="9" fillId="3" borderId="10" xfId="0" applyFont="1" applyFill="1" applyBorder="1" applyAlignment="1" applyProtection="1">
      <alignment horizontal="center"/>
      <protection hidden="1"/>
    </xf>
    <xf numFmtId="0" fontId="11" fillId="3" borderId="0" xfId="0" applyFont="1" applyFill="1" applyAlignment="1" applyProtection="1">
      <alignment horizontal="left"/>
      <protection hidden="1"/>
    </xf>
    <xf numFmtId="39" fontId="11" fillId="3" borderId="0" xfId="0" applyNumberFormat="1" applyFont="1" applyFill="1" applyProtection="1">
      <protection hidden="1"/>
    </xf>
    <xf numFmtId="0" fontId="9" fillId="3" borderId="3" xfId="0" applyFont="1" applyFill="1" applyBorder="1" applyAlignment="1" applyProtection="1">
      <alignment horizontal="center"/>
      <protection hidden="1"/>
    </xf>
    <xf numFmtId="39" fontId="9" fillId="3" borderId="0" xfId="0" applyNumberFormat="1" applyFont="1" applyFill="1" applyProtection="1">
      <protection hidden="1"/>
    </xf>
    <xf numFmtId="0" fontId="11" fillId="3" borderId="0" xfId="0" applyFont="1" applyFill="1" applyAlignment="1" applyProtection="1">
      <alignment horizontal="right"/>
      <protection hidden="1"/>
    </xf>
    <xf numFmtId="4" fontId="11" fillId="3" borderId="0" xfId="0" applyNumberFormat="1" applyFont="1" applyFill="1" applyProtection="1">
      <protection hidden="1"/>
    </xf>
    <xf numFmtId="0" fontId="11" fillId="3" borderId="3" xfId="0" applyFont="1" applyFill="1" applyBorder="1" applyAlignment="1" applyProtection="1">
      <alignment horizontal="center"/>
      <protection hidden="1"/>
    </xf>
    <xf numFmtId="0" fontId="9" fillId="3" borderId="0" xfId="0" applyFont="1" applyFill="1" applyProtection="1">
      <protection hidden="1"/>
    </xf>
    <xf numFmtId="0" fontId="21" fillId="3" borderId="0" xfId="0" applyFont="1" applyFill="1" applyProtection="1">
      <protection hidden="1"/>
    </xf>
    <xf numFmtId="4" fontId="21" fillId="3" borderId="0" xfId="0" applyNumberFormat="1" applyFont="1" applyFill="1" applyAlignment="1" applyProtection="1">
      <alignment horizontal="left"/>
      <protection hidden="1"/>
    </xf>
    <xf numFmtId="4" fontId="21" fillId="3" borderId="0" xfId="0" applyNumberFormat="1" applyFont="1" applyFill="1" applyProtection="1">
      <protection hidden="1"/>
    </xf>
    <xf numFmtId="39" fontId="21" fillId="3" borderId="0" xfId="0" applyNumberFormat="1" applyFont="1" applyFill="1" applyProtection="1">
      <protection hidden="1"/>
    </xf>
    <xf numFmtId="0" fontId="21" fillId="3" borderId="0" xfId="0" applyFont="1" applyFill="1" applyAlignment="1" applyProtection="1">
      <alignment horizontal="center"/>
      <protection hidden="1"/>
    </xf>
    <xf numFmtId="0" fontId="21" fillId="3" borderId="0" xfId="0" applyFont="1" applyFill="1" applyAlignment="1" applyProtection="1">
      <alignment horizontal="right"/>
      <protection hidden="1"/>
    </xf>
    <xf numFmtId="0" fontId="54" fillId="3" borderId="0" xfId="0" applyFont="1" applyFill="1" applyProtection="1">
      <protection hidden="1"/>
    </xf>
    <xf numFmtId="0" fontId="9" fillId="3" borderId="0" xfId="0" applyFont="1" applyFill="1" applyAlignment="1" applyProtection="1">
      <alignment horizontal="center"/>
      <protection hidden="1"/>
    </xf>
    <xf numFmtId="4" fontId="19" fillId="3" borderId="0" xfId="0" applyNumberFormat="1" applyFont="1" applyFill="1" applyAlignment="1" applyProtection="1">
      <alignment horizontal="left"/>
      <protection hidden="1"/>
    </xf>
    <xf numFmtId="0" fontId="19" fillId="3" borderId="6" xfId="0" applyFont="1" applyFill="1" applyBorder="1" applyAlignment="1" applyProtection="1">
      <alignment horizontal="left"/>
      <protection hidden="1"/>
    </xf>
    <xf numFmtId="0" fontId="54" fillId="3" borderId="5" xfId="0" applyFont="1" applyFill="1" applyBorder="1" applyProtection="1">
      <protection hidden="1"/>
    </xf>
    <xf numFmtId="0" fontId="11" fillId="3" borderId="5" xfId="0" applyFont="1" applyFill="1" applyBorder="1" applyProtection="1">
      <protection hidden="1"/>
    </xf>
    <xf numFmtId="0" fontId="11" fillId="3" borderId="5" xfId="0" applyFont="1" applyFill="1" applyBorder="1" applyAlignment="1" applyProtection="1">
      <alignment horizontal="center"/>
      <protection hidden="1"/>
    </xf>
    <xf numFmtId="4" fontId="11" fillId="3" borderId="5" xfId="0" applyNumberFormat="1" applyFont="1" applyFill="1" applyBorder="1" applyProtection="1">
      <protection hidden="1"/>
    </xf>
    <xf numFmtId="39" fontId="11" fillId="3" borderId="5" xfId="0" applyNumberFormat="1" applyFont="1" applyFill="1" applyBorder="1" applyProtection="1">
      <protection hidden="1"/>
    </xf>
    <xf numFmtId="0" fontId="19" fillId="3" borderId="5" xfId="0" applyFont="1" applyFill="1" applyBorder="1" applyAlignment="1" applyProtection="1">
      <alignment horizontal="left"/>
      <protection hidden="1"/>
    </xf>
    <xf numFmtId="0" fontId="9" fillId="3" borderId="5" xfId="0" applyFont="1" applyFill="1" applyBorder="1" applyAlignment="1" applyProtection="1">
      <alignment horizontal="center"/>
      <protection hidden="1"/>
    </xf>
    <xf numFmtId="39" fontId="11" fillId="3" borderId="0" xfId="0" applyNumberFormat="1" applyFont="1" applyFill="1" applyAlignment="1" applyProtection="1">
      <alignment horizontal="right"/>
      <protection hidden="1"/>
    </xf>
    <xf numFmtId="39" fontId="7" fillId="3" borderId="0" xfId="0" applyNumberFormat="1" applyFont="1" applyFill="1" applyAlignment="1" applyProtection="1">
      <alignment horizontal="right"/>
      <protection hidden="1"/>
    </xf>
    <xf numFmtId="39" fontId="12" fillId="3" borderId="0" xfId="0" applyNumberFormat="1" applyFont="1" applyFill="1" applyAlignment="1" applyProtection="1">
      <alignment horizontal="left"/>
      <protection hidden="1"/>
    </xf>
    <xf numFmtId="0" fontId="53" fillId="3" borderId="28" xfId="0" applyFont="1" applyFill="1" applyBorder="1" applyProtection="1">
      <protection hidden="1"/>
    </xf>
    <xf numFmtId="39" fontId="22" fillId="3" borderId="0" xfId="0" applyNumberFormat="1" applyFont="1" applyFill="1" applyProtection="1">
      <protection hidden="1"/>
    </xf>
    <xf numFmtId="0" fontId="53" fillId="3" borderId="8" xfId="0" applyFont="1" applyFill="1" applyBorder="1" applyProtection="1">
      <protection hidden="1"/>
    </xf>
    <xf numFmtId="39" fontId="53" fillId="3" borderId="0" xfId="0" applyNumberFormat="1" applyFont="1" applyFill="1" applyProtection="1">
      <protection hidden="1"/>
    </xf>
    <xf numFmtId="39" fontId="21" fillId="3" borderId="1" xfId="0" applyNumberFormat="1" applyFont="1" applyFill="1" applyBorder="1" applyProtection="1">
      <protection hidden="1"/>
    </xf>
    <xf numFmtId="39" fontId="11" fillId="3" borderId="1" xfId="0" applyNumberFormat="1" applyFont="1" applyFill="1" applyBorder="1" applyProtection="1">
      <protection hidden="1"/>
    </xf>
    <xf numFmtId="39" fontId="9" fillId="3" borderId="0" xfId="0" applyNumberFormat="1" applyFont="1" applyFill="1" applyAlignment="1" applyProtection="1">
      <alignment horizontal="right"/>
      <protection hidden="1"/>
    </xf>
    <xf numFmtId="0" fontId="3" fillId="3" borderId="0" xfId="0" applyFont="1" applyFill="1" applyAlignment="1" applyProtection="1">
      <alignment horizontal="left"/>
      <protection hidden="1"/>
    </xf>
    <xf numFmtId="39" fontId="6" fillId="3" borderId="0" xfId="0" applyNumberFormat="1" applyFont="1" applyFill="1" applyProtection="1">
      <protection hidden="1"/>
    </xf>
    <xf numFmtId="39" fontId="9" fillId="3" borderId="5" xfId="0" applyNumberFormat="1" applyFont="1" applyFill="1" applyBorder="1" applyProtection="1">
      <protection hidden="1"/>
    </xf>
    <xf numFmtId="39" fontId="6" fillId="3" borderId="5" xfId="0" applyNumberFormat="1" applyFont="1" applyFill="1" applyBorder="1" applyProtection="1">
      <protection hidden="1"/>
    </xf>
    <xf numFmtId="0" fontId="9" fillId="3" borderId="29" xfId="0" applyFont="1" applyFill="1" applyBorder="1" applyAlignment="1" applyProtection="1">
      <alignment horizontal="center"/>
      <protection hidden="1"/>
    </xf>
    <xf numFmtId="0" fontId="18" fillId="3" borderId="1" xfId="0" applyFont="1" applyFill="1" applyBorder="1" applyProtection="1">
      <protection hidden="1"/>
    </xf>
    <xf numFmtId="0" fontId="0" fillId="3" borderId="0" xfId="0" applyFill="1" applyAlignment="1" applyProtection="1">
      <alignment horizontal="center"/>
      <protection hidden="1"/>
    </xf>
    <xf numFmtId="0" fontId="3" fillId="3" borderId="3" xfId="0" applyFont="1" applyFill="1" applyBorder="1" applyAlignment="1" applyProtection="1">
      <alignment horizontal="right"/>
      <protection hidden="1"/>
    </xf>
    <xf numFmtId="4" fontId="10" fillId="3" borderId="0" xfId="0" applyNumberFormat="1" applyFont="1" applyFill="1" applyProtection="1">
      <protection hidden="1"/>
    </xf>
    <xf numFmtId="4" fontId="13" fillId="3" borderId="0" xfId="0" applyNumberFormat="1" applyFont="1" applyFill="1" applyProtection="1">
      <protection hidden="1"/>
    </xf>
    <xf numFmtId="4" fontId="14" fillId="3" borderId="0" xfId="0" applyNumberFormat="1" applyFont="1" applyFill="1" applyProtection="1">
      <protection hidden="1"/>
    </xf>
    <xf numFmtId="4" fontId="13" fillId="3" borderId="1" xfId="0" applyNumberFormat="1" applyFont="1" applyFill="1" applyBorder="1" applyProtection="1">
      <protection hidden="1"/>
    </xf>
    <xf numFmtId="0" fontId="10" fillId="3" borderId="0" xfId="0" applyFont="1" applyFill="1" applyAlignment="1" applyProtection="1">
      <alignment horizontal="left"/>
      <protection hidden="1"/>
    </xf>
    <xf numFmtId="4" fontId="10" fillId="3" borderId="0" xfId="0" applyNumberFormat="1" applyFont="1" applyFill="1" applyAlignment="1" applyProtection="1">
      <alignment horizontal="left"/>
      <protection hidden="1"/>
    </xf>
    <xf numFmtId="4" fontId="17" fillId="3" borderId="25" xfId="0" applyNumberFormat="1" applyFont="1" applyFill="1" applyBorder="1" applyAlignment="1" applyProtection="1">
      <alignment horizontal="center"/>
      <protection hidden="1"/>
    </xf>
    <xf numFmtId="0" fontId="6" fillId="3" borderId="3" xfId="0" applyFont="1" applyFill="1" applyBorder="1" applyAlignment="1" applyProtection="1">
      <alignment horizontal="right"/>
      <protection hidden="1"/>
    </xf>
    <xf numFmtId="4" fontId="13" fillId="3" borderId="0" xfId="0" applyNumberFormat="1" applyFont="1" applyFill="1" applyAlignment="1" applyProtection="1">
      <alignment horizontal="left"/>
      <protection hidden="1"/>
    </xf>
    <xf numFmtId="0" fontId="10" fillId="0" borderId="0" xfId="0" applyFont="1" applyProtection="1">
      <protection hidden="1"/>
    </xf>
    <xf numFmtId="0" fontId="6" fillId="0" borderId="0" xfId="0" applyFont="1" applyProtection="1">
      <protection hidden="1"/>
    </xf>
    <xf numFmtId="0" fontId="21" fillId="0" borderId="0" xfId="0" applyFont="1"/>
    <xf numFmtId="0" fontId="21" fillId="5" borderId="0" xfId="0" applyFont="1" applyFill="1"/>
    <xf numFmtId="40" fontId="25" fillId="2" borderId="0" xfId="0" applyNumberFormat="1" applyFont="1" applyFill="1" applyProtection="1">
      <protection hidden="1"/>
    </xf>
    <xf numFmtId="4" fontId="10" fillId="7" borderId="0" xfId="0" applyNumberFormat="1" applyFont="1" applyFill="1" applyProtection="1">
      <protection hidden="1"/>
    </xf>
    <xf numFmtId="1" fontId="6" fillId="7" borderId="16" xfId="0" applyNumberFormat="1" applyFont="1" applyFill="1" applyBorder="1" applyAlignment="1" applyProtection="1">
      <alignment horizontal="right"/>
      <protection hidden="1"/>
    </xf>
    <xf numFmtId="1" fontId="6" fillId="7" borderId="7" xfId="0" applyNumberFormat="1" applyFont="1" applyFill="1" applyBorder="1" applyAlignment="1" applyProtection="1">
      <alignment horizontal="right"/>
      <protection hidden="1"/>
    </xf>
    <xf numFmtId="0" fontId="15" fillId="3" borderId="0" xfId="0" applyFont="1" applyFill="1" applyAlignment="1" applyProtection="1">
      <alignment horizontal="left"/>
      <protection hidden="1"/>
    </xf>
    <xf numFmtId="0" fontId="0" fillId="3" borderId="8" xfId="0" applyFill="1" applyBorder="1" applyProtection="1">
      <protection hidden="1"/>
    </xf>
    <xf numFmtId="0" fontId="0" fillId="3" borderId="20" xfId="0" applyFill="1" applyBorder="1" applyProtection="1">
      <protection hidden="1"/>
    </xf>
    <xf numFmtId="0" fontId="3" fillId="3" borderId="0" xfId="0" applyFont="1" applyFill="1" applyAlignment="1" applyProtection="1">
      <alignment horizontal="center"/>
      <protection hidden="1"/>
    </xf>
    <xf numFmtId="0" fontId="13" fillId="3" borderId="5" xfId="0" applyFont="1" applyFill="1" applyBorder="1" applyProtection="1">
      <protection hidden="1"/>
    </xf>
    <xf numFmtId="0" fontId="8" fillId="3" borderId="5" xfId="0" applyFont="1" applyFill="1" applyBorder="1" applyProtection="1">
      <protection hidden="1"/>
    </xf>
    <xf numFmtId="0" fontId="3" fillId="3" borderId="11" xfId="0" applyFont="1" applyFill="1" applyBorder="1" applyAlignment="1" applyProtection="1">
      <alignment horizontal="right"/>
      <protection hidden="1"/>
    </xf>
    <xf numFmtId="0" fontId="7" fillId="3" borderId="1" xfId="0" applyFont="1" applyFill="1" applyBorder="1" applyProtection="1">
      <protection hidden="1"/>
    </xf>
    <xf numFmtId="4" fontId="10" fillId="3" borderId="0" xfId="0" applyNumberFormat="1" applyFont="1" applyFill="1" applyAlignment="1" applyProtection="1">
      <alignment horizontal="right"/>
      <protection hidden="1"/>
    </xf>
    <xf numFmtId="0" fontId="41" fillId="3" borderId="0" xfId="0" applyFont="1" applyFill="1" applyProtection="1">
      <protection hidden="1"/>
    </xf>
    <xf numFmtId="1" fontId="17" fillId="3" borderId="0" xfId="0" applyNumberFormat="1" applyFont="1" applyFill="1" applyAlignment="1" applyProtection="1">
      <alignment horizontal="center"/>
      <protection hidden="1"/>
    </xf>
    <xf numFmtId="1" fontId="23" fillId="3" borderId="0" xfId="0" applyNumberFormat="1" applyFont="1" applyFill="1" applyAlignment="1" applyProtection="1">
      <alignment horizontal="left"/>
      <protection hidden="1"/>
    </xf>
    <xf numFmtId="4" fontId="13" fillId="3" borderId="0" xfId="0" applyNumberFormat="1" applyFont="1" applyFill="1" applyAlignment="1" applyProtection="1">
      <alignment horizontal="right"/>
      <protection hidden="1"/>
    </xf>
    <xf numFmtId="39" fontId="61" fillId="3" borderId="0" xfId="0" applyNumberFormat="1" applyFont="1" applyFill="1" applyProtection="1">
      <protection hidden="1"/>
    </xf>
    <xf numFmtId="39" fontId="10" fillId="3" borderId="0" xfId="0" applyNumberFormat="1" applyFont="1" applyFill="1" applyAlignment="1" applyProtection="1">
      <alignment horizontal="right"/>
      <protection hidden="1"/>
    </xf>
    <xf numFmtId="39" fontId="21" fillId="3" borderId="0" xfId="0" applyNumberFormat="1" applyFont="1" applyFill="1" applyAlignment="1" applyProtection="1">
      <alignment horizontal="right"/>
      <protection hidden="1"/>
    </xf>
    <xf numFmtId="39" fontId="33" fillId="3" borderId="0" xfId="0" applyNumberFormat="1" applyFont="1" applyFill="1" applyAlignment="1" applyProtection="1">
      <alignment horizontal="right"/>
      <protection hidden="1"/>
    </xf>
    <xf numFmtId="4" fontId="7" fillId="0" borderId="0" xfId="0" applyNumberFormat="1" applyFont="1" applyProtection="1">
      <protection hidden="1"/>
    </xf>
    <xf numFmtId="0" fontId="7" fillId="0" borderId="0" xfId="0" applyFont="1" applyProtection="1">
      <protection hidden="1"/>
    </xf>
    <xf numFmtId="0" fontId="53" fillId="0" borderId="0" xfId="0" applyFont="1" applyProtection="1">
      <protection hidden="1"/>
    </xf>
    <xf numFmtId="0" fontId="10" fillId="0" borderId="0" xfId="0" applyFont="1" applyAlignment="1" applyProtection="1">
      <alignment horizontal="center"/>
      <protection hidden="1"/>
    </xf>
    <xf numFmtId="0" fontId="17" fillId="0" borderId="0" xfId="0" applyFont="1" applyProtection="1">
      <protection hidden="1"/>
    </xf>
    <xf numFmtId="0" fontId="13" fillId="3" borderId="8" xfId="0" applyFont="1" applyFill="1" applyBorder="1" applyProtection="1">
      <protection hidden="1"/>
    </xf>
    <xf numFmtId="4" fontId="0" fillId="0" borderId="0" xfId="0" applyNumberFormat="1" applyProtection="1">
      <protection hidden="1"/>
    </xf>
    <xf numFmtId="0" fontId="10" fillId="2" borderId="21" xfId="0" applyFont="1" applyFill="1" applyBorder="1" applyProtection="1">
      <protection hidden="1"/>
    </xf>
    <xf numFmtId="0" fontId="21" fillId="2" borderId="0" xfId="0" applyFont="1" applyFill="1" applyProtection="1">
      <protection hidden="1"/>
    </xf>
    <xf numFmtId="0" fontId="6" fillId="2" borderId="2" xfId="0" applyFont="1" applyFill="1" applyBorder="1" applyAlignment="1" applyProtection="1">
      <alignment horizontal="center"/>
      <protection hidden="1"/>
    </xf>
    <xf numFmtId="0" fontId="0" fillId="0" borderId="0" xfId="0" applyAlignment="1">
      <alignment horizontal="center"/>
    </xf>
    <xf numFmtId="39" fontId="7" fillId="3" borderId="16" xfId="0" applyNumberFormat="1" applyFont="1" applyFill="1" applyBorder="1" applyProtection="1">
      <protection hidden="1"/>
    </xf>
    <xf numFmtId="0" fontId="7" fillId="3" borderId="0" xfId="0" applyFont="1" applyFill="1" applyAlignment="1" applyProtection="1">
      <alignment wrapText="1"/>
      <protection hidden="1"/>
    </xf>
    <xf numFmtId="0" fontId="7" fillId="3" borderId="0" xfId="0" applyFont="1" applyFill="1" applyAlignment="1" applyProtection="1">
      <alignment horizontal="left"/>
      <protection hidden="1"/>
    </xf>
    <xf numFmtId="4" fontId="8" fillId="3" borderId="8" xfId="0" applyNumberFormat="1" applyFont="1" applyFill="1" applyBorder="1" applyAlignment="1" applyProtection="1">
      <alignment horizontal="right"/>
      <protection hidden="1"/>
    </xf>
    <xf numFmtId="0" fontId="23" fillId="3" borderId="0" xfId="0" applyFont="1" applyFill="1" applyAlignment="1" applyProtection="1">
      <alignment horizontal="left"/>
      <protection hidden="1"/>
    </xf>
    <xf numFmtId="0" fontId="6" fillId="3" borderId="0" xfId="0" applyFont="1" applyFill="1" applyProtection="1">
      <protection hidden="1"/>
    </xf>
    <xf numFmtId="0" fontId="7" fillId="6" borderId="0" xfId="0" applyFont="1" applyFill="1" applyProtection="1">
      <protection hidden="1"/>
    </xf>
    <xf numFmtId="0" fontId="8" fillId="2" borderId="0" xfId="0" applyFont="1" applyFill="1" applyProtection="1">
      <protection hidden="1"/>
    </xf>
    <xf numFmtId="0" fontId="7" fillId="2" borderId="1" xfId="0" applyFont="1" applyFill="1" applyBorder="1" applyProtection="1">
      <protection hidden="1"/>
    </xf>
    <xf numFmtId="0" fontId="7" fillId="2" borderId="0" xfId="0" applyFont="1" applyFill="1" applyAlignment="1" applyProtection="1">
      <alignment horizontal="left"/>
      <protection hidden="1"/>
    </xf>
    <xf numFmtId="0" fontId="8" fillId="2" borderId="0" xfId="0" applyFont="1" applyFill="1" applyAlignment="1" applyProtection="1">
      <alignment horizontal="right"/>
      <protection hidden="1"/>
    </xf>
    <xf numFmtId="0" fontId="0" fillId="2" borderId="0" xfId="0" applyFill="1"/>
    <xf numFmtId="40" fontId="21" fillId="2" borderId="0" xfId="0" applyNumberFormat="1" applyFont="1" applyFill="1" applyAlignment="1" applyProtection="1">
      <alignment horizontal="left"/>
      <protection hidden="1"/>
    </xf>
    <xf numFmtId="164" fontId="66" fillId="2" borderId="0" xfId="0" applyNumberFormat="1" applyFont="1" applyFill="1" applyAlignment="1" applyProtection="1">
      <alignment horizontal="center"/>
      <protection hidden="1"/>
    </xf>
    <xf numFmtId="164" fontId="6" fillId="2" borderId="0" xfId="0" applyNumberFormat="1" applyFont="1" applyFill="1" applyAlignment="1" applyProtection="1">
      <alignment horizontal="left"/>
      <protection hidden="1"/>
    </xf>
    <xf numFmtId="40" fontId="45" fillId="2" borderId="0" xfId="0" applyNumberFormat="1" applyFont="1" applyFill="1" applyAlignment="1" applyProtection="1">
      <alignment horizontal="left"/>
      <protection hidden="1"/>
    </xf>
    <xf numFmtId="164" fontId="15" fillId="2" borderId="0" xfId="0" applyNumberFormat="1" applyFont="1" applyFill="1" applyProtection="1">
      <protection hidden="1"/>
    </xf>
    <xf numFmtId="0" fontId="16" fillId="2" borderId="0" xfId="0" applyFont="1" applyFill="1" applyAlignment="1" applyProtection="1">
      <alignment wrapText="1"/>
      <protection hidden="1"/>
    </xf>
    <xf numFmtId="40" fontId="16" fillId="2" borderId="0" xfId="0" applyNumberFormat="1" applyFont="1" applyFill="1" applyAlignment="1" applyProtection="1">
      <alignment horizontal="right"/>
      <protection hidden="1"/>
    </xf>
    <xf numFmtId="40" fontId="16" fillId="2" borderId="0" xfId="0" applyNumberFormat="1" applyFont="1" applyFill="1" applyAlignment="1" applyProtection="1">
      <alignment horizontal="left"/>
      <protection hidden="1"/>
    </xf>
    <xf numFmtId="40" fontId="3" fillId="2" borderId="2" xfId="0" applyNumberFormat="1" applyFont="1" applyFill="1" applyBorder="1" applyAlignment="1" applyProtection="1">
      <alignment horizontal="center"/>
      <protection hidden="1"/>
    </xf>
    <xf numFmtId="0" fontId="0" fillId="2" borderId="8" xfId="0" applyFill="1" applyBorder="1"/>
    <xf numFmtId="0" fontId="0" fillId="2" borderId="20" xfId="0" applyFill="1" applyBorder="1"/>
    <xf numFmtId="0" fontId="0" fillId="2" borderId="21" xfId="0" applyFill="1" applyBorder="1"/>
    <xf numFmtId="0" fontId="0" fillId="2" borderId="5" xfId="0" applyFill="1" applyBorder="1"/>
    <xf numFmtId="40" fontId="6" fillId="2" borderId="0" xfId="0" applyNumberFormat="1" applyFont="1" applyFill="1" applyProtection="1">
      <protection hidden="1"/>
    </xf>
    <xf numFmtId="38" fontId="0" fillId="2" borderId="21" xfId="0" applyNumberFormat="1" applyFill="1" applyBorder="1" applyProtection="1">
      <protection hidden="1"/>
    </xf>
    <xf numFmtId="40" fontId="67" fillId="2" borderId="0" xfId="0" applyNumberFormat="1" applyFont="1" applyFill="1" applyAlignment="1" applyProtection="1">
      <alignment horizontal="right"/>
      <protection hidden="1"/>
    </xf>
    <xf numFmtId="40" fontId="6" fillId="2" borderId="0" xfId="0" applyNumberFormat="1" applyFont="1" applyFill="1" applyAlignment="1" applyProtection="1">
      <alignment horizontal="center"/>
      <protection hidden="1"/>
    </xf>
    <xf numFmtId="164" fontId="21" fillId="2" borderId="0" xfId="0" applyNumberFormat="1" applyFont="1" applyFill="1" applyProtection="1">
      <protection hidden="1"/>
    </xf>
    <xf numFmtId="0" fontId="16" fillId="2" borderId="30" xfId="0" applyFont="1" applyFill="1" applyBorder="1" applyAlignment="1" applyProtection="1">
      <alignment vertical="center"/>
      <protection hidden="1"/>
    </xf>
    <xf numFmtId="0" fontId="0" fillId="4" borderId="21" xfId="0" applyFill="1" applyBorder="1" applyProtection="1">
      <protection locked="0" hidden="1"/>
    </xf>
    <xf numFmtId="38" fontId="0" fillId="2" borderId="0" xfId="0" applyNumberFormat="1" applyFill="1" applyProtection="1">
      <protection hidden="1"/>
    </xf>
    <xf numFmtId="40" fontId="0" fillId="2" borderId="5" xfId="0" applyNumberFormat="1" applyFill="1" applyBorder="1" applyAlignment="1" applyProtection="1">
      <alignment horizontal="center"/>
      <protection hidden="1"/>
    </xf>
    <xf numFmtId="164" fontId="17" fillId="2" borderId="5" xfId="0" applyNumberFormat="1" applyFont="1" applyFill="1" applyBorder="1" applyAlignment="1" applyProtection="1">
      <alignment horizontal="right"/>
      <protection hidden="1"/>
    </xf>
    <xf numFmtId="38" fontId="0" fillId="2" borderId="5" xfId="0" applyNumberFormat="1" applyFill="1" applyBorder="1" applyProtection="1">
      <protection hidden="1"/>
    </xf>
    <xf numFmtId="164" fontId="6" fillId="2" borderId="6" xfId="0" applyNumberFormat="1" applyFont="1" applyFill="1" applyBorder="1" applyProtection="1">
      <protection hidden="1"/>
    </xf>
    <xf numFmtId="0" fontId="6" fillId="2" borderId="21" xfId="0" applyFont="1" applyFill="1" applyBorder="1" applyAlignment="1" applyProtection="1">
      <alignment horizontal="center"/>
      <protection hidden="1"/>
    </xf>
    <xf numFmtId="0" fontId="0" fillId="2" borderId="0" xfId="0" applyFill="1" applyAlignment="1" applyProtection="1">
      <alignment horizontal="left" vertical="center"/>
      <protection hidden="1"/>
    </xf>
    <xf numFmtId="0" fontId="21" fillId="2" borderId="1" xfId="0" applyFont="1" applyFill="1" applyBorder="1" applyProtection="1">
      <protection hidden="1"/>
    </xf>
    <xf numFmtId="0" fontId="0" fillId="2" borderId="0" xfId="0" applyFill="1" applyAlignment="1" applyProtection="1">
      <alignment horizontal="center"/>
      <protection hidden="1"/>
    </xf>
    <xf numFmtId="0" fontId="34" fillId="2" borderId="0" xfId="0" applyFont="1" applyFill="1" applyProtection="1">
      <protection hidden="1"/>
    </xf>
    <xf numFmtId="0" fontId="0" fillId="0" borderId="0" xfId="0" applyAlignment="1" applyProtection="1">
      <alignment horizontal="center"/>
      <protection hidden="1"/>
    </xf>
    <xf numFmtId="0" fontId="21" fillId="2" borderId="21" xfId="0" applyFont="1" applyFill="1" applyBorder="1" applyProtection="1">
      <protection hidden="1"/>
    </xf>
    <xf numFmtId="1" fontId="60" fillId="2" borderId="0" xfId="0" applyNumberFormat="1" applyFont="1" applyFill="1" applyProtection="1">
      <protection hidden="1"/>
    </xf>
    <xf numFmtId="164" fontId="60" fillId="2" borderId="5" xfId="0" applyNumberFormat="1" applyFont="1" applyFill="1" applyBorder="1" applyProtection="1">
      <protection hidden="1"/>
    </xf>
    <xf numFmtId="40" fontId="6" fillId="2" borderId="0" xfId="0" applyNumberFormat="1" applyFont="1" applyFill="1" applyAlignment="1" applyProtection="1">
      <alignment horizontal="left"/>
      <protection hidden="1"/>
    </xf>
    <xf numFmtId="1" fontId="71" fillId="2" borderId="0" xfId="0" applyNumberFormat="1" applyFont="1" applyFill="1" applyProtection="1">
      <protection hidden="1"/>
    </xf>
    <xf numFmtId="3" fontId="25" fillId="2" borderId="0" xfId="0" applyNumberFormat="1" applyFont="1" applyFill="1" applyProtection="1">
      <protection hidden="1"/>
    </xf>
    <xf numFmtId="0" fontId="21" fillId="2" borderId="0" xfId="0" applyFont="1" applyFill="1"/>
    <xf numFmtId="0" fontId="6" fillId="0" borderId="0" xfId="0" applyFont="1" applyAlignment="1" applyProtection="1">
      <alignment horizontal="center"/>
      <protection hidden="1"/>
    </xf>
    <xf numFmtId="0" fontId="15" fillId="2" borderId="0" xfId="0" applyFont="1" applyFill="1" applyProtection="1">
      <protection hidden="1"/>
    </xf>
    <xf numFmtId="0" fontId="6" fillId="3" borderId="0" xfId="0" applyFont="1" applyFill="1" applyAlignment="1" applyProtection="1">
      <alignment horizontal="center"/>
      <protection hidden="1"/>
    </xf>
    <xf numFmtId="4" fontId="17" fillId="3" borderId="0" xfId="0" applyNumberFormat="1" applyFont="1" applyFill="1" applyAlignment="1" applyProtection="1">
      <alignment horizontal="right"/>
      <protection hidden="1"/>
    </xf>
    <xf numFmtId="0" fontId="10" fillId="3" borderId="8" xfId="0" applyFont="1" applyFill="1" applyBorder="1" applyProtection="1">
      <protection hidden="1"/>
    </xf>
    <xf numFmtId="0" fontId="53" fillId="3" borderId="0" xfId="0" applyFont="1" applyFill="1" applyProtection="1">
      <protection hidden="1"/>
    </xf>
    <xf numFmtId="0" fontId="53" fillId="3" borderId="1" xfId="0" applyFont="1" applyFill="1" applyBorder="1" applyProtection="1">
      <protection hidden="1"/>
    </xf>
    <xf numFmtId="0" fontId="6" fillId="5" borderId="0" xfId="0" applyFont="1" applyFill="1" applyAlignment="1" applyProtection="1">
      <alignment horizontal="center"/>
      <protection hidden="1"/>
    </xf>
    <xf numFmtId="38" fontId="7" fillId="2" borderId="0" xfId="0" applyNumberFormat="1" applyFont="1" applyFill="1" applyProtection="1">
      <protection hidden="1"/>
    </xf>
    <xf numFmtId="38" fontId="0" fillId="2" borderId="9" xfId="0" applyNumberFormat="1" applyFill="1" applyBorder="1" applyProtection="1">
      <protection hidden="1"/>
    </xf>
    <xf numFmtId="0" fontId="10" fillId="3" borderId="1" xfId="0" applyFont="1" applyFill="1" applyBorder="1" applyAlignment="1" applyProtection="1">
      <alignment horizontal="left"/>
      <protection hidden="1"/>
    </xf>
    <xf numFmtId="0" fontId="3" fillId="3" borderId="10" xfId="0" applyFont="1" applyFill="1" applyBorder="1" applyAlignment="1" applyProtection="1">
      <alignment horizontal="center"/>
      <protection hidden="1"/>
    </xf>
    <xf numFmtId="0" fontId="3" fillId="3" borderId="11" xfId="0" applyFont="1" applyFill="1" applyBorder="1" applyAlignment="1" applyProtection="1">
      <alignment horizontal="center"/>
      <protection hidden="1"/>
    </xf>
    <xf numFmtId="0" fontId="18" fillId="3" borderId="0" xfId="0" applyFont="1" applyFill="1" applyProtection="1">
      <protection hidden="1"/>
    </xf>
    <xf numFmtId="0" fontId="3" fillId="3" borderId="16" xfId="0" applyFont="1" applyFill="1" applyBorder="1" applyAlignment="1" applyProtection="1">
      <alignment horizontal="center"/>
      <protection hidden="1"/>
    </xf>
    <xf numFmtId="0" fontId="3" fillId="3" borderId="7" xfId="0" applyFont="1" applyFill="1" applyBorder="1" applyAlignment="1" applyProtection="1">
      <alignment horizontal="center"/>
      <protection hidden="1"/>
    </xf>
    <xf numFmtId="0" fontId="3" fillId="3" borderId="13" xfId="0" applyFont="1" applyFill="1" applyBorder="1" applyAlignment="1" applyProtection="1">
      <alignment horizontal="center"/>
      <protection hidden="1"/>
    </xf>
    <xf numFmtId="0" fontId="19" fillId="2" borderId="0" xfId="0" applyFont="1" applyFill="1" applyProtection="1">
      <protection hidden="1"/>
    </xf>
    <xf numFmtId="0" fontId="6" fillId="2" borderId="11" xfId="0" applyFont="1" applyFill="1" applyBorder="1" applyAlignment="1" applyProtection="1">
      <alignment horizontal="center"/>
      <protection hidden="1"/>
    </xf>
    <xf numFmtId="0" fontId="6" fillId="2" borderId="5" xfId="0" applyFont="1" applyFill="1" applyBorder="1" applyProtection="1">
      <protection hidden="1"/>
    </xf>
    <xf numFmtId="0" fontId="6" fillId="8" borderId="0" xfId="0" applyFont="1" applyFill="1" applyProtection="1">
      <protection hidden="1"/>
    </xf>
    <xf numFmtId="0" fontId="10" fillId="8" borderId="0" xfId="0" applyFont="1" applyFill="1" applyProtection="1">
      <protection hidden="1"/>
    </xf>
    <xf numFmtId="0" fontId="18" fillId="2" borderId="0" xfId="0" applyFont="1" applyFill="1" applyProtection="1">
      <protection hidden="1"/>
    </xf>
    <xf numFmtId="0" fontId="18" fillId="2" borderId="0" xfId="0" applyFont="1" applyFill="1" applyAlignment="1" applyProtection="1">
      <alignment horizontal="left"/>
      <protection hidden="1"/>
    </xf>
    <xf numFmtId="164" fontId="27" fillId="2" borderId="0" xfId="0" applyNumberFormat="1" applyFont="1" applyFill="1" applyAlignment="1" applyProtection="1">
      <alignment horizontal="center"/>
      <protection hidden="1"/>
    </xf>
    <xf numFmtId="164" fontId="6" fillId="2" borderId="24" xfId="0" applyNumberFormat="1" applyFont="1" applyFill="1" applyBorder="1" applyProtection="1">
      <protection hidden="1"/>
    </xf>
    <xf numFmtId="0" fontId="6" fillId="2" borderId="9" xfId="0" applyFont="1" applyFill="1" applyBorder="1" applyProtection="1">
      <protection hidden="1"/>
    </xf>
    <xf numFmtId="40" fontId="0" fillId="2" borderId="9" xfId="0" applyNumberFormat="1" applyFill="1" applyBorder="1" applyProtection="1">
      <protection hidden="1"/>
    </xf>
    <xf numFmtId="40" fontId="7" fillId="2" borderId="21" xfId="0" applyNumberFormat="1" applyFont="1" applyFill="1" applyBorder="1" applyProtection="1">
      <protection hidden="1"/>
    </xf>
    <xf numFmtId="0" fontId="0" fillId="0" borderId="0" xfId="0" applyAlignment="1" applyProtection="1">
      <alignment wrapText="1"/>
      <protection hidden="1"/>
    </xf>
    <xf numFmtId="40" fontId="0" fillId="2" borderId="8" xfId="0" applyNumberFormat="1" applyFill="1" applyBorder="1" applyAlignment="1" applyProtection="1">
      <alignment horizontal="left"/>
      <protection hidden="1"/>
    </xf>
    <xf numFmtId="40" fontId="7" fillId="2" borderId="0" xfId="0" applyNumberFormat="1" applyFont="1" applyFill="1" applyProtection="1">
      <protection hidden="1"/>
    </xf>
    <xf numFmtId="164" fontId="27" fillId="2" borderId="0" xfId="0" applyNumberFormat="1" applyFont="1" applyFill="1" applyAlignment="1" applyProtection="1">
      <alignment horizontal="right"/>
      <protection hidden="1"/>
    </xf>
    <xf numFmtId="40" fontId="62" fillId="2" borderId="0" xfId="0" applyNumberFormat="1" applyFont="1" applyFill="1" applyAlignment="1" applyProtection="1">
      <alignment horizontal="right"/>
      <protection hidden="1"/>
    </xf>
    <xf numFmtId="38" fontId="21" fillId="2" borderId="0" xfId="0" applyNumberFormat="1" applyFont="1" applyFill="1" applyAlignment="1" applyProtection="1">
      <alignment horizontal="right"/>
      <protection hidden="1"/>
    </xf>
    <xf numFmtId="40" fontId="21" fillId="2" borderId="0" xfId="0" applyNumberFormat="1" applyFont="1" applyFill="1" applyAlignment="1" applyProtection="1">
      <alignment horizontal="right"/>
      <protection hidden="1"/>
    </xf>
    <xf numFmtId="40" fontId="21" fillId="2" borderId="0" xfId="0" applyNumberFormat="1" applyFont="1" applyFill="1" applyProtection="1">
      <protection hidden="1"/>
    </xf>
    <xf numFmtId="40" fontId="76" fillId="2" borderId="0" xfId="0" applyNumberFormat="1" applyFont="1" applyFill="1" applyAlignment="1" applyProtection="1">
      <alignment horizontal="right"/>
      <protection hidden="1"/>
    </xf>
    <xf numFmtId="0" fontId="16" fillId="2" borderId="21" xfId="0" applyFont="1" applyFill="1" applyBorder="1" applyAlignment="1" applyProtection="1">
      <alignment vertical="center"/>
      <protection hidden="1"/>
    </xf>
    <xf numFmtId="164" fontId="21" fillId="2" borderId="0" xfId="0" applyNumberFormat="1" applyFont="1" applyFill="1" applyAlignment="1" applyProtection="1">
      <alignment horizontal="left"/>
      <protection hidden="1"/>
    </xf>
    <xf numFmtId="0" fontId="16" fillId="2" borderId="0" xfId="0" applyFont="1" applyFill="1" applyAlignment="1" applyProtection="1">
      <alignment vertical="center"/>
      <protection hidden="1"/>
    </xf>
    <xf numFmtId="0" fontId="26" fillId="2" borderId="0" xfId="0" applyFont="1" applyFill="1" applyAlignment="1" applyProtection="1">
      <alignment vertical="center"/>
      <protection hidden="1"/>
    </xf>
    <xf numFmtId="164" fontId="66" fillId="2" borderId="0" xfId="0" applyNumberFormat="1" applyFont="1" applyFill="1" applyAlignment="1" applyProtection="1">
      <alignment horizontal="left" vertical="center"/>
      <protection hidden="1"/>
    </xf>
    <xf numFmtId="4" fontId="11" fillId="3" borderId="0" xfId="0" applyNumberFormat="1" applyFont="1" applyFill="1" applyAlignment="1" applyProtection="1">
      <alignment horizontal="right"/>
      <protection hidden="1"/>
    </xf>
    <xf numFmtId="4" fontId="19" fillId="3" borderId="0" xfId="0" applyNumberFormat="1" applyFont="1" applyFill="1" applyAlignment="1" applyProtection="1">
      <alignment horizontal="right"/>
      <protection hidden="1"/>
    </xf>
    <xf numFmtId="4" fontId="11" fillId="3" borderId="5" xfId="0" applyNumberFormat="1" applyFont="1" applyFill="1" applyBorder="1" applyAlignment="1" applyProtection="1">
      <alignment horizontal="right"/>
      <protection hidden="1"/>
    </xf>
    <xf numFmtId="0" fontId="35" fillId="9" borderId="26" xfId="0" applyFont="1" applyFill="1" applyBorder="1" applyAlignment="1" applyProtection="1">
      <alignment horizontal="center"/>
      <protection hidden="1"/>
    </xf>
    <xf numFmtId="0" fontId="9" fillId="3" borderId="1" xfId="0" applyFont="1" applyFill="1" applyBorder="1" applyAlignment="1" applyProtection="1">
      <alignment horizontal="center"/>
      <protection hidden="1"/>
    </xf>
    <xf numFmtId="0" fontId="9" fillId="3" borderId="5" xfId="0" applyFont="1" applyFill="1" applyBorder="1" applyAlignment="1" applyProtection="1">
      <alignment horizontal="right"/>
      <protection hidden="1"/>
    </xf>
    <xf numFmtId="0" fontId="0" fillId="3" borderId="33" xfId="0" applyFill="1" applyBorder="1" applyProtection="1">
      <protection hidden="1"/>
    </xf>
    <xf numFmtId="0" fontId="9" fillId="3" borderId="11" xfId="0" applyFont="1" applyFill="1" applyBorder="1" applyAlignment="1" applyProtection="1">
      <alignment horizontal="center"/>
      <protection hidden="1"/>
    </xf>
    <xf numFmtId="0" fontId="9" fillId="3" borderId="7" xfId="0" applyFont="1" applyFill="1" applyBorder="1" applyAlignment="1" applyProtection="1">
      <alignment horizontal="center"/>
      <protection hidden="1"/>
    </xf>
    <xf numFmtId="0" fontId="9" fillId="7" borderId="7" xfId="0" applyFont="1" applyFill="1" applyBorder="1" applyAlignment="1" applyProtection="1">
      <alignment horizontal="center"/>
      <protection hidden="1"/>
    </xf>
    <xf numFmtId="0" fontId="8" fillId="3" borderId="0" xfId="0" applyFont="1" applyFill="1" applyAlignment="1" applyProtection="1">
      <alignment vertical="center"/>
      <protection hidden="1"/>
    </xf>
    <xf numFmtId="0" fontId="7" fillId="3" borderId="0" xfId="0" applyFont="1" applyFill="1" applyAlignment="1" applyProtection="1">
      <alignment vertical="center"/>
      <protection hidden="1"/>
    </xf>
    <xf numFmtId="4" fontId="7" fillId="3" borderId="0" xfId="0" applyNumberFormat="1" applyFont="1" applyFill="1" applyAlignment="1" applyProtection="1">
      <alignment vertical="center"/>
      <protection hidden="1"/>
    </xf>
    <xf numFmtId="4" fontId="8" fillId="3" borderId="8" xfId="0" applyNumberFormat="1" applyFont="1" applyFill="1" applyBorder="1" applyAlignment="1" applyProtection="1">
      <alignment horizontal="right" vertical="center"/>
      <protection hidden="1"/>
    </xf>
    <xf numFmtId="39" fontId="7" fillId="3" borderId="0" xfId="0" applyNumberFormat="1" applyFont="1" applyFill="1" applyAlignment="1" applyProtection="1">
      <alignment horizontal="right" vertical="center"/>
      <protection hidden="1"/>
    </xf>
    <xf numFmtId="0" fontId="3" fillId="3" borderId="8" xfId="0" applyFont="1" applyFill="1" applyBorder="1" applyAlignment="1" applyProtection="1">
      <alignment horizontal="right" vertical="center"/>
      <protection hidden="1"/>
    </xf>
    <xf numFmtId="0" fontId="6" fillId="3" borderId="0" xfId="0" applyFont="1" applyFill="1" applyAlignment="1" applyProtection="1">
      <alignment horizontal="left"/>
      <protection hidden="1"/>
    </xf>
    <xf numFmtId="0" fontId="70" fillId="3" borderId="0" xfId="0" applyFont="1" applyFill="1" applyAlignment="1" applyProtection="1">
      <alignment horizontal="right"/>
      <protection hidden="1"/>
    </xf>
    <xf numFmtId="0" fontId="60" fillId="9" borderId="0" xfId="0" applyFont="1" applyFill="1" applyAlignment="1" applyProtection="1">
      <alignment horizontal="center" vertical="center"/>
      <protection hidden="1"/>
    </xf>
    <xf numFmtId="3" fontId="53" fillId="3" borderId="26" xfId="0" applyNumberFormat="1" applyFont="1" applyFill="1" applyBorder="1" applyProtection="1">
      <protection hidden="1"/>
    </xf>
    <xf numFmtId="1" fontId="36" fillId="2" borderId="13" xfId="0" applyNumberFormat="1" applyFont="1" applyFill="1" applyBorder="1" applyProtection="1">
      <protection locked="0"/>
    </xf>
    <xf numFmtId="1" fontId="0" fillId="10" borderId="0" xfId="0" applyNumberFormat="1" applyFill="1" applyProtection="1">
      <protection hidden="1"/>
    </xf>
    <xf numFmtId="1" fontId="0" fillId="10" borderId="0" xfId="0" applyNumberFormat="1" applyFill="1" applyAlignment="1" applyProtection="1">
      <alignment vertical="center"/>
      <protection hidden="1"/>
    </xf>
    <xf numFmtId="0" fontId="0" fillId="2" borderId="3" xfId="0" applyFill="1" applyBorder="1" applyProtection="1">
      <protection hidden="1"/>
    </xf>
    <xf numFmtId="0" fontId="10" fillId="2" borderId="15" xfId="0" applyFont="1" applyFill="1" applyBorder="1" applyProtection="1">
      <protection hidden="1"/>
    </xf>
    <xf numFmtId="0" fontId="10" fillId="2" borderId="31" xfId="0" applyFont="1" applyFill="1" applyBorder="1" applyProtection="1">
      <protection hidden="1"/>
    </xf>
    <xf numFmtId="0" fontId="8" fillId="3" borderId="8" xfId="0" applyFont="1" applyFill="1" applyBorder="1" applyAlignment="1" applyProtection="1">
      <alignment horizontal="right"/>
      <protection hidden="1"/>
    </xf>
    <xf numFmtId="0" fontId="30" fillId="3" borderId="0" xfId="0" applyFont="1" applyFill="1" applyAlignment="1" applyProtection="1">
      <alignment horizontal="left"/>
      <protection hidden="1"/>
    </xf>
    <xf numFmtId="0" fontId="5" fillId="3" borderId="0" xfId="0" applyFont="1" applyFill="1" applyAlignment="1" applyProtection="1">
      <alignment horizontal="left"/>
      <protection hidden="1"/>
    </xf>
    <xf numFmtId="1" fontId="6" fillId="7" borderId="25" xfId="0" applyNumberFormat="1" applyFont="1" applyFill="1" applyBorder="1" applyAlignment="1" applyProtection="1">
      <alignment horizontal="right"/>
      <protection hidden="1"/>
    </xf>
    <xf numFmtId="1" fontId="6" fillId="3" borderId="0" xfId="0" applyNumberFormat="1" applyFont="1" applyFill="1" applyAlignment="1" applyProtection="1">
      <alignment horizontal="right"/>
      <protection hidden="1"/>
    </xf>
    <xf numFmtId="3" fontId="7" fillId="3" borderId="0" xfId="0" applyNumberFormat="1" applyFont="1" applyFill="1" applyAlignment="1" applyProtection="1">
      <alignment horizontal="right"/>
      <protection hidden="1"/>
    </xf>
    <xf numFmtId="0" fontId="6" fillId="3" borderId="36" xfId="0" applyFont="1" applyFill="1" applyBorder="1" applyAlignment="1" applyProtection="1">
      <alignment horizontal="right"/>
      <protection hidden="1"/>
    </xf>
    <xf numFmtId="0" fontId="21" fillId="3" borderId="14" xfId="0" applyFont="1" applyFill="1" applyBorder="1" applyAlignment="1" applyProtection="1">
      <alignment horizontal="left"/>
      <protection hidden="1"/>
    </xf>
    <xf numFmtId="0" fontId="10" fillId="3" borderId="14" xfId="0" applyFont="1" applyFill="1" applyBorder="1" applyAlignment="1" applyProtection="1">
      <alignment horizontal="left"/>
      <protection hidden="1"/>
    </xf>
    <xf numFmtId="0" fontId="6" fillId="3" borderId="14" xfId="0" applyFont="1" applyFill="1" applyBorder="1" applyAlignment="1" applyProtection="1">
      <alignment horizontal="right"/>
      <protection hidden="1"/>
    </xf>
    <xf numFmtId="4" fontId="6" fillId="2" borderId="0" xfId="0" applyNumberFormat="1" applyFont="1" applyFill="1" applyProtection="1">
      <protection hidden="1"/>
    </xf>
    <xf numFmtId="40" fontId="64" fillId="2" borderId="0" xfId="0" applyNumberFormat="1" applyFont="1" applyFill="1" applyAlignment="1" applyProtection="1">
      <alignment horizontal="left"/>
      <protection hidden="1"/>
    </xf>
    <xf numFmtId="0" fontId="32" fillId="2" borderId="0" xfId="0" applyFont="1" applyFill="1" applyProtection="1">
      <protection hidden="1"/>
    </xf>
    <xf numFmtId="40" fontId="6" fillId="2" borderId="1" xfId="0" applyNumberFormat="1" applyFont="1" applyFill="1" applyBorder="1" applyAlignment="1" applyProtection="1">
      <alignment horizontal="center"/>
      <protection hidden="1"/>
    </xf>
    <xf numFmtId="40" fontId="29" fillId="2" borderId="0" xfId="0" applyNumberFormat="1" applyFont="1" applyFill="1" applyAlignment="1" applyProtection="1">
      <alignment horizontal="left"/>
      <protection hidden="1"/>
    </xf>
    <xf numFmtId="0" fontId="66" fillId="2" borderId="0" xfId="0" applyFont="1" applyFill="1" applyProtection="1">
      <protection hidden="1"/>
    </xf>
    <xf numFmtId="0" fontId="0" fillId="2" borderId="2" xfId="0" applyFill="1" applyBorder="1" applyProtection="1">
      <protection locked="0"/>
    </xf>
    <xf numFmtId="0" fontId="7" fillId="2" borderId="0" xfId="0" applyFont="1" applyFill="1" applyAlignment="1" applyProtection="1">
      <alignment horizontal="center"/>
      <protection hidden="1"/>
    </xf>
    <xf numFmtId="0" fontId="64" fillId="2" borderId="0" xfId="0" applyFont="1" applyFill="1" applyProtection="1">
      <protection hidden="1"/>
    </xf>
    <xf numFmtId="0" fontId="64" fillId="2" borderId="0" xfId="0" applyFont="1" applyFill="1" applyAlignment="1" applyProtection="1">
      <alignment vertical="center"/>
      <protection hidden="1"/>
    </xf>
    <xf numFmtId="0" fontId="21" fillId="2" borderId="0" xfId="0" applyFont="1" applyFill="1" applyAlignment="1" applyProtection="1">
      <alignment vertical="center"/>
      <protection hidden="1"/>
    </xf>
    <xf numFmtId="0" fontId="6" fillId="2" borderId="0" xfId="0" applyFont="1" applyFill="1" applyAlignment="1" applyProtection="1">
      <alignment horizontal="center" vertical="center"/>
      <protection hidden="1"/>
    </xf>
    <xf numFmtId="0" fontId="53" fillId="2" borderId="0" xfId="0" applyFont="1" applyFill="1" applyProtection="1">
      <protection hidden="1"/>
    </xf>
    <xf numFmtId="0" fontId="0" fillId="2" borderId="25" xfId="0" applyFill="1" applyBorder="1" applyAlignment="1" applyProtection="1">
      <alignment vertical="center"/>
      <protection hidden="1"/>
    </xf>
    <xf numFmtId="49" fontId="8" fillId="2" borderId="0" xfId="0" applyNumberFormat="1" applyFont="1" applyFill="1" applyAlignment="1" applyProtection="1">
      <alignment horizontal="right"/>
      <protection hidden="1"/>
    </xf>
    <xf numFmtId="0" fontId="73" fillId="2" borderId="0" xfId="0" applyFont="1" applyFill="1" applyAlignment="1" applyProtection="1">
      <alignment horizontal="right"/>
      <protection hidden="1"/>
    </xf>
    <xf numFmtId="4" fontId="64" fillId="2" borderId="0" xfId="0" applyNumberFormat="1" applyFont="1" applyFill="1" applyProtection="1">
      <protection hidden="1"/>
    </xf>
    <xf numFmtId="49" fontId="27" fillId="2" borderId="5" xfId="0" applyNumberFormat="1" applyFont="1" applyFill="1" applyBorder="1" applyAlignment="1" applyProtection="1">
      <alignment horizontal="right"/>
      <protection hidden="1"/>
    </xf>
    <xf numFmtId="40" fontId="23" fillId="2" borderId="5" xfId="0" applyNumberFormat="1" applyFont="1" applyFill="1" applyBorder="1" applyAlignment="1" applyProtection="1">
      <alignment horizontal="right"/>
      <protection hidden="1"/>
    </xf>
    <xf numFmtId="0" fontId="23" fillId="2" borderId="0" xfId="0" applyFont="1" applyFill="1" applyProtection="1">
      <protection hidden="1"/>
    </xf>
    <xf numFmtId="0" fontId="23" fillId="2" borderId="0" xfId="0" applyFont="1" applyFill="1" applyAlignment="1" applyProtection="1">
      <alignment horizontal="center"/>
      <protection hidden="1"/>
    </xf>
    <xf numFmtId="0" fontId="10" fillId="2" borderId="5" xfId="0" applyFont="1" applyFill="1" applyBorder="1" applyAlignment="1" applyProtection="1">
      <alignment horizontal="left" vertical="top"/>
      <protection hidden="1"/>
    </xf>
    <xf numFmtId="0" fontId="23" fillId="2" borderId="0" xfId="0" applyFont="1" applyFill="1" applyAlignment="1" applyProtection="1">
      <alignment horizontal="left" vertical="center"/>
      <protection hidden="1"/>
    </xf>
    <xf numFmtId="0" fontId="41" fillId="2" borderId="0" xfId="0" applyFont="1" applyFill="1" applyAlignment="1" applyProtection="1">
      <alignment horizontal="center"/>
      <protection hidden="1"/>
    </xf>
    <xf numFmtId="0" fontId="8" fillId="2" borderId="0" xfId="0" applyFont="1" applyFill="1" applyAlignment="1" applyProtection="1">
      <alignment horizontal="left"/>
      <protection hidden="1"/>
    </xf>
    <xf numFmtId="0" fontId="0" fillId="2" borderId="31" xfId="0" applyFill="1" applyBorder="1" applyProtection="1">
      <protection hidden="1"/>
    </xf>
    <xf numFmtId="0" fontId="6" fillId="2" borderId="0" xfId="0" applyFont="1" applyFill="1" applyAlignment="1" applyProtection="1">
      <alignment vertical="center"/>
      <protection hidden="1"/>
    </xf>
    <xf numFmtId="0" fontId="0" fillId="2" borderId="25" xfId="0" applyFill="1" applyBorder="1" applyProtection="1">
      <protection hidden="1"/>
    </xf>
    <xf numFmtId="0" fontId="6" fillId="2" borderId="10" xfId="0" applyFont="1" applyFill="1" applyBorder="1" applyAlignment="1" applyProtection="1">
      <alignment horizontal="center"/>
      <protection hidden="1"/>
    </xf>
    <xf numFmtId="0" fontId="0" fillId="2" borderId="7" xfId="0" applyFill="1" applyBorder="1" applyProtection="1">
      <protection hidden="1"/>
    </xf>
    <xf numFmtId="0" fontId="6" fillId="2" borderId="10" xfId="0" applyFont="1" applyFill="1" applyBorder="1" applyAlignment="1" applyProtection="1">
      <alignment horizontal="center" vertical="center"/>
      <protection hidden="1"/>
    </xf>
    <xf numFmtId="0" fontId="0" fillId="8" borderId="0" xfId="0" applyFill="1" applyProtection="1">
      <protection hidden="1"/>
    </xf>
    <xf numFmtId="0" fontId="0" fillId="8" borderId="7" xfId="0" applyFill="1" applyBorder="1" applyProtection="1">
      <protection hidden="1"/>
    </xf>
    <xf numFmtId="0" fontId="6" fillId="2" borderId="5" xfId="0"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6" fillId="2" borderId="5" xfId="0" applyFont="1" applyFill="1" applyBorder="1" applyAlignment="1" applyProtection="1">
      <alignment horizontal="left"/>
      <protection hidden="1"/>
    </xf>
    <xf numFmtId="0" fontId="6" fillId="2" borderId="3" xfId="0" applyFont="1" applyFill="1" applyBorder="1" applyAlignment="1" applyProtection="1">
      <alignment horizontal="center"/>
      <protection hidden="1"/>
    </xf>
    <xf numFmtId="0" fontId="0" fillId="8" borderId="0" xfId="0" applyFill="1" applyAlignment="1" applyProtection="1">
      <alignment vertical="center"/>
      <protection hidden="1"/>
    </xf>
    <xf numFmtId="3" fontId="0" fillId="2" borderId="0" xfId="0" applyNumberFormat="1" applyFill="1" applyProtection="1">
      <protection hidden="1"/>
    </xf>
    <xf numFmtId="0" fontId="15" fillId="3" borderId="1" xfId="0" applyFont="1" applyFill="1" applyBorder="1" applyAlignment="1" applyProtection="1">
      <alignment horizontal="left"/>
      <protection hidden="1"/>
    </xf>
    <xf numFmtId="4" fontId="10" fillId="3" borderId="0" xfId="0" applyNumberFormat="1" applyFont="1" applyFill="1" applyAlignment="1" applyProtection="1">
      <alignment horizontal="center"/>
      <protection hidden="1"/>
    </xf>
    <xf numFmtId="3" fontId="7" fillId="3" borderId="9" xfId="0" applyNumberFormat="1" applyFont="1" applyFill="1" applyBorder="1" applyAlignment="1" applyProtection="1">
      <alignment horizontal="right"/>
      <protection hidden="1"/>
    </xf>
    <xf numFmtId="39" fontId="21" fillId="3" borderId="9" xfId="0" applyNumberFormat="1" applyFont="1" applyFill="1" applyBorder="1" applyAlignment="1" applyProtection="1">
      <alignment horizontal="right"/>
      <protection hidden="1"/>
    </xf>
    <xf numFmtId="49" fontId="48" fillId="3" borderId="0" xfId="0" applyNumberFormat="1" applyFont="1" applyFill="1" applyAlignment="1" applyProtection="1">
      <alignment horizontal="right"/>
      <protection hidden="1"/>
    </xf>
    <xf numFmtId="37" fontId="7" fillId="3" borderId="1" xfId="0" applyNumberFormat="1" applyFont="1" applyFill="1" applyBorder="1" applyAlignment="1" applyProtection="1">
      <alignment horizontal="right"/>
      <protection locked="0"/>
    </xf>
    <xf numFmtId="3" fontId="33" fillId="3" borderId="0" xfId="0" applyNumberFormat="1" applyFont="1" applyFill="1" applyAlignment="1" applyProtection="1">
      <alignment horizontal="right"/>
      <protection hidden="1"/>
    </xf>
    <xf numFmtId="37" fontId="7" fillId="3" borderId="0" xfId="0" applyNumberFormat="1" applyFont="1" applyFill="1" applyAlignment="1" applyProtection="1">
      <alignment horizontal="right"/>
      <protection hidden="1"/>
    </xf>
    <xf numFmtId="4" fontId="85" fillId="3" borderId="0" xfId="0" applyNumberFormat="1" applyFont="1" applyFill="1" applyAlignment="1" applyProtection="1">
      <alignment horizontal="left" vertical="center"/>
      <protection hidden="1"/>
    </xf>
    <xf numFmtId="4" fontId="33" fillId="3" borderId="0" xfId="0" applyNumberFormat="1" applyFont="1" applyFill="1" applyAlignment="1" applyProtection="1">
      <alignment horizontal="center"/>
      <protection hidden="1"/>
    </xf>
    <xf numFmtId="0" fontId="8" fillId="2" borderId="1" xfId="0" applyFont="1" applyFill="1" applyBorder="1" applyAlignment="1" applyProtection="1">
      <alignment horizontal="center"/>
      <protection hidden="1"/>
    </xf>
    <xf numFmtId="0" fontId="87" fillId="2" borderId="0" xfId="0" applyFont="1" applyFill="1" applyAlignment="1" applyProtection="1">
      <alignment horizontal="left"/>
      <protection hidden="1"/>
    </xf>
    <xf numFmtId="1" fontId="3" fillId="8" borderId="0" xfId="0" applyNumberFormat="1" applyFont="1" applyFill="1" applyProtection="1">
      <protection hidden="1"/>
    </xf>
    <xf numFmtId="0" fontId="6" fillId="2" borderId="24" xfId="0" applyFont="1" applyFill="1" applyBorder="1" applyAlignment="1" applyProtection="1">
      <alignment horizontal="right"/>
      <protection hidden="1"/>
    </xf>
    <xf numFmtId="0" fontId="6" fillId="2" borderId="6" xfId="0" applyFont="1" applyFill="1" applyBorder="1" applyAlignment="1" applyProtection="1">
      <alignment horizontal="right"/>
      <protection hidden="1"/>
    </xf>
    <xf numFmtId="0" fontId="21" fillId="2" borderId="41" xfId="0" applyFont="1" applyFill="1" applyBorder="1" applyProtection="1">
      <protection hidden="1"/>
    </xf>
    <xf numFmtId="0" fontId="21" fillId="2" borderId="42" xfId="0" applyFont="1" applyFill="1" applyBorder="1" applyProtection="1">
      <protection hidden="1"/>
    </xf>
    <xf numFmtId="0" fontId="0" fillId="2" borderId="43" xfId="0" applyFill="1" applyBorder="1" applyProtection="1">
      <protection hidden="1"/>
    </xf>
    <xf numFmtId="164" fontId="6" fillId="2" borderId="0" xfId="0" applyNumberFormat="1" applyFont="1" applyFill="1" applyAlignment="1" applyProtection="1">
      <alignment horizontal="left" vertical="center"/>
      <protection hidden="1"/>
    </xf>
    <xf numFmtId="40" fontId="25" fillId="2" borderId="0" xfId="0" applyNumberFormat="1" applyFont="1" applyFill="1" applyAlignment="1" applyProtection="1">
      <alignment horizontal="center"/>
      <protection hidden="1"/>
    </xf>
    <xf numFmtId="40" fontId="29" fillId="2" borderId="0" xfId="0" applyNumberFormat="1" applyFont="1" applyFill="1" applyAlignment="1" applyProtection="1">
      <alignment horizontal="center"/>
      <protection hidden="1"/>
    </xf>
    <xf numFmtId="1" fontId="0" fillId="2" borderId="0" xfId="0" applyNumberFormat="1" applyFill="1" applyProtection="1">
      <protection hidden="1"/>
    </xf>
    <xf numFmtId="0" fontId="6" fillId="2" borderId="0" xfId="0" applyFont="1" applyFill="1" applyAlignment="1" applyProtection="1">
      <alignment horizontal="center" wrapText="1"/>
      <protection hidden="1"/>
    </xf>
    <xf numFmtId="0" fontId="6" fillId="2" borderId="0" xfId="0" applyFont="1" applyFill="1" applyAlignment="1" applyProtection="1">
      <alignment horizontal="left" wrapText="1"/>
      <protection hidden="1"/>
    </xf>
    <xf numFmtId="0" fontId="24" fillId="2" borderId="45" xfId="0" applyFont="1" applyFill="1" applyBorder="1" applyAlignment="1" applyProtection="1">
      <alignment horizontal="left" vertical="center"/>
      <protection hidden="1"/>
    </xf>
    <xf numFmtId="0" fontId="6" fillId="2" borderId="46" xfId="0" applyFont="1" applyFill="1" applyBorder="1" applyAlignment="1" applyProtection="1">
      <alignment horizontal="left" vertical="center" wrapText="1"/>
      <protection hidden="1"/>
    </xf>
    <xf numFmtId="0" fontId="6" fillId="2" borderId="46" xfId="0" applyFont="1" applyFill="1" applyBorder="1" applyAlignment="1" applyProtection="1">
      <alignment horizontal="center" vertical="center" wrapText="1"/>
      <protection hidden="1"/>
    </xf>
    <xf numFmtId="40" fontId="80" fillId="2" borderId="0" xfId="0" applyNumberFormat="1" applyFont="1" applyFill="1" applyAlignment="1" applyProtection="1">
      <alignment horizontal="right" vertical="center"/>
      <protection hidden="1"/>
    </xf>
    <xf numFmtId="40" fontId="62" fillId="2" borderId="21" xfId="0" applyNumberFormat="1" applyFont="1" applyFill="1" applyBorder="1" applyAlignment="1" applyProtection="1">
      <alignment horizontal="right"/>
      <protection hidden="1"/>
    </xf>
    <xf numFmtId="38" fontId="21" fillId="2" borderId="21" xfId="0" applyNumberFormat="1" applyFont="1" applyFill="1" applyBorder="1" applyAlignment="1" applyProtection="1">
      <alignment horizontal="right"/>
      <protection hidden="1"/>
    </xf>
    <xf numFmtId="38" fontId="0" fillId="2" borderId="21" xfId="0" applyNumberFormat="1" applyFill="1" applyBorder="1" applyAlignment="1" applyProtection="1">
      <alignment horizontal="right"/>
      <protection hidden="1"/>
    </xf>
    <xf numFmtId="0" fontId="64" fillId="3" borderId="0" xfId="0" applyFont="1" applyFill="1" applyAlignment="1" applyProtection="1">
      <alignment horizontal="right"/>
      <protection hidden="1"/>
    </xf>
    <xf numFmtId="4" fontId="8" fillId="3" borderId="0" xfId="0" applyNumberFormat="1" applyFont="1" applyFill="1" applyAlignment="1" applyProtection="1">
      <alignment horizontal="right"/>
      <protection hidden="1"/>
    </xf>
    <xf numFmtId="0" fontId="11" fillId="2" borderId="0" xfId="0" applyFont="1" applyFill="1" applyProtection="1">
      <protection hidden="1"/>
    </xf>
    <xf numFmtId="0" fontId="20" fillId="2" borderId="0" xfId="0" applyFont="1" applyFill="1" applyAlignment="1" applyProtection="1">
      <alignment horizontal="center"/>
      <protection hidden="1"/>
    </xf>
    <xf numFmtId="164" fontId="21" fillId="2" borderId="1" xfId="0" applyNumberFormat="1" applyFont="1" applyFill="1" applyBorder="1" applyProtection="1">
      <protection hidden="1"/>
    </xf>
    <xf numFmtId="0" fontId="21" fillId="2" borderId="20" xfId="0" applyFont="1" applyFill="1" applyBorder="1" applyProtection="1">
      <protection hidden="1"/>
    </xf>
    <xf numFmtId="38" fontId="7" fillId="2" borderId="21" xfId="0" applyNumberFormat="1" applyFont="1" applyFill="1" applyBorder="1" applyProtection="1">
      <protection hidden="1"/>
    </xf>
    <xf numFmtId="164" fontId="6" fillId="2" borderId="6" xfId="0" applyNumberFormat="1" applyFont="1" applyFill="1" applyBorder="1" applyAlignment="1" applyProtection="1">
      <alignment horizontal="center"/>
      <protection hidden="1"/>
    </xf>
    <xf numFmtId="164" fontId="6" fillId="2" borderId="24" xfId="0" applyNumberFormat="1" applyFont="1" applyFill="1" applyBorder="1" applyAlignment="1" applyProtection="1">
      <alignment vertical="top"/>
      <protection hidden="1"/>
    </xf>
    <xf numFmtId="164" fontId="39" fillId="2" borderId="6" xfId="0" applyNumberFormat="1" applyFont="1" applyFill="1" applyBorder="1" applyAlignment="1" applyProtection="1">
      <alignment vertical="top"/>
      <protection hidden="1"/>
    </xf>
    <xf numFmtId="164" fontId="39" fillId="2" borderId="22" xfId="0" applyNumberFormat="1" applyFont="1" applyFill="1" applyBorder="1" applyAlignment="1" applyProtection="1">
      <alignment vertical="top"/>
      <protection hidden="1"/>
    </xf>
    <xf numFmtId="0" fontId="31" fillId="2" borderId="24" xfId="0" applyFont="1" applyFill="1" applyBorder="1" applyAlignment="1" applyProtection="1">
      <alignment vertical="center"/>
      <protection hidden="1"/>
    </xf>
    <xf numFmtId="0" fontId="0" fillId="4" borderId="6" xfId="0" applyFill="1" applyBorder="1" applyProtection="1">
      <protection locked="0" hidden="1"/>
    </xf>
    <xf numFmtId="0" fontId="31" fillId="2" borderId="27" xfId="0" applyFont="1" applyFill="1" applyBorder="1" applyAlignment="1" applyProtection="1">
      <alignment vertical="center"/>
      <protection hidden="1"/>
    </xf>
    <xf numFmtId="0" fontId="0" fillId="2" borderId="0" xfId="0" applyFill="1" applyAlignment="1" applyProtection="1">
      <alignment vertical="center" wrapText="1"/>
      <protection hidden="1"/>
    </xf>
    <xf numFmtId="0" fontId="8" fillId="2" borderId="0" xfId="0" applyFont="1" applyFill="1" applyAlignment="1" applyProtection="1">
      <alignment horizontal="center"/>
      <protection hidden="1"/>
    </xf>
    <xf numFmtId="3" fontId="49" fillId="2" borderId="0" xfId="0" applyNumberFormat="1" applyFont="1" applyFill="1" applyProtection="1">
      <protection hidden="1"/>
    </xf>
    <xf numFmtId="0" fontId="58" fillId="2" borderId="0" xfId="0" applyFont="1" applyFill="1" applyProtection="1">
      <protection hidden="1"/>
    </xf>
    <xf numFmtId="3" fontId="49" fillId="2" borderId="5" xfId="0" applyNumberFormat="1" applyFont="1" applyFill="1" applyBorder="1" applyProtection="1">
      <protection hidden="1"/>
    </xf>
    <xf numFmtId="1" fontId="6" fillId="0" borderId="0" xfId="0" applyNumberFormat="1" applyFont="1" applyAlignment="1" applyProtection="1">
      <alignment horizontal="center"/>
      <protection hidden="1"/>
    </xf>
    <xf numFmtId="164" fontId="60" fillId="2" borderId="0" xfId="0" applyNumberFormat="1" applyFont="1" applyFill="1" applyProtection="1">
      <protection hidden="1"/>
    </xf>
    <xf numFmtId="164" fontId="60" fillId="2" borderId="0" xfId="0" applyNumberFormat="1" applyFont="1" applyFill="1" applyAlignment="1" applyProtection="1">
      <alignment horizontal="right"/>
      <protection hidden="1"/>
    </xf>
    <xf numFmtId="164" fontId="6" fillId="2" borderId="8" xfId="0" applyNumberFormat="1" applyFont="1" applyFill="1" applyBorder="1" applyAlignment="1" applyProtection="1">
      <alignment vertical="top"/>
      <protection hidden="1"/>
    </xf>
    <xf numFmtId="0" fontId="88" fillId="2" borderId="5" xfId="0" applyFont="1" applyFill="1" applyBorder="1" applyProtection="1">
      <protection hidden="1"/>
    </xf>
    <xf numFmtId="38" fontId="0" fillId="2" borderId="21" xfId="0" applyNumberFormat="1" applyFill="1" applyBorder="1" applyProtection="1">
      <protection locked="0"/>
    </xf>
    <xf numFmtId="40" fontId="64" fillId="2" borderId="0" xfId="0" applyNumberFormat="1" applyFont="1" applyFill="1" applyAlignment="1" applyProtection="1">
      <alignment horizontal="center"/>
      <protection hidden="1"/>
    </xf>
    <xf numFmtId="40" fontId="77" fillId="2" borderId="0" xfId="0" applyNumberFormat="1" applyFont="1" applyFill="1" applyProtection="1">
      <protection hidden="1"/>
    </xf>
    <xf numFmtId="0" fontId="64" fillId="2" borderId="0" xfId="0" applyFont="1" applyFill="1" applyAlignment="1" applyProtection="1">
      <alignment horizontal="center"/>
      <protection hidden="1"/>
    </xf>
    <xf numFmtId="0" fontId="77" fillId="2" borderId="0" xfId="0" applyFont="1" applyFill="1" applyProtection="1">
      <protection hidden="1"/>
    </xf>
    <xf numFmtId="38" fontId="25" fillId="2" borderId="0" xfId="0" applyNumberFormat="1" applyFont="1" applyFill="1" applyProtection="1">
      <protection hidden="1"/>
    </xf>
    <xf numFmtId="0" fontId="19" fillId="2" borderId="0" xfId="0" applyFont="1" applyFill="1" applyAlignment="1" applyProtection="1">
      <alignment vertical="top"/>
      <protection hidden="1"/>
    </xf>
    <xf numFmtId="0" fontId="10" fillId="2" borderId="0" xfId="0" applyFont="1" applyFill="1" applyAlignment="1" applyProtection="1">
      <alignment vertical="top"/>
      <protection hidden="1"/>
    </xf>
    <xf numFmtId="0" fontId="9" fillId="3" borderId="0" xfId="0" applyFont="1" applyFill="1" applyAlignment="1" applyProtection="1">
      <alignment horizontal="right" vertical="center"/>
      <protection hidden="1"/>
    </xf>
    <xf numFmtId="0" fontId="9" fillId="3" borderId="13" xfId="0" applyFont="1" applyFill="1" applyBorder="1" applyAlignment="1" applyProtection="1">
      <alignment horizontal="center"/>
      <protection hidden="1"/>
    </xf>
    <xf numFmtId="0" fontId="6" fillId="3" borderId="8" xfId="0" applyFont="1" applyFill="1" applyBorder="1" applyAlignment="1" applyProtection="1">
      <alignment horizontal="left" vertical="top"/>
      <protection hidden="1"/>
    </xf>
    <xf numFmtId="0" fontId="11" fillId="3" borderId="8" xfId="0" applyFont="1" applyFill="1" applyBorder="1" applyAlignment="1" applyProtection="1">
      <alignment vertical="top"/>
      <protection hidden="1"/>
    </xf>
    <xf numFmtId="0" fontId="11" fillId="3" borderId="8" xfId="0" applyFont="1" applyFill="1" applyBorder="1" applyAlignment="1" applyProtection="1">
      <alignment horizontal="center" vertical="top"/>
      <protection hidden="1"/>
    </xf>
    <xf numFmtId="39" fontId="11" fillId="3" borderId="8" xfId="0" applyNumberFormat="1" applyFont="1" applyFill="1" applyBorder="1" applyAlignment="1" applyProtection="1">
      <alignment vertical="top"/>
      <protection hidden="1"/>
    </xf>
    <xf numFmtId="0" fontId="9" fillId="3" borderId="8" xfId="0" applyFont="1" applyFill="1" applyBorder="1" applyAlignment="1" applyProtection="1">
      <alignment horizontal="center" vertical="top"/>
      <protection hidden="1"/>
    </xf>
    <xf numFmtId="4" fontId="3" fillId="3" borderId="8" xfId="0" applyNumberFormat="1" applyFont="1" applyFill="1" applyBorder="1" applyAlignment="1" applyProtection="1">
      <alignment horizontal="right" vertical="top"/>
      <protection hidden="1"/>
    </xf>
    <xf numFmtId="0" fontId="11" fillId="3" borderId="1" xfId="0" quotePrefix="1" applyFont="1" applyFill="1" applyBorder="1" applyAlignment="1" applyProtection="1">
      <alignment horizontal="left"/>
      <protection hidden="1"/>
    </xf>
    <xf numFmtId="4" fontId="7" fillId="3" borderId="5" xfId="0" applyNumberFormat="1" applyFont="1" applyFill="1" applyBorder="1" applyAlignment="1" applyProtection="1">
      <alignment horizontal="right"/>
      <protection hidden="1"/>
    </xf>
    <xf numFmtId="4" fontId="10" fillId="3" borderId="25" xfId="0" applyNumberFormat="1" applyFont="1" applyFill="1" applyBorder="1" applyAlignment="1" applyProtection="1">
      <alignment horizontal="left"/>
      <protection hidden="1"/>
    </xf>
    <xf numFmtId="3" fontId="96" fillId="3" borderId="25" xfId="0" applyNumberFormat="1" applyFont="1" applyFill="1" applyBorder="1" applyAlignment="1" applyProtection="1">
      <alignment horizontal="right"/>
      <protection hidden="1"/>
    </xf>
    <xf numFmtId="37" fontId="7" fillId="3" borderId="31" xfId="0" applyNumberFormat="1" applyFont="1" applyFill="1" applyBorder="1" applyAlignment="1" applyProtection="1">
      <alignment horizontal="right"/>
      <protection hidden="1"/>
    </xf>
    <xf numFmtId="39" fontId="21" fillId="3" borderId="3" xfId="0" applyNumberFormat="1" applyFont="1" applyFill="1" applyBorder="1" applyAlignment="1" applyProtection="1">
      <alignment horizontal="right"/>
      <protection hidden="1"/>
    </xf>
    <xf numFmtId="37" fontId="49" fillId="3" borderId="3" xfId="0" applyNumberFormat="1" applyFont="1" applyFill="1" applyBorder="1" applyAlignment="1" applyProtection="1">
      <alignment horizontal="right"/>
      <protection hidden="1"/>
    </xf>
    <xf numFmtId="4" fontId="13" fillId="3" borderId="9" xfId="0" applyNumberFormat="1" applyFont="1" applyFill="1" applyBorder="1" applyAlignment="1" applyProtection="1">
      <alignment horizontal="right"/>
      <protection hidden="1"/>
    </xf>
    <xf numFmtId="0" fontId="0" fillId="6" borderId="0" xfId="0" applyFill="1" applyAlignment="1" applyProtection="1">
      <alignment horizontal="right"/>
      <protection hidden="1"/>
    </xf>
    <xf numFmtId="0" fontId="13" fillId="0" borderId="0" xfId="0" applyFont="1" applyProtection="1">
      <protection hidden="1"/>
    </xf>
    <xf numFmtId="0" fontId="6" fillId="3" borderId="1" xfId="0" applyFont="1" applyFill="1" applyBorder="1" applyAlignment="1" applyProtection="1">
      <alignment horizontal="right"/>
      <protection hidden="1"/>
    </xf>
    <xf numFmtId="4" fontId="85" fillId="3" borderId="0" xfId="0" applyNumberFormat="1" applyFont="1" applyFill="1" applyAlignment="1" applyProtection="1">
      <alignment horizontal="left"/>
      <protection hidden="1"/>
    </xf>
    <xf numFmtId="0" fontId="6" fillId="3" borderId="1" xfId="0" applyFont="1" applyFill="1" applyBorder="1" applyAlignment="1" applyProtection="1">
      <alignment horizontal="left"/>
      <protection hidden="1"/>
    </xf>
    <xf numFmtId="0" fontId="63" fillId="3" borderId="1" xfId="0" applyFont="1" applyFill="1" applyBorder="1" applyAlignment="1" applyProtection="1">
      <alignment horizontal="right"/>
      <protection hidden="1"/>
    </xf>
    <xf numFmtId="0" fontId="18" fillId="3" borderId="1" xfId="0" applyFont="1" applyFill="1" applyBorder="1" applyAlignment="1" applyProtection="1">
      <alignment horizontal="right"/>
      <protection hidden="1"/>
    </xf>
    <xf numFmtId="0" fontId="85" fillId="5" borderId="0" xfId="0" applyFont="1" applyFill="1" applyAlignment="1" applyProtection="1">
      <alignment horizontal="center"/>
      <protection hidden="1"/>
    </xf>
    <xf numFmtId="0" fontId="6" fillId="2" borderId="0" xfId="0" applyFont="1" applyFill="1" applyAlignment="1" applyProtection="1">
      <alignment horizontal="right" vertical="center"/>
      <protection hidden="1"/>
    </xf>
    <xf numFmtId="3" fontId="0" fillId="2" borderId="13" xfId="0" applyNumberFormat="1" applyFill="1" applyBorder="1" applyAlignment="1" applyProtection="1">
      <alignment vertical="center"/>
      <protection locked="0"/>
    </xf>
    <xf numFmtId="0" fontId="6" fillId="2" borderId="12" xfId="0" applyFont="1" applyFill="1" applyBorder="1" applyAlignment="1" applyProtection="1">
      <alignment horizontal="right"/>
      <protection hidden="1"/>
    </xf>
    <xf numFmtId="0" fontId="6" fillId="2" borderId="25" xfId="0" applyFont="1" applyFill="1" applyBorder="1" applyAlignment="1" applyProtection="1">
      <alignment horizontal="right"/>
      <protection hidden="1"/>
    </xf>
    <xf numFmtId="0" fontId="6" fillId="2" borderId="0" xfId="0" applyFont="1" applyFill="1" applyAlignment="1" applyProtection="1">
      <alignment horizontal="right" vertical="top"/>
      <protection hidden="1"/>
    </xf>
    <xf numFmtId="0" fontId="0" fillId="2" borderId="6" xfId="0" applyFill="1" applyBorder="1" applyAlignment="1" applyProtection="1">
      <alignment horizontal="center"/>
      <protection hidden="1"/>
    </xf>
    <xf numFmtId="0" fontId="0" fillId="2" borderId="22" xfId="0" applyFill="1" applyBorder="1" applyAlignment="1" applyProtection="1">
      <alignment horizontal="center"/>
      <protection hidden="1"/>
    </xf>
    <xf numFmtId="0" fontId="25" fillId="2" borderId="6" xfId="0" applyFont="1" applyFill="1" applyBorder="1" applyAlignment="1" applyProtection="1">
      <alignment horizontal="center"/>
      <protection hidden="1"/>
    </xf>
    <xf numFmtId="0" fontId="8" fillId="2" borderId="2" xfId="0" applyFont="1" applyFill="1" applyBorder="1" applyAlignment="1" applyProtection="1">
      <alignment horizontal="center" vertical="center"/>
      <protection locked="0"/>
    </xf>
    <xf numFmtId="0" fontId="0" fillId="2" borderId="24" xfId="0" applyFill="1" applyBorder="1" applyAlignment="1" applyProtection="1">
      <alignment horizontal="center"/>
      <protection hidden="1"/>
    </xf>
    <xf numFmtId="0" fontId="15" fillId="2" borderId="0" xfId="0" applyFont="1" applyFill="1" applyAlignment="1" applyProtection="1">
      <alignment horizontal="right"/>
      <protection hidden="1"/>
    </xf>
    <xf numFmtId="40" fontId="4" fillId="2" borderId="0" xfId="0" applyNumberFormat="1" applyFont="1" applyFill="1" applyAlignment="1" applyProtection="1">
      <alignment horizontal="left" vertical="top"/>
      <protection hidden="1"/>
    </xf>
    <xf numFmtId="0" fontId="27" fillId="2" borderId="0" xfId="0" applyFont="1" applyFill="1" applyProtection="1">
      <protection hidden="1"/>
    </xf>
    <xf numFmtId="0" fontId="46" fillId="2" borderId="0" xfId="0" applyFont="1" applyFill="1" applyProtection="1">
      <protection hidden="1"/>
    </xf>
    <xf numFmtId="40" fontId="0" fillId="2" borderId="0" xfId="0" applyNumberFormat="1" applyFill="1" applyAlignment="1" applyProtection="1">
      <alignment vertical="center"/>
      <protection hidden="1"/>
    </xf>
    <xf numFmtId="0" fontId="12" fillId="2" borderId="5" xfId="0" applyFont="1" applyFill="1" applyBorder="1" applyProtection="1">
      <protection hidden="1"/>
    </xf>
    <xf numFmtId="0" fontId="6" fillId="2" borderId="0" xfId="0" applyFont="1" applyFill="1" applyAlignment="1" applyProtection="1">
      <alignment horizontal="center" wrapText="1"/>
      <protection locked="0"/>
    </xf>
    <xf numFmtId="0" fontId="25" fillId="4" borderId="0" xfId="0" applyFont="1" applyFill="1" applyAlignment="1" applyProtection="1">
      <alignment horizontal="center"/>
      <protection locked="0"/>
    </xf>
    <xf numFmtId="0" fontId="19" fillId="3" borderId="8" xfId="0" applyFont="1" applyFill="1" applyBorder="1" applyProtection="1">
      <protection hidden="1"/>
    </xf>
    <xf numFmtId="0" fontId="9" fillId="3" borderId="8" xfId="0" applyFont="1" applyFill="1" applyBorder="1" applyAlignment="1" applyProtection="1">
      <alignment horizontal="left"/>
      <protection hidden="1"/>
    </xf>
    <xf numFmtId="0" fontId="9" fillId="3" borderId="37" xfId="0" applyFont="1" applyFill="1" applyBorder="1" applyAlignment="1" applyProtection="1">
      <alignment horizontal="left"/>
      <protection hidden="1"/>
    </xf>
    <xf numFmtId="4" fontId="0" fillId="3" borderId="12" xfId="0" applyNumberFormat="1" applyFill="1" applyBorder="1" applyProtection="1">
      <protection hidden="1"/>
    </xf>
    <xf numFmtId="4" fontId="6" fillId="3" borderId="25" xfId="0" applyNumberFormat="1" applyFont="1" applyFill="1" applyBorder="1" applyAlignment="1" applyProtection="1">
      <alignment horizontal="right"/>
      <protection hidden="1"/>
    </xf>
    <xf numFmtId="0" fontId="8" fillId="0" borderId="0" xfId="0" applyFont="1" applyAlignment="1" applyProtection="1">
      <alignment horizontal="right" vertical="center"/>
      <protection hidden="1"/>
    </xf>
    <xf numFmtId="0" fontId="7" fillId="0" borderId="0" xfId="0" applyFont="1" applyAlignment="1" applyProtection="1">
      <alignment horizontal="left" vertical="center"/>
      <protection hidden="1"/>
    </xf>
    <xf numFmtId="4" fontId="7" fillId="0" borderId="0" xfId="0" applyNumberFormat="1" applyFont="1" applyAlignment="1" applyProtection="1">
      <alignment horizontal="left" vertical="center"/>
      <protection hidden="1"/>
    </xf>
    <xf numFmtId="39" fontId="7" fillId="0" borderId="0" xfId="0" applyNumberFormat="1" applyFont="1" applyAlignment="1">
      <alignment horizontal="center" vertical="center"/>
    </xf>
    <xf numFmtId="39" fontId="7" fillId="0" borderId="0" xfId="0" applyNumberFormat="1" applyFont="1" applyAlignment="1" applyProtection="1">
      <alignment horizontal="right" vertical="center"/>
      <protection hidden="1"/>
    </xf>
    <xf numFmtId="39" fontId="7" fillId="0" borderId="0" xfId="0" applyNumberFormat="1" applyFont="1" applyAlignment="1" applyProtection="1">
      <alignment horizontal="center" vertical="center"/>
      <protection hidden="1"/>
    </xf>
    <xf numFmtId="0" fontId="7" fillId="3" borderId="0" xfId="0" applyFont="1" applyFill="1" applyAlignment="1" applyProtection="1">
      <alignment horizontal="left" vertical="center"/>
      <protection hidden="1"/>
    </xf>
    <xf numFmtId="0" fontId="13" fillId="5" borderId="0" xfId="0" applyFont="1" applyFill="1" applyAlignment="1" applyProtection="1">
      <alignment horizontal="center"/>
      <protection hidden="1"/>
    </xf>
    <xf numFmtId="4" fontId="6" fillId="3" borderId="1" xfId="0" applyNumberFormat="1" applyFont="1" applyFill="1" applyBorder="1" applyAlignment="1" applyProtection="1">
      <alignment horizontal="right"/>
      <protection hidden="1"/>
    </xf>
    <xf numFmtId="0" fontId="21" fillId="5" borderId="0" xfId="0" applyFont="1" applyFill="1" applyProtection="1">
      <protection hidden="1"/>
    </xf>
    <xf numFmtId="37" fontId="7" fillId="3" borderId="3" xfId="0" applyNumberFormat="1" applyFont="1" applyFill="1" applyBorder="1" applyAlignment="1" applyProtection="1">
      <alignment horizontal="right"/>
      <protection hidden="1"/>
    </xf>
    <xf numFmtId="4" fontId="13" fillId="3" borderId="8" xfId="0" applyNumberFormat="1" applyFont="1" applyFill="1" applyBorder="1" applyProtection="1">
      <protection hidden="1"/>
    </xf>
    <xf numFmtId="4" fontId="14" fillId="3" borderId="8" xfId="0" applyNumberFormat="1" applyFont="1" applyFill="1" applyBorder="1" applyProtection="1">
      <protection hidden="1"/>
    </xf>
    <xf numFmtId="4" fontId="7" fillId="3" borderId="8" xfId="0" applyNumberFormat="1" applyFont="1" applyFill="1" applyBorder="1" applyAlignment="1" applyProtection="1">
      <alignment horizontal="right"/>
      <protection hidden="1"/>
    </xf>
    <xf numFmtId="0" fontId="3" fillId="3" borderId="13" xfId="0" applyFont="1" applyFill="1" applyBorder="1" applyAlignment="1" applyProtection="1">
      <alignment horizontal="right"/>
      <protection hidden="1"/>
    </xf>
    <xf numFmtId="0" fontId="6" fillId="3" borderId="11" xfId="0" applyFont="1" applyFill="1" applyBorder="1" applyAlignment="1" applyProtection="1">
      <alignment horizontal="right"/>
      <protection hidden="1"/>
    </xf>
    <xf numFmtId="4" fontId="0" fillId="0" borderId="0" xfId="0" applyNumberFormat="1" applyAlignment="1" applyProtection="1">
      <alignment horizontal="right"/>
      <protection hidden="1"/>
    </xf>
    <xf numFmtId="4" fontId="0" fillId="0" borderId="0" xfId="0" applyNumberFormat="1" applyAlignment="1" applyProtection="1">
      <alignment horizontal="left"/>
      <protection hidden="1"/>
    </xf>
    <xf numFmtId="0" fontId="7" fillId="5" borderId="0" xfId="0" applyFont="1" applyFill="1" applyProtection="1">
      <protection hidden="1"/>
    </xf>
    <xf numFmtId="0" fontId="8" fillId="3" borderId="0" xfId="0" applyFont="1" applyFill="1" applyAlignment="1" applyProtection="1">
      <alignment horizontal="right"/>
      <protection hidden="1"/>
    </xf>
    <xf numFmtId="4" fontId="7" fillId="3" borderId="0" xfId="0" applyNumberFormat="1" applyFont="1" applyFill="1" applyAlignment="1" applyProtection="1">
      <alignment horizontal="left"/>
      <protection hidden="1"/>
    </xf>
    <xf numFmtId="1" fontId="6" fillId="3" borderId="0" xfId="0" applyNumberFormat="1" applyFont="1" applyFill="1" applyAlignment="1" applyProtection="1">
      <alignment horizontal="center"/>
      <protection hidden="1"/>
    </xf>
    <xf numFmtId="0" fontId="42" fillId="3" borderId="0" xfId="0" applyFont="1" applyFill="1" applyAlignment="1" applyProtection="1">
      <alignment horizontal="left" vertical="top"/>
      <protection hidden="1"/>
    </xf>
    <xf numFmtId="0" fontId="57" fillId="9" borderId="26" xfId="0" applyFont="1" applyFill="1" applyBorder="1" applyAlignment="1" applyProtection="1">
      <alignment vertical="center"/>
      <protection hidden="1"/>
    </xf>
    <xf numFmtId="1" fontId="17" fillId="3" borderId="0" xfId="0" applyNumberFormat="1" applyFont="1" applyFill="1" applyAlignment="1" applyProtection="1">
      <alignment horizontal="center" vertical="center"/>
      <protection hidden="1"/>
    </xf>
    <xf numFmtId="0" fontId="21" fillId="5" borderId="0" xfId="0" applyFont="1" applyFill="1" applyAlignment="1" applyProtection="1">
      <alignment vertical="center"/>
      <protection hidden="1"/>
    </xf>
    <xf numFmtId="0" fontId="21" fillId="0" borderId="0" xfId="0" applyFont="1" applyAlignment="1" applyProtection="1">
      <alignment vertical="center"/>
      <protection hidden="1"/>
    </xf>
    <xf numFmtId="4" fontId="7" fillId="3" borderId="25" xfId="0" applyNumberFormat="1" applyFont="1" applyFill="1" applyBorder="1" applyAlignment="1" applyProtection="1">
      <alignment horizontal="left"/>
      <protection hidden="1"/>
    </xf>
    <xf numFmtId="0" fontId="72" fillId="0" borderId="0" xfId="0" applyFont="1" applyProtection="1">
      <protection hidden="1"/>
    </xf>
    <xf numFmtId="3" fontId="7" fillId="2" borderId="1" xfId="0" applyNumberFormat="1" applyFont="1" applyFill="1" applyBorder="1" applyProtection="1">
      <protection locked="0"/>
    </xf>
    <xf numFmtId="3" fontId="33" fillId="0" borderId="0" xfId="0" applyNumberFormat="1" applyFont="1" applyAlignment="1" applyProtection="1">
      <alignment horizontal="right"/>
      <protection hidden="1"/>
    </xf>
    <xf numFmtId="0" fontId="33" fillId="0" borderId="0" xfId="0" applyFont="1" applyAlignment="1" applyProtection="1">
      <alignment horizontal="center"/>
      <protection hidden="1"/>
    </xf>
    <xf numFmtId="0" fontId="33" fillId="0" borderId="0" xfId="0" applyFont="1" applyProtection="1">
      <protection hidden="1"/>
    </xf>
    <xf numFmtId="0" fontId="100" fillId="5" borderId="0" xfId="0" applyFont="1" applyFill="1" applyAlignment="1" applyProtection="1">
      <alignment horizontal="center"/>
      <protection hidden="1"/>
    </xf>
    <xf numFmtId="0" fontId="0" fillId="5" borderId="20" xfId="0" applyFill="1" applyBorder="1" applyProtection="1">
      <protection hidden="1"/>
    </xf>
    <xf numFmtId="0" fontId="10" fillId="5" borderId="21" xfId="0" applyFont="1" applyFill="1" applyBorder="1" applyAlignment="1" applyProtection="1">
      <alignment horizontal="center"/>
      <protection hidden="1"/>
    </xf>
    <xf numFmtId="0" fontId="10" fillId="5" borderId="23" xfId="0" applyFont="1" applyFill="1" applyBorder="1" applyAlignment="1" applyProtection="1">
      <alignment horizontal="center"/>
      <protection hidden="1"/>
    </xf>
    <xf numFmtId="0" fontId="0" fillId="0" borderId="0" xfId="0" applyAlignment="1">
      <alignment vertical="top"/>
    </xf>
    <xf numFmtId="3" fontId="33" fillId="3" borderId="0" xfId="0" applyNumberFormat="1" applyFont="1" applyFill="1" applyAlignment="1" applyProtection="1">
      <alignment horizontal="right" vertical="center"/>
      <protection hidden="1"/>
    </xf>
    <xf numFmtId="0" fontId="0" fillId="5" borderId="0" xfId="0" applyFill="1"/>
    <xf numFmtId="0" fontId="8" fillId="2" borderId="0" xfId="0" applyFont="1" applyFill="1" applyAlignment="1" applyProtection="1">
      <alignment vertical="top"/>
      <protection hidden="1"/>
    </xf>
    <xf numFmtId="0" fontId="3" fillId="3" borderId="3" xfId="0" applyFont="1" applyFill="1" applyBorder="1" applyAlignment="1" applyProtection="1">
      <alignment horizontal="center"/>
      <protection hidden="1"/>
    </xf>
    <xf numFmtId="0" fontId="18" fillId="3" borderId="0" xfId="0" applyFont="1" applyFill="1" applyAlignment="1" applyProtection="1">
      <alignment vertical="center"/>
      <protection hidden="1"/>
    </xf>
    <xf numFmtId="0" fontId="6" fillId="3" borderId="0" xfId="0" applyFont="1" applyFill="1" applyAlignment="1" applyProtection="1">
      <alignment vertical="center"/>
      <protection hidden="1"/>
    </xf>
    <xf numFmtId="0" fontId="50" fillId="3" borderId="0" xfId="0" applyFont="1" applyFill="1" applyAlignment="1" applyProtection="1">
      <alignment horizontal="left"/>
      <protection hidden="1"/>
    </xf>
    <xf numFmtId="4" fontId="8" fillId="3" borderId="0" xfId="0" applyNumberFormat="1" applyFont="1" applyFill="1" applyProtection="1">
      <protection hidden="1"/>
    </xf>
    <xf numFmtId="172" fontId="11" fillId="3" borderId="0" xfId="0" applyNumberFormat="1" applyFont="1" applyFill="1" applyProtection="1">
      <protection hidden="1"/>
    </xf>
    <xf numFmtId="39" fontId="8" fillId="3" borderId="0" xfId="0" applyNumberFormat="1" applyFont="1" applyFill="1" applyAlignment="1" applyProtection="1">
      <alignment horizontal="right"/>
      <protection hidden="1"/>
    </xf>
    <xf numFmtId="39" fontId="100" fillId="3" borderId="0" xfId="0" applyNumberFormat="1" applyFont="1" applyFill="1" applyProtection="1">
      <protection hidden="1"/>
    </xf>
    <xf numFmtId="39" fontId="73" fillId="3" borderId="0" xfId="0" applyNumberFormat="1" applyFont="1" applyFill="1" applyAlignment="1" applyProtection="1">
      <alignment horizontal="left"/>
      <protection hidden="1"/>
    </xf>
    <xf numFmtId="0" fontId="15" fillId="3" borderId="0" xfId="0" applyFont="1" applyFill="1" applyProtection="1">
      <protection hidden="1"/>
    </xf>
    <xf numFmtId="0" fontId="21" fillId="3" borderId="5" xfId="0" applyFont="1" applyFill="1" applyBorder="1" applyProtection="1">
      <protection hidden="1"/>
    </xf>
    <xf numFmtId="0" fontId="6" fillId="3" borderId="5" xfId="0" applyFont="1" applyFill="1" applyBorder="1" applyProtection="1">
      <protection hidden="1"/>
    </xf>
    <xf numFmtId="4" fontId="6" fillId="3" borderId="0" xfId="0" applyNumberFormat="1" applyFont="1" applyFill="1" applyAlignment="1" applyProtection="1">
      <alignment horizontal="right"/>
      <protection hidden="1"/>
    </xf>
    <xf numFmtId="4" fontId="14" fillId="3" borderId="1" xfId="0" applyNumberFormat="1" applyFont="1" applyFill="1" applyBorder="1" applyProtection="1">
      <protection hidden="1"/>
    </xf>
    <xf numFmtId="4" fontId="6" fillId="3" borderId="0" xfId="0" applyNumberFormat="1" applyFont="1" applyFill="1" applyProtection="1">
      <protection hidden="1"/>
    </xf>
    <xf numFmtId="0" fontId="21" fillId="3" borderId="0" xfId="0" applyFont="1" applyFill="1" applyAlignment="1" applyProtection="1">
      <alignment vertical="center"/>
      <protection hidden="1"/>
    </xf>
    <xf numFmtId="4" fontId="21" fillId="3" borderId="0" xfId="0" applyNumberFormat="1" applyFont="1" applyFill="1" applyAlignment="1" applyProtection="1">
      <alignment vertical="center"/>
      <protection hidden="1"/>
    </xf>
    <xf numFmtId="4" fontId="6" fillId="3" borderId="0" xfId="0" applyNumberFormat="1" applyFont="1" applyFill="1" applyAlignment="1" applyProtection="1">
      <alignment vertical="center"/>
      <protection hidden="1"/>
    </xf>
    <xf numFmtId="0" fontId="6" fillId="0" borderId="0" xfId="0" applyFont="1" applyAlignment="1" applyProtection="1">
      <alignment vertical="center"/>
      <protection hidden="1"/>
    </xf>
    <xf numFmtId="0" fontId="21" fillId="0" borderId="0" xfId="0" applyFont="1" applyAlignment="1">
      <alignment vertical="center"/>
    </xf>
    <xf numFmtId="0" fontId="53" fillId="3" borderId="0" xfId="0" applyFont="1" applyFill="1" applyAlignment="1" applyProtection="1">
      <alignment vertical="center"/>
      <protection hidden="1"/>
    </xf>
    <xf numFmtId="4" fontId="53" fillId="3" borderId="0" xfId="0" applyNumberFormat="1" applyFont="1" applyFill="1" applyAlignment="1" applyProtection="1">
      <alignment vertical="center"/>
      <protection hidden="1"/>
    </xf>
    <xf numFmtId="0" fontId="53" fillId="0" borderId="0" xfId="0" applyFont="1" applyAlignment="1" applyProtection="1">
      <alignment vertical="center"/>
      <protection hidden="1"/>
    </xf>
    <xf numFmtId="0" fontId="0" fillId="0" borderId="0" xfId="0" applyAlignment="1">
      <alignment vertical="center"/>
    </xf>
    <xf numFmtId="4" fontId="21" fillId="3" borderId="5" xfId="0" applyNumberFormat="1" applyFont="1" applyFill="1" applyBorder="1" applyProtection="1">
      <protection hidden="1"/>
    </xf>
    <xf numFmtId="0" fontId="6" fillId="3" borderId="0" xfId="0" applyFont="1" applyFill="1" applyAlignment="1" applyProtection="1">
      <alignment horizontal="center" vertical="center"/>
      <protection hidden="1"/>
    </xf>
    <xf numFmtId="0" fontId="21" fillId="3" borderId="5" xfId="0" applyFont="1" applyFill="1" applyBorder="1" applyAlignment="1" applyProtection="1">
      <alignment horizontal="center"/>
      <protection hidden="1"/>
    </xf>
    <xf numFmtId="0" fontId="6" fillId="3" borderId="3" xfId="0" applyFont="1" applyFill="1" applyBorder="1" applyAlignment="1" applyProtection="1">
      <alignment horizontal="center" vertical="center"/>
      <protection locked="0"/>
    </xf>
    <xf numFmtId="39" fontId="0" fillId="3" borderId="3" xfId="0" applyNumberFormat="1" applyFill="1" applyBorder="1" applyProtection="1">
      <protection hidden="1"/>
    </xf>
    <xf numFmtId="3" fontId="7" fillId="3" borderId="0" xfId="0" applyNumberFormat="1" applyFont="1" applyFill="1" applyAlignment="1" applyProtection="1">
      <alignment horizontal="center"/>
      <protection hidden="1"/>
    </xf>
    <xf numFmtId="0" fontId="75" fillId="5" borderId="0" xfId="2" applyFill="1" applyAlignment="1" applyProtection="1">
      <alignment horizontal="center"/>
      <protection hidden="1"/>
    </xf>
    <xf numFmtId="39" fontId="33" fillId="3" borderId="6" xfId="0" applyNumberFormat="1" applyFont="1" applyFill="1" applyBorder="1" applyAlignment="1" applyProtection="1">
      <alignment horizontal="right"/>
      <protection hidden="1"/>
    </xf>
    <xf numFmtId="0" fontId="6" fillId="3" borderId="3" xfId="0" applyFont="1" applyFill="1" applyBorder="1" applyAlignment="1" applyProtection="1">
      <alignment horizontal="left"/>
      <protection hidden="1"/>
    </xf>
    <xf numFmtId="0" fontId="25" fillId="3" borderId="0" xfId="0" applyFont="1" applyFill="1" applyAlignment="1" applyProtection="1">
      <alignment horizontal="center"/>
      <protection hidden="1"/>
    </xf>
    <xf numFmtId="0" fontId="49" fillId="3" borderId="0" xfId="0" applyFont="1" applyFill="1" applyAlignment="1" applyProtection="1">
      <alignment horizontal="center"/>
      <protection hidden="1"/>
    </xf>
    <xf numFmtId="0" fontId="7" fillId="3" borderId="3" xfId="0" applyFont="1" applyFill="1" applyBorder="1" applyAlignment="1" applyProtection="1">
      <alignment horizontal="left"/>
      <protection hidden="1"/>
    </xf>
    <xf numFmtId="0" fontId="7" fillId="3" borderId="10" xfId="0" applyFont="1" applyFill="1" applyBorder="1" applyAlignment="1" applyProtection="1">
      <alignment horizontal="left"/>
      <protection hidden="1"/>
    </xf>
    <xf numFmtId="0" fontId="7" fillId="3" borderId="1" xfId="0" applyFont="1" applyFill="1" applyBorder="1" applyAlignment="1" applyProtection="1">
      <alignment horizontal="left"/>
      <protection hidden="1"/>
    </xf>
    <xf numFmtId="0" fontId="49" fillId="3" borderId="1" xfId="0" applyFont="1" applyFill="1" applyBorder="1" applyAlignment="1" applyProtection="1">
      <alignment horizontal="center"/>
      <protection hidden="1"/>
    </xf>
    <xf numFmtId="4" fontId="7" fillId="3" borderId="30" xfId="0" applyNumberFormat="1" applyFont="1" applyFill="1" applyBorder="1" applyAlignment="1" applyProtection="1">
      <alignment horizontal="right"/>
      <protection hidden="1"/>
    </xf>
    <xf numFmtId="0" fontId="49" fillId="3" borderId="9" xfId="0" applyFont="1" applyFill="1" applyBorder="1" applyAlignment="1" applyProtection="1">
      <alignment horizontal="center"/>
      <protection hidden="1"/>
    </xf>
    <xf numFmtId="3" fontId="10" fillId="3" borderId="0" xfId="0" applyNumberFormat="1" applyFont="1" applyFill="1" applyAlignment="1" applyProtection="1">
      <alignment horizontal="center"/>
      <protection hidden="1"/>
    </xf>
    <xf numFmtId="37" fontId="49" fillId="3" borderId="0" xfId="0" applyNumberFormat="1" applyFont="1" applyFill="1" applyAlignment="1" applyProtection="1">
      <alignment horizontal="right"/>
      <protection hidden="1"/>
    </xf>
    <xf numFmtId="0" fontId="75" fillId="0" borderId="0" xfId="2" applyAlignment="1" applyProtection="1">
      <alignment horizontal="center"/>
    </xf>
    <xf numFmtId="0" fontId="6" fillId="5" borderId="0" xfId="0" applyFont="1" applyFill="1" applyAlignment="1" applyProtection="1">
      <alignment horizontal="center" vertical="center"/>
      <protection hidden="1"/>
    </xf>
    <xf numFmtId="0" fontId="75" fillId="0" borderId="0" xfId="2" applyAlignment="1" applyProtection="1">
      <alignment horizontal="center"/>
      <protection hidden="1"/>
    </xf>
    <xf numFmtId="0" fontId="0" fillId="5" borderId="0" xfId="0" applyFill="1" applyAlignment="1">
      <alignment vertical="center"/>
    </xf>
    <xf numFmtId="0" fontId="14" fillId="5" borderId="0" xfId="0" applyFont="1" applyFill="1" applyProtection="1">
      <protection hidden="1"/>
    </xf>
    <xf numFmtId="0" fontId="8" fillId="5" borderId="0" xfId="0" applyFont="1" applyFill="1" applyProtection="1">
      <protection hidden="1"/>
    </xf>
    <xf numFmtId="4" fontId="7" fillId="5" borderId="0" xfId="0" applyNumberFormat="1" applyFont="1" applyFill="1" applyProtection="1">
      <protection hidden="1"/>
    </xf>
    <xf numFmtId="39" fontId="7" fillId="5" borderId="0" xfId="0" applyNumberFormat="1" applyFont="1" applyFill="1" applyAlignment="1" applyProtection="1">
      <alignment horizontal="right"/>
      <protection hidden="1"/>
    </xf>
    <xf numFmtId="0" fontId="3" fillId="5" borderId="0" xfId="0" applyFont="1" applyFill="1"/>
    <xf numFmtId="0" fontId="51" fillId="5" borderId="0" xfId="0" applyFont="1" applyFill="1"/>
    <xf numFmtId="4" fontId="0" fillId="5" borderId="0" xfId="0" applyNumberFormat="1" applyFill="1"/>
    <xf numFmtId="0" fontId="0" fillId="5" borderId="0" xfId="0" applyFill="1" applyAlignment="1">
      <alignment horizontal="center"/>
    </xf>
    <xf numFmtId="0" fontId="0" fillId="5" borderId="0" xfId="0" applyFill="1" applyAlignment="1">
      <alignment vertical="top"/>
    </xf>
    <xf numFmtId="0" fontId="10" fillId="5" borderId="0" xfId="0" applyFont="1" applyFill="1" applyAlignment="1" applyProtection="1">
      <alignment wrapText="1"/>
      <protection hidden="1"/>
    </xf>
    <xf numFmtId="0" fontId="24" fillId="5" borderId="0" xfId="0" applyFont="1" applyFill="1" applyAlignment="1" applyProtection="1">
      <alignment horizontal="center" vertical="center"/>
      <protection hidden="1"/>
    </xf>
    <xf numFmtId="0" fontId="10" fillId="5" borderId="0" xfId="0" applyFont="1" applyFill="1" applyAlignment="1" applyProtection="1">
      <alignment horizontal="left"/>
      <protection hidden="1"/>
    </xf>
    <xf numFmtId="0" fontId="87" fillId="5" borderId="0" xfId="0" applyFont="1" applyFill="1" applyAlignment="1" applyProtection="1">
      <alignment horizontal="left"/>
      <protection hidden="1"/>
    </xf>
    <xf numFmtId="4" fontId="25" fillId="5" borderId="0" xfId="0" applyNumberFormat="1" applyFont="1" applyFill="1" applyProtection="1">
      <protection hidden="1"/>
    </xf>
    <xf numFmtId="0" fontId="25" fillId="5" borderId="0" xfId="0" applyFont="1" applyFill="1" applyProtection="1">
      <protection hidden="1"/>
    </xf>
    <xf numFmtId="4" fontId="77" fillId="5" borderId="0" xfId="0" applyNumberFormat="1" applyFont="1" applyFill="1" applyProtection="1">
      <protection hidden="1"/>
    </xf>
    <xf numFmtId="1" fontId="25" fillId="5" borderId="0" xfId="0" applyNumberFormat="1" applyFont="1" applyFill="1" applyAlignment="1" applyProtection="1">
      <alignment horizontal="right" vertical="center"/>
      <protection hidden="1"/>
    </xf>
    <xf numFmtId="0" fontId="6" fillId="3" borderId="1" xfId="0" applyFont="1" applyFill="1" applyBorder="1" applyProtection="1">
      <protection hidden="1"/>
    </xf>
    <xf numFmtId="0" fontId="0" fillId="5" borderId="0" xfId="0" applyFill="1" applyAlignment="1" applyProtection="1">
      <alignment vertical="center"/>
      <protection hidden="1"/>
    </xf>
    <xf numFmtId="0" fontId="64" fillId="5" borderId="0" xfId="0" applyFont="1" applyFill="1" applyProtection="1">
      <protection hidden="1"/>
    </xf>
    <xf numFmtId="0" fontId="0" fillId="5" borderId="0" xfId="0" applyFill="1" applyAlignment="1" applyProtection="1">
      <alignment vertical="top"/>
      <protection hidden="1"/>
    </xf>
    <xf numFmtId="0" fontId="86" fillId="2" borderId="0" xfId="0" applyFont="1" applyFill="1" applyAlignment="1" applyProtection="1">
      <alignment horizontal="right" vertical="top" wrapText="1"/>
      <protection hidden="1"/>
    </xf>
    <xf numFmtId="0" fontId="86" fillId="2" borderId="5" xfId="0" applyFont="1" applyFill="1" applyBorder="1" applyAlignment="1" applyProtection="1">
      <alignment horizontal="right" vertical="top" wrapText="1"/>
      <protection hidden="1"/>
    </xf>
    <xf numFmtId="0" fontId="0" fillId="7" borderId="0" xfId="0" applyFill="1" applyProtection="1">
      <protection hidden="1"/>
    </xf>
    <xf numFmtId="0" fontId="90" fillId="5" borderId="0" xfId="0" applyFont="1" applyFill="1" applyProtection="1">
      <protection hidden="1"/>
    </xf>
    <xf numFmtId="1" fontId="17" fillId="7" borderId="0" xfId="0" applyNumberFormat="1" applyFont="1" applyFill="1" applyAlignment="1" applyProtection="1">
      <alignment horizontal="center"/>
      <protection hidden="1"/>
    </xf>
    <xf numFmtId="1" fontId="23" fillId="7" borderId="0" xfId="0" applyNumberFormat="1" applyFont="1" applyFill="1" applyAlignment="1" applyProtection="1">
      <alignment horizontal="left"/>
      <protection hidden="1"/>
    </xf>
    <xf numFmtId="1" fontId="6" fillId="7" borderId="0" xfId="0" applyNumberFormat="1" applyFont="1" applyFill="1" applyAlignment="1" applyProtection="1">
      <alignment horizontal="center"/>
      <protection hidden="1"/>
    </xf>
    <xf numFmtId="39" fontId="10" fillId="7" borderId="0" xfId="0" applyNumberFormat="1" applyFont="1" applyFill="1" applyAlignment="1" applyProtection="1">
      <alignment horizontal="right"/>
      <protection hidden="1"/>
    </xf>
    <xf numFmtId="39" fontId="21" fillId="7" borderId="0" xfId="0" applyNumberFormat="1" applyFont="1" applyFill="1" applyAlignment="1" applyProtection="1">
      <alignment horizontal="right"/>
      <protection hidden="1"/>
    </xf>
    <xf numFmtId="1" fontId="17" fillId="7" borderId="0" xfId="0" applyNumberFormat="1" applyFont="1" applyFill="1" applyAlignment="1" applyProtection="1">
      <alignment horizontal="center" vertical="center"/>
      <protection hidden="1"/>
    </xf>
    <xf numFmtId="39" fontId="33" fillId="7" borderId="0" xfId="0" applyNumberFormat="1" applyFont="1" applyFill="1" applyAlignment="1" applyProtection="1">
      <alignment horizontal="right"/>
      <protection hidden="1"/>
    </xf>
    <xf numFmtId="4" fontId="13" fillId="7" borderId="0" xfId="0" applyNumberFormat="1" applyFont="1" applyFill="1" applyAlignment="1" applyProtection="1">
      <alignment horizontal="right"/>
      <protection hidden="1"/>
    </xf>
    <xf numFmtId="4" fontId="7" fillId="7" borderId="0" xfId="0" applyNumberFormat="1" applyFont="1" applyFill="1" applyAlignment="1" applyProtection="1">
      <alignment horizontal="right"/>
      <protection hidden="1"/>
    </xf>
    <xf numFmtId="39" fontId="61" fillId="7" borderId="0" xfId="0" applyNumberFormat="1" applyFont="1" applyFill="1" applyProtection="1">
      <protection hidden="1"/>
    </xf>
    <xf numFmtId="1" fontId="7" fillId="7" borderId="0" xfId="0" applyNumberFormat="1" applyFont="1" applyFill="1" applyAlignment="1" applyProtection="1">
      <alignment horizontal="center"/>
      <protection hidden="1"/>
    </xf>
    <xf numFmtId="4" fontId="0" fillId="5" borderId="0" xfId="0" applyNumberFormat="1" applyFill="1" applyAlignment="1" applyProtection="1">
      <alignment horizontal="right"/>
      <protection hidden="1"/>
    </xf>
    <xf numFmtId="1" fontId="7" fillId="3" borderId="0" xfId="0" applyNumberFormat="1" applyFont="1" applyFill="1" applyAlignment="1" applyProtection="1">
      <alignment horizontal="center"/>
      <protection hidden="1"/>
    </xf>
    <xf numFmtId="0" fontId="3" fillId="5" borderId="0" xfId="0" applyFont="1" applyFill="1" applyProtection="1">
      <protection hidden="1"/>
    </xf>
    <xf numFmtId="4" fontId="0" fillId="5" borderId="0" xfId="0" applyNumberFormat="1" applyFill="1" applyProtection="1">
      <protection hidden="1"/>
    </xf>
    <xf numFmtId="4" fontId="17" fillId="3" borderId="0" xfId="0" applyNumberFormat="1" applyFont="1" applyFill="1" applyAlignment="1" applyProtection="1">
      <alignment horizontal="center"/>
      <protection hidden="1"/>
    </xf>
    <xf numFmtId="1" fontId="6" fillId="3" borderId="7" xfId="0" applyNumberFormat="1" applyFont="1" applyFill="1" applyBorder="1" applyAlignment="1" applyProtection="1">
      <alignment horizontal="right"/>
      <protection hidden="1"/>
    </xf>
    <xf numFmtId="0" fontId="30" fillId="3" borderId="0" xfId="0" applyFont="1" applyFill="1" applyAlignment="1" applyProtection="1">
      <alignment horizontal="center"/>
      <protection hidden="1"/>
    </xf>
    <xf numFmtId="0" fontId="19" fillId="3" borderId="0" xfId="0" applyFont="1" applyFill="1" applyAlignment="1" applyProtection="1">
      <alignment horizontal="left"/>
      <protection hidden="1"/>
    </xf>
    <xf numFmtId="0" fontId="90" fillId="5" borderId="0" xfId="0" applyFont="1" applyFill="1" applyAlignment="1" applyProtection="1">
      <alignment horizontal="center"/>
      <protection hidden="1"/>
    </xf>
    <xf numFmtId="0" fontId="10" fillId="0" borderId="0" xfId="0" applyFont="1" applyAlignment="1" applyProtection="1">
      <alignment horizontal="left"/>
      <protection hidden="1"/>
    </xf>
    <xf numFmtId="4" fontId="10" fillId="7" borderId="16" xfId="0" applyNumberFormat="1" applyFont="1" applyFill="1" applyBorder="1" applyProtection="1">
      <protection hidden="1"/>
    </xf>
    <xf numFmtId="4" fontId="10" fillId="7" borderId="7" xfId="0" applyNumberFormat="1" applyFont="1" applyFill="1" applyBorder="1" applyProtection="1">
      <protection hidden="1"/>
    </xf>
    <xf numFmtId="4" fontId="53" fillId="3" borderId="0" xfId="0" applyNumberFormat="1" applyFont="1" applyFill="1" applyProtection="1">
      <protection hidden="1"/>
    </xf>
    <xf numFmtId="4" fontId="13" fillId="3" borderId="5" xfId="0" applyNumberFormat="1" applyFont="1" applyFill="1" applyBorder="1" applyProtection="1">
      <protection hidden="1"/>
    </xf>
    <xf numFmtId="4" fontId="10" fillId="3" borderId="5" xfId="0" applyNumberFormat="1" applyFont="1" applyFill="1" applyBorder="1" applyAlignment="1" applyProtection="1">
      <alignment horizontal="right"/>
      <protection hidden="1"/>
    </xf>
    <xf numFmtId="4" fontId="6" fillId="3" borderId="5" xfId="0" applyNumberFormat="1" applyFont="1" applyFill="1" applyBorder="1" applyProtection="1">
      <protection hidden="1"/>
    </xf>
    <xf numFmtId="4" fontId="53" fillId="3" borderId="1" xfId="0" applyNumberFormat="1" applyFont="1" applyFill="1" applyBorder="1" applyProtection="1">
      <protection hidden="1"/>
    </xf>
    <xf numFmtId="39" fontId="61" fillId="3" borderId="1" xfId="0" applyNumberFormat="1" applyFont="1" applyFill="1" applyBorder="1" applyProtection="1">
      <protection hidden="1"/>
    </xf>
    <xf numFmtId="4" fontId="10" fillId="3" borderId="8" xfId="0" applyNumberFormat="1" applyFont="1" applyFill="1" applyBorder="1" applyAlignment="1" applyProtection="1">
      <alignment horizontal="right"/>
      <protection hidden="1"/>
    </xf>
    <xf numFmtId="4" fontId="6" fillId="3" borderId="8" xfId="0" applyNumberFormat="1" applyFont="1" applyFill="1" applyBorder="1" applyProtection="1">
      <protection hidden="1"/>
    </xf>
    <xf numFmtId="0" fontId="15" fillId="3" borderId="0" xfId="0" applyFont="1" applyFill="1" applyAlignment="1" applyProtection="1">
      <alignment vertical="center"/>
      <protection hidden="1"/>
    </xf>
    <xf numFmtId="0" fontId="60" fillId="9" borderId="26" xfId="0" applyFont="1" applyFill="1" applyBorder="1" applyAlignment="1" applyProtection="1">
      <alignment horizontal="center"/>
      <protection hidden="1"/>
    </xf>
    <xf numFmtId="0" fontId="0" fillId="2" borderId="21" xfId="0" applyFill="1" applyBorder="1" applyAlignment="1" applyProtection="1">
      <alignment vertical="top"/>
      <protection hidden="1"/>
    </xf>
    <xf numFmtId="0" fontId="3" fillId="3" borderId="16" xfId="0" applyFont="1" applyFill="1" applyBorder="1" applyAlignment="1" applyProtection="1">
      <alignment horizontal="right"/>
      <protection hidden="1"/>
    </xf>
    <xf numFmtId="164" fontId="64" fillId="2" borderId="0" xfId="0" applyNumberFormat="1" applyFont="1" applyFill="1" applyAlignment="1" applyProtection="1">
      <alignment horizontal="left"/>
      <protection hidden="1"/>
    </xf>
    <xf numFmtId="40" fontId="78" fillId="2" borderId="21" xfId="0" applyNumberFormat="1" applyFont="1" applyFill="1" applyBorder="1" applyAlignment="1" applyProtection="1">
      <alignment horizontal="right"/>
      <protection hidden="1"/>
    </xf>
    <xf numFmtId="40" fontId="67" fillId="5" borderId="0" xfId="0" applyNumberFormat="1" applyFont="1" applyFill="1" applyAlignment="1" applyProtection="1">
      <alignment horizontal="right"/>
      <protection hidden="1"/>
    </xf>
    <xf numFmtId="40" fontId="21" fillId="5" borderId="0" xfId="0" applyNumberFormat="1" applyFont="1" applyFill="1" applyProtection="1">
      <protection hidden="1"/>
    </xf>
    <xf numFmtId="40" fontId="0" fillId="5" borderId="0" xfId="0" applyNumberFormat="1" applyFill="1" applyProtection="1">
      <protection hidden="1"/>
    </xf>
    <xf numFmtId="38" fontId="7" fillId="5" borderId="0" xfId="0" applyNumberFormat="1" applyFont="1" applyFill="1" applyProtection="1">
      <protection hidden="1"/>
    </xf>
    <xf numFmtId="164" fontId="6" fillId="5" borderId="0" xfId="0" applyNumberFormat="1" applyFont="1" applyFill="1" applyProtection="1">
      <protection hidden="1"/>
    </xf>
    <xf numFmtId="164" fontId="21" fillId="5" borderId="0" xfId="0" applyNumberFormat="1" applyFont="1" applyFill="1" applyProtection="1">
      <protection hidden="1"/>
    </xf>
    <xf numFmtId="38" fontId="0" fillId="5" borderId="0" xfId="0" applyNumberFormat="1" applyFill="1" applyAlignment="1" applyProtection="1">
      <alignment horizontal="center"/>
      <protection hidden="1"/>
    </xf>
    <xf numFmtId="0" fontId="104" fillId="2" borderId="0" xfId="0" applyFont="1" applyFill="1" applyProtection="1">
      <protection hidden="1"/>
    </xf>
    <xf numFmtId="40" fontId="6" fillId="2" borderId="0" xfId="0" applyNumberFormat="1" applyFont="1" applyFill="1" applyAlignment="1" applyProtection="1">
      <alignment horizontal="right"/>
      <protection hidden="1"/>
    </xf>
    <xf numFmtId="164" fontId="21" fillId="2" borderId="1" xfId="0" applyNumberFormat="1" applyFont="1" applyFill="1" applyBorder="1" applyAlignment="1" applyProtection="1">
      <alignment horizontal="left"/>
      <protection hidden="1"/>
    </xf>
    <xf numFmtId="164" fontId="21" fillId="2" borderId="1" xfId="0" applyNumberFormat="1" applyFont="1" applyFill="1" applyBorder="1" applyAlignment="1" applyProtection="1">
      <alignment horizontal="right"/>
      <protection hidden="1"/>
    </xf>
    <xf numFmtId="164" fontId="6" fillId="2" borderId="22" xfId="0" applyNumberFormat="1" applyFont="1" applyFill="1" applyBorder="1" applyProtection="1">
      <protection hidden="1"/>
    </xf>
    <xf numFmtId="164" fontId="77" fillId="2" borderId="0" xfId="0" applyNumberFormat="1" applyFont="1" applyFill="1" applyAlignment="1" applyProtection="1">
      <alignment horizontal="right"/>
      <protection hidden="1"/>
    </xf>
    <xf numFmtId="38" fontId="25" fillId="2" borderId="0" xfId="0" applyNumberFormat="1" applyFont="1" applyFill="1" applyAlignment="1" applyProtection="1">
      <alignment horizontal="center"/>
      <protection hidden="1"/>
    </xf>
    <xf numFmtId="38" fontId="21" fillId="2" borderId="0" xfId="0" applyNumberFormat="1" applyFont="1" applyFill="1" applyAlignment="1" applyProtection="1">
      <alignment horizontal="center"/>
      <protection hidden="1"/>
    </xf>
    <xf numFmtId="38" fontId="25" fillId="2" borderId="5" xfId="0" applyNumberFormat="1" applyFont="1" applyFill="1" applyBorder="1" applyAlignment="1" applyProtection="1">
      <alignment horizontal="center"/>
      <protection hidden="1"/>
    </xf>
    <xf numFmtId="14" fontId="25" fillId="2" borderId="5" xfId="0" applyNumberFormat="1" applyFont="1" applyFill="1" applyBorder="1" applyAlignment="1" applyProtection="1">
      <alignment horizontal="center"/>
      <protection hidden="1"/>
    </xf>
    <xf numFmtId="1" fontId="105" fillId="2" borderId="0" xfId="0" applyNumberFormat="1" applyFont="1" applyFill="1" applyProtection="1">
      <protection hidden="1"/>
    </xf>
    <xf numFmtId="0" fontId="10" fillId="5" borderId="20" xfId="0" applyFont="1" applyFill="1" applyBorder="1" applyAlignment="1" applyProtection="1">
      <alignment horizontal="center"/>
      <protection hidden="1"/>
    </xf>
    <xf numFmtId="164" fontId="21" fillId="2" borderId="0" xfId="0" applyNumberFormat="1" applyFont="1" applyFill="1" applyAlignment="1" applyProtection="1">
      <alignment horizontal="right"/>
      <protection hidden="1"/>
    </xf>
    <xf numFmtId="40" fontId="77" fillId="2" borderId="0" xfId="0" applyNumberFormat="1" applyFont="1" applyFill="1" applyAlignment="1" applyProtection="1">
      <alignment horizontal="right"/>
      <protection hidden="1"/>
    </xf>
    <xf numFmtId="0" fontId="10" fillId="5" borderId="6" xfId="0" applyFont="1" applyFill="1" applyBorder="1" applyAlignment="1" applyProtection="1">
      <alignment horizontal="center"/>
      <protection hidden="1"/>
    </xf>
    <xf numFmtId="0" fontId="10" fillId="5" borderId="8" xfId="0" applyFont="1" applyFill="1" applyBorder="1" applyAlignment="1" applyProtection="1">
      <alignment horizontal="center"/>
      <protection hidden="1"/>
    </xf>
    <xf numFmtId="164" fontId="77" fillId="2" borderId="0" xfId="0" applyNumberFormat="1" applyFont="1" applyFill="1" applyAlignment="1" applyProtection="1">
      <alignment horizontal="center"/>
      <protection hidden="1"/>
    </xf>
    <xf numFmtId="40" fontId="64" fillId="2" borderId="0" xfId="0" applyNumberFormat="1" applyFont="1" applyFill="1" applyAlignment="1" applyProtection="1">
      <alignment horizontal="right"/>
      <protection hidden="1"/>
    </xf>
    <xf numFmtId="40" fontId="78" fillId="2" borderId="21" xfId="0" applyNumberFormat="1" applyFont="1" applyFill="1" applyBorder="1" applyAlignment="1" applyProtection="1">
      <alignment horizontal="center"/>
      <protection hidden="1"/>
    </xf>
    <xf numFmtId="1" fontId="7" fillId="0" borderId="61" xfId="0" applyNumberFormat="1" applyFont="1" applyBorder="1" applyAlignment="1" applyProtection="1">
      <alignment horizontal="center"/>
      <protection locked="0"/>
    </xf>
    <xf numFmtId="1" fontId="49" fillId="2" borderId="0" xfId="0" applyNumberFormat="1" applyFont="1" applyFill="1" applyProtection="1">
      <protection hidden="1"/>
    </xf>
    <xf numFmtId="0" fontId="28" fillId="2" borderId="0" xfId="0" applyFont="1" applyFill="1" applyProtection="1">
      <protection hidden="1"/>
    </xf>
    <xf numFmtId="38" fontId="9" fillId="2" borderId="0" xfId="0" applyNumberFormat="1" applyFont="1" applyFill="1" applyProtection="1">
      <protection hidden="1"/>
    </xf>
    <xf numFmtId="0" fontId="7" fillId="2" borderId="21" xfId="0" applyFont="1" applyFill="1" applyBorder="1" applyAlignment="1" applyProtection="1">
      <alignment horizontal="center"/>
      <protection hidden="1"/>
    </xf>
    <xf numFmtId="0" fontId="68" fillId="5" borderId="0" xfId="0" applyFont="1" applyFill="1" applyAlignment="1" applyProtection="1">
      <alignment horizontal="left"/>
      <protection hidden="1"/>
    </xf>
    <xf numFmtId="164" fontId="6" fillId="5" borderId="0" xfId="0" applyNumberFormat="1" applyFont="1" applyFill="1" applyAlignment="1" applyProtection="1">
      <alignment vertical="top"/>
      <protection hidden="1"/>
    </xf>
    <xf numFmtId="0" fontId="0" fillId="5" borderId="0" xfId="0" applyFill="1" applyAlignment="1" applyProtection="1">
      <alignment wrapText="1"/>
      <protection hidden="1"/>
    </xf>
    <xf numFmtId="164" fontId="15" fillId="5" borderId="0" xfId="0" applyNumberFormat="1" applyFont="1" applyFill="1" applyProtection="1">
      <protection hidden="1"/>
    </xf>
    <xf numFmtId="164" fontId="15" fillId="5" borderId="0" xfId="0" applyNumberFormat="1" applyFont="1" applyFill="1" applyAlignment="1" applyProtection="1">
      <alignment horizontal="center"/>
      <protection hidden="1"/>
    </xf>
    <xf numFmtId="40" fontId="0" fillId="2" borderId="30" xfId="0" applyNumberFormat="1" applyFill="1" applyBorder="1" applyProtection="1">
      <protection hidden="1"/>
    </xf>
    <xf numFmtId="38" fontId="21" fillId="2" borderId="9" xfId="0" applyNumberFormat="1" applyFont="1" applyFill="1" applyBorder="1" applyAlignment="1" applyProtection="1">
      <alignment horizontal="right"/>
      <protection hidden="1"/>
    </xf>
    <xf numFmtId="40" fontId="45" fillId="2" borderId="5" xfId="0" applyNumberFormat="1" applyFont="1" applyFill="1" applyBorder="1" applyAlignment="1" applyProtection="1">
      <alignment horizontal="right"/>
      <protection hidden="1"/>
    </xf>
    <xf numFmtId="40" fontId="76" fillId="2" borderId="5" xfId="0" applyNumberFormat="1" applyFont="1" applyFill="1" applyBorder="1" applyAlignment="1" applyProtection="1">
      <alignment horizontal="left"/>
      <protection hidden="1"/>
    </xf>
    <xf numFmtId="40" fontId="76" fillId="2" borderId="5" xfId="0" applyNumberFormat="1" applyFont="1" applyFill="1" applyBorder="1" applyAlignment="1" applyProtection="1">
      <alignment horizontal="right"/>
      <protection hidden="1"/>
    </xf>
    <xf numFmtId="40" fontId="34" fillId="2" borderId="0" xfId="0" applyNumberFormat="1" applyFont="1" applyFill="1" applyAlignment="1" applyProtection="1">
      <alignment horizontal="right"/>
      <protection hidden="1"/>
    </xf>
    <xf numFmtId="170" fontId="0" fillId="2" borderId="0" xfId="0" applyNumberFormat="1" applyFill="1" applyAlignment="1" applyProtection="1">
      <alignment horizontal="left"/>
      <protection hidden="1"/>
    </xf>
    <xf numFmtId="0" fontId="73" fillId="2" borderId="0" xfId="0" applyFont="1" applyFill="1" applyProtection="1">
      <protection hidden="1"/>
    </xf>
    <xf numFmtId="40" fontId="34" fillId="5" borderId="0" xfId="0" applyNumberFormat="1" applyFont="1" applyFill="1" applyAlignment="1" applyProtection="1">
      <alignment horizontal="right"/>
      <protection hidden="1"/>
    </xf>
    <xf numFmtId="40" fontId="62" fillId="5" borderId="0" xfId="0" applyNumberFormat="1" applyFont="1" applyFill="1" applyAlignment="1" applyProtection="1">
      <alignment horizontal="right"/>
      <protection hidden="1"/>
    </xf>
    <xf numFmtId="38" fontId="21" fillId="5" borderId="0" xfId="0" applyNumberFormat="1" applyFont="1" applyFill="1" applyAlignment="1" applyProtection="1">
      <alignment horizontal="right"/>
      <protection hidden="1"/>
    </xf>
    <xf numFmtId="38" fontId="0" fillId="5" borderId="0" xfId="0" applyNumberFormat="1" applyFill="1" applyAlignment="1" applyProtection="1">
      <alignment horizontal="right"/>
      <protection hidden="1"/>
    </xf>
    <xf numFmtId="0" fontId="16" fillId="5" borderId="0" xfId="0" applyFont="1" applyFill="1" applyProtection="1">
      <protection hidden="1"/>
    </xf>
    <xf numFmtId="0" fontId="16" fillId="2" borderId="24" xfId="0" applyFont="1" applyFill="1" applyBorder="1" applyProtection="1">
      <protection hidden="1"/>
    </xf>
    <xf numFmtId="0" fontId="0" fillId="2" borderId="27" xfId="0" applyFill="1" applyBorder="1" applyProtection="1">
      <protection hidden="1"/>
    </xf>
    <xf numFmtId="164" fontId="6" fillId="12" borderId="0" xfId="0" applyNumberFormat="1" applyFont="1" applyFill="1" applyProtection="1">
      <protection locked="0" hidden="1"/>
    </xf>
    <xf numFmtId="0" fontId="0" fillId="12" borderId="0" xfId="0" applyFill="1" applyAlignment="1" applyProtection="1">
      <alignment wrapText="1"/>
      <protection locked="0" hidden="1"/>
    </xf>
    <xf numFmtId="40" fontId="15" fillId="12" borderId="0" xfId="0" applyNumberFormat="1" applyFont="1" applyFill="1" applyAlignment="1" applyProtection="1">
      <alignment horizontal="right"/>
      <protection locked="0" hidden="1"/>
    </xf>
    <xf numFmtId="40" fontId="23" fillId="12" borderId="0" xfId="0" applyNumberFormat="1" applyFont="1" applyFill="1" applyAlignment="1" applyProtection="1">
      <alignment horizontal="right"/>
      <protection locked="0" hidden="1"/>
    </xf>
    <xf numFmtId="40" fontId="76" fillId="5" borderId="0" xfId="0" applyNumberFormat="1" applyFont="1" applyFill="1" applyAlignment="1" applyProtection="1">
      <alignment horizontal="right"/>
      <protection hidden="1"/>
    </xf>
    <xf numFmtId="0" fontId="16" fillId="5" borderId="0" xfId="0" applyFont="1" applyFill="1" applyAlignment="1" applyProtection="1">
      <alignment vertical="center"/>
      <protection hidden="1"/>
    </xf>
    <xf numFmtId="0" fontId="0" fillId="12" borderId="0" xfId="0" applyFill="1" applyProtection="1">
      <protection locked="0" hidden="1"/>
    </xf>
    <xf numFmtId="40" fontId="3" fillId="5" borderId="0" xfId="0" applyNumberFormat="1" applyFont="1" applyFill="1" applyProtection="1">
      <protection hidden="1"/>
    </xf>
    <xf numFmtId="38" fontId="0" fillId="5" borderId="0" xfId="0" applyNumberFormat="1" applyFill="1" applyProtection="1">
      <protection hidden="1"/>
    </xf>
    <xf numFmtId="38" fontId="0" fillId="5" borderId="0" xfId="0" applyNumberFormat="1" applyFill="1" applyProtection="1">
      <protection locked="0"/>
    </xf>
    <xf numFmtId="40" fontId="3" fillId="2" borderId="0" xfId="0" applyNumberFormat="1" applyFont="1" applyFill="1" applyAlignment="1" applyProtection="1">
      <alignment horizontal="left"/>
      <protection hidden="1"/>
    </xf>
    <xf numFmtId="0" fontId="31" fillId="2" borderId="6" xfId="0" applyFont="1" applyFill="1" applyBorder="1" applyAlignment="1" applyProtection="1">
      <alignment vertical="center"/>
      <protection hidden="1"/>
    </xf>
    <xf numFmtId="0" fontId="16" fillId="2" borderId="0" xfId="0" applyFont="1" applyFill="1" applyAlignment="1" applyProtection="1">
      <alignment horizontal="centerContinuous" vertical="center"/>
      <protection hidden="1"/>
    </xf>
    <xf numFmtId="164" fontId="6" fillId="2" borderId="0" xfId="0" applyNumberFormat="1" applyFont="1" applyFill="1" applyAlignment="1" applyProtection="1">
      <alignment horizontal="center"/>
      <protection locked="0"/>
    </xf>
    <xf numFmtId="164" fontId="6" fillId="2" borderId="0" xfId="0" applyNumberFormat="1" applyFont="1" applyFill="1" applyAlignment="1" applyProtection="1">
      <alignment horizontal="centerContinuous" vertical="center"/>
      <protection hidden="1"/>
    </xf>
    <xf numFmtId="164" fontId="6" fillId="2" borderId="0" xfId="0" applyNumberFormat="1" applyFont="1" applyFill="1" applyAlignment="1" applyProtection="1">
      <alignment horizontal="center" vertical="center"/>
      <protection hidden="1"/>
    </xf>
    <xf numFmtId="40" fontId="3" fillId="2" borderId="0" xfId="0" applyNumberFormat="1" applyFont="1" applyFill="1" applyAlignment="1" applyProtection="1">
      <alignment horizontal="centerContinuous" vertical="center"/>
      <protection hidden="1"/>
    </xf>
    <xf numFmtId="0" fontId="0" fillId="4" borderId="0" xfId="0" applyFill="1" applyAlignment="1" applyProtection="1">
      <alignment vertical="center"/>
      <protection locked="0"/>
    </xf>
    <xf numFmtId="0" fontId="0" fillId="2" borderId="0" xfId="0" applyFill="1" applyAlignment="1">
      <alignment vertical="center"/>
    </xf>
    <xf numFmtId="40" fontId="63" fillId="2" borderId="0" xfId="0" applyNumberFormat="1" applyFont="1" applyFill="1" applyAlignment="1" applyProtection="1">
      <alignment horizontal="left"/>
      <protection hidden="1"/>
    </xf>
    <xf numFmtId="0" fontId="46" fillId="2" borderId="8" xfId="0" applyFont="1" applyFill="1" applyBorder="1" applyProtection="1">
      <protection hidden="1"/>
    </xf>
    <xf numFmtId="0" fontId="91" fillId="2" borderId="0" xfId="0" applyFont="1" applyFill="1" applyAlignment="1" applyProtection="1">
      <alignment horizontal="center"/>
      <protection hidden="1"/>
    </xf>
    <xf numFmtId="49" fontId="27" fillId="2" borderId="8" xfId="0" applyNumberFormat="1" applyFont="1" applyFill="1" applyBorder="1" applyAlignment="1" applyProtection="1">
      <alignment horizontal="right"/>
      <protection hidden="1"/>
    </xf>
    <xf numFmtId="40" fontId="23" fillId="2" borderId="8" xfId="0" applyNumberFormat="1" applyFont="1" applyFill="1" applyBorder="1" applyAlignment="1" applyProtection="1">
      <alignment horizontal="right"/>
      <protection hidden="1"/>
    </xf>
    <xf numFmtId="40" fontId="23" fillId="2" borderId="20" xfId="0" applyNumberFormat="1" applyFont="1" applyFill="1" applyBorder="1" applyAlignment="1" applyProtection="1">
      <alignment horizontal="right"/>
      <protection hidden="1"/>
    </xf>
    <xf numFmtId="49" fontId="27" fillId="2" borderId="0" xfId="0" applyNumberFormat="1" applyFont="1" applyFill="1" applyAlignment="1" applyProtection="1">
      <alignment horizontal="right"/>
      <protection hidden="1"/>
    </xf>
    <xf numFmtId="40" fontId="23" fillId="2" borderId="21" xfId="0" applyNumberFormat="1" applyFont="1" applyFill="1" applyBorder="1" applyAlignment="1" applyProtection="1">
      <alignment horizontal="right"/>
      <protection hidden="1"/>
    </xf>
    <xf numFmtId="40" fontId="69" fillId="2" borderId="0" xfId="0" applyNumberFormat="1" applyFont="1" applyFill="1" applyAlignment="1" applyProtection="1">
      <alignment horizontal="right"/>
      <protection hidden="1"/>
    </xf>
    <xf numFmtId="0" fontId="7" fillId="2" borderId="21" xfId="0" applyFont="1" applyFill="1" applyBorder="1" applyProtection="1">
      <protection hidden="1"/>
    </xf>
    <xf numFmtId="37" fontId="7" fillId="2" borderId="0" xfId="0" applyNumberFormat="1" applyFont="1" applyFill="1" applyProtection="1">
      <protection hidden="1"/>
    </xf>
    <xf numFmtId="0" fontId="33" fillId="2" borderId="0" xfId="0" applyFont="1" applyFill="1" applyProtection="1">
      <protection hidden="1"/>
    </xf>
    <xf numFmtId="49" fontId="44" fillId="2" borderId="0" xfId="0" applyNumberFormat="1" applyFont="1" applyFill="1" applyAlignment="1" applyProtection="1">
      <alignment horizontal="center"/>
      <protection hidden="1"/>
    </xf>
    <xf numFmtId="3" fontId="7" fillId="2" borderId="21" xfId="0" applyNumberFormat="1" applyFont="1" applyFill="1" applyBorder="1" applyProtection="1">
      <protection hidden="1"/>
    </xf>
    <xf numFmtId="4" fontId="7" fillId="2" borderId="21" xfId="0" applyNumberFormat="1" applyFont="1" applyFill="1" applyBorder="1" applyProtection="1">
      <protection hidden="1"/>
    </xf>
    <xf numFmtId="0" fontId="7" fillId="2" borderId="6" xfId="0" applyFont="1" applyFill="1" applyBorder="1" applyProtection="1">
      <protection hidden="1"/>
    </xf>
    <xf numFmtId="4" fontId="49" fillId="2" borderId="23" xfId="0" applyNumberFormat="1" applyFont="1" applyFill="1" applyBorder="1" applyProtection="1">
      <protection hidden="1"/>
    </xf>
    <xf numFmtId="0" fontId="0" fillId="5" borderId="0" xfId="0" applyFill="1" applyAlignment="1" applyProtection="1">
      <alignment horizontal="left" vertical="center"/>
      <protection hidden="1"/>
    </xf>
    <xf numFmtId="37" fontId="7" fillId="2" borderId="9" xfId="0" applyNumberFormat="1" applyFont="1" applyFill="1" applyBorder="1" applyProtection="1">
      <protection hidden="1"/>
    </xf>
    <xf numFmtId="40" fontId="76" fillId="2" borderId="0" xfId="0" applyNumberFormat="1" applyFont="1" applyFill="1" applyAlignment="1" applyProtection="1">
      <alignment horizontal="center"/>
      <protection hidden="1"/>
    </xf>
    <xf numFmtId="0" fontId="0" fillId="2" borderId="6" xfId="0" applyFill="1" applyBorder="1" applyAlignment="1" applyProtection="1">
      <alignment horizontal="left" vertical="center"/>
      <protection hidden="1"/>
    </xf>
    <xf numFmtId="3" fontId="21" fillId="3" borderId="0" xfId="0" applyNumberFormat="1" applyFont="1" applyFill="1" applyProtection="1">
      <protection hidden="1"/>
    </xf>
    <xf numFmtId="7" fontId="21" fillId="3" borderId="0" xfId="0" applyNumberFormat="1" applyFont="1" applyFill="1" applyAlignment="1" applyProtection="1">
      <alignment horizontal="left"/>
      <protection hidden="1"/>
    </xf>
    <xf numFmtId="0" fontId="37" fillId="6" borderId="24" xfId="0" applyFont="1" applyFill="1" applyBorder="1" applyAlignment="1" applyProtection="1">
      <alignment horizontal="centerContinuous"/>
      <protection hidden="1"/>
    </xf>
    <xf numFmtId="0" fontId="37" fillId="6" borderId="8" xfId="0" applyFont="1" applyFill="1" applyBorder="1" applyAlignment="1" applyProtection="1">
      <alignment horizontal="centerContinuous"/>
      <protection hidden="1"/>
    </xf>
    <xf numFmtId="0" fontId="37" fillId="6" borderId="0" xfId="0" applyFont="1" applyFill="1" applyAlignment="1" applyProtection="1">
      <alignment horizontal="centerContinuous"/>
      <protection hidden="1"/>
    </xf>
    <xf numFmtId="0" fontId="0" fillId="6" borderId="0" xfId="0" applyFill="1" applyAlignment="1" applyProtection="1">
      <alignment horizontal="centerContinuous"/>
      <protection hidden="1"/>
    </xf>
    <xf numFmtId="0" fontId="75" fillId="0" borderId="0" xfId="2" applyAlignment="1" applyProtection="1"/>
    <xf numFmtId="37" fontId="10" fillId="3" borderId="0" xfId="0" applyNumberFormat="1" applyFont="1" applyFill="1" applyAlignment="1" applyProtection="1">
      <alignment horizontal="right"/>
      <protection hidden="1"/>
    </xf>
    <xf numFmtId="0" fontId="25" fillId="8" borderId="0" xfId="0" applyFont="1" applyFill="1" applyProtection="1">
      <protection hidden="1"/>
    </xf>
    <xf numFmtId="0" fontId="3" fillId="0" borderId="0" xfId="0" applyFont="1" applyAlignment="1">
      <alignment horizontal="center"/>
    </xf>
    <xf numFmtId="0" fontId="3" fillId="3" borderId="5" xfId="0" applyFont="1" applyFill="1" applyBorder="1" applyAlignment="1" applyProtection="1">
      <alignment vertical="center"/>
      <protection hidden="1"/>
    </xf>
    <xf numFmtId="0" fontId="17" fillId="3" borderId="0" xfId="0" applyFont="1" applyFill="1" applyAlignment="1" applyProtection="1">
      <alignment horizontal="center" vertical="center"/>
      <protection locked="0"/>
    </xf>
    <xf numFmtId="4" fontId="17" fillId="3" borderId="0" xfId="0" applyNumberFormat="1" applyFont="1" applyFill="1" applyAlignment="1" applyProtection="1">
      <alignment horizontal="center" vertical="center"/>
      <protection locked="0"/>
    </xf>
    <xf numFmtId="4" fontId="17" fillId="3" borderId="0" xfId="0" applyNumberFormat="1" applyFont="1" applyFill="1" applyProtection="1">
      <protection locked="0"/>
    </xf>
    <xf numFmtId="0" fontId="9" fillId="3" borderId="6" xfId="0" applyFont="1" applyFill="1" applyBorder="1" applyAlignment="1" applyProtection="1">
      <alignment horizontal="right"/>
      <protection hidden="1"/>
    </xf>
    <xf numFmtId="0" fontId="21" fillId="3" borderId="25" xfId="0" applyFont="1" applyFill="1" applyBorder="1" applyAlignment="1" applyProtection="1">
      <alignment horizontal="left"/>
      <protection hidden="1"/>
    </xf>
    <xf numFmtId="164" fontId="6" fillId="3" borderId="3" xfId="0" applyNumberFormat="1" applyFont="1" applyFill="1" applyBorder="1" applyAlignment="1" applyProtection="1">
      <alignment horizontal="right"/>
      <protection hidden="1"/>
    </xf>
    <xf numFmtId="164" fontId="6" fillId="3" borderId="0" xfId="0" applyNumberFormat="1" applyFont="1" applyFill="1" applyAlignment="1" applyProtection="1">
      <alignment horizontal="right"/>
      <protection hidden="1"/>
    </xf>
    <xf numFmtId="164" fontId="6" fillId="3" borderId="3" xfId="0" quotePrefix="1" applyNumberFormat="1" applyFont="1" applyFill="1" applyBorder="1" applyAlignment="1" applyProtection="1">
      <alignment horizontal="right"/>
      <protection hidden="1"/>
    </xf>
    <xf numFmtId="0" fontId="6" fillId="3" borderId="3" xfId="0" quotePrefix="1" applyFont="1" applyFill="1" applyBorder="1" applyAlignment="1" applyProtection="1">
      <alignment horizontal="right"/>
      <protection hidden="1"/>
    </xf>
    <xf numFmtId="0" fontId="3" fillId="3" borderId="3" xfId="0" quotePrefix="1" applyFont="1" applyFill="1" applyBorder="1" applyAlignment="1" applyProtection="1">
      <alignment horizontal="right"/>
      <protection hidden="1"/>
    </xf>
    <xf numFmtId="0" fontId="0" fillId="2" borderId="8" xfId="0" applyFill="1" applyBorder="1" applyAlignment="1" applyProtection="1">
      <alignment wrapText="1"/>
      <protection hidden="1"/>
    </xf>
    <xf numFmtId="164" fontId="27" fillId="2" borderId="8" xfId="0" applyNumberFormat="1" applyFont="1" applyFill="1" applyBorder="1" applyAlignment="1" applyProtection="1">
      <alignment horizontal="center"/>
      <protection hidden="1"/>
    </xf>
    <xf numFmtId="164" fontId="27" fillId="2" borderId="8" xfId="0" applyNumberFormat="1" applyFont="1" applyFill="1" applyBorder="1" applyAlignment="1" applyProtection="1">
      <alignment horizontal="right"/>
      <protection hidden="1"/>
    </xf>
    <xf numFmtId="0" fontId="104" fillId="2" borderId="8" xfId="0" applyFont="1" applyFill="1" applyBorder="1" applyProtection="1">
      <protection hidden="1"/>
    </xf>
    <xf numFmtId="164" fontId="6" fillId="2" borderId="27" xfId="0" applyNumberFormat="1" applyFont="1" applyFill="1" applyBorder="1" applyProtection="1">
      <protection hidden="1"/>
    </xf>
    <xf numFmtId="164" fontId="6" fillId="2" borderId="1" xfId="0" applyNumberFormat="1" applyFont="1" applyFill="1" applyBorder="1" applyAlignment="1" applyProtection="1">
      <alignment vertical="top"/>
      <protection hidden="1"/>
    </xf>
    <xf numFmtId="0" fontId="0" fillId="2" borderId="1" xfId="0" applyFill="1" applyBorder="1" applyAlignment="1" applyProtection="1">
      <alignment wrapText="1"/>
      <protection hidden="1"/>
    </xf>
    <xf numFmtId="0" fontId="104" fillId="2" borderId="1" xfId="0" applyFont="1" applyFill="1" applyBorder="1" applyProtection="1">
      <protection hidden="1"/>
    </xf>
    <xf numFmtId="164" fontId="27" fillId="2" borderId="1" xfId="0" applyNumberFormat="1" applyFont="1" applyFill="1" applyBorder="1" applyAlignment="1" applyProtection="1">
      <alignment horizontal="center"/>
      <protection hidden="1"/>
    </xf>
    <xf numFmtId="164" fontId="27" fillId="2" borderId="1" xfId="0" applyNumberFormat="1" applyFont="1" applyFill="1" applyBorder="1" applyAlignment="1" applyProtection="1">
      <alignment horizontal="right"/>
      <protection hidden="1"/>
    </xf>
    <xf numFmtId="40" fontId="23" fillId="2" borderId="1" xfId="0" applyNumberFormat="1" applyFont="1" applyFill="1" applyBorder="1" applyAlignment="1" applyProtection="1">
      <alignment horizontal="right"/>
      <protection hidden="1"/>
    </xf>
    <xf numFmtId="40" fontId="23" fillId="2" borderId="30" xfId="0" applyNumberFormat="1" applyFont="1" applyFill="1" applyBorder="1" applyAlignment="1" applyProtection="1">
      <alignment horizontal="right"/>
      <protection hidden="1"/>
    </xf>
    <xf numFmtId="0" fontId="0" fillId="2" borderId="1" xfId="0" applyFill="1" applyBorder="1" applyAlignment="1" applyProtection="1">
      <alignment vertical="top"/>
      <protection hidden="1"/>
    </xf>
    <xf numFmtId="3" fontId="25" fillId="2" borderId="0" xfId="0" applyNumberFormat="1" applyFont="1" applyFill="1" applyAlignment="1" applyProtection="1">
      <alignment horizontal="right"/>
      <protection hidden="1"/>
    </xf>
    <xf numFmtId="0" fontId="25" fillId="4" borderId="0" xfId="0" applyFont="1" applyFill="1" applyProtection="1">
      <protection locked="0"/>
    </xf>
    <xf numFmtId="3" fontId="0" fillId="2" borderId="1" xfId="0" applyNumberFormat="1" applyFill="1" applyBorder="1" applyProtection="1">
      <protection locked="0"/>
    </xf>
    <xf numFmtId="0" fontId="64" fillId="2" borderId="2" xfId="0" applyFont="1" applyFill="1" applyBorder="1" applyAlignment="1" applyProtection="1">
      <alignment horizontal="center"/>
      <protection locked="0" hidden="1"/>
    </xf>
    <xf numFmtId="0" fontId="33" fillId="3" borderId="0" xfId="0" applyFont="1" applyFill="1" applyAlignment="1" applyProtection="1">
      <alignment horizontal="center"/>
      <protection hidden="1"/>
    </xf>
    <xf numFmtId="0" fontId="33" fillId="3" borderId="0" xfId="0" applyFont="1" applyFill="1" applyAlignment="1" applyProtection="1">
      <alignment horizontal="left"/>
      <protection hidden="1"/>
    </xf>
    <xf numFmtId="0" fontId="15" fillId="2" borderId="0" xfId="0" applyFont="1" applyFill="1" applyAlignment="1" applyProtection="1">
      <alignment horizontal="center" wrapText="1"/>
      <protection locked="0"/>
    </xf>
    <xf numFmtId="0" fontId="8" fillId="3" borderId="25" xfId="0" applyFont="1" applyFill="1" applyBorder="1" applyProtection="1">
      <protection hidden="1"/>
    </xf>
    <xf numFmtId="39" fontId="10" fillId="3" borderId="0" xfId="0" applyNumberFormat="1" applyFont="1" applyFill="1" applyAlignment="1" applyProtection="1">
      <alignment horizontal="left"/>
      <protection hidden="1"/>
    </xf>
    <xf numFmtId="0" fontId="82" fillId="2" borderId="0" xfId="0" applyFont="1" applyFill="1" applyAlignment="1" applyProtection="1">
      <alignment horizontal="left" vertical="top"/>
      <protection hidden="1"/>
    </xf>
    <xf numFmtId="0" fontId="3" fillId="3" borderId="31" xfId="0" applyFont="1" applyFill="1" applyBorder="1" applyAlignment="1" applyProtection="1">
      <alignment horizontal="right"/>
      <protection hidden="1"/>
    </xf>
    <xf numFmtId="38" fontId="7" fillId="2" borderId="0" xfId="0" applyNumberFormat="1" applyFont="1" applyFill="1" applyProtection="1">
      <protection locked="0"/>
    </xf>
    <xf numFmtId="1" fontId="36" fillId="2" borderId="0" xfId="0" applyNumberFormat="1" applyFont="1" applyFill="1" applyProtection="1">
      <protection locked="0"/>
    </xf>
    <xf numFmtId="164" fontId="6" fillId="2" borderId="6" xfId="0" quotePrefix="1" applyNumberFormat="1" applyFont="1" applyFill="1" applyBorder="1" applyAlignment="1" applyProtection="1">
      <alignment horizontal="right"/>
      <protection hidden="1"/>
    </xf>
    <xf numFmtId="40" fontId="8" fillId="2" borderId="0" xfId="0" applyNumberFormat="1" applyFont="1" applyFill="1" applyProtection="1">
      <protection hidden="1"/>
    </xf>
    <xf numFmtId="164" fontId="21" fillId="2" borderId="0" xfId="0" applyNumberFormat="1" applyFont="1" applyFill="1" applyAlignment="1" applyProtection="1">
      <alignment horizontal="left" vertical="top"/>
      <protection locked="0" hidden="1"/>
    </xf>
    <xf numFmtId="0" fontId="0" fillId="4" borderId="8" xfId="0" applyFill="1" applyBorder="1" applyProtection="1">
      <protection locked="0" hidden="1"/>
    </xf>
    <xf numFmtId="38" fontId="92" fillId="2" borderId="0" xfId="0" applyNumberFormat="1" applyFont="1" applyFill="1" applyAlignment="1" applyProtection="1">
      <alignment horizontal="right"/>
      <protection hidden="1"/>
    </xf>
    <xf numFmtId="40" fontId="60" fillId="2" borderId="0" xfId="0" applyNumberFormat="1" applyFont="1" applyFill="1" applyProtection="1">
      <protection hidden="1"/>
    </xf>
    <xf numFmtId="40" fontId="60" fillId="2" borderId="21" xfId="0" applyNumberFormat="1" applyFont="1" applyFill="1" applyBorder="1" applyProtection="1">
      <protection hidden="1"/>
    </xf>
    <xf numFmtId="40" fontId="60" fillId="5" borderId="0" xfId="0" applyNumberFormat="1" applyFont="1" applyFill="1" applyProtection="1">
      <protection hidden="1"/>
    </xf>
    <xf numFmtId="4" fontId="7" fillId="5" borderId="0" xfId="0" applyNumberFormat="1" applyFont="1" applyFill="1" applyAlignment="1" applyProtection="1">
      <alignment horizontal="center"/>
      <protection hidden="1"/>
    </xf>
    <xf numFmtId="4" fontId="0" fillId="5" borderId="0" xfId="0" applyNumberFormat="1" applyFill="1" applyAlignment="1" applyProtection="1">
      <alignment horizontal="center"/>
      <protection hidden="1"/>
    </xf>
    <xf numFmtId="0" fontId="6" fillId="5" borderId="0" xfId="0" quotePrefix="1" applyFont="1" applyFill="1" applyAlignment="1" applyProtection="1">
      <alignment horizontal="center"/>
      <protection hidden="1"/>
    </xf>
    <xf numFmtId="0" fontId="6" fillId="5" borderId="0" xfId="0" applyFont="1" applyFill="1" applyAlignment="1">
      <alignment horizontal="center"/>
    </xf>
    <xf numFmtId="0" fontId="10" fillId="5" borderId="0" xfId="0" applyFont="1" applyFill="1" applyAlignment="1">
      <alignment horizontal="center"/>
    </xf>
    <xf numFmtId="1" fontId="0" fillId="5" borderId="0" xfId="0" applyNumberFormat="1" applyFill="1" applyProtection="1">
      <protection hidden="1"/>
    </xf>
    <xf numFmtId="1" fontId="6" fillId="2" borderId="0" xfId="0" applyNumberFormat="1" applyFont="1" applyFill="1" applyProtection="1">
      <protection hidden="1"/>
    </xf>
    <xf numFmtId="1" fontId="6" fillId="2" borderId="0" xfId="0" applyNumberFormat="1" applyFont="1" applyFill="1" applyAlignment="1" applyProtection="1">
      <alignment horizontal="right"/>
      <protection hidden="1"/>
    </xf>
    <xf numFmtId="1" fontId="92" fillId="2" borderId="0" xfId="0" applyNumberFormat="1" applyFont="1" applyFill="1" applyAlignment="1" applyProtection="1">
      <alignment horizontal="right"/>
      <protection hidden="1"/>
    </xf>
    <xf numFmtId="1" fontId="0" fillId="2" borderId="0" xfId="0" applyNumberFormat="1" applyFill="1" applyAlignment="1" applyProtection="1">
      <alignment horizontal="right"/>
      <protection hidden="1"/>
    </xf>
    <xf numFmtId="1" fontId="0" fillId="2" borderId="21" xfId="0" applyNumberFormat="1" applyFill="1" applyBorder="1" applyAlignment="1" applyProtection="1">
      <alignment horizontal="right"/>
      <protection hidden="1"/>
    </xf>
    <xf numFmtId="1" fontId="0" fillId="5" borderId="0" xfId="0" applyNumberFormat="1" applyFill="1" applyAlignment="1" applyProtection="1">
      <alignment horizontal="right"/>
      <protection hidden="1"/>
    </xf>
    <xf numFmtId="1" fontId="0" fillId="0" borderId="0" xfId="0" applyNumberFormat="1" applyProtection="1">
      <protection hidden="1"/>
    </xf>
    <xf numFmtId="0" fontId="7" fillId="2" borderId="0" xfId="0" applyFont="1" applyFill="1" applyAlignment="1" applyProtection="1">
      <alignment horizontal="left" vertical="center"/>
      <protection hidden="1"/>
    </xf>
    <xf numFmtId="0" fontId="34" fillId="2" borderId="1" xfId="0" applyFont="1" applyFill="1" applyBorder="1" applyProtection="1">
      <protection hidden="1"/>
    </xf>
    <xf numFmtId="0" fontId="3" fillId="3" borderId="0" xfId="0" applyFont="1" applyFill="1" applyProtection="1">
      <protection locked="0"/>
    </xf>
    <xf numFmtId="39" fontId="33" fillId="3" borderId="0" xfId="0" applyNumberFormat="1" applyFont="1" applyFill="1" applyAlignment="1" applyProtection="1">
      <alignment horizontal="center"/>
      <protection hidden="1"/>
    </xf>
    <xf numFmtId="0" fontId="33" fillId="2" borderId="0" xfId="0" applyFont="1" applyFill="1" applyAlignment="1" applyProtection="1">
      <alignment horizontal="center"/>
      <protection hidden="1"/>
    </xf>
    <xf numFmtId="4" fontId="71" fillId="3" borderId="0" xfId="0" applyNumberFormat="1" applyFont="1" applyFill="1" applyAlignment="1" applyProtection="1">
      <alignment horizontal="right"/>
      <protection hidden="1"/>
    </xf>
    <xf numFmtId="39" fontId="33" fillId="3" borderId="6" xfId="0" applyNumberFormat="1" applyFont="1" applyFill="1" applyBorder="1" applyAlignment="1" applyProtection="1">
      <alignment horizontal="right" vertical="center"/>
      <protection hidden="1"/>
    </xf>
    <xf numFmtId="39" fontId="25" fillId="3" borderId="6" xfId="0" applyNumberFormat="1" applyFont="1" applyFill="1" applyBorder="1" applyAlignment="1" applyProtection="1">
      <alignment horizontal="right"/>
      <protection hidden="1"/>
    </xf>
    <xf numFmtId="0" fontId="0" fillId="0" borderId="0" xfId="0" applyAlignment="1">
      <alignment horizontal="right"/>
    </xf>
    <xf numFmtId="0" fontId="0" fillId="0" borderId="0" xfId="0" applyProtection="1">
      <protection locked="0"/>
    </xf>
    <xf numFmtId="0" fontId="73" fillId="2" borderId="0" xfId="0" applyFont="1" applyFill="1" applyAlignment="1" applyProtection="1">
      <alignment horizontal="center"/>
      <protection hidden="1"/>
    </xf>
    <xf numFmtId="0" fontId="6" fillId="2" borderId="29" xfId="0" applyFont="1" applyFill="1" applyBorder="1" applyAlignment="1" applyProtection="1">
      <alignment horizontal="center"/>
      <protection hidden="1"/>
    </xf>
    <xf numFmtId="3" fontId="0" fillId="2" borderId="1" xfId="0" applyNumberFormat="1" applyFill="1" applyBorder="1" applyProtection="1">
      <protection hidden="1"/>
    </xf>
    <xf numFmtId="0" fontId="107" fillId="3" borderId="3" xfId="0" applyFont="1" applyFill="1" applyBorder="1" applyAlignment="1" applyProtection="1">
      <alignment horizontal="right"/>
      <protection hidden="1"/>
    </xf>
    <xf numFmtId="0" fontId="0" fillId="0" borderId="0" xfId="0" applyAlignment="1" applyProtection="1">
      <alignment horizontal="left"/>
      <protection hidden="1"/>
    </xf>
    <xf numFmtId="0" fontId="75" fillId="11" borderId="62" xfId="2" applyFill="1" applyBorder="1" applyAlignment="1" applyProtection="1">
      <alignment horizontal="centerContinuous"/>
    </xf>
    <xf numFmtId="0" fontId="75" fillId="11" borderId="63" xfId="2" applyFill="1" applyBorder="1" applyAlignment="1" applyProtection="1">
      <alignment horizontal="centerContinuous"/>
    </xf>
    <xf numFmtId="0" fontId="75" fillId="11" borderId="64" xfId="2" applyFill="1" applyBorder="1" applyAlignment="1" applyProtection="1">
      <alignment horizontal="centerContinuous"/>
    </xf>
    <xf numFmtId="0" fontId="60" fillId="3" borderId="0" xfId="0" applyFont="1" applyFill="1" applyAlignment="1" applyProtection="1">
      <alignment horizontal="center"/>
      <protection hidden="1"/>
    </xf>
    <xf numFmtId="0" fontId="6" fillId="0" borderId="0" xfId="0" applyFont="1" applyAlignment="1">
      <alignment horizontal="left"/>
    </xf>
    <xf numFmtId="0" fontId="99" fillId="0" borderId="0" xfId="0" applyFont="1" applyProtection="1">
      <protection hidden="1"/>
    </xf>
    <xf numFmtId="0" fontId="10" fillId="2" borderId="23" xfId="0" applyFont="1" applyFill="1" applyBorder="1" applyProtection="1">
      <protection hidden="1"/>
    </xf>
    <xf numFmtId="0" fontId="64" fillId="5" borderId="0" xfId="0" applyFont="1" applyFill="1" applyAlignment="1">
      <alignment horizontal="center"/>
    </xf>
    <xf numFmtId="38" fontId="7" fillId="2" borderId="9" xfId="0" applyNumberFormat="1" applyFont="1" applyFill="1" applyBorder="1" applyProtection="1">
      <protection hidden="1"/>
    </xf>
    <xf numFmtId="0" fontId="25" fillId="4" borderId="0" xfId="0" applyFont="1" applyFill="1" applyAlignment="1" applyProtection="1">
      <alignment vertical="center"/>
      <protection locked="0"/>
    </xf>
    <xf numFmtId="0" fontId="66" fillId="2" borderId="0" xfId="0" applyFont="1" applyFill="1" applyAlignment="1" applyProtection="1">
      <alignment horizontal="right"/>
      <protection hidden="1"/>
    </xf>
    <xf numFmtId="0" fontId="6" fillId="2" borderId="0" xfId="0" applyFont="1" applyFill="1"/>
    <xf numFmtId="164" fontId="21" fillId="2" borderId="6" xfId="0" applyNumberFormat="1" applyFont="1" applyFill="1" applyBorder="1" applyAlignment="1" applyProtection="1">
      <alignment horizontal="center"/>
      <protection hidden="1"/>
    </xf>
    <xf numFmtId="40" fontId="64" fillId="2" borderId="0" xfId="0" applyNumberFormat="1" applyFont="1" applyFill="1" applyProtection="1">
      <protection hidden="1"/>
    </xf>
    <xf numFmtId="0" fontId="25" fillId="2" borderId="0" xfId="0" applyFont="1" applyFill="1" applyAlignment="1">
      <alignment horizontal="right"/>
    </xf>
    <xf numFmtId="40" fontId="76" fillId="2" borderId="21" xfId="0" applyNumberFormat="1" applyFont="1" applyFill="1" applyBorder="1" applyAlignment="1" applyProtection="1">
      <alignment horizontal="right"/>
      <protection hidden="1"/>
    </xf>
    <xf numFmtId="164" fontId="6" fillId="2" borderId="22" xfId="0" applyNumberFormat="1"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0" fontId="21" fillId="2" borderId="5" xfId="0" applyFont="1" applyFill="1" applyBorder="1" applyProtection="1">
      <protection hidden="1"/>
    </xf>
    <xf numFmtId="164" fontId="60" fillId="2" borderId="5" xfId="0" applyNumberFormat="1" applyFont="1" applyFill="1" applyBorder="1" applyAlignment="1" applyProtection="1">
      <alignment horizontal="right"/>
      <protection hidden="1"/>
    </xf>
    <xf numFmtId="3" fontId="60" fillId="2" borderId="5" xfId="0" applyNumberFormat="1" applyFont="1" applyFill="1" applyBorder="1" applyProtection="1">
      <protection hidden="1"/>
    </xf>
    <xf numFmtId="3" fontId="25" fillId="2" borderId="5" xfId="0" applyNumberFormat="1" applyFont="1" applyFill="1" applyBorder="1"/>
    <xf numFmtId="38" fontId="0" fillId="2" borderId="23" xfId="0" applyNumberFormat="1" applyFill="1" applyBorder="1" applyAlignment="1" applyProtection="1">
      <alignment horizontal="right"/>
      <protection hidden="1"/>
    </xf>
    <xf numFmtId="164" fontId="6" fillId="13" borderId="6" xfId="0" applyNumberFormat="1" applyFont="1" applyFill="1" applyBorder="1" applyAlignment="1" applyProtection="1">
      <alignment horizontal="center"/>
      <protection hidden="1"/>
    </xf>
    <xf numFmtId="0" fontId="3" fillId="13" borderId="0" xfId="0" applyFont="1" applyFill="1" applyAlignment="1" applyProtection="1">
      <alignment horizontal="center"/>
      <protection hidden="1"/>
    </xf>
    <xf numFmtId="0" fontId="21" fillId="13" borderId="0" xfId="0" applyFont="1" applyFill="1" applyProtection="1">
      <protection hidden="1"/>
    </xf>
    <xf numFmtId="0" fontId="0" fillId="13" borderId="0" xfId="0" applyFill="1" applyProtection="1">
      <protection hidden="1"/>
    </xf>
    <xf numFmtId="164" fontId="60" fillId="13" borderId="0" xfId="0" applyNumberFormat="1" applyFont="1" applyFill="1" applyProtection="1">
      <protection hidden="1"/>
    </xf>
    <xf numFmtId="164" fontId="60" fillId="13" borderId="0" xfId="0" applyNumberFormat="1" applyFont="1" applyFill="1" applyAlignment="1" applyProtection="1">
      <alignment horizontal="right"/>
      <protection hidden="1"/>
    </xf>
    <xf numFmtId="3" fontId="60" fillId="13" borderId="0" xfId="0" applyNumberFormat="1" applyFont="1" applyFill="1" applyProtection="1">
      <protection hidden="1"/>
    </xf>
    <xf numFmtId="3" fontId="25" fillId="13" borderId="0" xfId="0" applyNumberFormat="1" applyFont="1" applyFill="1"/>
    <xf numFmtId="38" fontId="0" fillId="13" borderId="21" xfId="0" applyNumberFormat="1" applyFill="1" applyBorder="1" applyAlignment="1" applyProtection="1">
      <alignment horizontal="right"/>
      <protection hidden="1"/>
    </xf>
    <xf numFmtId="40" fontId="73" fillId="2" borderId="0" xfId="0" applyNumberFormat="1" applyFont="1" applyFill="1" applyAlignment="1" applyProtection="1">
      <alignment horizontal="right"/>
      <protection hidden="1"/>
    </xf>
    <xf numFmtId="40" fontId="28" fillId="2" borderId="0" xfId="0" applyNumberFormat="1" applyFont="1" applyFill="1" applyAlignment="1" applyProtection="1">
      <alignment horizontal="right" vertical="center"/>
      <protection hidden="1"/>
    </xf>
    <xf numFmtId="0" fontId="64" fillId="2" borderId="9" xfId="0" applyFont="1" applyFill="1" applyBorder="1" applyAlignment="1" applyProtection="1">
      <alignment horizontal="left"/>
      <protection hidden="1"/>
    </xf>
    <xf numFmtId="49" fontId="59" fillId="3" borderId="18" xfId="0" applyNumberFormat="1" applyFont="1" applyFill="1" applyBorder="1" applyAlignment="1" applyProtection="1">
      <alignment horizontal="right" vertical="center"/>
      <protection hidden="1"/>
    </xf>
    <xf numFmtId="49" fontId="3" fillId="3" borderId="14" xfId="0" applyNumberFormat="1" applyFont="1" applyFill="1" applyBorder="1" applyAlignment="1" applyProtection="1">
      <alignment horizontal="center"/>
      <protection hidden="1"/>
    </xf>
    <xf numFmtId="164" fontId="89" fillId="2" borderId="0" xfId="0" applyNumberFormat="1" applyFont="1" applyFill="1" applyProtection="1">
      <protection hidden="1"/>
    </xf>
    <xf numFmtId="38" fontId="108" fillId="2" borderId="21" xfId="0" applyNumberFormat="1" applyFont="1" applyFill="1" applyBorder="1" applyAlignment="1" applyProtection="1">
      <alignment horizontal="right"/>
      <protection hidden="1"/>
    </xf>
    <xf numFmtId="40" fontId="108" fillId="5" borderId="0" xfId="0" applyNumberFormat="1" applyFont="1" applyFill="1" applyProtection="1">
      <protection hidden="1"/>
    </xf>
    <xf numFmtId="0" fontId="108" fillId="2" borderId="0" xfId="0" applyFont="1" applyFill="1" applyProtection="1">
      <protection hidden="1"/>
    </xf>
    <xf numFmtId="40" fontId="108" fillId="2" borderId="21" xfId="0" applyNumberFormat="1" applyFont="1" applyFill="1" applyBorder="1" applyProtection="1">
      <protection hidden="1"/>
    </xf>
    <xf numFmtId="40" fontId="108" fillId="2" borderId="0" xfId="0" applyNumberFormat="1" applyFont="1" applyFill="1" applyProtection="1">
      <protection hidden="1"/>
    </xf>
    <xf numFmtId="4" fontId="8" fillId="3" borderId="1" xfId="0" applyNumberFormat="1" applyFont="1" applyFill="1" applyBorder="1" applyAlignment="1" applyProtection="1">
      <alignment horizontal="right"/>
      <protection hidden="1"/>
    </xf>
    <xf numFmtId="0" fontId="108" fillId="4" borderId="0" xfId="0" applyFont="1" applyFill="1" applyProtection="1">
      <protection locked="0"/>
    </xf>
    <xf numFmtId="0" fontId="108" fillId="4" borderId="0" xfId="0" applyFont="1" applyFill="1" applyAlignment="1" applyProtection="1">
      <alignment vertical="center"/>
      <protection locked="0"/>
    </xf>
    <xf numFmtId="0" fontId="64" fillId="5" borderId="0" xfId="0" applyFont="1" applyFill="1"/>
    <xf numFmtId="0" fontId="21" fillId="2" borderId="8" xfId="0" applyFont="1" applyFill="1" applyBorder="1" applyProtection="1">
      <protection hidden="1"/>
    </xf>
    <xf numFmtId="37" fontId="21" fillId="2" borderId="0" xfId="0" applyNumberFormat="1" applyFont="1" applyFill="1" applyProtection="1">
      <protection hidden="1"/>
    </xf>
    <xf numFmtId="0" fontId="0" fillId="2" borderId="0" xfId="0" quotePrefix="1" applyFill="1" applyProtection="1">
      <protection hidden="1"/>
    </xf>
    <xf numFmtId="37" fontId="25" fillId="2" borderId="0" xfId="0" applyNumberFormat="1" applyFont="1" applyFill="1" applyProtection="1">
      <protection hidden="1"/>
    </xf>
    <xf numFmtId="0" fontId="15" fillId="2" borderId="24" xfId="0" applyFont="1" applyFill="1" applyBorder="1" applyProtection="1">
      <protection hidden="1"/>
    </xf>
    <xf numFmtId="0" fontId="28" fillId="2" borderId="8" xfId="0" applyFont="1" applyFill="1" applyBorder="1" applyProtection="1">
      <protection hidden="1"/>
    </xf>
    <xf numFmtId="0" fontId="25" fillId="2" borderId="0" xfId="0" applyFont="1" applyFill="1" applyAlignment="1" applyProtection="1">
      <alignment horizontal="center"/>
      <protection hidden="1"/>
    </xf>
    <xf numFmtId="3" fontId="11" fillId="3" borderId="9" xfId="0" applyNumberFormat="1" applyFont="1" applyFill="1" applyBorder="1" applyAlignment="1" applyProtection="1">
      <alignment horizontal="center"/>
      <protection hidden="1"/>
    </xf>
    <xf numFmtId="0" fontId="11" fillId="3" borderId="16" xfId="0" applyFont="1" applyFill="1" applyBorder="1" applyAlignment="1" applyProtection="1">
      <alignment horizontal="center"/>
      <protection hidden="1"/>
    </xf>
    <xf numFmtId="4" fontId="17" fillId="3" borderId="0" xfId="0" applyNumberFormat="1" applyFont="1" applyFill="1" applyAlignment="1" applyProtection="1">
      <alignment horizontal="left" vertical="center"/>
      <protection hidden="1"/>
    </xf>
    <xf numFmtId="39" fontId="10" fillId="3" borderId="6" xfId="0" applyNumberFormat="1" applyFont="1" applyFill="1" applyBorder="1" applyAlignment="1" applyProtection="1">
      <alignment horizontal="right"/>
      <protection hidden="1"/>
    </xf>
    <xf numFmtId="0" fontId="109" fillId="0" borderId="0" xfId="0" applyFont="1" applyProtection="1">
      <protection hidden="1"/>
    </xf>
    <xf numFmtId="0" fontId="109" fillId="0" borderId="0" xfId="0" applyFont="1"/>
    <xf numFmtId="0" fontId="0" fillId="2" borderId="5" xfId="0" applyFill="1" applyBorder="1" applyAlignment="1" applyProtection="1">
      <alignment vertical="center"/>
      <protection hidden="1"/>
    </xf>
    <xf numFmtId="0" fontId="0" fillId="5" borderId="66" xfId="0" applyFill="1" applyBorder="1"/>
    <xf numFmtId="0" fontId="0" fillId="5" borderId="66" xfId="0" applyFill="1" applyBorder="1" applyProtection="1">
      <protection hidden="1"/>
    </xf>
    <xf numFmtId="0" fontId="0" fillId="0" borderId="66" xfId="0" applyBorder="1"/>
    <xf numFmtId="0" fontId="73" fillId="2" borderId="0" xfId="0" applyFont="1" applyFill="1" applyAlignment="1" applyProtection="1">
      <alignment horizontal="center" vertical="center"/>
      <protection hidden="1"/>
    </xf>
    <xf numFmtId="0" fontId="66" fillId="4" borderId="8" xfId="0" applyFont="1" applyFill="1" applyBorder="1" applyAlignment="1" applyProtection="1">
      <alignment horizontal="right"/>
      <protection locked="0" hidden="1"/>
    </xf>
    <xf numFmtId="164" fontId="21" fillId="2" borderId="0" xfId="0" applyNumberFormat="1" applyFont="1" applyFill="1" applyAlignment="1" applyProtection="1">
      <alignment horizontal="left" vertical="center"/>
      <protection hidden="1"/>
    </xf>
    <xf numFmtId="0" fontId="66" fillId="4" borderId="0" xfId="0" applyFont="1" applyFill="1" applyAlignment="1" applyProtection="1">
      <alignment horizontal="right"/>
      <protection locked="0" hidden="1"/>
    </xf>
    <xf numFmtId="0" fontId="92" fillId="2" borderId="0" xfId="0" applyFont="1" applyFill="1" applyProtection="1">
      <protection hidden="1"/>
    </xf>
    <xf numFmtId="0" fontId="0" fillId="2" borderId="21" xfId="0" applyFill="1" applyBorder="1" applyAlignment="1" applyProtection="1">
      <alignment horizontal="left" vertical="center"/>
      <protection hidden="1"/>
    </xf>
    <xf numFmtId="49" fontId="42" fillId="2" borderId="0" xfId="0" quotePrefix="1" applyNumberFormat="1" applyFont="1" applyFill="1" applyAlignment="1" applyProtection="1">
      <alignment horizontal="left"/>
      <protection hidden="1"/>
    </xf>
    <xf numFmtId="40" fontId="73" fillId="2" borderId="0" xfId="0" applyNumberFormat="1" applyFont="1" applyFill="1" applyAlignment="1" applyProtection="1">
      <alignment horizontal="center"/>
      <protection hidden="1"/>
    </xf>
    <xf numFmtId="0" fontId="24" fillId="2" borderId="5" xfId="0" applyFont="1" applyFill="1" applyBorder="1" applyAlignment="1" applyProtection="1">
      <alignment horizontal="left" vertical="center"/>
      <protection hidden="1"/>
    </xf>
    <xf numFmtId="0" fontId="0" fillId="0" borderId="0" xfId="0" applyAlignment="1" applyProtection="1">
      <alignment vertical="top"/>
      <protection hidden="1"/>
    </xf>
    <xf numFmtId="0" fontId="0" fillId="0" borderId="0" xfId="0" applyAlignment="1" applyProtection="1">
      <alignment vertical="top" wrapText="1"/>
      <protection hidden="1"/>
    </xf>
    <xf numFmtId="0" fontId="16" fillId="2" borderId="8" xfId="0" applyFont="1" applyFill="1" applyBorder="1" applyProtection="1">
      <protection hidden="1"/>
    </xf>
    <xf numFmtId="0" fontId="16" fillId="2" borderId="8" xfId="0" applyFont="1" applyFill="1" applyBorder="1" applyAlignment="1" applyProtection="1">
      <alignment horizontal="right"/>
      <protection hidden="1"/>
    </xf>
    <xf numFmtId="0" fontId="15" fillId="2" borderId="5" xfId="0" applyFont="1" applyFill="1" applyBorder="1" applyProtection="1">
      <protection hidden="1"/>
    </xf>
    <xf numFmtId="0" fontId="15" fillId="2" borderId="5" xfId="0" applyFont="1" applyFill="1" applyBorder="1" applyAlignment="1" applyProtection="1">
      <alignment horizontal="right"/>
      <protection hidden="1"/>
    </xf>
    <xf numFmtId="0" fontId="6" fillId="2" borderId="6" xfId="0" applyFont="1" applyFill="1" applyBorder="1" applyAlignment="1" applyProtection="1">
      <alignment horizontal="right" vertical="top"/>
      <protection hidden="1"/>
    </xf>
    <xf numFmtId="0" fontId="0" fillId="2" borderId="1" xfId="0" applyFill="1" applyBorder="1" applyAlignment="1" applyProtection="1">
      <alignment vertical="top" wrapText="1"/>
      <protection hidden="1"/>
    </xf>
    <xf numFmtId="3" fontId="0" fillId="2" borderId="13" xfId="0" applyNumberFormat="1" applyFill="1" applyBorder="1" applyProtection="1">
      <protection locked="0"/>
    </xf>
    <xf numFmtId="0" fontId="0" fillId="2" borderId="21" xfId="0" applyFill="1" applyBorder="1" applyAlignment="1" applyProtection="1">
      <alignment vertical="top" wrapText="1"/>
      <protection hidden="1"/>
    </xf>
    <xf numFmtId="0" fontId="0" fillId="2" borderId="0" xfId="0" applyFill="1" applyAlignment="1" applyProtection="1">
      <alignment vertical="top" wrapText="1"/>
      <protection hidden="1"/>
    </xf>
    <xf numFmtId="164" fontId="64" fillId="2" borderId="0" xfId="0" applyNumberFormat="1" applyFont="1" applyFill="1" applyProtection="1">
      <protection hidden="1"/>
    </xf>
    <xf numFmtId="40" fontId="108" fillId="2" borderId="0" xfId="0" applyNumberFormat="1" applyFont="1" applyFill="1" applyAlignment="1" applyProtection="1">
      <alignment horizontal="right"/>
      <protection hidden="1"/>
    </xf>
    <xf numFmtId="0" fontId="0" fillId="5" borderId="0" xfId="0" applyFill="1" applyAlignment="1">
      <alignment horizontal="centerContinuous"/>
    </xf>
    <xf numFmtId="0" fontId="64" fillId="5" borderId="0" xfId="0" applyFont="1" applyFill="1" applyAlignment="1">
      <alignment horizontal="centerContinuous"/>
    </xf>
    <xf numFmtId="0" fontId="74" fillId="5" borderId="0" xfId="0" applyFont="1" applyFill="1" applyAlignment="1" applyProtection="1">
      <alignment horizontal="centerContinuous"/>
      <protection hidden="1"/>
    </xf>
    <xf numFmtId="0" fontId="64" fillId="5" borderId="0" xfId="0" applyFont="1" applyFill="1" applyAlignment="1" applyProtection="1">
      <alignment vertical="center"/>
      <protection hidden="1"/>
    </xf>
    <xf numFmtId="0" fontId="0" fillId="2" borderId="23" xfId="0" applyFill="1" applyBorder="1" applyAlignment="1" applyProtection="1">
      <alignment vertical="top"/>
      <protection hidden="1"/>
    </xf>
    <xf numFmtId="0" fontId="6" fillId="2" borderId="5" xfId="0" applyFont="1" applyFill="1" applyBorder="1" applyAlignment="1" applyProtection="1">
      <alignment horizontal="center" wrapText="1"/>
      <protection hidden="1"/>
    </xf>
    <xf numFmtId="0" fontId="21" fillId="5" borderId="0" xfId="0" applyFont="1" applyFill="1" applyAlignment="1" applyProtection="1">
      <alignment horizontal="left"/>
      <protection hidden="1"/>
    </xf>
    <xf numFmtId="0" fontId="15" fillId="2" borderId="8" xfId="0" applyFont="1" applyFill="1" applyBorder="1" applyProtection="1">
      <protection hidden="1"/>
    </xf>
    <xf numFmtId="0" fontId="21" fillId="2" borderId="0" xfId="0" quotePrefix="1" applyFont="1" applyFill="1" applyAlignment="1" applyProtection="1">
      <alignment horizontal="right"/>
      <protection hidden="1"/>
    </xf>
    <xf numFmtId="0" fontId="6" fillId="2" borderId="6" xfId="0" applyFont="1" applyFill="1" applyBorder="1" applyProtection="1">
      <protection hidden="1"/>
    </xf>
    <xf numFmtId="0" fontId="6" fillId="2" borderId="6" xfId="0" quotePrefix="1" applyFont="1" applyFill="1" applyBorder="1" applyAlignment="1" applyProtection="1">
      <alignment horizontal="right"/>
      <protection hidden="1"/>
    </xf>
    <xf numFmtId="0" fontId="60" fillId="2" borderId="6" xfId="0" applyFont="1" applyFill="1" applyBorder="1" applyProtection="1">
      <protection hidden="1"/>
    </xf>
    <xf numFmtId="0" fontId="0" fillId="0" borderId="8" xfId="0" applyBorder="1" applyProtection="1">
      <protection hidden="1"/>
    </xf>
    <xf numFmtId="3" fontId="0" fillId="0" borderId="0" xfId="0" applyNumberFormat="1"/>
    <xf numFmtId="3" fontId="0" fillId="0" borderId="0" xfId="0" applyNumberFormat="1" applyAlignment="1" applyProtection="1">
      <alignment horizontal="center"/>
      <protection hidden="1"/>
    </xf>
    <xf numFmtId="3" fontId="3" fillId="2" borderId="0" xfId="0" applyNumberFormat="1" applyFont="1" applyFill="1" applyProtection="1">
      <protection hidden="1"/>
    </xf>
    <xf numFmtId="3" fontId="0" fillId="8" borderId="0" xfId="0" applyNumberFormat="1" applyFill="1" applyAlignment="1" applyProtection="1">
      <alignment horizontal="center"/>
      <protection hidden="1"/>
    </xf>
    <xf numFmtId="3" fontId="7" fillId="2" borderId="2" xfId="0" applyNumberFormat="1" applyFont="1" applyFill="1" applyBorder="1" applyAlignment="1" applyProtection="1">
      <alignment horizontal="center"/>
      <protection locked="0"/>
    </xf>
    <xf numFmtId="3" fontId="73" fillId="0" borderId="0" xfId="0" applyNumberFormat="1" applyFont="1" applyAlignment="1">
      <alignment horizontal="right"/>
    </xf>
    <xf numFmtId="3" fontId="7" fillId="0" borderId="0" xfId="0" applyNumberFormat="1" applyFont="1"/>
    <xf numFmtId="0" fontId="17" fillId="3" borderId="0" xfId="0" applyFont="1" applyFill="1" applyAlignment="1" applyProtection="1">
      <alignment horizontal="right"/>
      <protection hidden="1"/>
    </xf>
    <xf numFmtId="0" fontId="8" fillId="3" borderId="0" xfId="0" applyFont="1" applyFill="1" applyAlignment="1" applyProtection="1">
      <alignment horizontal="center" vertical="top"/>
      <protection hidden="1"/>
    </xf>
    <xf numFmtId="0" fontId="17" fillId="0" borderId="0" xfId="0" applyFont="1" applyAlignment="1" applyProtection="1">
      <alignment horizontal="center"/>
      <protection hidden="1"/>
    </xf>
    <xf numFmtId="0" fontId="53" fillId="0" borderId="0" xfId="0" applyFont="1" applyAlignment="1" applyProtection="1">
      <alignment horizontal="center"/>
      <protection hidden="1"/>
    </xf>
    <xf numFmtId="0" fontId="33" fillId="0" borderId="0" xfId="0" applyFont="1"/>
    <xf numFmtId="38" fontId="99" fillId="2" borderId="0" xfId="0" applyNumberFormat="1" applyFont="1" applyFill="1" applyProtection="1">
      <protection hidden="1"/>
    </xf>
    <xf numFmtId="3" fontId="25" fillId="0" borderId="0" xfId="0" applyNumberFormat="1" applyFont="1" applyAlignment="1" applyProtection="1">
      <alignment horizontal="center"/>
      <protection hidden="1"/>
    </xf>
    <xf numFmtId="0" fontId="7" fillId="3" borderId="26" xfId="0" applyFont="1" applyFill="1" applyBorder="1" applyProtection="1">
      <protection hidden="1"/>
    </xf>
    <xf numFmtId="0" fontId="10" fillId="2" borderId="9" xfId="0" applyFont="1" applyFill="1" applyBorder="1" applyAlignment="1" applyProtection="1">
      <alignment horizontal="right" vertical="center"/>
      <protection hidden="1"/>
    </xf>
    <xf numFmtId="0" fontId="12" fillId="2" borderId="6" xfId="0" applyFont="1" applyFill="1" applyBorder="1" applyProtection="1">
      <protection hidden="1"/>
    </xf>
    <xf numFmtId="0" fontId="5" fillId="0" borderId="0" xfId="0" applyFont="1" applyProtection="1">
      <protection hidden="1"/>
    </xf>
    <xf numFmtId="0" fontId="5" fillId="0" borderId="0" xfId="0" quotePrefix="1" applyFont="1" applyAlignment="1" applyProtection="1">
      <alignment horizontal="center"/>
      <protection hidden="1"/>
    </xf>
    <xf numFmtId="0" fontId="8" fillId="3" borderId="72" xfId="0" applyFont="1" applyFill="1" applyBorder="1" applyProtection="1">
      <protection hidden="1"/>
    </xf>
    <xf numFmtId="49" fontId="59" fillId="3" borderId="73" xfId="0" applyNumberFormat="1" applyFont="1" applyFill="1" applyBorder="1" applyAlignment="1" applyProtection="1">
      <alignment horizontal="right" vertical="center"/>
      <protection hidden="1"/>
    </xf>
    <xf numFmtId="39" fontId="7" fillId="3" borderId="0" xfId="0" applyNumberFormat="1" applyFont="1" applyFill="1" applyProtection="1">
      <protection hidden="1"/>
    </xf>
    <xf numFmtId="3" fontId="6" fillId="2" borderId="0" xfId="0" applyNumberFormat="1" applyFont="1" applyFill="1" applyAlignment="1" applyProtection="1">
      <alignment horizontal="right" vertical="center"/>
      <protection locked="0"/>
    </xf>
    <xf numFmtId="0" fontId="0" fillId="8" borderId="3" xfId="0" applyFill="1" applyBorder="1" applyProtection="1">
      <protection hidden="1"/>
    </xf>
    <xf numFmtId="0" fontId="6" fillId="3" borderId="13" xfId="0" applyFont="1" applyFill="1" applyBorder="1" applyAlignment="1" applyProtection="1">
      <alignment horizontal="center" vertical="center"/>
      <protection hidden="1"/>
    </xf>
    <xf numFmtId="0" fontId="5" fillId="3" borderId="0" xfId="0" applyFont="1" applyFill="1" applyAlignment="1" applyProtection="1">
      <alignment vertical="top"/>
      <protection hidden="1"/>
    </xf>
    <xf numFmtId="0" fontId="110" fillId="2" borderId="0" xfId="0" applyFont="1" applyFill="1" applyAlignment="1" applyProtection="1">
      <alignment horizontal="left"/>
      <protection hidden="1"/>
    </xf>
    <xf numFmtId="0" fontId="5" fillId="2" borderId="0" xfId="0" applyFont="1" applyFill="1" applyAlignment="1" applyProtection="1">
      <alignment vertical="center"/>
      <protection hidden="1"/>
    </xf>
    <xf numFmtId="0" fontId="41" fillId="2" borderId="0" xfId="0" applyFont="1" applyFill="1" applyAlignment="1" applyProtection="1">
      <alignment horizontal="center" vertical="center"/>
      <protection hidden="1"/>
    </xf>
    <xf numFmtId="0" fontId="0" fillId="13" borderId="26" xfId="0" applyFill="1" applyBorder="1" applyProtection="1">
      <protection hidden="1"/>
    </xf>
    <xf numFmtId="0" fontId="84" fillId="13" borderId="26" xfId="0" applyFont="1" applyFill="1" applyBorder="1" applyAlignment="1" applyProtection="1">
      <alignment horizontal="center" vertical="center"/>
      <protection hidden="1"/>
    </xf>
    <xf numFmtId="0" fontId="6" fillId="13" borderId="26" xfId="0" applyFont="1" applyFill="1" applyBorder="1" applyProtection="1">
      <protection hidden="1"/>
    </xf>
    <xf numFmtId="0" fontId="0" fillId="2" borderId="26" xfId="0" applyFill="1" applyBorder="1" applyProtection="1">
      <protection hidden="1"/>
    </xf>
    <xf numFmtId="0" fontId="5" fillId="2" borderId="0" xfId="0" applyFont="1" applyFill="1" applyAlignment="1" applyProtection="1">
      <alignment vertical="top"/>
      <protection hidden="1"/>
    </xf>
    <xf numFmtId="0" fontId="111" fillId="2" borderId="0" xfId="0" applyFont="1" applyFill="1" applyProtection="1">
      <protection hidden="1"/>
    </xf>
    <xf numFmtId="0" fontId="25" fillId="2" borderId="0" xfId="0" applyFont="1" applyFill="1" applyAlignment="1" applyProtection="1">
      <alignment vertical="center"/>
      <protection hidden="1"/>
    </xf>
    <xf numFmtId="164" fontId="5" fillId="2" borderId="8" xfId="0" applyNumberFormat="1" applyFont="1" applyFill="1" applyBorder="1" applyProtection="1">
      <protection hidden="1"/>
    </xf>
    <xf numFmtId="0" fontId="5" fillId="5" borderId="0" xfId="0" applyFont="1" applyFill="1" applyProtection="1">
      <protection hidden="1"/>
    </xf>
    <xf numFmtId="1" fontId="7" fillId="3" borderId="8" xfId="0" applyNumberFormat="1" applyFont="1" applyFill="1" applyBorder="1" applyAlignment="1" applyProtection="1">
      <alignment horizontal="left"/>
      <protection hidden="1"/>
    </xf>
    <xf numFmtId="40" fontId="21" fillId="2" borderId="1" xfId="0" applyNumberFormat="1" applyFont="1" applyFill="1" applyBorder="1" applyProtection="1">
      <protection hidden="1"/>
    </xf>
    <xf numFmtId="40" fontId="21" fillId="2" borderId="30" xfId="0" applyNumberFormat="1" applyFont="1" applyFill="1" applyBorder="1" applyProtection="1">
      <protection hidden="1"/>
    </xf>
    <xf numFmtId="38" fontId="9" fillId="2" borderId="0" xfId="0" applyNumberFormat="1" applyFont="1" applyFill="1" applyAlignment="1" applyProtection="1">
      <alignment horizontal="left" vertical="center"/>
      <protection hidden="1"/>
    </xf>
    <xf numFmtId="40" fontId="78" fillId="2" borderId="21" xfId="0" applyNumberFormat="1" applyFont="1" applyFill="1" applyBorder="1" applyAlignment="1" applyProtection="1">
      <alignment horizontal="left" vertical="center"/>
      <protection hidden="1"/>
    </xf>
    <xf numFmtId="164" fontId="5" fillId="2" borderId="8" xfId="0" applyNumberFormat="1" applyFont="1" applyFill="1" applyBorder="1" applyAlignment="1" applyProtection="1">
      <alignment horizontal="left" vertical="center"/>
      <protection hidden="1"/>
    </xf>
    <xf numFmtId="0" fontId="25" fillId="4" borderId="0" xfId="0" applyFont="1" applyFill="1" applyAlignment="1" applyProtection="1">
      <alignment horizontal="center"/>
      <protection hidden="1"/>
    </xf>
    <xf numFmtId="0" fontId="5" fillId="2" borderId="8" xfId="0" applyFont="1" applyFill="1" applyBorder="1" applyProtection="1">
      <protection hidden="1"/>
    </xf>
    <xf numFmtId="0" fontId="6" fillId="2" borderId="0" xfId="0" applyFont="1" applyFill="1" applyAlignment="1" applyProtection="1">
      <alignment wrapText="1"/>
      <protection hidden="1"/>
    </xf>
    <xf numFmtId="0" fontId="5" fillId="2" borderId="0" xfId="0" quotePrefix="1" applyFont="1" applyFill="1" applyAlignment="1">
      <alignment horizontal="right"/>
    </xf>
    <xf numFmtId="3" fontId="112" fillId="2" borderId="0" xfId="0" applyNumberFormat="1" applyFont="1" applyFill="1" applyAlignment="1" applyProtection="1">
      <alignment horizontal="left"/>
      <protection hidden="1"/>
    </xf>
    <xf numFmtId="0" fontId="5" fillId="5" borderId="0" xfId="0" applyFont="1" applyFill="1" applyAlignment="1" applyProtection="1">
      <alignment horizontal="center"/>
      <protection hidden="1"/>
    </xf>
    <xf numFmtId="0" fontId="117" fillId="5" borderId="0" xfId="0" applyFont="1" applyFill="1" applyProtection="1">
      <protection hidden="1"/>
    </xf>
    <xf numFmtId="0" fontId="5" fillId="3" borderId="0" xfId="0" applyFont="1" applyFill="1" applyProtection="1">
      <protection hidden="1"/>
    </xf>
    <xf numFmtId="0" fontId="118" fillId="3" borderId="26" xfId="0" applyFont="1" applyFill="1" applyBorder="1" applyAlignment="1" applyProtection="1">
      <alignment horizontal="center"/>
      <protection hidden="1"/>
    </xf>
    <xf numFmtId="0" fontId="8" fillId="3" borderId="26" xfId="0" applyFont="1" applyFill="1" applyBorder="1" applyAlignment="1" applyProtection="1">
      <alignment horizontal="right"/>
      <protection hidden="1"/>
    </xf>
    <xf numFmtId="0" fontId="17" fillId="2" borderId="0" xfId="0" applyFont="1" applyFill="1" applyAlignment="1" applyProtection="1">
      <alignment horizontal="center" vertical="center" wrapText="1"/>
      <protection hidden="1"/>
    </xf>
    <xf numFmtId="0" fontId="50" fillId="2" borderId="9" xfId="0" applyFont="1" applyFill="1" applyBorder="1" applyAlignment="1" applyProtection="1">
      <alignment vertical="center"/>
      <protection hidden="1"/>
    </xf>
    <xf numFmtId="0" fontId="17" fillId="2" borderId="9" xfId="0" applyFont="1" applyFill="1" applyBorder="1" applyAlignment="1">
      <alignment horizontal="center" wrapText="1"/>
    </xf>
    <xf numFmtId="0" fontId="0" fillId="2" borderId="9" xfId="0" applyFill="1" applyBorder="1" applyAlignment="1">
      <alignment horizontal="center" wrapText="1"/>
    </xf>
    <xf numFmtId="0" fontId="113" fillId="0" borderId="0" xfId="0" applyFont="1" applyProtection="1">
      <protection hidden="1"/>
    </xf>
    <xf numFmtId="0" fontId="6" fillId="2" borderId="3" xfId="0" applyFont="1" applyFill="1" applyBorder="1" applyProtection="1">
      <protection hidden="1"/>
    </xf>
    <xf numFmtId="14" fontId="10" fillId="2" borderId="9" xfId="0" applyNumberFormat="1" applyFont="1" applyFill="1" applyBorder="1" applyProtection="1">
      <protection hidden="1"/>
    </xf>
    <xf numFmtId="0" fontId="6" fillId="2" borderId="0" xfId="0" quotePrefix="1" applyFont="1" applyFill="1" applyAlignment="1" applyProtection="1">
      <alignment horizontal="right"/>
      <protection hidden="1"/>
    </xf>
    <xf numFmtId="6" fontId="119" fillId="2" borderId="3" xfId="0" applyNumberFormat="1" applyFont="1" applyFill="1" applyBorder="1" applyAlignment="1" applyProtection="1">
      <alignment horizontal="center" vertical="center"/>
      <protection hidden="1"/>
    </xf>
    <xf numFmtId="0" fontId="5" fillId="2" borderId="0" xfId="0" applyFont="1" applyFill="1" applyAlignment="1" applyProtection="1">
      <alignment horizontal="right"/>
      <protection hidden="1"/>
    </xf>
    <xf numFmtId="3" fontId="5" fillId="2" borderId="0" xfId="0" applyNumberFormat="1" applyFont="1" applyFill="1" applyProtection="1">
      <protection hidden="1"/>
    </xf>
    <xf numFmtId="3" fontId="6" fillId="2" borderId="0" xfId="0" applyNumberFormat="1" applyFont="1" applyFill="1" applyAlignment="1" applyProtection="1">
      <alignment horizontal="right"/>
      <protection hidden="1"/>
    </xf>
    <xf numFmtId="0" fontId="42" fillId="2" borderId="6" xfId="0" quotePrefix="1" applyFont="1" applyFill="1" applyBorder="1" applyAlignment="1" applyProtection="1">
      <alignment horizontal="left"/>
      <protection hidden="1"/>
    </xf>
    <xf numFmtId="0" fontId="42" fillId="2" borderId="6" xfId="0" quotePrefix="1" applyFont="1" applyFill="1" applyBorder="1" applyAlignment="1" applyProtection="1">
      <alignment horizontal="left" vertical="center"/>
      <protection hidden="1"/>
    </xf>
    <xf numFmtId="0" fontId="6" fillId="2" borderId="68" xfId="0" applyFont="1" applyFill="1" applyBorder="1" applyProtection="1">
      <protection hidden="1"/>
    </xf>
    <xf numFmtId="0" fontId="5" fillId="2" borderId="26" xfId="0" applyFont="1" applyFill="1" applyBorder="1" applyProtection="1">
      <protection hidden="1"/>
    </xf>
    <xf numFmtId="0" fontId="21" fillId="2" borderId="26" xfId="0" applyFont="1" applyFill="1" applyBorder="1" applyProtection="1">
      <protection hidden="1"/>
    </xf>
    <xf numFmtId="0" fontId="64" fillId="2" borderId="26" xfId="0" applyFont="1" applyFill="1" applyBorder="1" applyProtection="1">
      <protection hidden="1"/>
    </xf>
    <xf numFmtId="0" fontId="6" fillId="2" borderId="26" xfId="0" applyFont="1" applyFill="1" applyBorder="1" applyAlignment="1" applyProtection="1">
      <alignment horizontal="center"/>
      <protection hidden="1"/>
    </xf>
    <xf numFmtId="0" fontId="25" fillId="2" borderId="26" xfId="0" applyFont="1" applyFill="1" applyBorder="1" applyProtection="1">
      <protection hidden="1"/>
    </xf>
    <xf numFmtId="0" fontId="0" fillId="2" borderId="69" xfId="0" applyFill="1" applyBorder="1" applyProtection="1">
      <protection hidden="1"/>
    </xf>
    <xf numFmtId="0" fontId="5" fillId="2" borderId="26" xfId="0" applyFont="1" applyFill="1" applyBorder="1" applyAlignment="1" applyProtection="1">
      <alignment horizontal="left" vertical="center"/>
      <protection hidden="1"/>
    </xf>
    <xf numFmtId="0" fontId="28" fillId="2" borderId="0" xfId="0" applyFont="1" applyFill="1" applyAlignment="1" applyProtection="1">
      <alignment horizontal="center" vertical="center"/>
      <protection hidden="1"/>
    </xf>
    <xf numFmtId="37" fontId="120" fillId="2" borderId="0" xfId="0" applyNumberFormat="1" applyFont="1" applyFill="1" applyAlignment="1" applyProtection="1">
      <alignment horizontal="right"/>
      <protection hidden="1"/>
    </xf>
    <xf numFmtId="3" fontId="120" fillId="2" borderId="0" xfId="0" applyNumberFormat="1" applyFont="1" applyFill="1" applyProtection="1">
      <protection hidden="1"/>
    </xf>
    <xf numFmtId="0" fontId="120" fillId="2" borderId="0" xfId="0" applyFont="1" applyFill="1" applyProtection="1">
      <protection hidden="1"/>
    </xf>
    <xf numFmtId="0" fontId="3" fillId="2" borderId="0" xfId="0" applyFont="1" applyFill="1"/>
    <xf numFmtId="4" fontId="7" fillId="2" borderId="0" xfId="0" applyNumberFormat="1" applyFont="1" applyFill="1"/>
    <xf numFmtId="0" fontId="3" fillId="2" borderId="0" xfId="0" applyFont="1" applyFill="1" applyAlignment="1">
      <alignment horizontal="center"/>
    </xf>
    <xf numFmtId="4" fontId="13" fillId="2" borderId="0" xfId="0" applyNumberFormat="1" applyFont="1" applyFill="1" applyAlignment="1">
      <alignment horizontal="right"/>
    </xf>
    <xf numFmtId="0" fontId="10" fillId="2" borderId="0" xfId="0" applyFont="1" applyFill="1"/>
    <xf numFmtId="4" fontId="8" fillId="3" borderId="23" xfId="0" applyNumberFormat="1" applyFont="1" applyFill="1" applyBorder="1" applyAlignment="1" applyProtection="1">
      <alignment horizontal="right"/>
      <protection hidden="1"/>
    </xf>
    <xf numFmtId="0" fontId="19" fillId="2" borderId="5" xfId="0" applyFont="1" applyFill="1" applyBorder="1" applyAlignment="1" applyProtection="1">
      <alignment horizontal="left" vertical="center"/>
      <protection hidden="1"/>
    </xf>
    <xf numFmtId="0" fontId="13" fillId="3" borderId="0" xfId="0" applyFont="1" applyFill="1" applyAlignment="1" applyProtection="1">
      <alignment horizontal="right"/>
      <protection hidden="1"/>
    </xf>
    <xf numFmtId="4" fontId="0" fillId="3" borderId="3" xfId="0" applyNumberFormat="1" applyFill="1" applyBorder="1" applyProtection="1">
      <protection hidden="1"/>
    </xf>
    <xf numFmtId="0" fontId="10" fillId="3" borderId="0" xfId="0" applyFont="1" applyFill="1" applyAlignment="1" applyProtection="1">
      <alignment vertical="top"/>
      <protection hidden="1"/>
    </xf>
    <xf numFmtId="0" fontId="13" fillId="3" borderId="8" xfId="0" applyFont="1" applyFill="1" applyBorder="1" applyAlignment="1" applyProtection="1">
      <alignment horizontal="right"/>
      <protection hidden="1"/>
    </xf>
    <xf numFmtId="0" fontId="8" fillId="3" borderId="32" xfId="0" applyFont="1" applyFill="1" applyBorder="1" applyAlignment="1" applyProtection="1">
      <alignment horizontal="right"/>
      <protection hidden="1"/>
    </xf>
    <xf numFmtId="0" fontId="7" fillId="3" borderId="32" xfId="0" applyFont="1" applyFill="1" applyBorder="1" applyProtection="1">
      <protection hidden="1"/>
    </xf>
    <xf numFmtId="0" fontId="10" fillId="3" borderId="32" xfId="0" applyFont="1" applyFill="1" applyBorder="1" applyProtection="1">
      <protection hidden="1"/>
    </xf>
    <xf numFmtId="0" fontId="3" fillId="3" borderId="32" xfId="0" applyFont="1" applyFill="1" applyBorder="1" applyAlignment="1" applyProtection="1">
      <alignment horizontal="center"/>
      <protection hidden="1"/>
    </xf>
    <xf numFmtId="4" fontId="0" fillId="3" borderId="32" xfId="0" applyNumberFormat="1" applyFill="1" applyBorder="1" applyProtection="1">
      <protection hidden="1"/>
    </xf>
    <xf numFmtId="0" fontId="19" fillId="3" borderId="8" xfId="0" applyFont="1" applyFill="1" applyBorder="1" applyAlignment="1" applyProtection="1">
      <alignment horizontal="right"/>
      <protection hidden="1"/>
    </xf>
    <xf numFmtId="0" fontId="11" fillId="3" borderId="0" xfId="0" quotePrefix="1" applyFont="1" applyFill="1" applyAlignment="1" applyProtection="1">
      <alignment horizontal="left"/>
      <protection hidden="1"/>
    </xf>
    <xf numFmtId="39" fontId="17" fillId="3" borderId="0" xfId="0" applyNumberFormat="1" applyFont="1" applyFill="1" applyAlignment="1" applyProtection="1">
      <alignment horizontal="left"/>
      <protection locked="0"/>
    </xf>
    <xf numFmtId="0" fontId="0" fillId="0" borderId="0" xfId="0" applyAlignment="1" applyProtection="1">
      <alignment horizontal="left"/>
      <protection locked="0"/>
    </xf>
    <xf numFmtId="0" fontId="0" fillId="3" borderId="6" xfId="0" applyFill="1" applyBorder="1" applyProtection="1">
      <protection hidden="1"/>
    </xf>
    <xf numFmtId="0" fontId="0" fillId="3" borderId="32" xfId="0" applyFill="1" applyBorder="1" applyProtection="1">
      <protection hidden="1"/>
    </xf>
    <xf numFmtId="0" fontId="0" fillId="2" borderId="9" xfId="0" applyFill="1" applyBorder="1" applyAlignment="1" applyProtection="1">
      <alignment horizontal="left"/>
      <protection locked="0"/>
    </xf>
    <xf numFmtId="39" fontId="8" fillId="3" borderId="0" xfId="0" applyNumberFormat="1" applyFont="1" applyFill="1" applyProtection="1">
      <protection hidden="1"/>
    </xf>
    <xf numFmtId="0" fontId="3" fillId="3" borderId="75" xfId="0" applyFont="1" applyFill="1" applyBorder="1" applyAlignment="1" applyProtection="1">
      <alignment horizontal="center"/>
      <protection locked="0"/>
    </xf>
    <xf numFmtId="0" fontId="8" fillId="3" borderId="11" xfId="0" applyFont="1" applyFill="1" applyBorder="1" applyAlignment="1" applyProtection="1">
      <alignment horizontal="center"/>
      <protection hidden="1"/>
    </xf>
    <xf numFmtId="4" fontId="5" fillId="3" borderId="0" xfId="0" applyNumberFormat="1" applyFont="1" applyFill="1" applyAlignment="1" applyProtection="1">
      <alignment horizontal="left"/>
      <protection hidden="1"/>
    </xf>
    <xf numFmtId="0" fontId="8" fillId="3" borderId="10" xfId="0" applyFont="1" applyFill="1" applyBorder="1" applyAlignment="1" applyProtection="1">
      <alignment horizontal="center"/>
      <protection hidden="1"/>
    </xf>
    <xf numFmtId="0" fontId="5" fillId="3" borderId="5" xfId="0" applyFont="1" applyFill="1" applyBorder="1" applyProtection="1">
      <protection hidden="1"/>
    </xf>
    <xf numFmtId="0" fontId="11" fillId="3" borderId="5" xfId="0" applyFont="1" applyFill="1" applyBorder="1" applyAlignment="1" applyProtection="1">
      <alignment horizontal="right"/>
      <protection hidden="1"/>
    </xf>
    <xf numFmtId="0" fontId="9" fillId="3" borderId="22" xfId="0" applyFont="1" applyFill="1" applyBorder="1" applyAlignment="1" applyProtection="1">
      <alignment horizontal="right"/>
      <protection hidden="1"/>
    </xf>
    <xf numFmtId="0" fontId="8" fillId="3" borderId="5" xfId="0" applyFont="1" applyFill="1" applyBorder="1" applyAlignment="1" applyProtection="1">
      <alignment horizontal="left"/>
      <protection hidden="1"/>
    </xf>
    <xf numFmtId="0" fontId="8" fillId="3" borderId="52" xfId="0" applyFont="1" applyFill="1" applyBorder="1" applyAlignment="1" applyProtection="1">
      <alignment horizontal="center"/>
      <protection hidden="1"/>
    </xf>
    <xf numFmtId="39" fontId="8" fillId="3" borderId="5" xfId="0" applyNumberFormat="1" applyFont="1" applyFill="1" applyBorder="1" applyProtection="1">
      <protection hidden="1"/>
    </xf>
    <xf numFmtId="4" fontId="10" fillId="3" borderId="8" xfId="0" applyNumberFormat="1" applyFont="1" applyFill="1" applyBorder="1" applyAlignment="1" applyProtection="1">
      <alignment horizontal="center" vertical="top"/>
      <protection hidden="1"/>
    </xf>
    <xf numFmtId="3" fontId="116" fillId="0" borderId="0" xfId="0" applyNumberFormat="1" applyFont="1" applyAlignment="1" applyProtection="1">
      <alignment horizontal="center" wrapText="1"/>
      <protection hidden="1"/>
    </xf>
    <xf numFmtId="3" fontId="116" fillId="0" borderId="8" xfId="0" applyNumberFormat="1" applyFont="1" applyBorder="1" applyAlignment="1" applyProtection="1">
      <alignment horizontal="center" wrapText="1"/>
      <protection hidden="1"/>
    </xf>
    <xf numFmtId="174" fontId="5" fillId="0" borderId="0" xfId="0" applyNumberFormat="1" applyFont="1" applyAlignment="1" applyProtection="1">
      <alignment horizontal="center"/>
      <protection hidden="1"/>
    </xf>
    <xf numFmtId="0" fontId="120" fillId="0" borderId="0" xfId="0" applyFont="1" applyAlignment="1" applyProtection="1">
      <alignment horizontal="center"/>
      <protection hidden="1"/>
    </xf>
    <xf numFmtId="174" fontId="120" fillId="0" borderId="0" xfId="0" applyNumberFormat="1" applyFont="1" applyAlignment="1" applyProtection="1">
      <alignment horizontal="center"/>
      <protection hidden="1"/>
    </xf>
    <xf numFmtId="0" fontId="7" fillId="2" borderId="1" xfId="0" applyFont="1" applyFill="1" applyBorder="1" applyAlignment="1" applyProtection="1">
      <alignment vertical="center"/>
      <protection hidden="1"/>
    </xf>
    <xf numFmtId="0" fontId="5" fillId="2" borderId="1" xfId="0" applyFont="1" applyFill="1" applyBorder="1" applyAlignment="1" applyProtection="1">
      <alignment horizontal="right"/>
      <protection hidden="1"/>
    </xf>
    <xf numFmtId="0" fontId="3" fillId="3" borderId="0" xfId="0" applyFont="1" applyFill="1" applyAlignment="1" applyProtection="1">
      <alignment horizontal="right" vertical="top"/>
      <protection hidden="1"/>
    </xf>
    <xf numFmtId="4" fontId="0" fillId="3" borderId="16" xfId="0" applyNumberFormat="1" applyFill="1" applyBorder="1" applyProtection="1">
      <protection hidden="1"/>
    </xf>
    <xf numFmtId="0" fontId="3" fillId="3" borderId="5" xfId="0" applyFont="1" applyFill="1" applyBorder="1" applyAlignment="1" applyProtection="1">
      <alignment horizontal="right" vertical="top"/>
      <protection hidden="1"/>
    </xf>
    <xf numFmtId="39" fontId="0" fillId="3" borderId="0" xfId="0" applyNumberFormat="1" applyFill="1" applyProtection="1">
      <protection hidden="1"/>
    </xf>
    <xf numFmtId="0" fontId="120" fillId="2" borderId="0" xfId="0" applyFont="1" applyFill="1" applyAlignment="1" applyProtection="1">
      <alignment horizontal="center"/>
      <protection hidden="1"/>
    </xf>
    <xf numFmtId="4" fontId="21" fillId="3" borderId="31" xfId="0" applyNumberFormat="1" applyFont="1" applyFill="1" applyBorder="1" applyProtection="1">
      <protection hidden="1"/>
    </xf>
    <xf numFmtId="4" fontId="21" fillId="3" borderId="3" xfId="0" applyNumberFormat="1" applyFont="1" applyFill="1" applyBorder="1" applyAlignment="1" applyProtection="1">
      <alignment vertical="center"/>
      <protection hidden="1"/>
    </xf>
    <xf numFmtId="4" fontId="21" fillId="3" borderId="0" xfId="0" applyNumberFormat="1" applyFont="1" applyFill="1" applyAlignment="1" applyProtection="1">
      <alignment horizontal="right" vertical="center"/>
      <protection hidden="1"/>
    </xf>
    <xf numFmtId="4" fontId="6" fillId="3" borderId="3" xfId="0" applyNumberFormat="1" applyFont="1" applyFill="1" applyBorder="1" applyProtection="1">
      <protection hidden="1"/>
    </xf>
    <xf numFmtId="4" fontId="21" fillId="3" borderId="3" xfId="0" applyNumberFormat="1" applyFont="1" applyFill="1" applyBorder="1" applyProtection="1">
      <protection hidden="1"/>
    </xf>
    <xf numFmtId="4" fontId="21" fillId="3" borderId="0" xfId="0" applyNumberFormat="1" applyFont="1" applyFill="1" applyAlignment="1" applyProtection="1">
      <alignment horizontal="right"/>
      <protection hidden="1"/>
    </xf>
    <xf numFmtId="4" fontId="21" fillId="3" borderId="70" xfId="0" applyNumberFormat="1" applyFont="1" applyFill="1" applyBorder="1" applyProtection="1">
      <protection hidden="1"/>
    </xf>
    <xf numFmtId="4" fontId="21" fillId="3" borderId="5" xfId="0" applyNumberFormat="1" applyFont="1" applyFill="1" applyBorder="1" applyAlignment="1" applyProtection="1">
      <alignment horizontal="right"/>
      <protection hidden="1"/>
    </xf>
    <xf numFmtId="4" fontId="21" fillId="2" borderId="0" xfId="0" applyNumberFormat="1" applyFont="1" applyFill="1" applyProtection="1">
      <protection hidden="1"/>
    </xf>
    <xf numFmtId="4" fontId="53" fillId="2" borderId="0" xfId="0" applyNumberFormat="1" applyFont="1" applyFill="1" applyProtection="1">
      <protection hidden="1"/>
    </xf>
    <xf numFmtId="4" fontId="56" fillId="2" borderId="0" xfId="0" applyNumberFormat="1" applyFont="1" applyFill="1" applyAlignment="1" applyProtection="1">
      <alignment horizontal="center"/>
      <protection hidden="1"/>
    </xf>
    <xf numFmtId="4" fontId="93" fillId="2" borderId="0" xfId="0" applyNumberFormat="1" applyFont="1" applyFill="1" applyAlignment="1" applyProtection="1">
      <alignment horizontal="center"/>
      <protection hidden="1"/>
    </xf>
    <xf numFmtId="4" fontId="19" fillId="2" borderId="0" xfId="0" applyNumberFormat="1" applyFont="1" applyFill="1" applyAlignment="1" applyProtection="1">
      <alignment horizontal="center"/>
      <protection hidden="1"/>
    </xf>
    <xf numFmtId="39" fontId="7" fillId="2" borderId="0" xfId="0" applyNumberFormat="1" applyFont="1" applyFill="1" applyAlignment="1" applyProtection="1">
      <alignment horizontal="right"/>
      <protection locked="0"/>
    </xf>
    <xf numFmtId="39" fontId="7" fillId="2" borderId="0" xfId="0" applyNumberFormat="1" applyFont="1" applyFill="1" applyProtection="1">
      <protection locked="0"/>
    </xf>
    <xf numFmtId="39" fontId="10" fillId="2" borderId="0" xfId="0" applyNumberFormat="1" applyFont="1" applyFill="1" applyAlignment="1" applyProtection="1">
      <alignment horizontal="center"/>
      <protection hidden="1"/>
    </xf>
    <xf numFmtId="39" fontId="7" fillId="2" borderId="0" xfId="0" applyNumberFormat="1" applyFont="1" applyFill="1" applyProtection="1">
      <protection hidden="1"/>
    </xf>
    <xf numFmtId="4" fontId="13" fillId="2" borderId="0" xfId="0" applyNumberFormat="1" applyFont="1" applyFill="1" applyProtection="1">
      <protection hidden="1"/>
    </xf>
    <xf numFmtId="39" fontId="10" fillId="2" borderId="0" xfId="0" applyNumberFormat="1" applyFont="1" applyFill="1" applyProtection="1">
      <protection hidden="1"/>
    </xf>
    <xf numFmtId="4" fontId="21" fillId="2" borderId="0" xfId="0" applyNumberFormat="1" applyFont="1" applyFill="1" applyAlignment="1" applyProtection="1">
      <alignment vertical="center"/>
      <protection hidden="1"/>
    </xf>
    <xf numFmtId="164" fontId="6" fillId="3" borderId="3" xfId="0" quotePrefix="1" applyNumberFormat="1" applyFont="1" applyFill="1" applyBorder="1" applyAlignment="1" applyProtection="1">
      <alignment horizontal="right" vertical="top"/>
      <protection hidden="1"/>
    </xf>
    <xf numFmtId="0" fontId="7" fillId="2" borderId="0" xfId="0" applyFont="1" applyFill="1"/>
    <xf numFmtId="4" fontId="0" fillId="2" borderId="0" xfId="0" applyNumberFormat="1" applyFill="1"/>
    <xf numFmtId="4" fontId="12" fillId="2" borderId="0" xfId="0" applyNumberFormat="1" applyFont="1" applyFill="1" applyAlignment="1">
      <alignment horizontal="center" vertical="center"/>
    </xf>
    <xf numFmtId="0" fontId="5" fillId="2" borderId="0" xfId="0" applyFont="1" applyFill="1" applyAlignment="1" applyProtection="1">
      <alignment horizontal="left" vertical="top"/>
      <protection hidden="1"/>
    </xf>
    <xf numFmtId="0" fontId="13" fillId="2" borderId="0" xfId="0" applyFont="1" applyFill="1" applyAlignment="1" applyProtection="1">
      <alignment horizontal="right" vertical="top"/>
      <protection hidden="1"/>
    </xf>
    <xf numFmtId="0" fontId="121" fillId="5" borderId="0" xfId="0" applyFont="1" applyFill="1" applyProtection="1">
      <protection hidden="1"/>
    </xf>
    <xf numFmtId="0" fontId="6" fillId="5" borderId="0" xfId="0" applyFont="1" applyFill="1" applyProtection="1">
      <protection hidden="1"/>
    </xf>
    <xf numFmtId="0" fontId="121" fillId="5" borderId="0" xfId="0" applyFont="1" applyFill="1" applyAlignment="1" applyProtection="1">
      <alignment horizontal="center"/>
      <protection hidden="1"/>
    </xf>
    <xf numFmtId="40" fontId="122" fillId="2" borderId="0" xfId="0" applyNumberFormat="1" applyFont="1" applyFill="1" applyProtection="1">
      <protection hidden="1"/>
    </xf>
    <xf numFmtId="0" fontId="8" fillId="2" borderId="8" xfId="0" applyFont="1" applyFill="1" applyBorder="1" applyAlignment="1" applyProtection="1">
      <alignment horizontal="center"/>
      <protection hidden="1"/>
    </xf>
    <xf numFmtId="164" fontId="5" fillId="2" borderId="0" xfId="0" applyNumberFormat="1" applyFont="1" applyFill="1" applyAlignment="1" applyProtection="1">
      <alignment horizontal="left" vertical="center"/>
      <protection hidden="1"/>
    </xf>
    <xf numFmtId="3" fontId="8" fillId="3" borderId="31" xfId="0" applyNumberFormat="1" applyFont="1" applyFill="1" applyBorder="1" applyAlignment="1" applyProtection="1">
      <alignment horizontal="right"/>
      <protection hidden="1"/>
    </xf>
    <xf numFmtId="0" fontId="8" fillId="2" borderId="31" xfId="0" applyFont="1" applyFill="1" applyBorder="1" applyAlignment="1">
      <alignment horizontal="right"/>
    </xf>
    <xf numFmtId="0" fontId="8" fillId="2" borderId="9" xfId="0" applyFont="1" applyFill="1" applyBorder="1" applyAlignment="1">
      <alignment horizontal="right"/>
    </xf>
    <xf numFmtId="0" fontId="8" fillId="2" borderId="3" xfId="0" applyFont="1" applyFill="1" applyBorder="1" applyAlignment="1">
      <alignment horizontal="right"/>
    </xf>
    <xf numFmtId="0" fontId="8" fillId="2" borderId="0" xfId="0" applyFont="1" applyFill="1" applyAlignment="1">
      <alignment horizontal="right"/>
    </xf>
    <xf numFmtId="3" fontId="8" fillId="3" borderId="77" xfId="0" applyNumberFormat="1" applyFont="1" applyFill="1" applyBorder="1" applyAlignment="1" applyProtection="1">
      <alignment horizontal="right"/>
      <protection hidden="1"/>
    </xf>
    <xf numFmtId="3" fontId="8" fillId="2" borderId="79" xfId="0" applyNumberFormat="1" applyFont="1" applyFill="1" applyBorder="1" applyAlignment="1" applyProtection="1">
      <alignment horizontal="right"/>
      <protection hidden="1"/>
    </xf>
    <xf numFmtId="3" fontId="8" fillId="3" borderId="9" xfId="0" applyNumberFormat="1" applyFont="1" applyFill="1" applyBorder="1" applyAlignment="1" applyProtection="1">
      <alignment horizontal="right"/>
      <protection hidden="1"/>
    </xf>
    <xf numFmtId="0" fontId="6" fillId="2" borderId="1" xfId="0" applyFont="1" applyFill="1" applyBorder="1" applyProtection="1">
      <protection locked="0"/>
    </xf>
    <xf numFmtId="0" fontId="0" fillId="3" borderId="14" xfId="0" applyFill="1" applyBorder="1" applyProtection="1">
      <protection hidden="1"/>
    </xf>
    <xf numFmtId="3" fontId="10" fillId="0" borderId="13" xfId="0" applyNumberFormat="1" applyFont="1" applyBorder="1"/>
    <xf numFmtId="0" fontId="10" fillId="0" borderId="13" xfId="0" applyFont="1" applyBorder="1" applyAlignment="1">
      <alignment horizontal="center"/>
    </xf>
    <xf numFmtId="0" fontId="10" fillId="0" borderId="0" xfId="0" applyFont="1" applyAlignment="1">
      <alignment horizontal="right"/>
    </xf>
    <xf numFmtId="0" fontId="10" fillId="0" borderId="0" xfId="0" applyFont="1" applyAlignment="1" applyProtection="1">
      <alignment horizontal="right"/>
      <protection hidden="1"/>
    </xf>
    <xf numFmtId="0" fontId="0" fillId="16" borderId="0" xfId="0" applyFill="1"/>
    <xf numFmtId="4" fontId="6" fillId="2" borderId="83" xfId="0" applyNumberFormat="1" applyFont="1" applyFill="1" applyBorder="1" applyAlignment="1" applyProtection="1">
      <alignment horizontal="center"/>
      <protection hidden="1"/>
    </xf>
    <xf numFmtId="0" fontId="64" fillId="2" borderId="60" xfId="0" applyFont="1" applyFill="1" applyBorder="1" applyAlignment="1" applyProtection="1">
      <alignment horizontal="right"/>
      <protection hidden="1"/>
    </xf>
    <xf numFmtId="0" fontId="64" fillId="2" borderId="61" xfId="0" applyFont="1" applyFill="1" applyBorder="1" applyAlignment="1" applyProtection="1">
      <alignment horizontal="right"/>
      <protection hidden="1"/>
    </xf>
    <xf numFmtId="4" fontId="6" fillId="2" borderId="82" xfId="0" applyNumberFormat="1" applyFont="1" applyFill="1" applyBorder="1" applyAlignment="1" applyProtection="1">
      <alignment horizontal="center"/>
      <protection hidden="1"/>
    </xf>
    <xf numFmtId="0" fontId="0" fillId="2" borderId="61" xfId="0" applyFill="1" applyBorder="1" applyProtection="1">
      <protection hidden="1"/>
    </xf>
    <xf numFmtId="2" fontId="6" fillId="2" borderId="60" xfId="0" applyNumberFormat="1" applyFont="1" applyFill="1" applyBorder="1" applyAlignment="1" applyProtection="1">
      <alignment horizontal="center"/>
      <protection hidden="1"/>
    </xf>
    <xf numFmtId="2" fontId="6" fillId="2" borderId="2" xfId="0" applyNumberFormat="1" applyFont="1" applyFill="1" applyBorder="1" applyAlignment="1" applyProtection="1">
      <alignment horizontal="center"/>
      <protection hidden="1"/>
    </xf>
    <xf numFmtId="0" fontId="24" fillId="2" borderId="0" xfId="0" applyFont="1" applyFill="1" applyAlignment="1" applyProtection="1">
      <alignment horizontal="left" vertical="center"/>
      <protection hidden="1"/>
    </xf>
    <xf numFmtId="0" fontId="0" fillId="16" borderId="17" xfId="0" applyFill="1" applyBorder="1"/>
    <xf numFmtId="0" fontId="126" fillId="2" borderId="6" xfId="0" applyFont="1" applyFill="1" applyBorder="1" applyAlignment="1" applyProtection="1">
      <alignment horizontal="right"/>
      <protection hidden="1"/>
    </xf>
    <xf numFmtId="0" fontId="127" fillId="2" borderId="42" xfId="0" applyFont="1" applyFill="1" applyBorder="1" applyProtection="1">
      <protection hidden="1"/>
    </xf>
    <xf numFmtId="0" fontId="126" fillId="2" borderId="6" xfId="0" applyFont="1" applyFill="1" applyBorder="1" applyAlignment="1" applyProtection="1">
      <alignment horizontal="right" vertical="top"/>
      <protection hidden="1"/>
    </xf>
    <xf numFmtId="0" fontId="127" fillId="2" borderId="42" xfId="0" applyFont="1" applyFill="1" applyBorder="1" applyAlignment="1" applyProtection="1">
      <alignment wrapText="1"/>
      <protection hidden="1"/>
    </xf>
    <xf numFmtId="4" fontId="127" fillId="2" borderId="50" xfId="0" applyNumberFormat="1" applyFont="1" applyFill="1" applyBorder="1" applyAlignment="1" applyProtection="1">
      <alignment horizontal="center"/>
      <protection hidden="1"/>
    </xf>
    <xf numFmtId="3" fontId="10" fillId="0" borderId="13" xfId="0" quotePrefix="1" applyNumberFormat="1" applyFont="1" applyBorder="1" applyAlignment="1">
      <alignment horizontal="center"/>
    </xf>
    <xf numFmtId="0" fontId="130" fillId="5" borderId="0" xfId="0" applyFont="1" applyFill="1" applyAlignment="1" applyProtection="1">
      <alignment horizontal="center" vertical="center"/>
      <protection locked="0"/>
    </xf>
    <xf numFmtId="39" fontId="131" fillId="3" borderId="6" xfId="0" applyNumberFormat="1" applyFont="1" applyFill="1" applyBorder="1" applyAlignment="1" applyProtection="1">
      <alignment horizontal="center" vertical="center"/>
      <protection hidden="1"/>
    </xf>
    <xf numFmtId="39" fontId="131" fillId="3" borderId="6" xfId="0" applyNumberFormat="1" applyFont="1" applyFill="1" applyBorder="1" applyAlignment="1" applyProtection="1">
      <alignment horizontal="right"/>
      <protection hidden="1"/>
    </xf>
    <xf numFmtId="39" fontId="131" fillId="3" borderId="6" xfId="0" applyNumberFormat="1" applyFont="1" applyFill="1" applyBorder="1" applyAlignment="1" applyProtection="1">
      <alignment vertical="center"/>
      <protection hidden="1"/>
    </xf>
    <xf numFmtId="4" fontId="6" fillId="3" borderId="0" xfId="0" applyNumberFormat="1" applyFont="1" applyFill="1" applyAlignment="1" applyProtection="1">
      <alignment horizontal="center" vertical="center"/>
      <protection locked="0"/>
    </xf>
    <xf numFmtId="0" fontId="5" fillId="0" borderId="5" xfId="0" applyFont="1" applyBorder="1" applyAlignment="1" applyProtection="1">
      <alignment vertical="top"/>
      <protection hidden="1"/>
    </xf>
    <xf numFmtId="4" fontId="6" fillId="3" borderId="5" xfId="0" applyNumberFormat="1" applyFont="1" applyFill="1" applyBorder="1" applyAlignment="1" applyProtection="1">
      <alignment horizontal="right"/>
      <protection hidden="1"/>
    </xf>
    <xf numFmtId="4" fontId="0" fillId="3" borderId="70" xfId="0" applyNumberFormat="1" applyFill="1" applyBorder="1" applyProtection="1">
      <protection hidden="1"/>
    </xf>
    <xf numFmtId="4" fontId="6" fillId="3" borderId="5" xfId="0" applyNumberFormat="1" applyFont="1" applyFill="1" applyBorder="1" applyAlignment="1" applyProtection="1">
      <alignment horizontal="center" vertical="center"/>
      <protection locked="0"/>
    </xf>
    <xf numFmtId="4" fontId="0" fillId="16" borderId="3" xfId="0" applyNumberFormat="1" applyFill="1" applyBorder="1" applyProtection="1">
      <protection hidden="1"/>
    </xf>
    <xf numFmtId="4" fontId="0" fillId="16" borderId="0" xfId="0" applyNumberFormat="1" applyFill="1" applyProtection="1">
      <protection hidden="1"/>
    </xf>
    <xf numFmtId="4" fontId="0" fillId="16" borderId="25" xfId="0" applyNumberFormat="1" applyFill="1" applyBorder="1" applyProtection="1">
      <protection hidden="1"/>
    </xf>
    <xf numFmtId="4" fontId="0" fillId="3" borderId="71" xfId="0" applyNumberFormat="1" applyFill="1" applyBorder="1" applyProtection="1">
      <protection hidden="1"/>
    </xf>
    <xf numFmtId="0" fontId="131" fillId="3" borderId="26" xfId="0" applyFont="1" applyFill="1" applyBorder="1" applyProtection="1">
      <protection hidden="1"/>
    </xf>
    <xf numFmtId="0" fontId="131" fillId="3" borderId="32" xfId="0" applyFont="1" applyFill="1" applyBorder="1" applyProtection="1">
      <protection hidden="1"/>
    </xf>
    <xf numFmtId="0" fontId="129" fillId="2" borderId="0" xfId="0" applyFont="1" applyFill="1" applyProtection="1">
      <protection hidden="1"/>
    </xf>
    <xf numFmtId="0" fontId="131" fillId="0" borderId="0" xfId="0" applyFont="1" applyAlignment="1" applyProtection="1">
      <alignment horizontal="center"/>
      <protection hidden="1"/>
    </xf>
    <xf numFmtId="3" fontId="0" fillId="2" borderId="13" xfId="0" applyNumberFormat="1" applyFill="1" applyBorder="1" applyAlignment="1" applyProtection="1">
      <alignment horizontal="right" vertical="center"/>
      <protection locked="0"/>
    </xf>
    <xf numFmtId="0" fontId="0" fillId="16" borderId="0" xfId="0" applyFill="1" applyProtection="1">
      <protection hidden="1"/>
    </xf>
    <xf numFmtId="0" fontId="3" fillId="17" borderId="13" xfId="0" applyFont="1" applyFill="1" applyBorder="1" applyAlignment="1" applyProtection="1">
      <alignment horizontal="center" vertical="center"/>
      <protection locked="0"/>
    </xf>
    <xf numFmtId="0" fontId="3" fillId="17" borderId="2" xfId="0" applyFont="1" applyFill="1" applyBorder="1" applyAlignment="1" applyProtection="1">
      <alignment horizontal="center" vertical="center"/>
      <protection locked="0"/>
    </xf>
    <xf numFmtId="0" fontId="8" fillId="17" borderId="13" xfId="0" applyFont="1" applyFill="1" applyBorder="1" applyAlignment="1" applyProtection="1">
      <alignment horizontal="center" vertical="center"/>
      <protection locked="0"/>
    </xf>
    <xf numFmtId="167" fontId="8" fillId="17" borderId="13" xfId="0" applyNumberFormat="1" applyFont="1" applyFill="1" applyBorder="1" applyAlignment="1" applyProtection="1">
      <alignment horizontal="center"/>
      <protection locked="0"/>
    </xf>
    <xf numFmtId="0" fontId="8" fillId="17" borderId="2" xfId="0" applyFont="1" applyFill="1" applyBorder="1" applyAlignment="1" applyProtection="1">
      <alignment horizontal="center" vertical="center"/>
      <protection locked="0"/>
    </xf>
    <xf numFmtId="0" fontId="10" fillId="16" borderId="0" xfId="0" applyFont="1" applyFill="1" applyProtection="1">
      <protection hidden="1"/>
    </xf>
    <xf numFmtId="14" fontId="10" fillId="16" borderId="31" xfId="0" applyNumberFormat="1" applyFont="1" applyFill="1" applyBorder="1" applyProtection="1">
      <protection hidden="1"/>
    </xf>
    <xf numFmtId="14" fontId="10" fillId="16" borderId="9" xfId="0" applyNumberFormat="1" applyFont="1" applyFill="1" applyBorder="1" applyProtection="1">
      <protection hidden="1"/>
    </xf>
    <xf numFmtId="14" fontId="10" fillId="16" borderId="15" xfId="0" applyNumberFormat="1" applyFont="1" applyFill="1" applyBorder="1" applyProtection="1">
      <protection hidden="1"/>
    </xf>
    <xf numFmtId="1" fontId="3" fillId="16" borderId="9" xfId="0" applyNumberFormat="1" applyFont="1" applyFill="1" applyBorder="1" applyProtection="1">
      <protection hidden="1"/>
    </xf>
    <xf numFmtId="0" fontId="0" fillId="20" borderId="40" xfId="0" applyFill="1" applyBorder="1" applyProtection="1">
      <protection hidden="1"/>
    </xf>
    <xf numFmtId="0" fontId="0" fillId="20" borderId="55" xfId="0" applyFill="1" applyBorder="1" applyProtection="1">
      <protection hidden="1"/>
    </xf>
    <xf numFmtId="3" fontId="9" fillId="21" borderId="10" xfId="0" applyNumberFormat="1" applyFont="1" applyFill="1" applyBorder="1" applyProtection="1">
      <protection locked="0"/>
    </xf>
    <xf numFmtId="0" fontId="3" fillId="21" borderId="2" xfId="0" applyFont="1" applyFill="1" applyBorder="1" applyAlignment="1" applyProtection="1">
      <alignment horizontal="center" vertical="center"/>
      <protection locked="0"/>
    </xf>
    <xf numFmtId="4" fontId="8" fillId="3" borderId="25" xfId="0" applyNumberFormat="1" applyFont="1" applyFill="1" applyBorder="1" applyAlignment="1" applyProtection="1">
      <alignment horizontal="right"/>
      <protection hidden="1"/>
    </xf>
    <xf numFmtId="0" fontId="22" fillId="3" borderId="22" xfId="0" applyFont="1" applyFill="1" applyBorder="1" applyAlignment="1" applyProtection="1">
      <alignment horizontal="left" vertical="center"/>
      <protection hidden="1"/>
    </xf>
    <xf numFmtId="0" fontId="7" fillId="3" borderId="9" xfId="0" applyFont="1" applyFill="1" applyBorder="1" applyProtection="1">
      <protection hidden="1"/>
    </xf>
    <xf numFmtId="49" fontId="3" fillId="21" borderId="18" xfId="0" applyNumberFormat="1" applyFont="1" applyFill="1" applyBorder="1" applyAlignment="1" applyProtection="1">
      <alignment horizontal="center"/>
      <protection locked="0"/>
    </xf>
    <xf numFmtId="49" fontId="6" fillId="17" borderId="34" xfId="0" applyNumberFormat="1" applyFont="1" applyFill="1" applyBorder="1" applyAlignment="1" applyProtection="1">
      <alignment horizontal="center"/>
      <protection locked="0"/>
    </xf>
    <xf numFmtId="49" fontId="3" fillId="21" borderId="11" xfId="0" applyNumberFormat="1" applyFont="1" applyFill="1" applyBorder="1" applyAlignment="1" applyProtection="1">
      <alignment horizontal="center" vertical="center"/>
      <protection locked="0"/>
    </xf>
    <xf numFmtId="49" fontId="3" fillId="21" borderId="19" xfId="0" applyNumberFormat="1" applyFont="1" applyFill="1" applyBorder="1" applyAlignment="1" applyProtection="1">
      <alignment horizontal="center" vertical="center"/>
      <protection locked="0"/>
    </xf>
    <xf numFmtId="49" fontId="3" fillId="21" borderId="12" xfId="0" applyNumberFormat="1" applyFont="1" applyFill="1" applyBorder="1" applyAlignment="1" applyProtection="1">
      <alignment horizontal="center" vertical="center"/>
      <protection locked="0"/>
    </xf>
    <xf numFmtId="49" fontId="6" fillId="17" borderId="10" xfId="0" applyNumberFormat="1" applyFont="1" applyFill="1" applyBorder="1" applyAlignment="1" applyProtection="1">
      <alignment horizontal="center" vertical="center"/>
      <protection locked="0"/>
    </xf>
    <xf numFmtId="0" fontId="6" fillId="21" borderId="2" xfId="0" applyFont="1" applyFill="1" applyBorder="1" applyAlignment="1" applyProtection="1">
      <alignment horizontal="center" vertical="center"/>
      <protection locked="0"/>
    </xf>
    <xf numFmtId="0" fontId="8" fillId="3" borderId="71" xfId="0" applyFont="1" applyFill="1" applyBorder="1" applyAlignment="1" applyProtection="1">
      <alignment horizontal="right"/>
      <protection hidden="1"/>
    </xf>
    <xf numFmtId="0" fontId="3" fillId="3" borderId="9" xfId="0" applyFont="1" applyFill="1" applyBorder="1" applyAlignment="1" applyProtection="1">
      <alignment horizontal="right" vertical="top" wrapText="1"/>
      <protection hidden="1"/>
    </xf>
    <xf numFmtId="0" fontId="3" fillId="3" borderId="1" xfId="0" applyFont="1" applyFill="1" applyBorder="1" applyAlignment="1" applyProtection="1">
      <alignment horizontal="right" vertical="top" wrapText="1"/>
      <protection hidden="1"/>
    </xf>
    <xf numFmtId="37" fontId="8" fillId="21" borderId="11" xfId="0" applyNumberFormat="1" applyFont="1" applyFill="1" applyBorder="1" applyAlignment="1" applyProtection="1">
      <alignment horizontal="right"/>
      <protection locked="0"/>
    </xf>
    <xf numFmtId="37" fontId="8" fillId="17" borderId="11" xfId="0" applyNumberFormat="1" applyFont="1" applyFill="1" applyBorder="1" applyAlignment="1" applyProtection="1">
      <alignment horizontal="right"/>
      <protection locked="0"/>
    </xf>
    <xf numFmtId="37" fontId="8" fillId="21" borderId="12" xfId="0" applyNumberFormat="1" applyFont="1" applyFill="1" applyBorder="1" applyAlignment="1" applyProtection="1">
      <alignment horizontal="right"/>
      <protection locked="0"/>
    </xf>
    <xf numFmtId="0" fontId="0" fillId="22" borderId="0" xfId="0" applyFill="1" applyProtection="1">
      <protection hidden="1"/>
    </xf>
    <xf numFmtId="0" fontId="7" fillId="22" borderId="0" xfId="0" applyFont="1" applyFill="1" applyProtection="1">
      <protection hidden="1"/>
    </xf>
    <xf numFmtId="0" fontId="10" fillId="22" borderId="0" xfId="0" applyFont="1" applyFill="1" applyProtection="1">
      <protection hidden="1"/>
    </xf>
    <xf numFmtId="4" fontId="10" fillId="22" borderId="0" xfId="0" applyNumberFormat="1" applyFont="1" applyFill="1" applyProtection="1">
      <protection hidden="1"/>
    </xf>
    <xf numFmtId="0" fontId="14" fillId="22" borderId="0" xfId="0" applyFont="1" applyFill="1" applyProtection="1">
      <protection hidden="1"/>
    </xf>
    <xf numFmtId="0" fontId="0" fillId="22" borderId="0" xfId="0" applyFill="1"/>
    <xf numFmtId="4" fontId="53" fillId="22" borderId="0" xfId="0" applyNumberFormat="1" applyFont="1" applyFill="1" applyProtection="1">
      <protection hidden="1"/>
    </xf>
    <xf numFmtId="4" fontId="56" fillId="22" borderId="0" xfId="0" applyNumberFormat="1" applyFont="1" applyFill="1" applyAlignment="1" applyProtection="1">
      <alignment horizontal="center"/>
      <protection hidden="1"/>
    </xf>
    <xf numFmtId="4" fontId="93" fillId="22" borderId="0" xfId="0" applyNumberFormat="1" applyFont="1" applyFill="1" applyAlignment="1" applyProtection="1">
      <alignment horizontal="center"/>
      <protection hidden="1"/>
    </xf>
    <xf numFmtId="4" fontId="19" fillId="22" borderId="0" xfId="0" applyNumberFormat="1" applyFont="1" applyFill="1" applyAlignment="1" applyProtection="1">
      <alignment horizontal="center"/>
      <protection hidden="1"/>
    </xf>
    <xf numFmtId="39" fontId="7" fillId="22" borderId="0" xfId="0" applyNumberFormat="1" applyFont="1" applyFill="1" applyAlignment="1" applyProtection="1">
      <alignment horizontal="right"/>
      <protection locked="0"/>
    </xf>
    <xf numFmtId="39" fontId="7" fillId="22" borderId="0" xfId="0" applyNumberFormat="1" applyFont="1" applyFill="1" applyProtection="1">
      <protection locked="0"/>
    </xf>
    <xf numFmtId="39" fontId="10" fillId="22" borderId="0" xfId="0" applyNumberFormat="1" applyFont="1" applyFill="1" applyAlignment="1" applyProtection="1">
      <alignment horizontal="center"/>
      <protection hidden="1"/>
    </xf>
    <xf numFmtId="39" fontId="7" fillId="22" borderId="0" xfId="0" applyNumberFormat="1" applyFont="1" applyFill="1" applyProtection="1">
      <protection hidden="1"/>
    </xf>
    <xf numFmtId="4" fontId="0" fillId="22" borderId="0" xfId="0" applyNumberFormat="1" applyFill="1" applyProtection="1">
      <protection hidden="1"/>
    </xf>
    <xf numFmtId="4" fontId="13" fillId="22" borderId="0" xfId="0" applyNumberFormat="1" applyFont="1" applyFill="1" applyProtection="1">
      <protection hidden="1"/>
    </xf>
    <xf numFmtId="39" fontId="10" fillId="22" borderId="0" xfId="0" applyNumberFormat="1" applyFont="1" applyFill="1" applyProtection="1">
      <protection hidden="1"/>
    </xf>
    <xf numFmtId="4" fontId="6" fillId="22" borderId="0" xfId="0" applyNumberFormat="1" applyFont="1" applyFill="1" applyProtection="1">
      <protection hidden="1"/>
    </xf>
    <xf numFmtId="4" fontId="21" fillId="22" borderId="0" xfId="0" applyNumberFormat="1" applyFont="1" applyFill="1" applyProtection="1">
      <protection hidden="1"/>
    </xf>
    <xf numFmtId="4" fontId="21" fillId="22" borderId="0" xfId="0" applyNumberFormat="1" applyFont="1" applyFill="1" applyAlignment="1" applyProtection="1">
      <alignment vertical="center"/>
      <protection hidden="1"/>
    </xf>
    <xf numFmtId="0" fontId="0" fillId="16" borderId="9" xfId="0" applyFill="1" applyBorder="1" applyAlignment="1" applyProtection="1">
      <alignment horizontal="right"/>
      <protection hidden="1"/>
    </xf>
    <xf numFmtId="0" fontId="3" fillId="3" borderId="29" xfId="0" applyFont="1" applyFill="1" applyBorder="1" applyAlignment="1" applyProtection="1">
      <alignment horizontal="right"/>
      <protection hidden="1"/>
    </xf>
    <xf numFmtId="0" fontId="136" fillId="5" borderId="0" xfId="0" applyFont="1" applyFill="1" applyProtection="1">
      <protection hidden="1"/>
    </xf>
    <xf numFmtId="39" fontId="0" fillId="23" borderId="7" xfId="0" applyNumberFormat="1" applyFill="1" applyBorder="1" applyProtection="1">
      <protection hidden="1"/>
    </xf>
    <xf numFmtId="0" fontId="5" fillId="2" borderId="1" xfId="0" applyFont="1" applyFill="1" applyBorder="1" applyProtection="1">
      <protection hidden="1"/>
    </xf>
    <xf numFmtId="0" fontId="121" fillId="16" borderId="0" xfId="0" applyFont="1" applyFill="1" applyAlignment="1" applyProtection="1">
      <alignment horizontal="center"/>
      <protection hidden="1"/>
    </xf>
    <xf numFmtId="0" fontId="13" fillId="2" borderId="3" xfId="0" applyFont="1" applyFill="1" applyBorder="1" applyProtection="1">
      <protection hidden="1"/>
    </xf>
    <xf numFmtId="0" fontId="8" fillId="0" borderId="13" xfId="0" applyFont="1" applyBorder="1" applyAlignment="1" applyProtection="1">
      <alignment horizontal="left" wrapText="1"/>
      <protection locked="0"/>
    </xf>
    <xf numFmtId="4" fontId="0" fillId="0" borderId="13" xfId="0" applyNumberFormat="1" applyBorder="1" applyAlignment="1" applyProtection="1">
      <alignment wrapText="1"/>
      <protection locked="0"/>
    </xf>
    <xf numFmtId="3" fontId="0" fillId="0" borderId="13" xfId="0" applyNumberFormat="1" applyBorder="1" applyAlignment="1" applyProtection="1">
      <alignment wrapText="1"/>
      <protection locked="0"/>
    </xf>
    <xf numFmtId="4" fontId="5" fillId="0" borderId="40" xfId="0" applyNumberFormat="1" applyFont="1" applyBorder="1" applyAlignment="1" applyProtection="1">
      <alignment horizontal="center" wrapText="1"/>
      <protection locked="0"/>
    </xf>
    <xf numFmtId="174" fontId="0" fillId="0" borderId="13" xfId="0" applyNumberFormat="1" applyBorder="1" applyAlignment="1" applyProtection="1">
      <alignment horizontal="center" wrapText="1"/>
      <protection locked="0"/>
    </xf>
    <xf numFmtId="3" fontId="77" fillId="2" borderId="0" xfId="0" applyNumberFormat="1" applyFont="1" applyFill="1" applyAlignment="1" applyProtection="1">
      <alignment horizontal="left"/>
      <protection hidden="1"/>
    </xf>
    <xf numFmtId="4" fontId="3" fillId="3" borderId="25" xfId="0" applyNumberFormat="1" applyFont="1" applyFill="1" applyBorder="1" applyAlignment="1" applyProtection="1">
      <alignment horizontal="right"/>
      <protection hidden="1"/>
    </xf>
    <xf numFmtId="0" fontId="0" fillId="16" borderId="21" xfId="0" applyFill="1" applyBorder="1" applyProtection="1">
      <protection hidden="1"/>
    </xf>
    <xf numFmtId="0" fontId="3" fillId="16" borderId="13" xfId="0" applyFont="1" applyFill="1" applyBorder="1" applyAlignment="1" applyProtection="1">
      <alignment horizontal="center" vertical="center"/>
      <protection locked="0"/>
    </xf>
    <xf numFmtId="0" fontId="0" fillId="25" borderId="8" xfId="0" applyFill="1" applyBorder="1" applyProtection="1">
      <protection hidden="1"/>
    </xf>
    <xf numFmtId="0" fontId="0" fillId="25" borderId="20" xfId="0" applyFill="1" applyBorder="1" applyProtection="1">
      <protection hidden="1"/>
    </xf>
    <xf numFmtId="0" fontId="13" fillId="25" borderId="6" xfId="0" applyFont="1" applyFill="1" applyBorder="1" applyAlignment="1" applyProtection="1">
      <alignment horizontal="right"/>
      <protection hidden="1"/>
    </xf>
    <xf numFmtId="0" fontId="7" fillId="25" borderId="0" xfId="0" applyFont="1" applyFill="1" applyAlignment="1" applyProtection="1">
      <alignment vertical="center"/>
      <protection hidden="1"/>
    </xf>
    <xf numFmtId="0" fontId="0" fillId="25" borderId="0" xfId="0" applyFill="1" applyProtection="1">
      <protection hidden="1"/>
    </xf>
    <xf numFmtId="0" fontId="0" fillId="25" borderId="21" xfId="0" applyFill="1" applyBorder="1" applyProtection="1">
      <protection hidden="1"/>
    </xf>
    <xf numFmtId="0" fontId="8" fillId="25" borderId="6" xfId="0" applyFont="1" applyFill="1" applyBorder="1" applyAlignment="1" applyProtection="1">
      <alignment horizontal="right"/>
      <protection hidden="1"/>
    </xf>
    <xf numFmtId="0" fontId="7" fillId="25" borderId="0" xfId="0" applyFont="1" applyFill="1" applyAlignment="1" applyProtection="1">
      <alignment horizontal="right"/>
      <protection hidden="1"/>
    </xf>
    <xf numFmtId="0" fontId="13" fillId="25" borderId="22" xfId="0" applyFont="1" applyFill="1" applyBorder="1" applyAlignment="1" applyProtection="1">
      <alignment horizontal="right"/>
      <protection hidden="1"/>
    </xf>
    <xf numFmtId="0" fontId="0" fillId="25" borderId="5" xfId="0" applyFill="1" applyBorder="1" applyProtection="1">
      <protection hidden="1"/>
    </xf>
    <xf numFmtId="0" fontId="3" fillId="2" borderId="0" xfId="0" applyFont="1" applyFill="1" applyAlignment="1" applyProtection="1">
      <alignment horizontal="left"/>
      <protection hidden="1"/>
    </xf>
    <xf numFmtId="0" fontId="12" fillId="17" borderId="2" xfId="0" applyFont="1" applyFill="1" applyBorder="1" applyAlignment="1" applyProtection="1">
      <alignment horizontal="center" vertical="center"/>
      <protection locked="0"/>
    </xf>
    <xf numFmtId="0" fontId="129" fillId="16" borderId="0" xfId="0" applyFont="1" applyFill="1" applyAlignment="1" applyProtection="1">
      <alignment horizontal="center"/>
      <protection hidden="1"/>
    </xf>
    <xf numFmtId="0" fontId="10" fillId="0" borderId="0" xfId="0" applyFont="1" applyAlignment="1" applyProtection="1">
      <alignment vertical="center"/>
      <protection hidden="1"/>
    </xf>
    <xf numFmtId="0" fontId="13" fillId="0" borderId="0" xfId="0" applyFont="1" applyAlignment="1" applyProtection="1">
      <alignment vertical="center"/>
      <protection hidden="1"/>
    </xf>
    <xf numFmtId="37" fontId="142" fillId="3" borderId="15" xfId="0" applyNumberFormat="1" applyFont="1" applyFill="1" applyBorder="1" applyAlignment="1" applyProtection="1">
      <alignment horizontal="right"/>
      <protection hidden="1"/>
    </xf>
    <xf numFmtId="0" fontId="7" fillId="16" borderId="0" xfId="0" applyFont="1" applyFill="1" applyProtection="1">
      <protection hidden="1"/>
    </xf>
    <xf numFmtId="0" fontId="139" fillId="16" borderId="0" xfId="0" applyFont="1" applyFill="1" applyAlignment="1" applyProtection="1">
      <alignment horizontal="left"/>
      <protection hidden="1"/>
    </xf>
    <xf numFmtId="0" fontId="10" fillId="0" borderId="0" xfId="0" applyFont="1" applyAlignment="1">
      <alignment vertical="center"/>
    </xf>
    <xf numFmtId="0" fontId="125" fillId="5" borderId="0" xfId="0" applyFont="1" applyFill="1" applyAlignment="1" applyProtection="1">
      <alignment horizontal="center"/>
      <protection hidden="1"/>
    </xf>
    <xf numFmtId="37" fontId="8" fillId="3" borderId="16" xfId="0" applyNumberFormat="1" applyFont="1" applyFill="1" applyBorder="1" applyAlignment="1" applyProtection="1">
      <alignment horizontal="right"/>
      <protection hidden="1"/>
    </xf>
    <xf numFmtId="37" fontId="8" fillId="0" borderId="16" xfId="0" applyNumberFormat="1" applyFont="1" applyBorder="1" applyAlignment="1" applyProtection="1">
      <alignment horizontal="right"/>
      <protection hidden="1"/>
    </xf>
    <xf numFmtId="37" fontId="8" fillId="3" borderId="15" xfId="0" applyNumberFormat="1" applyFont="1" applyFill="1" applyBorder="1" applyAlignment="1" applyProtection="1">
      <alignment horizontal="right"/>
      <protection hidden="1"/>
    </xf>
    <xf numFmtId="37" fontId="8" fillId="16" borderId="16" xfId="0" applyNumberFormat="1" applyFont="1" applyFill="1" applyBorder="1" applyAlignment="1" applyProtection="1">
      <alignment horizontal="right"/>
      <protection hidden="1"/>
    </xf>
    <xf numFmtId="164" fontId="3" fillId="2" borderId="2" xfId="0" applyNumberFormat="1" applyFont="1" applyFill="1" applyBorder="1" applyAlignment="1" applyProtection="1">
      <alignment horizontal="center" vertical="center"/>
      <protection locked="0"/>
    </xf>
    <xf numFmtId="0" fontId="129" fillId="0" borderId="0" xfId="0" applyFont="1"/>
    <xf numFmtId="40" fontId="64" fillId="2" borderId="0" xfId="0" applyNumberFormat="1" applyFont="1" applyFill="1" applyAlignment="1" applyProtection="1">
      <alignment horizontal="right" vertical="center"/>
      <protection hidden="1"/>
    </xf>
    <xf numFmtId="0" fontId="0" fillId="16" borderId="24" xfId="0" applyFill="1" applyBorder="1" applyProtection="1">
      <protection hidden="1"/>
    </xf>
    <xf numFmtId="0" fontId="0" fillId="16" borderId="8" xfId="0" applyFill="1" applyBorder="1" applyProtection="1">
      <protection hidden="1"/>
    </xf>
    <xf numFmtId="0" fontId="0" fillId="16" borderId="20" xfId="0" applyFill="1" applyBorder="1" applyProtection="1">
      <protection hidden="1"/>
    </xf>
    <xf numFmtId="0" fontId="5" fillId="16" borderId="0" xfId="0" applyFont="1" applyFill="1" applyProtection="1">
      <protection hidden="1"/>
    </xf>
    <xf numFmtId="0" fontId="0" fillId="16" borderId="0" xfId="0" applyFill="1" applyAlignment="1" applyProtection="1">
      <alignment vertical="top"/>
      <protection hidden="1"/>
    </xf>
    <xf numFmtId="0" fontId="0" fillId="16" borderId="6" xfId="0" applyFill="1" applyBorder="1" applyProtection="1">
      <protection hidden="1"/>
    </xf>
    <xf numFmtId="0" fontId="0" fillId="16" borderId="22" xfId="0" applyFill="1" applyBorder="1" applyProtection="1">
      <protection hidden="1"/>
    </xf>
    <xf numFmtId="0" fontId="0" fillId="16" borderId="5" xfId="0" applyFill="1" applyBorder="1" applyProtection="1">
      <protection hidden="1"/>
    </xf>
    <xf numFmtId="0" fontId="0" fillId="16" borderId="23" xfId="0" applyFill="1" applyBorder="1" applyProtection="1">
      <protection hidden="1"/>
    </xf>
    <xf numFmtId="0" fontId="18" fillId="2" borderId="26" xfId="0" applyFont="1" applyFill="1" applyBorder="1" applyAlignment="1" applyProtection="1">
      <alignment horizontal="center" wrapText="1"/>
      <protection hidden="1"/>
    </xf>
    <xf numFmtId="0" fontId="3" fillId="16" borderId="0" xfId="0" applyFont="1" applyFill="1" applyProtection="1">
      <protection hidden="1"/>
    </xf>
    <xf numFmtId="0" fontId="129" fillId="16" borderId="0" xfId="0" applyFont="1" applyFill="1" applyProtection="1">
      <protection hidden="1"/>
    </xf>
    <xf numFmtId="0" fontId="141" fillId="16" borderId="0" xfId="0" applyFont="1" applyFill="1" applyProtection="1">
      <protection hidden="1"/>
    </xf>
    <xf numFmtId="0" fontId="129" fillId="0" borderId="0" xfId="0" applyFont="1" applyProtection="1">
      <protection hidden="1"/>
    </xf>
    <xf numFmtId="0" fontId="15" fillId="2" borderId="0" xfId="0" applyFont="1" applyFill="1" applyAlignment="1" applyProtection="1">
      <alignment horizontal="center" wrapText="1"/>
      <protection hidden="1"/>
    </xf>
    <xf numFmtId="172" fontId="7" fillId="3" borderId="0" xfId="0" applyNumberFormat="1" applyFont="1" applyFill="1" applyProtection="1">
      <protection hidden="1"/>
    </xf>
    <xf numFmtId="0" fontId="5" fillId="0" borderId="0" xfId="0" applyFont="1" applyAlignment="1" applyProtection="1">
      <alignment horizontal="center"/>
      <protection hidden="1"/>
    </xf>
    <xf numFmtId="0" fontId="5" fillId="0" borderId="1" xfId="0" applyFont="1" applyBorder="1" applyAlignment="1" applyProtection="1">
      <alignment horizontal="center"/>
      <protection hidden="1"/>
    </xf>
    <xf numFmtId="0" fontId="5" fillId="0" borderId="0" xfId="0" applyFont="1" applyAlignment="1">
      <alignment horizontal="center"/>
    </xf>
    <xf numFmtId="0" fontId="5" fillId="0" borderId="1" xfId="0" applyFont="1" applyBorder="1" applyAlignment="1">
      <alignment horizontal="center"/>
    </xf>
    <xf numFmtId="0" fontId="136" fillId="5" borderId="0" xfId="0" applyFont="1" applyFill="1" applyAlignment="1" applyProtection="1">
      <alignment horizontal="center"/>
      <protection hidden="1"/>
    </xf>
    <xf numFmtId="0" fontId="143" fillId="3" borderId="31" xfId="0" applyFont="1" applyFill="1" applyBorder="1" applyAlignment="1" applyProtection="1">
      <alignment horizontal="right" vertical="center"/>
      <protection hidden="1"/>
    </xf>
    <xf numFmtId="0" fontId="132" fillId="5" borderId="0" xfId="0" applyFont="1" applyFill="1" applyProtection="1">
      <protection hidden="1"/>
    </xf>
    <xf numFmtId="0" fontId="3" fillId="0" borderId="2" xfId="0" applyFont="1" applyBorder="1" applyAlignment="1" applyProtection="1">
      <alignment horizontal="center"/>
      <protection locked="0"/>
    </xf>
    <xf numFmtId="0" fontId="132" fillId="5" borderId="0" xfId="0" applyFont="1" applyFill="1" applyAlignment="1" applyProtection="1">
      <alignment horizontal="center"/>
      <protection hidden="1"/>
    </xf>
    <xf numFmtId="0" fontId="12" fillId="27" borderId="1" xfId="0" quotePrefix="1" applyFont="1" applyFill="1" applyBorder="1" applyProtection="1">
      <protection hidden="1"/>
    </xf>
    <xf numFmtId="0" fontId="3" fillId="27" borderId="1" xfId="0" applyFont="1" applyFill="1" applyBorder="1" applyProtection="1">
      <protection hidden="1"/>
    </xf>
    <xf numFmtId="0" fontId="9" fillId="27" borderId="1" xfId="0" applyFont="1" applyFill="1" applyBorder="1" applyAlignment="1" applyProtection="1">
      <alignment horizontal="left"/>
      <protection hidden="1"/>
    </xf>
    <xf numFmtId="0" fontId="19" fillId="0" borderId="7" xfId="0" applyFont="1" applyBorder="1" applyAlignment="1">
      <alignment horizontal="center" wrapText="1"/>
    </xf>
    <xf numFmtId="0" fontId="0" fillId="0" borderId="7" xfId="0" applyBorder="1" applyAlignment="1">
      <alignment horizontal="center"/>
    </xf>
    <xf numFmtId="0" fontId="10" fillId="16" borderId="3" xfId="0" applyFont="1" applyFill="1" applyBorder="1" applyProtection="1">
      <protection hidden="1"/>
    </xf>
    <xf numFmtId="0" fontId="10" fillId="16" borderId="25" xfId="0" applyFont="1" applyFill="1" applyBorder="1" applyProtection="1">
      <protection hidden="1"/>
    </xf>
    <xf numFmtId="4" fontId="10" fillId="16" borderId="3" xfId="0" applyNumberFormat="1" applyFont="1" applyFill="1" applyBorder="1" applyProtection="1">
      <protection hidden="1"/>
    </xf>
    <xf numFmtId="1" fontId="10" fillId="16" borderId="0" xfId="0" applyNumberFormat="1" applyFont="1" applyFill="1" applyProtection="1">
      <protection hidden="1"/>
    </xf>
    <xf numFmtId="0" fontId="6" fillId="16" borderId="0" xfId="0" applyFont="1" applyFill="1" applyAlignment="1" applyProtection="1">
      <alignment horizontal="right"/>
      <protection hidden="1"/>
    </xf>
    <xf numFmtId="0" fontId="129" fillId="0" borderId="0" xfId="0" applyFont="1" applyAlignment="1">
      <alignment horizontal="center"/>
    </xf>
    <xf numFmtId="0" fontId="7" fillId="16" borderId="0" xfId="0" applyFont="1" applyFill="1" applyAlignment="1">
      <alignment horizontal="left" vertical="top"/>
    </xf>
    <xf numFmtId="0" fontId="5" fillId="16" borderId="3" xfId="0" applyFont="1" applyFill="1" applyBorder="1" applyAlignment="1">
      <alignment horizontal="center"/>
    </xf>
    <xf numFmtId="0" fontId="5" fillId="16" borderId="25" xfId="0" applyFont="1" applyFill="1" applyBorder="1" applyAlignment="1">
      <alignment horizontal="center"/>
    </xf>
    <xf numFmtId="4" fontId="19" fillId="15" borderId="25" xfId="0" applyNumberFormat="1" applyFont="1" applyFill="1" applyBorder="1" applyAlignment="1" applyProtection="1">
      <alignment horizontal="center" vertical="center"/>
      <protection hidden="1"/>
    </xf>
    <xf numFmtId="0" fontId="19" fillId="16" borderId="3" xfId="0" applyFont="1" applyFill="1" applyBorder="1"/>
    <xf numFmtId="0" fontId="19" fillId="16" borderId="0" xfId="0" applyFont="1" applyFill="1"/>
    <xf numFmtId="0" fontId="5" fillId="20" borderId="25" xfId="0" applyFont="1" applyFill="1" applyBorder="1" applyAlignment="1" applyProtection="1">
      <alignment horizontal="center" wrapText="1"/>
      <protection hidden="1"/>
    </xf>
    <xf numFmtId="37" fontId="7" fillId="23" borderId="12" xfId="0" applyNumberFormat="1" applyFont="1" applyFill="1" applyBorder="1" applyAlignment="1" applyProtection="1">
      <alignment horizontal="right"/>
      <protection hidden="1"/>
    </xf>
    <xf numFmtId="0" fontId="5" fillId="20" borderId="3" xfId="0" applyFont="1" applyFill="1" applyBorder="1" applyAlignment="1" applyProtection="1">
      <alignment horizontal="center" wrapText="1"/>
      <protection hidden="1"/>
    </xf>
    <xf numFmtId="0" fontId="5" fillId="20" borderId="0" xfId="0" applyFont="1" applyFill="1" applyAlignment="1" applyProtection="1">
      <alignment horizontal="center" wrapText="1"/>
      <protection hidden="1"/>
    </xf>
    <xf numFmtId="0" fontId="0" fillId="20" borderId="25" xfId="0" applyFill="1" applyBorder="1" applyAlignment="1" applyProtection="1">
      <alignment horizontal="center" wrapText="1"/>
      <protection hidden="1"/>
    </xf>
    <xf numFmtId="37" fontId="8" fillId="29" borderId="12" xfId="0" applyNumberFormat="1" applyFont="1" applyFill="1" applyBorder="1" applyAlignment="1" applyProtection="1">
      <alignment horizontal="right"/>
      <protection hidden="1"/>
    </xf>
    <xf numFmtId="0" fontId="12" fillId="29" borderId="1" xfId="0" quotePrefix="1" applyFont="1" applyFill="1" applyBorder="1" applyProtection="1">
      <protection hidden="1"/>
    </xf>
    <xf numFmtId="0" fontId="9" fillId="29" borderId="1" xfId="0" quotePrefix="1" applyFont="1" applyFill="1" applyBorder="1" applyProtection="1">
      <protection hidden="1"/>
    </xf>
    <xf numFmtId="0" fontId="8" fillId="29" borderId="1" xfId="0" applyFont="1" applyFill="1" applyBorder="1" applyProtection="1">
      <protection hidden="1"/>
    </xf>
    <xf numFmtId="0" fontId="0" fillId="29" borderId="1" xfId="0" applyFill="1" applyBorder="1" applyProtection="1">
      <protection hidden="1"/>
    </xf>
    <xf numFmtId="4" fontId="0" fillId="29" borderId="1" xfId="0" applyNumberFormat="1" applyFill="1" applyBorder="1" applyProtection="1">
      <protection hidden="1"/>
    </xf>
    <xf numFmtId="39" fontId="5" fillId="29" borderId="1" xfId="0" applyNumberFormat="1" applyFont="1" applyFill="1" applyBorder="1" applyProtection="1">
      <protection hidden="1"/>
    </xf>
    <xf numFmtId="0" fontId="9" fillId="15" borderId="31" xfId="0" applyFont="1" applyFill="1" applyBorder="1" applyAlignment="1" applyProtection="1">
      <alignment horizontal="center"/>
      <protection hidden="1"/>
    </xf>
    <xf numFmtId="0" fontId="9" fillId="15" borderId="3" xfId="0" applyFont="1" applyFill="1" applyBorder="1" applyAlignment="1" applyProtection="1">
      <alignment horizontal="center"/>
      <protection hidden="1"/>
    </xf>
    <xf numFmtId="39" fontId="5" fillId="3" borderId="0" xfId="0" applyNumberFormat="1" applyFont="1" applyFill="1" applyProtection="1">
      <protection hidden="1"/>
    </xf>
    <xf numFmtId="0" fontId="139" fillId="3" borderId="0" xfId="0" applyFont="1" applyFill="1" applyAlignment="1" applyProtection="1">
      <alignment horizontal="left"/>
      <protection hidden="1"/>
    </xf>
    <xf numFmtId="37" fontId="7" fillId="27" borderId="1" xfId="0" applyNumberFormat="1" applyFont="1" applyFill="1" applyBorder="1" applyAlignment="1" applyProtection="1">
      <alignment horizontal="right"/>
      <protection hidden="1"/>
    </xf>
    <xf numFmtId="37" fontId="5" fillId="2" borderId="1" xfId="0" applyNumberFormat="1" applyFont="1" applyFill="1" applyBorder="1" applyProtection="1">
      <protection locked="0"/>
    </xf>
    <xf numFmtId="1" fontId="3" fillId="3" borderId="0" xfId="0" applyNumberFormat="1" applyFont="1" applyFill="1" applyAlignment="1" applyProtection="1">
      <alignment horizontal="right"/>
      <protection hidden="1"/>
    </xf>
    <xf numFmtId="0" fontId="3" fillId="17" borderId="13" xfId="0" applyFont="1" applyFill="1" applyBorder="1" applyAlignment="1" applyProtection="1">
      <alignment horizontal="center"/>
      <protection locked="0"/>
    </xf>
    <xf numFmtId="3" fontId="21" fillId="2" borderId="0" xfId="0" applyNumberFormat="1" applyFont="1" applyFill="1" applyAlignment="1" applyProtection="1">
      <alignment horizontal="right"/>
      <protection hidden="1"/>
    </xf>
    <xf numFmtId="0" fontId="3" fillId="2" borderId="6" xfId="0" quotePrefix="1" applyFont="1" applyFill="1" applyBorder="1" applyAlignment="1" applyProtection="1">
      <alignment horizontal="right"/>
      <protection hidden="1"/>
    </xf>
    <xf numFmtId="3" fontId="129" fillId="2" borderId="0" xfId="0" applyNumberFormat="1" applyFont="1" applyFill="1" applyProtection="1">
      <protection hidden="1"/>
    </xf>
    <xf numFmtId="3" fontId="3" fillId="2" borderId="0" xfId="0" quotePrefix="1" applyNumberFormat="1" applyFont="1" applyFill="1" applyAlignment="1" applyProtection="1">
      <alignment horizontal="right"/>
      <protection hidden="1"/>
    </xf>
    <xf numFmtId="0" fontId="145" fillId="2" borderId="0" xfId="0" applyFont="1" applyFill="1" applyAlignment="1" applyProtection="1">
      <alignment horizontal="center"/>
      <protection hidden="1"/>
    </xf>
    <xf numFmtId="4" fontId="135" fillId="3" borderId="3" xfId="0" applyNumberFormat="1" applyFont="1" applyFill="1" applyBorder="1" applyProtection="1">
      <protection hidden="1"/>
    </xf>
    <xf numFmtId="3" fontId="9" fillId="29" borderId="10" xfId="0" applyNumberFormat="1" applyFont="1" applyFill="1" applyBorder="1" applyProtection="1">
      <protection hidden="1"/>
    </xf>
    <xf numFmtId="37" fontId="135" fillId="3" borderId="31" xfId="0" applyNumberFormat="1" applyFont="1" applyFill="1" applyBorder="1" applyAlignment="1" applyProtection="1">
      <alignment horizontal="right"/>
      <protection hidden="1"/>
    </xf>
    <xf numFmtId="0" fontId="18" fillId="2" borderId="2" xfId="0" applyFont="1" applyFill="1" applyBorder="1" applyAlignment="1" applyProtection="1">
      <alignment horizontal="center" vertical="center"/>
      <protection locked="0"/>
    </xf>
    <xf numFmtId="3" fontId="131" fillId="0" borderId="0" xfId="0" applyNumberFormat="1" applyFont="1" applyProtection="1">
      <protection hidden="1"/>
    </xf>
    <xf numFmtId="39" fontId="131" fillId="3" borderId="3" xfId="0" applyNumberFormat="1" applyFont="1" applyFill="1" applyBorder="1" applyAlignment="1" applyProtection="1">
      <alignment horizontal="right"/>
      <protection hidden="1"/>
    </xf>
    <xf numFmtId="3" fontId="135" fillId="3" borderId="0" xfId="0" applyNumberFormat="1" applyFont="1" applyFill="1" applyAlignment="1" applyProtection="1">
      <alignment horizontal="right"/>
      <protection hidden="1"/>
    </xf>
    <xf numFmtId="0" fontId="145" fillId="3" borderId="3" xfId="0" applyFont="1" applyFill="1" applyBorder="1" applyAlignment="1" applyProtection="1">
      <alignment horizontal="right"/>
      <protection hidden="1"/>
    </xf>
    <xf numFmtId="39" fontId="131" fillId="3" borderId="0" xfId="0" applyNumberFormat="1" applyFont="1" applyFill="1" applyAlignment="1" applyProtection="1">
      <alignment horizontal="right"/>
      <protection hidden="1"/>
    </xf>
    <xf numFmtId="4" fontId="3" fillId="3" borderId="0" xfId="0" applyNumberFormat="1" applyFont="1" applyFill="1" applyAlignment="1" applyProtection="1">
      <alignment horizontal="right"/>
      <protection hidden="1"/>
    </xf>
    <xf numFmtId="37" fontId="8" fillId="3" borderId="0" xfId="0" applyNumberFormat="1" applyFont="1" applyFill="1" applyAlignment="1" applyProtection="1">
      <alignment horizontal="left"/>
      <protection hidden="1"/>
    </xf>
    <xf numFmtId="4" fontId="8" fillId="3" borderId="0" xfId="0" applyNumberFormat="1" applyFont="1" applyFill="1" applyAlignment="1" applyProtection="1">
      <alignment horizontal="left"/>
      <protection hidden="1"/>
    </xf>
    <xf numFmtId="0" fontId="3" fillId="5" borderId="0" xfId="0" applyFont="1" applyFill="1" applyAlignment="1" applyProtection="1">
      <alignment horizontal="center"/>
      <protection hidden="1"/>
    </xf>
    <xf numFmtId="4" fontId="3" fillId="3" borderId="0" xfId="0" applyNumberFormat="1" applyFont="1" applyFill="1" applyAlignment="1" applyProtection="1">
      <alignment horizontal="center"/>
      <protection hidden="1"/>
    </xf>
    <xf numFmtId="4" fontId="10" fillId="7" borderId="25" xfId="0" applyNumberFormat="1" applyFont="1" applyFill="1" applyBorder="1" applyProtection="1">
      <protection hidden="1"/>
    </xf>
    <xf numFmtId="0" fontId="3" fillId="2" borderId="0" xfId="0" applyFont="1" applyFill="1" applyAlignment="1" applyProtection="1">
      <alignment horizontal="right" vertical="center"/>
      <protection hidden="1"/>
    </xf>
    <xf numFmtId="0" fontId="0" fillId="2" borderId="5" xfId="0" applyFill="1" applyBorder="1" applyAlignment="1" applyProtection="1">
      <alignment vertical="top"/>
      <protection hidden="1"/>
    </xf>
    <xf numFmtId="0" fontId="5" fillId="0" borderId="0" xfId="0" applyFont="1"/>
    <xf numFmtId="0" fontId="0" fillId="16" borderId="17" xfId="0" applyFill="1" applyBorder="1" applyProtection="1">
      <protection hidden="1"/>
    </xf>
    <xf numFmtId="0" fontId="0" fillId="16" borderId="14" xfId="0" applyFill="1" applyBorder="1" applyProtection="1">
      <protection hidden="1"/>
    </xf>
    <xf numFmtId="0" fontId="149" fillId="16" borderId="0" xfId="0" applyFont="1" applyFill="1" applyProtection="1">
      <protection hidden="1"/>
    </xf>
    <xf numFmtId="0" fontId="10" fillId="2" borderId="0" xfId="0" applyFont="1" applyFill="1" applyAlignment="1">
      <alignment horizontal="left" vertical="top"/>
    </xf>
    <xf numFmtId="0" fontId="10" fillId="2" borderId="0" xfId="0" applyFont="1" applyFill="1" applyAlignment="1" applyProtection="1">
      <alignment horizontal="left" vertical="center"/>
      <protection hidden="1"/>
    </xf>
    <xf numFmtId="0" fontId="10" fillId="2" borderId="0" xfId="0" applyFont="1" applyFill="1" applyAlignment="1" applyProtection="1">
      <alignment horizontal="left" vertical="top"/>
      <protection hidden="1"/>
    </xf>
    <xf numFmtId="38" fontId="7" fillId="28" borderId="1" xfId="0" applyNumberFormat="1" applyFont="1" applyFill="1" applyBorder="1" applyProtection="1">
      <protection hidden="1"/>
    </xf>
    <xf numFmtId="38" fontId="7" fillId="17" borderId="1" xfId="0" applyNumberFormat="1" applyFont="1" applyFill="1" applyBorder="1" applyProtection="1">
      <protection locked="0"/>
    </xf>
    <xf numFmtId="164" fontId="6" fillId="2" borderId="0" xfId="0" applyNumberFormat="1" applyFont="1" applyFill="1" applyAlignment="1" applyProtection="1">
      <alignment horizontal="right" vertical="center"/>
      <protection hidden="1"/>
    </xf>
    <xf numFmtId="38" fontId="21" fillId="28" borderId="1" xfId="0" applyNumberFormat="1" applyFont="1" applyFill="1" applyBorder="1" applyAlignment="1" applyProtection="1">
      <alignment horizontal="right"/>
      <protection hidden="1"/>
    </xf>
    <xf numFmtId="164" fontId="6" fillId="28" borderId="2" xfId="0" applyNumberFormat="1" applyFont="1" applyFill="1" applyBorder="1" applyAlignment="1" applyProtection="1">
      <alignment horizontal="center" vertical="center"/>
      <protection hidden="1"/>
    </xf>
    <xf numFmtId="164" fontId="3" fillId="17" borderId="2" xfId="0" applyNumberFormat="1" applyFont="1" applyFill="1" applyBorder="1" applyAlignment="1" applyProtection="1">
      <alignment horizontal="center" vertical="center"/>
      <protection locked="0"/>
    </xf>
    <xf numFmtId="39" fontId="135" fillId="2" borderId="0" xfId="0" applyNumberFormat="1" applyFont="1" applyFill="1" applyProtection="1">
      <protection hidden="1"/>
    </xf>
    <xf numFmtId="37" fontId="7" fillId="28" borderId="1" xfId="0" applyNumberFormat="1" applyFont="1" applyFill="1" applyBorder="1" applyProtection="1">
      <protection hidden="1"/>
    </xf>
    <xf numFmtId="0" fontId="8" fillId="28" borderId="2" xfId="0" applyFont="1" applyFill="1" applyBorder="1" applyAlignment="1" applyProtection="1">
      <alignment horizontal="center" vertical="center"/>
      <protection hidden="1"/>
    </xf>
    <xf numFmtId="37" fontId="7" fillId="29" borderId="10" xfId="0" applyNumberFormat="1" applyFont="1" applyFill="1" applyBorder="1" applyAlignment="1" applyProtection="1">
      <alignment horizontal="right"/>
      <protection hidden="1"/>
    </xf>
    <xf numFmtId="37" fontId="7" fillId="21" borderId="10" xfId="0" applyNumberFormat="1" applyFont="1" applyFill="1" applyBorder="1" applyAlignment="1" applyProtection="1">
      <alignment horizontal="right"/>
      <protection locked="0"/>
    </xf>
    <xf numFmtId="37" fontId="7" fillId="29" borderId="3" xfId="0" applyNumberFormat="1" applyFont="1" applyFill="1" applyBorder="1" applyAlignment="1" applyProtection="1">
      <alignment horizontal="right"/>
      <protection hidden="1"/>
    </xf>
    <xf numFmtId="0" fontId="10" fillId="25" borderId="0" xfId="0" applyFont="1" applyFill="1" applyProtection="1">
      <protection hidden="1"/>
    </xf>
    <xf numFmtId="0" fontId="3" fillId="0" borderId="0" xfId="0" applyFont="1" applyAlignment="1" applyProtection="1">
      <alignment horizontal="right"/>
      <protection hidden="1"/>
    </xf>
    <xf numFmtId="0" fontId="3" fillId="16" borderId="8" xfId="0" applyFont="1" applyFill="1" applyBorder="1" applyAlignment="1" applyProtection="1">
      <alignment horizontal="left"/>
      <protection hidden="1"/>
    </xf>
    <xf numFmtId="0" fontId="10" fillId="16" borderId="0" xfId="0" applyFont="1" applyFill="1" applyAlignment="1" applyProtection="1">
      <alignment horizontal="left"/>
      <protection hidden="1"/>
    </xf>
    <xf numFmtId="0" fontId="3" fillId="16" borderId="22" xfId="0" applyFont="1" applyFill="1" applyBorder="1" applyAlignment="1" applyProtection="1">
      <alignment horizontal="right"/>
      <protection hidden="1"/>
    </xf>
    <xf numFmtId="0" fontId="3" fillId="16" borderId="24" xfId="0" applyFont="1" applyFill="1" applyBorder="1" applyAlignment="1" applyProtection="1">
      <alignment horizontal="right"/>
      <protection hidden="1"/>
    </xf>
    <xf numFmtId="0" fontId="12" fillId="16" borderId="6" xfId="0" applyFont="1" applyFill="1" applyBorder="1" applyAlignment="1" applyProtection="1">
      <alignment horizontal="left"/>
      <protection hidden="1"/>
    </xf>
    <xf numFmtId="0" fontId="26" fillId="16" borderId="0" xfId="0" applyFont="1" applyFill="1" applyAlignment="1" applyProtection="1">
      <alignment horizontal="right"/>
      <protection hidden="1"/>
    </xf>
    <xf numFmtId="0" fontId="3" fillId="25" borderId="6" xfId="0" applyFont="1" applyFill="1" applyBorder="1" applyAlignment="1" applyProtection="1">
      <alignment horizontal="right"/>
      <protection hidden="1"/>
    </xf>
    <xf numFmtId="0" fontId="146" fillId="25" borderId="0" xfId="0" applyFont="1" applyFill="1" applyProtection="1">
      <protection hidden="1"/>
    </xf>
    <xf numFmtId="0" fontId="10" fillId="25" borderId="0" xfId="0" applyFont="1" applyFill="1" applyAlignment="1" applyProtection="1">
      <alignment vertical="top"/>
      <protection hidden="1"/>
    </xf>
    <xf numFmtId="0" fontId="3" fillId="25" borderId="22" xfId="0" applyFont="1" applyFill="1" applyBorder="1" applyAlignment="1" applyProtection="1">
      <alignment horizontal="right"/>
      <protection hidden="1"/>
    </xf>
    <xf numFmtId="0" fontId="0" fillId="25" borderId="23" xfId="0" applyFill="1" applyBorder="1" applyProtection="1">
      <protection hidden="1"/>
    </xf>
    <xf numFmtId="3" fontId="9" fillId="29" borderId="1" xfId="0" applyNumberFormat="1" applyFont="1" applyFill="1" applyBorder="1" applyProtection="1">
      <protection hidden="1"/>
    </xf>
    <xf numFmtId="37" fontId="7" fillId="28" borderId="0" xfId="0" applyNumberFormat="1" applyFont="1" applyFill="1" applyProtection="1">
      <protection hidden="1"/>
    </xf>
    <xf numFmtId="168" fontId="7" fillId="3" borderId="0" xfId="0" applyNumberFormat="1" applyFont="1" applyFill="1" applyAlignment="1" applyProtection="1">
      <alignment horizontal="right"/>
      <protection hidden="1"/>
    </xf>
    <xf numFmtId="173" fontId="129" fillId="3" borderId="3" xfId="0" applyNumberFormat="1" applyFont="1" applyFill="1" applyBorder="1" applyAlignment="1" applyProtection="1">
      <alignment horizontal="right"/>
      <protection hidden="1"/>
    </xf>
    <xf numFmtId="4" fontId="10" fillId="3" borderId="16" xfId="0" applyNumberFormat="1" applyFont="1" applyFill="1" applyBorder="1" applyAlignment="1" applyProtection="1">
      <alignment horizontal="left"/>
      <protection hidden="1"/>
    </xf>
    <xf numFmtId="0" fontId="7" fillId="3" borderId="0" xfId="0" quotePrefix="1" applyFont="1" applyFill="1" applyAlignment="1" applyProtection="1">
      <alignment horizontal="left"/>
      <protection hidden="1"/>
    </xf>
    <xf numFmtId="0" fontId="129" fillId="3" borderId="0" xfId="0" applyFont="1" applyFill="1" applyAlignment="1" applyProtection="1">
      <alignment horizontal="right"/>
      <protection hidden="1"/>
    </xf>
    <xf numFmtId="0" fontId="16" fillId="16" borderId="9" xfId="0" applyFont="1" applyFill="1" applyBorder="1" applyProtection="1">
      <protection hidden="1"/>
    </xf>
    <xf numFmtId="0" fontId="16" fillId="16" borderId="1" xfId="0" applyFont="1" applyFill="1" applyBorder="1" applyProtection="1">
      <protection hidden="1"/>
    </xf>
    <xf numFmtId="39" fontId="21" fillId="3" borderId="31" xfId="0" applyNumberFormat="1" applyFont="1" applyFill="1" applyBorder="1" applyAlignment="1" applyProtection="1">
      <alignment horizontal="right"/>
      <protection hidden="1"/>
    </xf>
    <xf numFmtId="37" fontId="7" fillId="15" borderId="31" xfId="0" applyNumberFormat="1" applyFont="1" applyFill="1" applyBorder="1" applyAlignment="1" applyProtection="1">
      <alignment horizontal="right"/>
      <protection locked="0"/>
    </xf>
    <xf numFmtId="39" fontId="21" fillId="15" borderId="3" xfId="0" applyNumberFormat="1" applyFont="1" applyFill="1" applyBorder="1" applyAlignment="1" applyProtection="1">
      <alignment horizontal="right"/>
      <protection hidden="1"/>
    </xf>
    <xf numFmtId="4" fontId="3" fillId="21" borderId="13" xfId="0" applyNumberFormat="1" applyFont="1" applyFill="1" applyBorder="1" applyAlignment="1" applyProtection="1">
      <alignment horizontal="center" vertical="center"/>
      <protection locked="0"/>
    </xf>
    <xf numFmtId="0" fontId="0" fillId="16" borderId="24" xfId="0" applyFill="1" applyBorder="1"/>
    <xf numFmtId="0" fontId="5" fillId="16" borderId="8" xfId="0" applyFont="1" applyFill="1" applyBorder="1"/>
    <xf numFmtId="0" fontId="5" fillId="16" borderId="20" xfId="0" applyFont="1" applyFill="1" applyBorder="1"/>
    <xf numFmtId="0" fontId="0" fillId="16" borderId="6" xfId="0" applyFill="1" applyBorder="1"/>
    <xf numFmtId="0" fontId="12" fillId="16" borderId="0" xfId="0" applyFont="1" applyFill="1" applyAlignment="1">
      <alignment vertical="center"/>
    </xf>
    <xf numFmtId="0" fontId="10" fillId="16" borderId="0" xfId="0" applyFont="1" applyFill="1"/>
    <xf numFmtId="0" fontId="152" fillId="16" borderId="0" xfId="0" applyFont="1" applyFill="1"/>
    <xf numFmtId="0" fontId="10" fillId="16" borderId="21" xfId="0" applyFont="1" applyFill="1" applyBorder="1"/>
    <xf numFmtId="0" fontId="5" fillId="16" borderId="0" xfId="0" applyFont="1" applyFill="1"/>
    <xf numFmtId="0" fontId="3" fillId="16" borderId="0" xfId="0" quotePrefix="1" applyFont="1" applyFill="1" applyAlignment="1">
      <alignment horizontal="right"/>
    </xf>
    <xf numFmtId="0" fontId="5" fillId="16" borderId="21" xfId="0" applyFont="1" applyFill="1" applyBorder="1"/>
    <xf numFmtId="0" fontId="0" fillId="16" borderId="22" xfId="0" applyFill="1" applyBorder="1"/>
    <xf numFmtId="0" fontId="10" fillId="16" borderId="5" xfId="0" applyFont="1" applyFill="1" applyBorder="1"/>
    <xf numFmtId="0" fontId="10" fillId="16" borderId="23" xfId="0" applyFont="1" applyFill="1" applyBorder="1"/>
    <xf numFmtId="0" fontId="3" fillId="16" borderId="0" xfId="0" applyFont="1" applyFill="1"/>
    <xf numFmtId="0" fontId="26" fillId="16" borderId="0" xfId="0" applyFont="1" applyFill="1" applyAlignment="1">
      <alignment horizontal="right"/>
    </xf>
    <xf numFmtId="0" fontId="5" fillId="16" borderId="0" xfId="0" quotePrefix="1" applyFont="1" applyFill="1"/>
    <xf numFmtId="0" fontId="5" fillId="16" borderId="0" xfId="0" quotePrefix="1" applyFont="1" applyFill="1" applyAlignment="1">
      <alignment horizontal="right"/>
    </xf>
    <xf numFmtId="37" fontId="7" fillId="21" borderId="1" xfId="0" applyNumberFormat="1" applyFont="1" applyFill="1" applyBorder="1" applyAlignment="1" applyProtection="1">
      <alignment horizontal="right"/>
      <protection locked="0"/>
    </xf>
    <xf numFmtId="37" fontId="7" fillId="29" borderId="1" xfId="0" applyNumberFormat="1" applyFont="1" applyFill="1" applyBorder="1" applyAlignment="1" applyProtection="1">
      <alignment horizontal="right"/>
      <protection hidden="1"/>
    </xf>
    <xf numFmtId="0" fontId="0" fillId="16" borderId="81" xfId="0" applyFill="1" applyBorder="1"/>
    <xf numFmtId="0" fontId="10" fillId="16" borderId="9" xfId="0" applyFont="1" applyFill="1" applyBorder="1"/>
    <xf numFmtId="0" fontId="10" fillId="16" borderId="89" xfId="0" applyFont="1" applyFill="1" applyBorder="1"/>
    <xf numFmtId="0" fontId="26" fillId="16" borderId="0" xfId="0" applyFont="1" applyFill="1" applyAlignment="1">
      <alignment horizontal="center"/>
    </xf>
    <xf numFmtId="6" fontId="21" fillId="0" borderId="0" xfId="0" applyNumberFormat="1" applyFont="1"/>
    <xf numFmtId="37" fontId="135" fillId="15" borderId="31" xfId="0" applyNumberFormat="1" applyFont="1" applyFill="1" applyBorder="1" applyAlignment="1" applyProtection="1">
      <alignment horizontal="right"/>
      <protection locked="0"/>
    </xf>
    <xf numFmtId="37" fontId="135" fillId="15" borderId="3" xfId="0" applyNumberFormat="1" applyFont="1" applyFill="1" applyBorder="1" applyAlignment="1" applyProtection="1">
      <alignment horizontal="right"/>
      <protection locked="0"/>
    </xf>
    <xf numFmtId="39" fontId="129" fillId="3" borderId="3" xfId="0" applyNumberFormat="1" applyFont="1" applyFill="1" applyBorder="1" applyAlignment="1" applyProtection="1">
      <alignment horizontal="right"/>
      <protection hidden="1"/>
    </xf>
    <xf numFmtId="0" fontId="129" fillId="0" borderId="0" xfId="0" applyFont="1" applyAlignment="1" applyProtection="1">
      <alignment horizontal="center"/>
      <protection hidden="1"/>
    </xf>
    <xf numFmtId="178" fontId="25" fillId="2" borderId="0" xfId="0" applyNumberFormat="1" applyFont="1" applyFill="1" applyProtection="1">
      <protection hidden="1"/>
    </xf>
    <xf numFmtId="38" fontId="135" fillId="2" borderId="0" xfId="0" applyNumberFormat="1" applyFont="1" applyFill="1" applyProtection="1">
      <protection hidden="1"/>
    </xf>
    <xf numFmtId="0" fontId="10" fillId="5" borderId="38" xfId="0" applyFont="1" applyFill="1" applyBorder="1" applyAlignment="1" applyProtection="1">
      <alignment horizontal="center"/>
      <protection hidden="1"/>
    </xf>
    <xf numFmtId="0" fontId="10" fillId="5" borderId="103" xfId="0" applyFont="1" applyFill="1" applyBorder="1" applyAlignment="1" applyProtection="1">
      <alignment horizontal="center"/>
      <protection hidden="1"/>
    </xf>
    <xf numFmtId="37" fontId="7" fillId="3" borderId="39" xfId="0" applyNumberFormat="1" applyFont="1" applyFill="1" applyBorder="1" applyAlignment="1" applyProtection="1">
      <alignment horizontal="right"/>
      <protection locked="0"/>
    </xf>
    <xf numFmtId="37" fontId="7" fillId="15" borderId="3" xfId="0" applyNumberFormat="1" applyFont="1" applyFill="1" applyBorder="1" applyAlignment="1" applyProtection="1">
      <alignment horizontal="right"/>
      <protection hidden="1"/>
    </xf>
    <xf numFmtId="0" fontId="0" fillId="0" borderId="0" xfId="0" applyAlignment="1">
      <alignment vertical="top" wrapText="1"/>
    </xf>
    <xf numFmtId="0" fontId="0" fillId="0" borderId="0" xfId="0" applyAlignment="1">
      <alignment horizontal="center" vertical="top" wrapText="1"/>
    </xf>
    <xf numFmtId="0" fontId="3" fillId="0" borderId="5" xfId="0" applyFont="1" applyBorder="1" applyAlignment="1">
      <alignment horizontal="center" wrapText="1"/>
    </xf>
    <xf numFmtId="0" fontId="6" fillId="0" borderId="5" xfId="0" applyFont="1" applyBorder="1" applyAlignment="1">
      <alignment horizontal="center" wrapText="1"/>
    </xf>
    <xf numFmtId="0" fontId="75" fillId="0" borderId="0" xfId="2" applyAlignment="1" applyProtection="1">
      <alignment horizontal="center" wrapText="1"/>
    </xf>
    <xf numFmtId="0" fontId="8" fillId="3" borderId="6" xfId="0" applyFont="1" applyFill="1" applyBorder="1" applyProtection="1">
      <protection hidden="1"/>
    </xf>
    <xf numFmtId="0" fontId="8" fillId="17" borderId="13" xfId="0" applyFont="1" applyFill="1" applyBorder="1" applyAlignment="1" applyProtection="1">
      <alignment horizontal="center"/>
      <protection locked="0"/>
    </xf>
    <xf numFmtId="0" fontId="8" fillId="16" borderId="0" xfId="0" applyFont="1" applyFill="1" applyAlignment="1" applyProtection="1">
      <alignment horizontal="center"/>
      <protection hidden="1"/>
    </xf>
    <xf numFmtId="0" fontId="0" fillId="3" borderId="9" xfId="0" applyFill="1" applyBorder="1" applyProtection="1">
      <protection hidden="1"/>
    </xf>
    <xf numFmtId="0" fontId="10" fillId="16" borderId="0" xfId="0" applyFont="1" applyFill="1" applyAlignment="1" applyProtection="1">
      <alignment horizontal="left" vertical="center"/>
      <protection hidden="1"/>
    </xf>
    <xf numFmtId="0" fontId="8" fillId="16" borderId="1" xfId="0" applyFont="1" applyFill="1" applyBorder="1" applyAlignment="1" applyProtection="1">
      <alignment horizontal="center"/>
      <protection hidden="1"/>
    </xf>
    <xf numFmtId="0" fontId="7" fillId="16" borderId="1" xfId="0" applyFont="1" applyFill="1" applyBorder="1" applyAlignment="1" applyProtection="1">
      <alignment horizontal="left" vertical="center"/>
      <protection hidden="1"/>
    </xf>
    <xf numFmtId="0" fontId="12" fillId="3" borderId="26" xfId="0" applyFont="1" applyFill="1" applyBorder="1" applyProtection="1">
      <protection hidden="1"/>
    </xf>
    <xf numFmtId="0" fontId="5" fillId="3" borderId="26" xfId="0" applyFont="1" applyFill="1" applyBorder="1" applyProtection="1">
      <protection hidden="1"/>
    </xf>
    <xf numFmtId="39" fontId="8" fillId="3" borderId="11" xfId="0" applyNumberFormat="1" applyFont="1" applyFill="1" applyBorder="1" applyAlignment="1" applyProtection="1">
      <alignment horizontal="center"/>
      <protection hidden="1"/>
    </xf>
    <xf numFmtId="39" fontId="7" fillId="15" borderId="0" xfId="0" applyNumberFormat="1" applyFont="1" applyFill="1" applyAlignment="1" applyProtection="1">
      <alignment horizontal="left"/>
      <protection hidden="1"/>
    </xf>
    <xf numFmtId="0" fontId="0" fillId="16" borderId="0" xfId="0" applyFill="1" applyAlignment="1">
      <alignment horizontal="left"/>
    </xf>
    <xf numFmtId="3" fontId="11" fillId="3" borderId="3" xfId="0" applyNumberFormat="1" applyFont="1" applyFill="1" applyBorder="1" applyAlignment="1" applyProtection="1">
      <alignment horizontal="center"/>
      <protection hidden="1"/>
    </xf>
    <xf numFmtId="0" fontId="8" fillId="3" borderId="0" xfId="0" applyFont="1" applyFill="1" applyAlignment="1" applyProtection="1">
      <alignment horizontal="right" indent="1"/>
      <protection hidden="1"/>
    </xf>
    <xf numFmtId="1" fontId="8" fillId="21" borderId="13" xfId="0" applyNumberFormat="1" applyFont="1" applyFill="1" applyBorder="1" applyAlignment="1" applyProtection="1">
      <alignment horizontal="center"/>
      <protection locked="0"/>
    </xf>
    <xf numFmtId="4" fontId="8" fillId="3" borderId="0" xfId="0" applyNumberFormat="1" applyFont="1" applyFill="1" applyAlignment="1" applyProtection="1">
      <alignment horizontal="right" vertical="center"/>
      <protection hidden="1"/>
    </xf>
    <xf numFmtId="0" fontId="9" fillId="3" borderId="16" xfId="0" applyFont="1" applyFill="1" applyBorder="1" applyAlignment="1" applyProtection="1">
      <alignment horizontal="center"/>
      <protection hidden="1"/>
    </xf>
    <xf numFmtId="0" fontId="53" fillId="3" borderId="9" xfId="0" applyFont="1" applyFill="1" applyBorder="1" applyProtection="1">
      <protection hidden="1"/>
    </xf>
    <xf numFmtId="0" fontId="21" fillId="15" borderId="0" xfId="0" applyFont="1" applyFill="1" applyAlignment="1" applyProtection="1">
      <alignment horizontal="left"/>
      <protection hidden="1"/>
    </xf>
    <xf numFmtId="0" fontId="19" fillId="15" borderId="27" xfId="0" applyFont="1" applyFill="1" applyBorder="1" applyAlignment="1" applyProtection="1">
      <alignment horizontal="centerContinuous"/>
      <protection hidden="1"/>
    </xf>
    <xf numFmtId="0" fontId="0" fillId="16" borderId="1" xfId="0" applyFill="1" applyBorder="1" applyAlignment="1">
      <alignment horizontal="centerContinuous"/>
    </xf>
    <xf numFmtId="0" fontId="7" fillId="16" borderId="0" xfId="0" applyFont="1" applyFill="1" applyAlignment="1">
      <alignment horizontal="centerContinuous"/>
    </xf>
    <xf numFmtId="0" fontId="5" fillId="16" borderId="0" xfId="0" applyFont="1" applyFill="1" applyAlignment="1">
      <alignment horizontal="centerContinuous" vertical="center"/>
    </xf>
    <xf numFmtId="0" fontId="13" fillId="15" borderId="27" xfId="0" applyFont="1" applyFill="1" applyBorder="1" applyAlignment="1" applyProtection="1">
      <alignment horizontal="center"/>
      <protection hidden="1"/>
    </xf>
    <xf numFmtId="0" fontId="0" fillId="16" borderId="1" xfId="0" applyFill="1" applyBorder="1" applyAlignment="1">
      <alignment horizontal="center"/>
    </xf>
    <xf numFmtId="39" fontId="11" fillId="23" borderId="16" xfId="0" applyNumberFormat="1" applyFont="1" applyFill="1" applyBorder="1" applyProtection="1">
      <protection hidden="1"/>
    </xf>
    <xf numFmtId="39" fontId="11" fillId="23" borderId="7" xfId="0" applyNumberFormat="1" applyFont="1" applyFill="1" applyBorder="1" applyProtection="1">
      <protection hidden="1"/>
    </xf>
    <xf numFmtId="0" fontId="53" fillId="3" borderId="31" xfId="0" applyFont="1" applyFill="1" applyBorder="1" applyProtection="1">
      <protection hidden="1"/>
    </xf>
    <xf numFmtId="1" fontId="8" fillId="3" borderId="0" xfId="0" applyNumberFormat="1" applyFont="1" applyFill="1" applyAlignment="1" applyProtection="1">
      <alignment horizontal="right"/>
      <protection hidden="1"/>
    </xf>
    <xf numFmtId="0" fontId="42" fillId="3" borderId="0" xfId="0" applyFont="1" applyFill="1" applyProtection="1">
      <protection hidden="1"/>
    </xf>
    <xf numFmtId="0" fontId="23" fillId="3" borderId="0" xfId="0" applyFont="1" applyFill="1" applyAlignment="1" applyProtection="1">
      <alignment horizontal="left" vertical="center"/>
      <protection hidden="1"/>
    </xf>
    <xf numFmtId="0" fontId="13" fillId="3" borderId="3" xfId="0" applyFont="1" applyFill="1" applyBorder="1" applyProtection="1">
      <protection hidden="1"/>
    </xf>
    <xf numFmtId="0" fontId="6" fillId="21" borderId="13" xfId="0" applyFont="1" applyFill="1" applyBorder="1" applyAlignment="1" applyProtection="1">
      <alignment horizontal="center" vertical="center"/>
      <protection locked="0"/>
    </xf>
    <xf numFmtId="0" fontId="6" fillId="16" borderId="0" xfId="0" applyFont="1" applyFill="1" applyProtection="1">
      <protection hidden="1"/>
    </xf>
    <xf numFmtId="0" fontId="8" fillId="3" borderId="1" xfId="0" applyFont="1" applyFill="1" applyBorder="1" applyAlignment="1" applyProtection="1">
      <alignment horizontal="center"/>
      <protection hidden="1"/>
    </xf>
    <xf numFmtId="0" fontId="3" fillId="3" borderId="1" xfId="0" applyFont="1" applyFill="1" applyBorder="1" applyAlignment="1" applyProtection="1">
      <alignment horizontal="right"/>
      <protection hidden="1"/>
    </xf>
    <xf numFmtId="0" fontId="9" fillId="3" borderId="1" xfId="0" applyFont="1" applyFill="1" applyBorder="1" applyAlignment="1" applyProtection="1">
      <alignment horizontal="right"/>
      <protection hidden="1"/>
    </xf>
    <xf numFmtId="0" fontId="6" fillId="21" borderId="26" xfId="0" applyFont="1" applyFill="1" applyBorder="1" applyAlignment="1" applyProtection="1">
      <alignment horizontal="center" vertical="center"/>
      <protection locked="0"/>
    </xf>
    <xf numFmtId="0" fontId="8" fillId="3" borderId="1" xfId="0" applyFont="1" applyFill="1" applyBorder="1" applyAlignment="1" applyProtection="1">
      <alignment horizontal="left"/>
      <protection hidden="1"/>
    </xf>
    <xf numFmtId="39" fontId="11" fillId="3" borderId="14" xfId="0" applyNumberFormat="1" applyFont="1" applyFill="1" applyBorder="1" applyProtection="1">
      <protection hidden="1"/>
    </xf>
    <xf numFmtId="39" fontId="11" fillId="3" borderId="14" xfId="0" applyNumberFormat="1" applyFont="1" applyFill="1" applyBorder="1" applyAlignment="1" applyProtection="1">
      <alignment horizontal="right"/>
      <protection hidden="1"/>
    </xf>
    <xf numFmtId="39" fontId="7" fillId="3" borderId="14" xfId="0" applyNumberFormat="1" applyFont="1" applyFill="1" applyBorder="1" applyAlignment="1" applyProtection="1">
      <alignment horizontal="right"/>
      <protection hidden="1"/>
    </xf>
    <xf numFmtId="39" fontId="12" fillId="3" borderId="14" xfId="0" applyNumberFormat="1" applyFont="1" applyFill="1" applyBorder="1" applyAlignment="1" applyProtection="1">
      <alignment horizontal="left"/>
      <protection hidden="1"/>
    </xf>
    <xf numFmtId="0" fontId="53" fillId="3" borderId="35" xfId="0" applyFont="1" applyFill="1" applyBorder="1" applyProtection="1">
      <protection hidden="1"/>
    </xf>
    <xf numFmtId="39" fontId="11" fillId="3" borderId="25" xfId="0" applyNumberFormat="1" applyFont="1" applyFill="1" applyBorder="1" applyProtection="1">
      <protection hidden="1"/>
    </xf>
    <xf numFmtId="0" fontId="0" fillId="16" borderId="25" xfId="0" applyFill="1" applyBorder="1" applyAlignment="1">
      <alignment horizontal="left"/>
    </xf>
    <xf numFmtId="0" fontId="53" fillId="3" borderId="25" xfId="0" applyFont="1" applyFill="1" applyBorder="1" applyProtection="1">
      <protection hidden="1"/>
    </xf>
    <xf numFmtId="0" fontId="7" fillId="3" borderId="14" xfId="0" applyFont="1" applyFill="1" applyBorder="1" applyAlignment="1" applyProtection="1">
      <alignment horizontal="left"/>
      <protection hidden="1"/>
    </xf>
    <xf numFmtId="0" fontId="18" fillId="3" borderId="35" xfId="0" applyFont="1" applyFill="1" applyBorder="1" applyAlignment="1" applyProtection="1">
      <alignment vertical="center"/>
      <protection hidden="1"/>
    </xf>
    <xf numFmtId="0" fontId="13" fillId="15" borderId="6" xfId="0" applyFont="1" applyFill="1" applyBorder="1" applyAlignment="1" applyProtection="1">
      <alignment horizontal="centerContinuous" vertical="center"/>
      <protection hidden="1"/>
    </xf>
    <xf numFmtId="1" fontId="8" fillId="3" borderId="12" xfId="0" applyNumberFormat="1" applyFont="1" applyFill="1" applyBorder="1" applyAlignment="1" applyProtection="1">
      <alignment horizontal="right"/>
      <protection hidden="1"/>
    </xf>
    <xf numFmtId="0" fontId="8" fillId="3" borderId="25" xfId="0" applyFont="1" applyFill="1" applyBorder="1" applyAlignment="1" applyProtection="1">
      <alignment horizontal="right"/>
      <protection hidden="1"/>
    </xf>
    <xf numFmtId="0" fontId="7" fillId="3" borderId="5" xfId="0" applyFont="1" applyFill="1" applyBorder="1" applyProtection="1">
      <protection hidden="1"/>
    </xf>
    <xf numFmtId="0" fontId="5" fillId="0" borderId="0" xfId="0" applyFont="1" applyAlignment="1">
      <alignment horizontal="center" vertical="top" wrapText="1"/>
    </xf>
    <xf numFmtId="0" fontId="5" fillId="0" borderId="0" xfId="0" applyFont="1" applyAlignment="1">
      <alignment vertical="top" wrapText="1"/>
    </xf>
    <xf numFmtId="39" fontId="8" fillId="3" borderId="9" xfId="0" applyNumberFormat="1" applyFont="1" applyFill="1" applyBorder="1" applyProtection="1">
      <protection hidden="1"/>
    </xf>
    <xf numFmtId="39" fontId="11" fillId="3" borderId="9" xfId="0" applyNumberFormat="1" applyFont="1" applyFill="1" applyBorder="1" applyProtection="1">
      <protection hidden="1"/>
    </xf>
    <xf numFmtId="39" fontId="11" fillId="3" borderId="9" xfId="0" applyNumberFormat="1" applyFont="1" applyFill="1" applyBorder="1" applyAlignment="1" applyProtection="1">
      <alignment horizontal="center"/>
      <protection hidden="1"/>
    </xf>
    <xf numFmtId="37" fontId="8" fillId="29" borderId="1" xfId="0" applyNumberFormat="1" applyFont="1" applyFill="1" applyBorder="1" applyAlignment="1" applyProtection="1">
      <alignment horizontal="right"/>
      <protection hidden="1"/>
    </xf>
    <xf numFmtId="0" fontId="0" fillId="16" borderId="8" xfId="0" applyFill="1" applyBorder="1"/>
    <xf numFmtId="0" fontId="0" fillId="16" borderId="20" xfId="0" applyFill="1" applyBorder="1"/>
    <xf numFmtId="0" fontId="21" fillId="16" borderId="0" xfId="0" applyFont="1" applyFill="1" applyProtection="1">
      <protection hidden="1"/>
    </xf>
    <xf numFmtId="0" fontId="0" fillId="16" borderId="21" xfId="0" applyFill="1" applyBorder="1"/>
    <xf numFmtId="0" fontId="21" fillId="16" borderId="1" xfId="0" applyFont="1" applyFill="1" applyBorder="1" applyAlignment="1" applyProtection="1">
      <alignment horizontal="center" vertical="center"/>
      <protection hidden="1"/>
    </xf>
    <xf numFmtId="0" fontId="5" fillId="16" borderId="1" xfId="0" applyFont="1" applyFill="1" applyBorder="1" applyAlignment="1" applyProtection="1">
      <alignment horizontal="center" vertical="center"/>
      <protection hidden="1"/>
    </xf>
    <xf numFmtId="0" fontId="21" fillId="16" borderId="30" xfId="0" applyFont="1" applyFill="1" applyBorder="1" applyAlignment="1" applyProtection="1">
      <alignment horizontal="center" vertical="center"/>
      <protection hidden="1"/>
    </xf>
    <xf numFmtId="0" fontId="21" fillId="16" borderId="22" xfId="0" applyFont="1" applyFill="1" applyBorder="1" applyAlignment="1" applyProtection="1">
      <alignment horizontal="center"/>
      <protection hidden="1"/>
    </xf>
    <xf numFmtId="0" fontId="0" fillId="16" borderId="5" xfId="0" applyFill="1" applyBorder="1"/>
    <xf numFmtId="0" fontId="0" fillId="16" borderId="23" xfId="0" applyFill="1" applyBorder="1"/>
    <xf numFmtId="37" fontId="7" fillId="29" borderId="40" xfId="0" applyNumberFormat="1" applyFont="1" applyFill="1" applyBorder="1" applyAlignment="1" applyProtection="1">
      <alignment horizontal="right"/>
      <protection hidden="1"/>
    </xf>
    <xf numFmtId="0" fontId="5" fillId="5" borderId="0" xfId="0" applyFont="1" applyFill="1" applyAlignment="1" applyProtection="1">
      <alignment horizontal="right"/>
      <protection hidden="1"/>
    </xf>
    <xf numFmtId="0" fontId="131" fillId="0" borderId="0" xfId="0" applyFont="1"/>
    <xf numFmtId="0" fontId="15" fillId="30" borderId="28" xfId="0" applyFont="1" applyFill="1" applyBorder="1" applyProtection="1">
      <protection hidden="1"/>
    </xf>
    <xf numFmtId="0" fontId="16" fillId="25" borderId="28" xfId="0" applyFont="1" applyFill="1" applyBorder="1" applyProtection="1">
      <protection hidden="1"/>
    </xf>
    <xf numFmtId="0" fontId="16" fillId="25" borderId="109" xfId="0" applyFont="1" applyFill="1" applyBorder="1" applyProtection="1">
      <protection hidden="1"/>
    </xf>
    <xf numFmtId="0" fontId="10" fillId="25" borderId="6" xfId="0" applyFont="1" applyFill="1" applyBorder="1" applyAlignment="1" applyProtection="1">
      <alignment horizontal="center"/>
      <protection hidden="1"/>
    </xf>
    <xf numFmtId="0" fontId="10" fillId="25" borderId="0" xfId="0" applyFont="1" applyFill="1" applyAlignment="1" applyProtection="1">
      <alignment horizontal="center"/>
      <protection hidden="1"/>
    </xf>
    <xf numFmtId="0" fontId="10" fillId="25" borderId="0" xfId="0" applyFont="1" applyFill="1" applyAlignment="1" applyProtection="1">
      <alignment horizontal="left"/>
      <protection hidden="1"/>
    </xf>
    <xf numFmtId="0" fontId="7" fillId="25" borderId="0" xfId="0" applyFont="1" applyFill="1" applyProtection="1">
      <protection hidden="1"/>
    </xf>
    <xf numFmtId="0" fontId="72" fillId="25" borderId="21" xfId="0" applyFont="1" applyFill="1" applyBorder="1" applyProtection="1">
      <protection hidden="1"/>
    </xf>
    <xf numFmtId="0" fontId="0" fillId="25" borderId="0" xfId="0" applyFill="1" applyAlignment="1" applyProtection="1">
      <alignment vertical="center"/>
      <protection hidden="1"/>
    </xf>
    <xf numFmtId="3" fontId="33" fillId="25" borderId="6" xfId="0" applyNumberFormat="1" applyFont="1" applyFill="1" applyBorder="1" applyAlignment="1" applyProtection="1">
      <alignment horizontal="right"/>
      <protection hidden="1"/>
    </xf>
    <xf numFmtId="0" fontId="72" fillId="25" borderId="0" xfId="0" applyFont="1" applyFill="1" applyProtection="1">
      <protection hidden="1"/>
    </xf>
    <xf numFmtId="3" fontId="33" fillId="25" borderId="0" xfId="0" applyNumberFormat="1" applyFont="1" applyFill="1" applyAlignment="1" applyProtection="1">
      <alignment horizontal="right"/>
      <protection hidden="1"/>
    </xf>
    <xf numFmtId="0" fontId="10" fillId="25" borderId="0" xfId="0" applyFont="1" applyFill="1" applyAlignment="1" applyProtection="1">
      <alignment horizontal="right"/>
      <protection hidden="1"/>
    </xf>
    <xf numFmtId="3" fontId="158" fillId="25" borderId="0" xfId="0" applyNumberFormat="1" applyFont="1" applyFill="1" applyAlignment="1" applyProtection="1">
      <alignment horizontal="center"/>
      <protection hidden="1"/>
    </xf>
    <xf numFmtId="0" fontId="139" fillId="25" borderId="0" xfId="0" applyFont="1" applyFill="1" applyAlignment="1" applyProtection="1">
      <alignment horizontal="center"/>
      <protection hidden="1"/>
    </xf>
    <xf numFmtId="0" fontId="64" fillId="5" borderId="0" xfId="0" applyFont="1" applyFill="1" applyAlignment="1">
      <alignment horizontal="right"/>
    </xf>
    <xf numFmtId="0" fontId="21" fillId="25" borderId="28" xfId="0" applyFont="1" applyFill="1" applyBorder="1" applyProtection="1">
      <protection hidden="1"/>
    </xf>
    <xf numFmtId="0" fontId="0" fillId="25" borderId="28" xfId="0" applyFill="1" applyBorder="1" applyAlignment="1" applyProtection="1">
      <alignment horizontal="center"/>
      <protection hidden="1"/>
    </xf>
    <xf numFmtId="0" fontId="21" fillId="25" borderId="0" xfId="0" applyFont="1" applyFill="1" applyProtection="1">
      <protection hidden="1"/>
    </xf>
    <xf numFmtId="0" fontId="21" fillId="25" borderId="21" xfId="0" applyFont="1" applyFill="1" applyBorder="1" applyProtection="1">
      <protection hidden="1"/>
    </xf>
    <xf numFmtId="0" fontId="3" fillId="25" borderId="6" xfId="0" applyFont="1" applyFill="1" applyBorder="1" applyAlignment="1" applyProtection="1">
      <alignment horizontal="left"/>
      <protection hidden="1"/>
    </xf>
    <xf numFmtId="0" fontId="3" fillId="25" borderId="0" xfId="0" applyFont="1" applyFill="1" applyAlignment="1" applyProtection="1">
      <alignment horizontal="left"/>
      <protection hidden="1"/>
    </xf>
    <xf numFmtId="0" fontId="5" fillId="25" borderId="0" xfId="0" applyFont="1" applyFill="1" applyProtection="1">
      <protection hidden="1"/>
    </xf>
    <xf numFmtId="0" fontId="5" fillId="25" borderId="0" xfId="0" applyFont="1" applyFill="1" applyAlignment="1" applyProtection="1">
      <alignment vertical="top"/>
      <protection hidden="1"/>
    </xf>
    <xf numFmtId="0" fontId="13" fillId="25" borderId="6" xfId="0" applyFont="1" applyFill="1" applyBorder="1" applyAlignment="1" applyProtection="1">
      <alignment horizontal="center"/>
      <protection hidden="1"/>
    </xf>
    <xf numFmtId="37" fontId="8" fillId="29" borderId="2" xfId="0" applyNumberFormat="1" applyFont="1" applyFill="1" applyBorder="1" applyAlignment="1" applyProtection="1">
      <alignment horizontal="center" vertical="center"/>
      <protection hidden="1"/>
    </xf>
    <xf numFmtId="0" fontId="16" fillId="16" borderId="0" xfId="0" applyFont="1" applyFill="1" applyProtection="1">
      <protection hidden="1"/>
    </xf>
    <xf numFmtId="0" fontId="0" fillId="16" borderId="1" xfId="0" applyFill="1" applyBorder="1" applyAlignment="1">
      <alignment horizontal="left" vertical="top"/>
    </xf>
    <xf numFmtId="0" fontId="0" fillId="16" borderId="12" xfId="0" applyFill="1" applyBorder="1" applyAlignment="1">
      <alignment horizontal="left" vertical="top"/>
    </xf>
    <xf numFmtId="0" fontId="0" fillId="0" borderId="0" xfId="0" applyAlignment="1">
      <alignment wrapText="1"/>
    </xf>
    <xf numFmtId="179" fontId="10" fillId="5" borderId="0" xfId="0" applyNumberFormat="1" applyFont="1" applyFill="1" applyAlignment="1" applyProtection="1">
      <alignment horizontal="center" vertical="top"/>
      <protection hidden="1"/>
    </xf>
    <xf numFmtId="0" fontId="5" fillId="2" borderId="5" xfId="0" applyFont="1" applyFill="1" applyBorder="1" applyProtection="1">
      <protection hidden="1"/>
    </xf>
    <xf numFmtId="0" fontId="12" fillId="17" borderId="13" xfId="0" applyFont="1" applyFill="1" applyBorder="1" applyAlignment="1" applyProtection="1">
      <alignment horizontal="center" vertical="center"/>
      <protection locked="0"/>
    </xf>
    <xf numFmtId="0" fontId="0" fillId="16" borderId="6" xfId="0" applyFill="1" applyBorder="1" applyAlignment="1" applyProtection="1">
      <alignment horizontal="left"/>
      <protection hidden="1"/>
    </xf>
    <xf numFmtId="0" fontId="0" fillId="16" borderId="0" xfId="0" applyFill="1" applyAlignment="1" applyProtection="1">
      <alignment horizontal="left"/>
      <protection hidden="1"/>
    </xf>
    <xf numFmtId="0" fontId="0" fillId="16" borderId="21" xfId="0" applyFill="1" applyBorder="1" applyAlignment="1" applyProtection="1">
      <alignment horizontal="left"/>
      <protection hidden="1"/>
    </xf>
    <xf numFmtId="0" fontId="5" fillId="16" borderId="22" xfId="0" applyFont="1" applyFill="1" applyBorder="1" applyProtection="1">
      <protection hidden="1"/>
    </xf>
    <xf numFmtId="0" fontId="5" fillId="16" borderId="8" xfId="0" applyFont="1" applyFill="1" applyBorder="1" applyProtection="1">
      <protection hidden="1"/>
    </xf>
    <xf numFmtId="0" fontId="0" fillId="16" borderId="57" xfId="0" applyFill="1" applyBorder="1" applyProtection="1">
      <protection hidden="1"/>
    </xf>
    <xf numFmtId="0" fontId="0" fillId="16" borderId="1" xfId="0" applyFill="1" applyBorder="1" applyProtection="1">
      <protection hidden="1"/>
    </xf>
    <xf numFmtId="0" fontId="0" fillId="16" borderId="26" xfId="0" applyFill="1" applyBorder="1" applyProtection="1">
      <protection hidden="1"/>
    </xf>
    <xf numFmtId="0" fontId="0" fillId="16" borderId="16" xfId="0" applyFill="1" applyBorder="1" applyProtection="1">
      <protection hidden="1"/>
    </xf>
    <xf numFmtId="0" fontId="18" fillId="16" borderId="0" xfId="0" quotePrefix="1" applyFont="1" applyFill="1" applyAlignment="1" applyProtection="1">
      <alignment horizontal="center"/>
      <protection hidden="1"/>
    </xf>
    <xf numFmtId="0" fontId="3" fillId="16" borderId="11" xfId="0" applyFont="1" applyFill="1" applyBorder="1" applyAlignment="1" applyProtection="1">
      <alignment horizontal="center"/>
      <protection hidden="1"/>
    </xf>
    <xf numFmtId="0" fontId="0" fillId="16" borderId="7" xfId="0" applyFill="1" applyBorder="1" applyProtection="1">
      <protection hidden="1"/>
    </xf>
    <xf numFmtId="0" fontId="18" fillId="16" borderId="0" xfId="0" quotePrefix="1" applyFont="1" applyFill="1" applyAlignment="1" applyProtection="1">
      <alignment horizontal="right"/>
      <protection hidden="1"/>
    </xf>
    <xf numFmtId="0" fontId="3" fillId="16" borderId="0" xfId="0" applyFont="1" applyFill="1" applyAlignment="1" applyProtection="1">
      <alignment horizontal="right"/>
      <protection hidden="1"/>
    </xf>
    <xf numFmtId="0" fontId="0" fillId="20" borderId="7" xfId="0" applyFill="1" applyBorder="1" applyProtection="1">
      <protection hidden="1"/>
    </xf>
    <xf numFmtId="0" fontId="0" fillId="20" borderId="0" xfId="0" applyFill="1" applyProtection="1">
      <protection hidden="1"/>
    </xf>
    <xf numFmtId="0" fontId="18" fillId="16" borderId="29" xfId="0" quotePrefix="1" applyFont="1" applyFill="1" applyBorder="1" applyAlignment="1" applyProtection="1">
      <alignment horizontal="center"/>
      <protection hidden="1"/>
    </xf>
    <xf numFmtId="0" fontId="3" fillId="16" borderId="29" xfId="0" applyFont="1" applyFill="1" applyBorder="1" applyAlignment="1" applyProtection="1">
      <alignment horizontal="center"/>
      <protection hidden="1"/>
    </xf>
    <xf numFmtId="0" fontId="18" fillId="16" borderId="26" xfId="0" quotePrefix="1" applyFont="1" applyFill="1" applyBorder="1" applyAlignment="1" applyProtection="1">
      <alignment horizontal="right"/>
      <protection hidden="1"/>
    </xf>
    <xf numFmtId="0" fontId="18" fillId="16" borderId="26" xfId="0" quotePrefix="1" applyFont="1" applyFill="1" applyBorder="1" applyAlignment="1" applyProtection="1">
      <alignment horizontal="center"/>
      <protection hidden="1"/>
    </xf>
    <xf numFmtId="0" fontId="18" fillId="16" borderId="32" xfId="0" quotePrefix="1" applyFont="1" applyFill="1" applyBorder="1" applyAlignment="1" applyProtection="1">
      <alignment horizontal="right"/>
      <protection hidden="1"/>
    </xf>
    <xf numFmtId="0" fontId="18" fillId="16" borderId="32" xfId="0" quotePrefix="1" applyFont="1" applyFill="1" applyBorder="1" applyAlignment="1" applyProtection="1">
      <alignment horizontal="center"/>
      <protection hidden="1"/>
    </xf>
    <xf numFmtId="0" fontId="18" fillId="16" borderId="8" xfId="0" quotePrefix="1" applyFont="1" applyFill="1" applyBorder="1" applyAlignment="1" applyProtection="1">
      <alignment horizontal="right"/>
      <protection hidden="1"/>
    </xf>
    <xf numFmtId="0" fontId="7" fillId="16" borderId="1" xfId="0" applyFont="1" applyFill="1" applyBorder="1" applyProtection="1">
      <protection hidden="1"/>
    </xf>
    <xf numFmtId="0" fontId="12" fillId="16" borderId="1" xfId="0" applyFont="1" applyFill="1" applyBorder="1" applyAlignment="1" applyProtection="1">
      <alignment vertical="center"/>
      <protection hidden="1"/>
    </xf>
    <xf numFmtId="0" fontId="3" fillId="16" borderId="1" xfId="0" applyFont="1" applyFill="1" applyBorder="1" applyAlignment="1" applyProtection="1">
      <alignment vertical="center"/>
      <protection hidden="1"/>
    </xf>
    <xf numFmtId="0" fontId="18" fillId="16" borderId="9" xfId="0" applyFont="1" applyFill="1" applyBorder="1" applyAlignment="1" applyProtection="1">
      <alignment horizontal="center"/>
      <protection hidden="1"/>
    </xf>
    <xf numFmtId="0" fontId="0" fillId="16" borderId="9" xfId="0" applyFill="1" applyBorder="1" applyProtection="1">
      <protection hidden="1"/>
    </xf>
    <xf numFmtId="0" fontId="0" fillId="16" borderId="15" xfId="0" applyFill="1" applyBorder="1" applyProtection="1">
      <protection hidden="1"/>
    </xf>
    <xf numFmtId="0" fontId="18" fillId="16" borderId="31" xfId="0" applyFont="1" applyFill="1" applyBorder="1" applyAlignment="1" applyProtection="1">
      <alignment horizontal="center"/>
      <protection hidden="1"/>
    </xf>
    <xf numFmtId="0" fontId="18" fillId="16" borderId="0" xfId="0" applyFont="1" applyFill="1" applyProtection="1">
      <protection hidden="1"/>
    </xf>
    <xf numFmtId="0" fontId="12" fillId="16" borderId="28" xfId="0" applyFont="1" applyFill="1" applyBorder="1" applyAlignment="1" applyProtection="1">
      <alignment vertical="center"/>
      <protection hidden="1"/>
    </xf>
    <xf numFmtId="0" fontId="0" fillId="16" borderId="28" xfId="0" applyFill="1" applyBorder="1" applyProtection="1">
      <protection hidden="1"/>
    </xf>
    <xf numFmtId="0" fontId="141" fillId="16" borderId="26" xfId="0" applyFont="1" applyFill="1" applyBorder="1" applyAlignment="1" applyProtection="1">
      <alignment horizontal="right"/>
      <protection hidden="1"/>
    </xf>
    <xf numFmtId="0" fontId="0" fillId="16" borderId="31" xfId="0" applyFill="1" applyBorder="1" applyProtection="1">
      <protection hidden="1"/>
    </xf>
    <xf numFmtId="0" fontId="0" fillId="16" borderId="3" xfId="0" applyFill="1" applyBorder="1" applyProtection="1">
      <protection hidden="1"/>
    </xf>
    <xf numFmtId="0" fontId="0" fillId="16" borderId="25" xfId="0" applyFill="1" applyBorder="1" applyProtection="1">
      <protection hidden="1"/>
    </xf>
    <xf numFmtId="0" fontId="3" fillId="16" borderId="3" xfId="0" quotePrefix="1" applyFont="1" applyFill="1" applyBorder="1" applyAlignment="1" applyProtection="1">
      <alignment horizontal="right"/>
      <protection hidden="1"/>
    </xf>
    <xf numFmtId="0" fontId="3" fillId="16" borderId="0" xfId="0" quotePrefix="1" applyFont="1" applyFill="1" applyAlignment="1" applyProtection="1">
      <alignment horizontal="right"/>
      <protection hidden="1"/>
    </xf>
    <xf numFmtId="0" fontId="0" fillId="16" borderId="10" xfId="0" applyFill="1" applyBorder="1" applyProtection="1">
      <protection hidden="1"/>
    </xf>
    <xf numFmtId="0" fontId="3" fillId="5" borderId="0" xfId="0" applyFont="1" applyFill="1" applyAlignment="1" applyProtection="1">
      <alignment horizontal="left"/>
      <protection hidden="1"/>
    </xf>
    <xf numFmtId="0" fontId="18" fillId="5" borderId="0" xfId="0" applyFont="1" applyFill="1" applyAlignment="1" applyProtection="1">
      <alignment horizontal="left"/>
      <protection hidden="1"/>
    </xf>
    <xf numFmtId="0" fontId="141" fillId="5" borderId="0" xfId="0" applyFont="1" applyFill="1" applyAlignment="1" applyProtection="1">
      <alignment horizontal="center"/>
      <protection hidden="1"/>
    </xf>
    <xf numFmtId="0" fontId="12" fillId="28" borderId="13" xfId="0" applyFont="1" applyFill="1" applyBorder="1" applyAlignment="1" applyProtection="1">
      <alignment horizontal="center" vertical="center"/>
      <protection hidden="1"/>
    </xf>
    <xf numFmtId="0" fontId="160" fillId="0" borderId="47" xfId="0" quotePrefix="1" applyFont="1" applyBorder="1" applyAlignment="1">
      <alignment horizontal="center" vertical="center" wrapText="1"/>
    </xf>
    <xf numFmtId="0" fontId="160" fillId="0" borderId="56" xfId="0" applyFont="1" applyBorder="1" applyAlignment="1">
      <alignment horizontal="center" vertical="center"/>
    </xf>
    <xf numFmtId="0" fontId="160" fillId="0" borderId="11" xfId="0" applyFont="1" applyBorder="1" applyAlignment="1">
      <alignment horizontal="center" vertical="center" wrapText="1"/>
    </xf>
    <xf numFmtId="0" fontId="161" fillId="0" borderId="60" xfId="0" applyFont="1" applyBorder="1" applyAlignment="1" applyProtection="1">
      <alignment horizontal="centerContinuous"/>
      <protection hidden="1"/>
    </xf>
    <xf numFmtId="0" fontId="160" fillId="0" borderId="75" xfId="0" applyFont="1" applyBorder="1" applyAlignment="1">
      <alignment horizontal="centerContinuous" wrapText="1"/>
    </xf>
    <xf numFmtId="0" fontId="5" fillId="0" borderId="61" xfId="0" applyFont="1" applyBorder="1" applyAlignment="1" applyProtection="1">
      <alignment horizontal="centerContinuous"/>
      <protection hidden="1"/>
    </xf>
    <xf numFmtId="0" fontId="160" fillId="0" borderId="67" xfId="0" applyFont="1" applyBorder="1" applyAlignment="1">
      <alignment horizontal="center" vertical="center" wrapText="1"/>
    </xf>
    <xf numFmtId="3" fontId="160" fillId="0" borderId="13" xfId="0" applyNumberFormat="1" applyFont="1" applyBorder="1" applyAlignment="1">
      <alignment horizontal="center" vertical="center" wrapText="1"/>
    </xf>
    <xf numFmtId="3" fontId="5" fillId="31" borderId="1" xfId="0" applyNumberFormat="1" applyFont="1" applyFill="1" applyBorder="1" applyProtection="1">
      <protection hidden="1"/>
    </xf>
    <xf numFmtId="3" fontId="5" fillId="17" borderId="1" xfId="0" applyNumberFormat="1" applyFont="1" applyFill="1" applyBorder="1" applyProtection="1">
      <protection locked="0"/>
    </xf>
    <xf numFmtId="3" fontId="5" fillId="26" borderId="1" xfId="0" applyNumberFormat="1" applyFont="1" applyFill="1" applyBorder="1" applyProtection="1">
      <protection hidden="1"/>
    </xf>
    <xf numFmtId="0" fontId="90" fillId="5" borderId="0" xfId="0" applyFont="1" applyFill="1"/>
    <xf numFmtId="4" fontId="90" fillId="5" borderId="0" xfId="0" applyNumberFormat="1" applyFont="1" applyFill="1"/>
    <xf numFmtId="0" fontId="90" fillId="5" borderId="0" xfId="0" applyFont="1" applyFill="1" applyAlignment="1">
      <alignment vertical="center"/>
    </xf>
    <xf numFmtId="0" fontId="165" fillId="3" borderId="0" xfId="0" applyFont="1" applyFill="1" applyProtection="1">
      <protection hidden="1"/>
    </xf>
    <xf numFmtId="0" fontId="94" fillId="3" borderId="0" xfId="0" applyFont="1" applyFill="1" applyProtection="1">
      <protection hidden="1"/>
    </xf>
    <xf numFmtId="0" fontId="94" fillId="3" borderId="0" xfId="0" applyFont="1" applyFill="1" applyAlignment="1" applyProtection="1">
      <alignment vertical="top"/>
      <protection hidden="1"/>
    </xf>
    <xf numFmtId="0" fontId="57" fillId="9" borderId="0" xfId="0" applyFont="1" applyFill="1" applyAlignment="1" applyProtection="1">
      <alignment horizontal="center" vertical="center"/>
      <protection hidden="1"/>
    </xf>
    <xf numFmtId="0" fontId="12" fillId="3" borderId="0" xfId="0" applyFont="1" applyFill="1" applyProtection="1">
      <protection hidden="1"/>
    </xf>
    <xf numFmtId="0" fontId="0" fillId="3" borderId="15" xfId="0" applyFill="1" applyBorder="1" applyProtection="1">
      <protection hidden="1"/>
    </xf>
    <xf numFmtId="0" fontId="0" fillId="3" borderId="3" xfId="0" applyFill="1" applyBorder="1" applyProtection="1">
      <protection hidden="1"/>
    </xf>
    <xf numFmtId="0" fontId="164" fillId="3" borderId="0" xfId="0" applyFont="1" applyFill="1" applyProtection="1">
      <protection hidden="1"/>
    </xf>
    <xf numFmtId="0" fontId="165" fillId="3" borderId="1" xfId="0" applyFont="1" applyFill="1" applyBorder="1" applyAlignment="1" applyProtection="1">
      <alignment horizontal="left"/>
      <protection hidden="1"/>
    </xf>
    <xf numFmtId="0" fontId="10" fillId="3" borderId="1" xfId="0" applyFont="1" applyFill="1" applyBorder="1" applyAlignment="1" applyProtection="1">
      <alignment horizontal="center"/>
      <protection hidden="1"/>
    </xf>
    <xf numFmtId="0" fontId="10" fillId="3" borderId="12" xfId="0" applyFont="1" applyFill="1" applyBorder="1" applyProtection="1">
      <protection hidden="1"/>
    </xf>
    <xf numFmtId="0" fontId="0" fillId="3" borderId="21" xfId="0" applyFill="1" applyBorder="1" applyAlignment="1" applyProtection="1">
      <alignment horizontal="left"/>
      <protection hidden="1"/>
    </xf>
    <xf numFmtId="0" fontId="89" fillId="3" borderId="0" xfId="0" applyFont="1" applyFill="1" applyProtection="1">
      <protection hidden="1"/>
    </xf>
    <xf numFmtId="0" fontId="64" fillId="3" borderId="0" xfId="0" applyFont="1" applyFill="1" applyAlignment="1" applyProtection="1">
      <alignment horizontal="center"/>
      <protection hidden="1"/>
    </xf>
    <xf numFmtId="0" fontId="0" fillId="3" borderId="73" xfId="0" applyFill="1" applyBorder="1" applyProtection="1">
      <protection hidden="1"/>
    </xf>
    <xf numFmtId="0" fontId="0" fillId="3" borderId="34" xfId="0" applyFill="1" applyBorder="1" applyProtection="1">
      <protection hidden="1"/>
    </xf>
    <xf numFmtId="0" fontId="64" fillId="3" borderId="0" xfId="0" applyFont="1" applyFill="1" applyProtection="1">
      <protection hidden="1"/>
    </xf>
    <xf numFmtId="0" fontId="5" fillId="3" borderId="1" xfId="0" applyFont="1" applyFill="1" applyBorder="1" applyProtection="1">
      <protection hidden="1"/>
    </xf>
    <xf numFmtId="0" fontId="165" fillId="3" borderId="26" xfId="0" applyFont="1" applyFill="1" applyBorder="1" applyProtection="1">
      <protection hidden="1"/>
    </xf>
    <xf numFmtId="0" fontId="0" fillId="3" borderId="26" xfId="0" applyFill="1" applyBorder="1" applyProtection="1">
      <protection hidden="1"/>
    </xf>
    <xf numFmtId="0" fontId="10" fillId="3" borderId="0" xfId="0" applyFont="1" applyFill="1" applyAlignment="1" applyProtection="1">
      <alignment horizontal="center"/>
      <protection hidden="1"/>
    </xf>
    <xf numFmtId="0" fontId="165" fillId="3" borderId="0" xfId="0" applyFont="1" applyFill="1" applyAlignment="1" applyProtection="1">
      <alignment horizontal="center"/>
      <protection hidden="1"/>
    </xf>
    <xf numFmtId="0" fontId="90" fillId="7" borderId="7" xfId="0" applyFont="1" applyFill="1" applyBorder="1" applyProtection="1">
      <protection hidden="1"/>
    </xf>
    <xf numFmtId="3" fontId="25" fillId="3" borderId="3" xfId="0" applyNumberFormat="1" applyFont="1" applyFill="1" applyBorder="1" applyProtection="1">
      <protection hidden="1"/>
    </xf>
    <xf numFmtId="0" fontId="0" fillId="7" borderId="7" xfId="0" applyFill="1" applyBorder="1" applyProtection="1">
      <protection hidden="1"/>
    </xf>
    <xf numFmtId="0" fontId="3" fillId="3" borderId="25" xfId="0" applyFont="1" applyFill="1" applyBorder="1" applyAlignment="1" applyProtection="1">
      <alignment horizontal="right"/>
      <protection hidden="1"/>
    </xf>
    <xf numFmtId="0" fontId="165" fillId="3" borderId="10" xfId="0" applyFont="1" applyFill="1" applyBorder="1" applyAlignment="1" applyProtection="1">
      <alignment horizontal="center"/>
      <protection hidden="1"/>
    </xf>
    <xf numFmtId="4" fontId="5" fillId="3" borderId="3" xfId="0" applyNumberFormat="1" applyFont="1" applyFill="1" applyBorder="1" applyProtection="1">
      <protection hidden="1"/>
    </xf>
    <xf numFmtId="0" fontId="7" fillId="3" borderId="0" xfId="0" applyFont="1" applyFill="1" applyAlignment="1" applyProtection="1">
      <alignment vertical="top"/>
      <protection hidden="1"/>
    </xf>
    <xf numFmtId="4" fontId="25" fillId="3" borderId="3" xfId="0" applyNumberFormat="1" applyFont="1" applyFill="1" applyBorder="1" applyProtection="1">
      <protection hidden="1"/>
    </xf>
    <xf numFmtId="0" fontId="165" fillId="3" borderId="70" xfId="0" applyFont="1" applyFill="1" applyBorder="1" applyAlignment="1" applyProtection="1">
      <alignment horizontal="center"/>
      <protection hidden="1"/>
    </xf>
    <xf numFmtId="0" fontId="0" fillId="3" borderId="8" xfId="0" applyFill="1" applyBorder="1" applyAlignment="1" applyProtection="1">
      <alignment vertical="center"/>
      <protection hidden="1"/>
    </xf>
    <xf numFmtId="0" fontId="10" fillId="3" borderId="8" xfId="0" applyFont="1" applyFill="1" applyBorder="1" applyAlignment="1" applyProtection="1">
      <alignment vertical="center"/>
      <protection hidden="1"/>
    </xf>
    <xf numFmtId="0" fontId="12" fillId="3" borderId="1" xfId="0" applyFont="1" applyFill="1" applyBorder="1" applyAlignment="1" applyProtection="1">
      <alignment vertical="center"/>
      <protection hidden="1"/>
    </xf>
    <xf numFmtId="4" fontId="0" fillId="3" borderId="31" xfId="0" applyNumberFormat="1" applyFill="1" applyBorder="1" applyProtection="1">
      <protection hidden="1"/>
    </xf>
    <xf numFmtId="0" fontId="165" fillId="7" borderId="7" xfId="0" applyFont="1" applyFill="1" applyBorder="1" applyAlignment="1" applyProtection="1">
      <alignment horizontal="right"/>
      <protection hidden="1"/>
    </xf>
    <xf numFmtId="4" fontId="5" fillId="3" borderId="0" xfId="0" applyNumberFormat="1" applyFont="1" applyFill="1" applyProtection="1">
      <protection hidden="1"/>
    </xf>
    <xf numFmtId="3" fontId="5" fillId="3" borderId="3" xfId="0" applyNumberFormat="1" applyFont="1" applyFill="1" applyBorder="1" applyProtection="1">
      <protection hidden="1"/>
    </xf>
    <xf numFmtId="0" fontId="0" fillId="3" borderId="1" xfId="0" applyFill="1" applyBorder="1" applyAlignment="1" applyProtection="1">
      <alignment horizontal="center"/>
      <protection hidden="1"/>
    </xf>
    <xf numFmtId="0" fontId="3" fillId="3" borderId="12" xfId="0" applyFont="1" applyFill="1" applyBorder="1" applyAlignment="1" applyProtection="1">
      <alignment horizontal="right"/>
      <protection hidden="1"/>
    </xf>
    <xf numFmtId="0" fontId="3" fillId="3" borderId="5" xfId="0" applyFont="1" applyFill="1" applyBorder="1" applyAlignment="1" applyProtection="1">
      <alignment horizontal="right"/>
      <protection hidden="1"/>
    </xf>
    <xf numFmtId="0" fontId="165" fillId="3" borderId="8" xfId="0" applyFont="1" applyFill="1" applyBorder="1" applyProtection="1">
      <protection hidden="1"/>
    </xf>
    <xf numFmtId="0" fontId="0" fillId="2" borderId="24" xfId="0" applyFill="1" applyBorder="1"/>
    <xf numFmtId="0" fontId="10" fillId="3" borderId="22" xfId="0" applyFont="1" applyFill="1" applyBorder="1" applyAlignment="1" applyProtection="1">
      <alignment horizontal="center" vertical="center"/>
      <protection hidden="1"/>
    </xf>
    <xf numFmtId="0" fontId="0" fillId="3" borderId="23" xfId="0" applyFill="1" applyBorder="1" applyAlignment="1" applyProtection="1">
      <alignment vertical="center"/>
      <protection hidden="1"/>
    </xf>
    <xf numFmtId="0" fontId="10" fillId="3" borderId="0" xfId="0" applyFont="1" applyFill="1" applyAlignment="1" applyProtection="1">
      <alignment horizontal="center" vertical="center"/>
      <protection hidden="1"/>
    </xf>
    <xf numFmtId="0" fontId="24" fillId="3" borderId="0" xfId="0" applyFont="1" applyFill="1" applyAlignment="1" applyProtection="1">
      <alignment horizontal="left" vertical="center"/>
      <protection hidden="1"/>
    </xf>
    <xf numFmtId="0" fontId="0" fillId="3" borderId="0" xfId="0" applyFill="1" applyAlignment="1" applyProtection="1">
      <alignment vertical="center"/>
      <protection hidden="1"/>
    </xf>
    <xf numFmtId="0" fontId="23" fillId="3" borderId="0" xfId="0" applyFont="1" applyFill="1" applyAlignment="1" applyProtection="1">
      <alignment vertical="center"/>
      <protection hidden="1"/>
    </xf>
    <xf numFmtId="0" fontId="166" fillId="3" borderId="0" xfId="0" applyFont="1" applyFill="1" applyAlignment="1" applyProtection="1">
      <alignment horizontal="center" vertical="center"/>
      <protection hidden="1"/>
    </xf>
    <xf numFmtId="0" fontId="10" fillId="3" borderId="9" xfId="0" applyFont="1" applyFill="1" applyBorder="1" applyProtection="1">
      <protection hidden="1"/>
    </xf>
    <xf numFmtId="0" fontId="8" fillId="3" borderId="9" xfId="0" applyFont="1" applyFill="1" applyBorder="1" applyProtection="1">
      <protection hidden="1"/>
    </xf>
    <xf numFmtId="0" fontId="163" fillId="3" borderId="9" xfId="0" applyFont="1" applyFill="1" applyBorder="1" applyAlignment="1" applyProtection="1">
      <alignment horizontal="right"/>
      <protection hidden="1"/>
    </xf>
    <xf numFmtId="0" fontId="163" fillId="3" borderId="9" xfId="0" applyFont="1" applyFill="1" applyBorder="1" applyProtection="1">
      <protection hidden="1"/>
    </xf>
    <xf numFmtId="0" fontId="165" fillId="0" borderId="0" xfId="0" applyFont="1" applyAlignment="1">
      <alignment horizontal="left"/>
    </xf>
    <xf numFmtId="3" fontId="129" fillId="0" borderId="0" xfId="0" applyNumberFormat="1" applyFont="1"/>
    <xf numFmtId="3" fontId="5" fillId="0" borderId="2" xfId="0" applyNumberFormat="1" applyFont="1" applyBorder="1" applyProtection="1">
      <protection locked="0"/>
    </xf>
    <xf numFmtId="0" fontId="12" fillId="3" borderId="26" xfId="0" applyFont="1" applyFill="1" applyBorder="1" applyAlignment="1" applyProtection="1">
      <alignment vertical="center"/>
      <protection hidden="1"/>
    </xf>
    <xf numFmtId="0" fontId="10" fillId="3" borderId="21" xfId="0" applyFont="1" applyFill="1" applyBorder="1" applyAlignment="1" applyProtection="1">
      <alignment horizontal="left"/>
      <protection hidden="1"/>
    </xf>
    <xf numFmtId="0" fontId="5" fillId="3" borderId="1" xfId="0" applyFont="1" applyFill="1" applyBorder="1" applyAlignment="1" applyProtection="1">
      <alignment horizontal="left"/>
      <protection hidden="1"/>
    </xf>
    <xf numFmtId="3" fontId="129" fillId="3" borderId="3" xfId="0" applyNumberFormat="1" applyFont="1" applyFill="1" applyBorder="1" applyProtection="1">
      <protection locked="0"/>
    </xf>
    <xf numFmtId="0" fontId="141" fillId="3" borderId="0" xfId="0" applyFont="1" applyFill="1" applyAlignment="1" applyProtection="1">
      <alignment vertical="center"/>
      <protection hidden="1"/>
    </xf>
    <xf numFmtId="3" fontId="141" fillId="3" borderId="3" xfId="0" applyNumberFormat="1" applyFont="1" applyFill="1" applyBorder="1" applyAlignment="1" applyProtection="1">
      <alignment horizontal="center"/>
      <protection hidden="1"/>
    </xf>
    <xf numFmtId="0" fontId="148" fillId="16" borderId="0" xfId="0" applyFont="1" applyFill="1" applyAlignment="1">
      <alignment horizontal="center" vertical="center" wrapText="1"/>
    </xf>
    <xf numFmtId="0" fontId="129" fillId="16" borderId="8" xfId="0" applyFont="1" applyFill="1" applyBorder="1" applyAlignment="1" applyProtection="1">
      <alignment horizontal="center" vertical="center"/>
      <protection hidden="1"/>
    </xf>
    <xf numFmtId="168" fontId="0" fillId="16" borderId="0" xfId="0" applyNumberFormat="1" applyFill="1" applyProtection="1">
      <protection hidden="1"/>
    </xf>
    <xf numFmtId="3" fontId="0" fillId="16" borderId="0" xfId="0" applyNumberFormat="1" applyFill="1" applyProtection="1">
      <protection hidden="1"/>
    </xf>
    <xf numFmtId="0" fontId="149" fillId="16" borderId="0" xfId="0" applyFont="1" applyFill="1" applyAlignment="1" applyProtection="1">
      <alignment horizontal="center"/>
      <protection hidden="1"/>
    </xf>
    <xf numFmtId="171" fontId="0" fillId="16" borderId="0" xfId="0" applyNumberFormat="1" applyFill="1" applyAlignment="1" applyProtection="1">
      <alignment horizontal="right"/>
      <protection hidden="1"/>
    </xf>
    <xf numFmtId="0" fontId="5" fillId="16" borderId="6" xfId="0" applyFont="1" applyFill="1" applyBorder="1" applyAlignment="1" applyProtection="1">
      <alignment horizontal="left" indent="1"/>
      <protection hidden="1"/>
    </xf>
    <xf numFmtId="0" fontId="0" fillId="16" borderId="6" xfId="0" applyFill="1" applyBorder="1" applyAlignment="1" applyProtection="1">
      <alignment horizontal="left" indent="1"/>
      <protection hidden="1"/>
    </xf>
    <xf numFmtId="0" fontId="0" fillId="16" borderId="22" xfId="0" applyFill="1" applyBorder="1" applyAlignment="1" applyProtection="1">
      <alignment horizontal="left" indent="1"/>
      <protection hidden="1"/>
    </xf>
    <xf numFmtId="0" fontId="29" fillId="16" borderId="24" xfId="0" applyFont="1" applyFill="1" applyBorder="1" applyAlignment="1" applyProtection="1">
      <alignment horizontal="left" indent="1"/>
      <protection hidden="1"/>
    </xf>
    <xf numFmtId="0" fontId="5" fillId="16" borderId="0" xfId="0" applyFont="1" applyFill="1" applyAlignment="1" applyProtection="1">
      <alignment horizontal="center" wrapText="1"/>
      <protection hidden="1"/>
    </xf>
    <xf numFmtId="3" fontId="5" fillId="16" borderId="0" xfId="0" applyNumberFormat="1" applyFont="1" applyFill="1" applyAlignment="1" applyProtection="1">
      <alignment horizontal="right"/>
      <protection hidden="1"/>
    </xf>
    <xf numFmtId="0" fontId="0" fillId="16" borderId="0" xfId="0" applyFill="1" applyAlignment="1">
      <alignment vertical="top" wrapText="1"/>
    </xf>
    <xf numFmtId="3" fontId="129" fillId="16" borderId="0" xfId="0" applyNumberFormat="1" applyFont="1" applyFill="1" applyProtection="1">
      <protection hidden="1"/>
    </xf>
    <xf numFmtId="177" fontId="0" fillId="16" borderId="0" xfId="0" applyNumberFormat="1" applyFill="1" applyAlignment="1" applyProtection="1">
      <alignment horizontal="right"/>
      <protection hidden="1"/>
    </xf>
    <xf numFmtId="0" fontId="0" fillId="16" borderId="0" xfId="0" applyFill="1" applyAlignment="1" applyProtection="1">
      <alignment horizontal="right"/>
      <protection hidden="1"/>
    </xf>
    <xf numFmtId="0" fontId="141" fillId="16" borderId="0" xfId="0" applyFont="1" applyFill="1" applyAlignment="1" applyProtection="1">
      <alignment vertical="center"/>
      <protection hidden="1"/>
    </xf>
    <xf numFmtId="0" fontId="3" fillId="5" borderId="0" xfId="0" applyFont="1" applyFill="1" applyAlignment="1" applyProtection="1">
      <alignment horizontal="center" vertical="center"/>
      <protection hidden="1"/>
    </xf>
    <xf numFmtId="0" fontId="0" fillId="16" borderId="31" xfId="0" applyFill="1" applyBorder="1"/>
    <xf numFmtId="0" fontId="0" fillId="16" borderId="9" xfId="0" applyFill="1" applyBorder="1"/>
    <xf numFmtId="0" fontId="0" fillId="16" borderId="15" xfId="0" applyFill="1" applyBorder="1"/>
    <xf numFmtId="0" fontId="0" fillId="16" borderId="3" xfId="0" applyFill="1" applyBorder="1"/>
    <xf numFmtId="0" fontId="0" fillId="16" borderId="25" xfId="0" applyFill="1" applyBorder="1"/>
    <xf numFmtId="0" fontId="0" fillId="16" borderId="3" xfId="0" applyFill="1" applyBorder="1" applyAlignment="1">
      <alignment vertical="center"/>
    </xf>
    <xf numFmtId="0" fontId="0" fillId="16" borderId="0" xfId="0" applyFill="1" applyAlignment="1">
      <alignment vertical="center"/>
    </xf>
    <xf numFmtId="0" fontId="0" fillId="16" borderId="10" xfId="0" applyFill="1" applyBorder="1"/>
    <xf numFmtId="0" fontId="0" fillId="16" borderId="1" xfId="0" applyFill="1" applyBorder="1"/>
    <xf numFmtId="0" fontId="0" fillId="16" borderId="12" xfId="0" applyFill="1" applyBorder="1"/>
    <xf numFmtId="0" fontId="39" fillId="0" borderId="0" xfId="0" applyFont="1" applyAlignment="1">
      <alignment vertical="center"/>
    </xf>
    <xf numFmtId="0" fontId="5" fillId="16" borderId="31" xfId="0" applyFont="1" applyFill="1" applyBorder="1"/>
    <xf numFmtId="0" fontId="75" fillId="16" borderId="6" xfId="2" applyFill="1" applyBorder="1" applyAlignment="1" applyProtection="1">
      <alignment horizontal="center"/>
      <protection hidden="1"/>
    </xf>
    <xf numFmtId="0" fontId="0" fillId="16" borderId="0" xfId="0" applyFill="1" applyAlignment="1">
      <alignment horizontal="center"/>
    </xf>
    <xf numFmtId="0" fontId="0" fillId="16" borderId="21" xfId="0" applyFill="1" applyBorder="1" applyAlignment="1">
      <alignment horizontal="center"/>
    </xf>
    <xf numFmtId="0" fontId="3" fillId="16" borderId="9" xfId="0" applyFont="1" applyFill="1" applyBorder="1" applyAlignment="1" applyProtection="1">
      <alignment horizontal="center" vertical="center" wrapText="1"/>
      <protection hidden="1"/>
    </xf>
    <xf numFmtId="0" fontId="5" fillId="16" borderId="0" xfId="0" applyFont="1" applyFill="1" applyAlignment="1" applyProtection="1">
      <alignment horizontal="left" vertical="center" indent="1"/>
      <protection hidden="1"/>
    </xf>
    <xf numFmtId="0" fontId="139" fillId="16" borderId="26" xfId="0" applyFont="1" applyFill="1" applyBorder="1" applyAlignment="1" applyProtection="1">
      <alignment horizontal="right" vertical="center"/>
      <protection hidden="1"/>
    </xf>
    <xf numFmtId="0" fontId="5" fillId="16" borderId="5" xfId="0" applyFont="1" applyFill="1" applyBorder="1" applyProtection="1">
      <protection hidden="1"/>
    </xf>
    <xf numFmtId="0" fontId="12" fillId="16" borderId="26" xfId="0" applyFont="1" applyFill="1" applyBorder="1" applyAlignment="1" applyProtection="1">
      <alignment horizontal="left" vertical="center" indent="1"/>
      <protection hidden="1"/>
    </xf>
    <xf numFmtId="0" fontId="5" fillId="16" borderId="9" xfId="0" applyFont="1" applyFill="1" applyBorder="1" applyProtection="1">
      <protection hidden="1"/>
    </xf>
    <xf numFmtId="0" fontId="5" fillId="16" borderId="1" xfId="0" applyFont="1" applyFill="1" applyBorder="1" applyProtection="1">
      <protection hidden="1"/>
    </xf>
    <xf numFmtId="0" fontId="0" fillId="16" borderId="1" xfId="0" applyFill="1" applyBorder="1" applyAlignment="1" applyProtection="1">
      <alignment horizontal="center" vertical="center" wrapText="1"/>
      <protection hidden="1"/>
    </xf>
    <xf numFmtId="0" fontId="3" fillId="2" borderId="0" xfId="0" applyFont="1" applyFill="1" applyAlignment="1" applyProtection="1">
      <alignment vertical="top"/>
      <protection hidden="1"/>
    </xf>
    <xf numFmtId="0" fontId="0" fillId="16" borderId="5" xfId="0" applyFill="1" applyBorder="1" applyAlignment="1" applyProtection="1">
      <alignment horizontal="center" vertical="center" wrapText="1"/>
      <protection hidden="1"/>
    </xf>
    <xf numFmtId="1" fontId="0" fillId="16" borderId="13" xfId="0" applyNumberFormat="1" applyFill="1" applyBorder="1" applyProtection="1">
      <protection locked="0"/>
    </xf>
    <xf numFmtId="0" fontId="0" fillId="16" borderId="25" xfId="0" applyFill="1" applyBorder="1" applyAlignment="1">
      <alignment horizontal="left" vertical="center" wrapText="1"/>
    </xf>
    <xf numFmtId="0" fontId="0" fillId="16" borderId="15" xfId="0" applyFill="1" applyBorder="1" applyAlignment="1">
      <alignment horizontal="left" vertical="center" wrapText="1"/>
    </xf>
    <xf numFmtId="1" fontId="0" fillId="16" borderId="25" xfId="0" applyNumberFormat="1" applyFill="1" applyBorder="1" applyProtection="1">
      <protection locked="0"/>
    </xf>
    <xf numFmtId="0" fontId="128" fillId="0" borderId="0" xfId="0" applyFont="1" applyProtection="1">
      <protection hidden="1"/>
    </xf>
    <xf numFmtId="3" fontId="5" fillId="0" borderId="0" xfId="0" applyNumberFormat="1" applyFont="1" applyProtection="1">
      <protection locked="0"/>
    </xf>
    <xf numFmtId="49" fontId="5" fillId="16" borderId="3" xfId="0" applyNumberFormat="1" applyFont="1" applyFill="1" applyBorder="1" applyAlignment="1" applyProtection="1">
      <alignment horizontal="right"/>
      <protection hidden="1"/>
    </xf>
    <xf numFmtId="0" fontId="159" fillId="16" borderId="0" xfId="0" applyFont="1" applyFill="1" applyAlignment="1">
      <alignment horizontal="left" vertical="center"/>
    </xf>
    <xf numFmtId="0" fontId="159" fillId="16" borderId="0" xfId="0" applyFont="1" applyFill="1" applyAlignment="1">
      <alignment vertical="center" wrapText="1"/>
    </xf>
    <xf numFmtId="49" fontId="5" fillId="16" borderId="0" xfId="0" applyNumberFormat="1" applyFont="1" applyFill="1" applyAlignment="1" applyProtection="1">
      <alignment horizontal="right"/>
      <protection hidden="1"/>
    </xf>
    <xf numFmtId="37" fontId="0" fillId="16" borderId="1" xfId="0" applyNumberFormat="1" applyFill="1" applyBorder="1" applyProtection="1">
      <protection hidden="1"/>
    </xf>
    <xf numFmtId="0" fontId="129" fillId="16" borderId="25" xfId="0" applyFont="1" applyFill="1" applyBorder="1" applyProtection="1">
      <protection hidden="1"/>
    </xf>
    <xf numFmtId="49" fontId="0" fillId="16" borderId="3" xfId="0" applyNumberFormat="1" applyFill="1" applyBorder="1" applyAlignment="1" applyProtection="1">
      <alignment horizontal="right"/>
      <protection hidden="1"/>
    </xf>
    <xf numFmtId="0" fontId="174" fillId="16" borderId="31" xfId="0" applyFont="1" applyFill="1" applyBorder="1" applyAlignment="1">
      <alignment horizontal="centerContinuous" vertical="center"/>
    </xf>
    <xf numFmtId="0" fontId="174" fillId="16" borderId="9" xfId="0" applyFont="1" applyFill="1" applyBorder="1" applyAlignment="1">
      <alignment horizontal="centerContinuous" vertical="center"/>
    </xf>
    <xf numFmtId="0" fontId="174" fillId="16" borderId="9" xfId="0" applyFont="1" applyFill="1" applyBorder="1" applyAlignment="1">
      <alignment horizontal="centerContinuous" vertical="center" wrapText="1"/>
    </xf>
    <xf numFmtId="0" fontId="3" fillId="16" borderId="9" xfId="0" applyFont="1" applyFill="1" applyBorder="1" applyAlignment="1" applyProtection="1">
      <alignment horizontal="centerContinuous"/>
      <protection hidden="1"/>
    </xf>
    <xf numFmtId="0" fontId="0" fillId="16" borderId="9" xfId="0" applyFill="1" applyBorder="1" applyAlignment="1" applyProtection="1">
      <alignment horizontal="centerContinuous"/>
      <protection hidden="1"/>
    </xf>
    <xf numFmtId="0" fontId="0" fillId="16" borderId="15" xfId="0" applyFill="1" applyBorder="1" applyAlignment="1" applyProtection="1">
      <alignment horizontal="centerContinuous"/>
      <protection hidden="1"/>
    </xf>
    <xf numFmtId="0" fontId="174" fillId="16" borderId="0" xfId="0" applyFont="1" applyFill="1" applyAlignment="1">
      <alignment vertical="center" wrapText="1"/>
    </xf>
    <xf numFmtId="0" fontId="175" fillId="0" borderId="0" xfId="0" applyFont="1" applyAlignment="1">
      <alignment vertical="center" wrapText="1"/>
    </xf>
    <xf numFmtId="0" fontId="0" fillId="0" borderId="0" xfId="0" applyAlignment="1" applyProtection="1">
      <alignment horizontal="right"/>
      <protection hidden="1"/>
    </xf>
    <xf numFmtId="0" fontId="25" fillId="2" borderId="0" xfId="0" applyFont="1" applyFill="1" applyAlignment="1" applyProtection="1">
      <alignment horizontal="center" vertical="center"/>
      <protection hidden="1"/>
    </xf>
    <xf numFmtId="0" fontId="57" fillId="2" borderId="0" xfId="0" applyFont="1" applyFill="1" applyAlignment="1" applyProtection="1">
      <alignment horizontal="center" vertical="center"/>
      <protection hidden="1"/>
    </xf>
    <xf numFmtId="0" fontId="89" fillId="2" borderId="0" xfId="0" applyFont="1" applyFill="1" applyAlignment="1" applyProtection="1">
      <alignment horizontal="left" vertical="center"/>
      <protection hidden="1"/>
    </xf>
    <xf numFmtId="0" fontId="12" fillId="2" borderId="0" xfId="0" applyFont="1" applyFill="1" applyAlignment="1" applyProtection="1">
      <alignment horizontal="left"/>
      <protection hidden="1"/>
    </xf>
    <xf numFmtId="0" fontId="97" fillId="2" borderId="0" xfId="0" applyFont="1" applyFill="1" applyProtection="1">
      <protection hidden="1"/>
    </xf>
    <xf numFmtId="0" fontId="57" fillId="2" borderId="0" xfId="0" applyFont="1" applyFill="1" applyAlignment="1" applyProtection="1">
      <alignment horizontal="right"/>
      <protection hidden="1"/>
    </xf>
    <xf numFmtId="0" fontId="3" fillId="2" borderId="0" xfId="0" applyFont="1" applyFill="1" applyAlignment="1" applyProtection="1">
      <alignment horizontal="center"/>
      <protection locked="0"/>
    </xf>
    <xf numFmtId="0" fontId="0" fillId="2" borderId="0" xfId="0" quotePrefix="1" applyFill="1" applyAlignment="1" applyProtection="1">
      <alignment horizontal="right"/>
      <protection hidden="1"/>
    </xf>
    <xf numFmtId="0" fontId="89" fillId="2" borderId="0" xfId="0" applyFont="1" applyFill="1" applyAlignment="1" applyProtection="1">
      <alignment horizontal="center"/>
      <protection hidden="1"/>
    </xf>
    <xf numFmtId="0" fontId="3" fillId="2" borderId="65" xfId="0" applyFont="1" applyFill="1" applyBorder="1" applyAlignment="1" applyProtection="1">
      <alignment horizontal="center"/>
      <protection hidden="1"/>
    </xf>
    <xf numFmtId="0" fontId="0" fillId="2" borderId="65" xfId="0" applyFill="1" applyBorder="1" applyProtection="1">
      <protection hidden="1"/>
    </xf>
    <xf numFmtId="0" fontId="25" fillId="2" borderId="65" xfId="0" applyFont="1" applyFill="1" applyBorder="1" applyProtection="1">
      <protection hidden="1"/>
    </xf>
    <xf numFmtId="3" fontId="3" fillId="2" borderId="1" xfId="0" applyNumberFormat="1" applyFont="1" applyFill="1" applyBorder="1" applyProtection="1">
      <protection locked="0"/>
    </xf>
    <xf numFmtId="3" fontId="3" fillId="2" borderId="1" xfId="0" applyNumberFormat="1" applyFont="1" applyFill="1" applyBorder="1" applyProtection="1">
      <protection hidden="1"/>
    </xf>
    <xf numFmtId="0" fontId="89" fillId="2" borderId="0" xfId="0" applyFont="1" applyFill="1" applyProtection="1">
      <protection hidden="1"/>
    </xf>
    <xf numFmtId="0" fontId="4" fillId="2" borderId="0" xfId="0" applyFont="1" applyFill="1" applyProtection="1">
      <protection hidden="1"/>
    </xf>
    <xf numFmtId="0" fontId="176" fillId="2" borderId="0" xfId="0" applyFont="1" applyFill="1" applyProtection="1">
      <protection hidden="1"/>
    </xf>
    <xf numFmtId="0" fontId="5" fillId="2" borderId="0" xfId="0" quotePrefix="1" applyFont="1" applyFill="1" applyAlignment="1" applyProtection="1">
      <alignment horizontal="right"/>
      <protection hidden="1"/>
    </xf>
    <xf numFmtId="0" fontId="57" fillId="2" borderId="0" xfId="0" applyFont="1" applyFill="1" applyAlignment="1" applyProtection="1">
      <alignment horizontal="center"/>
      <protection hidden="1"/>
    </xf>
    <xf numFmtId="0" fontId="89" fillId="2" borderId="0" xfId="0" applyFont="1" applyFill="1" applyAlignment="1" applyProtection="1">
      <alignment horizontal="center" vertical="center"/>
      <protection hidden="1"/>
    </xf>
    <xf numFmtId="0" fontId="143" fillId="32" borderId="0" xfId="0" applyFont="1" applyFill="1" applyAlignment="1" applyProtection="1">
      <alignment horizontal="center"/>
      <protection hidden="1"/>
    </xf>
    <xf numFmtId="0" fontId="12" fillId="2" borderId="0" xfId="0" applyFont="1" applyFill="1" applyAlignment="1" applyProtection="1">
      <alignment horizontal="left" indent="1"/>
      <protection hidden="1"/>
    </xf>
    <xf numFmtId="1" fontId="36" fillId="2" borderId="2" xfId="0" applyNumberFormat="1" applyFont="1" applyFill="1" applyBorder="1" applyProtection="1">
      <protection locked="0"/>
    </xf>
    <xf numFmtId="3" fontId="5" fillId="16" borderId="24" xfId="0" applyNumberFormat="1" applyFont="1" applyFill="1" applyBorder="1" applyAlignment="1" applyProtection="1">
      <alignment horizontal="right"/>
      <protection hidden="1"/>
    </xf>
    <xf numFmtId="3" fontId="5" fillId="16" borderId="6" xfId="0" applyNumberFormat="1" applyFont="1" applyFill="1" applyBorder="1" applyAlignment="1" applyProtection="1">
      <alignment horizontal="right"/>
      <protection hidden="1"/>
    </xf>
    <xf numFmtId="0" fontId="5" fillId="16" borderId="27" xfId="0" applyFont="1" applyFill="1" applyBorder="1" applyAlignment="1" applyProtection="1">
      <alignment horizontal="center"/>
      <protection hidden="1"/>
    </xf>
    <xf numFmtId="0" fontId="5" fillId="16" borderId="30" xfId="0" applyFont="1" applyFill="1" applyBorder="1" applyAlignment="1" applyProtection="1">
      <alignment horizontal="center"/>
      <protection hidden="1"/>
    </xf>
    <xf numFmtId="0" fontId="5" fillId="16" borderId="21" xfId="0" applyFont="1" applyFill="1" applyBorder="1" applyAlignment="1" applyProtection="1">
      <alignment horizontal="center"/>
      <protection hidden="1"/>
    </xf>
    <xf numFmtId="0" fontId="5" fillId="16" borderId="6" xfId="0" applyFont="1" applyFill="1" applyBorder="1" applyAlignment="1" applyProtection="1">
      <alignment horizontal="right"/>
      <protection hidden="1"/>
    </xf>
    <xf numFmtId="0" fontId="5" fillId="16" borderId="47" xfId="0" applyFont="1" applyFill="1" applyBorder="1" applyAlignment="1" applyProtection="1">
      <alignment horizontal="right"/>
      <protection hidden="1"/>
    </xf>
    <xf numFmtId="0" fontId="5" fillId="16" borderId="59" xfId="0" applyFont="1" applyFill="1" applyBorder="1" applyAlignment="1" applyProtection="1">
      <alignment horizontal="right"/>
      <protection hidden="1"/>
    </xf>
    <xf numFmtId="0" fontId="5" fillId="16" borderId="55" xfId="0" applyFont="1" applyFill="1" applyBorder="1" applyAlignment="1" applyProtection="1">
      <alignment horizontal="right"/>
      <protection hidden="1"/>
    </xf>
    <xf numFmtId="3" fontId="5" fillId="16" borderId="60" xfId="0" applyNumberFormat="1" applyFont="1" applyFill="1" applyBorder="1" applyAlignment="1" applyProtection="1">
      <alignment horizontal="right"/>
      <protection hidden="1"/>
    </xf>
    <xf numFmtId="0" fontId="5" fillId="16" borderId="112" xfId="0" applyFont="1" applyFill="1" applyBorder="1" applyAlignment="1" applyProtection="1">
      <alignment horizontal="right"/>
      <protection hidden="1"/>
    </xf>
    <xf numFmtId="0" fontId="5" fillId="16" borderId="113" xfId="0" applyFont="1" applyFill="1" applyBorder="1" applyAlignment="1" applyProtection="1">
      <alignment horizontal="right"/>
      <protection hidden="1"/>
    </xf>
    <xf numFmtId="0" fontId="5" fillId="16" borderId="32" xfId="0" applyFont="1" applyFill="1" applyBorder="1" applyAlignment="1" applyProtection="1">
      <alignment horizontal="right"/>
      <protection hidden="1"/>
    </xf>
    <xf numFmtId="0" fontId="12" fillId="2" borderId="0" xfId="0" quotePrefix="1" applyFont="1" applyFill="1" applyAlignment="1" applyProtection="1">
      <alignment horizontal="left"/>
      <protection hidden="1"/>
    </xf>
    <xf numFmtId="0" fontId="141" fillId="2" borderId="0" xfId="0" applyFont="1" applyFill="1" applyProtection="1">
      <protection hidden="1"/>
    </xf>
    <xf numFmtId="0" fontId="5" fillId="2" borderId="0" xfId="0" applyFont="1" applyFill="1" applyAlignment="1" applyProtection="1">
      <alignment horizontal="center"/>
      <protection hidden="1"/>
    </xf>
    <xf numFmtId="0" fontId="7" fillId="16" borderId="9" xfId="0" applyFont="1" applyFill="1" applyBorder="1" applyAlignment="1" applyProtection="1">
      <alignment horizontal="center" vertical="center"/>
      <protection hidden="1"/>
    </xf>
    <xf numFmtId="0" fontId="3" fillId="2" borderId="0" xfId="0" quotePrefix="1" applyFont="1" applyFill="1" applyAlignment="1" applyProtection="1">
      <alignment horizontal="left"/>
      <protection hidden="1"/>
    </xf>
    <xf numFmtId="0" fontId="0" fillId="16" borderId="75" xfId="0" applyFill="1" applyBorder="1" applyProtection="1">
      <protection hidden="1"/>
    </xf>
    <xf numFmtId="0" fontId="12" fillId="16" borderId="75" xfId="0" applyFont="1" applyFill="1" applyBorder="1" applyAlignment="1" applyProtection="1">
      <alignment horizontal="center"/>
      <protection hidden="1"/>
    </xf>
    <xf numFmtId="0" fontId="7" fillId="16" borderId="0" xfId="0" applyFont="1" applyFill="1" applyAlignment="1" applyProtection="1">
      <alignment horizontal="center" vertical="center"/>
      <protection hidden="1"/>
    </xf>
    <xf numFmtId="0" fontId="7" fillId="16" borderId="1" xfId="0" applyFont="1" applyFill="1" applyBorder="1" applyAlignment="1" applyProtection="1">
      <alignment horizontal="center" vertical="center"/>
      <protection hidden="1"/>
    </xf>
    <xf numFmtId="0" fontId="12" fillId="16" borderId="0" xfId="0" applyFont="1" applyFill="1" applyAlignment="1" applyProtection="1">
      <alignment horizontal="left" vertical="center" indent="1"/>
      <protection hidden="1"/>
    </xf>
    <xf numFmtId="0" fontId="177" fillId="16" borderId="0" xfId="0" applyFont="1" applyFill="1" applyProtection="1">
      <protection hidden="1"/>
    </xf>
    <xf numFmtId="0" fontId="177" fillId="16" borderId="0" xfId="0" applyFont="1" applyFill="1" applyAlignment="1" applyProtection="1">
      <alignment horizontal="center" wrapText="1"/>
      <protection hidden="1"/>
    </xf>
    <xf numFmtId="0" fontId="177" fillId="16" borderId="0" xfId="0" applyFont="1" applyFill="1" applyAlignment="1" applyProtection="1">
      <alignment horizontal="left" vertical="center" wrapText="1"/>
      <protection hidden="1"/>
    </xf>
    <xf numFmtId="0" fontId="177" fillId="16" borderId="0" xfId="0" applyFont="1" applyFill="1" applyAlignment="1">
      <alignment horizontal="left" vertical="center" wrapText="1"/>
    </xf>
    <xf numFmtId="3" fontId="177" fillId="16" borderId="0" xfId="0" applyNumberFormat="1" applyFont="1" applyFill="1" applyProtection="1">
      <protection locked="0"/>
    </xf>
    <xf numFmtId="3" fontId="177" fillId="16" borderId="0" xfId="0" applyNumberFormat="1" applyFont="1" applyFill="1" applyProtection="1">
      <protection hidden="1"/>
    </xf>
    <xf numFmtId="0" fontId="178" fillId="16" borderId="0" xfId="0" quotePrefix="1" applyFont="1" applyFill="1" applyAlignment="1" applyProtection="1">
      <alignment horizontal="right"/>
      <protection hidden="1"/>
    </xf>
    <xf numFmtId="0" fontId="179" fillId="16" borderId="0" xfId="0" applyFont="1" applyFill="1" applyProtection="1">
      <protection hidden="1"/>
    </xf>
    <xf numFmtId="177" fontId="177" fillId="16" borderId="0" xfId="0" applyNumberFormat="1" applyFont="1" applyFill="1" applyAlignment="1" applyProtection="1">
      <alignment horizontal="right"/>
      <protection hidden="1"/>
    </xf>
    <xf numFmtId="0" fontId="177" fillId="16" borderId="0" xfId="0" applyFont="1" applyFill="1" applyAlignment="1" applyProtection="1">
      <alignment horizontal="right"/>
      <protection hidden="1"/>
    </xf>
    <xf numFmtId="0" fontId="179" fillId="16" borderId="0" xfId="0" applyFont="1" applyFill="1" applyAlignment="1" applyProtection="1">
      <alignment vertical="top"/>
      <protection hidden="1"/>
    </xf>
    <xf numFmtId="1" fontId="177" fillId="16" borderId="0" xfId="0" applyNumberFormat="1" applyFont="1" applyFill="1" applyProtection="1">
      <protection locked="0"/>
    </xf>
    <xf numFmtId="0" fontId="180" fillId="16" borderId="0" xfId="0" applyFont="1" applyFill="1" applyAlignment="1" applyProtection="1">
      <alignment horizontal="left" vertical="center" wrapText="1"/>
      <protection hidden="1"/>
    </xf>
    <xf numFmtId="0" fontId="177" fillId="16" borderId="0" xfId="0" applyFont="1" applyFill="1" applyAlignment="1" applyProtection="1">
      <alignment horizontal="center"/>
      <protection hidden="1"/>
    </xf>
    <xf numFmtId="0" fontId="181" fillId="16" borderId="0" xfId="0" applyFont="1" applyFill="1" applyAlignment="1">
      <alignment vertical="center" wrapText="1"/>
    </xf>
    <xf numFmtId="181" fontId="177" fillId="16" borderId="0" xfId="0" applyNumberFormat="1" applyFont="1" applyFill="1" applyAlignment="1" applyProtection="1">
      <alignment horizontal="right"/>
      <protection hidden="1"/>
    </xf>
    <xf numFmtId="0" fontId="179" fillId="16" borderId="0" xfId="0" applyFont="1" applyFill="1" applyAlignment="1" applyProtection="1">
      <alignment horizontal="center"/>
      <protection hidden="1"/>
    </xf>
    <xf numFmtId="3" fontId="177" fillId="16" borderId="0" xfId="0" applyNumberFormat="1" applyFont="1" applyFill="1" applyAlignment="1" applyProtection="1">
      <alignment horizontal="center"/>
      <protection hidden="1"/>
    </xf>
    <xf numFmtId="0" fontId="182" fillId="16" borderId="0" xfId="0" applyFont="1" applyFill="1" applyAlignment="1">
      <alignment horizontal="center" vertical="center"/>
    </xf>
    <xf numFmtId="0" fontId="178" fillId="16" borderId="0" xfId="0" applyFont="1" applyFill="1" applyAlignment="1" applyProtection="1">
      <alignment horizontal="center"/>
      <protection hidden="1"/>
    </xf>
    <xf numFmtId="49" fontId="177" fillId="16" borderId="0" xfId="0" applyNumberFormat="1" applyFont="1" applyFill="1" applyAlignment="1" applyProtection="1">
      <alignment horizontal="right"/>
      <protection hidden="1"/>
    </xf>
    <xf numFmtId="0" fontId="181" fillId="16" borderId="0" xfId="0" applyFont="1" applyFill="1" applyAlignment="1">
      <alignment horizontal="left" vertical="center"/>
    </xf>
    <xf numFmtId="0" fontId="182" fillId="16" borderId="0" xfId="0" applyFont="1" applyFill="1" applyAlignment="1">
      <alignment vertical="center" wrapText="1"/>
    </xf>
    <xf numFmtId="0" fontId="181" fillId="16" borderId="0" xfId="0" applyFont="1" applyFill="1" applyAlignment="1">
      <alignment horizontal="left" wrapText="1"/>
    </xf>
    <xf numFmtId="0" fontId="177" fillId="16" borderId="0" xfId="0" applyFont="1" applyFill="1" applyAlignment="1">
      <alignment horizontal="left" wrapText="1"/>
    </xf>
    <xf numFmtId="0" fontId="181" fillId="16" borderId="0" xfId="0" applyFont="1" applyFill="1" applyAlignment="1">
      <alignment horizontal="left" vertical="top" wrapText="1"/>
    </xf>
    <xf numFmtId="0" fontId="177" fillId="16" borderId="0" xfId="0" applyFont="1" applyFill="1" applyAlignment="1">
      <alignment horizontal="left" vertical="top" wrapText="1"/>
    </xf>
    <xf numFmtId="0" fontId="181" fillId="16" borderId="0" xfId="0" applyFont="1" applyFill="1" applyAlignment="1">
      <alignment horizontal="center" vertical="center" wrapText="1"/>
    </xf>
    <xf numFmtId="3" fontId="181" fillId="16" borderId="0" xfId="0" applyNumberFormat="1" applyFont="1" applyFill="1" applyAlignment="1">
      <alignment vertical="center" wrapText="1"/>
    </xf>
    <xf numFmtId="3" fontId="181" fillId="16" borderId="0" xfId="0" quotePrefix="1" applyNumberFormat="1" applyFont="1" applyFill="1" applyAlignment="1">
      <alignment horizontal="center" vertical="center" wrapText="1"/>
    </xf>
    <xf numFmtId="0" fontId="18" fillId="16" borderId="0" xfId="0" quotePrefix="1" applyFont="1" applyFill="1" applyAlignment="1" applyProtection="1">
      <alignment horizontal="right" vertical="center"/>
      <protection hidden="1"/>
    </xf>
    <xf numFmtId="0" fontId="18" fillId="16" borderId="0" xfId="0" quotePrefix="1" applyFont="1" applyFill="1" applyAlignment="1" applyProtection="1">
      <alignment horizontal="left" vertical="center"/>
      <protection hidden="1"/>
    </xf>
    <xf numFmtId="0" fontId="0" fillId="16" borderId="0" xfId="0" applyFill="1" applyAlignment="1" applyProtection="1">
      <alignment horizontal="centerContinuous"/>
      <protection hidden="1"/>
    </xf>
    <xf numFmtId="0" fontId="12" fillId="16" borderId="0" xfId="0" applyFont="1" applyFill="1" applyAlignment="1" applyProtection="1">
      <alignment horizontal="centerContinuous"/>
      <protection hidden="1"/>
    </xf>
    <xf numFmtId="0" fontId="12" fillId="16" borderId="0" xfId="0" applyFont="1" applyFill="1" applyAlignment="1" applyProtection="1">
      <alignment horizontal="right"/>
      <protection hidden="1"/>
    </xf>
    <xf numFmtId="0" fontId="3" fillId="16" borderId="0" xfId="0" applyFont="1" applyFill="1" applyAlignment="1" applyProtection="1">
      <alignment horizontal="center"/>
      <protection locked="0"/>
    </xf>
    <xf numFmtId="0" fontId="0" fillId="16" borderId="14" xfId="0" applyFill="1" applyBorder="1" applyAlignment="1" applyProtection="1">
      <alignment horizontal="right"/>
      <protection hidden="1"/>
    </xf>
    <xf numFmtId="0" fontId="23" fillId="16" borderId="14" xfId="0" applyFont="1" applyFill="1" applyBorder="1" applyAlignment="1" applyProtection="1">
      <alignment horizontal="left"/>
      <protection hidden="1"/>
    </xf>
    <xf numFmtId="0" fontId="5" fillId="16" borderId="0" xfId="0" applyFont="1" applyFill="1" applyAlignment="1" applyProtection="1">
      <alignment horizontal="left" indent="1"/>
      <protection hidden="1"/>
    </xf>
    <xf numFmtId="0" fontId="0" fillId="16" borderId="0" xfId="0" applyFill="1" applyAlignment="1" applyProtection="1">
      <alignment horizontal="left" indent="1"/>
      <protection hidden="1"/>
    </xf>
    <xf numFmtId="0" fontId="121" fillId="5" borderId="0" xfId="0" applyFont="1" applyFill="1" applyAlignment="1" applyProtection="1">
      <alignment horizontal="center" vertical="top"/>
      <protection hidden="1"/>
    </xf>
    <xf numFmtId="0" fontId="0" fillId="16" borderId="1" xfId="0" applyFill="1" applyBorder="1" applyAlignment="1" applyProtection="1">
      <alignment vertical="top"/>
      <protection hidden="1"/>
    </xf>
    <xf numFmtId="0" fontId="177" fillId="16" borderId="0" xfId="0" applyFont="1" applyFill="1" applyAlignment="1" applyProtection="1">
      <alignment vertical="top"/>
      <protection hidden="1"/>
    </xf>
    <xf numFmtId="0" fontId="181" fillId="16" borderId="0" xfId="0" applyFont="1" applyFill="1" applyAlignment="1">
      <alignment vertical="top" wrapText="1"/>
    </xf>
    <xf numFmtId="0" fontId="3" fillId="16" borderId="1" xfId="0" applyFont="1" applyFill="1" applyBorder="1" applyAlignment="1" applyProtection="1">
      <alignment vertical="top"/>
      <protection hidden="1"/>
    </xf>
    <xf numFmtId="0" fontId="3" fillId="16" borderId="0" xfId="0" applyFont="1" applyFill="1" applyAlignment="1" applyProtection="1">
      <alignment horizontal="center"/>
      <protection hidden="1"/>
    </xf>
    <xf numFmtId="0" fontId="0" fillId="20" borderId="31" xfId="0" applyFill="1" applyBorder="1" applyProtection="1">
      <protection hidden="1"/>
    </xf>
    <xf numFmtId="0" fontId="0" fillId="20" borderId="15" xfId="0" applyFill="1" applyBorder="1" applyProtection="1">
      <protection hidden="1"/>
    </xf>
    <xf numFmtId="0" fontId="0" fillId="20" borderId="3" xfId="0" applyFill="1" applyBorder="1" applyProtection="1">
      <protection hidden="1"/>
    </xf>
    <xf numFmtId="0" fontId="0" fillId="20" borderId="25" xfId="0" applyFill="1" applyBorder="1" applyProtection="1">
      <protection hidden="1"/>
    </xf>
    <xf numFmtId="0" fontId="0" fillId="16" borderId="17" xfId="0" applyFill="1" applyBorder="1" applyAlignment="1" applyProtection="1">
      <alignment horizontal="right"/>
      <protection hidden="1"/>
    </xf>
    <xf numFmtId="0" fontId="0" fillId="16" borderId="0" xfId="0" applyFill="1" applyAlignment="1" applyProtection="1">
      <alignment vertical="center"/>
      <protection hidden="1"/>
    </xf>
    <xf numFmtId="0" fontId="141" fillId="16" borderId="0" xfId="0" applyFont="1" applyFill="1" applyAlignment="1" applyProtection="1">
      <alignment horizontal="right"/>
      <protection hidden="1"/>
    </xf>
    <xf numFmtId="3" fontId="3" fillId="16" borderId="1" xfId="0" applyNumberFormat="1" applyFont="1" applyFill="1" applyBorder="1" applyAlignment="1" applyProtection="1">
      <alignment horizontal="right" indent="1"/>
      <protection hidden="1"/>
    </xf>
    <xf numFmtId="3" fontId="3" fillId="16" borderId="1" xfId="0" applyNumberFormat="1" applyFont="1" applyFill="1" applyBorder="1" applyAlignment="1" applyProtection="1">
      <alignment horizontal="center"/>
      <protection hidden="1"/>
    </xf>
    <xf numFmtId="0" fontId="41" fillId="16" borderId="0" xfId="0" applyFont="1" applyFill="1" applyAlignment="1" applyProtection="1">
      <alignment horizontal="center"/>
      <protection hidden="1"/>
    </xf>
    <xf numFmtId="4" fontId="3" fillId="3" borderId="18" xfId="0" applyNumberFormat="1" applyFont="1" applyFill="1" applyBorder="1" applyAlignment="1" applyProtection="1">
      <alignment horizontal="right"/>
      <protection hidden="1"/>
    </xf>
    <xf numFmtId="3" fontId="0" fillId="0" borderId="2" xfId="0" applyNumberFormat="1" applyBorder="1" applyProtection="1">
      <protection locked="0"/>
    </xf>
    <xf numFmtId="0" fontId="177" fillId="16" borderId="2" xfId="0" applyFont="1" applyFill="1" applyBorder="1" applyProtection="1">
      <protection locked="0"/>
    </xf>
    <xf numFmtId="0" fontId="177" fillId="16" borderId="2" xfId="0" applyFont="1" applyFill="1" applyBorder="1" applyAlignment="1" applyProtection="1">
      <alignment horizontal="center"/>
      <protection locked="0"/>
    </xf>
    <xf numFmtId="0" fontId="7" fillId="3" borderId="0" xfId="0" applyFont="1" applyFill="1" applyAlignment="1" applyProtection="1">
      <alignment horizontal="left" indent="1"/>
      <protection hidden="1"/>
    </xf>
    <xf numFmtId="0" fontId="129" fillId="2" borderId="0" xfId="0" applyFont="1" applyFill="1"/>
    <xf numFmtId="38" fontId="7" fillId="17" borderId="1" xfId="0" applyNumberFormat="1" applyFont="1" applyFill="1" applyBorder="1" applyAlignment="1" applyProtection="1">
      <alignment horizontal="right"/>
      <protection locked="0"/>
    </xf>
    <xf numFmtId="40" fontId="131" fillId="2" borderId="0" xfId="0" applyNumberFormat="1" applyFont="1" applyFill="1" applyProtection="1">
      <protection hidden="1"/>
    </xf>
    <xf numFmtId="0" fontId="64" fillId="2" borderId="25" xfId="0" applyFont="1" applyFill="1" applyBorder="1" applyAlignment="1" applyProtection="1">
      <alignment vertical="center"/>
      <protection hidden="1"/>
    </xf>
    <xf numFmtId="40" fontId="183" fillId="2" borderId="0" xfId="0" applyNumberFormat="1" applyFont="1" applyFill="1" applyAlignment="1" applyProtection="1">
      <alignment horizontal="right"/>
      <protection hidden="1"/>
    </xf>
    <xf numFmtId="40" fontId="129" fillId="2" borderId="0" xfId="0" applyNumberFormat="1" applyFont="1" applyFill="1" applyAlignment="1" applyProtection="1">
      <alignment horizontal="left"/>
      <protection hidden="1"/>
    </xf>
    <xf numFmtId="0" fontId="185" fillId="2" borderId="0" xfId="0" applyFont="1" applyFill="1" applyAlignment="1" applyProtection="1">
      <alignment horizontal="center"/>
      <protection hidden="1"/>
    </xf>
    <xf numFmtId="0" fontId="186" fillId="2" borderId="0" xfId="0" applyFont="1" applyFill="1" applyAlignment="1" applyProtection="1">
      <alignment horizontal="center"/>
      <protection hidden="1"/>
    </xf>
    <xf numFmtId="0" fontId="184" fillId="2" borderId="0" xfId="0" applyFont="1" applyFill="1" applyAlignment="1" applyProtection="1">
      <alignment horizontal="left" indent="1"/>
      <protection hidden="1"/>
    </xf>
    <xf numFmtId="37" fontId="0" fillId="17" borderId="1" xfId="0" applyNumberFormat="1" applyFill="1" applyBorder="1" applyProtection="1">
      <protection locked="0"/>
    </xf>
    <xf numFmtId="0" fontId="156" fillId="0" borderId="0" xfId="0" applyFont="1" applyProtection="1">
      <protection hidden="1"/>
    </xf>
    <xf numFmtId="3" fontId="156" fillId="0" borderId="0" xfId="0" applyNumberFormat="1" applyFont="1" applyProtection="1">
      <protection hidden="1"/>
    </xf>
    <xf numFmtId="3" fontId="155" fillId="0" borderId="0" xfId="0" applyNumberFormat="1" applyFont="1" applyProtection="1">
      <protection hidden="1"/>
    </xf>
    <xf numFmtId="0" fontId="5" fillId="0" borderId="0" xfId="0" applyFont="1" applyAlignment="1" applyProtection="1">
      <alignment horizontal="left"/>
      <protection hidden="1"/>
    </xf>
    <xf numFmtId="3" fontId="177" fillId="16" borderId="2" xfId="0" applyNumberFormat="1" applyFont="1" applyFill="1" applyBorder="1" applyProtection="1">
      <protection locked="0"/>
    </xf>
    <xf numFmtId="3" fontId="8" fillId="28" borderId="1" xfId="0" applyNumberFormat="1" applyFont="1" applyFill="1" applyBorder="1" applyProtection="1">
      <protection hidden="1"/>
    </xf>
    <xf numFmtId="3" fontId="8" fillId="17" borderId="1" xfId="0" applyNumberFormat="1" applyFont="1" applyFill="1" applyBorder="1" applyProtection="1">
      <protection locked="0"/>
    </xf>
    <xf numFmtId="0" fontId="7" fillId="16" borderId="0" xfId="0" applyFont="1" applyFill="1" applyAlignment="1" applyProtection="1">
      <alignment horizontal="left"/>
      <protection hidden="1"/>
    </xf>
    <xf numFmtId="0" fontId="188" fillId="5" borderId="0" xfId="0" applyFont="1" applyFill="1" applyProtection="1">
      <protection hidden="1"/>
    </xf>
    <xf numFmtId="37" fontId="135" fillId="3" borderId="3" xfId="0" applyNumberFormat="1" applyFont="1" applyFill="1" applyBorder="1" applyAlignment="1" applyProtection="1">
      <alignment horizontal="right"/>
      <protection hidden="1"/>
    </xf>
    <xf numFmtId="0" fontId="3" fillId="28" borderId="2" xfId="0" applyFont="1" applyFill="1" applyBorder="1" applyAlignment="1" applyProtection="1">
      <alignment horizontal="center" vertical="center"/>
      <protection hidden="1"/>
    </xf>
    <xf numFmtId="0" fontId="26" fillId="2" borderId="0" xfId="0" applyFont="1" applyFill="1" applyAlignment="1" applyProtection="1">
      <alignment horizontal="right"/>
      <protection hidden="1"/>
    </xf>
    <xf numFmtId="0" fontId="6" fillId="2" borderId="22" xfId="0" quotePrefix="1" applyFont="1" applyFill="1" applyBorder="1" applyAlignment="1" applyProtection="1">
      <alignment horizontal="right"/>
      <protection hidden="1"/>
    </xf>
    <xf numFmtId="0" fontId="152" fillId="2" borderId="5" xfId="0" quotePrefix="1" applyFont="1" applyFill="1" applyBorder="1" applyAlignment="1" applyProtection="1">
      <alignment horizontal="left"/>
      <protection hidden="1"/>
    </xf>
    <xf numFmtId="37" fontId="25" fillId="2" borderId="5" xfId="0" applyNumberFormat="1" applyFont="1" applyFill="1" applyBorder="1" applyProtection="1">
      <protection hidden="1"/>
    </xf>
    <xf numFmtId="3" fontId="21" fillId="26" borderId="1" xfId="0" applyNumberFormat="1" applyFont="1" applyFill="1" applyBorder="1" applyAlignment="1" applyProtection="1">
      <alignment horizontal="right"/>
      <protection hidden="1"/>
    </xf>
    <xf numFmtId="0" fontId="6" fillId="26" borderId="13" xfId="0" quotePrefix="1" applyFont="1" applyFill="1" applyBorder="1" applyAlignment="1" applyProtection="1">
      <alignment horizontal="center"/>
      <protection hidden="1"/>
    </xf>
    <xf numFmtId="0" fontId="28" fillId="2" borderId="1" xfId="0" applyFont="1" applyFill="1" applyBorder="1" applyAlignment="1" applyProtection="1">
      <alignment horizontal="center" vertical="center"/>
      <protection hidden="1"/>
    </xf>
    <xf numFmtId="0" fontId="28" fillId="2" borderId="1" xfId="0" applyFont="1" applyFill="1" applyBorder="1" applyProtection="1">
      <protection hidden="1"/>
    </xf>
    <xf numFmtId="0" fontId="75" fillId="2" borderId="0" xfId="2" applyFill="1" applyAlignment="1" applyProtection="1">
      <protection hidden="1"/>
    </xf>
    <xf numFmtId="0" fontId="104" fillId="2" borderId="6" xfId="0" applyFont="1" applyFill="1" applyBorder="1" applyAlignment="1" applyProtection="1">
      <alignment horizontal="right"/>
      <protection hidden="1"/>
    </xf>
    <xf numFmtId="0" fontId="60" fillId="2" borderId="27" xfId="0" applyFont="1" applyFill="1" applyBorder="1" applyProtection="1">
      <protection hidden="1"/>
    </xf>
    <xf numFmtId="0" fontId="6" fillId="2" borderId="1" xfId="0" applyFont="1" applyFill="1" applyBorder="1" applyProtection="1">
      <protection hidden="1"/>
    </xf>
    <xf numFmtId="37" fontId="21" fillId="2" borderId="1" xfId="0" applyNumberFormat="1" applyFont="1" applyFill="1" applyBorder="1" applyProtection="1">
      <protection hidden="1"/>
    </xf>
    <xf numFmtId="37" fontId="120" fillId="2" borderId="1" xfId="0" applyNumberFormat="1" applyFont="1" applyFill="1" applyBorder="1" applyAlignment="1" applyProtection="1">
      <alignment horizontal="right"/>
      <protection hidden="1"/>
    </xf>
    <xf numFmtId="3" fontId="120" fillId="2" borderId="1" xfId="0" applyNumberFormat="1" applyFont="1" applyFill="1" applyBorder="1" applyProtection="1">
      <protection hidden="1"/>
    </xf>
    <xf numFmtId="0" fontId="120" fillId="2" borderId="1" xfId="0" applyFont="1" applyFill="1" applyBorder="1" applyProtection="1">
      <protection hidden="1"/>
    </xf>
    <xf numFmtId="0" fontId="0" fillId="2" borderId="30" xfId="0" applyFill="1" applyBorder="1" applyProtection="1">
      <protection hidden="1"/>
    </xf>
    <xf numFmtId="0" fontId="120" fillId="2" borderId="0" xfId="0" applyFont="1" applyFill="1" applyAlignment="1" applyProtection="1">
      <alignment vertical="top"/>
      <protection hidden="1"/>
    </xf>
    <xf numFmtId="0" fontId="21" fillId="2" borderId="5" xfId="0" quotePrefix="1" applyFont="1" applyFill="1" applyBorder="1" applyAlignment="1" applyProtection="1">
      <alignment horizontal="right"/>
      <protection hidden="1"/>
    </xf>
    <xf numFmtId="3" fontId="25" fillId="2" borderId="5" xfId="0" applyNumberFormat="1" applyFont="1" applyFill="1" applyBorder="1" applyProtection="1">
      <protection hidden="1"/>
    </xf>
    <xf numFmtId="0" fontId="25" fillId="2" borderId="5" xfId="0" applyFont="1" applyFill="1" applyBorder="1" applyProtection="1">
      <protection hidden="1"/>
    </xf>
    <xf numFmtId="37" fontId="141" fillId="2" borderId="1" xfId="0" applyNumberFormat="1" applyFont="1" applyFill="1" applyBorder="1" applyProtection="1">
      <protection hidden="1"/>
    </xf>
    <xf numFmtId="37" fontId="21" fillId="26" borderId="1" xfId="0" applyNumberFormat="1" applyFont="1" applyFill="1" applyBorder="1" applyAlignment="1" applyProtection="1">
      <alignment horizontal="right"/>
      <protection hidden="1"/>
    </xf>
    <xf numFmtId="37" fontId="21" fillId="17" borderId="1" xfId="0" applyNumberFormat="1" applyFont="1" applyFill="1" applyBorder="1" applyAlignment="1" applyProtection="1">
      <alignment horizontal="right"/>
      <protection locked="0"/>
    </xf>
    <xf numFmtId="175" fontId="21" fillId="26" borderId="1" xfId="0" applyNumberFormat="1" applyFont="1" applyFill="1" applyBorder="1" applyAlignment="1" applyProtection="1">
      <alignment horizontal="right"/>
      <protection hidden="1"/>
    </xf>
    <xf numFmtId="173" fontId="129" fillId="2" borderId="0" xfId="0" applyNumberFormat="1" applyFont="1" applyFill="1" applyProtection="1">
      <protection hidden="1"/>
    </xf>
    <xf numFmtId="0" fontId="12" fillId="17" borderId="13" xfId="0" applyFont="1" applyFill="1" applyBorder="1" applyAlignment="1" applyProtection="1">
      <alignment horizontal="center" vertical="center"/>
      <protection locked="0" hidden="1"/>
    </xf>
    <xf numFmtId="184" fontId="3" fillId="0" borderId="5" xfId="0" applyNumberFormat="1" applyFont="1" applyBorder="1" applyAlignment="1" applyProtection="1">
      <alignment horizontal="center" wrapText="1"/>
      <protection hidden="1"/>
    </xf>
    <xf numFmtId="184" fontId="0" fillId="0" borderId="0" xfId="0" applyNumberFormat="1" applyAlignment="1" applyProtection="1">
      <alignment horizontal="center" vertical="top" wrapText="1"/>
      <protection hidden="1"/>
    </xf>
    <xf numFmtId="185" fontId="10" fillId="5" borderId="0" xfId="0" applyNumberFormat="1" applyFont="1" applyFill="1" applyAlignment="1" applyProtection="1">
      <alignment horizontal="center"/>
      <protection hidden="1"/>
    </xf>
    <xf numFmtId="40" fontId="141" fillId="2" borderId="0" xfId="0" applyNumberFormat="1" applyFont="1" applyFill="1" applyAlignment="1" applyProtection="1">
      <alignment horizontal="right"/>
      <protection hidden="1"/>
    </xf>
    <xf numFmtId="37" fontId="8" fillId="21" borderId="10" xfId="0" applyNumberFormat="1" applyFont="1" applyFill="1" applyBorder="1" applyAlignment="1" applyProtection="1">
      <alignment horizontal="center"/>
      <protection locked="0"/>
    </xf>
    <xf numFmtId="0" fontId="6" fillId="28" borderId="13" xfId="0" applyFont="1" applyFill="1" applyBorder="1" applyAlignment="1" applyProtection="1">
      <alignment horizontal="center" vertical="center"/>
      <protection hidden="1"/>
    </xf>
    <xf numFmtId="1" fontId="177" fillId="16" borderId="2" xfId="0" applyNumberFormat="1" applyFont="1" applyFill="1" applyBorder="1" applyAlignment="1" applyProtection="1">
      <alignment horizontal="center"/>
      <protection locked="0"/>
    </xf>
    <xf numFmtId="168" fontId="160" fillId="0" borderId="13" xfId="0" applyNumberFormat="1" applyFont="1" applyBorder="1" applyAlignment="1">
      <alignment vertical="center" wrapText="1"/>
    </xf>
    <xf numFmtId="168" fontId="160" fillId="0" borderId="59" xfId="0" applyNumberFormat="1" applyFont="1" applyBorder="1" applyAlignment="1">
      <alignment vertical="center" wrapText="1"/>
    </xf>
    <xf numFmtId="168" fontId="0" fillId="25" borderId="0" xfId="0" applyNumberFormat="1" applyFill="1" applyProtection="1">
      <protection hidden="1"/>
    </xf>
    <xf numFmtId="0" fontId="16" fillId="25" borderId="0" xfId="0" applyFont="1" applyFill="1" applyAlignment="1" applyProtection="1">
      <alignment horizontal="right"/>
      <protection hidden="1"/>
    </xf>
    <xf numFmtId="0" fontId="10" fillId="25" borderId="5" xfId="0" applyFont="1" applyFill="1" applyBorder="1" applyProtection="1">
      <protection hidden="1"/>
    </xf>
    <xf numFmtId="4" fontId="139" fillId="3" borderId="3" xfId="0" applyNumberFormat="1" applyFont="1" applyFill="1" applyBorder="1" applyAlignment="1" applyProtection="1">
      <alignment horizontal="center"/>
      <protection hidden="1"/>
    </xf>
    <xf numFmtId="0" fontId="5" fillId="5" borderId="0" xfId="0" applyFont="1" applyFill="1" applyAlignment="1" applyProtection="1">
      <alignment horizontal="center"/>
      <protection locked="0"/>
    </xf>
    <xf numFmtId="3" fontId="142" fillId="8" borderId="0" xfId="0" applyNumberFormat="1" applyFont="1" applyFill="1" applyAlignment="1" applyProtection="1">
      <alignment horizontal="left"/>
      <protection hidden="1"/>
    </xf>
    <xf numFmtId="0" fontId="7" fillId="25" borderId="6" xfId="0" applyFont="1" applyFill="1" applyBorder="1" applyAlignment="1" applyProtection="1">
      <alignment horizontal="right"/>
      <protection hidden="1"/>
    </xf>
    <xf numFmtId="0" fontId="129" fillId="16" borderId="5" xfId="0" applyFont="1" applyFill="1" applyBorder="1" applyAlignment="1" applyProtection="1">
      <alignment horizontal="center"/>
      <protection hidden="1"/>
    </xf>
    <xf numFmtId="0" fontId="129" fillId="16" borderId="5" xfId="0" applyFont="1" applyFill="1" applyBorder="1" applyProtection="1">
      <protection hidden="1"/>
    </xf>
    <xf numFmtId="0" fontId="5" fillId="3" borderId="0" xfId="0" applyFont="1" applyFill="1" applyAlignment="1" applyProtection="1">
      <alignment vertical="center"/>
      <protection hidden="1"/>
    </xf>
    <xf numFmtId="0" fontId="3" fillId="3" borderId="8" xfId="0" applyFont="1" applyFill="1" applyBorder="1" applyAlignment="1" applyProtection="1">
      <alignment horizontal="left" vertical="top"/>
      <protection hidden="1"/>
    </xf>
    <xf numFmtId="3" fontId="10" fillId="0" borderId="0" xfId="0" applyNumberFormat="1" applyFont="1" applyAlignment="1" applyProtection="1">
      <alignment horizontal="center"/>
      <protection hidden="1"/>
    </xf>
    <xf numFmtId="0" fontId="187" fillId="0" borderId="0" xfId="0" applyFont="1" applyAlignment="1">
      <alignment horizontal="center" vertical="center"/>
    </xf>
    <xf numFmtId="0" fontId="5" fillId="16" borderId="5" xfId="0" applyFont="1" applyFill="1" applyBorder="1" applyAlignment="1" applyProtection="1">
      <alignment vertical="top"/>
      <protection hidden="1"/>
    </xf>
    <xf numFmtId="0" fontId="41" fillId="16" borderId="0" xfId="0" applyFont="1" applyFill="1" applyAlignment="1" applyProtection="1">
      <alignment vertical="center"/>
      <protection hidden="1"/>
    </xf>
    <xf numFmtId="0" fontId="190" fillId="5" borderId="0" xfId="0" applyFont="1" applyFill="1" applyProtection="1">
      <protection hidden="1"/>
    </xf>
    <xf numFmtId="0" fontId="91" fillId="2" borderId="5" xfId="0" applyFont="1" applyFill="1" applyBorder="1" applyAlignment="1" applyProtection="1">
      <alignment horizontal="center"/>
      <protection hidden="1"/>
    </xf>
    <xf numFmtId="40" fontId="64" fillId="2" borderId="5" xfId="0" applyNumberFormat="1" applyFont="1" applyFill="1" applyBorder="1" applyAlignment="1" applyProtection="1">
      <alignment horizontal="right"/>
      <protection hidden="1"/>
    </xf>
    <xf numFmtId="40" fontId="23" fillId="2" borderId="23" xfId="0" applyNumberFormat="1" applyFont="1" applyFill="1" applyBorder="1" applyAlignment="1" applyProtection="1">
      <alignment horizontal="right"/>
      <protection hidden="1"/>
    </xf>
    <xf numFmtId="39" fontId="5" fillId="3" borderId="1" xfId="0" applyNumberFormat="1" applyFont="1" applyFill="1" applyBorder="1" applyProtection="1">
      <protection hidden="1"/>
    </xf>
    <xf numFmtId="40" fontId="129" fillId="2" borderId="0" xfId="0" applyNumberFormat="1" applyFont="1" applyFill="1" applyProtection="1">
      <protection hidden="1"/>
    </xf>
    <xf numFmtId="0" fontId="6" fillId="33" borderId="0" xfId="0" applyFont="1" applyFill="1" applyAlignment="1" applyProtection="1">
      <alignment horizontal="center" wrapText="1"/>
      <protection locked="0"/>
    </xf>
    <xf numFmtId="0" fontId="3" fillId="33" borderId="0" xfId="0" applyFont="1" applyFill="1" applyAlignment="1" applyProtection="1">
      <alignment horizontal="center" wrapText="1"/>
      <protection locked="0"/>
    </xf>
    <xf numFmtId="4" fontId="5" fillId="33" borderId="82" xfId="0" applyNumberFormat="1" applyFont="1" applyFill="1" applyBorder="1" applyAlignment="1" applyProtection="1">
      <alignment horizontal="center"/>
      <protection locked="0"/>
    </xf>
    <xf numFmtId="4" fontId="21" fillId="33" borderId="50" xfId="0" applyNumberFormat="1" applyFont="1" applyFill="1" applyBorder="1" applyAlignment="1" applyProtection="1">
      <alignment horizontal="right"/>
      <protection locked="0"/>
    </xf>
    <xf numFmtId="4" fontId="21" fillId="33" borderId="54" xfId="0" applyNumberFormat="1" applyFont="1" applyFill="1" applyBorder="1" applyAlignment="1" applyProtection="1">
      <alignment horizontal="right"/>
      <protection locked="0"/>
    </xf>
    <xf numFmtId="0" fontId="7" fillId="25" borderId="6" xfId="0" quotePrefix="1" applyFont="1" applyFill="1" applyBorder="1" applyAlignment="1" applyProtection="1">
      <alignment horizontal="right"/>
      <protection hidden="1"/>
    </xf>
    <xf numFmtId="0" fontId="12" fillId="2" borderId="26" xfId="0" applyFont="1" applyFill="1" applyBorder="1" applyAlignment="1" applyProtection="1">
      <alignment vertical="center"/>
      <protection hidden="1"/>
    </xf>
    <xf numFmtId="0" fontId="3" fillId="16" borderId="0" xfId="0" applyFont="1" applyFill="1" applyAlignment="1" applyProtection="1">
      <alignment horizontal="left"/>
      <protection hidden="1"/>
    </xf>
    <xf numFmtId="0" fontId="5" fillId="16" borderId="0" xfId="0" applyFont="1" applyFill="1" applyAlignment="1" applyProtection="1">
      <alignment vertical="top"/>
      <protection hidden="1"/>
    </xf>
    <xf numFmtId="0" fontId="0" fillId="16" borderId="0" xfId="0" applyFill="1" applyAlignment="1" applyProtection="1">
      <alignment horizontal="center"/>
      <protection hidden="1"/>
    </xf>
    <xf numFmtId="0" fontId="0" fillId="16" borderId="3" xfId="0" applyFill="1" applyBorder="1" applyAlignment="1" applyProtection="1">
      <alignment horizontal="center"/>
      <protection hidden="1"/>
    </xf>
    <xf numFmtId="0" fontId="7" fillId="16" borderId="5" xfId="0" applyFont="1" applyFill="1" applyBorder="1" applyProtection="1">
      <protection hidden="1"/>
    </xf>
    <xf numFmtId="0" fontId="18" fillId="16" borderId="31" xfId="0" applyFont="1" applyFill="1" applyBorder="1" applyAlignment="1" applyProtection="1">
      <alignment horizontal="center" vertical="top"/>
      <protection hidden="1"/>
    </xf>
    <xf numFmtId="0" fontId="18" fillId="16" borderId="9" xfId="0" applyFont="1" applyFill="1" applyBorder="1" applyAlignment="1" applyProtection="1">
      <alignment horizontal="center" vertical="top"/>
      <protection hidden="1"/>
    </xf>
    <xf numFmtId="0" fontId="10" fillId="16" borderId="6" xfId="0" applyFont="1" applyFill="1" applyBorder="1" applyAlignment="1" applyProtection="1">
      <alignment horizontal="left" indent="1"/>
      <protection hidden="1"/>
    </xf>
    <xf numFmtId="0" fontId="3" fillId="16" borderId="24" xfId="0" applyFont="1" applyFill="1" applyBorder="1" applyAlignment="1" applyProtection="1">
      <alignment horizontal="left" vertical="top" indent="1"/>
      <protection hidden="1"/>
    </xf>
    <xf numFmtId="0" fontId="3" fillId="16" borderId="6" xfId="0" applyFont="1" applyFill="1" applyBorder="1" applyAlignment="1" applyProtection="1">
      <alignment horizontal="left" vertical="top" indent="1"/>
      <protection hidden="1"/>
    </xf>
    <xf numFmtId="0" fontId="12" fillId="3" borderId="0" xfId="0" applyFont="1" applyFill="1" applyAlignment="1" applyProtection="1">
      <alignment horizontal="left"/>
      <protection hidden="1"/>
    </xf>
    <xf numFmtId="0" fontId="6" fillId="30" borderId="24" xfId="0" applyFont="1" applyFill="1" applyBorder="1" applyAlignment="1" applyProtection="1">
      <alignment horizontal="right"/>
      <protection hidden="1"/>
    </xf>
    <xf numFmtId="0" fontId="6" fillId="30" borderId="8" xfId="0" applyFont="1" applyFill="1" applyBorder="1" applyAlignment="1" applyProtection="1">
      <alignment horizontal="right"/>
      <protection hidden="1"/>
    </xf>
    <xf numFmtId="0" fontId="21" fillId="30" borderId="8" xfId="0" applyFont="1" applyFill="1" applyBorder="1" applyAlignment="1" applyProtection="1">
      <alignment horizontal="left"/>
      <protection hidden="1"/>
    </xf>
    <xf numFmtId="0" fontId="10" fillId="30" borderId="8" xfId="0" applyFont="1" applyFill="1" applyBorder="1" applyAlignment="1" applyProtection="1">
      <alignment horizontal="left"/>
      <protection hidden="1"/>
    </xf>
    <xf numFmtId="0" fontId="6" fillId="30" borderId="6" xfId="0" quotePrefix="1" applyFont="1" applyFill="1" applyBorder="1" applyAlignment="1" applyProtection="1">
      <alignment horizontal="right"/>
      <protection hidden="1"/>
    </xf>
    <xf numFmtId="0" fontId="6" fillId="30" borderId="0" xfId="0" applyFont="1" applyFill="1" applyAlignment="1" applyProtection="1">
      <alignment horizontal="right"/>
      <protection hidden="1"/>
    </xf>
    <xf numFmtId="0" fontId="5" fillId="30" borderId="0" xfId="0" applyFont="1" applyFill="1" applyAlignment="1" applyProtection="1">
      <alignment horizontal="left"/>
      <protection hidden="1"/>
    </xf>
    <xf numFmtId="0" fontId="21" fillId="30" borderId="0" xfId="0" applyFont="1" applyFill="1" applyAlignment="1" applyProtection="1">
      <alignment horizontal="left"/>
      <protection hidden="1"/>
    </xf>
    <xf numFmtId="0" fontId="10" fillId="30" borderId="0" xfId="0" applyFont="1" applyFill="1" applyAlignment="1" applyProtection="1">
      <alignment horizontal="left"/>
      <protection hidden="1"/>
    </xf>
    <xf numFmtId="0" fontId="6" fillId="30" borderId="6" xfId="0" applyFont="1" applyFill="1" applyBorder="1" applyAlignment="1" applyProtection="1">
      <alignment horizontal="right"/>
      <protection hidden="1"/>
    </xf>
    <xf numFmtId="0" fontId="7" fillId="30" borderId="0" xfId="0" applyFont="1" applyFill="1" applyAlignment="1" applyProtection="1">
      <alignment horizontal="left"/>
      <protection hidden="1"/>
    </xf>
    <xf numFmtId="0" fontId="3" fillId="30" borderId="6" xfId="0" quotePrefix="1" applyFont="1" applyFill="1" applyBorder="1" applyAlignment="1" applyProtection="1">
      <alignment horizontal="right"/>
      <protection hidden="1"/>
    </xf>
    <xf numFmtId="0" fontId="6" fillId="30" borderId="0" xfId="0" quotePrefix="1" applyFont="1" applyFill="1" applyAlignment="1" applyProtection="1">
      <alignment horizontal="right"/>
      <protection hidden="1"/>
    </xf>
    <xf numFmtId="1" fontId="3" fillId="30" borderId="0" xfId="0" quotePrefix="1" applyNumberFormat="1" applyFont="1" applyFill="1" applyAlignment="1" applyProtection="1">
      <alignment horizontal="right"/>
      <protection hidden="1"/>
    </xf>
    <xf numFmtId="0" fontId="30" fillId="30" borderId="0" xfId="0" applyFont="1" applyFill="1" applyAlignment="1" applyProtection="1">
      <alignment horizontal="left"/>
      <protection hidden="1"/>
    </xf>
    <xf numFmtId="1" fontId="6" fillId="30" borderId="0" xfId="0" applyNumberFormat="1" applyFont="1" applyFill="1" applyAlignment="1" applyProtection="1">
      <alignment horizontal="right"/>
      <protection hidden="1"/>
    </xf>
    <xf numFmtId="0" fontId="8" fillId="30" borderId="0" xfId="0" applyFont="1" applyFill="1" applyAlignment="1" applyProtection="1">
      <alignment horizontal="right" vertical="center"/>
      <protection hidden="1"/>
    </xf>
    <xf numFmtId="0" fontId="30" fillId="30" borderId="6" xfId="0" applyFont="1" applyFill="1" applyBorder="1" applyAlignment="1" applyProtection="1">
      <alignment horizontal="right"/>
      <protection hidden="1"/>
    </xf>
    <xf numFmtId="0" fontId="30" fillId="30" borderId="0" xfId="0" applyFont="1" applyFill="1" applyAlignment="1" applyProtection="1">
      <alignment horizontal="right"/>
      <protection hidden="1"/>
    </xf>
    <xf numFmtId="39" fontId="10" fillId="30" borderId="22" xfId="0" applyNumberFormat="1" applyFont="1" applyFill="1" applyBorder="1" applyAlignment="1" applyProtection="1">
      <alignment horizontal="right"/>
      <protection hidden="1"/>
    </xf>
    <xf numFmtId="39" fontId="10" fillId="30" borderId="5" xfId="0" applyNumberFormat="1" applyFont="1" applyFill="1" applyBorder="1" applyAlignment="1" applyProtection="1">
      <alignment horizontal="right"/>
      <protection hidden="1"/>
    </xf>
    <xf numFmtId="0" fontId="13" fillId="30" borderId="0" xfId="0" applyFont="1" applyFill="1" applyAlignment="1" applyProtection="1">
      <alignment horizontal="right"/>
      <protection hidden="1"/>
    </xf>
    <xf numFmtId="0" fontId="3" fillId="30" borderId="0" xfId="0" quotePrefix="1" applyFont="1" applyFill="1" applyAlignment="1" applyProtection="1">
      <alignment horizontal="right"/>
      <protection hidden="1"/>
    </xf>
    <xf numFmtId="0" fontId="10" fillId="30" borderId="20" xfId="0" applyFont="1" applyFill="1" applyBorder="1" applyAlignment="1" applyProtection="1">
      <alignment horizontal="left"/>
      <protection hidden="1"/>
    </xf>
    <xf numFmtId="39" fontId="10" fillId="30" borderId="21" xfId="0" applyNumberFormat="1" applyFont="1" applyFill="1" applyBorder="1" applyAlignment="1" applyProtection="1">
      <alignment horizontal="right"/>
      <protection hidden="1"/>
    </xf>
    <xf numFmtId="39" fontId="10" fillId="30" borderId="23" xfId="0" applyNumberFormat="1" applyFont="1" applyFill="1" applyBorder="1" applyAlignment="1" applyProtection="1">
      <alignment horizontal="right"/>
      <protection hidden="1"/>
    </xf>
    <xf numFmtId="3" fontId="8" fillId="30" borderId="0" xfId="0" applyNumberFormat="1" applyFont="1" applyFill="1" applyAlignment="1" applyProtection="1">
      <alignment horizontal="right"/>
      <protection hidden="1"/>
    </xf>
    <xf numFmtId="39" fontId="10" fillId="30" borderId="0" xfId="0" applyNumberFormat="1" applyFont="1" applyFill="1" applyAlignment="1" applyProtection="1">
      <alignment horizontal="right"/>
      <protection hidden="1"/>
    </xf>
    <xf numFmtId="37" fontId="7" fillId="30" borderId="0" xfId="0" applyNumberFormat="1" applyFont="1" applyFill="1" applyAlignment="1" applyProtection="1">
      <alignment horizontal="right"/>
      <protection locked="0"/>
    </xf>
    <xf numFmtId="0" fontId="10" fillId="30" borderId="21" xfId="0" applyFont="1" applyFill="1" applyBorder="1" applyAlignment="1" applyProtection="1">
      <alignment horizontal="left"/>
      <protection hidden="1"/>
    </xf>
    <xf numFmtId="0" fontId="3" fillId="30" borderId="0" xfId="0" applyFont="1" applyFill="1" applyAlignment="1" applyProtection="1">
      <alignment horizontal="left"/>
      <protection hidden="1"/>
    </xf>
    <xf numFmtId="0" fontId="5" fillId="30" borderId="0" xfId="0" applyFont="1" applyFill="1" applyAlignment="1" applyProtection="1">
      <alignment horizontal="right"/>
      <protection hidden="1"/>
    </xf>
    <xf numFmtId="0" fontId="5" fillId="30" borderId="1" xfId="0" applyFont="1" applyFill="1" applyBorder="1" applyAlignment="1" applyProtection="1">
      <alignment horizontal="left" vertical="center"/>
      <protection hidden="1"/>
    </xf>
    <xf numFmtId="3" fontId="125" fillId="30" borderId="0" xfId="0" applyNumberFormat="1" applyFont="1" applyFill="1" applyAlignment="1" applyProtection="1">
      <alignment horizontal="right"/>
      <protection hidden="1"/>
    </xf>
    <xf numFmtId="0" fontId="131" fillId="30" borderId="0" xfId="0" applyFont="1" applyFill="1" applyAlignment="1" applyProtection="1">
      <alignment horizontal="center"/>
      <protection hidden="1"/>
    </xf>
    <xf numFmtId="0" fontId="141" fillId="30" borderId="0" xfId="0" applyFont="1" applyFill="1" applyAlignment="1" applyProtection="1">
      <alignment horizontal="left"/>
      <protection hidden="1"/>
    </xf>
    <xf numFmtId="0" fontId="10" fillId="30" borderId="0" xfId="0" applyFont="1" applyFill="1" applyAlignment="1" applyProtection="1">
      <alignment horizontal="right"/>
      <protection hidden="1"/>
    </xf>
    <xf numFmtId="0" fontId="10" fillId="30" borderId="8" xfId="0" applyFont="1" applyFill="1" applyBorder="1" applyAlignment="1" applyProtection="1">
      <alignment horizontal="right"/>
      <protection hidden="1"/>
    </xf>
    <xf numFmtId="0" fontId="131" fillId="0" borderId="0" xfId="0" applyFont="1" applyProtection="1">
      <protection hidden="1"/>
    </xf>
    <xf numFmtId="0" fontId="136" fillId="30" borderId="8" xfId="0" applyFont="1" applyFill="1" applyBorder="1" applyAlignment="1" applyProtection="1">
      <alignment horizontal="right"/>
      <protection hidden="1"/>
    </xf>
    <xf numFmtId="0" fontId="136" fillId="2" borderId="0" xfId="0" applyFont="1" applyFill="1" applyProtection="1">
      <protection hidden="1"/>
    </xf>
    <xf numFmtId="0" fontId="10" fillId="16" borderId="0" xfId="0" quotePrefix="1" applyFont="1" applyFill="1"/>
    <xf numFmtId="0" fontId="10" fillId="16" borderId="1" xfId="0" applyFont="1" applyFill="1" applyBorder="1"/>
    <xf numFmtId="0" fontId="33" fillId="25" borderId="22" xfId="0" applyFont="1" applyFill="1" applyBorder="1" applyAlignment="1" applyProtection="1">
      <alignment horizontal="center"/>
      <protection hidden="1"/>
    </xf>
    <xf numFmtId="3" fontId="33" fillId="25" borderId="5" xfId="0" applyNumberFormat="1" applyFont="1" applyFill="1" applyBorder="1" applyAlignment="1" applyProtection="1">
      <alignment horizontal="right"/>
      <protection hidden="1"/>
    </xf>
    <xf numFmtId="3" fontId="10" fillId="25" borderId="5" xfId="0" applyNumberFormat="1" applyFont="1" applyFill="1" applyBorder="1" applyAlignment="1" applyProtection="1">
      <alignment horizontal="center"/>
      <protection hidden="1"/>
    </xf>
    <xf numFmtId="0" fontId="10" fillId="25" borderId="5" xfId="0" applyFont="1" applyFill="1" applyBorder="1" applyAlignment="1" applyProtection="1">
      <alignment horizontal="left"/>
      <protection hidden="1"/>
    </xf>
    <xf numFmtId="0" fontId="10" fillId="25" borderId="5" xfId="0" applyFont="1" applyFill="1" applyBorder="1" applyAlignment="1" applyProtection="1">
      <alignment horizontal="center"/>
      <protection hidden="1"/>
    </xf>
    <xf numFmtId="0" fontId="72" fillId="25" borderId="5" xfId="0" applyFont="1" applyFill="1" applyBorder="1" applyProtection="1">
      <protection hidden="1"/>
    </xf>
    <xf numFmtId="0" fontId="72" fillId="25" borderId="23" xfId="0" applyFont="1" applyFill="1" applyBorder="1" applyProtection="1">
      <protection hidden="1"/>
    </xf>
    <xf numFmtId="3" fontId="7" fillId="28" borderId="1" xfId="0" applyNumberFormat="1" applyFont="1" applyFill="1" applyBorder="1" applyProtection="1">
      <protection hidden="1"/>
    </xf>
    <xf numFmtId="164" fontId="8" fillId="25" borderId="6" xfId="0" applyNumberFormat="1" applyFont="1" applyFill="1" applyBorder="1" applyAlignment="1" applyProtection="1">
      <alignment horizontal="right"/>
      <protection hidden="1"/>
    </xf>
    <xf numFmtId="0" fontId="3" fillId="25" borderId="0" xfId="0" applyFont="1" applyFill="1" applyProtection="1">
      <protection hidden="1"/>
    </xf>
    <xf numFmtId="4" fontId="8" fillId="25" borderId="0" xfId="0" applyNumberFormat="1" applyFont="1" applyFill="1" applyAlignment="1" applyProtection="1">
      <alignment horizontal="right"/>
      <protection hidden="1"/>
    </xf>
    <xf numFmtId="164" fontId="8" fillId="25" borderId="0" xfId="0" applyNumberFormat="1" applyFont="1" applyFill="1" applyAlignment="1" applyProtection="1">
      <alignment horizontal="right"/>
      <protection hidden="1"/>
    </xf>
    <xf numFmtId="4" fontId="7" fillId="25" borderId="0" xfId="0" applyNumberFormat="1" applyFont="1" applyFill="1" applyProtection="1">
      <protection hidden="1"/>
    </xf>
    <xf numFmtId="0" fontId="8" fillId="25" borderId="0" xfId="0" applyFont="1" applyFill="1" applyProtection="1">
      <protection hidden="1"/>
    </xf>
    <xf numFmtId="164" fontId="8" fillId="25" borderId="0" xfId="0" applyNumberFormat="1" applyFont="1" applyFill="1" applyAlignment="1" applyProtection="1">
      <alignment vertical="top"/>
      <protection hidden="1"/>
    </xf>
    <xf numFmtId="0" fontId="64" fillId="25" borderId="5" xfId="0" applyFont="1" applyFill="1" applyBorder="1" applyAlignment="1" applyProtection="1">
      <alignment vertical="center"/>
      <protection hidden="1"/>
    </xf>
    <xf numFmtId="0" fontId="13" fillId="25" borderId="5" xfId="0" applyFont="1" applyFill="1" applyBorder="1" applyAlignment="1" applyProtection="1">
      <alignment horizontal="right"/>
      <protection hidden="1"/>
    </xf>
    <xf numFmtId="4" fontId="7" fillId="25" borderId="5" xfId="0" applyNumberFormat="1" applyFont="1" applyFill="1" applyBorder="1" applyProtection="1">
      <protection hidden="1"/>
    </xf>
    <xf numFmtId="0" fontId="8" fillId="25" borderId="5" xfId="0" applyFont="1" applyFill="1" applyBorder="1" applyProtection="1">
      <protection hidden="1"/>
    </xf>
    <xf numFmtId="164" fontId="8" fillId="25" borderId="0" xfId="0" applyNumberFormat="1" applyFont="1" applyFill="1" applyProtection="1">
      <protection hidden="1"/>
    </xf>
    <xf numFmtId="0" fontId="13" fillId="25" borderId="6" xfId="0" applyFont="1" applyFill="1" applyBorder="1" applyAlignment="1" applyProtection="1">
      <alignment horizontal="right" vertical="top"/>
      <protection hidden="1"/>
    </xf>
    <xf numFmtId="3" fontId="7" fillId="25" borderId="0" xfId="0" applyNumberFormat="1" applyFont="1" applyFill="1" applyProtection="1">
      <protection hidden="1"/>
    </xf>
    <xf numFmtId="0" fontId="8" fillId="25" borderId="0" xfId="0" applyFont="1" applyFill="1" applyAlignment="1" applyProtection="1">
      <alignment horizontal="right"/>
      <protection hidden="1"/>
    </xf>
    <xf numFmtId="0" fontId="8" fillId="25" borderId="0" xfId="0" applyFont="1" applyFill="1" applyAlignment="1" applyProtection="1">
      <alignment horizontal="right" vertical="top"/>
      <protection hidden="1"/>
    </xf>
    <xf numFmtId="0" fontId="8" fillId="25" borderId="0" xfId="0" applyFont="1" applyFill="1" applyAlignment="1" applyProtection="1">
      <alignment vertical="top"/>
      <protection hidden="1"/>
    </xf>
    <xf numFmtId="3" fontId="7" fillId="25" borderId="0" xfId="0" applyNumberFormat="1" applyFont="1" applyFill="1" applyAlignment="1" applyProtection="1">
      <alignment vertical="top"/>
      <protection hidden="1"/>
    </xf>
    <xf numFmtId="0" fontId="0" fillId="25" borderId="21" xfId="0" applyFill="1" applyBorder="1" applyAlignment="1" applyProtection="1">
      <alignment vertical="top"/>
      <protection hidden="1"/>
    </xf>
    <xf numFmtId="4" fontId="7" fillId="25" borderId="9" xfId="0" applyNumberFormat="1" applyFont="1" applyFill="1" applyBorder="1" applyAlignment="1" applyProtection="1">
      <alignment vertical="center" wrapText="1"/>
      <protection hidden="1"/>
    </xf>
    <xf numFmtId="4" fontId="7" fillId="25" borderId="0" xfId="0" applyNumberFormat="1" applyFont="1" applyFill="1" applyAlignment="1" applyProtection="1">
      <alignment vertical="center" wrapText="1"/>
      <protection hidden="1"/>
    </xf>
    <xf numFmtId="3" fontId="7" fillId="25" borderId="5" xfId="0" applyNumberFormat="1" applyFont="1" applyFill="1" applyBorder="1" applyProtection="1">
      <protection hidden="1"/>
    </xf>
    <xf numFmtId="0" fontId="5" fillId="25" borderId="8" xfId="0" applyFont="1" applyFill="1" applyBorder="1" applyAlignment="1">
      <alignment horizontal="left" vertical="top"/>
    </xf>
    <xf numFmtId="0" fontId="5" fillId="25" borderId="20" xfId="0" applyFont="1" applyFill="1" applyBorder="1" applyAlignment="1">
      <alignment horizontal="left" vertical="top"/>
    </xf>
    <xf numFmtId="0" fontId="5" fillId="25" borderId="0" xfId="0" applyFont="1" applyFill="1" applyAlignment="1">
      <alignment horizontal="left" vertical="top"/>
    </xf>
    <xf numFmtId="0" fontId="5" fillId="25" borderId="21" xfId="0" applyFont="1" applyFill="1" applyBorder="1" applyAlignment="1">
      <alignment horizontal="left" vertical="top"/>
    </xf>
    <xf numFmtId="0" fontId="4" fillId="25" borderId="5" xfId="0" applyFont="1" applyFill="1" applyBorder="1" applyAlignment="1" applyProtection="1">
      <alignment horizontal="left"/>
      <protection hidden="1"/>
    </xf>
    <xf numFmtId="0" fontId="5" fillId="25" borderId="23" xfId="0" applyFont="1" applyFill="1" applyBorder="1" applyAlignment="1">
      <alignment horizontal="left" vertical="top"/>
    </xf>
    <xf numFmtId="0" fontId="3" fillId="25" borderId="24" xfId="0" applyFont="1" applyFill="1" applyBorder="1" applyAlignment="1" applyProtection="1">
      <alignment horizontal="left" vertical="center"/>
      <protection hidden="1"/>
    </xf>
    <xf numFmtId="0" fontId="0" fillId="25" borderId="8" xfId="0" applyFill="1" applyBorder="1" applyAlignment="1">
      <alignment horizontal="left" vertical="center"/>
    </xf>
    <xf numFmtId="0" fontId="0" fillId="25" borderId="0" xfId="0" applyFill="1" applyAlignment="1">
      <alignment horizontal="left" vertical="center"/>
    </xf>
    <xf numFmtId="0" fontId="0" fillId="25" borderId="22" xfId="0" applyFill="1" applyBorder="1" applyAlignment="1">
      <alignment horizontal="left" vertical="center"/>
    </xf>
    <xf numFmtId="0" fontId="0" fillId="25" borderId="5" xfId="0" applyFill="1" applyBorder="1" applyAlignment="1">
      <alignment horizontal="left" vertical="center"/>
    </xf>
    <xf numFmtId="0" fontId="0" fillId="25" borderId="28" xfId="0" applyFill="1" applyBorder="1"/>
    <xf numFmtId="0" fontId="5" fillId="25" borderId="28" xfId="0" applyFont="1" applyFill="1" applyBorder="1"/>
    <xf numFmtId="0" fontId="10" fillId="25" borderId="81" xfId="0" applyFont="1" applyFill="1" applyBorder="1" applyAlignment="1">
      <alignment horizontal="right"/>
    </xf>
    <xf numFmtId="0" fontId="10" fillId="25" borderId="9" xfId="0" applyFont="1" applyFill="1" applyBorder="1"/>
    <xf numFmtId="0" fontId="10" fillId="25" borderId="6" xfId="0" applyFont="1" applyFill="1" applyBorder="1" applyAlignment="1">
      <alignment horizontal="right"/>
    </xf>
    <xf numFmtId="0" fontId="10" fillId="25" borderId="0" xfId="0" applyFont="1" applyFill="1" applyAlignment="1">
      <alignment horizontal="left" indent="1"/>
    </xf>
    <xf numFmtId="0" fontId="10" fillId="25" borderId="0" xfId="0" applyFont="1" applyFill="1"/>
    <xf numFmtId="0" fontId="10" fillId="25" borderId="0" xfId="0" applyFont="1" applyFill="1" applyAlignment="1">
      <alignment horizontal="right"/>
    </xf>
    <xf numFmtId="0" fontId="13" fillId="25" borderId="0" xfId="0" applyFont="1" applyFill="1" applyAlignment="1">
      <alignment horizontal="left" indent="1"/>
    </xf>
    <xf numFmtId="0" fontId="10" fillId="25" borderId="22" xfId="0" applyFont="1" applyFill="1" applyBorder="1" applyAlignment="1">
      <alignment horizontal="right"/>
    </xf>
    <xf numFmtId="0" fontId="10" fillId="25" borderId="5" xfId="0" applyFont="1" applyFill="1" applyBorder="1" applyAlignment="1">
      <alignment horizontal="left" indent="1"/>
    </xf>
    <xf numFmtId="0" fontId="10" fillId="25" borderId="5" xfId="0" applyFont="1" applyFill="1" applyBorder="1"/>
    <xf numFmtId="0" fontId="4" fillId="25" borderId="5" xfId="0" applyFont="1" applyFill="1" applyBorder="1" applyAlignment="1" applyProtection="1">
      <alignment horizontal="right"/>
      <protection hidden="1"/>
    </xf>
    <xf numFmtId="0" fontId="0" fillId="25" borderId="109" xfId="0" applyFill="1" applyBorder="1"/>
    <xf numFmtId="0" fontId="10" fillId="25" borderId="89" xfId="0" applyFont="1" applyFill="1" applyBorder="1"/>
    <xf numFmtId="0" fontId="10" fillId="25" borderId="21" xfId="0" applyFont="1" applyFill="1" applyBorder="1"/>
    <xf numFmtId="3" fontId="131" fillId="25" borderId="0" xfId="0" applyNumberFormat="1" applyFont="1" applyFill="1"/>
    <xf numFmtId="4" fontId="131" fillId="25" borderId="0" xfId="0" applyNumberFormat="1" applyFont="1" applyFill="1"/>
    <xf numFmtId="0" fontId="10" fillId="25" borderId="23" xfId="0" applyFont="1" applyFill="1" applyBorder="1"/>
    <xf numFmtId="0" fontId="158" fillId="25" borderId="0" xfId="0" applyFont="1" applyFill="1"/>
    <xf numFmtId="0" fontId="10" fillId="25" borderId="0" xfId="0" applyFont="1" applyFill="1" applyAlignment="1">
      <alignment horizontal="left"/>
    </xf>
    <xf numFmtId="0" fontId="5" fillId="25" borderId="0" xfId="0" applyFont="1" applyFill="1" applyAlignment="1" applyProtection="1">
      <alignment horizontal="right"/>
      <protection hidden="1"/>
    </xf>
    <xf numFmtId="0" fontId="191" fillId="25" borderId="6" xfId="0" applyFont="1" applyFill="1" applyBorder="1" applyAlignment="1" applyProtection="1">
      <alignment horizontal="right"/>
      <protection hidden="1"/>
    </xf>
    <xf numFmtId="0" fontId="12" fillId="16" borderId="24" xfId="0" applyFont="1" applyFill="1" applyBorder="1" applyProtection="1">
      <protection hidden="1"/>
    </xf>
    <xf numFmtId="0" fontId="12" fillId="16" borderId="6" xfId="0" applyFont="1" applyFill="1" applyBorder="1" applyProtection="1">
      <protection hidden="1"/>
    </xf>
    <xf numFmtId="37" fontId="0" fillId="28" borderId="1" xfId="0" applyNumberFormat="1" applyFill="1" applyBorder="1" applyProtection="1">
      <protection hidden="1"/>
    </xf>
    <xf numFmtId="0" fontId="25" fillId="0" borderId="0" xfId="0" applyFont="1" applyProtection="1">
      <protection hidden="1"/>
    </xf>
    <xf numFmtId="0" fontId="176" fillId="0" borderId="0" xfId="0" applyFont="1" applyProtection="1">
      <protection hidden="1"/>
    </xf>
    <xf numFmtId="1" fontId="36" fillId="0" borderId="2" xfId="0" applyNumberFormat="1" applyFont="1" applyBorder="1" applyProtection="1">
      <protection locked="0"/>
    </xf>
    <xf numFmtId="0" fontId="5" fillId="16" borderId="0" xfId="0" quotePrefix="1" applyFont="1" applyFill="1" applyAlignment="1" applyProtection="1">
      <alignment horizontal="right"/>
      <protection hidden="1"/>
    </xf>
    <xf numFmtId="0" fontId="5" fillId="16" borderId="6" xfId="0" quotePrefix="1" applyFont="1" applyFill="1" applyBorder="1" applyAlignment="1" applyProtection="1">
      <alignment horizontal="right"/>
      <protection hidden="1"/>
    </xf>
    <xf numFmtId="0" fontId="4" fillId="16" borderId="0" xfId="0" applyFont="1" applyFill="1" applyProtection="1">
      <protection hidden="1"/>
    </xf>
    <xf numFmtId="0" fontId="3" fillId="28" borderId="13" xfId="0" applyFont="1" applyFill="1" applyBorder="1" applyAlignment="1" applyProtection="1">
      <alignment horizontal="center"/>
      <protection hidden="1"/>
    </xf>
    <xf numFmtId="0" fontId="3" fillId="26" borderId="13" xfId="0" applyFont="1" applyFill="1" applyBorder="1" applyAlignment="1" applyProtection="1">
      <alignment horizontal="center"/>
      <protection hidden="1"/>
    </xf>
    <xf numFmtId="0" fontId="3" fillId="26" borderId="13" xfId="0" applyFont="1" applyFill="1" applyBorder="1" applyAlignment="1" applyProtection="1">
      <alignment horizontal="center"/>
      <protection locked="0" hidden="1"/>
    </xf>
    <xf numFmtId="0" fontId="141" fillId="25" borderId="24" xfId="0" applyFont="1" applyFill="1" applyBorder="1" applyProtection="1">
      <protection hidden="1"/>
    </xf>
    <xf numFmtId="0" fontId="43" fillId="16" borderId="0" xfId="0" applyFont="1" applyFill="1" applyAlignment="1" applyProtection="1">
      <alignment horizontal="left"/>
      <protection hidden="1"/>
    </xf>
    <xf numFmtId="0" fontId="5" fillId="16" borderId="0" xfId="0" applyFont="1" applyFill="1" applyAlignment="1" applyProtection="1">
      <alignment horizontal="center"/>
      <protection hidden="1"/>
    </xf>
    <xf numFmtId="0" fontId="14" fillId="16" borderId="0" xfId="0" applyFont="1" applyFill="1" applyProtection="1">
      <protection hidden="1"/>
    </xf>
    <xf numFmtId="0" fontId="19" fillId="16" borderId="0" xfId="0" applyFont="1" applyFill="1" applyAlignment="1" applyProtection="1">
      <alignment horizontal="right" wrapText="1"/>
      <protection hidden="1"/>
    </xf>
    <xf numFmtId="0" fontId="10" fillId="16" borderId="24" xfId="0" applyFont="1" applyFill="1" applyBorder="1" applyAlignment="1" applyProtection="1">
      <alignment horizontal="left"/>
      <protection hidden="1"/>
    </xf>
    <xf numFmtId="0" fontId="43" fillId="16" borderId="6" xfId="0" applyFont="1" applyFill="1" applyBorder="1" applyAlignment="1" applyProtection="1">
      <alignment horizontal="left"/>
      <protection hidden="1"/>
    </xf>
    <xf numFmtId="0" fontId="43" fillId="16" borderId="21" xfId="0" applyFont="1" applyFill="1" applyBorder="1" applyAlignment="1" applyProtection="1">
      <alignment horizontal="left"/>
      <protection hidden="1"/>
    </xf>
    <xf numFmtId="0" fontId="14" fillId="16" borderId="6" xfId="0" applyFont="1" applyFill="1" applyBorder="1" applyProtection="1">
      <protection hidden="1"/>
    </xf>
    <xf numFmtId="0" fontId="14" fillId="16" borderId="21" xfId="0" applyFont="1" applyFill="1" applyBorder="1" applyProtection="1">
      <protection hidden="1"/>
    </xf>
    <xf numFmtId="0" fontId="5" fillId="16" borderId="0" xfId="0" applyFont="1" applyFill="1" applyAlignment="1" applyProtection="1">
      <alignment horizontal="right"/>
      <protection hidden="1"/>
    </xf>
    <xf numFmtId="0" fontId="5" fillId="16" borderId="6" xfId="4" applyFill="1" applyBorder="1" applyProtection="1">
      <protection hidden="1"/>
    </xf>
    <xf numFmtId="0" fontId="5" fillId="16" borderId="0" xfId="4" applyFill="1" applyProtection="1">
      <protection hidden="1"/>
    </xf>
    <xf numFmtId="0" fontId="5" fillId="16" borderId="0" xfId="4" applyFill="1" applyAlignment="1" applyProtection="1">
      <alignment horizontal="center"/>
      <protection hidden="1"/>
    </xf>
    <xf numFmtId="0" fontId="5" fillId="16" borderId="21" xfId="4" applyFill="1" applyBorder="1" applyAlignment="1" applyProtection="1">
      <alignment horizontal="center"/>
      <protection hidden="1"/>
    </xf>
    <xf numFmtId="4" fontId="36" fillId="16" borderId="0" xfId="0" applyNumberFormat="1" applyFont="1" applyFill="1" applyProtection="1">
      <protection hidden="1"/>
    </xf>
    <xf numFmtId="0" fontId="5" fillId="16" borderId="0" xfId="4" applyFill="1" applyAlignment="1" applyProtection="1">
      <alignment horizontal="right"/>
      <protection hidden="1"/>
    </xf>
    <xf numFmtId="0" fontId="5" fillId="16" borderId="6" xfId="4" applyFill="1" applyBorder="1" applyAlignment="1" applyProtection="1">
      <alignment horizontal="center"/>
      <protection hidden="1"/>
    </xf>
    <xf numFmtId="0" fontId="5" fillId="16" borderId="0" xfId="4" quotePrefix="1" applyFill="1" applyAlignment="1" applyProtection="1">
      <alignment horizontal="right"/>
      <protection hidden="1"/>
    </xf>
    <xf numFmtId="0" fontId="5" fillId="16" borderId="2" xfId="4" applyFill="1" applyBorder="1" applyProtection="1">
      <protection hidden="1"/>
    </xf>
    <xf numFmtId="185" fontId="5" fillId="16" borderId="0" xfId="4" applyNumberFormat="1" applyFill="1" applyAlignment="1" applyProtection="1">
      <alignment horizontal="center"/>
      <protection hidden="1"/>
    </xf>
    <xf numFmtId="0" fontId="6" fillId="16" borderId="0" xfId="0" applyFont="1" applyFill="1" applyAlignment="1" applyProtection="1">
      <alignment horizontal="center"/>
      <protection hidden="1"/>
    </xf>
    <xf numFmtId="0" fontId="5" fillId="16" borderId="1" xfId="4" applyFill="1" applyBorder="1" applyAlignment="1" applyProtection="1">
      <alignment horizontal="center"/>
      <protection hidden="1"/>
    </xf>
    <xf numFmtId="0" fontId="5" fillId="16" borderId="30" xfId="4" applyFill="1" applyBorder="1" applyAlignment="1" applyProtection="1">
      <alignment horizontal="center"/>
      <protection hidden="1"/>
    </xf>
    <xf numFmtId="37" fontId="0" fillId="16" borderId="0" xfId="0" applyNumberFormat="1" applyFill="1" applyProtection="1">
      <protection hidden="1"/>
    </xf>
    <xf numFmtId="0" fontId="5" fillId="16" borderId="22" xfId="4" applyFill="1" applyBorder="1"/>
    <xf numFmtId="0" fontId="5" fillId="16" borderId="5" xfId="4" applyFill="1" applyBorder="1"/>
    <xf numFmtId="0" fontId="5" fillId="16" borderId="5" xfId="4" applyFill="1" applyBorder="1" applyAlignment="1">
      <alignment horizontal="center"/>
    </xf>
    <xf numFmtId="0" fontId="5" fillId="16" borderId="5" xfId="4" applyFill="1" applyBorder="1" applyAlignment="1" applyProtection="1">
      <alignment horizontal="center"/>
      <protection hidden="1"/>
    </xf>
    <xf numFmtId="0" fontId="5" fillId="16" borderId="23" xfId="4" applyFill="1" applyBorder="1" applyAlignment="1" applyProtection="1">
      <alignment horizontal="center"/>
      <protection hidden="1"/>
    </xf>
    <xf numFmtId="0" fontId="21" fillId="16" borderId="0" xfId="0" applyFont="1" applyFill="1" applyAlignment="1" applyProtection="1">
      <alignment horizontal="center"/>
      <protection hidden="1"/>
    </xf>
    <xf numFmtId="0" fontId="10" fillId="16" borderId="0" xfId="0" applyFont="1" applyFill="1" applyAlignment="1" applyProtection="1">
      <alignment horizontal="center"/>
      <protection hidden="1"/>
    </xf>
    <xf numFmtId="0" fontId="21" fillId="16" borderId="0" xfId="0" applyFont="1" applyFill="1" applyAlignment="1" applyProtection="1">
      <alignment horizontal="right"/>
      <protection hidden="1"/>
    </xf>
    <xf numFmtId="0" fontId="141" fillId="16" borderId="8" xfId="0" applyFont="1" applyFill="1" applyBorder="1" applyAlignment="1" applyProtection="1">
      <alignment vertical="center"/>
      <protection hidden="1"/>
    </xf>
    <xf numFmtId="0" fontId="98" fillId="22" borderId="0" xfId="2" applyFont="1" applyFill="1" applyAlignment="1" applyProtection="1">
      <alignment horizontal="center"/>
    </xf>
    <xf numFmtId="0" fontId="3" fillId="22" borderId="0" xfId="0" applyFont="1" applyFill="1"/>
    <xf numFmtId="4" fontId="7" fillId="22" borderId="0" xfId="0" applyNumberFormat="1" applyFont="1" applyFill="1"/>
    <xf numFmtId="0" fontId="3" fillId="22" borderId="0" xfId="0" applyFont="1" applyFill="1" applyAlignment="1">
      <alignment horizontal="center"/>
    </xf>
    <xf numFmtId="0" fontId="25" fillId="2" borderId="24" xfId="0" applyFont="1" applyFill="1" applyBorder="1" applyAlignment="1" applyProtection="1">
      <alignment horizontal="center"/>
      <protection hidden="1"/>
    </xf>
    <xf numFmtId="0" fontId="64" fillId="2" borderId="8" xfId="0" applyFont="1" applyFill="1" applyBorder="1" applyProtection="1">
      <protection hidden="1"/>
    </xf>
    <xf numFmtId="0" fontId="25" fillId="2" borderId="22" xfId="0" applyFont="1" applyFill="1" applyBorder="1" applyAlignment="1" applyProtection="1">
      <alignment horizontal="center"/>
      <protection hidden="1"/>
    </xf>
    <xf numFmtId="0" fontId="8" fillId="2" borderId="5" xfId="0" applyFont="1" applyFill="1" applyBorder="1" applyAlignment="1" applyProtection="1">
      <alignment horizontal="center" vertical="center"/>
      <protection locked="0"/>
    </xf>
    <xf numFmtId="0" fontId="0" fillId="2" borderId="27" xfId="0" applyFill="1" applyBorder="1" applyAlignment="1" applyProtection="1">
      <alignment horizontal="center"/>
      <protection hidden="1"/>
    </xf>
    <xf numFmtId="0" fontId="25" fillId="2" borderId="81" xfId="0" applyFont="1" applyFill="1" applyBorder="1" applyAlignment="1" applyProtection="1">
      <alignment horizontal="center"/>
      <protection hidden="1"/>
    </xf>
    <xf numFmtId="0" fontId="64" fillId="2" borderId="9" xfId="0" applyFont="1" applyFill="1" applyBorder="1" applyProtection="1">
      <protection hidden="1"/>
    </xf>
    <xf numFmtId="0" fontId="0" fillId="2" borderId="89" xfId="0" applyFill="1" applyBorder="1" applyProtection="1">
      <protection hidden="1"/>
    </xf>
    <xf numFmtId="182" fontId="49" fillId="2" borderId="0" xfId="0" applyNumberFormat="1" applyFont="1" applyFill="1" applyProtection="1">
      <protection hidden="1"/>
    </xf>
    <xf numFmtId="15" fontId="129" fillId="2" borderId="0" xfId="0" applyNumberFormat="1" applyFont="1" applyFill="1" applyProtection="1">
      <protection hidden="1"/>
    </xf>
    <xf numFmtId="0" fontId="8" fillId="2" borderId="21" xfId="0" applyFont="1" applyFill="1" applyBorder="1" applyProtection="1">
      <protection hidden="1"/>
    </xf>
    <xf numFmtId="0" fontId="106" fillId="2" borderId="6" xfId="0" applyFont="1" applyFill="1" applyBorder="1" applyProtection="1">
      <protection hidden="1"/>
    </xf>
    <xf numFmtId="40" fontId="78" fillId="2" borderId="21" xfId="0" applyNumberFormat="1" applyFont="1" applyFill="1" applyBorder="1" applyAlignment="1" applyProtection="1">
      <alignment horizontal="right" vertical="center"/>
      <protection hidden="1"/>
    </xf>
    <xf numFmtId="0" fontId="0" fillId="22" borderId="0" xfId="0" applyFill="1" applyAlignment="1" applyProtection="1">
      <alignment horizontal="center"/>
      <protection hidden="1"/>
    </xf>
    <xf numFmtId="0" fontId="0" fillId="22" borderId="21" xfId="0" applyFill="1" applyBorder="1" applyAlignment="1" applyProtection="1">
      <alignment horizontal="center"/>
      <protection hidden="1"/>
    </xf>
    <xf numFmtId="0" fontId="10" fillId="5" borderId="8" xfId="0" applyFont="1" applyFill="1" applyBorder="1" applyAlignment="1" applyProtection="1">
      <alignment horizontal="left"/>
      <protection hidden="1"/>
    </xf>
    <xf numFmtId="40" fontId="33" fillId="2" borderId="0" xfId="0" applyNumberFormat="1" applyFont="1" applyFill="1" applyAlignment="1" applyProtection="1">
      <alignment horizontal="right"/>
      <protection hidden="1"/>
    </xf>
    <xf numFmtId="164" fontId="3" fillId="2" borderId="8" xfId="0" applyNumberFormat="1" applyFont="1" applyFill="1" applyBorder="1" applyAlignment="1" applyProtection="1">
      <alignment horizontal="center" vertical="center"/>
      <protection locked="0"/>
    </xf>
    <xf numFmtId="164" fontId="3" fillId="2" borderId="0" xfId="0" applyNumberFormat="1" applyFont="1" applyFill="1" applyAlignment="1" applyProtection="1">
      <alignment horizontal="center" vertical="center"/>
      <protection locked="0"/>
    </xf>
    <xf numFmtId="0" fontId="40" fillId="2" borderId="0" xfId="0" applyFont="1" applyFill="1" applyAlignment="1" applyProtection="1">
      <alignment horizontal="right"/>
      <protection hidden="1"/>
    </xf>
    <xf numFmtId="182" fontId="129" fillId="2" borderId="0" xfId="0" applyNumberFormat="1" applyFont="1" applyFill="1" applyAlignment="1" applyProtection="1">
      <alignment horizontal="center"/>
      <protection hidden="1"/>
    </xf>
    <xf numFmtId="14" fontId="129" fillId="2" borderId="0" xfId="0" applyNumberFormat="1" applyFont="1" applyFill="1" applyAlignment="1" applyProtection="1">
      <alignment horizontal="center"/>
      <protection hidden="1"/>
    </xf>
    <xf numFmtId="0" fontId="129" fillId="2" borderId="0" xfId="0" applyFont="1" applyFill="1" applyAlignment="1" applyProtection="1">
      <alignment horizontal="center"/>
      <protection hidden="1"/>
    </xf>
    <xf numFmtId="182" fontId="7" fillId="2" borderId="0" xfId="0" applyNumberFormat="1" applyFont="1" applyFill="1" applyProtection="1">
      <protection locked="0"/>
    </xf>
    <xf numFmtId="0" fontId="141" fillId="2" borderId="0" xfId="0" applyFont="1" applyFill="1" applyAlignment="1" applyProtection="1">
      <alignment horizontal="center"/>
      <protection hidden="1"/>
    </xf>
    <xf numFmtId="0" fontId="146" fillId="25" borderId="5" xfId="0" applyFont="1" applyFill="1" applyBorder="1" applyProtection="1">
      <protection hidden="1"/>
    </xf>
    <xf numFmtId="0" fontId="3" fillId="25" borderId="6" xfId="0" quotePrefix="1" applyFont="1" applyFill="1" applyBorder="1" applyAlignment="1" applyProtection="1">
      <alignment horizontal="right"/>
      <protection hidden="1"/>
    </xf>
    <xf numFmtId="0" fontId="128" fillId="16" borderId="8" xfId="0" applyFont="1" applyFill="1" applyBorder="1" applyProtection="1">
      <protection locked="0"/>
    </xf>
    <xf numFmtId="4" fontId="7" fillId="21" borderId="1" xfId="0" applyNumberFormat="1" applyFont="1" applyFill="1" applyBorder="1" applyProtection="1">
      <protection locked="0"/>
    </xf>
    <xf numFmtId="37" fontId="193" fillId="3" borderId="3" xfId="0" applyNumberFormat="1" applyFont="1" applyFill="1" applyBorder="1" applyAlignment="1" applyProtection="1">
      <alignment horizontal="center"/>
      <protection hidden="1"/>
    </xf>
    <xf numFmtId="39" fontId="3" fillId="3" borderId="0" xfId="0" applyNumberFormat="1" applyFont="1" applyFill="1" applyAlignment="1" applyProtection="1">
      <alignment horizontal="center" vertical="center"/>
      <protection locked="0"/>
    </xf>
    <xf numFmtId="0" fontId="168" fillId="2" borderId="0" xfId="0" applyFont="1" applyFill="1" applyProtection="1">
      <protection hidden="1"/>
    </xf>
    <xf numFmtId="0" fontId="33" fillId="16" borderId="8" xfId="0" applyFont="1" applyFill="1" applyBorder="1"/>
    <xf numFmtId="0" fontId="33" fillId="16" borderId="20" xfId="0" applyFont="1" applyFill="1" applyBorder="1"/>
    <xf numFmtId="0" fontId="33" fillId="16" borderId="21" xfId="0" applyFont="1" applyFill="1" applyBorder="1"/>
    <xf numFmtId="0" fontId="5" fillId="16" borderId="5" xfId="0" applyFont="1" applyFill="1" applyBorder="1"/>
    <xf numFmtId="0" fontId="5" fillId="16" borderId="23" xfId="0" applyFont="1" applyFill="1" applyBorder="1"/>
    <xf numFmtId="0" fontId="64" fillId="2" borderId="0" xfId="0" applyFont="1" applyFill="1" applyAlignment="1" applyProtection="1">
      <alignment horizontal="left"/>
      <protection hidden="1"/>
    </xf>
    <xf numFmtId="4" fontId="5" fillId="33" borderId="67" xfId="0" applyNumberFormat="1" applyFont="1" applyFill="1" applyBorder="1" applyProtection="1">
      <protection locked="0"/>
    </xf>
    <xf numFmtId="0" fontId="18" fillId="16" borderId="2" xfId="0" applyFont="1" applyFill="1" applyBorder="1" applyAlignment="1" applyProtection="1">
      <alignment horizontal="center"/>
      <protection locked="0"/>
    </xf>
    <xf numFmtId="0" fontId="125" fillId="2" borderId="0" xfId="0" applyFont="1" applyFill="1" applyAlignment="1" applyProtection="1">
      <alignment horizontal="center"/>
      <protection hidden="1"/>
    </xf>
    <xf numFmtId="0" fontId="125" fillId="0" borderId="0" xfId="0" applyFont="1" applyAlignment="1">
      <alignment horizontal="center"/>
    </xf>
    <xf numFmtId="0" fontId="64" fillId="2" borderId="3" xfId="0" applyFont="1" applyFill="1" applyBorder="1" applyAlignment="1" applyProtection="1">
      <alignment horizontal="center"/>
      <protection hidden="1"/>
    </xf>
    <xf numFmtId="0" fontId="0" fillId="0" borderId="0" xfId="0" applyAlignment="1">
      <alignment horizontal="center" vertical="center"/>
    </xf>
    <xf numFmtId="0" fontId="10" fillId="2" borderId="0" xfId="0" applyFont="1" applyFill="1" applyAlignment="1" applyProtection="1">
      <alignment horizontal="center" vertical="center"/>
      <protection hidden="1"/>
    </xf>
    <xf numFmtId="0" fontId="135" fillId="32" borderId="28" xfId="0" applyFont="1" applyFill="1" applyBorder="1" applyAlignment="1" applyProtection="1">
      <alignment vertical="center"/>
      <protection hidden="1"/>
    </xf>
    <xf numFmtId="0" fontId="0" fillId="2" borderId="28" xfId="0" applyFill="1" applyBorder="1" applyAlignment="1" applyProtection="1">
      <alignment vertical="center"/>
      <protection hidden="1"/>
    </xf>
    <xf numFmtId="0" fontId="3" fillId="2" borderId="11" xfId="0" applyFont="1" applyFill="1" applyBorder="1" applyAlignment="1" applyProtection="1">
      <alignment horizontal="center"/>
      <protection hidden="1"/>
    </xf>
    <xf numFmtId="4" fontId="111" fillId="2" borderId="0" xfId="0" applyNumberFormat="1" applyFont="1" applyFill="1" applyAlignment="1" applyProtection="1">
      <alignment horizontal="right"/>
      <protection hidden="1"/>
    </xf>
    <xf numFmtId="0" fontId="5" fillId="2" borderId="28" xfId="0" applyFont="1" applyFill="1" applyBorder="1" applyAlignment="1" applyProtection="1">
      <alignment horizontal="left" vertical="center" indent="1"/>
      <protection hidden="1"/>
    </xf>
    <xf numFmtId="0" fontId="194" fillId="32" borderId="28" xfId="0" applyFont="1" applyFill="1" applyBorder="1" applyAlignment="1" applyProtection="1">
      <alignment horizontal="left" vertical="center"/>
      <protection hidden="1"/>
    </xf>
    <xf numFmtId="0" fontId="5" fillId="2" borderId="0" xfId="0" applyFont="1" applyFill="1" applyAlignment="1" applyProtection="1">
      <alignment horizontal="left" vertical="center" indent="1"/>
      <protection hidden="1"/>
    </xf>
    <xf numFmtId="0" fontId="5" fillId="2" borderId="0" xfId="0" quotePrefix="1" applyFont="1" applyFill="1" applyAlignment="1" applyProtection="1">
      <alignment horizontal="left" vertical="center" indent="1"/>
      <protection hidden="1"/>
    </xf>
    <xf numFmtId="0" fontId="0" fillId="2" borderId="124" xfId="0" applyFill="1" applyBorder="1" applyProtection="1">
      <protection hidden="1"/>
    </xf>
    <xf numFmtId="0" fontId="6" fillId="2" borderId="124" xfId="0" applyFont="1" applyFill="1" applyBorder="1" applyAlignment="1" applyProtection="1">
      <alignment horizontal="center"/>
      <protection hidden="1"/>
    </xf>
    <xf numFmtId="0" fontId="10" fillId="2" borderId="124" xfId="0" applyFont="1" applyFill="1" applyBorder="1" applyAlignment="1" applyProtection="1">
      <alignment horizontal="left"/>
      <protection hidden="1"/>
    </xf>
    <xf numFmtId="0" fontId="10" fillId="2" borderId="124" xfId="0" applyFont="1" applyFill="1" applyBorder="1" applyAlignment="1" applyProtection="1">
      <alignment horizontal="center"/>
      <protection hidden="1"/>
    </xf>
    <xf numFmtId="0" fontId="10" fillId="2" borderId="124" xfId="0" applyFont="1" applyFill="1" applyBorder="1" applyAlignment="1" applyProtection="1">
      <alignment horizontal="right"/>
      <protection hidden="1"/>
    </xf>
    <xf numFmtId="0" fontId="3" fillId="28" borderId="13" xfId="0" applyFont="1" applyFill="1" applyBorder="1" applyAlignment="1" applyProtection="1">
      <alignment horizontal="center" vertical="center"/>
      <protection hidden="1"/>
    </xf>
    <xf numFmtId="0" fontId="8" fillId="2" borderId="124" xfId="0" applyFont="1" applyFill="1" applyBorder="1" applyAlignment="1" applyProtection="1">
      <alignment horizontal="left"/>
      <protection hidden="1"/>
    </xf>
    <xf numFmtId="0" fontId="7" fillId="2" borderId="5" xfId="0" applyFont="1" applyFill="1" applyBorder="1" applyAlignment="1" applyProtection="1">
      <alignment horizontal="right"/>
      <protection hidden="1"/>
    </xf>
    <xf numFmtId="0" fontId="18" fillId="2" borderId="28" xfId="0" applyFont="1" applyFill="1" applyBorder="1" applyAlignment="1" applyProtection="1">
      <alignment horizontal="left" vertical="center" indent="1"/>
      <protection hidden="1"/>
    </xf>
    <xf numFmtId="0" fontId="3" fillId="2" borderId="7" xfId="0" applyFont="1" applyFill="1" applyBorder="1" applyAlignment="1" applyProtection="1">
      <alignment horizontal="center"/>
      <protection hidden="1"/>
    </xf>
    <xf numFmtId="0" fontId="3" fillId="2" borderId="0" xfId="0" applyFont="1" applyFill="1" applyAlignment="1" applyProtection="1">
      <alignment horizontal="left" vertical="top"/>
      <protection hidden="1"/>
    </xf>
    <xf numFmtId="3" fontId="6" fillId="2" borderId="3" xfId="0" applyNumberFormat="1" applyFont="1" applyFill="1" applyBorder="1" applyAlignment="1" applyProtection="1">
      <alignment horizontal="right" vertical="center"/>
      <protection locked="0"/>
    </xf>
    <xf numFmtId="3" fontId="6" fillId="2" borderId="25" xfId="0" applyNumberFormat="1" applyFont="1" applyFill="1" applyBorder="1" applyAlignment="1" applyProtection="1">
      <alignment horizontal="right" vertical="center"/>
      <protection locked="0"/>
    </xf>
    <xf numFmtId="0" fontId="0" fillId="2" borderId="3" xfId="0" applyFill="1" applyBorder="1" applyAlignment="1" applyProtection="1">
      <alignment vertical="top"/>
      <protection hidden="1"/>
    </xf>
    <xf numFmtId="0" fontId="0" fillId="2" borderId="25" xfId="0" applyFill="1" applyBorder="1" applyAlignment="1" applyProtection="1">
      <alignment vertical="top"/>
      <protection hidden="1"/>
    </xf>
    <xf numFmtId="0" fontId="0" fillId="0" borderId="3" xfId="0" applyBorder="1"/>
    <xf numFmtId="0" fontId="7" fillId="2" borderId="5" xfId="0" applyFont="1" applyFill="1" applyBorder="1" applyAlignment="1" applyProtection="1">
      <alignment horizontal="right" indent="1"/>
      <protection hidden="1"/>
    </xf>
    <xf numFmtId="0" fontId="0" fillId="8" borderId="16" xfId="0" applyFill="1" applyBorder="1" applyProtection="1">
      <protection hidden="1"/>
    </xf>
    <xf numFmtId="0" fontId="0" fillId="8" borderId="11" xfId="0" applyFill="1" applyBorder="1" applyProtection="1">
      <protection hidden="1"/>
    </xf>
    <xf numFmtId="0" fontId="6" fillId="2" borderId="11" xfId="0" applyFont="1" applyFill="1" applyBorder="1" applyAlignment="1" applyProtection="1">
      <alignment horizontal="right" vertical="center"/>
      <protection hidden="1"/>
    </xf>
    <xf numFmtId="0" fontId="0" fillId="2" borderId="7" xfId="0" applyFill="1" applyBorder="1" applyAlignment="1" applyProtection="1">
      <alignment vertical="top"/>
      <protection hidden="1"/>
    </xf>
    <xf numFmtId="0" fontId="0" fillId="8" borderId="25" xfId="0" applyFill="1" applyBorder="1" applyProtection="1">
      <protection hidden="1"/>
    </xf>
    <xf numFmtId="0" fontId="0" fillId="8" borderId="10" xfId="0" applyFill="1" applyBorder="1" applyProtection="1">
      <protection hidden="1"/>
    </xf>
    <xf numFmtId="0" fontId="0" fillId="8" borderId="12" xfId="0" applyFill="1" applyBorder="1" applyProtection="1">
      <protection hidden="1"/>
    </xf>
    <xf numFmtId="0" fontId="0" fillId="8" borderId="40" xfId="0" applyFill="1" applyBorder="1" applyProtection="1">
      <protection hidden="1"/>
    </xf>
    <xf numFmtId="0" fontId="0" fillId="8" borderId="55" xfId="0" applyFill="1" applyBorder="1" applyProtection="1">
      <protection hidden="1"/>
    </xf>
    <xf numFmtId="0" fontId="6" fillId="2" borderId="7" xfId="0" applyFont="1" applyFill="1" applyBorder="1" applyAlignment="1" applyProtection="1">
      <alignment horizontal="right" vertical="center"/>
      <protection hidden="1"/>
    </xf>
    <xf numFmtId="0" fontId="5" fillId="2" borderId="9" xfId="0" applyFont="1" applyFill="1" applyBorder="1" applyAlignment="1" applyProtection="1">
      <alignment vertical="center"/>
      <protection hidden="1"/>
    </xf>
    <xf numFmtId="0" fontId="0" fillId="8" borderId="31" xfId="0" applyFill="1" applyBorder="1" applyProtection="1">
      <protection hidden="1"/>
    </xf>
    <xf numFmtId="0" fontId="0" fillId="8" borderId="15" xfId="0" applyFill="1" applyBorder="1" applyProtection="1">
      <protection hidden="1"/>
    </xf>
    <xf numFmtId="0" fontId="5" fillId="2" borderId="28" xfId="0" applyFont="1" applyFill="1" applyBorder="1" applyAlignment="1" applyProtection="1">
      <alignment vertical="center"/>
      <protection hidden="1"/>
    </xf>
    <xf numFmtId="0" fontId="3" fillId="0" borderId="16" xfId="0" applyFont="1" applyBorder="1" applyAlignment="1" applyProtection="1">
      <alignment horizontal="center"/>
      <protection hidden="1"/>
    </xf>
    <xf numFmtId="1" fontId="3" fillId="0" borderId="1" xfId="0" applyNumberFormat="1" applyFont="1" applyBorder="1" applyAlignment="1" applyProtection="1">
      <alignment horizontal="center"/>
      <protection hidden="1"/>
    </xf>
    <xf numFmtId="0" fontId="0" fillId="2" borderId="28" xfId="0" applyFill="1" applyBorder="1" applyProtection="1">
      <protection hidden="1"/>
    </xf>
    <xf numFmtId="0" fontId="12" fillId="2" borderId="28" xfId="0" applyFont="1" applyFill="1" applyBorder="1" applyAlignment="1" applyProtection="1">
      <alignment horizontal="left"/>
      <protection hidden="1"/>
    </xf>
    <xf numFmtId="4" fontId="129" fillId="2" borderId="3" xfId="0" applyNumberFormat="1" applyFont="1" applyFill="1" applyBorder="1" applyAlignment="1" applyProtection="1">
      <alignment horizontal="center"/>
      <protection hidden="1"/>
    </xf>
    <xf numFmtId="0" fontId="7" fillId="16" borderId="0" xfId="0" applyFont="1" applyFill="1"/>
    <xf numFmtId="0" fontId="10" fillId="0" borderId="25" xfId="0" applyFont="1" applyBorder="1"/>
    <xf numFmtId="0" fontId="18" fillId="16" borderId="9" xfId="0" applyFont="1" applyFill="1" applyBorder="1" applyAlignment="1" applyProtection="1">
      <alignment horizontal="left" vertical="center" wrapText="1"/>
      <protection hidden="1"/>
    </xf>
    <xf numFmtId="0" fontId="0" fillId="8" borderId="9" xfId="0" applyFill="1" applyBorder="1" applyProtection="1">
      <protection hidden="1"/>
    </xf>
    <xf numFmtId="0" fontId="0" fillId="8" borderId="1" xfId="0" applyFill="1" applyBorder="1" applyProtection="1">
      <protection hidden="1"/>
    </xf>
    <xf numFmtId="0" fontId="10" fillId="16" borderId="0" xfId="0" applyFont="1" applyFill="1" applyAlignment="1" applyProtection="1">
      <alignment vertical="center"/>
      <protection hidden="1"/>
    </xf>
    <xf numFmtId="0" fontId="10" fillId="16" borderId="0" xfId="0" applyFont="1" applyFill="1" applyAlignment="1">
      <alignment vertical="center"/>
    </xf>
    <xf numFmtId="0" fontId="10" fillId="16" borderId="25" xfId="0" applyFont="1" applyFill="1" applyBorder="1" applyAlignment="1">
      <alignment vertical="center"/>
    </xf>
    <xf numFmtId="3" fontId="131" fillId="2" borderId="25" xfId="0" applyNumberFormat="1" applyFont="1" applyFill="1" applyBorder="1" applyAlignment="1" applyProtection="1">
      <alignment horizontal="right" vertical="center"/>
      <protection locked="0"/>
    </xf>
    <xf numFmtId="3" fontId="145" fillId="2" borderId="3" xfId="0" applyNumberFormat="1" applyFont="1" applyFill="1" applyBorder="1" applyAlignment="1" applyProtection="1">
      <alignment horizontal="right" vertical="center"/>
      <protection locked="0"/>
    </xf>
    <xf numFmtId="3" fontId="145" fillId="2" borderId="0" xfId="0" applyNumberFormat="1" applyFont="1" applyFill="1" applyAlignment="1" applyProtection="1">
      <alignment horizontal="right" vertical="center"/>
      <protection locked="0"/>
    </xf>
    <xf numFmtId="0" fontId="3" fillId="2" borderId="127" xfId="0" applyFont="1" applyFill="1" applyBorder="1" applyAlignment="1" applyProtection="1">
      <alignment horizontal="center"/>
      <protection hidden="1"/>
    </xf>
    <xf numFmtId="0" fontId="0" fillId="16" borderId="11" xfId="0" applyFill="1" applyBorder="1" applyProtection="1">
      <protection hidden="1"/>
    </xf>
    <xf numFmtId="0" fontId="3" fillId="16" borderId="16" xfId="0" applyFont="1" applyFill="1" applyBorder="1" applyProtection="1">
      <protection hidden="1"/>
    </xf>
    <xf numFmtId="0" fontId="18" fillId="16" borderId="1" xfId="0" applyFont="1" applyFill="1" applyBorder="1" applyAlignment="1" applyProtection="1">
      <alignment horizontal="left" vertical="center" wrapText="1"/>
      <protection hidden="1"/>
    </xf>
    <xf numFmtId="0" fontId="53" fillId="0" borderId="0" xfId="0" applyFont="1"/>
    <xf numFmtId="0" fontId="3" fillId="16" borderId="1" xfId="0" applyFont="1" applyFill="1" applyBorder="1" applyAlignment="1" applyProtection="1">
      <alignment horizontal="left" vertical="center" wrapText="1"/>
      <protection hidden="1"/>
    </xf>
    <xf numFmtId="0" fontId="5" fillId="16" borderId="1" xfId="0" applyFont="1" applyFill="1" applyBorder="1" applyAlignment="1">
      <alignment horizontal="left" vertical="center"/>
    </xf>
    <xf numFmtId="0" fontId="5" fillId="16" borderId="1" xfId="0" applyFont="1" applyFill="1" applyBorder="1" applyAlignment="1">
      <alignment horizontal="left" vertical="center" wrapText="1"/>
    </xf>
    <xf numFmtId="0" fontId="5" fillId="16" borderId="0" xfId="0" applyFont="1" applyFill="1" applyAlignment="1" applyProtection="1">
      <alignment horizontal="left" vertical="center" wrapText="1"/>
      <protection hidden="1"/>
    </xf>
    <xf numFmtId="0" fontId="18" fillId="16" borderId="0" xfId="0" applyFont="1" applyFill="1" applyAlignment="1" applyProtection="1">
      <alignment horizontal="left" vertical="center" wrapText="1"/>
      <protection hidden="1"/>
    </xf>
    <xf numFmtId="0" fontId="3" fillId="16" borderId="0" xfId="0" applyFont="1" applyFill="1" applyAlignment="1" applyProtection="1">
      <alignment horizontal="left" vertical="center" wrapText="1"/>
      <protection hidden="1"/>
    </xf>
    <xf numFmtId="0" fontId="3" fillId="16" borderId="13" xfId="0" applyFont="1" applyFill="1" applyBorder="1" applyAlignment="1" applyProtection="1">
      <alignment horizontal="center"/>
      <protection hidden="1"/>
    </xf>
    <xf numFmtId="0" fontId="3" fillId="16" borderId="7" xfId="0" applyFont="1" applyFill="1" applyBorder="1" applyProtection="1">
      <protection hidden="1"/>
    </xf>
    <xf numFmtId="0" fontId="3" fillId="16" borderId="11" xfId="0" applyFont="1" applyFill="1" applyBorder="1" applyProtection="1">
      <protection hidden="1"/>
    </xf>
    <xf numFmtId="0" fontId="18" fillId="16" borderId="0" xfId="0" applyFont="1" applyFill="1" applyAlignment="1" applyProtection="1">
      <alignment horizontal="left" vertical="center"/>
      <protection hidden="1"/>
    </xf>
    <xf numFmtId="0" fontId="18" fillId="16" borderId="25" xfId="0" applyFont="1" applyFill="1" applyBorder="1" applyAlignment="1" applyProtection="1">
      <alignment horizontal="left" vertical="center" wrapText="1"/>
      <protection hidden="1"/>
    </xf>
    <xf numFmtId="0" fontId="3" fillId="2" borderId="3" xfId="0" applyFont="1" applyFill="1" applyBorder="1" applyAlignment="1" applyProtection="1">
      <alignment horizontal="center" vertical="center" wrapText="1"/>
      <protection hidden="1"/>
    </xf>
    <xf numFmtId="0" fontId="3" fillId="2" borderId="25" xfId="0" applyFont="1" applyFill="1" applyBorder="1" applyAlignment="1" applyProtection="1">
      <alignment horizontal="center" vertical="center" wrapText="1"/>
      <protection hidden="1"/>
    </xf>
    <xf numFmtId="0" fontId="18" fillId="16" borderId="0" xfId="0" applyFont="1" applyFill="1" applyAlignment="1" applyProtection="1">
      <alignment horizontal="center" vertical="center" wrapText="1"/>
      <protection hidden="1"/>
    </xf>
    <xf numFmtId="0" fontId="7" fillId="16" borderId="0" xfId="0" applyFont="1" applyFill="1" applyAlignment="1" applyProtection="1">
      <alignment horizontal="left" vertical="center"/>
      <protection hidden="1"/>
    </xf>
    <xf numFmtId="0" fontId="5" fillId="16" borderId="0" xfId="0" applyFont="1" applyFill="1" applyAlignment="1" applyProtection="1">
      <alignment horizontal="left" vertical="center"/>
      <protection hidden="1"/>
    </xf>
    <xf numFmtId="0" fontId="3" fillId="16" borderId="7" xfId="0" quotePrefix="1" applyFont="1" applyFill="1" applyBorder="1" applyAlignment="1" applyProtection="1">
      <alignment horizontal="center"/>
      <protection hidden="1"/>
    </xf>
    <xf numFmtId="0" fontId="3" fillId="16" borderId="13" xfId="0" quotePrefix="1" applyFont="1" applyFill="1" applyBorder="1" applyAlignment="1" applyProtection="1">
      <alignment horizontal="right" indent="1"/>
      <protection hidden="1"/>
    </xf>
    <xf numFmtId="0" fontId="5" fillId="16" borderId="0" xfId="0" applyFont="1" applyFill="1" applyAlignment="1" applyProtection="1">
      <alignment horizontal="center" vertical="center" wrapText="1"/>
      <protection hidden="1"/>
    </xf>
    <xf numFmtId="0" fontId="5" fillId="16" borderId="1" xfId="0" applyFont="1" applyFill="1" applyBorder="1" applyAlignment="1" applyProtection="1">
      <alignment horizontal="left" vertical="center"/>
      <protection hidden="1"/>
    </xf>
    <xf numFmtId="0" fontId="3" fillId="2" borderId="1" xfId="0" applyFont="1" applyFill="1" applyBorder="1" applyAlignment="1" applyProtection="1">
      <alignment horizontal="right" vertical="center"/>
      <protection hidden="1"/>
    </xf>
    <xf numFmtId="0" fontId="7" fillId="16" borderId="1" xfId="0" applyFont="1" applyFill="1" applyBorder="1" applyAlignment="1" applyProtection="1">
      <alignment horizontal="center" vertical="top" wrapText="1"/>
      <protection hidden="1"/>
    </xf>
    <xf numFmtId="0" fontId="3" fillId="16" borderId="11" xfId="0" quotePrefix="1" applyFont="1" applyFill="1" applyBorder="1" applyAlignment="1" applyProtection="1">
      <alignment horizontal="right" indent="1"/>
      <protection hidden="1"/>
    </xf>
    <xf numFmtId="0" fontId="7" fillId="16" borderId="0" xfId="0" applyFont="1" applyFill="1" applyAlignment="1" applyProtection="1">
      <alignment horizontal="center" vertical="top" wrapText="1"/>
      <protection hidden="1"/>
    </xf>
    <xf numFmtId="0" fontId="3" fillId="8" borderId="40" xfId="0" applyFont="1" applyFill="1" applyBorder="1" applyAlignment="1" applyProtection="1">
      <alignment horizontal="center" vertical="center" wrapText="1"/>
      <protection hidden="1"/>
    </xf>
    <xf numFmtId="0" fontId="3" fillId="8" borderId="55" xfId="0" applyFont="1" applyFill="1" applyBorder="1" applyAlignment="1" applyProtection="1">
      <alignment horizontal="center" vertical="center" wrapText="1"/>
      <protection hidden="1"/>
    </xf>
    <xf numFmtId="0" fontId="3" fillId="16" borderId="11" xfId="0" quotePrefix="1" applyFont="1" applyFill="1" applyBorder="1" applyAlignment="1" applyProtection="1">
      <alignment horizontal="center"/>
      <protection hidden="1"/>
    </xf>
    <xf numFmtId="0" fontId="3" fillId="16" borderId="13" xfId="0" quotePrefix="1" applyFont="1" applyFill="1" applyBorder="1" applyAlignment="1" applyProtection="1">
      <alignment horizontal="center"/>
      <protection hidden="1"/>
    </xf>
    <xf numFmtId="0" fontId="3" fillId="8" borderId="3" xfId="0" applyFont="1" applyFill="1" applyBorder="1" applyAlignment="1" applyProtection="1">
      <alignment horizontal="center" vertical="center" wrapText="1"/>
      <protection hidden="1"/>
    </xf>
    <xf numFmtId="0" fontId="3" fillId="8" borderId="25" xfId="0" applyFont="1" applyFill="1" applyBorder="1" applyAlignment="1" applyProtection="1">
      <alignment horizontal="center" vertical="center" wrapText="1"/>
      <protection hidden="1"/>
    </xf>
    <xf numFmtId="0" fontId="3" fillId="8" borderId="10" xfId="0" applyFont="1" applyFill="1" applyBorder="1" applyAlignment="1" applyProtection="1">
      <alignment horizontal="center" vertical="center" wrapText="1"/>
      <protection hidden="1"/>
    </xf>
    <xf numFmtId="0" fontId="3" fillId="8" borderId="12" xfId="0" applyFont="1" applyFill="1" applyBorder="1" applyAlignment="1" applyProtection="1">
      <alignment horizontal="center" vertical="center" wrapText="1"/>
      <protection hidden="1"/>
    </xf>
    <xf numFmtId="0" fontId="3" fillId="18" borderId="13" xfId="0" applyFont="1" applyFill="1" applyBorder="1" applyAlignment="1" applyProtection="1">
      <alignment vertical="center"/>
      <protection hidden="1"/>
    </xf>
    <xf numFmtId="0" fontId="18" fillId="16" borderId="9" xfId="0" applyFont="1" applyFill="1" applyBorder="1" applyAlignment="1" applyProtection="1">
      <alignment horizontal="center" vertical="center" wrapText="1"/>
      <protection hidden="1"/>
    </xf>
    <xf numFmtId="0" fontId="12" fillId="16" borderId="31" xfId="0" applyFont="1" applyFill="1" applyBorder="1" applyAlignment="1">
      <alignment vertical="center"/>
    </xf>
    <xf numFmtId="0" fontId="0" fillId="16" borderId="9" xfId="0" applyFill="1" applyBorder="1" applyAlignment="1">
      <alignment vertical="center"/>
    </xf>
    <xf numFmtId="0" fontId="0" fillId="16" borderId="15" xfId="0" applyFill="1" applyBorder="1" applyAlignment="1">
      <alignment vertical="center"/>
    </xf>
    <xf numFmtId="0" fontId="53" fillId="16" borderId="3" xfId="0" applyFont="1" applyFill="1" applyBorder="1"/>
    <xf numFmtId="0" fontId="53" fillId="16" borderId="0" xfId="0" applyFont="1" applyFill="1"/>
    <xf numFmtId="0" fontId="5" fillId="16" borderId="3" xfId="0" applyFont="1" applyFill="1" applyBorder="1" applyAlignment="1" applyProtection="1">
      <alignment horizontal="left" vertical="center" wrapText="1"/>
      <protection hidden="1"/>
    </xf>
    <xf numFmtId="0" fontId="18" fillId="16" borderId="31" xfId="0" applyFont="1" applyFill="1" applyBorder="1" applyAlignment="1" applyProtection="1">
      <alignment horizontal="left" vertical="center" wrapText="1"/>
      <protection hidden="1"/>
    </xf>
    <xf numFmtId="0" fontId="18" fillId="16" borderId="3" xfId="0" applyFont="1" applyFill="1" applyBorder="1" applyAlignment="1" applyProtection="1">
      <alignment horizontal="left" vertical="center" wrapText="1"/>
      <protection hidden="1"/>
    </xf>
    <xf numFmtId="0" fontId="18" fillId="16" borderId="10" xfId="0" applyFont="1" applyFill="1" applyBorder="1" applyAlignment="1" applyProtection="1">
      <alignment horizontal="left" vertical="center" wrapText="1"/>
      <protection hidden="1"/>
    </xf>
    <xf numFmtId="0" fontId="12" fillId="16" borderId="0" xfId="0" applyFont="1" applyFill="1" applyAlignment="1">
      <alignment horizontal="right" indent="1"/>
    </xf>
    <xf numFmtId="0" fontId="18" fillId="16" borderId="0" xfId="0" quotePrefix="1" applyFont="1" applyFill="1"/>
    <xf numFmtId="0" fontId="129" fillId="16" borderId="0" xfId="0" applyFont="1" applyFill="1"/>
    <xf numFmtId="3" fontId="131" fillId="2" borderId="0" xfId="0" applyNumberFormat="1" applyFont="1" applyFill="1" applyAlignment="1" applyProtection="1">
      <alignment horizontal="right" vertical="center"/>
      <protection locked="0"/>
    </xf>
    <xf numFmtId="3" fontId="6" fillId="2" borderId="9" xfId="0" applyNumberFormat="1" applyFont="1" applyFill="1" applyBorder="1" applyAlignment="1" applyProtection="1">
      <alignment horizontal="right" vertical="center"/>
      <protection locked="0"/>
    </xf>
    <xf numFmtId="0" fontId="5" fillId="16" borderId="0" xfId="0" applyFont="1" applyFill="1" applyAlignment="1" applyProtection="1">
      <alignment horizontal="left"/>
      <protection hidden="1"/>
    </xf>
    <xf numFmtId="0" fontId="12" fillId="16" borderId="0" xfId="0" applyFont="1" applyFill="1"/>
    <xf numFmtId="0" fontId="12" fillId="16" borderId="3" xfId="0" applyFont="1" applyFill="1" applyBorder="1" applyAlignment="1">
      <alignment horizontal="left" indent="1"/>
    </xf>
    <xf numFmtId="3" fontId="0" fillId="28" borderId="1" xfId="0" applyNumberFormat="1" applyFill="1" applyBorder="1" applyProtection="1">
      <protection hidden="1"/>
    </xf>
    <xf numFmtId="0" fontId="0" fillId="10" borderId="0" xfId="0" applyFill="1"/>
    <xf numFmtId="4" fontId="5" fillId="33" borderId="84" xfId="0" applyNumberFormat="1" applyFont="1" applyFill="1" applyBorder="1" applyAlignment="1" applyProtection="1">
      <alignment horizontal="center"/>
      <protection locked="0"/>
    </xf>
    <xf numFmtId="2" fontId="129" fillId="2" borderId="0" xfId="0" applyNumberFormat="1" applyFont="1" applyFill="1" applyProtection="1">
      <protection hidden="1"/>
    </xf>
    <xf numFmtId="0" fontId="5" fillId="2" borderId="0" xfId="0" applyFont="1" applyFill="1" applyAlignment="1" applyProtection="1">
      <alignment horizontal="right" vertical="center"/>
      <protection hidden="1"/>
    </xf>
    <xf numFmtId="0" fontId="10" fillId="16" borderId="0" xfId="0" applyFont="1" applyFill="1" applyAlignment="1" applyProtection="1">
      <alignment vertical="top"/>
      <protection hidden="1"/>
    </xf>
    <xf numFmtId="0" fontId="10" fillId="0" borderId="0" xfId="0" applyFont="1" applyAlignment="1" applyProtection="1">
      <alignment wrapText="1"/>
      <protection hidden="1"/>
    </xf>
    <xf numFmtId="0" fontId="5" fillId="16" borderId="0" xfId="0" applyFont="1" applyFill="1" applyAlignment="1">
      <alignment vertical="center"/>
    </xf>
    <xf numFmtId="0" fontId="141" fillId="2" borderId="1" xfId="0" applyFont="1" applyFill="1" applyBorder="1" applyProtection="1">
      <protection hidden="1"/>
    </xf>
    <xf numFmtId="0" fontId="131" fillId="16" borderId="0" xfId="0" applyFont="1" applyFill="1" applyProtection="1">
      <protection hidden="1"/>
    </xf>
    <xf numFmtId="0" fontId="129" fillId="16" borderId="0" xfId="0" applyFont="1" applyFill="1" applyAlignment="1">
      <alignment wrapText="1"/>
    </xf>
    <xf numFmtId="0" fontId="131" fillId="2" borderId="0" xfId="0" applyFont="1" applyFill="1" applyProtection="1">
      <protection hidden="1"/>
    </xf>
    <xf numFmtId="0" fontId="145" fillId="2" borderId="0" xfId="0" applyFont="1" applyFill="1" applyAlignment="1" applyProtection="1">
      <alignment horizontal="right" vertical="center"/>
      <protection hidden="1"/>
    </xf>
    <xf numFmtId="0" fontId="8" fillId="16" borderId="0" xfId="0" applyFont="1" applyFill="1" applyAlignment="1" applyProtection="1">
      <alignment vertical="center"/>
      <protection hidden="1"/>
    </xf>
    <xf numFmtId="14" fontId="5" fillId="2" borderId="7" xfId="0" applyNumberFormat="1" applyFont="1" applyFill="1" applyBorder="1" applyAlignment="1" applyProtection="1">
      <alignment horizontal="center" wrapText="1"/>
      <protection hidden="1"/>
    </xf>
    <xf numFmtId="3" fontId="7" fillId="0" borderId="2" xfId="0" applyNumberFormat="1" applyFont="1" applyBorder="1" applyProtection="1">
      <protection locked="0"/>
    </xf>
    <xf numFmtId="0" fontId="5" fillId="2" borderId="7" xfId="0" applyFont="1" applyFill="1" applyBorder="1" applyAlignment="1" applyProtection="1">
      <alignment horizontal="center" wrapText="1"/>
      <protection hidden="1"/>
    </xf>
    <xf numFmtId="168" fontId="7" fillId="28" borderId="67" xfId="0" applyNumberFormat="1" applyFont="1" applyFill="1" applyBorder="1" applyAlignment="1" applyProtection="1">
      <alignment horizontal="right"/>
      <protection hidden="1"/>
    </xf>
    <xf numFmtId="168" fontId="7" fillId="28" borderId="59" xfId="0" applyNumberFormat="1" applyFont="1" applyFill="1" applyBorder="1" applyAlignment="1" applyProtection="1">
      <alignment horizontal="right"/>
      <protection hidden="1"/>
    </xf>
    <xf numFmtId="168" fontId="7" fillId="28" borderId="111" xfId="0" applyNumberFormat="1" applyFont="1" applyFill="1" applyBorder="1" applyAlignment="1" applyProtection="1">
      <alignment horizontal="right"/>
      <protection hidden="1"/>
    </xf>
    <xf numFmtId="168" fontId="7" fillId="17" borderId="44" xfId="0" applyNumberFormat="1" applyFont="1" applyFill="1" applyBorder="1" applyAlignment="1" applyProtection="1">
      <alignment horizontal="right" wrapText="1"/>
      <protection locked="0"/>
    </xf>
    <xf numFmtId="168" fontId="7" fillId="17" borderId="13" xfId="0" applyNumberFormat="1" applyFont="1" applyFill="1" applyBorder="1" applyAlignment="1" applyProtection="1">
      <alignment horizontal="right" wrapText="1"/>
      <protection locked="0"/>
    </xf>
    <xf numFmtId="168" fontId="7" fillId="17" borderId="52" xfId="0" applyNumberFormat="1" applyFont="1" applyFill="1" applyBorder="1" applyAlignment="1" applyProtection="1">
      <alignment horizontal="right" wrapText="1"/>
      <protection locked="0"/>
    </xf>
    <xf numFmtId="188" fontId="7" fillId="17" borderId="110" xfId="0" applyNumberFormat="1" applyFont="1" applyFill="1" applyBorder="1" applyAlignment="1" applyProtection="1">
      <alignment horizontal="center" wrapText="1"/>
      <protection locked="0"/>
    </xf>
    <xf numFmtId="188" fontId="7" fillId="17" borderId="47" xfId="0" applyNumberFormat="1" applyFont="1" applyFill="1" applyBorder="1" applyAlignment="1" applyProtection="1">
      <alignment horizontal="center" wrapText="1"/>
      <protection locked="0"/>
    </xf>
    <xf numFmtId="188" fontId="7" fillId="17" borderId="51" xfId="0" applyNumberFormat="1" applyFont="1" applyFill="1" applyBorder="1" applyAlignment="1" applyProtection="1">
      <alignment horizontal="center" wrapText="1"/>
      <protection locked="0"/>
    </xf>
    <xf numFmtId="168" fontId="7" fillId="28" borderId="44" xfId="0" applyNumberFormat="1" applyFont="1" applyFill="1" applyBorder="1" applyAlignment="1" applyProtection="1">
      <alignment horizontal="right"/>
      <protection hidden="1"/>
    </xf>
    <xf numFmtId="168" fontId="7" fillId="28" borderId="13" xfId="0" applyNumberFormat="1" applyFont="1" applyFill="1" applyBorder="1" applyAlignment="1" applyProtection="1">
      <alignment horizontal="right"/>
      <protection hidden="1"/>
    </xf>
    <xf numFmtId="168" fontId="7" fillId="28" borderId="52" xfId="0" applyNumberFormat="1" applyFont="1" applyFill="1" applyBorder="1" applyAlignment="1" applyProtection="1">
      <alignment horizontal="right"/>
      <protection hidden="1"/>
    </xf>
    <xf numFmtId="0" fontId="129" fillId="0" borderId="0" xfId="0" applyFont="1" applyAlignment="1" applyProtection="1">
      <alignment horizontal="left" vertical="top"/>
      <protection hidden="1"/>
    </xf>
    <xf numFmtId="0" fontId="200" fillId="3" borderId="26" xfId="0" applyFont="1" applyFill="1" applyBorder="1" applyAlignment="1" applyProtection="1">
      <alignment vertical="center"/>
      <protection hidden="1"/>
    </xf>
    <xf numFmtId="0" fontId="64" fillId="2" borderId="110" xfId="0" applyFont="1" applyFill="1" applyBorder="1" applyAlignment="1" applyProtection="1">
      <alignment horizontal="right"/>
      <protection hidden="1"/>
    </xf>
    <xf numFmtId="0" fontId="64" fillId="2" borderId="47" xfId="0" applyFont="1" applyFill="1" applyBorder="1" applyAlignment="1" applyProtection="1">
      <alignment horizontal="right"/>
      <protection hidden="1"/>
    </xf>
    <xf numFmtId="0" fontId="64" fillId="2" borderId="51" xfId="0" applyFont="1" applyFill="1" applyBorder="1" applyAlignment="1" applyProtection="1">
      <alignment horizontal="right"/>
      <protection hidden="1"/>
    </xf>
    <xf numFmtId="0" fontId="3" fillId="2" borderId="41" xfId="0" applyFont="1" applyFill="1" applyBorder="1" applyProtection="1">
      <protection hidden="1"/>
    </xf>
    <xf numFmtId="0" fontId="3" fillId="2" borderId="42" xfId="0" applyFont="1" applyFill="1" applyBorder="1" applyProtection="1">
      <protection hidden="1"/>
    </xf>
    <xf numFmtId="0" fontId="127" fillId="2" borderId="42" xfId="0" applyFont="1" applyFill="1" applyBorder="1" applyAlignment="1" applyProtection="1">
      <alignment vertical="top" wrapText="1"/>
      <protection hidden="1"/>
    </xf>
    <xf numFmtId="0" fontId="3" fillId="2" borderId="24" xfId="0" applyFont="1" applyFill="1" applyBorder="1" applyAlignment="1" applyProtection="1">
      <alignment horizontal="right"/>
      <protection hidden="1"/>
    </xf>
    <xf numFmtId="0" fontId="3" fillId="2" borderId="6" xfId="0" applyFont="1" applyFill="1" applyBorder="1" applyAlignment="1" applyProtection="1">
      <alignment horizontal="right"/>
      <protection hidden="1"/>
    </xf>
    <xf numFmtId="0" fontId="3" fillId="2" borderId="67" xfId="0" applyFont="1" applyFill="1" applyBorder="1" applyAlignment="1" applyProtection="1">
      <alignment horizontal="right"/>
      <protection hidden="1"/>
    </xf>
    <xf numFmtId="0" fontId="3" fillId="2" borderId="59" xfId="0" applyFont="1" applyFill="1" applyBorder="1" applyAlignment="1" applyProtection="1">
      <alignment horizontal="right"/>
      <protection hidden="1"/>
    </xf>
    <xf numFmtId="0" fontId="3" fillId="2" borderId="111" xfId="0" applyFont="1" applyFill="1" applyBorder="1" applyAlignment="1" applyProtection="1">
      <alignment horizontal="right"/>
      <protection hidden="1"/>
    </xf>
    <xf numFmtId="0" fontId="6" fillId="2" borderId="9" xfId="0" applyFont="1" applyFill="1" applyBorder="1" applyAlignment="1" applyProtection="1">
      <alignment horizontal="center" vertical="center" wrapText="1"/>
      <protection hidden="1"/>
    </xf>
    <xf numFmtId="4" fontId="21" fillId="2" borderId="6" xfId="0" applyNumberFormat="1" applyFont="1" applyFill="1" applyBorder="1" applyAlignment="1" applyProtection="1">
      <alignment horizontal="right"/>
      <protection hidden="1"/>
    </xf>
    <xf numFmtId="4" fontId="21" fillId="2" borderId="6" xfId="0" applyNumberFormat="1" applyFont="1" applyFill="1" applyBorder="1" applyAlignment="1" applyProtection="1">
      <alignment horizontal="center"/>
      <protection hidden="1"/>
    </xf>
    <xf numFmtId="171" fontId="21" fillId="2" borderId="6" xfId="0" applyNumberFormat="1" applyFont="1" applyFill="1" applyBorder="1" applyAlignment="1" applyProtection="1">
      <alignment horizontal="right"/>
      <protection hidden="1"/>
    </xf>
    <xf numFmtId="0" fontId="6" fillId="2" borderId="0" xfId="0" applyFont="1" applyFill="1" applyAlignment="1" applyProtection="1">
      <alignment horizontal="center" vertical="center" wrapText="1"/>
      <protection hidden="1"/>
    </xf>
    <xf numFmtId="0" fontId="3" fillId="2" borderId="135" xfId="0" applyFont="1" applyFill="1" applyBorder="1" applyAlignment="1" applyProtection="1">
      <alignment horizontal="center" wrapText="1"/>
      <protection hidden="1"/>
    </xf>
    <xf numFmtId="0" fontId="3" fillId="2" borderId="43" xfId="0" applyFont="1" applyFill="1" applyBorder="1" applyProtection="1">
      <protection hidden="1"/>
    </xf>
    <xf numFmtId="0" fontId="148" fillId="16" borderId="0" xfId="0" applyFont="1" applyFill="1" applyProtection="1">
      <protection hidden="1"/>
    </xf>
    <xf numFmtId="3" fontId="116" fillId="16" borderId="31" xfId="0" applyNumberFormat="1" applyFont="1" applyFill="1" applyBorder="1" applyAlignment="1" applyProtection="1">
      <alignment horizontal="center"/>
      <protection hidden="1"/>
    </xf>
    <xf numFmtId="4" fontId="148" fillId="16" borderId="15" xfId="0" applyNumberFormat="1" applyFont="1" applyFill="1" applyBorder="1" applyProtection="1">
      <protection hidden="1"/>
    </xf>
    <xf numFmtId="3" fontId="116" fillId="16" borderId="3" xfId="0" applyNumberFormat="1" applyFont="1" applyFill="1" applyBorder="1" applyAlignment="1" applyProtection="1">
      <alignment horizontal="center"/>
      <protection hidden="1"/>
    </xf>
    <xf numFmtId="4" fontId="148" fillId="16" borderId="25" xfId="0" applyNumberFormat="1" applyFont="1" applyFill="1" applyBorder="1" applyProtection="1">
      <protection hidden="1"/>
    </xf>
    <xf numFmtId="3" fontId="148" fillId="16" borderId="3" xfId="0" applyNumberFormat="1" applyFont="1" applyFill="1" applyBorder="1" applyProtection="1">
      <protection hidden="1"/>
    </xf>
    <xf numFmtId="4" fontId="148" fillId="16" borderId="25" xfId="0" applyNumberFormat="1" applyFont="1" applyFill="1" applyBorder="1" applyAlignment="1" applyProtection="1">
      <alignment vertical="center"/>
      <protection hidden="1"/>
    </xf>
    <xf numFmtId="3" fontId="148" fillId="16" borderId="10" xfId="0" applyNumberFormat="1" applyFont="1" applyFill="1" applyBorder="1" applyProtection="1">
      <protection hidden="1"/>
    </xf>
    <xf numFmtId="4" fontId="148" fillId="16" borderId="12" xfId="0" applyNumberFormat="1" applyFont="1" applyFill="1" applyBorder="1" applyProtection="1">
      <protection hidden="1"/>
    </xf>
    <xf numFmtId="0" fontId="148" fillId="16" borderId="9" xfId="0" applyFont="1" applyFill="1" applyBorder="1" applyAlignment="1" applyProtection="1">
      <alignment horizontal="center"/>
      <protection hidden="1"/>
    </xf>
    <xf numFmtId="0" fontId="148" fillId="16" borderId="0" xfId="0" applyFont="1" applyFill="1" applyAlignment="1" applyProtection="1">
      <alignment horizontal="center"/>
      <protection hidden="1"/>
    </xf>
    <xf numFmtId="0" fontId="148" fillId="16" borderId="1" xfId="0" applyFont="1" applyFill="1" applyBorder="1" applyAlignment="1" applyProtection="1">
      <alignment horizontal="center"/>
      <protection hidden="1"/>
    </xf>
    <xf numFmtId="4" fontId="202" fillId="16" borderId="0" xfId="0" applyNumberFormat="1" applyFont="1" applyFill="1" applyProtection="1">
      <protection hidden="1"/>
    </xf>
    <xf numFmtId="4" fontId="202" fillId="16" borderId="0" xfId="0" applyNumberFormat="1" applyFont="1" applyFill="1" applyAlignment="1" applyProtection="1">
      <alignment horizontal="center"/>
      <protection hidden="1"/>
    </xf>
    <xf numFmtId="0" fontId="148" fillId="16" borderId="129" xfId="0" applyFont="1" applyFill="1" applyBorder="1" applyProtection="1">
      <protection hidden="1"/>
    </xf>
    <xf numFmtId="0" fontId="113" fillId="16" borderId="130" xfId="0" applyFont="1" applyFill="1" applyBorder="1" applyProtection="1">
      <protection hidden="1"/>
    </xf>
    <xf numFmtId="0" fontId="148" fillId="16" borderId="131" xfId="0" applyFont="1" applyFill="1" applyBorder="1" applyProtection="1">
      <protection hidden="1"/>
    </xf>
    <xf numFmtId="0" fontId="148" fillId="16" borderId="0" xfId="0" quotePrefix="1" applyFont="1" applyFill="1" applyAlignment="1" applyProtection="1">
      <alignment horizontal="center"/>
      <protection hidden="1"/>
    </xf>
    <xf numFmtId="0" fontId="113" fillId="16" borderId="132" xfId="0" applyFont="1" applyFill="1" applyBorder="1" applyProtection="1">
      <protection hidden="1"/>
    </xf>
    <xf numFmtId="4" fontId="148" fillId="16" borderId="0" xfId="0" applyNumberFormat="1" applyFont="1" applyFill="1" applyAlignment="1" applyProtection="1">
      <alignment horizontal="center"/>
      <protection hidden="1"/>
    </xf>
    <xf numFmtId="0" fontId="203" fillId="16" borderId="0" xfId="0" applyFont="1" applyFill="1" applyProtection="1">
      <protection hidden="1"/>
    </xf>
    <xf numFmtId="0" fontId="203" fillId="16" borderId="0" xfId="0" applyFont="1" applyFill="1" applyAlignment="1" applyProtection="1">
      <alignment horizontal="center"/>
      <protection hidden="1"/>
    </xf>
    <xf numFmtId="0" fontId="113" fillId="16" borderId="45" xfId="0" applyFont="1" applyFill="1" applyBorder="1" applyProtection="1">
      <protection hidden="1"/>
    </xf>
    <xf numFmtId="0" fontId="113" fillId="16" borderId="134" xfId="0" applyFont="1" applyFill="1" applyBorder="1" applyProtection="1">
      <protection hidden="1"/>
    </xf>
    <xf numFmtId="0" fontId="113" fillId="16" borderId="137" xfId="0" applyFont="1" applyFill="1" applyBorder="1" applyAlignment="1" applyProtection="1">
      <alignment horizontal="centerContinuous"/>
      <protection hidden="1"/>
    </xf>
    <xf numFmtId="0" fontId="113" fillId="16" borderId="138" xfId="0" applyFont="1" applyFill="1" applyBorder="1" applyAlignment="1" applyProtection="1">
      <alignment horizontal="centerContinuous"/>
      <protection hidden="1"/>
    </xf>
    <xf numFmtId="0" fontId="155" fillId="0" borderId="0" xfId="0" applyFont="1" applyAlignment="1" applyProtection="1">
      <alignment vertical="center"/>
      <protection hidden="1"/>
    </xf>
    <xf numFmtId="3" fontId="155" fillId="0" borderId="0" xfId="0" applyNumberFormat="1" applyFont="1" applyAlignment="1" applyProtection="1">
      <alignment vertical="center"/>
      <protection hidden="1"/>
    </xf>
    <xf numFmtId="3" fontId="156" fillId="0" borderId="0" xfId="0" applyNumberFormat="1" applyFont="1" applyAlignment="1" applyProtection="1">
      <alignment vertical="center"/>
      <protection hidden="1"/>
    </xf>
    <xf numFmtId="0" fontId="155" fillId="0" borderId="0" xfId="0" applyFont="1" applyProtection="1">
      <protection hidden="1"/>
    </xf>
    <xf numFmtId="0" fontId="204" fillId="16" borderId="131" xfId="0" applyFont="1" applyFill="1" applyBorder="1" applyAlignment="1" applyProtection="1">
      <alignment horizontal="right"/>
      <protection hidden="1"/>
    </xf>
    <xf numFmtId="0" fontId="204" fillId="16" borderId="131" xfId="0" applyFont="1" applyFill="1" applyBorder="1" applyProtection="1">
      <protection hidden="1"/>
    </xf>
    <xf numFmtId="0" fontId="205" fillId="16" borderId="133" xfId="0" applyFont="1" applyFill="1" applyBorder="1" applyProtection="1">
      <protection hidden="1"/>
    </xf>
    <xf numFmtId="0" fontId="204" fillId="16" borderId="128" xfId="0" quotePrefix="1" applyFont="1" applyFill="1" applyBorder="1" applyAlignment="1" applyProtection="1">
      <alignment horizontal="center"/>
      <protection hidden="1"/>
    </xf>
    <xf numFmtId="0" fontId="204" fillId="16" borderId="0" xfId="0" quotePrefix="1" applyFont="1" applyFill="1" applyAlignment="1" applyProtection="1">
      <alignment horizontal="center"/>
      <protection hidden="1"/>
    </xf>
    <xf numFmtId="3" fontId="21" fillId="16" borderId="0" xfId="0" applyNumberFormat="1" applyFont="1" applyFill="1" applyAlignment="1" applyProtection="1">
      <alignment horizontal="center"/>
      <protection hidden="1"/>
    </xf>
    <xf numFmtId="3" fontId="21" fillId="16" borderId="5" xfId="0" applyNumberFormat="1" applyFont="1" applyFill="1" applyBorder="1" applyAlignment="1" applyProtection="1">
      <alignment horizontal="center"/>
      <protection hidden="1"/>
    </xf>
    <xf numFmtId="0" fontId="0" fillId="16" borderId="0" xfId="0" applyFill="1" applyAlignment="1" applyProtection="1">
      <alignment horizontal="center" vertical="center"/>
      <protection hidden="1"/>
    </xf>
    <xf numFmtId="3" fontId="0" fillId="16" borderId="0" xfId="0" applyNumberFormat="1" applyFill="1" applyAlignment="1" applyProtection="1">
      <alignment horizontal="center"/>
      <protection hidden="1"/>
    </xf>
    <xf numFmtId="3" fontId="0" fillId="16" borderId="21" xfId="0" applyNumberFormat="1" applyFill="1" applyBorder="1" applyAlignment="1" applyProtection="1">
      <alignment horizontal="center"/>
      <protection hidden="1"/>
    </xf>
    <xf numFmtId="3" fontId="0" fillId="16" borderId="5" xfId="0" applyNumberFormat="1" applyFill="1" applyBorder="1" applyAlignment="1" applyProtection="1">
      <alignment horizontal="center"/>
      <protection hidden="1"/>
    </xf>
    <xf numFmtId="3" fontId="0" fillId="16" borderId="23" xfId="0" applyNumberFormat="1" applyFill="1" applyBorder="1" applyAlignment="1" applyProtection="1">
      <alignment horizontal="center"/>
      <protection hidden="1"/>
    </xf>
    <xf numFmtId="0" fontId="0" fillId="16" borderId="0" xfId="0" applyFill="1" applyProtection="1">
      <protection locked="0"/>
    </xf>
    <xf numFmtId="0" fontId="5" fillId="16" borderId="110" xfId="0" applyFont="1" applyFill="1" applyBorder="1" applyProtection="1">
      <protection hidden="1"/>
    </xf>
    <xf numFmtId="0" fontId="5" fillId="16" borderId="67" xfId="0" applyFont="1" applyFill="1" applyBorder="1" applyProtection="1">
      <protection hidden="1"/>
    </xf>
    <xf numFmtId="0" fontId="5" fillId="16" borderId="47" xfId="0" applyFont="1" applyFill="1" applyBorder="1" applyProtection="1">
      <protection hidden="1"/>
    </xf>
    <xf numFmtId="0" fontId="5" fillId="16" borderId="59" xfId="0" applyFont="1" applyFill="1" applyBorder="1" applyProtection="1">
      <protection hidden="1"/>
    </xf>
    <xf numFmtId="0" fontId="5" fillId="16" borderId="47" xfId="0" applyFont="1" applyFill="1" applyBorder="1" applyAlignment="1" applyProtection="1">
      <alignment horizontal="center"/>
      <protection hidden="1"/>
    </xf>
    <xf numFmtId="0" fontId="5" fillId="16" borderId="59" xfId="0" applyFont="1" applyFill="1" applyBorder="1" applyAlignment="1" applyProtection="1">
      <alignment horizontal="center"/>
      <protection hidden="1"/>
    </xf>
    <xf numFmtId="0" fontId="5" fillId="16" borderId="51" xfId="0" applyFont="1" applyFill="1" applyBorder="1" applyProtection="1">
      <protection hidden="1"/>
    </xf>
    <xf numFmtId="0" fontId="5" fillId="16" borderId="111" xfId="0" applyFont="1" applyFill="1" applyBorder="1" applyProtection="1">
      <protection hidden="1"/>
    </xf>
    <xf numFmtId="0" fontId="131" fillId="2" borderId="124" xfId="0" applyFont="1" applyFill="1" applyBorder="1" applyProtection="1">
      <protection hidden="1"/>
    </xf>
    <xf numFmtId="0" fontId="129" fillId="2" borderId="3" xfId="0" applyFont="1" applyFill="1" applyBorder="1" applyProtection="1">
      <protection hidden="1"/>
    </xf>
    <xf numFmtId="0" fontId="3" fillId="16" borderId="3" xfId="0" applyFont="1" applyFill="1" applyBorder="1" applyAlignment="1" applyProtection="1">
      <alignment horizontal="center" vertical="center"/>
      <protection locked="0"/>
    </xf>
    <xf numFmtId="0" fontId="5" fillId="0" borderId="1" xfId="0" applyFont="1" applyBorder="1"/>
    <xf numFmtId="0" fontId="5" fillId="16" borderId="9" xfId="0" applyFont="1" applyFill="1" applyBorder="1"/>
    <xf numFmtId="0" fontId="5" fillId="16" borderId="15" xfId="0" applyFont="1" applyFill="1" applyBorder="1"/>
    <xf numFmtId="0" fontId="5" fillId="16" borderId="3" xfId="0" applyFont="1" applyFill="1" applyBorder="1"/>
    <xf numFmtId="0" fontId="5" fillId="16" borderId="25" xfId="0" applyFont="1" applyFill="1" applyBorder="1"/>
    <xf numFmtId="0" fontId="5" fillId="16" borderId="10" xfId="0" applyFont="1" applyFill="1" applyBorder="1"/>
    <xf numFmtId="0" fontId="5" fillId="16" borderId="1" xfId="0" applyFont="1" applyFill="1" applyBorder="1"/>
    <xf numFmtId="0" fontId="5" fillId="16" borderId="12" xfId="0" applyFont="1" applyFill="1" applyBorder="1"/>
    <xf numFmtId="0" fontId="57" fillId="9" borderId="26" xfId="0" applyFont="1" applyFill="1" applyBorder="1" applyAlignment="1" applyProtection="1">
      <alignment horizontal="center"/>
      <protection hidden="1"/>
    </xf>
    <xf numFmtId="0" fontId="19" fillId="16" borderId="1" xfId="0" applyFont="1" applyFill="1" applyBorder="1" applyAlignment="1">
      <alignment wrapText="1"/>
    </xf>
    <xf numFmtId="0" fontId="3" fillId="15" borderId="26" xfId="0" applyFont="1" applyFill="1" applyBorder="1" applyAlignment="1" applyProtection="1">
      <alignment horizontal="center"/>
      <protection hidden="1"/>
    </xf>
    <xf numFmtId="0" fontId="3" fillId="15" borderId="9" xfId="0" applyFont="1" applyFill="1" applyBorder="1" applyAlignment="1" applyProtection="1">
      <alignment horizontal="center"/>
      <protection hidden="1"/>
    </xf>
    <xf numFmtId="0" fontId="7" fillId="15" borderId="9" xfId="0" applyFont="1" applyFill="1" applyBorder="1" applyAlignment="1" applyProtection="1">
      <alignment horizontal="left" wrapText="1" indent="1"/>
      <protection hidden="1"/>
    </xf>
    <xf numFmtId="0" fontId="7" fillId="16" borderId="9" xfId="0" applyFont="1" applyFill="1" applyBorder="1" applyAlignment="1" applyProtection="1">
      <alignment horizontal="left" wrapText="1" indent="1"/>
      <protection hidden="1"/>
    </xf>
    <xf numFmtId="37" fontId="7" fillId="3" borderId="0" xfId="0" applyNumberFormat="1" applyFont="1" applyFill="1" applyAlignment="1" applyProtection="1">
      <alignment horizontal="left"/>
      <protection hidden="1"/>
    </xf>
    <xf numFmtId="0" fontId="0" fillId="16" borderId="0" xfId="0" applyFill="1" applyAlignment="1">
      <alignment vertical="top"/>
    </xf>
    <xf numFmtId="0" fontId="3" fillId="21" borderId="13" xfId="0" applyFont="1" applyFill="1" applyBorder="1" applyAlignment="1" applyProtection="1">
      <alignment horizontal="center" vertical="center"/>
      <protection locked="0"/>
    </xf>
    <xf numFmtId="0" fontId="3" fillId="15" borderId="0" xfId="0" applyFont="1" applyFill="1" applyAlignment="1" applyProtection="1">
      <alignment horizontal="center" vertical="center"/>
      <protection locked="0"/>
    </xf>
    <xf numFmtId="1" fontId="145" fillId="3" borderId="0" xfId="0" applyNumberFormat="1" applyFont="1" applyFill="1" applyAlignment="1" applyProtection="1">
      <alignment horizontal="center"/>
      <protection hidden="1"/>
    </xf>
    <xf numFmtId="0" fontId="3" fillId="3" borderId="31" xfId="0" applyFont="1" applyFill="1" applyBorder="1" applyAlignment="1" applyProtection="1">
      <alignment horizontal="center"/>
      <protection hidden="1"/>
    </xf>
    <xf numFmtId="4" fontId="10" fillId="7" borderId="7" xfId="0" applyNumberFormat="1" applyFont="1" applyFill="1" applyBorder="1" applyAlignment="1" applyProtection="1">
      <alignment horizontal="center"/>
      <protection hidden="1"/>
    </xf>
    <xf numFmtId="4" fontId="10" fillId="7" borderId="13" xfId="0" applyNumberFormat="1" applyFont="1" applyFill="1" applyBorder="1" applyAlignment="1" applyProtection="1">
      <alignment horizontal="center"/>
      <protection hidden="1"/>
    </xf>
    <xf numFmtId="0" fontId="6" fillId="3" borderId="11" xfId="0" applyFont="1" applyFill="1" applyBorder="1" applyAlignment="1" applyProtection="1">
      <alignment horizontal="center"/>
      <protection hidden="1"/>
    </xf>
    <xf numFmtId="0" fontId="3" fillId="15" borderId="1" xfId="0" applyFont="1" applyFill="1" applyBorder="1" applyAlignment="1" applyProtection="1">
      <alignment horizontal="center"/>
      <protection hidden="1"/>
    </xf>
    <xf numFmtId="37" fontId="129" fillId="3" borderId="31" xfId="0" applyNumberFormat="1" applyFont="1" applyFill="1" applyBorder="1" applyAlignment="1" applyProtection="1">
      <alignment horizontal="right"/>
      <protection hidden="1"/>
    </xf>
    <xf numFmtId="37" fontId="129" fillId="3" borderId="3" xfId="0" applyNumberFormat="1" applyFont="1" applyFill="1" applyBorder="1" applyAlignment="1" applyProtection="1">
      <alignment horizontal="right"/>
      <protection hidden="1"/>
    </xf>
    <xf numFmtId="0" fontId="5" fillId="3" borderId="0" xfId="0" applyFont="1" applyFill="1" applyAlignment="1" applyProtection="1">
      <alignment horizontal="right"/>
      <protection hidden="1"/>
    </xf>
    <xf numFmtId="4" fontId="8" fillId="3" borderId="0" xfId="0" applyNumberFormat="1" applyFont="1" applyFill="1" applyAlignment="1" applyProtection="1">
      <alignment horizontal="center"/>
      <protection hidden="1"/>
    </xf>
    <xf numFmtId="39" fontId="3" fillId="3" borderId="0" xfId="0" applyNumberFormat="1" applyFont="1" applyFill="1" applyAlignment="1" applyProtection="1">
      <alignment horizontal="center" vertical="center"/>
      <protection hidden="1"/>
    </xf>
    <xf numFmtId="0" fontId="206" fillId="5" borderId="0" xfId="0" applyFont="1" applyFill="1" applyAlignment="1" applyProtection="1">
      <alignment horizontal="left"/>
      <protection hidden="1"/>
    </xf>
    <xf numFmtId="4" fontId="3" fillId="3" borderId="25" xfId="0" applyNumberFormat="1" applyFont="1" applyFill="1" applyBorder="1" applyAlignment="1" applyProtection="1">
      <alignment horizontal="right" vertical="center"/>
      <protection hidden="1"/>
    </xf>
    <xf numFmtId="0" fontId="207" fillId="5" borderId="0" xfId="0" applyFont="1" applyFill="1" applyAlignment="1" applyProtection="1">
      <alignment horizontal="center"/>
      <protection hidden="1"/>
    </xf>
    <xf numFmtId="3" fontId="7" fillId="5" borderId="0" xfId="0" applyNumberFormat="1" applyFont="1" applyFill="1" applyAlignment="1" applyProtection="1">
      <alignment horizontal="right"/>
      <protection hidden="1"/>
    </xf>
    <xf numFmtId="39" fontId="129" fillId="3" borderId="31" xfId="0" applyNumberFormat="1" applyFont="1" applyFill="1" applyBorder="1" applyAlignment="1" applyProtection="1">
      <alignment horizontal="right"/>
      <protection hidden="1"/>
    </xf>
    <xf numFmtId="0" fontId="130" fillId="5" borderId="0" xfId="0" applyFont="1" applyFill="1" applyAlignment="1">
      <alignment horizontal="left" vertical="center"/>
    </xf>
    <xf numFmtId="4" fontId="129" fillId="0" borderId="0" xfId="0" applyNumberFormat="1" applyFont="1" applyProtection="1">
      <protection hidden="1"/>
    </xf>
    <xf numFmtId="4" fontId="129" fillId="0" borderId="0" xfId="0" applyNumberFormat="1" applyFont="1" applyAlignment="1" applyProtection="1">
      <alignment horizontal="right"/>
      <protection hidden="1"/>
    </xf>
    <xf numFmtId="4" fontId="129" fillId="0" borderId="0" xfId="0" applyNumberFormat="1" applyFont="1" applyAlignment="1" applyProtection="1">
      <alignment horizontal="center"/>
      <protection hidden="1"/>
    </xf>
    <xf numFmtId="3" fontId="208" fillId="0" borderId="8" xfId="0" applyNumberFormat="1" applyFont="1" applyBorder="1" applyAlignment="1" applyProtection="1">
      <alignment horizontal="center" wrapText="1"/>
      <protection hidden="1"/>
    </xf>
    <xf numFmtId="0" fontId="205" fillId="0" borderId="0" xfId="0" applyFont="1" applyProtection="1">
      <protection hidden="1"/>
    </xf>
    <xf numFmtId="3" fontId="204" fillId="0" borderId="0" xfId="0" applyNumberFormat="1" applyFont="1" applyProtection="1">
      <protection hidden="1"/>
    </xf>
    <xf numFmtId="0" fontId="129" fillId="16" borderId="0" xfId="0" applyFont="1" applyFill="1" applyAlignment="1" applyProtection="1">
      <alignment horizontal="center" vertical="center"/>
      <protection hidden="1"/>
    </xf>
    <xf numFmtId="0" fontId="141" fillId="2" borderId="46" xfId="0" applyFont="1" applyFill="1" applyBorder="1" applyAlignment="1" applyProtection="1">
      <alignment horizontal="left"/>
      <protection hidden="1"/>
    </xf>
    <xf numFmtId="0" fontId="3" fillId="2" borderId="0" xfId="0" applyFont="1" applyFill="1" applyAlignment="1" applyProtection="1">
      <alignment horizontal="left" wrapText="1" indent="1"/>
      <protection hidden="1"/>
    </xf>
    <xf numFmtId="4" fontId="5" fillId="2" borderId="0" xfId="0" applyNumberFormat="1" applyFont="1" applyFill="1" applyAlignment="1" applyProtection="1">
      <alignment horizontal="left" indent="1"/>
      <protection hidden="1"/>
    </xf>
    <xf numFmtId="0" fontId="5" fillId="2" borderId="0" xfId="0" applyFont="1" applyFill="1" applyAlignment="1" applyProtection="1">
      <alignment horizontal="left" indent="1"/>
      <protection hidden="1"/>
    </xf>
    <xf numFmtId="0" fontId="5" fillId="2" borderId="15" xfId="0" applyFont="1" applyFill="1" applyBorder="1" applyAlignment="1" applyProtection="1">
      <alignment horizontal="left" indent="1"/>
      <protection hidden="1"/>
    </xf>
    <xf numFmtId="4" fontId="5" fillId="16" borderId="3" xfId="0" applyNumberFormat="1" applyFont="1" applyFill="1" applyBorder="1" applyAlignment="1" applyProtection="1">
      <alignment horizontal="left" indent="1"/>
      <protection hidden="1"/>
    </xf>
    <xf numFmtId="0" fontId="128" fillId="0" borderId="0" xfId="0" applyFont="1"/>
    <xf numFmtId="0" fontId="189" fillId="16" borderId="0" xfId="0" applyFont="1" applyFill="1" applyAlignment="1" applyProtection="1">
      <alignment vertical="center"/>
      <protection hidden="1"/>
    </xf>
    <xf numFmtId="0" fontId="0" fillId="8" borderId="72" xfId="0" applyFill="1" applyBorder="1" applyProtection="1">
      <protection hidden="1"/>
    </xf>
    <xf numFmtId="0" fontId="0" fillId="8" borderId="17" xfId="0" applyFill="1" applyBorder="1" applyProtection="1">
      <protection hidden="1"/>
    </xf>
    <xf numFmtId="0" fontId="0" fillId="8" borderId="33" xfId="0" applyFill="1" applyBorder="1" applyProtection="1">
      <protection hidden="1"/>
    </xf>
    <xf numFmtId="0" fontId="0" fillId="8" borderId="101" xfId="0" applyFill="1" applyBorder="1" applyProtection="1">
      <protection hidden="1"/>
    </xf>
    <xf numFmtId="0" fontId="168" fillId="16" borderId="0" xfId="0" applyFont="1" applyFill="1" applyAlignment="1" applyProtection="1">
      <alignment horizontal="center" vertical="center"/>
      <protection hidden="1"/>
    </xf>
    <xf numFmtId="0" fontId="0" fillId="8" borderId="76" xfId="0" applyFill="1" applyBorder="1" applyProtection="1">
      <protection hidden="1"/>
    </xf>
    <xf numFmtId="0" fontId="12" fillId="16" borderId="0" xfId="0" applyFont="1" applyFill="1" applyAlignment="1" applyProtection="1">
      <alignment horizontal="center"/>
      <protection hidden="1"/>
    </xf>
    <xf numFmtId="0" fontId="168" fillId="16" borderId="0" xfId="0" applyFont="1" applyFill="1" applyAlignment="1" applyProtection="1">
      <alignment vertical="top"/>
      <protection hidden="1"/>
    </xf>
    <xf numFmtId="0" fontId="3" fillId="0" borderId="0" xfId="0" applyFont="1" applyAlignment="1" applyProtection="1">
      <alignment horizontal="center"/>
      <protection hidden="1"/>
    </xf>
    <xf numFmtId="0" fontId="0" fillId="8" borderId="73" xfId="0" applyFill="1" applyBorder="1" applyProtection="1">
      <protection hidden="1"/>
    </xf>
    <xf numFmtId="0" fontId="0" fillId="8" borderId="14" xfId="0" applyFill="1" applyBorder="1" applyProtection="1">
      <protection hidden="1"/>
    </xf>
    <xf numFmtId="0" fontId="0" fillId="8" borderId="34" xfId="0" applyFill="1" applyBorder="1" applyProtection="1">
      <protection hidden="1"/>
    </xf>
    <xf numFmtId="0" fontId="129" fillId="2" borderId="3" xfId="0" applyFont="1" applyFill="1" applyBorder="1" applyAlignment="1" applyProtection="1">
      <alignment vertical="top"/>
      <protection hidden="1"/>
    </xf>
    <xf numFmtId="0" fontId="13" fillId="16" borderId="0" xfId="0" applyFont="1" applyFill="1" applyAlignment="1" applyProtection="1">
      <alignment horizontal="center" vertical="center"/>
      <protection hidden="1"/>
    </xf>
    <xf numFmtId="0" fontId="192" fillId="16" borderId="0" xfId="0" applyFont="1" applyFill="1" applyProtection="1">
      <protection hidden="1"/>
    </xf>
    <xf numFmtId="0" fontId="141" fillId="8" borderId="0" xfId="0" applyFont="1" applyFill="1" applyAlignment="1" applyProtection="1">
      <alignment horizontal="center"/>
      <protection hidden="1"/>
    </xf>
    <xf numFmtId="0" fontId="141" fillId="8" borderId="0" xfId="0" applyFont="1" applyFill="1" applyAlignment="1" applyProtection="1">
      <alignment horizontal="center" vertical="center"/>
      <protection hidden="1"/>
    </xf>
    <xf numFmtId="0" fontId="141" fillId="8" borderId="0" xfId="0" applyFont="1" applyFill="1" applyAlignment="1" applyProtection="1">
      <alignment horizontal="center" vertical="top"/>
      <protection hidden="1"/>
    </xf>
    <xf numFmtId="39" fontId="8" fillId="3" borderId="5" xfId="0" applyNumberFormat="1" applyFont="1" applyFill="1" applyBorder="1" applyAlignment="1" applyProtection="1">
      <alignment horizontal="right"/>
      <protection hidden="1"/>
    </xf>
    <xf numFmtId="0" fontId="128" fillId="16" borderId="0" xfId="0" applyFont="1" applyFill="1"/>
    <xf numFmtId="0" fontId="18" fillId="2" borderId="1" xfId="0" applyFont="1" applyFill="1" applyBorder="1" applyAlignment="1" applyProtection="1">
      <alignment horizontal="center" wrapText="1"/>
      <protection hidden="1"/>
    </xf>
    <xf numFmtId="0" fontId="24" fillId="2" borderId="141" xfId="0" applyFont="1" applyFill="1" applyBorder="1" applyAlignment="1" applyProtection="1">
      <alignment horizontal="left" vertical="center"/>
      <protection hidden="1"/>
    </xf>
    <xf numFmtId="0" fontId="6" fillId="2" borderId="141" xfId="0" applyFont="1" applyFill="1" applyBorder="1" applyAlignment="1" applyProtection="1">
      <alignment horizontal="left" vertical="center" wrapText="1"/>
      <protection hidden="1"/>
    </xf>
    <xf numFmtId="0" fontId="6" fillId="2" borderId="141" xfId="0" applyFont="1" applyFill="1" applyBorder="1" applyAlignment="1" applyProtection="1">
      <alignment horizontal="center" vertical="center" wrapText="1"/>
      <protection hidden="1"/>
    </xf>
    <xf numFmtId="0" fontId="141" fillId="2" borderId="141" xfId="0" applyFont="1" applyFill="1" applyBorder="1" applyAlignment="1" applyProtection="1">
      <alignment horizontal="left"/>
      <protection hidden="1"/>
    </xf>
    <xf numFmtId="0" fontId="128" fillId="16" borderId="0" xfId="0" applyFont="1" applyFill="1" applyAlignment="1">
      <alignment vertical="top"/>
    </xf>
    <xf numFmtId="4" fontId="128" fillId="0" borderId="0" xfId="0" applyNumberFormat="1" applyFont="1" applyAlignment="1" applyProtection="1">
      <alignment vertical="top"/>
      <protection hidden="1"/>
    </xf>
    <xf numFmtId="0" fontId="127" fillId="2" borderId="0" xfId="0" applyFont="1" applyFill="1" applyAlignment="1" applyProtection="1">
      <alignment vertical="top"/>
      <protection hidden="1"/>
    </xf>
    <xf numFmtId="4" fontId="21" fillId="2" borderId="0" xfId="0" applyNumberFormat="1" applyFont="1" applyFill="1" applyAlignment="1" applyProtection="1">
      <alignment horizontal="right" vertical="top"/>
      <protection hidden="1"/>
    </xf>
    <xf numFmtId="4" fontId="21" fillId="2" borderId="0" xfId="0" applyNumberFormat="1" applyFont="1" applyFill="1" applyAlignment="1" applyProtection="1">
      <alignment vertical="top"/>
      <protection hidden="1"/>
    </xf>
    <xf numFmtId="0" fontId="6" fillId="0" borderId="0" xfId="0" applyFont="1" applyAlignment="1" applyProtection="1">
      <alignment vertical="top"/>
      <protection hidden="1"/>
    </xf>
    <xf numFmtId="0" fontId="24" fillId="16" borderId="141" xfId="0" applyFont="1" applyFill="1" applyBorder="1" applyAlignment="1" applyProtection="1">
      <alignment horizontal="left" vertical="center"/>
      <protection hidden="1"/>
    </xf>
    <xf numFmtId="0" fontId="6" fillId="16" borderId="141" xfId="0" applyFont="1" applyFill="1" applyBorder="1" applyAlignment="1" applyProtection="1">
      <alignment horizontal="left" vertical="center" wrapText="1"/>
      <protection hidden="1"/>
    </xf>
    <xf numFmtId="0" fontId="6" fillId="16" borderId="141" xfId="0" applyFont="1" applyFill="1" applyBorder="1" applyAlignment="1" applyProtection="1">
      <alignment horizontal="center" vertical="center" wrapText="1"/>
      <protection hidden="1"/>
    </xf>
    <xf numFmtId="0" fontId="141" fillId="16" borderId="141" xfId="0" applyFont="1" applyFill="1" applyBorder="1" applyAlignment="1" applyProtection="1">
      <alignment horizontal="left"/>
      <protection hidden="1"/>
    </xf>
    <xf numFmtId="0" fontId="0" fillId="16" borderId="141" xfId="0" applyFill="1" applyBorder="1" applyAlignment="1" applyProtection="1">
      <alignment vertical="center" wrapText="1"/>
      <protection hidden="1"/>
    </xf>
    <xf numFmtId="0" fontId="0" fillId="16" borderId="141" xfId="0" applyFill="1" applyBorder="1"/>
    <xf numFmtId="0" fontId="23" fillId="2" borderId="46" xfId="0" applyFont="1" applyFill="1" applyBorder="1" applyAlignment="1" applyProtection="1">
      <alignment horizontal="left" vertical="center" wrapText="1"/>
      <protection hidden="1"/>
    </xf>
    <xf numFmtId="0" fontId="23" fillId="2" borderId="46" xfId="0" applyFont="1" applyFill="1" applyBorder="1" applyAlignment="1" applyProtection="1">
      <alignment horizontal="center" vertical="center" wrapText="1"/>
      <protection hidden="1"/>
    </xf>
    <xf numFmtId="0" fontId="83" fillId="2" borderId="0" xfId="0" applyFont="1" applyFill="1" applyAlignment="1" applyProtection="1">
      <alignment vertical="center" wrapText="1"/>
      <protection hidden="1"/>
    </xf>
    <xf numFmtId="0" fontId="83" fillId="0" borderId="0" xfId="0" applyFont="1" applyAlignment="1" applyProtection="1">
      <alignment vertical="center" wrapText="1"/>
      <protection hidden="1"/>
    </xf>
    <xf numFmtId="0" fontId="83" fillId="0" borderId="0" xfId="0" applyFont="1"/>
    <xf numFmtId="0" fontId="50" fillId="2" borderId="45" xfId="0" applyFont="1" applyFill="1" applyBorder="1" applyAlignment="1" applyProtection="1">
      <alignment horizontal="left"/>
      <protection hidden="1"/>
    </xf>
    <xf numFmtId="0" fontId="50" fillId="2" borderId="141" xfId="0" applyFont="1" applyFill="1" applyBorder="1" applyAlignment="1" applyProtection="1">
      <alignment horizontal="left"/>
      <protection hidden="1"/>
    </xf>
    <xf numFmtId="0" fontId="23" fillId="2" borderId="45" xfId="0" applyFont="1" applyFill="1" applyBorder="1" applyAlignment="1" applyProtection="1">
      <alignment horizontal="left"/>
      <protection hidden="1"/>
    </xf>
    <xf numFmtId="0" fontId="23" fillId="16" borderId="141" xfId="0" applyFont="1" applyFill="1" applyBorder="1" applyAlignment="1" applyProtection="1">
      <alignment horizontal="left"/>
      <protection hidden="1"/>
    </xf>
    <xf numFmtId="0" fontId="12" fillId="2" borderId="5" xfId="0" applyFont="1" applyFill="1" applyBorder="1" applyAlignment="1" applyProtection="1">
      <alignment horizontal="center" wrapText="1"/>
      <protection hidden="1"/>
    </xf>
    <xf numFmtId="0" fontId="12" fillId="2" borderId="0" xfId="0" applyFont="1" applyFill="1" applyAlignment="1" applyProtection="1">
      <alignment horizontal="center" wrapText="1"/>
      <protection hidden="1"/>
    </xf>
    <xf numFmtId="4" fontId="21" fillId="28" borderId="50" xfId="0" applyNumberFormat="1" applyFont="1" applyFill="1" applyBorder="1" applyAlignment="1" applyProtection="1">
      <alignment horizontal="right"/>
      <protection hidden="1"/>
    </xf>
    <xf numFmtId="49" fontId="5" fillId="33" borderId="146" xfId="0" applyNumberFormat="1" applyFont="1" applyFill="1" applyBorder="1" applyAlignment="1" applyProtection="1">
      <alignment horizontal="right"/>
      <protection locked="0"/>
    </xf>
    <xf numFmtId="49" fontId="5" fillId="33" borderId="147" xfId="0" applyNumberFormat="1" applyFont="1" applyFill="1" applyBorder="1" applyAlignment="1" applyProtection="1">
      <alignment horizontal="right"/>
      <protection locked="0"/>
    </xf>
    <xf numFmtId="49" fontId="10" fillId="33" borderId="146" xfId="0" applyNumberFormat="1" applyFont="1" applyFill="1" applyBorder="1" applyAlignment="1" applyProtection="1">
      <alignment horizontal="right"/>
      <protection locked="0"/>
    </xf>
    <xf numFmtId="49" fontId="10" fillId="33" borderId="147" xfId="0" applyNumberFormat="1" applyFont="1" applyFill="1" applyBorder="1" applyAlignment="1" applyProtection="1">
      <alignment horizontal="right"/>
      <protection locked="0"/>
    </xf>
    <xf numFmtId="49" fontId="10" fillId="33" borderId="148" xfId="0" applyNumberFormat="1" applyFont="1" applyFill="1" applyBorder="1" applyAlignment="1" applyProtection="1">
      <alignment horizontal="right"/>
      <protection locked="0"/>
    </xf>
    <xf numFmtId="49" fontId="10" fillId="33" borderId="149" xfId="0" applyNumberFormat="1" applyFont="1" applyFill="1" applyBorder="1" applyAlignment="1" applyProtection="1">
      <alignment horizontal="right"/>
      <protection locked="0"/>
    </xf>
    <xf numFmtId="0" fontId="3" fillId="2" borderId="48" xfId="0" applyFont="1" applyFill="1" applyBorder="1" applyAlignment="1" applyProtection="1">
      <alignment horizontal="right"/>
      <protection hidden="1"/>
    </xf>
    <xf numFmtId="0" fontId="3" fillId="2" borderId="40" xfId="0" applyFont="1" applyFill="1" applyBorder="1" applyAlignment="1" applyProtection="1">
      <alignment horizontal="right"/>
      <protection hidden="1"/>
    </xf>
    <xf numFmtId="0" fontId="3" fillId="2" borderId="53" xfId="0" applyFont="1" applyFill="1" applyBorder="1" applyAlignment="1" applyProtection="1">
      <alignment horizontal="right"/>
      <protection hidden="1"/>
    </xf>
    <xf numFmtId="4" fontId="6" fillId="2" borderId="0" xfId="0" applyNumberFormat="1" applyFont="1" applyFill="1" applyAlignment="1" applyProtection="1">
      <alignment horizontal="center"/>
      <protection hidden="1"/>
    </xf>
    <xf numFmtId="4" fontId="5" fillId="33" borderId="142" xfId="0" applyNumberFormat="1" applyFont="1" applyFill="1" applyBorder="1" applyAlignment="1" applyProtection="1">
      <alignment horizontal="center"/>
      <protection locked="0"/>
    </xf>
    <xf numFmtId="4" fontId="5" fillId="33" borderId="143" xfId="0" applyNumberFormat="1" applyFont="1" applyFill="1" applyBorder="1" applyAlignment="1" applyProtection="1">
      <alignment horizontal="center"/>
      <protection locked="0"/>
    </xf>
    <xf numFmtId="4" fontId="5" fillId="33" borderId="145" xfId="0" applyNumberFormat="1" applyFont="1" applyFill="1" applyBorder="1" applyAlignment="1" applyProtection="1">
      <alignment horizontal="center"/>
      <protection locked="0"/>
    </xf>
    <xf numFmtId="4" fontId="6" fillId="28" borderId="154" xfId="0" applyNumberFormat="1" applyFont="1" applyFill="1" applyBorder="1" applyAlignment="1" applyProtection="1">
      <alignment horizontal="center"/>
      <protection hidden="1"/>
    </xf>
    <xf numFmtId="4" fontId="5" fillId="33" borderId="142" xfId="0" applyNumberFormat="1" applyFont="1" applyFill="1" applyBorder="1" applyProtection="1">
      <protection locked="0"/>
    </xf>
    <xf numFmtId="4" fontId="5" fillId="33" borderId="143" xfId="0" applyNumberFormat="1" applyFont="1" applyFill="1" applyBorder="1" applyProtection="1">
      <protection locked="0"/>
    </xf>
    <xf numFmtId="4" fontId="5" fillId="33" borderId="146" xfId="0" applyNumberFormat="1" applyFont="1" applyFill="1" applyBorder="1" applyAlignment="1" applyProtection="1">
      <alignment horizontal="right"/>
      <protection locked="0"/>
    </xf>
    <xf numFmtId="4" fontId="5" fillId="33" borderId="147" xfId="0" applyNumberFormat="1" applyFont="1" applyFill="1" applyBorder="1" applyAlignment="1" applyProtection="1">
      <alignment horizontal="right"/>
      <protection locked="0"/>
    </xf>
    <xf numFmtId="4" fontId="5" fillId="33" borderId="148" xfId="0" applyNumberFormat="1" applyFont="1" applyFill="1" applyBorder="1" applyAlignment="1" applyProtection="1">
      <alignment horizontal="right"/>
      <protection locked="0"/>
    </xf>
    <xf numFmtId="4" fontId="5" fillId="33" borderId="149" xfId="0" applyNumberFormat="1" applyFont="1" applyFill="1" applyBorder="1" applyAlignment="1" applyProtection="1">
      <alignment horizontal="right"/>
      <protection locked="0"/>
    </xf>
    <xf numFmtId="49" fontId="5" fillId="33" borderId="148" xfId="0" applyNumberFormat="1" applyFont="1" applyFill="1" applyBorder="1" applyAlignment="1" applyProtection="1">
      <alignment horizontal="right"/>
      <protection locked="0"/>
    </xf>
    <xf numFmtId="49" fontId="5" fillId="33" borderId="149" xfId="0" applyNumberFormat="1" applyFont="1" applyFill="1" applyBorder="1" applyAlignment="1" applyProtection="1">
      <alignment horizontal="right"/>
      <protection locked="0"/>
    </xf>
    <xf numFmtId="171" fontId="5" fillId="33" borderId="146" xfId="0" applyNumberFormat="1" applyFont="1" applyFill="1" applyBorder="1" applyAlignment="1" applyProtection="1">
      <alignment horizontal="right"/>
      <protection locked="0"/>
    </xf>
    <xf numFmtId="171" fontId="5" fillId="33" borderId="147" xfId="0" applyNumberFormat="1" applyFont="1" applyFill="1" applyBorder="1" applyAlignment="1" applyProtection="1">
      <alignment horizontal="right"/>
      <protection locked="0"/>
    </xf>
    <xf numFmtId="171" fontId="5" fillId="33" borderId="148" xfId="0" applyNumberFormat="1" applyFont="1" applyFill="1" applyBorder="1" applyAlignment="1" applyProtection="1">
      <alignment horizontal="right"/>
      <protection locked="0"/>
    </xf>
    <xf numFmtId="171" fontId="5" fillId="33" borderId="149" xfId="0" applyNumberFormat="1" applyFont="1" applyFill="1" applyBorder="1" applyAlignment="1" applyProtection="1">
      <alignment horizontal="right"/>
      <protection locked="0"/>
    </xf>
    <xf numFmtId="4" fontId="5" fillId="33" borderId="150" xfId="0" applyNumberFormat="1" applyFont="1" applyFill="1" applyBorder="1" applyAlignment="1" applyProtection="1">
      <alignment horizontal="right"/>
      <protection locked="0"/>
    </xf>
    <xf numFmtId="4" fontId="5" fillId="33" borderId="151" xfId="0" applyNumberFormat="1" applyFont="1" applyFill="1" applyBorder="1" applyAlignment="1" applyProtection="1">
      <alignment horizontal="right"/>
      <protection locked="0"/>
    </xf>
    <xf numFmtId="4" fontId="5" fillId="33" borderId="152" xfId="0" applyNumberFormat="1" applyFont="1" applyFill="1" applyBorder="1" applyAlignment="1" applyProtection="1">
      <alignment horizontal="right"/>
      <protection locked="0"/>
    </xf>
    <xf numFmtId="4" fontId="5" fillId="33" borderId="153" xfId="0" applyNumberFormat="1" applyFont="1" applyFill="1" applyBorder="1" applyAlignment="1" applyProtection="1">
      <alignment horizontal="right"/>
      <protection locked="0"/>
    </xf>
    <xf numFmtId="4" fontId="5" fillId="2" borderId="50" xfId="0" applyNumberFormat="1" applyFont="1" applyFill="1" applyBorder="1" applyAlignment="1" applyProtection="1">
      <alignment horizontal="center"/>
      <protection hidden="1"/>
    </xf>
    <xf numFmtId="171" fontId="5" fillId="2" borderId="50" xfId="0" applyNumberFormat="1" applyFont="1" applyFill="1" applyBorder="1" applyAlignment="1" applyProtection="1">
      <alignment horizontal="right"/>
      <protection hidden="1"/>
    </xf>
    <xf numFmtId="0" fontId="5" fillId="0" borderId="0" xfId="0" applyFont="1" applyAlignment="1">
      <alignment wrapText="1"/>
    </xf>
    <xf numFmtId="4" fontId="116" fillId="0" borderId="8" xfId="0" applyNumberFormat="1" applyFont="1" applyBorder="1" applyAlignment="1" applyProtection="1">
      <alignment horizontal="center" wrapText="1"/>
      <protection hidden="1"/>
    </xf>
    <xf numFmtId="4" fontId="148" fillId="0" borderId="0" xfId="0" applyNumberFormat="1" applyFont="1" applyProtection="1">
      <protection hidden="1"/>
    </xf>
    <xf numFmtId="0" fontId="113" fillId="0" borderId="0" xfId="0" applyFont="1" applyAlignment="1" applyProtection="1">
      <alignment horizontal="center"/>
      <protection hidden="1"/>
    </xf>
    <xf numFmtId="0" fontId="129" fillId="16" borderId="0" xfId="0" applyFont="1" applyFill="1" applyAlignment="1" applyProtection="1">
      <alignment horizontal="right"/>
      <protection hidden="1"/>
    </xf>
    <xf numFmtId="3" fontId="21" fillId="16" borderId="21" xfId="0" applyNumberFormat="1" applyFont="1" applyFill="1" applyBorder="1" applyAlignment="1" applyProtection="1">
      <alignment horizontal="center" vertical="center"/>
      <protection hidden="1"/>
    </xf>
    <xf numFmtId="3" fontId="5" fillId="16" borderId="21" xfId="0" applyNumberFormat="1" applyFont="1" applyFill="1" applyBorder="1" applyAlignment="1" applyProtection="1">
      <alignment horizontal="center"/>
      <protection hidden="1"/>
    </xf>
    <xf numFmtId="4" fontId="3" fillId="2" borderId="6" xfId="0" applyNumberFormat="1" applyFont="1" applyFill="1" applyBorder="1" applyAlignment="1" applyProtection="1">
      <alignment horizontal="left" indent="1"/>
      <protection hidden="1"/>
    </xf>
    <xf numFmtId="4" fontId="64" fillId="2" borderId="0" xfId="0" applyNumberFormat="1" applyFont="1" applyFill="1" applyAlignment="1" applyProtection="1">
      <alignment vertical="top"/>
      <protection hidden="1"/>
    </xf>
    <xf numFmtId="49" fontId="5" fillId="33" borderId="146" xfId="0" applyNumberFormat="1" applyFont="1" applyFill="1" applyBorder="1" applyAlignment="1" applyProtection="1">
      <alignment horizontal="center"/>
      <protection locked="0"/>
    </xf>
    <xf numFmtId="49" fontId="5" fillId="33" borderId="147" xfId="0" applyNumberFormat="1" applyFont="1" applyFill="1" applyBorder="1" applyAlignment="1" applyProtection="1">
      <alignment horizontal="center"/>
      <protection locked="0"/>
    </xf>
    <xf numFmtId="49" fontId="5" fillId="33" borderId="149" xfId="0" applyNumberFormat="1" applyFont="1" applyFill="1" applyBorder="1" applyAlignment="1" applyProtection="1">
      <alignment horizontal="center"/>
      <protection locked="0"/>
    </xf>
    <xf numFmtId="49" fontId="5" fillId="33" borderId="150" xfId="0" applyNumberFormat="1" applyFont="1" applyFill="1" applyBorder="1" applyAlignment="1" applyProtection="1">
      <alignment horizontal="center"/>
      <protection locked="0"/>
    </xf>
    <xf numFmtId="49" fontId="5" fillId="33" borderId="151" xfId="0" applyNumberFormat="1" applyFont="1" applyFill="1" applyBorder="1" applyAlignment="1" applyProtection="1">
      <alignment horizontal="center"/>
      <protection locked="0"/>
    </xf>
    <xf numFmtId="49" fontId="5" fillId="33" borderId="153" xfId="0" applyNumberFormat="1" applyFont="1" applyFill="1" applyBorder="1" applyAlignment="1" applyProtection="1">
      <alignment horizontal="center"/>
      <protection locked="0"/>
    </xf>
    <xf numFmtId="0" fontId="12" fillId="2" borderId="0" xfId="0" applyFont="1" applyFill="1" applyProtection="1">
      <protection hidden="1"/>
    </xf>
    <xf numFmtId="0" fontId="3" fillId="2" borderId="0" xfId="0" quotePrefix="1" applyFont="1" applyFill="1" applyAlignment="1" applyProtection="1">
      <alignment horizontal="right"/>
      <protection hidden="1"/>
    </xf>
    <xf numFmtId="0" fontId="0" fillId="16" borderId="0" xfId="0" applyFill="1" applyAlignment="1">
      <alignment horizontal="left" vertical="center"/>
    </xf>
    <xf numFmtId="0" fontId="21" fillId="16" borderId="1" xfId="0" applyFont="1" applyFill="1" applyBorder="1" applyProtection="1">
      <protection hidden="1"/>
    </xf>
    <xf numFmtId="0" fontId="12" fillId="16" borderId="0" xfId="0" applyFont="1" applyFill="1" applyAlignment="1" applyProtection="1">
      <alignment horizontal="left" vertical="center"/>
      <protection hidden="1"/>
    </xf>
    <xf numFmtId="0" fontId="141" fillId="16" borderId="1" xfId="0" applyFont="1" applyFill="1" applyBorder="1" applyAlignment="1" applyProtection="1">
      <alignment horizontal="right" vertical="top"/>
      <protection hidden="1"/>
    </xf>
    <xf numFmtId="0" fontId="12" fillId="16" borderId="1" xfId="0" applyFont="1" applyFill="1" applyBorder="1" applyAlignment="1" applyProtection="1">
      <alignment horizontal="left" vertical="center"/>
      <protection hidden="1"/>
    </xf>
    <xf numFmtId="0" fontId="12" fillId="2" borderId="1" xfId="0" applyFont="1" applyFill="1" applyBorder="1" applyAlignment="1" applyProtection="1">
      <alignment horizontal="left" vertical="center"/>
      <protection hidden="1"/>
    </xf>
    <xf numFmtId="0" fontId="0" fillId="16" borderId="1" xfId="0" applyFill="1" applyBorder="1" applyAlignment="1">
      <alignment horizontal="left" vertical="center"/>
    </xf>
    <xf numFmtId="0" fontId="26" fillId="2" borderId="1" xfId="0" applyFont="1" applyFill="1" applyBorder="1" applyAlignment="1" applyProtection="1">
      <alignment horizontal="left"/>
      <protection hidden="1"/>
    </xf>
    <xf numFmtId="0" fontId="28" fillId="16" borderId="1" xfId="0" applyFont="1" applyFill="1" applyBorder="1" applyProtection="1">
      <protection hidden="1"/>
    </xf>
    <xf numFmtId="0" fontId="12" fillId="2" borderId="1" xfId="0" applyFont="1" applyFill="1" applyBorder="1" applyAlignment="1" applyProtection="1">
      <alignment horizontal="left"/>
      <protection hidden="1"/>
    </xf>
    <xf numFmtId="0" fontId="42" fillId="2" borderId="6" xfId="0" quotePrefix="1" applyFont="1" applyFill="1" applyBorder="1" applyAlignment="1" applyProtection="1">
      <alignment horizontal="left" indent="1"/>
      <protection hidden="1"/>
    </xf>
    <xf numFmtId="37" fontId="7" fillId="27" borderId="10" xfId="0" applyNumberFormat="1" applyFont="1" applyFill="1" applyBorder="1" applyAlignment="1" applyProtection="1">
      <alignment horizontal="right"/>
      <protection hidden="1"/>
    </xf>
    <xf numFmtId="0" fontId="5" fillId="16" borderId="23" xfId="0" applyFont="1" applyFill="1" applyBorder="1" applyProtection="1">
      <protection hidden="1"/>
    </xf>
    <xf numFmtId="0" fontId="3" fillId="0" borderId="0" xfId="0" applyFont="1" applyAlignment="1" applyProtection="1">
      <alignment horizontal="center" vertical="center"/>
      <protection locked="0"/>
    </xf>
    <xf numFmtId="39" fontId="125" fillId="3" borderId="0" xfId="0" applyNumberFormat="1" applyFont="1" applyFill="1" applyProtection="1">
      <protection hidden="1"/>
    </xf>
    <xf numFmtId="1" fontId="141" fillId="10" borderId="0" xfId="0" applyNumberFormat="1" applyFont="1" applyFill="1" applyAlignment="1" applyProtection="1">
      <alignment horizontal="center"/>
      <protection hidden="1"/>
    </xf>
    <xf numFmtId="1" fontId="141" fillId="10" borderId="0" xfId="0" applyNumberFormat="1" applyFont="1" applyFill="1" applyAlignment="1" applyProtection="1">
      <alignment horizontal="center" vertical="center"/>
      <protection hidden="1"/>
    </xf>
    <xf numFmtId="0" fontId="189" fillId="8" borderId="0" xfId="0" applyFont="1" applyFill="1" applyProtection="1">
      <protection hidden="1"/>
    </xf>
    <xf numFmtId="0" fontId="3" fillId="17" borderId="2" xfId="0" applyFont="1" applyFill="1" applyBorder="1" applyAlignment="1" applyProtection="1">
      <alignment horizontal="center" vertical="center"/>
      <protection locked="0" hidden="1"/>
    </xf>
    <xf numFmtId="0" fontId="74" fillId="5" borderId="0" xfId="0" applyFont="1" applyFill="1" applyProtection="1">
      <protection hidden="1"/>
    </xf>
    <xf numFmtId="0" fontId="10" fillId="2" borderId="9" xfId="0" applyFont="1" applyFill="1" applyBorder="1" applyAlignment="1" applyProtection="1">
      <alignment horizontal="center"/>
      <protection hidden="1"/>
    </xf>
    <xf numFmtId="0" fontId="64" fillId="16" borderId="0" xfId="0" applyFont="1" applyFill="1" applyProtection="1">
      <protection hidden="1"/>
    </xf>
    <xf numFmtId="0" fontId="211" fillId="16" borderId="0" xfId="0" applyFont="1" applyFill="1" applyAlignment="1" applyProtection="1">
      <alignment horizontal="center"/>
      <protection hidden="1"/>
    </xf>
    <xf numFmtId="0" fontId="131" fillId="16" borderId="0" xfId="0" applyFont="1" applyFill="1" applyAlignment="1" applyProtection="1">
      <alignment horizontal="center"/>
      <protection hidden="1"/>
    </xf>
    <xf numFmtId="4" fontId="212" fillId="0" borderId="0" xfId="0" applyNumberFormat="1" applyFont="1" applyProtection="1">
      <protection hidden="1"/>
    </xf>
    <xf numFmtId="0" fontId="3" fillId="16" borderId="6" xfId="0" quotePrefix="1" applyFont="1" applyFill="1" applyBorder="1" applyAlignment="1" applyProtection="1">
      <alignment horizontal="right"/>
      <protection hidden="1"/>
    </xf>
    <xf numFmtId="4" fontId="3" fillId="3" borderId="0" xfId="0" applyNumberFormat="1" applyFont="1" applyFill="1" applyAlignment="1" applyProtection="1">
      <alignment horizontal="left"/>
      <protection hidden="1"/>
    </xf>
    <xf numFmtId="0" fontId="3" fillId="2" borderId="0" xfId="0" applyFont="1" applyFill="1" applyAlignment="1" applyProtection="1">
      <alignment horizontal="center" wrapText="1"/>
      <protection hidden="1"/>
    </xf>
    <xf numFmtId="0" fontId="0" fillId="0" borderId="0" xfId="0" applyAlignment="1" applyProtection="1">
      <alignment vertical="center"/>
      <protection hidden="1"/>
    </xf>
    <xf numFmtId="0" fontId="6" fillId="2" borderId="46" xfId="0" applyFont="1" applyFill="1" applyBorder="1" applyAlignment="1" applyProtection="1">
      <alignment horizontal="left" vertical="center"/>
      <protection hidden="1"/>
    </xf>
    <xf numFmtId="0" fontId="6" fillId="2" borderId="46" xfId="0" applyFont="1" applyFill="1" applyBorder="1" applyAlignment="1" applyProtection="1">
      <alignment horizontal="center" vertical="center"/>
      <protection hidden="1"/>
    </xf>
    <xf numFmtId="0" fontId="3" fillId="2" borderId="46" xfId="0" applyFont="1" applyFill="1" applyBorder="1" applyAlignment="1" applyProtection="1">
      <alignment horizontal="center" vertical="center"/>
      <protection hidden="1"/>
    </xf>
    <xf numFmtId="0" fontId="6" fillId="0" borderId="26" xfId="0" applyFont="1" applyBorder="1" applyAlignment="1" applyProtection="1">
      <alignment horizontal="center"/>
      <protection hidden="1"/>
    </xf>
    <xf numFmtId="0" fontId="60" fillId="0" borderId="0" xfId="0" applyFont="1" applyAlignment="1" applyProtection="1">
      <alignment horizontal="center"/>
      <protection hidden="1"/>
    </xf>
    <xf numFmtId="1" fontId="5" fillId="0" borderId="0" xfId="0" applyNumberFormat="1" applyFont="1" applyProtection="1">
      <protection hidden="1"/>
    </xf>
    <xf numFmtId="4" fontId="5" fillId="33" borderId="115" xfId="0" applyNumberFormat="1" applyFont="1" applyFill="1" applyBorder="1" applyProtection="1">
      <protection locked="0"/>
    </xf>
    <xf numFmtId="4" fontId="5" fillId="33" borderId="116" xfId="0" applyNumberFormat="1" applyFont="1" applyFill="1" applyBorder="1" applyProtection="1">
      <protection locked="0"/>
    </xf>
    <xf numFmtId="4" fontId="5" fillId="33" borderId="117" xfId="0" applyNumberFormat="1" applyFont="1" applyFill="1" applyBorder="1" applyProtection="1">
      <protection locked="0"/>
    </xf>
    <xf numFmtId="4" fontId="6" fillId="0" borderId="0" xfId="0" applyNumberFormat="1" applyFont="1" applyProtection="1">
      <protection hidden="1"/>
    </xf>
    <xf numFmtId="1" fontId="60" fillId="0" borderId="0" xfId="0" applyNumberFormat="1" applyFont="1" applyProtection="1">
      <protection hidden="1"/>
    </xf>
    <xf numFmtId="4" fontId="5" fillId="33" borderId="118" xfId="0" applyNumberFormat="1" applyFont="1" applyFill="1" applyBorder="1" applyProtection="1">
      <protection locked="0"/>
    </xf>
    <xf numFmtId="4" fontId="5" fillId="33" borderId="119" xfId="0" applyNumberFormat="1" applyFont="1" applyFill="1" applyBorder="1" applyProtection="1">
      <protection locked="0"/>
    </xf>
    <xf numFmtId="4" fontId="5" fillId="33" borderId="120" xfId="0" applyNumberFormat="1" applyFont="1" applyFill="1" applyBorder="1" applyProtection="1">
      <protection locked="0"/>
    </xf>
    <xf numFmtId="171" fontId="5" fillId="0" borderId="0" xfId="0" applyNumberFormat="1" applyFont="1" applyProtection="1">
      <protection hidden="1"/>
    </xf>
    <xf numFmtId="0" fontId="3" fillId="2" borderId="3" xfId="0" applyFont="1" applyFill="1" applyBorder="1" applyProtection="1">
      <protection hidden="1"/>
    </xf>
    <xf numFmtId="1" fontId="25" fillId="0" borderId="0" xfId="0" applyNumberFormat="1" applyFont="1" applyProtection="1">
      <protection hidden="1"/>
    </xf>
    <xf numFmtId="4" fontId="128" fillId="0" borderId="0" xfId="0" applyNumberFormat="1" applyFont="1" applyProtection="1">
      <protection hidden="1"/>
    </xf>
    <xf numFmtId="0" fontId="151" fillId="2" borderId="3" xfId="0" applyFont="1" applyFill="1" applyBorder="1" applyProtection="1">
      <protection hidden="1"/>
    </xf>
    <xf numFmtId="0" fontId="151" fillId="2" borderId="3" xfId="0" applyFont="1" applyFill="1" applyBorder="1" applyProtection="1">
      <protection locked="0"/>
    </xf>
    <xf numFmtId="0" fontId="8" fillId="2" borderId="3" xfId="0" applyFont="1" applyFill="1" applyBorder="1" applyProtection="1">
      <protection hidden="1"/>
    </xf>
    <xf numFmtId="0" fontId="3" fillId="2" borderId="10" xfId="0" applyFont="1" applyFill="1" applyBorder="1" applyProtection="1">
      <protection hidden="1"/>
    </xf>
    <xf numFmtId="4" fontId="5" fillId="33" borderId="121" xfId="0" applyNumberFormat="1" applyFont="1" applyFill="1" applyBorder="1" applyProtection="1">
      <protection locked="0"/>
    </xf>
    <xf numFmtId="4" fontId="5" fillId="33" borderId="122" xfId="0" applyNumberFormat="1" applyFont="1" applyFill="1" applyBorder="1" applyProtection="1">
      <protection locked="0"/>
    </xf>
    <xf numFmtId="4" fontId="5" fillId="33" borderId="123" xfId="0" applyNumberFormat="1" applyFont="1" applyFill="1" applyBorder="1" applyProtection="1">
      <protection locked="0"/>
    </xf>
    <xf numFmtId="4" fontId="0" fillId="0" borderId="1" xfId="0" applyNumberFormat="1" applyBorder="1" applyProtection="1">
      <protection hidden="1"/>
    </xf>
    <xf numFmtId="0" fontId="13" fillId="2" borderId="9" xfId="0" applyFont="1" applyFill="1" applyBorder="1" applyAlignment="1" applyProtection="1">
      <alignment horizontal="right"/>
      <protection hidden="1"/>
    </xf>
    <xf numFmtId="0" fontId="6" fillId="2" borderId="9" xfId="0" applyFont="1" applyFill="1" applyBorder="1" applyAlignment="1" applyProtection="1">
      <alignment horizontal="center"/>
      <protection hidden="1"/>
    </xf>
    <xf numFmtId="0" fontId="6" fillId="2" borderId="141" xfId="0" applyFont="1" applyFill="1" applyBorder="1" applyAlignment="1" applyProtection="1">
      <alignment horizontal="left" vertical="center"/>
      <protection hidden="1"/>
    </xf>
    <xf numFmtId="0" fontId="6" fillId="2" borderId="141" xfId="0" applyFont="1" applyFill="1" applyBorder="1" applyAlignment="1" applyProtection="1">
      <alignment horizontal="center" vertical="center"/>
      <protection hidden="1"/>
    </xf>
    <xf numFmtId="0" fontId="3" fillId="2" borderId="141" xfId="0" applyFont="1" applyFill="1" applyBorder="1" applyAlignment="1" applyProtection="1">
      <alignment horizontal="center" vertical="center"/>
      <protection hidden="1"/>
    </xf>
    <xf numFmtId="0" fontId="6" fillId="2" borderId="1" xfId="0" applyFont="1" applyFill="1" applyBorder="1" applyAlignment="1" applyProtection="1">
      <alignment horizontal="center"/>
      <protection hidden="1"/>
    </xf>
    <xf numFmtId="1" fontId="6" fillId="0" borderId="0" xfId="0" applyNumberFormat="1" applyFont="1" applyProtection="1">
      <protection hidden="1"/>
    </xf>
    <xf numFmtId="4" fontId="60" fillId="0" borderId="0" xfId="0" applyNumberFormat="1" applyFont="1" applyProtection="1">
      <protection hidden="1"/>
    </xf>
    <xf numFmtId="4" fontId="25" fillId="0" borderId="0" xfId="0" applyNumberFormat="1" applyFont="1" applyProtection="1">
      <protection hidden="1"/>
    </xf>
    <xf numFmtId="0" fontId="6" fillId="2" borderId="1" xfId="0" applyFont="1" applyFill="1" applyBorder="1" applyAlignment="1" applyProtection="1">
      <alignment horizontal="left"/>
      <protection hidden="1"/>
    </xf>
    <xf numFmtId="0" fontId="3" fillId="2" borderId="1" xfId="0" applyFont="1" applyFill="1" applyBorder="1" applyAlignment="1" applyProtection="1">
      <alignment horizontal="center"/>
      <protection hidden="1"/>
    </xf>
    <xf numFmtId="1" fontId="0" fillId="0" borderId="1" xfId="0" applyNumberFormat="1" applyBorder="1" applyProtection="1">
      <protection hidden="1"/>
    </xf>
    <xf numFmtId="4" fontId="21" fillId="16" borderId="9" xfId="0" applyNumberFormat="1" applyFont="1" applyFill="1" applyBorder="1" applyProtection="1">
      <protection hidden="1"/>
    </xf>
    <xf numFmtId="4" fontId="21" fillId="0" borderId="0" xfId="0" applyNumberFormat="1" applyFont="1" applyProtection="1">
      <protection hidden="1"/>
    </xf>
    <xf numFmtId="4" fontId="21" fillId="16" borderId="0" xfId="0" applyNumberFormat="1" applyFont="1" applyFill="1" applyProtection="1">
      <protection hidden="1"/>
    </xf>
    <xf numFmtId="0" fontId="5" fillId="2" borderId="3" xfId="0" applyFont="1" applyFill="1" applyBorder="1" applyProtection="1">
      <protection hidden="1"/>
    </xf>
    <xf numFmtId="4" fontId="5" fillId="0" borderId="0" xfId="0" applyNumberFormat="1" applyFont="1" applyAlignment="1" applyProtection="1">
      <alignment horizontal="left"/>
      <protection hidden="1"/>
    </xf>
    <xf numFmtId="4" fontId="10" fillId="0" borderId="0" xfId="0" applyNumberFormat="1" applyFont="1" applyProtection="1">
      <protection hidden="1"/>
    </xf>
    <xf numFmtId="4" fontId="0" fillId="16" borderId="1" xfId="0" applyNumberFormat="1" applyFill="1" applyBorder="1" applyProtection="1">
      <protection hidden="1"/>
    </xf>
    <xf numFmtId="0" fontId="0" fillId="0" borderId="1" xfId="0" applyBorder="1" applyProtection="1">
      <protection hidden="1"/>
    </xf>
    <xf numFmtId="4" fontId="5" fillId="33" borderId="144" xfId="0" applyNumberFormat="1" applyFont="1" applyFill="1" applyBorder="1" applyProtection="1">
      <protection locked="0"/>
    </xf>
    <xf numFmtId="4" fontId="5" fillId="33" borderId="145" xfId="0" applyNumberFormat="1" applyFont="1" applyFill="1" applyBorder="1" applyProtection="1">
      <protection locked="0"/>
    </xf>
    <xf numFmtId="4" fontId="21" fillId="2" borderId="6" xfId="0" applyNumberFormat="1" applyFont="1" applyFill="1" applyBorder="1" applyProtection="1">
      <protection hidden="1"/>
    </xf>
    <xf numFmtId="0" fontId="6" fillId="2" borderId="42" xfId="0" applyFont="1" applyFill="1" applyBorder="1" applyProtection="1">
      <protection hidden="1"/>
    </xf>
    <xf numFmtId="0" fontId="6" fillId="2" borderId="43" xfId="0" applyFont="1" applyFill="1" applyBorder="1" applyProtection="1">
      <protection hidden="1"/>
    </xf>
    <xf numFmtId="3" fontId="213" fillId="28" borderId="155" xfId="0" applyNumberFormat="1" applyFont="1" applyFill="1" applyBorder="1" applyAlignment="1" applyProtection="1">
      <alignment horizontal="right"/>
      <protection hidden="1"/>
    </xf>
    <xf numFmtId="3" fontId="213" fillId="28" borderId="156" xfId="0" applyNumberFormat="1" applyFont="1" applyFill="1" applyBorder="1" applyAlignment="1" applyProtection="1">
      <alignment horizontal="right"/>
      <protection hidden="1"/>
    </xf>
    <xf numFmtId="3" fontId="129" fillId="2" borderId="0" xfId="0" applyNumberFormat="1" applyFont="1" applyFill="1" applyAlignment="1" applyProtection="1">
      <alignment horizontal="left" indent="1"/>
      <protection hidden="1"/>
    </xf>
    <xf numFmtId="4" fontId="0" fillId="2" borderId="6" xfId="0" applyNumberFormat="1" applyFill="1" applyBorder="1" applyProtection="1">
      <protection hidden="1"/>
    </xf>
    <xf numFmtId="0" fontId="6" fillId="2" borderId="41" xfId="0" applyFont="1" applyFill="1" applyBorder="1" applyProtection="1">
      <protection hidden="1"/>
    </xf>
    <xf numFmtId="0" fontId="127" fillId="2" borderId="43" xfId="0" applyFont="1" applyFill="1" applyBorder="1" applyProtection="1">
      <protection hidden="1"/>
    </xf>
    <xf numFmtId="4" fontId="5" fillId="2" borderId="6" xfId="0" applyNumberFormat="1" applyFont="1" applyFill="1" applyBorder="1" applyAlignment="1" applyProtection="1">
      <alignment horizontal="left"/>
      <protection hidden="1"/>
    </xf>
    <xf numFmtId="4" fontId="128" fillId="2" borderId="6" xfId="0" applyNumberFormat="1" applyFont="1" applyFill="1" applyBorder="1" applyProtection="1">
      <protection hidden="1"/>
    </xf>
    <xf numFmtId="4" fontId="64" fillId="2" borderId="6" xfId="0" applyNumberFormat="1" applyFont="1" applyFill="1" applyBorder="1" applyProtection="1">
      <protection hidden="1"/>
    </xf>
    <xf numFmtId="1" fontId="25" fillId="2" borderId="0" xfId="0" applyNumberFormat="1" applyFont="1" applyFill="1" applyProtection="1">
      <protection hidden="1"/>
    </xf>
    <xf numFmtId="171" fontId="127" fillId="2" borderId="50" xfId="0" applyNumberFormat="1" applyFont="1" applyFill="1" applyBorder="1" applyProtection="1">
      <protection hidden="1"/>
    </xf>
    <xf numFmtId="4" fontId="6" fillId="2" borderId="0" xfId="0" applyNumberFormat="1" applyFont="1" applyFill="1" applyAlignment="1" applyProtection="1">
      <alignment horizontal="left" indent="1"/>
      <protection hidden="1"/>
    </xf>
    <xf numFmtId="4" fontId="18" fillId="25" borderId="0" xfId="0" applyNumberFormat="1" applyFont="1" applyFill="1" applyProtection="1">
      <protection locked="0"/>
    </xf>
    <xf numFmtId="4" fontId="0" fillId="25" borderId="0" xfId="0" applyNumberFormat="1" applyFill="1" applyProtection="1">
      <protection locked="0"/>
    </xf>
    <xf numFmtId="39" fontId="18" fillId="25" borderId="0" xfId="0" applyNumberFormat="1" applyFont="1" applyFill="1" applyProtection="1">
      <protection locked="0"/>
    </xf>
    <xf numFmtId="39" fontId="0" fillId="25" borderId="0" xfId="0" applyNumberFormat="1" applyFill="1" applyProtection="1">
      <protection locked="0"/>
    </xf>
    <xf numFmtId="39" fontId="10" fillId="25" borderId="0" xfId="0" applyNumberFormat="1" applyFont="1" applyFill="1" applyProtection="1">
      <protection locked="0"/>
    </xf>
    <xf numFmtId="39" fontId="18" fillId="25" borderId="5" xfId="0" applyNumberFormat="1" applyFont="1" applyFill="1" applyBorder="1" applyAlignment="1" applyProtection="1">
      <alignment horizontal="left"/>
      <protection locked="0"/>
    </xf>
    <xf numFmtId="39" fontId="24" fillId="25" borderId="5" xfId="0" applyNumberFormat="1" applyFont="1" applyFill="1" applyBorder="1" applyAlignment="1" applyProtection="1">
      <alignment horizontal="left" vertical="center"/>
      <protection locked="0"/>
    </xf>
    <xf numFmtId="39" fontId="0" fillId="25" borderId="0" xfId="0" applyNumberFormat="1" applyFill="1" applyAlignment="1" applyProtection="1">
      <alignment vertical="top"/>
      <protection locked="0"/>
    </xf>
    <xf numFmtId="39" fontId="83" fillId="25" borderId="0" xfId="0" applyNumberFormat="1" applyFont="1" applyFill="1" applyProtection="1">
      <protection locked="0"/>
    </xf>
    <xf numFmtId="39" fontId="5" fillId="25" borderId="0" xfId="0" applyNumberFormat="1" applyFont="1" applyFill="1" applyProtection="1">
      <protection locked="0"/>
    </xf>
    <xf numFmtId="39" fontId="0" fillId="25" borderId="0" xfId="0" applyNumberFormat="1" applyFill="1" applyAlignment="1" applyProtection="1">
      <alignment vertical="center"/>
      <protection locked="0"/>
    </xf>
    <xf numFmtId="39" fontId="21" fillId="25" borderId="0" xfId="0" applyNumberFormat="1" applyFont="1" applyFill="1" applyProtection="1">
      <protection locked="0"/>
    </xf>
    <xf numFmtId="39" fontId="18" fillId="25" borderId="0" xfId="0" applyNumberFormat="1" applyFont="1" applyFill="1" applyAlignment="1" applyProtection="1">
      <alignment vertical="top"/>
      <protection locked="0"/>
    </xf>
    <xf numFmtId="39" fontId="25" fillId="25" borderId="0" xfId="0" applyNumberFormat="1" applyFont="1" applyFill="1" applyAlignment="1" applyProtection="1">
      <alignment vertical="center"/>
      <protection locked="0"/>
    </xf>
    <xf numFmtId="39" fontId="16" fillId="25" borderId="0" xfId="0" applyNumberFormat="1" applyFont="1" applyFill="1" applyProtection="1">
      <protection locked="0"/>
    </xf>
    <xf numFmtId="39" fontId="97" fillId="25" borderId="0" xfId="0" applyNumberFormat="1" applyFont="1" applyFill="1" applyProtection="1">
      <protection locked="0"/>
    </xf>
    <xf numFmtId="39" fontId="25" fillId="25" borderId="0" xfId="0" applyNumberFormat="1" applyFont="1" applyFill="1" applyProtection="1">
      <protection locked="0"/>
    </xf>
    <xf numFmtId="39" fontId="0" fillId="25" borderId="65" xfId="0" applyNumberFormat="1" applyFill="1" applyBorder="1" applyProtection="1">
      <protection locked="0"/>
    </xf>
    <xf numFmtId="39" fontId="25" fillId="25" borderId="65" xfId="0" applyNumberFormat="1" applyFont="1" applyFill="1" applyBorder="1" applyProtection="1">
      <protection locked="0"/>
    </xf>
    <xf numFmtId="39" fontId="64" fillId="25" borderId="0" xfId="0" applyNumberFormat="1" applyFont="1" applyFill="1" applyProtection="1">
      <protection locked="0"/>
    </xf>
    <xf numFmtId="39" fontId="5" fillId="25" borderId="24" xfId="0" applyNumberFormat="1" applyFont="1" applyFill="1" applyBorder="1" applyAlignment="1" applyProtection="1">
      <alignment horizontal="right"/>
      <protection locked="0"/>
    </xf>
    <xf numFmtId="39" fontId="5" fillId="25" borderId="6" xfId="0" applyNumberFormat="1" applyFont="1" applyFill="1" applyBorder="1" applyAlignment="1" applyProtection="1">
      <alignment horizontal="right"/>
      <protection locked="0"/>
    </xf>
    <xf numFmtId="39" fontId="5" fillId="25" borderId="27" xfId="0" applyNumberFormat="1" applyFont="1" applyFill="1" applyBorder="1" applyAlignment="1" applyProtection="1">
      <alignment horizontal="center"/>
      <protection locked="0"/>
    </xf>
    <xf numFmtId="39" fontId="5" fillId="25" borderId="30" xfId="0" applyNumberFormat="1" applyFont="1" applyFill="1" applyBorder="1" applyAlignment="1" applyProtection="1">
      <alignment horizontal="center"/>
      <protection locked="0"/>
    </xf>
    <xf numFmtId="39" fontId="5" fillId="25" borderId="21" xfId="0" applyNumberFormat="1" applyFont="1" applyFill="1" applyBorder="1" applyAlignment="1" applyProtection="1">
      <alignment horizontal="center"/>
      <protection locked="0"/>
    </xf>
    <xf numFmtId="39" fontId="5" fillId="25" borderId="47" xfId="0" applyNumberFormat="1" applyFont="1" applyFill="1" applyBorder="1" applyAlignment="1" applyProtection="1">
      <alignment horizontal="right"/>
      <protection locked="0"/>
    </xf>
    <xf numFmtId="39" fontId="5" fillId="25" borderId="59" xfId="0" applyNumberFormat="1" applyFont="1" applyFill="1" applyBorder="1" applyAlignment="1" applyProtection="1">
      <alignment horizontal="right"/>
      <protection locked="0"/>
    </xf>
    <xf numFmtId="39" fontId="5" fillId="25" borderId="55" xfId="0" applyNumberFormat="1" applyFont="1" applyFill="1" applyBorder="1" applyAlignment="1" applyProtection="1">
      <alignment horizontal="right"/>
      <protection locked="0"/>
    </xf>
    <xf numFmtId="39" fontId="5" fillId="25" borderId="60" xfId="0" applyNumberFormat="1" applyFont="1" applyFill="1" applyBorder="1" applyAlignment="1" applyProtection="1">
      <alignment horizontal="right"/>
      <protection locked="0"/>
    </xf>
    <xf numFmtId="39" fontId="5" fillId="25" borderId="112" xfId="0" applyNumberFormat="1" applyFont="1" applyFill="1" applyBorder="1" applyAlignment="1" applyProtection="1">
      <alignment horizontal="right"/>
      <protection locked="0"/>
    </xf>
    <xf numFmtId="39" fontId="5" fillId="25" borderId="113" xfId="0" applyNumberFormat="1" applyFont="1" applyFill="1" applyBorder="1" applyAlignment="1" applyProtection="1">
      <alignment horizontal="right"/>
      <protection locked="0"/>
    </xf>
    <xf numFmtId="39" fontId="5" fillId="25" borderId="32" xfId="0" applyNumberFormat="1" applyFont="1" applyFill="1" applyBorder="1" applyAlignment="1" applyProtection="1">
      <alignment horizontal="right"/>
      <protection locked="0"/>
    </xf>
    <xf numFmtId="39" fontId="18" fillId="25" borderId="0" xfId="0" applyNumberFormat="1" applyFont="1" applyFill="1" applyAlignment="1" applyProtection="1">
      <alignment horizontal="left"/>
      <protection locked="0"/>
    </xf>
    <xf numFmtId="39" fontId="176" fillId="25" borderId="0" xfId="0" applyNumberFormat="1" applyFont="1" applyFill="1" applyProtection="1">
      <protection locked="0"/>
    </xf>
    <xf numFmtId="39" fontId="21" fillId="25" borderId="0" xfId="0" applyNumberFormat="1" applyFont="1" applyFill="1" applyAlignment="1" applyProtection="1">
      <alignment vertical="center"/>
      <protection locked="0"/>
    </xf>
    <xf numFmtId="39" fontId="109" fillId="25" borderId="0" xfId="0" applyNumberFormat="1" applyFont="1" applyFill="1" applyProtection="1">
      <protection locked="0"/>
    </xf>
    <xf numFmtId="39" fontId="0" fillId="25" borderId="66" xfId="0" applyNumberFormat="1" applyFill="1" applyBorder="1" applyProtection="1">
      <protection locked="0"/>
    </xf>
    <xf numFmtId="4" fontId="129" fillId="3" borderId="3" xfId="0" applyNumberFormat="1" applyFont="1" applyFill="1" applyBorder="1" applyProtection="1">
      <protection hidden="1"/>
    </xf>
    <xf numFmtId="0" fontId="3" fillId="21" borderId="2" xfId="0" applyFont="1" applyFill="1" applyBorder="1" applyAlignment="1" applyProtection="1">
      <alignment horizontal="center" vertical="center"/>
      <protection locked="0" hidden="1"/>
    </xf>
    <xf numFmtId="0" fontId="100" fillId="16" borderId="0" xfId="0" applyFont="1" applyFill="1" applyAlignment="1" applyProtection="1">
      <alignment horizontal="center"/>
      <protection hidden="1"/>
    </xf>
    <xf numFmtId="0" fontId="10" fillId="0" borderId="0" xfId="0" applyFont="1" applyAlignment="1">
      <alignment horizontal="center"/>
    </xf>
    <xf numFmtId="3" fontId="10" fillId="0" borderId="0" xfId="0" applyNumberFormat="1" applyFont="1"/>
    <xf numFmtId="37" fontId="21" fillId="3" borderId="31" xfId="0" applyNumberFormat="1" applyFont="1" applyFill="1" applyBorder="1" applyAlignment="1" applyProtection="1">
      <alignment horizontal="right"/>
      <protection hidden="1"/>
    </xf>
    <xf numFmtId="37" fontId="21" fillId="3" borderId="3" xfId="0" applyNumberFormat="1" applyFont="1" applyFill="1" applyBorder="1" applyAlignment="1" applyProtection="1">
      <alignment horizontal="right"/>
      <protection hidden="1"/>
    </xf>
    <xf numFmtId="37" fontId="5" fillId="3" borderId="31" xfId="0" applyNumberFormat="1" applyFont="1" applyFill="1" applyBorder="1" applyAlignment="1" applyProtection="1">
      <alignment horizontal="right"/>
      <protection hidden="1"/>
    </xf>
    <xf numFmtId="37" fontId="5" fillId="3" borderId="3" xfId="0" applyNumberFormat="1" applyFont="1" applyFill="1" applyBorder="1" applyAlignment="1" applyProtection="1">
      <alignment horizontal="right"/>
      <protection hidden="1"/>
    </xf>
    <xf numFmtId="4" fontId="7" fillId="16" borderId="6" xfId="0" applyNumberFormat="1" applyFont="1" applyFill="1" applyBorder="1" applyProtection="1">
      <protection hidden="1"/>
    </xf>
    <xf numFmtId="0" fontId="21" fillId="16" borderId="6" xfId="0" applyFont="1" applyFill="1" applyBorder="1" applyProtection="1">
      <protection hidden="1"/>
    </xf>
    <xf numFmtId="0" fontId="10" fillId="16" borderId="6" xfId="0" applyFont="1" applyFill="1" applyBorder="1" applyAlignment="1" applyProtection="1">
      <alignment horizontal="center"/>
      <protection hidden="1"/>
    </xf>
    <xf numFmtId="0" fontId="10" fillId="16" borderId="6" xfId="0" applyFont="1" applyFill="1" applyBorder="1" applyProtection="1">
      <protection hidden="1"/>
    </xf>
    <xf numFmtId="0" fontId="13" fillId="16" borderId="6" xfId="0" applyFont="1" applyFill="1" applyBorder="1" applyProtection="1">
      <protection hidden="1"/>
    </xf>
    <xf numFmtId="0" fontId="10" fillId="16" borderId="6" xfId="0" applyFont="1" applyFill="1" applyBorder="1" applyAlignment="1" applyProtection="1">
      <alignment horizontal="right"/>
      <protection hidden="1"/>
    </xf>
    <xf numFmtId="3" fontId="10" fillId="16" borderId="0" xfId="0" applyNumberFormat="1" applyFont="1" applyFill="1" applyProtection="1">
      <protection hidden="1"/>
    </xf>
    <xf numFmtId="0" fontId="5" fillId="16" borderId="21" xfId="0" applyFont="1" applyFill="1" applyBorder="1" applyProtection="1">
      <protection hidden="1"/>
    </xf>
    <xf numFmtId="3" fontId="10" fillId="16" borderId="45" xfId="0" applyNumberFormat="1" applyFont="1" applyFill="1" applyBorder="1" applyProtection="1">
      <protection hidden="1"/>
    </xf>
    <xf numFmtId="0" fontId="10" fillId="17" borderId="0" xfId="0" applyFont="1" applyFill="1" applyAlignment="1" applyProtection="1">
      <alignment horizontal="center"/>
      <protection locked="0" hidden="1"/>
    </xf>
    <xf numFmtId="0" fontId="21" fillId="16" borderId="0" xfId="0" applyFont="1" applyFill="1" applyAlignment="1">
      <alignment horizontal="center"/>
    </xf>
    <xf numFmtId="0" fontId="15" fillId="16" borderId="0" xfId="0" applyFont="1" applyFill="1" applyAlignment="1" applyProtection="1">
      <alignment horizontal="center"/>
      <protection hidden="1"/>
    </xf>
    <xf numFmtId="0" fontId="7" fillId="16" borderId="0" xfId="0" applyFont="1" applyFill="1" applyAlignment="1" applyProtection="1">
      <alignment horizontal="center"/>
      <protection hidden="1"/>
    </xf>
    <xf numFmtId="0" fontId="21" fillId="16" borderId="0" xfId="0" quotePrefix="1" applyFont="1" applyFill="1" applyAlignment="1" applyProtection="1">
      <alignment horizontal="center"/>
      <protection hidden="1"/>
    </xf>
    <xf numFmtId="4" fontId="7" fillId="16" borderId="0" xfId="0" applyNumberFormat="1" applyFont="1" applyFill="1" applyAlignment="1" applyProtection="1">
      <alignment horizontal="center"/>
      <protection hidden="1"/>
    </xf>
    <xf numFmtId="3" fontId="10" fillId="16" borderId="0" xfId="0" applyNumberFormat="1" applyFont="1" applyFill="1" applyAlignment="1" applyProtection="1">
      <alignment horizontal="center"/>
      <protection hidden="1"/>
    </xf>
    <xf numFmtId="0" fontId="21" fillId="16" borderId="0" xfId="0" applyFont="1" applyFill="1"/>
    <xf numFmtId="0" fontId="10" fillId="16" borderId="0" xfId="0" applyFont="1" applyFill="1" applyAlignment="1">
      <alignment horizontal="center"/>
    </xf>
    <xf numFmtId="3" fontId="10" fillId="16" borderId="0" xfId="0" applyNumberFormat="1" applyFont="1" applyFill="1"/>
    <xf numFmtId="0" fontId="15" fillId="16" borderId="0" xfId="0" applyFont="1" applyFill="1" applyProtection="1">
      <protection hidden="1"/>
    </xf>
    <xf numFmtId="0" fontId="21" fillId="16" borderId="0" xfId="0" quotePrefix="1" applyFont="1" applyFill="1" applyAlignment="1" applyProtection="1">
      <alignment horizontal="right"/>
      <protection hidden="1"/>
    </xf>
    <xf numFmtId="4" fontId="7" fillId="16" borderId="0" xfId="0" applyNumberFormat="1" applyFont="1" applyFill="1" applyProtection="1">
      <protection hidden="1"/>
    </xf>
    <xf numFmtId="0" fontId="100" fillId="16" borderId="0" xfId="0" applyFont="1" applyFill="1" applyProtection="1">
      <protection hidden="1"/>
    </xf>
    <xf numFmtId="0" fontId="21" fillId="0" borderId="0" xfId="0" applyFont="1" applyAlignment="1">
      <alignment horizontal="center"/>
    </xf>
    <xf numFmtId="0" fontId="15" fillId="0" borderId="0" xfId="0" applyFont="1" applyAlignment="1" applyProtection="1">
      <alignment horizontal="center"/>
      <protection hidden="1"/>
    </xf>
    <xf numFmtId="0" fontId="7" fillId="0" borderId="0" xfId="0" applyFont="1" applyAlignment="1" applyProtection="1">
      <alignment horizontal="center"/>
      <protection hidden="1"/>
    </xf>
    <xf numFmtId="0" fontId="21" fillId="0" borderId="0" xfId="0" quotePrefix="1" applyFont="1" applyAlignment="1" applyProtection="1">
      <alignment horizontal="center"/>
      <protection hidden="1"/>
    </xf>
    <xf numFmtId="0" fontId="21" fillId="0" borderId="0" xfId="0" applyFont="1" applyAlignment="1" applyProtection="1">
      <alignment horizontal="center"/>
      <protection hidden="1"/>
    </xf>
    <xf numFmtId="0" fontId="100" fillId="0" borderId="0" xfId="0" applyFont="1" applyAlignment="1" applyProtection="1">
      <alignment horizontal="center"/>
      <protection hidden="1"/>
    </xf>
    <xf numFmtId="0" fontId="214" fillId="5" borderId="0" xfId="0" applyFont="1" applyFill="1" applyAlignment="1" applyProtection="1">
      <alignment horizontal="center"/>
      <protection hidden="1"/>
    </xf>
    <xf numFmtId="0" fontId="53" fillId="2" borderId="0" xfId="0" applyFont="1" applyFill="1" applyAlignment="1" applyProtection="1">
      <alignment vertical="center"/>
      <protection hidden="1"/>
    </xf>
    <xf numFmtId="0" fontId="53" fillId="2" borderId="1" xfId="0" applyFont="1" applyFill="1" applyBorder="1" applyProtection="1">
      <protection hidden="1"/>
    </xf>
    <xf numFmtId="0" fontId="3" fillId="16" borderId="1" xfId="0" applyFont="1" applyFill="1" applyBorder="1" applyAlignment="1" applyProtection="1">
      <alignment horizontal="right"/>
      <protection hidden="1"/>
    </xf>
    <xf numFmtId="0" fontId="18" fillId="16" borderId="25" xfId="0" quotePrefix="1" applyFont="1" applyFill="1" applyBorder="1" applyAlignment="1" applyProtection="1">
      <alignment horizontal="center"/>
      <protection hidden="1"/>
    </xf>
    <xf numFmtId="37" fontId="8" fillId="15" borderId="3" xfId="0" applyNumberFormat="1" applyFont="1" applyFill="1" applyBorder="1" applyAlignment="1" applyProtection="1">
      <alignment horizontal="right"/>
      <protection hidden="1"/>
    </xf>
    <xf numFmtId="0" fontId="3" fillId="16" borderId="52" xfId="0" applyFont="1" applyFill="1" applyBorder="1" applyAlignment="1" applyProtection="1">
      <alignment horizontal="center"/>
      <protection hidden="1"/>
    </xf>
    <xf numFmtId="0" fontId="175" fillId="0" borderId="0" xfId="0" applyFont="1" applyAlignment="1">
      <alignment vertical="center"/>
    </xf>
    <xf numFmtId="37" fontId="0" fillId="16" borderId="25" xfId="0" applyNumberFormat="1" applyFill="1" applyBorder="1" applyProtection="1">
      <protection hidden="1"/>
    </xf>
    <xf numFmtId="0" fontId="5" fillId="0" borderId="47" xfId="0" applyFont="1" applyBorder="1" applyAlignment="1" applyProtection="1">
      <alignment horizontal="center"/>
      <protection hidden="1"/>
    </xf>
    <xf numFmtId="0" fontId="5" fillId="0" borderId="13" xfId="0" applyFont="1" applyBorder="1" applyAlignment="1" applyProtection="1">
      <alignment horizontal="center" wrapText="1"/>
      <protection hidden="1"/>
    </xf>
    <xf numFmtId="0" fontId="5" fillId="0" borderId="59" xfId="0" applyFont="1" applyBorder="1" applyAlignment="1" applyProtection="1">
      <alignment horizontal="center" wrapText="1"/>
      <protection hidden="1"/>
    </xf>
    <xf numFmtId="0" fontId="5" fillId="0" borderId="51" xfId="0" quotePrefix="1" applyFont="1" applyBorder="1" applyAlignment="1" applyProtection="1">
      <alignment horizontal="center"/>
      <protection hidden="1"/>
    </xf>
    <xf numFmtId="0" fontId="7" fillId="0" borderId="56" xfId="0" applyFont="1" applyBorder="1" applyAlignment="1" applyProtection="1">
      <alignment horizontal="center"/>
      <protection hidden="1"/>
    </xf>
    <xf numFmtId="0" fontId="7" fillId="0" borderId="11" xfId="0" applyFont="1" applyBorder="1" applyAlignment="1" applyProtection="1">
      <alignment horizontal="center"/>
      <protection hidden="1"/>
    </xf>
    <xf numFmtId="0" fontId="7" fillId="0" borderId="78" xfId="0" applyFont="1" applyBorder="1" applyAlignment="1" applyProtection="1">
      <alignment horizontal="center"/>
      <protection hidden="1"/>
    </xf>
    <xf numFmtId="0" fontId="8" fillId="0" borderId="82" xfId="0" applyFont="1" applyBorder="1" applyAlignment="1" applyProtection="1">
      <alignment horizontal="centerContinuous"/>
      <protection hidden="1"/>
    </xf>
    <xf numFmtId="0" fontId="5" fillId="0" borderId="84" xfId="0" applyFont="1" applyBorder="1" applyAlignment="1" applyProtection="1">
      <alignment horizontal="centerContinuous"/>
      <protection hidden="1"/>
    </xf>
    <xf numFmtId="0" fontId="5" fillId="0" borderId="83" xfId="0" applyFont="1" applyBorder="1" applyAlignment="1" applyProtection="1">
      <alignment horizontal="centerContinuous"/>
      <protection hidden="1"/>
    </xf>
    <xf numFmtId="0" fontId="53" fillId="16" borderId="0" xfId="0" applyFont="1" applyFill="1" applyProtection="1">
      <protection hidden="1"/>
    </xf>
    <xf numFmtId="0" fontId="50" fillId="16" borderId="0" xfId="0" applyFont="1" applyFill="1" applyProtection="1">
      <protection hidden="1"/>
    </xf>
    <xf numFmtId="0" fontId="53" fillId="16" borderId="26" xfId="0" applyFont="1" applyFill="1" applyBorder="1" applyProtection="1">
      <protection hidden="1"/>
    </xf>
    <xf numFmtId="0" fontId="16" fillId="0" borderId="0" xfId="0" applyFont="1" applyProtection="1">
      <protection hidden="1"/>
    </xf>
    <xf numFmtId="0" fontId="16" fillId="16" borderId="26" xfId="0" applyFont="1" applyFill="1" applyBorder="1" applyProtection="1">
      <protection hidden="1"/>
    </xf>
    <xf numFmtId="0" fontId="0" fillId="16" borderId="9" xfId="0" applyFill="1" applyBorder="1" applyAlignment="1" applyProtection="1">
      <alignment horizontal="center" vertical="center" wrapText="1"/>
      <protection hidden="1"/>
    </xf>
    <xf numFmtId="0" fontId="0" fillId="16" borderId="15" xfId="0" applyFill="1" applyBorder="1" applyAlignment="1" applyProtection="1">
      <alignment horizontal="center" vertical="center" wrapText="1"/>
      <protection hidden="1"/>
    </xf>
    <xf numFmtId="0" fontId="0" fillId="16" borderId="31" xfId="0" applyFill="1" applyBorder="1" applyAlignment="1" applyProtection="1">
      <alignment horizontal="center" vertical="center" wrapText="1"/>
      <protection hidden="1"/>
    </xf>
    <xf numFmtId="0" fontId="3" fillId="17" borderId="16" xfId="0" applyFont="1" applyFill="1" applyBorder="1" applyAlignment="1" applyProtection="1">
      <alignment horizontal="center" vertical="center"/>
      <protection locked="0"/>
    </xf>
    <xf numFmtId="0" fontId="0" fillId="20" borderId="9" xfId="0" applyFill="1" applyBorder="1" applyAlignment="1" applyProtection="1">
      <alignment horizontal="center" vertical="center" wrapText="1"/>
      <protection hidden="1"/>
    </xf>
    <xf numFmtId="0" fontId="0" fillId="20" borderId="15" xfId="0" applyFill="1" applyBorder="1" applyAlignment="1" applyProtection="1">
      <alignment horizontal="center" vertical="center" wrapText="1"/>
      <protection hidden="1"/>
    </xf>
    <xf numFmtId="0" fontId="0" fillId="20" borderId="1" xfId="0" applyFill="1" applyBorder="1" applyProtection="1">
      <protection hidden="1"/>
    </xf>
    <xf numFmtId="0" fontId="0" fillId="20" borderId="12" xfId="0" applyFill="1" applyBorder="1" applyProtection="1">
      <protection hidden="1"/>
    </xf>
    <xf numFmtId="0" fontId="12" fillId="16" borderId="9" xfId="0" applyFont="1" applyFill="1" applyBorder="1" applyProtection="1">
      <protection hidden="1"/>
    </xf>
    <xf numFmtId="49" fontId="18" fillId="16" borderId="0" xfId="0" applyNumberFormat="1" applyFont="1" applyFill="1" applyAlignment="1" applyProtection="1">
      <alignment horizontal="right" vertical="center"/>
      <protection hidden="1"/>
    </xf>
    <xf numFmtId="0" fontId="0" fillId="16" borderId="0" xfId="0" applyFill="1" applyAlignment="1" applyProtection="1">
      <alignment horizontal="right" indent="1"/>
      <protection hidden="1"/>
    </xf>
    <xf numFmtId="0" fontId="18" fillId="16" borderId="0" xfId="0" applyFont="1" applyFill="1" applyAlignment="1" applyProtection="1">
      <alignment horizontal="right" vertical="center" wrapText="1" indent="1"/>
      <protection hidden="1"/>
    </xf>
    <xf numFmtId="0" fontId="3" fillId="16" borderId="0" xfId="0" applyFont="1" applyFill="1" applyAlignment="1" applyProtection="1">
      <alignment horizontal="left" indent="1"/>
      <protection hidden="1"/>
    </xf>
    <xf numFmtId="0" fontId="53" fillId="16" borderId="5" xfId="0" applyFont="1" applyFill="1" applyBorder="1" applyProtection="1">
      <protection hidden="1"/>
    </xf>
    <xf numFmtId="0" fontId="0" fillId="20" borderId="9" xfId="0" applyFill="1" applyBorder="1" applyProtection="1">
      <protection hidden="1"/>
    </xf>
    <xf numFmtId="0" fontId="215" fillId="16" borderId="0" xfId="0" applyFont="1" applyFill="1" applyProtection="1">
      <protection hidden="1"/>
    </xf>
    <xf numFmtId="0" fontId="12" fillId="16" borderId="5" xfId="0" applyFont="1" applyFill="1" applyBorder="1" applyAlignment="1" applyProtection="1">
      <alignment horizontal="right"/>
      <protection hidden="1"/>
    </xf>
    <xf numFmtId="0" fontId="12" fillId="16" borderId="25" xfId="0" applyFont="1" applyFill="1" applyBorder="1" applyAlignment="1" applyProtection="1">
      <alignment horizontal="right"/>
      <protection hidden="1"/>
    </xf>
    <xf numFmtId="0" fontId="134" fillId="2" borderId="0" xfId="0" quotePrefix="1" applyFont="1" applyFill="1" applyProtection="1">
      <protection hidden="1"/>
    </xf>
    <xf numFmtId="164" fontId="3" fillId="2" borderId="6" xfId="0" quotePrefix="1" applyNumberFormat="1" applyFont="1" applyFill="1" applyBorder="1" applyAlignment="1" applyProtection="1">
      <alignment horizontal="right"/>
      <protection hidden="1"/>
    </xf>
    <xf numFmtId="164" fontId="3" fillId="2" borderId="0" xfId="0" quotePrefix="1" applyNumberFormat="1" applyFont="1" applyFill="1" applyAlignment="1" applyProtection="1">
      <alignment horizontal="right"/>
      <protection hidden="1"/>
    </xf>
    <xf numFmtId="38" fontId="7" fillId="16" borderId="0" xfId="0" applyNumberFormat="1" applyFont="1" applyFill="1" applyProtection="1">
      <protection hidden="1"/>
    </xf>
    <xf numFmtId="0" fontId="141" fillId="2" borderId="0" xfId="0" applyFont="1" applyFill="1" applyAlignment="1" applyProtection="1">
      <alignment horizontal="right"/>
      <protection hidden="1"/>
    </xf>
    <xf numFmtId="3" fontId="3" fillId="2" borderId="0" xfId="0" applyNumberFormat="1" applyFont="1" applyFill="1" applyAlignment="1" applyProtection="1">
      <alignment horizontal="right"/>
      <protection hidden="1"/>
    </xf>
    <xf numFmtId="0" fontId="42" fillId="2" borderId="22" xfId="0" quotePrefix="1" applyFont="1" applyFill="1" applyBorder="1" applyAlignment="1" applyProtection="1">
      <alignment horizontal="left" vertical="top"/>
      <protection hidden="1"/>
    </xf>
    <xf numFmtId="0" fontId="7" fillId="25" borderId="0" xfId="0" applyFont="1" applyFill="1" applyAlignment="1" applyProtection="1">
      <alignment horizontal="left"/>
      <protection hidden="1"/>
    </xf>
    <xf numFmtId="49" fontId="8" fillId="25" borderId="0" xfId="0" applyNumberFormat="1" applyFont="1" applyFill="1" applyAlignment="1" applyProtection="1">
      <alignment horizontal="center"/>
      <protection hidden="1"/>
    </xf>
    <xf numFmtId="0" fontId="7" fillId="25" borderId="0" xfId="0" applyFont="1" applyFill="1" applyAlignment="1" applyProtection="1">
      <alignment horizontal="center"/>
      <protection hidden="1"/>
    </xf>
    <xf numFmtId="0" fontId="42" fillId="2" borderId="0" xfId="0" applyFont="1" applyFill="1" applyAlignment="1" applyProtection="1">
      <alignment horizontal="left"/>
      <protection hidden="1"/>
    </xf>
    <xf numFmtId="0" fontId="42" fillId="2" borderId="0" xfId="0" applyFont="1" applyFill="1" applyProtection="1">
      <protection hidden="1"/>
    </xf>
    <xf numFmtId="176" fontId="131" fillId="3" borderId="0" xfId="0" applyNumberFormat="1" applyFont="1" applyFill="1" applyAlignment="1" applyProtection="1">
      <alignment horizontal="center"/>
      <protection hidden="1"/>
    </xf>
    <xf numFmtId="39" fontId="135" fillId="3" borderId="0" xfId="0" applyNumberFormat="1" applyFont="1" applyFill="1" applyAlignment="1" applyProtection="1">
      <alignment horizontal="center"/>
      <protection hidden="1"/>
    </xf>
    <xf numFmtId="0" fontId="20" fillId="2" borderId="6" xfId="0" applyFont="1" applyFill="1" applyBorder="1" applyAlignment="1" applyProtection="1">
      <alignment vertical="top"/>
      <protection hidden="1"/>
    </xf>
    <xf numFmtId="0" fontId="40" fillId="2" borderId="22" xfId="0" applyFont="1" applyFill="1" applyBorder="1" applyAlignment="1" applyProtection="1">
      <alignment horizontal="right" vertical="top"/>
      <protection hidden="1"/>
    </xf>
    <xf numFmtId="0" fontId="3" fillId="2" borderId="0" xfId="0" applyFont="1" applyFill="1" applyAlignment="1" applyProtection="1">
      <alignment horizontal="right"/>
      <protection hidden="1"/>
    </xf>
    <xf numFmtId="0" fontId="24" fillId="16" borderId="0" xfId="0" applyFont="1" applyFill="1" applyAlignment="1" applyProtection="1">
      <alignment horizontal="centerContinuous"/>
      <protection hidden="1"/>
    </xf>
    <xf numFmtId="0" fontId="95" fillId="16" borderId="0" xfId="0" applyFont="1" applyFill="1" applyAlignment="1" applyProtection="1">
      <alignment horizontal="centerContinuous"/>
      <protection hidden="1"/>
    </xf>
    <xf numFmtId="0" fontId="75" fillId="16" borderId="0" xfId="2" applyFill="1" applyAlignment="1" applyProtection="1">
      <protection hidden="1"/>
    </xf>
    <xf numFmtId="0" fontId="5" fillId="16" borderId="0" xfId="0" quotePrefix="1" applyFont="1" applyFill="1" applyAlignment="1" applyProtection="1">
      <alignment horizontal="left" indent="1"/>
      <protection hidden="1"/>
    </xf>
    <xf numFmtId="0" fontId="40" fillId="2" borderId="0" xfId="0" applyFont="1" applyFill="1" applyProtection="1">
      <protection hidden="1"/>
    </xf>
    <xf numFmtId="0" fontId="7" fillId="16" borderId="9" xfId="0" applyFont="1" applyFill="1" applyBorder="1" applyProtection="1">
      <protection hidden="1"/>
    </xf>
    <xf numFmtId="0" fontId="7" fillId="16" borderId="15" xfId="0" applyFont="1" applyFill="1" applyBorder="1" applyProtection="1">
      <protection hidden="1"/>
    </xf>
    <xf numFmtId="1" fontId="14" fillId="3" borderId="6" xfId="0" applyNumberFormat="1" applyFont="1" applyFill="1" applyBorder="1" applyAlignment="1" applyProtection="1">
      <alignment horizontal="center" vertical="center"/>
      <protection hidden="1"/>
    </xf>
    <xf numFmtId="0" fontId="19" fillId="3" borderId="5" xfId="0" applyFont="1" applyFill="1" applyBorder="1" applyAlignment="1" applyProtection="1">
      <alignment vertical="top"/>
      <protection hidden="1"/>
    </xf>
    <xf numFmtId="4" fontId="10" fillId="3" borderId="22" xfId="0" applyNumberFormat="1" applyFont="1" applyFill="1" applyBorder="1" applyAlignment="1" applyProtection="1">
      <alignment horizontal="center"/>
      <protection hidden="1"/>
    </xf>
    <xf numFmtId="4" fontId="10" fillId="3" borderId="5" xfId="0" applyNumberFormat="1" applyFont="1" applyFill="1" applyBorder="1" applyProtection="1">
      <protection hidden="1"/>
    </xf>
    <xf numFmtId="0" fontId="19" fillId="3" borderId="0" xfId="0" applyFont="1" applyFill="1" applyProtection="1">
      <protection hidden="1"/>
    </xf>
    <xf numFmtId="49" fontId="10" fillId="3" borderId="5" xfId="0" applyNumberFormat="1" applyFont="1" applyFill="1" applyBorder="1" applyAlignment="1" applyProtection="1">
      <alignment horizontal="center"/>
      <protection hidden="1"/>
    </xf>
    <xf numFmtId="0" fontId="111" fillId="16" borderId="3" xfId="0" applyFont="1" applyFill="1" applyBorder="1" applyAlignment="1">
      <alignment horizontal="right" wrapText="1"/>
    </xf>
    <xf numFmtId="168" fontId="216" fillId="5" borderId="0" xfId="0" applyNumberFormat="1" applyFont="1" applyFill="1" applyAlignment="1" applyProtection="1">
      <alignment horizontal="right"/>
      <protection hidden="1"/>
    </xf>
    <xf numFmtId="168" fontId="135" fillId="2" borderId="0" xfId="0" applyNumberFormat="1" applyFont="1" applyFill="1" applyAlignment="1" applyProtection="1">
      <alignment horizontal="center" vertical="center"/>
      <protection hidden="1"/>
    </xf>
    <xf numFmtId="0" fontId="3" fillId="8" borderId="31" xfId="0" applyFont="1" applyFill="1" applyBorder="1" applyAlignment="1" applyProtection="1">
      <alignment horizontal="center" vertical="center" wrapText="1"/>
      <protection hidden="1"/>
    </xf>
    <xf numFmtId="0" fontId="5" fillId="16" borderId="5" xfId="0" applyFont="1" applyFill="1" applyBorder="1" applyAlignment="1" applyProtection="1">
      <alignment horizontal="right"/>
      <protection hidden="1"/>
    </xf>
    <xf numFmtId="1" fontId="12" fillId="16" borderId="26" xfId="0" applyNumberFormat="1" applyFont="1" applyFill="1" applyBorder="1" applyAlignment="1" applyProtection="1">
      <alignment horizontal="center" vertical="center" wrapText="1"/>
      <protection hidden="1"/>
    </xf>
    <xf numFmtId="0" fontId="75" fillId="16" borderId="5" xfId="2" applyFill="1" applyBorder="1" applyAlignment="1" applyProtection="1">
      <alignment horizontal="left"/>
      <protection hidden="1"/>
    </xf>
    <xf numFmtId="0" fontId="0" fillId="16" borderId="5" xfId="0" applyFill="1" applyBorder="1" applyAlignment="1">
      <alignment horizontal="left"/>
    </xf>
    <xf numFmtId="0" fontId="75" fillId="16" borderId="5" xfId="2" applyFill="1" applyBorder="1" applyAlignment="1" applyProtection="1">
      <alignment horizontal="right"/>
    </xf>
    <xf numFmtId="0" fontId="219" fillId="0" borderId="0" xfId="0" applyFont="1" applyAlignment="1" applyProtection="1">
      <alignment horizontal="center" vertical="center"/>
      <protection hidden="1"/>
    </xf>
    <xf numFmtId="0" fontId="219" fillId="0" borderId="0" xfId="0" applyFont="1" applyProtection="1">
      <protection hidden="1"/>
    </xf>
    <xf numFmtId="0" fontId="219" fillId="0" borderId="0" xfId="0" applyFont="1" applyAlignment="1" applyProtection="1">
      <alignment horizontal="right"/>
      <protection hidden="1"/>
    </xf>
    <xf numFmtId="0" fontId="220" fillId="0" borderId="0" xfId="0" applyFont="1" applyAlignment="1" applyProtection="1">
      <alignment horizontal="center"/>
      <protection hidden="1"/>
    </xf>
    <xf numFmtId="0" fontId="218" fillId="35" borderId="157" xfId="0" applyFont="1" applyFill="1" applyBorder="1" applyAlignment="1" applyProtection="1">
      <alignment horizontal="left" vertical="center"/>
      <protection hidden="1"/>
    </xf>
    <xf numFmtId="0" fontId="222" fillId="36" borderId="157" xfId="0" applyFont="1" applyFill="1" applyBorder="1" applyAlignment="1" applyProtection="1">
      <alignment vertical="center"/>
      <protection hidden="1"/>
    </xf>
    <xf numFmtId="0" fontId="222" fillId="35" borderId="157" xfId="0" applyFont="1" applyFill="1" applyBorder="1" applyAlignment="1" applyProtection="1">
      <alignment vertical="center"/>
      <protection hidden="1"/>
    </xf>
    <xf numFmtId="0" fontId="222" fillId="36" borderId="157" xfId="0" applyFont="1" applyFill="1" applyBorder="1" applyAlignment="1" applyProtection="1">
      <alignment vertical="center" wrapText="1"/>
      <protection hidden="1"/>
    </xf>
    <xf numFmtId="3" fontId="223" fillId="0" borderId="8" xfId="0" applyNumberFormat="1" applyFont="1" applyBorder="1" applyAlignment="1" applyProtection="1">
      <alignment horizontal="center" wrapText="1"/>
      <protection hidden="1"/>
    </xf>
    <xf numFmtId="0" fontId="0" fillId="24" borderId="0" xfId="0" applyFill="1" applyProtection="1">
      <protection hidden="1"/>
    </xf>
    <xf numFmtId="0" fontId="16" fillId="24" borderId="0" xfId="0" applyFont="1" applyFill="1" applyProtection="1">
      <protection hidden="1"/>
    </xf>
    <xf numFmtId="181" fontId="129" fillId="16" borderId="0" xfId="0" applyNumberFormat="1" applyFont="1" applyFill="1" applyAlignment="1" applyProtection="1">
      <alignment horizontal="right"/>
      <protection hidden="1"/>
    </xf>
    <xf numFmtId="3" fontId="5" fillId="16" borderId="2" xfId="0" applyNumberFormat="1" applyFont="1" applyFill="1" applyBorder="1" applyProtection="1">
      <protection locked="0"/>
    </xf>
    <xf numFmtId="3" fontId="5" fillId="16" borderId="0" xfId="0" applyNumberFormat="1" applyFont="1" applyFill="1" applyProtection="1">
      <protection locked="0"/>
    </xf>
    <xf numFmtId="3" fontId="5" fillId="16" borderId="0" xfId="0" applyNumberFormat="1" applyFont="1" applyFill="1" applyProtection="1">
      <protection hidden="1"/>
    </xf>
    <xf numFmtId="49" fontId="0" fillId="16" borderId="0" xfId="0" applyNumberFormat="1" applyFill="1" applyAlignment="1" applyProtection="1">
      <alignment horizontal="right"/>
      <protection hidden="1"/>
    </xf>
    <xf numFmtId="0" fontId="159" fillId="16" borderId="0" xfId="0" applyFont="1" applyFill="1" applyAlignment="1" applyProtection="1">
      <alignment vertical="center" wrapText="1"/>
      <protection hidden="1"/>
    </xf>
    <xf numFmtId="3" fontId="129" fillId="16" borderId="0" xfId="0" applyNumberFormat="1" applyFont="1" applyFill="1" applyAlignment="1" applyProtection="1">
      <alignment horizontal="center"/>
      <protection hidden="1"/>
    </xf>
    <xf numFmtId="6" fontId="0" fillId="16" borderId="0" xfId="0" applyNumberFormat="1" applyFill="1" applyProtection="1">
      <protection hidden="1"/>
    </xf>
    <xf numFmtId="0" fontId="175" fillId="16" borderId="0" xfId="0" applyFont="1" applyFill="1" applyAlignment="1" applyProtection="1">
      <alignment vertical="center" wrapText="1"/>
      <protection hidden="1"/>
    </xf>
    <xf numFmtId="0" fontId="175" fillId="16" borderId="0" xfId="0" applyFont="1" applyFill="1" applyAlignment="1">
      <alignment vertical="center" wrapText="1"/>
    </xf>
    <xf numFmtId="0" fontId="175" fillId="16" borderId="0" xfId="0" applyFont="1" applyFill="1" applyAlignment="1">
      <alignment vertical="center"/>
    </xf>
    <xf numFmtId="0" fontId="3" fillId="16" borderId="0" xfId="0" applyFont="1" applyFill="1" applyAlignment="1" applyProtection="1">
      <alignment horizontal="center" vertical="center"/>
      <protection locked="0"/>
    </xf>
    <xf numFmtId="0" fontId="224" fillId="16" borderId="0" xfId="0" applyFont="1" applyFill="1" applyAlignment="1" applyProtection="1">
      <alignment vertical="center"/>
      <protection hidden="1"/>
    </xf>
    <xf numFmtId="0" fontId="18" fillId="16" borderId="0" xfId="0" applyFont="1" applyFill="1" applyAlignment="1" applyProtection="1">
      <alignment horizontal="center"/>
      <protection hidden="1"/>
    </xf>
    <xf numFmtId="0" fontId="18" fillId="16" borderId="0" xfId="0" applyFont="1" applyFill="1" applyAlignment="1">
      <alignment horizontal="right" vertical="center" wrapText="1" indent="1"/>
    </xf>
    <xf numFmtId="0" fontId="7" fillId="24" borderId="0" xfId="0" applyFont="1" applyFill="1" applyProtection="1">
      <protection hidden="1"/>
    </xf>
    <xf numFmtId="0" fontId="7" fillId="20" borderId="9" xfId="0" applyFont="1" applyFill="1" applyBorder="1" applyProtection="1">
      <protection hidden="1"/>
    </xf>
    <xf numFmtId="39" fontId="7" fillId="25" borderId="0" xfId="0" applyNumberFormat="1" applyFont="1" applyFill="1" applyProtection="1">
      <protection locked="0"/>
    </xf>
    <xf numFmtId="0" fontId="7" fillId="20" borderId="0" xfId="0" applyFont="1" applyFill="1" applyProtection="1">
      <protection hidden="1"/>
    </xf>
    <xf numFmtId="0" fontId="12" fillId="16" borderId="26" xfId="0" applyFont="1" applyFill="1" applyBorder="1" applyProtection="1">
      <protection hidden="1"/>
    </xf>
    <xf numFmtId="0" fontId="141" fillId="16" borderId="1" xfId="0" applyFont="1" applyFill="1" applyBorder="1" applyProtection="1">
      <protection hidden="1"/>
    </xf>
    <xf numFmtId="0" fontId="0" fillId="24" borderId="0" xfId="0" applyFill="1" applyAlignment="1" applyProtection="1">
      <alignment horizontal="left"/>
      <protection hidden="1"/>
    </xf>
    <xf numFmtId="39" fontId="0" fillId="25" borderId="0" xfId="0" applyNumberFormat="1" applyFill="1" applyAlignment="1" applyProtection="1">
      <alignment horizontal="left"/>
      <protection locked="0"/>
    </xf>
    <xf numFmtId="0" fontId="10" fillId="16" borderId="1" xfId="0" applyFont="1" applyFill="1" applyBorder="1" applyProtection="1">
      <protection hidden="1"/>
    </xf>
    <xf numFmtId="0" fontId="141" fillId="16" borderId="0" xfId="0" applyFont="1" applyFill="1" applyAlignment="1" applyProtection="1">
      <alignment horizontal="center"/>
      <protection hidden="1"/>
    </xf>
    <xf numFmtId="0" fontId="3" fillId="16" borderId="31" xfId="0" applyFont="1" applyFill="1" applyBorder="1" applyProtection="1">
      <protection hidden="1"/>
    </xf>
    <xf numFmtId="0" fontId="5" fillId="16" borderId="31" xfId="0" applyFont="1" applyFill="1" applyBorder="1" applyProtection="1">
      <protection hidden="1"/>
    </xf>
    <xf numFmtId="0" fontId="3" fillId="16" borderId="0" xfId="0" applyFont="1" applyFill="1" applyAlignment="1" applyProtection="1">
      <alignment vertical="center"/>
      <protection hidden="1"/>
    </xf>
    <xf numFmtId="0" fontId="7" fillId="16" borderId="0" xfId="0" applyFont="1" applyFill="1" applyAlignment="1" applyProtection="1">
      <alignment horizontal="left" indent="1"/>
      <protection hidden="1"/>
    </xf>
    <xf numFmtId="0" fontId="18" fillId="16" borderId="26" xfId="0" applyFont="1" applyFill="1" applyBorder="1" applyAlignment="1" applyProtection="1">
      <alignment horizontal="center"/>
      <protection hidden="1"/>
    </xf>
    <xf numFmtId="0" fontId="5" fillId="16" borderId="26" xfId="0" applyFont="1" applyFill="1" applyBorder="1" applyProtection="1">
      <protection hidden="1"/>
    </xf>
    <xf numFmtId="0" fontId="0" fillId="16" borderId="1" xfId="0" applyFill="1" applyBorder="1" applyAlignment="1" applyProtection="1">
      <alignment horizontal="right" indent="1"/>
      <protection hidden="1"/>
    </xf>
    <xf numFmtId="0" fontId="53" fillId="16" borderId="1" xfId="0" applyFont="1" applyFill="1" applyBorder="1" applyProtection="1">
      <protection hidden="1"/>
    </xf>
    <xf numFmtId="0" fontId="0" fillId="24" borderId="0" xfId="0" applyFill="1" applyAlignment="1" applyProtection="1">
      <alignment vertical="top"/>
      <protection hidden="1"/>
    </xf>
    <xf numFmtId="0" fontId="5" fillId="16" borderId="1" xfId="0" applyFont="1" applyFill="1" applyBorder="1" applyAlignment="1" applyProtection="1">
      <alignment vertical="top"/>
      <protection hidden="1"/>
    </xf>
    <xf numFmtId="0" fontId="0" fillId="20" borderId="10" xfId="0" applyFill="1" applyBorder="1" applyProtection="1">
      <protection hidden="1"/>
    </xf>
    <xf numFmtId="0" fontId="18" fillId="16" borderId="0" xfId="0" applyFont="1" applyFill="1" applyAlignment="1" applyProtection="1">
      <alignment horizontal="right" vertical="center"/>
      <protection hidden="1"/>
    </xf>
    <xf numFmtId="0" fontId="12" fillId="16" borderId="25" xfId="0" applyFont="1" applyFill="1" applyBorder="1" applyAlignment="1" applyProtection="1">
      <alignment horizontal="left"/>
      <protection hidden="1"/>
    </xf>
    <xf numFmtId="0" fontId="18" fillId="16" borderId="1" xfId="0" applyFont="1" applyFill="1" applyBorder="1" applyAlignment="1" applyProtection="1">
      <alignment horizontal="right" vertical="center"/>
      <protection hidden="1"/>
    </xf>
    <xf numFmtId="0" fontId="7" fillId="16" borderId="25" xfId="0" applyFont="1" applyFill="1" applyBorder="1" applyProtection="1">
      <protection hidden="1"/>
    </xf>
    <xf numFmtId="0" fontId="8" fillId="16" borderId="10" xfId="0" applyFont="1" applyFill="1" applyBorder="1" applyAlignment="1" applyProtection="1">
      <alignment horizontal="right" vertical="center"/>
      <protection hidden="1"/>
    </xf>
    <xf numFmtId="0" fontId="7" fillId="16" borderId="12" xfId="0" applyFont="1" applyFill="1" applyBorder="1" applyProtection="1">
      <protection hidden="1"/>
    </xf>
    <xf numFmtId="0" fontId="13" fillId="16" borderId="10" xfId="0" applyFont="1" applyFill="1" applyBorder="1" applyAlignment="1" applyProtection="1">
      <alignment horizontal="right" vertical="center"/>
      <protection hidden="1"/>
    </xf>
    <xf numFmtId="0" fontId="10" fillId="16" borderId="12" xfId="0" applyFont="1" applyFill="1" applyBorder="1" applyProtection="1">
      <protection hidden="1"/>
    </xf>
    <xf numFmtId="0" fontId="5" fillId="16" borderId="1" xfId="0" applyFont="1" applyFill="1" applyBorder="1" applyAlignment="1" applyProtection="1">
      <alignment horizontal="left"/>
      <protection hidden="1"/>
    </xf>
    <xf numFmtId="0" fontId="13" fillId="25" borderId="0" xfId="0" applyFont="1" applyFill="1" applyAlignment="1" applyProtection="1">
      <alignment horizontal="right" vertical="top"/>
      <protection hidden="1"/>
    </xf>
    <xf numFmtId="0" fontId="3" fillId="16" borderId="9" xfId="0" applyFont="1" applyFill="1" applyBorder="1" applyAlignment="1" applyProtection="1">
      <alignment horizontal="center"/>
      <protection hidden="1"/>
    </xf>
    <xf numFmtId="0" fontId="0" fillId="16" borderId="9" xfId="0" applyFill="1" applyBorder="1" applyAlignment="1" applyProtection="1">
      <alignment vertical="top"/>
      <protection hidden="1"/>
    </xf>
    <xf numFmtId="0" fontId="3" fillId="16" borderId="26" xfId="0" applyFont="1" applyFill="1" applyBorder="1" applyProtection="1">
      <protection hidden="1"/>
    </xf>
    <xf numFmtId="0" fontId="8" fillId="16" borderId="0" xfId="0" applyFont="1" applyFill="1" applyProtection="1">
      <protection hidden="1"/>
    </xf>
    <xf numFmtId="0" fontId="8" fillId="16" borderId="0" xfId="0" applyFont="1" applyFill="1" applyAlignment="1" applyProtection="1">
      <alignment vertical="top"/>
      <protection hidden="1"/>
    </xf>
    <xf numFmtId="0" fontId="131" fillId="16" borderId="3" xfId="0" applyFont="1" applyFill="1" applyBorder="1" applyAlignment="1" applyProtection="1">
      <alignment horizontal="center"/>
      <protection hidden="1"/>
    </xf>
    <xf numFmtId="0" fontId="194" fillId="16" borderId="3" xfId="0" applyFont="1" applyFill="1" applyBorder="1" applyAlignment="1" applyProtection="1">
      <alignment horizontal="left" vertical="center"/>
      <protection hidden="1"/>
    </xf>
    <xf numFmtId="0" fontId="18" fillId="16" borderId="5" xfId="0" applyFont="1" applyFill="1" applyBorder="1" applyAlignment="1" applyProtection="1">
      <alignment horizontal="center" wrapText="1"/>
      <protection hidden="1"/>
    </xf>
    <xf numFmtId="0" fontId="141" fillId="16" borderId="5" xfId="0" applyFont="1" applyFill="1" applyBorder="1" applyProtection="1">
      <protection hidden="1"/>
    </xf>
    <xf numFmtId="0" fontId="12" fillId="16" borderId="26" xfId="0" applyFont="1" applyFill="1" applyBorder="1" applyAlignment="1" applyProtection="1">
      <alignment vertical="center"/>
      <protection hidden="1"/>
    </xf>
    <xf numFmtId="0" fontId="225" fillId="16" borderId="0" xfId="0" applyFont="1" applyFill="1" applyProtection="1">
      <protection hidden="1"/>
    </xf>
    <xf numFmtId="0" fontId="154" fillId="16" borderId="0" xfId="0" applyFont="1" applyFill="1" applyProtection="1">
      <protection hidden="1"/>
    </xf>
    <xf numFmtId="0" fontId="5" fillId="16" borderId="26" xfId="0" applyFont="1" applyFill="1" applyBorder="1" applyAlignment="1" applyProtection="1">
      <alignment vertical="center"/>
      <protection hidden="1"/>
    </xf>
    <xf numFmtId="0" fontId="0" fillId="16" borderId="31" xfId="0" applyFill="1" applyBorder="1" applyAlignment="1" applyProtection="1">
      <alignment vertical="top"/>
      <protection hidden="1"/>
    </xf>
    <xf numFmtId="0" fontId="5" fillId="20" borderId="3" xfId="0" applyFont="1" applyFill="1" applyBorder="1" applyProtection="1">
      <protection hidden="1"/>
    </xf>
    <xf numFmtId="0" fontId="5" fillId="20" borderId="0" xfId="0" applyFont="1" applyFill="1" applyProtection="1">
      <protection hidden="1"/>
    </xf>
    <xf numFmtId="0" fontId="5" fillId="20" borderId="25" xfId="0" applyFont="1" applyFill="1" applyBorder="1" applyProtection="1">
      <protection hidden="1"/>
    </xf>
    <xf numFmtId="0" fontId="5" fillId="16" borderId="3" xfId="0" applyFont="1" applyFill="1" applyBorder="1" applyProtection="1">
      <protection hidden="1"/>
    </xf>
    <xf numFmtId="0" fontId="5" fillId="16" borderId="25" xfId="0" applyFont="1" applyFill="1" applyBorder="1" applyProtection="1">
      <protection hidden="1"/>
    </xf>
    <xf numFmtId="0" fontId="5" fillId="20" borderId="10" xfId="0" applyFont="1" applyFill="1" applyBorder="1" applyProtection="1">
      <protection hidden="1"/>
    </xf>
    <xf numFmtId="0" fontId="5" fillId="20" borderId="1" xfId="0" applyFont="1" applyFill="1" applyBorder="1" applyProtection="1">
      <protection hidden="1"/>
    </xf>
    <xf numFmtId="0" fontId="5" fillId="20" borderId="12" xfId="0" applyFont="1" applyFill="1" applyBorder="1" applyProtection="1">
      <protection hidden="1"/>
    </xf>
    <xf numFmtId="4" fontId="3" fillId="28" borderId="67" xfId="0" applyNumberFormat="1" applyFont="1" applyFill="1" applyBorder="1" applyProtection="1">
      <protection hidden="1"/>
    </xf>
    <xf numFmtId="4" fontId="3" fillId="28" borderId="59" xfId="0" applyNumberFormat="1" applyFont="1" applyFill="1" applyBorder="1" applyProtection="1">
      <protection hidden="1"/>
    </xf>
    <xf numFmtId="4" fontId="5" fillId="25" borderId="0" xfId="0" applyNumberFormat="1" applyFont="1" applyFill="1" applyAlignment="1" applyProtection="1">
      <alignment wrapText="1"/>
      <protection locked="0"/>
    </xf>
    <xf numFmtId="0" fontId="5" fillId="0" borderId="0" xfId="0" applyFont="1" applyAlignment="1">
      <alignment horizontal="left" wrapText="1"/>
    </xf>
    <xf numFmtId="0" fontId="143" fillId="0" borderId="0" xfId="0" applyFont="1" applyProtection="1">
      <protection hidden="1"/>
    </xf>
    <xf numFmtId="0" fontId="135" fillId="0" borderId="0" xfId="0" applyFont="1" applyProtection="1">
      <protection hidden="1"/>
    </xf>
    <xf numFmtId="0" fontId="129" fillId="0" borderId="0" xfId="0" quotePrefix="1" applyFont="1" applyAlignment="1" applyProtection="1">
      <alignment horizontal="right"/>
      <protection hidden="1"/>
    </xf>
    <xf numFmtId="4" fontId="135" fillId="0" borderId="0" xfId="0" applyNumberFormat="1" applyFont="1" applyProtection="1">
      <protection hidden="1"/>
    </xf>
    <xf numFmtId="0" fontId="0" fillId="16" borderId="72" xfId="0" applyFill="1" applyBorder="1"/>
    <xf numFmtId="0" fontId="0" fillId="16" borderId="33" xfId="0" applyFill="1" applyBorder="1"/>
    <xf numFmtId="0" fontId="0" fillId="16" borderId="101" xfId="0" applyFill="1" applyBorder="1"/>
    <xf numFmtId="0" fontId="0" fillId="16" borderId="76" xfId="0" applyFill="1" applyBorder="1"/>
    <xf numFmtId="0" fontId="0" fillId="16" borderId="73" xfId="0" applyFill="1" applyBorder="1"/>
    <xf numFmtId="0" fontId="0" fillId="16" borderId="14" xfId="0" applyFill="1" applyBorder="1"/>
    <xf numFmtId="0" fontId="0" fillId="16" borderId="34" xfId="0" applyFill="1" applyBorder="1"/>
    <xf numFmtId="0" fontId="0" fillId="20" borderId="0" xfId="0" applyFill="1"/>
    <xf numFmtId="0" fontId="171" fillId="16" borderId="0" xfId="0" applyFont="1" applyFill="1"/>
    <xf numFmtId="0" fontId="75" fillId="16" borderId="0" xfId="2" applyFill="1" applyAlignment="1" applyProtection="1"/>
    <xf numFmtId="0" fontId="5" fillId="16" borderId="16" xfId="0" applyFont="1" applyFill="1" applyBorder="1" applyAlignment="1">
      <alignment horizontal="center"/>
    </xf>
    <xf numFmtId="0" fontId="0" fillId="16" borderId="7" xfId="0" applyFill="1" applyBorder="1"/>
    <xf numFmtId="0" fontId="0" fillId="16" borderId="11" xfId="0" applyFill="1" applyBorder="1"/>
    <xf numFmtId="4" fontId="141" fillId="2" borderId="0" xfId="0" applyNumberFormat="1" applyFont="1" applyFill="1" applyAlignment="1" applyProtection="1">
      <alignment horizontal="left" indent="1"/>
      <protection hidden="1"/>
    </xf>
    <xf numFmtId="4" fontId="129" fillId="2" borderId="0" xfId="0" applyNumberFormat="1" applyFont="1" applyFill="1" applyAlignment="1" applyProtection="1">
      <alignment horizontal="left" indent="1"/>
      <protection hidden="1"/>
    </xf>
    <xf numFmtId="0" fontId="194" fillId="16" borderId="0" xfId="0" applyFont="1" applyFill="1" applyAlignment="1" applyProtection="1">
      <alignment horizontal="right" vertical="center"/>
      <protection hidden="1"/>
    </xf>
    <xf numFmtId="4" fontId="3" fillId="22" borderId="0" xfId="0" applyNumberFormat="1" applyFont="1" applyFill="1" applyAlignment="1" applyProtection="1">
      <alignment horizontal="center" vertical="center"/>
      <protection locked="0"/>
    </xf>
    <xf numFmtId="1" fontId="3" fillId="3" borderId="0" xfId="0" applyNumberFormat="1" applyFont="1" applyFill="1" applyAlignment="1" applyProtection="1">
      <alignment horizontal="center"/>
      <protection hidden="1"/>
    </xf>
    <xf numFmtId="1" fontId="3" fillId="3" borderId="0" xfId="0" applyNumberFormat="1" applyFont="1" applyFill="1" applyAlignment="1" applyProtection="1">
      <alignment horizontal="center" vertical="center"/>
      <protection hidden="1"/>
    </xf>
    <xf numFmtId="39" fontId="145" fillId="3" borderId="0" xfId="0" applyNumberFormat="1" applyFont="1" applyFill="1" applyAlignment="1" applyProtection="1">
      <alignment horizontal="center"/>
      <protection hidden="1"/>
    </xf>
    <xf numFmtId="1" fontId="5" fillId="3" borderId="0" xfId="0" applyNumberFormat="1" applyFont="1" applyFill="1" applyAlignment="1" applyProtection="1">
      <alignment horizontal="center"/>
      <protection hidden="1"/>
    </xf>
    <xf numFmtId="0" fontId="5" fillId="2" borderId="0" xfId="0" applyFont="1" applyFill="1" applyAlignment="1">
      <alignment horizontal="center"/>
    </xf>
    <xf numFmtId="0" fontId="25" fillId="2" borderId="0" xfId="0" applyFont="1" applyFill="1" applyAlignment="1">
      <alignment horizontal="center"/>
    </xf>
    <xf numFmtId="39" fontId="129" fillId="3" borderId="0" xfId="0" applyNumberFormat="1" applyFont="1" applyFill="1" applyAlignment="1" applyProtection="1">
      <alignment horizontal="center"/>
      <protection hidden="1"/>
    </xf>
    <xf numFmtId="39" fontId="5" fillId="3" borderId="0" xfId="0" applyNumberFormat="1" applyFont="1" applyFill="1" applyAlignment="1" applyProtection="1">
      <alignment horizontal="center"/>
      <protection hidden="1"/>
    </xf>
    <xf numFmtId="39" fontId="25" fillId="3" borderId="0" xfId="0" applyNumberFormat="1" applyFont="1" applyFill="1" applyAlignment="1" applyProtection="1">
      <alignment horizontal="center"/>
      <protection hidden="1"/>
    </xf>
    <xf numFmtId="4" fontId="5" fillId="3" borderId="0" xfId="0" applyNumberFormat="1" applyFont="1" applyFill="1" applyAlignment="1" applyProtection="1">
      <alignment horizontal="center"/>
      <protection hidden="1"/>
    </xf>
    <xf numFmtId="4" fontId="129" fillId="2" borderId="0" xfId="0" applyNumberFormat="1" applyFont="1" applyFill="1" applyAlignment="1" applyProtection="1">
      <alignment horizontal="center"/>
      <protection hidden="1"/>
    </xf>
    <xf numFmtId="4" fontId="5" fillId="2" borderId="0" xfId="0" applyNumberFormat="1" applyFont="1" applyFill="1" applyAlignment="1" applyProtection="1">
      <alignment horizontal="center"/>
      <protection hidden="1"/>
    </xf>
    <xf numFmtId="4" fontId="5" fillId="0" borderId="0" xfId="0" applyNumberFormat="1" applyFont="1" applyAlignment="1" applyProtection="1">
      <alignment horizontal="center"/>
      <protection hidden="1"/>
    </xf>
    <xf numFmtId="4" fontId="5" fillId="16" borderId="0" xfId="0" applyNumberFormat="1" applyFont="1" applyFill="1" applyAlignment="1" applyProtection="1">
      <alignment horizontal="center"/>
      <protection hidden="1"/>
    </xf>
    <xf numFmtId="0" fontId="5" fillId="16" borderId="0" xfId="0" applyFont="1" applyFill="1" applyAlignment="1">
      <alignment horizontal="center"/>
    </xf>
    <xf numFmtId="37" fontId="36" fillId="2" borderId="11" xfId="0" applyNumberFormat="1" applyFont="1" applyFill="1" applyBorder="1" applyProtection="1">
      <protection locked="0"/>
    </xf>
    <xf numFmtId="37" fontId="36" fillId="2" borderId="13" xfId="0" applyNumberFormat="1" applyFont="1" applyFill="1" applyBorder="1" applyProtection="1">
      <protection locked="0"/>
    </xf>
    <xf numFmtId="0" fontId="0" fillId="2" borderId="160" xfId="0" applyFill="1" applyBorder="1" applyProtection="1">
      <protection hidden="1"/>
    </xf>
    <xf numFmtId="0" fontId="141" fillId="2" borderId="5" xfId="0" applyFont="1" applyFill="1" applyBorder="1" applyAlignment="1" applyProtection="1">
      <alignment vertical="center"/>
      <protection hidden="1"/>
    </xf>
    <xf numFmtId="0" fontId="3" fillId="2" borderId="28" xfId="0" applyFont="1" applyFill="1" applyBorder="1" applyAlignment="1" applyProtection="1">
      <alignment vertical="center"/>
      <protection hidden="1"/>
    </xf>
    <xf numFmtId="0" fontId="8" fillId="16" borderId="0" xfId="0" applyFont="1" applyFill="1" applyAlignment="1">
      <alignment horizontal="center"/>
    </xf>
    <xf numFmtId="189" fontId="7" fillId="0" borderId="0" xfId="0" applyNumberFormat="1" applyFont="1" applyAlignment="1" applyProtection="1">
      <alignment horizontal="center"/>
      <protection hidden="1"/>
    </xf>
    <xf numFmtId="189" fontId="7" fillId="0" borderId="128" xfId="0" applyNumberFormat="1" applyFont="1" applyBorder="1" applyAlignment="1">
      <alignment horizontal="center"/>
    </xf>
    <xf numFmtId="0" fontId="18" fillId="16" borderId="0" xfId="0" quotePrefix="1" applyFont="1" applyFill="1" applyAlignment="1">
      <alignment horizontal="right" vertical="center"/>
    </xf>
    <xf numFmtId="0" fontId="18" fillId="16" borderId="6" xfId="0" quotePrefix="1" applyFont="1" applyFill="1" applyBorder="1" applyAlignment="1">
      <alignment horizontal="right"/>
    </xf>
    <xf numFmtId="3" fontId="129" fillId="16" borderId="0" xfId="0" applyNumberFormat="1" applyFont="1" applyFill="1" applyAlignment="1">
      <alignment wrapText="1"/>
    </xf>
    <xf numFmtId="4" fontId="3" fillId="33" borderId="146" xfId="0" applyNumberFormat="1" applyFont="1" applyFill="1" applyBorder="1" applyAlignment="1" applyProtection="1">
      <alignment horizontal="center"/>
      <protection locked="0"/>
    </xf>
    <xf numFmtId="4" fontId="3" fillId="33" borderId="147" xfId="0" applyNumberFormat="1" applyFont="1" applyFill="1" applyBorder="1" applyAlignment="1" applyProtection="1">
      <alignment horizontal="center"/>
      <protection locked="0"/>
    </xf>
    <xf numFmtId="4" fontId="3" fillId="33" borderId="148" xfId="0" applyNumberFormat="1" applyFont="1" applyFill="1" applyBorder="1" applyAlignment="1" applyProtection="1">
      <alignment horizontal="center"/>
      <protection locked="0"/>
    </xf>
    <xf numFmtId="4" fontId="3" fillId="33" borderId="149" xfId="0" applyNumberFormat="1" applyFont="1" applyFill="1" applyBorder="1" applyAlignment="1" applyProtection="1">
      <alignment horizontal="center"/>
      <protection locked="0"/>
    </xf>
    <xf numFmtId="4" fontId="0" fillId="16" borderId="0" xfId="0" applyNumberFormat="1" applyFill="1"/>
    <xf numFmtId="49" fontId="3" fillId="33" borderId="146" xfId="0" applyNumberFormat="1" applyFont="1" applyFill="1" applyBorder="1" applyAlignment="1" applyProtection="1">
      <alignment horizontal="center"/>
      <protection locked="0"/>
    </xf>
    <xf numFmtId="49" fontId="3" fillId="33" borderId="147" xfId="0" applyNumberFormat="1" applyFont="1" applyFill="1" applyBorder="1" applyAlignment="1" applyProtection="1">
      <alignment horizontal="center"/>
      <protection locked="0"/>
    </xf>
    <xf numFmtId="49" fontId="3" fillId="33" borderId="148" xfId="0" applyNumberFormat="1" applyFont="1" applyFill="1" applyBorder="1" applyAlignment="1" applyProtection="1">
      <alignment horizontal="center"/>
      <protection locked="0"/>
    </xf>
    <xf numFmtId="49" fontId="3" fillId="33" borderId="149" xfId="0" applyNumberFormat="1" applyFont="1" applyFill="1" applyBorder="1" applyAlignment="1" applyProtection="1">
      <alignment horizontal="center"/>
      <protection locked="0"/>
    </xf>
    <xf numFmtId="4" fontId="128" fillId="16" borderId="0" xfId="0" applyNumberFormat="1" applyFont="1" applyFill="1" applyAlignment="1" applyProtection="1">
      <alignment vertical="top"/>
      <protection hidden="1"/>
    </xf>
    <xf numFmtId="4" fontId="128" fillId="16" borderId="0" xfId="0" applyNumberFormat="1" applyFont="1" applyFill="1" applyProtection="1">
      <protection hidden="1"/>
    </xf>
    <xf numFmtId="0" fontId="6" fillId="2" borderId="128" xfId="0" applyFont="1" applyFill="1" applyBorder="1" applyAlignment="1" applyProtection="1">
      <alignment horizontal="left" wrapText="1"/>
      <protection hidden="1"/>
    </xf>
    <xf numFmtId="0" fontId="6" fillId="2" borderId="128" xfId="0" applyFont="1" applyFill="1" applyBorder="1" applyAlignment="1" applyProtection="1">
      <alignment horizontal="center" wrapText="1"/>
      <protection hidden="1"/>
    </xf>
    <xf numFmtId="0" fontId="0" fillId="16" borderId="45" xfId="0" applyFill="1" applyBorder="1"/>
    <xf numFmtId="4" fontId="5" fillId="2" borderId="6" xfId="0" applyNumberFormat="1" applyFont="1" applyFill="1" applyBorder="1" applyProtection="1">
      <protection hidden="1"/>
    </xf>
    <xf numFmtId="37" fontId="227" fillId="3" borderId="3" xfId="0" applyNumberFormat="1" applyFont="1" applyFill="1" applyBorder="1" applyAlignment="1" applyProtection="1">
      <alignment horizontal="left"/>
      <protection hidden="1"/>
    </xf>
    <xf numFmtId="39" fontId="227" fillId="3" borderId="3" xfId="0" applyNumberFormat="1" applyFont="1" applyFill="1" applyBorder="1" applyAlignment="1" applyProtection="1">
      <alignment horizontal="left"/>
      <protection hidden="1"/>
    </xf>
    <xf numFmtId="0" fontId="8" fillId="5" borderId="0" xfId="0" applyFont="1" applyFill="1" applyAlignment="1" applyProtection="1">
      <alignment horizontal="left"/>
      <protection hidden="1"/>
    </xf>
    <xf numFmtId="39" fontId="129" fillId="3" borderId="0" xfId="0" applyNumberFormat="1" applyFont="1" applyFill="1" applyAlignment="1" applyProtection="1">
      <alignment horizontal="right"/>
      <protection hidden="1"/>
    </xf>
    <xf numFmtId="39" fontId="3" fillId="7" borderId="0" xfId="0" applyNumberFormat="1" applyFont="1" applyFill="1" applyAlignment="1" applyProtection="1">
      <alignment horizontal="center" vertical="center"/>
      <protection locked="0"/>
    </xf>
    <xf numFmtId="4" fontId="128" fillId="16" borderId="0" xfId="0" applyNumberFormat="1" applyFont="1" applyFill="1"/>
    <xf numFmtId="0" fontId="128" fillId="2" borderId="0" xfId="0" applyFont="1" applyFill="1" applyAlignment="1" applyProtection="1">
      <alignment vertical="center" wrapText="1"/>
      <protection hidden="1"/>
    </xf>
    <xf numFmtId="39" fontId="128" fillId="25" borderId="0" xfId="0" applyNumberFormat="1" applyFont="1" applyFill="1" applyProtection="1">
      <protection locked="0"/>
    </xf>
    <xf numFmtId="0" fontId="12" fillId="5" borderId="0" xfId="0" applyFont="1" applyFill="1"/>
    <xf numFmtId="0" fontId="12" fillId="3" borderId="1" xfId="0" applyFont="1" applyFill="1" applyBorder="1" applyProtection="1">
      <protection hidden="1"/>
    </xf>
    <xf numFmtId="3" fontId="12" fillId="8" borderId="0" xfId="0" applyNumberFormat="1" applyFont="1" applyFill="1" applyAlignment="1" applyProtection="1">
      <alignment horizontal="center"/>
      <protection hidden="1"/>
    </xf>
    <xf numFmtId="0" fontId="12" fillId="0" borderId="0" xfId="0" applyFont="1"/>
    <xf numFmtId="39" fontId="12" fillId="25" borderId="0" xfId="0" applyNumberFormat="1" applyFont="1" applyFill="1" applyProtection="1">
      <protection locked="0"/>
    </xf>
    <xf numFmtId="0" fontId="3" fillId="16" borderId="0" xfId="0" quotePrefix="1" applyFont="1" applyFill="1" applyAlignment="1" applyProtection="1">
      <alignment horizontal="left"/>
      <protection hidden="1"/>
    </xf>
    <xf numFmtId="0" fontId="10" fillId="16" borderId="98" xfId="0" applyFont="1" applyFill="1" applyBorder="1" applyProtection="1">
      <protection hidden="1"/>
    </xf>
    <xf numFmtId="0" fontId="0" fillId="16" borderId="95" xfId="0" applyFill="1" applyBorder="1" applyProtection="1">
      <protection hidden="1"/>
    </xf>
    <xf numFmtId="0" fontId="0" fillId="16" borderId="95" xfId="0" applyFill="1" applyBorder="1"/>
    <xf numFmtId="0" fontId="10" fillId="16" borderId="95" xfId="0" quotePrefix="1" applyFont="1" applyFill="1" applyBorder="1"/>
    <xf numFmtId="0" fontId="0" fillId="16" borderId="96" xfId="0" applyFill="1" applyBorder="1"/>
    <xf numFmtId="0" fontId="10" fillId="16" borderId="161" xfId="0" applyFont="1" applyFill="1" applyBorder="1" applyProtection="1">
      <protection hidden="1"/>
    </xf>
    <xf numFmtId="0" fontId="0" fillId="16" borderId="158" xfId="0" applyFill="1" applyBorder="1" applyProtection="1">
      <protection hidden="1"/>
    </xf>
    <xf numFmtId="0" fontId="0" fillId="16" borderId="158" xfId="0" applyFill="1" applyBorder="1"/>
    <xf numFmtId="0" fontId="0" fillId="16" borderId="85" xfId="0" applyFill="1" applyBorder="1"/>
    <xf numFmtId="0" fontId="10" fillId="16" borderId="99" xfId="0" applyFont="1" applyFill="1" applyBorder="1" applyProtection="1">
      <protection hidden="1"/>
    </xf>
    <xf numFmtId="0" fontId="131" fillId="16" borderId="0" xfId="0" applyFont="1" applyFill="1"/>
    <xf numFmtId="0" fontId="125" fillId="16" borderId="0" xfId="0" applyFont="1" applyFill="1" applyProtection="1">
      <protection hidden="1"/>
    </xf>
    <xf numFmtId="0" fontId="10" fillId="16" borderId="45" xfId="0" applyFont="1" applyFill="1" applyBorder="1"/>
    <xf numFmtId="0" fontId="3" fillId="2" borderId="1" xfId="0" applyFont="1" applyFill="1" applyBorder="1" applyAlignment="1" applyProtection="1">
      <alignment horizontal="right"/>
      <protection hidden="1"/>
    </xf>
    <xf numFmtId="0" fontId="6" fillId="0" borderId="1" xfId="0" applyFont="1" applyBorder="1" applyAlignment="1" applyProtection="1">
      <alignment horizontal="center"/>
      <protection hidden="1"/>
    </xf>
    <xf numFmtId="39" fontId="10" fillId="3" borderId="21" xfId="0" applyNumberFormat="1" applyFont="1" applyFill="1" applyBorder="1" applyAlignment="1" applyProtection="1">
      <alignment horizontal="right"/>
      <protection hidden="1"/>
    </xf>
    <xf numFmtId="0" fontId="10" fillId="3" borderId="162" xfId="0" applyFont="1" applyFill="1" applyBorder="1" applyAlignment="1" applyProtection="1">
      <alignment horizontal="left"/>
      <protection hidden="1"/>
    </xf>
    <xf numFmtId="37" fontId="8" fillId="21" borderId="30" xfId="0" applyNumberFormat="1" applyFont="1" applyFill="1" applyBorder="1" applyAlignment="1" applyProtection="1">
      <alignment horizontal="right"/>
      <protection locked="0"/>
    </xf>
    <xf numFmtId="37" fontId="8" fillId="17" borderId="78" xfId="0" applyNumberFormat="1" applyFont="1" applyFill="1" applyBorder="1" applyAlignment="1" applyProtection="1">
      <alignment horizontal="right"/>
      <protection locked="0"/>
    </xf>
    <xf numFmtId="37" fontId="8" fillId="17" borderId="30" xfId="0" applyNumberFormat="1" applyFont="1" applyFill="1" applyBorder="1" applyAlignment="1" applyProtection="1">
      <alignment horizontal="right"/>
      <protection locked="0"/>
    </xf>
    <xf numFmtId="37" fontId="8" fillId="17" borderId="80" xfId="0" applyNumberFormat="1" applyFont="1" applyFill="1" applyBorder="1" applyAlignment="1" applyProtection="1">
      <alignment horizontal="right"/>
      <protection locked="0"/>
    </xf>
    <xf numFmtId="4" fontId="0" fillId="0" borderId="2" xfId="0" applyNumberFormat="1" applyBorder="1" applyProtection="1">
      <protection locked="0"/>
    </xf>
    <xf numFmtId="0" fontId="168" fillId="0" borderId="0" xfId="0" applyFont="1" applyAlignment="1">
      <alignment vertical="center"/>
    </xf>
    <xf numFmtId="0" fontId="18" fillId="5" borderId="0" xfId="0" applyFont="1" applyFill="1" applyAlignment="1" applyProtection="1">
      <alignment horizontal="center" vertical="center"/>
      <protection locked="0"/>
    </xf>
    <xf numFmtId="0" fontId="0" fillId="0" borderId="17" xfId="0" applyBorder="1"/>
    <xf numFmtId="39" fontId="129" fillId="3" borderId="31" xfId="0" applyNumberFormat="1" applyFont="1" applyFill="1" applyBorder="1" applyAlignment="1" applyProtection="1">
      <alignment horizontal="center"/>
      <protection hidden="1"/>
    </xf>
    <xf numFmtId="39" fontId="129" fillId="3" borderId="3" xfId="0" applyNumberFormat="1" applyFont="1" applyFill="1" applyBorder="1" applyAlignment="1" applyProtection="1">
      <alignment horizontal="center"/>
      <protection hidden="1"/>
    </xf>
    <xf numFmtId="0" fontId="7" fillId="25" borderId="0" xfId="0" applyFont="1" applyFill="1" applyAlignment="1" applyProtection="1">
      <alignment horizontal="left" vertical="top"/>
      <protection hidden="1"/>
    </xf>
    <xf numFmtId="39" fontId="131" fillId="3" borderId="0" xfId="0" applyNumberFormat="1" applyFont="1" applyFill="1" applyAlignment="1" applyProtection="1">
      <alignment horizontal="center"/>
      <protection hidden="1"/>
    </xf>
    <xf numFmtId="39" fontId="21" fillId="3" borderId="0" xfId="0" applyNumberFormat="1" applyFont="1" applyFill="1" applyAlignment="1" applyProtection="1">
      <alignment horizontal="center"/>
      <protection hidden="1"/>
    </xf>
    <xf numFmtId="1" fontId="129" fillId="3" borderId="0" xfId="0" applyNumberFormat="1" applyFont="1" applyFill="1" applyAlignment="1" applyProtection="1">
      <alignment horizontal="center"/>
      <protection hidden="1"/>
    </xf>
    <xf numFmtId="1" fontId="131" fillId="3" borderId="0" xfId="0" applyNumberFormat="1" applyFont="1" applyFill="1" applyAlignment="1" applyProtection="1">
      <alignment horizontal="center"/>
      <protection hidden="1"/>
    </xf>
    <xf numFmtId="0" fontId="3" fillId="2" borderId="0" xfId="0" applyFont="1" applyFill="1" applyAlignment="1" applyProtection="1">
      <alignment horizontal="center" wrapText="1"/>
      <protection locked="0"/>
    </xf>
    <xf numFmtId="0" fontId="0" fillId="16" borderId="6" xfId="0" applyFill="1" applyBorder="1" applyAlignment="1" applyProtection="1">
      <alignment horizontal="left" vertical="center" wrapText="1" indent="2"/>
      <protection hidden="1"/>
    </xf>
    <xf numFmtId="0" fontId="3" fillId="16" borderId="0" xfId="0" applyFont="1" applyFill="1" applyAlignment="1" applyProtection="1">
      <alignment horizontal="center" vertical="center" wrapText="1"/>
      <protection hidden="1"/>
    </xf>
    <xf numFmtId="0" fontId="3" fillId="16" borderId="0" xfId="0" applyFont="1" applyFill="1" applyAlignment="1" applyProtection="1">
      <alignment horizontal="center" vertical="top" wrapText="1"/>
      <protection hidden="1"/>
    </xf>
    <xf numFmtId="0" fontId="3" fillId="16" borderId="0" xfId="0" applyFont="1" applyFill="1" applyAlignment="1" applyProtection="1">
      <alignment horizontal="center" vertical="center"/>
      <protection hidden="1"/>
    </xf>
    <xf numFmtId="0" fontId="5" fillId="16" borderId="0" xfId="0" applyFont="1" applyFill="1" applyAlignment="1" applyProtection="1">
      <alignment horizontal="center" vertical="center"/>
      <protection hidden="1"/>
    </xf>
    <xf numFmtId="0" fontId="3" fillId="16" borderId="0" xfId="0" applyFont="1" applyFill="1" applyAlignment="1" applyProtection="1">
      <alignment horizontal="right" vertical="center"/>
      <protection hidden="1"/>
    </xf>
    <xf numFmtId="0" fontId="5" fillId="16" borderId="0" xfId="0" applyFont="1" applyFill="1" applyAlignment="1" applyProtection="1">
      <alignment vertical="center"/>
      <protection hidden="1"/>
    </xf>
    <xf numFmtId="0" fontId="3" fillId="16" borderId="5" xfId="0" applyFont="1" applyFill="1" applyBorder="1" applyProtection="1">
      <protection hidden="1"/>
    </xf>
    <xf numFmtId="0" fontId="0" fillId="24" borderId="0" xfId="0" applyFill="1" applyAlignment="1" applyProtection="1">
      <alignment vertical="center"/>
      <protection hidden="1"/>
    </xf>
    <xf numFmtId="0" fontId="0" fillId="16" borderId="31" xfId="0" applyFill="1" applyBorder="1" applyAlignment="1">
      <alignment vertical="center"/>
    </xf>
    <xf numFmtId="0" fontId="5" fillId="16" borderId="3" xfId="0" applyFont="1" applyFill="1" applyBorder="1" applyAlignment="1" applyProtection="1">
      <alignment horizontal="left" vertical="center"/>
      <protection hidden="1"/>
    </xf>
    <xf numFmtId="0" fontId="5" fillId="16" borderId="25" xfId="0" applyFont="1" applyFill="1" applyBorder="1" applyAlignment="1" applyProtection="1">
      <alignment horizontal="left" vertical="center"/>
      <protection hidden="1"/>
    </xf>
    <xf numFmtId="0" fontId="3" fillId="16" borderId="31" xfId="0" applyFont="1" applyFill="1" applyBorder="1" applyAlignment="1" applyProtection="1">
      <alignment horizontal="center" vertical="center"/>
      <protection hidden="1"/>
    </xf>
    <xf numFmtId="0" fontId="3" fillId="20" borderId="3" xfId="0" applyFont="1" applyFill="1" applyBorder="1" applyAlignment="1" applyProtection="1">
      <alignment horizontal="center" vertical="center"/>
      <protection hidden="1"/>
    </xf>
    <xf numFmtId="0" fontId="3" fillId="20" borderId="0" xfId="0" applyFont="1" applyFill="1" applyAlignment="1" applyProtection="1">
      <alignment horizontal="center" vertical="center"/>
      <protection hidden="1"/>
    </xf>
    <xf numFmtId="0" fontId="0" fillId="20" borderId="31" xfId="0" applyFill="1" applyBorder="1" applyAlignment="1">
      <alignment vertical="center"/>
    </xf>
    <xf numFmtId="0" fontId="0" fillId="20" borderId="3" xfId="0" applyFill="1" applyBorder="1" applyAlignment="1">
      <alignment vertical="center"/>
    </xf>
    <xf numFmtId="0" fontId="5" fillId="20" borderId="3" xfId="0" applyFont="1" applyFill="1" applyBorder="1" applyAlignment="1" applyProtection="1">
      <alignment horizontal="left" vertical="center"/>
      <protection hidden="1"/>
    </xf>
    <xf numFmtId="0" fontId="0" fillId="20" borderId="15" xfId="0" applyFill="1" applyBorder="1" applyAlignment="1">
      <alignment vertical="center"/>
    </xf>
    <xf numFmtId="0" fontId="0" fillId="20" borderId="25" xfId="0" applyFill="1" applyBorder="1" applyAlignment="1">
      <alignment vertical="center"/>
    </xf>
    <xf numFmtId="0" fontId="5" fillId="20" borderId="25" xfId="0" applyFont="1" applyFill="1" applyBorder="1" applyAlignment="1" applyProtection="1">
      <alignment horizontal="left" vertical="center"/>
      <protection hidden="1"/>
    </xf>
    <xf numFmtId="0" fontId="228" fillId="16" borderId="0" xfId="0" applyFont="1" applyFill="1" applyAlignment="1" applyProtection="1">
      <alignment horizontal="right"/>
      <protection hidden="1"/>
    </xf>
    <xf numFmtId="0" fontId="229" fillId="16" borderId="0" xfId="0" applyFont="1" applyFill="1" applyAlignment="1">
      <alignment vertical="center"/>
    </xf>
    <xf numFmtId="0" fontId="229" fillId="16" borderId="0" xfId="0" applyFont="1" applyFill="1" applyAlignment="1" applyProtection="1">
      <alignment horizontal="left" vertical="center"/>
      <protection hidden="1"/>
    </xf>
    <xf numFmtId="0" fontId="229" fillId="16" borderId="0" xfId="0" applyFont="1" applyFill="1" applyAlignment="1" applyProtection="1">
      <alignment horizontal="left"/>
      <protection hidden="1"/>
    </xf>
    <xf numFmtId="0" fontId="229" fillId="16" borderId="0" xfId="0" applyFont="1" applyFill="1" applyProtection="1">
      <protection hidden="1"/>
    </xf>
    <xf numFmtId="0" fontId="229" fillId="16" borderId="0" xfId="0" applyFont="1" applyFill="1" applyAlignment="1" applyProtection="1">
      <alignment horizontal="center" vertical="center"/>
      <protection hidden="1"/>
    </xf>
    <xf numFmtId="0" fontId="230" fillId="16" borderId="0" xfId="0" applyFont="1" applyFill="1" applyAlignment="1" applyProtection="1">
      <alignment horizontal="center" vertical="center"/>
      <protection hidden="1"/>
    </xf>
    <xf numFmtId="0" fontId="82" fillId="16" borderId="26" xfId="0" applyFont="1" applyFill="1" applyBorder="1" applyProtection="1">
      <protection hidden="1"/>
    </xf>
    <xf numFmtId="0" fontId="231" fillId="16" borderId="0" xfId="0" applyFont="1" applyFill="1" applyAlignment="1">
      <alignment vertical="center"/>
    </xf>
    <xf numFmtId="0" fontId="231" fillId="16" borderId="0" xfId="0" applyFont="1" applyFill="1" applyAlignment="1" applyProtection="1">
      <alignment horizontal="left" vertical="center"/>
      <protection hidden="1"/>
    </xf>
    <xf numFmtId="0" fontId="231" fillId="16" borderId="0" xfId="0" applyFont="1" applyFill="1" applyAlignment="1" applyProtection="1">
      <alignment horizontal="left"/>
      <protection hidden="1"/>
    </xf>
    <xf numFmtId="0" fontId="231" fillId="16" borderId="0" xfId="0" applyFont="1" applyFill="1" applyProtection="1">
      <protection hidden="1"/>
    </xf>
    <xf numFmtId="0" fontId="231" fillId="16" borderId="0" xfId="0" applyFont="1" applyFill="1" applyAlignment="1" applyProtection="1">
      <alignment horizontal="center" vertical="center"/>
      <protection hidden="1"/>
    </xf>
    <xf numFmtId="0" fontId="12" fillId="16" borderId="0" xfId="0" applyFont="1" applyFill="1" applyAlignment="1" applyProtection="1">
      <alignment horizontal="center" vertical="center"/>
      <protection hidden="1"/>
    </xf>
    <xf numFmtId="0" fontId="3" fillId="16" borderId="0" xfId="0" applyFont="1" applyFill="1" applyAlignment="1" applyProtection="1">
      <alignment horizontal="left" vertical="center"/>
      <protection hidden="1"/>
    </xf>
    <xf numFmtId="4" fontId="129" fillId="16" borderId="0" xfId="0" applyNumberFormat="1" applyFont="1" applyFill="1" applyProtection="1">
      <protection hidden="1"/>
    </xf>
    <xf numFmtId="0" fontId="5" fillId="16" borderId="0" xfId="0" applyFont="1" applyFill="1" applyAlignment="1">
      <alignment horizontal="left"/>
    </xf>
    <xf numFmtId="0" fontId="129" fillId="16" borderId="24" xfId="4" applyFont="1" applyFill="1" applyBorder="1" applyProtection="1">
      <protection hidden="1"/>
    </xf>
    <xf numFmtId="0" fontId="129" fillId="16" borderId="8" xfId="4" applyFont="1" applyFill="1" applyBorder="1" applyProtection="1">
      <protection hidden="1"/>
    </xf>
    <xf numFmtId="0" fontId="143" fillId="16" borderId="8" xfId="4" applyFont="1" applyFill="1" applyBorder="1" applyProtection="1">
      <protection hidden="1"/>
    </xf>
    <xf numFmtId="0" fontId="129" fillId="16" borderId="8" xfId="4" applyFont="1" applyFill="1" applyBorder="1" applyAlignment="1" applyProtection="1">
      <alignment horizontal="center"/>
      <protection hidden="1"/>
    </xf>
    <xf numFmtId="8" fontId="222" fillId="36" borderId="13" xfId="0" applyNumberFormat="1" applyFont="1" applyFill="1" applyBorder="1" applyAlignment="1" applyProtection="1">
      <alignment horizontal="right" vertical="center"/>
      <protection hidden="1"/>
    </xf>
    <xf numFmtId="8" fontId="222" fillId="35" borderId="13" xfId="0" applyNumberFormat="1" applyFont="1" applyFill="1" applyBorder="1" applyAlignment="1" applyProtection="1">
      <alignment horizontal="right" vertical="center"/>
      <protection hidden="1"/>
    </xf>
    <xf numFmtId="4" fontId="134" fillId="15" borderId="3" xfId="0" applyNumberFormat="1" applyFont="1" applyFill="1" applyBorder="1" applyAlignment="1" applyProtection="1">
      <alignment horizontal="center"/>
      <protection hidden="1"/>
    </xf>
    <xf numFmtId="4" fontId="134" fillId="3" borderId="3" xfId="0" applyNumberFormat="1" applyFont="1" applyFill="1" applyBorder="1" applyAlignment="1" applyProtection="1">
      <alignment horizontal="center"/>
      <protection hidden="1"/>
    </xf>
    <xf numFmtId="0" fontId="3" fillId="3" borderId="0" xfId="0" applyFont="1" applyFill="1" applyAlignment="1" applyProtection="1">
      <alignment horizontal="center" vertical="center"/>
      <protection locked="0"/>
    </xf>
    <xf numFmtId="180" fontId="0" fillId="16" borderId="0" xfId="0" applyNumberFormat="1" applyFill="1" applyProtection="1">
      <protection hidden="1"/>
    </xf>
    <xf numFmtId="9" fontId="221" fillId="36" borderId="13" xfId="0" applyNumberFormat="1" applyFont="1" applyFill="1" applyBorder="1" applyAlignment="1" applyProtection="1">
      <alignment horizontal="center" vertical="center"/>
      <protection hidden="1"/>
    </xf>
    <xf numFmtId="9" fontId="221" fillId="35" borderId="13" xfId="0" applyNumberFormat="1" applyFont="1" applyFill="1" applyBorder="1" applyAlignment="1" applyProtection="1">
      <alignment horizontal="center" vertical="center"/>
      <protection hidden="1"/>
    </xf>
    <xf numFmtId="0" fontId="8" fillId="16" borderId="8" xfId="0" applyFont="1" applyFill="1" applyBorder="1" applyAlignment="1" applyProtection="1">
      <alignment horizontal="right" vertical="center"/>
      <protection hidden="1"/>
    </xf>
    <xf numFmtId="0" fontId="8" fillId="16" borderId="8" xfId="0" applyFont="1" applyFill="1" applyBorder="1" applyAlignment="1" applyProtection="1">
      <alignment horizontal="left" vertical="center"/>
      <protection hidden="1"/>
    </xf>
    <xf numFmtId="0" fontId="0" fillId="16" borderId="8" xfId="0" applyFill="1" applyBorder="1" applyAlignment="1" applyProtection="1">
      <alignment horizontal="right" vertical="center"/>
      <protection hidden="1"/>
    </xf>
    <xf numFmtId="0" fontId="0" fillId="16" borderId="8" xfId="0" applyFill="1" applyBorder="1" applyAlignment="1" applyProtection="1">
      <alignment vertical="center"/>
      <protection hidden="1"/>
    </xf>
    <xf numFmtId="0" fontId="7" fillId="16" borderId="8" xfId="0" applyFont="1" applyFill="1" applyBorder="1" applyAlignment="1" applyProtection="1">
      <alignment vertical="center"/>
      <protection hidden="1"/>
    </xf>
    <xf numFmtId="0" fontId="5" fillId="16" borderId="8" xfId="0" applyFont="1" applyFill="1" applyBorder="1" applyAlignment="1" applyProtection="1">
      <alignment horizontal="right" vertical="center"/>
      <protection hidden="1"/>
    </xf>
    <xf numFmtId="0" fontId="0" fillId="16" borderId="8" xfId="0" applyFill="1" applyBorder="1" applyAlignment="1" applyProtection="1">
      <alignment horizontal="right" indent="1"/>
      <protection hidden="1"/>
    </xf>
    <xf numFmtId="0" fontId="3" fillId="16" borderId="8" xfId="0" applyFont="1" applyFill="1" applyBorder="1" applyAlignment="1" applyProtection="1">
      <alignment horizontal="right"/>
      <protection hidden="1"/>
    </xf>
    <xf numFmtId="0" fontId="7" fillId="16" borderId="8" xfId="0" applyFont="1" applyFill="1" applyBorder="1" applyProtection="1">
      <protection hidden="1"/>
    </xf>
    <xf numFmtId="0" fontId="5" fillId="16" borderId="6" xfId="0" applyFont="1" applyFill="1" applyBorder="1" applyAlignment="1" applyProtection="1">
      <alignment horizontal="center" vertical="center" wrapText="1"/>
      <protection hidden="1"/>
    </xf>
    <xf numFmtId="0" fontId="0" fillId="16" borderId="22" xfId="0" applyFill="1" applyBorder="1" applyAlignment="1">
      <alignment horizontal="center" vertical="center" wrapText="1"/>
    </xf>
    <xf numFmtId="0" fontId="50" fillId="16" borderId="6" xfId="0" applyFont="1" applyFill="1" applyBorder="1" applyAlignment="1" applyProtection="1">
      <alignment horizontal="centerContinuous"/>
      <protection hidden="1"/>
    </xf>
    <xf numFmtId="0" fontId="0" fillId="0" borderId="0" xfId="0" applyAlignment="1">
      <alignment horizontal="centerContinuous"/>
    </xf>
    <xf numFmtId="0" fontId="0" fillId="0" borderId="21" xfId="0" applyBorder="1" applyAlignment="1">
      <alignment horizontal="centerContinuous"/>
    </xf>
    <xf numFmtId="0" fontId="3" fillId="16" borderId="7" xfId="0" applyFont="1" applyFill="1" applyBorder="1" applyAlignment="1" applyProtection="1">
      <alignment horizontal="center"/>
      <protection hidden="1"/>
    </xf>
    <xf numFmtId="0" fontId="0" fillId="24" borderId="26" xfId="0" applyFill="1" applyBorder="1" applyProtection="1">
      <protection hidden="1"/>
    </xf>
    <xf numFmtId="0" fontId="3" fillId="16" borderId="16" xfId="0" applyFont="1" applyFill="1" applyBorder="1" applyAlignment="1" applyProtection="1">
      <alignment horizontal="center"/>
      <protection hidden="1"/>
    </xf>
    <xf numFmtId="0" fontId="193" fillId="16" borderId="6" xfId="0" applyFont="1" applyFill="1" applyBorder="1" applyAlignment="1" applyProtection="1">
      <alignment horizontal="left" vertical="center" indent="1"/>
      <protection hidden="1"/>
    </xf>
    <xf numFmtId="0" fontId="0" fillId="16" borderId="12" xfId="0" applyFill="1" applyBorder="1" applyProtection="1">
      <protection hidden="1"/>
    </xf>
    <xf numFmtId="0" fontId="0" fillId="24" borderId="7" xfId="0" applyFill="1" applyBorder="1" applyProtection="1">
      <protection hidden="1"/>
    </xf>
    <xf numFmtId="0" fontId="10" fillId="16" borderId="8" xfId="0" applyFont="1" applyFill="1" applyBorder="1" applyProtection="1">
      <protection hidden="1"/>
    </xf>
    <xf numFmtId="0" fontId="13" fillId="16" borderId="57" xfId="0" applyFont="1" applyFill="1" applyBorder="1" applyProtection="1">
      <protection hidden="1"/>
    </xf>
    <xf numFmtId="14" fontId="18" fillId="25" borderId="0" xfId="0" applyNumberFormat="1" applyFont="1" applyFill="1" applyProtection="1">
      <protection locked="0"/>
    </xf>
    <xf numFmtId="14" fontId="0" fillId="25" borderId="0" xfId="0" applyNumberFormat="1" applyFill="1" applyProtection="1">
      <protection locked="0"/>
    </xf>
    <xf numFmtId="1" fontId="234" fillId="10" borderId="0" xfId="0" applyNumberFormat="1" applyFont="1" applyFill="1" applyProtection="1">
      <protection hidden="1"/>
    </xf>
    <xf numFmtId="37" fontId="8" fillId="16" borderId="31" xfId="0" applyNumberFormat="1" applyFont="1" applyFill="1" applyBorder="1" applyProtection="1">
      <protection hidden="1"/>
    </xf>
    <xf numFmtId="0" fontId="3" fillId="16" borderId="5" xfId="0" applyFont="1" applyFill="1" applyBorder="1" applyAlignment="1" applyProtection="1">
      <alignment horizontal="centerContinuous"/>
      <protection hidden="1"/>
    </xf>
    <xf numFmtId="0" fontId="0" fillId="16" borderId="5" xfId="0" applyFill="1" applyBorder="1" applyAlignment="1" applyProtection="1">
      <alignment horizontal="centerContinuous"/>
      <protection hidden="1"/>
    </xf>
    <xf numFmtId="0" fontId="5" fillId="16" borderId="5" xfId="0" applyFont="1" applyFill="1" applyBorder="1" applyAlignment="1" applyProtection="1">
      <alignment horizontal="centerContinuous"/>
      <protection hidden="1"/>
    </xf>
    <xf numFmtId="37" fontId="8" fillId="16" borderId="9" xfId="0" applyNumberFormat="1" applyFont="1" applyFill="1" applyBorder="1" applyProtection="1">
      <protection hidden="1"/>
    </xf>
    <xf numFmtId="0" fontId="0" fillId="20" borderId="26" xfId="0" applyFill="1" applyBorder="1" applyProtection="1">
      <protection hidden="1"/>
    </xf>
    <xf numFmtId="0" fontId="7" fillId="16" borderId="31" xfId="0" applyFont="1" applyFill="1" applyBorder="1" applyProtection="1">
      <protection hidden="1"/>
    </xf>
    <xf numFmtId="0" fontId="128" fillId="16" borderId="0" xfId="0" applyFont="1" applyFill="1" applyProtection="1">
      <protection hidden="1"/>
    </xf>
    <xf numFmtId="0" fontId="3" fillId="24" borderId="0" xfId="0" applyFont="1" applyFill="1" applyAlignment="1" applyProtection="1">
      <alignment horizontal="center" vertical="center"/>
      <protection locked="0"/>
    </xf>
    <xf numFmtId="4" fontId="25" fillId="16" borderId="0" xfId="0" applyNumberFormat="1" applyFont="1" applyFill="1" applyProtection="1">
      <protection hidden="1"/>
    </xf>
    <xf numFmtId="4" fontId="125" fillId="16" borderId="0" xfId="0" applyNumberFormat="1" applyFont="1" applyFill="1" applyAlignment="1" applyProtection="1">
      <alignment horizontal="right" vertical="center"/>
      <protection hidden="1"/>
    </xf>
    <xf numFmtId="0" fontId="10" fillId="2" borderId="25" xfId="0" applyFont="1" applyFill="1" applyBorder="1" applyProtection="1">
      <protection hidden="1"/>
    </xf>
    <xf numFmtId="6" fontId="10" fillId="2" borderId="25" xfId="0" applyNumberFormat="1" applyFont="1" applyFill="1" applyBorder="1" applyAlignment="1" applyProtection="1">
      <alignment horizontal="left"/>
      <protection hidden="1"/>
    </xf>
    <xf numFmtId="0" fontId="10" fillId="2" borderId="10" xfId="0" applyFont="1" applyFill="1" applyBorder="1" applyProtection="1">
      <protection hidden="1"/>
    </xf>
    <xf numFmtId="0" fontId="0" fillId="16" borderId="8" xfId="0" applyFill="1" applyBorder="1" applyAlignment="1">
      <alignment horizontal="centerContinuous" vertical="center"/>
    </xf>
    <xf numFmtId="0" fontId="0" fillId="16" borderId="8" xfId="0" applyFill="1" applyBorder="1" applyAlignment="1" applyProtection="1">
      <alignment horizontal="centerContinuous"/>
      <protection hidden="1"/>
    </xf>
    <xf numFmtId="0" fontId="0" fillId="16" borderId="20" xfId="0" applyFill="1" applyBorder="1" applyAlignment="1" applyProtection="1">
      <alignment horizontal="centerContinuous"/>
      <protection hidden="1"/>
    </xf>
    <xf numFmtId="0" fontId="0" fillId="16" borderId="0" xfId="0" applyFill="1" applyAlignment="1">
      <alignment horizontal="centerContinuous" vertical="center"/>
    </xf>
    <xf numFmtId="0" fontId="0" fillId="16" borderId="21" xfId="0" applyFill="1" applyBorder="1" applyAlignment="1" applyProtection="1">
      <alignment horizontal="centerContinuous"/>
      <protection hidden="1"/>
    </xf>
    <xf numFmtId="0" fontId="3" fillId="20" borderId="16" xfId="0" applyFont="1" applyFill="1" applyBorder="1" applyAlignment="1" applyProtection="1">
      <alignment horizontal="center"/>
      <protection hidden="1"/>
    </xf>
    <xf numFmtId="0" fontId="0" fillId="11" borderId="31" xfId="0" applyFill="1" applyBorder="1" applyProtection="1">
      <protection hidden="1"/>
    </xf>
    <xf numFmtId="0" fontId="0" fillId="11" borderId="15" xfId="0" applyFill="1" applyBorder="1" applyProtection="1">
      <protection hidden="1"/>
    </xf>
    <xf numFmtId="0" fontId="3" fillId="20" borderId="7" xfId="0" applyFont="1" applyFill="1" applyBorder="1" applyAlignment="1" applyProtection="1">
      <alignment horizontal="center"/>
      <protection hidden="1"/>
    </xf>
    <xf numFmtId="0" fontId="0" fillId="11" borderId="53" xfId="0" applyFill="1" applyBorder="1" applyProtection="1">
      <protection hidden="1"/>
    </xf>
    <xf numFmtId="0" fontId="0" fillId="11" borderId="74" xfId="0" applyFill="1" applyBorder="1" applyProtection="1">
      <protection hidden="1"/>
    </xf>
    <xf numFmtId="4" fontId="8" fillId="17" borderId="13" xfId="0" applyNumberFormat="1" applyFont="1" applyFill="1" applyBorder="1" applyAlignment="1" applyProtection="1">
      <alignment horizontal="center"/>
      <protection locked="0"/>
    </xf>
    <xf numFmtId="0" fontId="17" fillId="2" borderId="0" xfId="0" applyFont="1" applyFill="1" applyAlignment="1">
      <alignment horizontal="center" wrapText="1"/>
    </xf>
    <xf numFmtId="1" fontId="114" fillId="17" borderId="2" xfId="0" applyNumberFormat="1" applyFont="1" applyFill="1" applyBorder="1" applyAlignment="1" applyProtection="1">
      <alignment horizontal="center" vertical="center"/>
      <protection locked="0"/>
    </xf>
    <xf numFmtId="0" fontId="115" fillId="16" borderId="0" xfId="0" applyFont="1" applyFill="1" applyAlignment="1">
      <alignment horizontal="center"/>
    </xf>
    <xf numFmtId="4" fontId="64" fillId="16" borderId="0" xfId="0" applyNumberFormat="1" applyFont="1" applyFill="1" applyProtection="1">
      <protection hidden="1"/>
    </xf>
    <xf numFmtId="0" fontId="21" fillId="16" borderId="3" xfId="0" applyFont="1" applyFill="1" applyBorder="1" applyProtection="1">
      <protection hidden="1"/>
    </xf>
    <xf numFmtId="0" fontId="28" fillId="16" borderId="3" xfId="0" applyFont="1" applyFill="1" applyBorder="1" applyAlignment="1" applyProtection="1">
      <alignment horizontal="right"/>
      <protection hidden="1"/>
    </xf>
    <xf numFmtId="0" fontId="28" fillId="16" borderId="0" xfId="0" applyFont="1" applyFill="1" applyAlignment="1" applyProtection="1">
      <alignment horizontal="right"/>
      <protection hidden="1"/>
    </xf>
    <xf numFmtId="0" fontId="21" fillId="16" borderId="10" xfId="0" applyFont="1" applyFill="1" applyBorder="1" applyProtection="1">
      <protection hidden="1"/>
    </xf>
    <xf numFmtId="0" fontId="21" fillId="16" borderId="12" xfId="0" applyFont="1" applyFill="1" applyBorder="1" applyProtection="1">
      <protection hidden="1"/>
    </xf>
    <xf numFmtId="14" fontId="5" fillId="16" borderId="1" xfId="0" applyNumberFormat="1" applyFont="1" applyFill="1" applyBorder="1" applyAlignment="1" applyProtection="1">
      <alignment horizontal="center"/>
      <protection hidden="1"/>
    </xf>
    <xf numFmtId="0" fontId="184" fillId="0" borderId="1" xfId="0" applyFont="1" applyBorder="1"/>
    <xf numFmtId="0" fontId="131" fillId="2" borderId="0" xfId="0" applyFont="1" applyFill="1" applyAlignment="1" applyProtection="1">
      <alignment horizontal="center" wrapText="1"/>
      <protection hidden="1"/>
    </xf>
    <xf numFmtId="164" fontId="12" fillId="2" borderId="5" xfId="0" applyNumberFormat="1" applyFont="1" applyFill="1" applyBorder="1" applyProtection="1">
      <protection hidden="1"/>
    </xf>
    <xf numFmtId="0" fontId="114" fillId="17" borderId="2" xfId="0" applyFont="1" applyFill="1" applyBorder="1" applyAlignment="1" applyProtection="1">
      <alignment horizontal="center" vertical="center"/>
      <protection locked="0"/>
    </xf>
    <xf numFmtId="0" fontId="13" fillId="17" borderId="13" xfId="0" applyFont="1" applyFill="1" applyBorder="1" applyAlignment="1" applyProtection="1">
      <alignment horizontal="center" vertical="center"/>
      <protection locked="0"/>
    </xf>
    <xf numFmtId="0" fontId="234" fillId="16" borderId="0" xfId="0" applyFont="1" applyFill="1" applyProtection="1">
      <protection hidden="1"/>
    </xf>
    <xf numFmtId="0" fontId="7" fillId="16" borderId="1" xfId="0" applyFont="1" applyFill="1" applyBorder="1" applyAlignment="1">
      <alignment horizontal="center" vertical="center" wrapText="1"/>
    </xf>
    <xf numFmtId="0" fontId="7" fillId="16" borderId="9" xfId="0" applyFont="1" applyFill="1" applyBorder="1" applyAlignment="1" applyProtection="1">
      <alignment horizontal="center" vertical="center" wrapText="1"/>
      <protection hidden="1"/>
    </xf>
    <xf numFmtId="0" fontId="5" fillId="16" borderId="26" xfId="0" applyFont="1" applyFill="1" applyBorder="1" applyAlignment="1" applyProtection="1">
      <alignment horizontal="left"/>
      <protection hidden="1"/>
    </xf>
    <xf numFmtId="0" fontId="5" fillId="16" borderId="6" xfId="0" applyFont="1" applyFill="1" applyBorder="1" applyAlignment="1">
      <alignment horizontal="center" wrapText="1"/>
    </xf>
    <xf numFmtId="0" fontId="5" fillId="16" borderId="27" xfId="0" applyFont="1" applyFill="1" applyBorder="1" applyAlignment="1">
      <alignment horizontal="center" wrapText="1"/>
    </xf>
    <xf numFmtId="0" fontId="168" fillId="16" borderId="0" xfId="0" applyFont="1" applyFill="1" applyAlignment="1" applyProtection="1">
      <alignment horizontal="left" indent="1"/>
      <protection hidden="1"/>
    </xf>
    <xf numFmtId="0" fontId="10" fillId="16" borderId="0" xfId="0" applyFont="1" applyFill="1" applyAlignment="1" applyProtection="1">
      <alignment horizontal="left" vertical="top"/>
      <protection hidden="1"/>
    </xf>
    <xf numFmtId="0" fontId="23" fillId="16" borderId="0" xfId="0" applyFont="1" applyFill="1" applyProtection="1">
      <protection hidden="1"/>
    </xf>
    <xf numFmtId="0" fontId="3" fillId="16" borderId="22" xfId="0" applyFont="1" applyFill="1" applyBorder="1" applyAlignment="1" applyProtection="1">
      <alignment horizontal="centerContinuous"/>
      <protection hidden="1"/>
    </xf>
    <xf numFmtId="0" fontId="0" fillId="16" borderId="9" xfId="0" applyFill="1" applyBorder="1" applyAlignment="1" applyProtection="1">
      <alignment horizontal="center" vertical="center"/>
      <protection hidden="1"/>
    </xf>
    <xf numFmtId="0" fontId="0" fillId="16" borderId="3" xfId="0" applyFill="1" applyBorder="1" applyAlignment="1" applyProtection="1">
      <alignment horizontal="center" vertical="center"/>
      <protection hidden="1"/>
    </xf>
    <xf numFmtId="0" fontId="0" fillId="16" borderId="1" xfId="0" applyFill="1" applyBorder="1" applyAlignment="1" applyProtection="1">
      <alignment horizontal="center" vertical="center"/>
      <protection hidden="1"/>
    </xf>
    <xf numFmtId="0" fontId="143" fillId="16" borderId="26" xfId="0" applyFont="1" applyFill="1" applyBorder="1" applyAlignment="1" applyProtection="1">
      <alignment horizontal="center"/>
      <protection hidden="1"/>
    </xf>
    <xf numFmtId="0" fontId="129" fillId="16" borderId="26" xfId="0" applyFont="1" applyFill="1" applyBorder="1" applyAlignment="1" applyProtection="1">
      <alignment horizontal="center"/>
      <protection hidden="1"/>
    </xf>
    <xf numFmtId="0" fontId="18" fillId="16" borderId="9" xfId="0" applyFont="1" applyFill="1" applyBorder="1" applyProtection="1">
      <protection hidden="1"/>
    </xf>
    <xf numFmtId="0" fontId="53" fillId="16" borderId="9" xfId="0" applyFont="1" applyFill="1" applyBorder="1" applyProtection="1">
      <protection hidden="1"/>
    </xf>
    <xf numFmtId="0" fontId="5" fillId="16" borderId="9" xfId="0" applyFont="1" applyFill="1" applyBorder="1" applyAlignment="1" applyProtection="1">
      <alignment horizontal="left"/>
      <protection hidden="1"/>
    </xf>
    <xf numFmtId="0" fontId="3" fillId="16" borderId="0" xfId="0" applyFont="1" applyFill="1" applyAlignment="1" applyProtection="1">
      <alignment horizontal="left" vertical="center" indent="1"/>
      <protection hidden="1"/>
    </xf>
    <xf numFmtId="0" fontId="0" fillId="16" borderId="26" xfId="0" applyFill="1" applyBorder="1" applyAlignment="1" applyProtection="1">
      <alignment horizontal="center" vertical="center"/>
      <protection hidden="1"/>
    </xf>
    <xf numFmtId="0" fontId="143" fillId="16" borderId="1" xfId="0" applyFont="1" applyFill="1" applyBorder="1" applyAlignment="1" applyProtection="1">
      <alignment horizontal="center"/>
      <protection hidden="1"/>
    </xf>
    <xf numFmtId="0" fontId="143" fillId="16" borderId="12" xfId="0" applyFont="1" applyFill="1" applyBorder="1" applyAlignment="1" applyProtection="1">
      <alignment horizontal="center"/>
      <protection hidden="1"/>
    </xf>
    <xf numFmtId="0" fontId="0" fillId="16" borderId="40" xfId="0" applyFill="1" applyBorder="1"/>
    <xf numFmtId="0" fontId="0" fillId="16" borderId="26" xfId="0" applyFill="1" applyBorder="1"/>
    <xf numFmtId="0" fontId="16" fillId="16" borderId="0" xfId="0" applyFont="1" applyFill="1" applyAlignment="1" applyProtection="1">
      <alignment horizontal="left"/>
      <protection hidden="1"/>
    </xf>
    <xf numFmtId="0" fontId="53" fillId="16" borderId="0" xfId="0" applyFont="1" applyFill="1" applyAlignment="1" applyProtection="1">
      <alignment horizontal="left"/>
      <protection hidden="1"/>
    </xf>
    <xf numFmtId="0" fontId="18" fillId="16" borderId="0" xfId="0" applyFont="1" applyFill="1" applyAlignment="1" applyProtection="1">
      <alignment horizontal="left"/>
      <protection hidden="1"/>
    </xf>
    <xf numFmtId="0" fontId="53" fillId="16" borderId="0" xfId="0" applyFont="1" applyFill="1" applyAlignment="1" applyProtection="1">
      <alignment horizontal="left" vertical="center"/>
      <protection hidden="1"/>
    </xf>
    <xf numFmtId="0" fontId="16" fillId="16" borderId="0" xfId="0" applyFont="1" applyFill="1" applyAlignment="1" applyProtection="1">
      <alignment horizontal="left" vertical="center"/>
      <protection hidden="1"/>
    </xf>
    <xf numFmtId="0" fontId="16" fillId="16" borderId="1" xfId="0" applyFont="1" applyFill="1" applyBorder="1" applyAlignment="1" applyProtection="1">
      <alignment horizontal="left"/>
      <protection hidden="1"/>
    </xf>
    <xf numFmtId="0" fontId="16" fillId="16" borderId="1" xfId="0" applyFont="1" applyFill="1" applyBorder="1" applyAlignment="1" applyProtection="1">
      <alignment horizontal="left" vertical="center"/>
      <protection hidden="1"/>
    </xf>
    <xf numFmtId="0" fontId="5" fillId="16" borderId="40" xfId="0" applyFont="1" applyFill="1" applyBorder="1" applyAlignment="1" applyProtection="1">
      <alignment horizontal="left" vertical="center"/>
      <protection hidden="1"/>
    </xf>
    <xf numFmtId="0" fontId="5" fillId="16" borderId="26" xfId="0" applyFont="1" applyFill="1" applyBorder="1" applyAlignment="1" applyProtection="1">
      <alignment horizontal="left" vertical="center"/>
      <protection hidden="1"/>
    </xf>
    <xf numFmtId="0" fontId="5" fillId="16" borderId="55" xfId="0" applyFont="1" applyFill="1" applyBorder="1" applyAlignment="1" applyProtection="1">
      <alignment horizontal="left" vertical="center"/>
      <protection hidden="1"/>
    </xf>
    <xf numFmtId="0" fontId="16" fillId="16" borderId="26" xfId="0" applyFont="1" applyFill="1" applyBorder="1" applyAlignment="1" applyProtection="1">
      <alignment horizontal="left"/>
      <protection hidden="1"/>
    </xf>
    <xf numFmtId="0" fontId="12" fillId="16" borderId="26" xfId="0" applyFont="1" applyFill="1" applyBorder="1" applyAlignment="1" applyProtection="1">
      <alignment horizontal="right" vertical="center"/>
      <protection hidden="1"/>
    </xf>
    <xf numFmtId="0" fontId="12" fillId="16" borderId="26" xfId="0" applyFont="1" applyFill="1" applyBorder="1" applyAlignment="1" applyProtection="1">
      <alignment horizontal="left"/>
      <protection hidden="1"/>
    </xf>
    <xf numFmtId="0" fontId="12" fillId="16" borderId="40" xfId="0" applyFont="1" applyFill="1" applyBorder="1" applyAlignment="1" applyProtection="1">
      <alignment horizontal="right" vertical="center"/>
      <protection hidden="1"/>
    </xf>
    <xf numFmtId="0" fontId="53" fillId="16" borderId="26" xfId="0" applyFont="1" applyFill="1" applyBorder="1" applyAlignment="1" applyProtection="1">
      <alignment horizontal="left"/>
      <protection hidden="1"/>
    </xf>
    <xf numFmtId="0" fontId="53" fillId="16" borderId="1" xfId="0" applyFont="1" applyFill="1" applyBorder="1" applyAlignment="1" applyProtection="1">
      <alignment horizontal="left"/>
      <protection hidden="1"/>
    </xf>
    <xf numFmtId="0" fontId="16" fillId="16" borderId="9" xfId="0" applyFont="1" applyFill="1" applyBorder="1" applyAlignment="1" applyProtection="1">
      <alignment horizontal="left"/>
      <protection hidden="1"/>
    </xf>
    <xf numFmtId="0" fontId="5" fillId="16" borderId="9" xfId="0" applyFont="1" applyFill="1" applyBorder="1" applyAlignment="1" applyProtection="1">
      <alignment horizontal="left" vertical="center"/>
      <protection hidden="1"/>
    </xf>
    <xf numFmtId="0" fontId="5" fillId="16" borderId="31" xfId="0" applyFont="1" applyFill="1" applyBorder="1" applyAlignment="1" applyProtection="1">
      <alignment horizontal="left" vertical="center"/>
      <protection hidden="1"/>
    </xf>
    <xf numFmtId="0" fontId="5" fillId="16" borderId="15" xfId="0" applyFont="1" applyFill="1" applyBorder="1" applyAlignment="1" applyProtection="1">
      <alignment horizontal="left" vertical="center"/>
      <protection hidden="1"/>
    </xf>
    <xf numFmtId="0" fontId="12" fillId="16" borderId="9" xfId="0" applyFont="1" applyFill="1" applyBorder="1" applyAlignment="1" applyProtection="1">
      <alignment horizontal="left"/>
      <protection hidden="1"/>
    </xf>
    <xf numFmtId="0" fontId="0" fillId="16" borderId="0" xfId="0" applyFill="1" applyAlignment="1">
      <alignment horizontal="right" vertical="center" wrapText="1" indent="1"/>
    </xf>
    <xf numFmtId="0" fontId="12" fillId="16" borderId="0" xfId="0" applyFont="1" applyFill="1" applyAlignment="1">
      <alignment horizontal="center" vertical="center"/>
    </xf>
    <xf numFmtId="3" fontId="18" fillId="16" borderId="0" xfId="0" applyNumberFormat="1" applyFont="1" applyFill="1" applyAlignment="1" applyProtection="1">
      <alignment horizontal="right" vertical="center"/>
      <protection hidden="1"/>
    </xf>
    <xf numFmtId="0" fontId="236" fillId="16" borderId="0" xfId="0" applyFont="1" applyFill="1" applyAlignment="1" applyProtection="1">
      <alignment horizontal="left"/>
      <protection hidden="1"/>
    </xf>
    <xf numFmtId="3" fontId="18" fillId="16" borderId="31" xfId="0" applyNumberFormat="1" applyFont="1" applyFill="1" applyBorder="1" applyAlignment="1" applyProtection="1">
      <alignment horizontal="right" vertical="center"/>
      <protection hidden="1"/>
    </xf>
    <xf numFmtId="3" fontId="18" fillId="16" borderId="15" xfId="0" applyNumberFormat="1" applyFont="1" applyFill="1" applyBorder="1" applyAlignment="1" applyProtection="1">
      <alignment horizontal="right" vertical="center"/>
      <protection hidden="1"/>
    </xf>
    <xf numFmtId="3" fontId="18" fillId="16" borderId="3" xfId="0" applyNumberFormat="1" applyFont="1" applyFill="1" applyBorder="1" applyAlignment="1" applyProtection="1">
      <alignment horizontal="right" vertical="center"/>
      <protection hidden="1"/>
    </xf>
    <xf numFmtId="3" fontId="18" fillId="16" borderId="25" xfId="0" applyNumberFormat="1" applyFont="1" applyFill="1" applyBorder="1" applyAlignment="1" applyProtection="1">
      <alignment horizontal="right" vertical="center"/>
      <protection hidden="1"/>
    </xf>
    <xf numFmtId="0" fontId="16" fillId="16" borderId="5" xfId="0" applyFont="1" applyFill="1" applyBorder="1" applyAlignment="1" applyProtection="1">
      <alignment horizontal="right" vertical="center" wrapText="1" indent="1"/>
      <protection hidden="1"/>
    </xf>
    <xf numFmtId="0" fontId="0" fillId="16" borderId="5" xfId="0" applyFill="1" applyBorder="1" applyAlignment="1">
      <alignment horizontal="right" vertical="center" wrapText="1" indent="1"/>
    </xf>
    <xf numFmtId="0" fontId="5" fillId="16" borderId="5" xfId="0" applyFont="1" applyFill="1" applyBorder="1" applyAlignment="1" applyProtection="1">
      <alignment horizontal="left" vertical="center"/>
      <protection hidden="1"/>
    </xf>
    <xf numFmtId="0" fontId="12" fillId="16" borderId="5" xfId="0" applyFont="1" applyFill="1" applyBorder="1" applyAlignment="1" applyProtection="1">
      <alignment horizontal="center" vertical="center"/>
      <protection hidden="1"/>
    </xf>
    <xf numFmtId="0" fontId="12" fillId="16" borderId="5" xfId="0" applyFont="1" applyFill="1" applyBorder="1" applyAlignment="1">
      <alignment horizontal="center" vertical="center"/>
    </xf>
    <xf numFmtId="3" fontId="18" fillId="16" borderId="5" xfId="0" applyNumberFormat="1" applyFont="1" applyFill="1" applyBorder="1" applyAlignment="1" applyProtection="1">
      <alignment horizontal="right" vertical="center"/>
      <protection hidden="1"/>
    </xf>
    <xf numFmtId="0" fontId="8" fillId="16" borderId="0" xfId="0" applyFont="1" applyFill="1" applyAlignment="1" applyProtection="1">
      <alignment horizontal="right"/>
      <protection hidden="1"/>
    </xf>
    <xf numFmtId="0" fontId="8" fillId="16" borderId="0" xfId="0" applyFont="1" applyFill="1" applyAlignment="1" applyProtection="1">
      <alignment horizontal="centerContinuous"/>
      <protection hidden="1"/>
    </xf>
    <xf numFmtId="0" fontId="140" fillId="16" borderId="0" xfId="0" applyFont="1" applyFill="1" applyAlignment="1" applyProtection="1">
      <alignment horizontal="centerContinuous"/>
      <protection hidden="1"/>
    </xf>
    <xf numFmtId="0" fontId="140" fillId="16" borderId="21" xfId="0" applyFont="1" applyFill="1" applyBorder="1" applyAlignment="1" applyProtection="1">
      <alignment horizontal="centerContinuous"/>
      <protection hidden="1"/>
    </xf>
    <xf numFmtId="0" fontId="12" fillId="16" borderId="1" xfId="0" applyFont="1" applyFill="1" applyBorder="1" applyAlignment="1" applyProtection="1">
      <alignment horizontal="left"/>
      <protection hidden="1"/>
    </xf>
    <xf numFmtId="0" fontId="5" fillId="16" borderId="1" xfId="0" applyFont="1" applyFill="1" applyBorder="1" applyAlignment="1" applyProtection="1">
      <alignment horizontal="right"/>
      <protection hidden="1"/>
    </xf>
    <xf numFmtId="0" fontId="0" fillId="16" borderId="40" xfId="0" applyFill="1" applyBorder="1" applyProtection="1">
      <protection hidden="1"/>
    </xf>
    <xf numFmtId="0" fontId="0" fillId="16" borderId="55" xfId="0" applyFill="1" applyBorder="1" applyProtection="1">
      <protection hidden="1"/>
    </xf>
    <xf numFmtId="0" fontId="18" fillId="16" borderId="55" xfId="0" applyFont="1" applyFill="1" applyBorder="1" applyAlignment="1" applyProtection="1">
      <alignment horizontal="center"/>
      <protection hidden="1"/>
    </xf>
    <xf numFmtId="0" fontId="18" fillId="16" borderId="12" xfId="0" applyFont="1" applyFill="1" applyBorder="1" applyAlignment="1" applyProtection="1">
      <alignment horizontal="center"/>
      <protection hidden="1"/>
    </xf>
    <xf numFmtId="0" fontId="0" fillId="20" borderId="68" xfId="0" applyFill="1" applyBorder="1" applyProtection="1">
      <protection hidden="1"/>
    </xf>
    <xf numFmtId="0" fontId="0" fillId="24" borderId="40" xfId="0" applyFill="1" applyBorder="1" applyProtection="1">
      <protection hidden="1"/>
    </xf>
    <xf numFmtId="0" fontId="0" fillId="24" borderId="69" xfId="0" applyFill="1" applyBorder="1" applyProtection="1">
      <protection hidden="1"/>
    </xf>
    <xf numFmtId="0" fontId="19" fillId="16" borderId="0" xfId="0" applyFont="1" applyFill="1" applyProtection="1">
      <protection hidden="1"/>
    </xf>
    <xf numFmtId="0" fontId="18" fillId="16" borderId="5" xfId="0" applyFont="1" applyFill="1" applyBorder="1" applyAlignment="1" applyProtection="1">
      <alignment horizontal="center"/>
      <protection hidden="1"/>
    </xf>
    <xf numFmtId="0" fontId="0" fillId="20" borderId="5" xfId="0" applyFill="1" applyBorder="1" applyProtection="1">
      <protection hidden="1"/>
    </xf>
    <xf numFmtId="0" fontId="0" fillId="16" borderId="6" xfId="0" applyFill="1" applyBorder="1" applyAlignment="1">
      <alignment horizontal="left" wrapText="1"/>
    </xf>
    <xf numFmtId="0" fontId="0" fillId="16" borderId="22" xfId="0" applyFill="1" applyBorder="1" applyAlignment="1">
      <alignment horizontal="left" wrapText="1"/>
    </xf>
    <xf numFmtId="0" fontId="3" fillId="16" borderId="6" xfId="0" applyFont="1" applyFill="1" applyBorder="1" applyAlignment="1" applyProtection="1">
      <alignment horizontal="centerContinuous"/>
      <protection hidden="1"/>
    </xf>
    <xf numFmtId="0" fontId="193" fillId="2" borderId="1" xfId="0" applyFont="1" applyFill="1" applyBorder="1" applyAlignment="1" applyProtection="1">
      <alignment horizontal="left"/>
      <protection hidden="1"/>
    </xf>
    <xf numFmtId="0" fontId="168" fillId="16" borderId="1" xfId="0" applyFont="1" applyFill="1" applyBorder="1" applyAlignment="1" applyProtection="1">
      <alignment horizontal="left" indent="1"/>
      <protection hidden="1"/>
    </xf>
    <xf numFmtId="37" fontId="3" fillId="28" borderId="40" xfId="0" applyNumberFormat="1" applyFont="1" applyFill="1" applyBorder="1" applyProtection="1">
      <protection hidden="1"/>
    </xf>
    <xf numFmtId="0" fontId="53" fillId="16" borderId="1" xfId="0" applyFont="1" applyFill="1" applyBorder="1" applyAlignment="1" applyProtection="1">
      <alignment horizontal="left" vertical="center"/>
      <protection hidden="1"/>
    </xf>
    <xf numFmtId="0" fontId="5" fillId="0" borderId="0" xfId="0" applyFont="1" applyAlignment="1" applyProtection="1">
      <alignment horizontal="right"/>
      <protection hidden="1"/>
    </xf>
    <xf numFmtId="0" fontId="200" fillId="16" borderId="0" xfId="0" applyFont="1" applyFill="1" applyAlignment="1" applyProtection="1">
      <alignment horizontal="left" vertical="center"/>
      <protection hidden="1"/>
    </xf>
    <xf numFmtId="0" fontId="238" fillId="16" borderId="9" xfId="0" applyFont="1" applyFill="1" applyBorder="1" applyAlignment="1" applyProtection="1">
      <alignment horizontal="left" vertical="center"/>
      <protection hidden="1"/>
    </xf>
    <xf numFmtId="0" fontId="0" fillId="16" borderId="13" xfId="0" applyFill="1" applyBorder="1" applyProtection="1">
      <protection locked="0"/>
    </xf>
    <xf numFmtId="0" fontId="0" fillId="0" borderId="31" xfId="0" applyBorder="1" applyProtection="1">
      <protection hidden="1"/>
    </xf>
    <xf numFmtId="0" fontId="0" fillId="0" borderId="15" xfId="0" applyBorder="1" applyProtection="1">
      <protection hidden="1"/>
    </xf>
    <xf numFmtId="0" fontId="0" fillId="0" borderId="3" xfId="0" applyBorder="1" applyProtection="1">
      <protection hidden="1"/>
    </xf>
    <xf numFmtId="0" fontId="0" fillId="0" borderId="25" xfId="0" applyBorder="1" applyProtection="1">
      <protection hidden="1"/>
    </xf>
    <xf numFmtId="0" fontId="0" fillId="0" borderId="10" xfId="0" applyBorder="1" applyProtection="1">
      <protection hidden="1"/>
    </xf>
    <xf numFmtId="0" fontId="0" fillId="0" borderId="12" xfId="0" applyBorder="1" applyProtection="1">
      <protection hidden="1"/>
    </xf>
    <xf numFmtId="37" fontId="0" fillId="16" borderId="13" xfId="0" applyNumberFormat="1" applyFill="1" applyBorder="1" applyProtection="1">
      <protection locked="0"/>
    </xf>
    <xf numFmtId="37" fontId="3" fillId="28" borderId="26" xfId="0" applyNumberFormat="1" applyFont="1" applyFill="1" applyBorder="1" applyAlignment="1" applyProtection="1">
      <alignment horizontal="center"/>
      <protection hidden="1"/>
    </xf>
    <xf numFmtId="37" fontId="18" fillId="28" borderId="1" xfId="0" applyNumberFormat="1" applyFont="1" applyFill="1" applyBorder="1" applyAlignment="1" applyProtection="1">
      <alignment horizontal="right" vertical="center"/>
      <protection hidden="1"/>
    </xf>
    <xf numFmtId="37" fontId="18" fillId="28" borderId="12" xfId="0" applyNumberFormat="1" applyFont="1" applyFill="1" applyBorder="1" applyAlignment="1" applyProtection="1">
      <alignment horizontal="right" vertical="center"/>
      <protection hidden="1"/>
    </xf>
    <xf numFmtId="37" fontId="18" fillId="28" borderId="10" xfId="0" applyNumberFormat="1" applyFont="1" applyFill="1" applyBorder="1" applyAlignment="1" applyProtection="1">
      <alignment horizontal="left" vertical="center"/>
      <protection hidden="1"/>
    </xf>
    <xf numFmtId="37" fontId="18" fillId="28" borderId="40" xfId="0" applyNumberFormat="1" applyFont="1" applyFill="1" applyBorder="1" applyAlignment="1" applyProtection="1">
      <alignment horizontal="right" vertical="center"/>
      <protection hidden="1"/>
    </xf>
    <xf numFmtId="37" fontId="18" fillId="28" borderId="26" xfId="0" applyNumberFormat="1" applyFont="1" applyFill="1" applyBorder="1" applyAlignment="1" applyProtection="1">
      <alignment horizontal="right" vertical="center"/>
      <protection hidden="1"/>
    </xf>
    <xf numFmtId="3" fontId="0" fillId="0" borderId="0" xfId="0" applyNumberFormat="1" applyProtection="1">
      <protection hidden="1"/>
    </xf>
    <xf numFmtId="4" fontId="157" fillId="16" borderId="0" xfId="0" applyNumberFormat="1" applyFont="1" applyFill="1" applyAlignment="1" applyProtection="1">
      <alignment horizontal="right" vertical="center"/>
      <protection hidden="1"/>
    </xf>
    <xf numFmtId="4" fontId="3" fillId="5" borderId="0" xfId="0" applyNumberFormat="1" applyFont="1" applyFill="1" applyAlignment="1" applyProtection="1">
      <alignment horizontal="center" vertical="center"/>
      <protection locked="0"/>
    </xf>
    <xf numFmtId="0" fontId="239" fillId="16" borderId="0" xfId="0" applyFont="1" applyFill="1" applyAlignment="1" applyProtection="1">
      <alignment vertical="center"/>
      <protection hidden="1"/>
    </xf>
    <xf numFmtId="3" fontId="9" fillId="29" borderId="11" xfId="0" applyNumberFormat="1" applyFont="1" applyFill="1" applyBorder="1" applyProtection="1">
      <protection hidden="1"/>
    </xf>
    <xf numFmtId="0" fontId="23" fillId="3" borderId="0" xfId="0" applyFont="1" applyFill="1" applyAlignment="1" applyProtection="1">
      <alignment horizontal="center"/>
      <protection hidden="1"/>
    </xf>
    <xf numFmtId="0" fontId="136" fillId="16" borderId="0" xfId="0" applyFont="1" applyFill="1" applyAlignment="1" applyProtection="1">
      <alignment horizontal="right" vertical="center"/>
      <protection hidden="1"/>
    </xf>
    <xf numFmtId="0" fontId="131" fillId="16" borderId="0" xfId="0" applyFont="1" applyFill="1" applyAlignment="1" applyProtection="1">
      <alignment horizontal="right" vertical="center"/>
      <protection hidden="1"/>
    </xf>
    <xf numFmtId="0" fontId="157" fillId="16" borderId="0" xfId="0" applyFont="1" applyFill="1" applyAlignment="1" applyProtection="1">
      <alignment horizontal="center" vertical="center"/>
      <protection hidden="1"/>
    </xf>
    <xf numFmtId="0" fontId="0" fillId="37" borderId="15" xfId="0" applyFill="1" applyBorder="1" applyProtection="1">
      <protection hidden="1"/>
    </xf>
    <xf numFmtId="0" fontId="3" fillId="37" borderId="0" xfId="0" applyFont="1" applyFill="1" applyAlignment="1" applyProtection="1">
      <alignment horizontal="center"/>
      <protection hidden="1"/>
    </xf>
    <xf numFmtId="0" fontId="3" fillId="37" borderId="25" xfId="0" applyFont="1" applyFill="1" applyBorder="1" applyProtection="1">
      <protection hidden="1"/>
    </xf>
    <xf numFmtId="0" fontId="3" fillId="37" borderId="25" xfId="0" applyFont="1" applyFill="1" applyBorder="1" applyAlignment="1" applyProtection="1">
      <alignment horizontal="center"/>
      <protection hidden="1"/>
    </xf>
    <xf numFmtId="0" fontId="0" fillId="37" borderId="0" xfId="0" applyFill="1" applyProtection="1">
      <protection hidden="1"/>
    </xf>
    <xf numFmtId="0" fontId="3" fillId="37" borderId="15" xfId="0" applyFont="1" applyFill="1" applyBorder="1" applyProtection="1">
      <protection hidden="1"/>
    </xf>
    <xf numFmtId="0" fontId="3" fillId="37" borderId="15" xfId="0" applyFont="1" applyFill="1" applyBorder="1" applyAlignment="1" applyProtection="1">
      <alignment horizontal="center"/>
      <protection hidden="1"/>
    </xf>
    <xf numFmtId="0" fontId="0" fillId="37" borderId="1" xfId="0" applyFill="1" applyBorder="1" applyProtection="1">
      <protection hidden="1"/>
    </xf>
    <xf numFmtId="3" fontId="9" fillId="15" borderId="7" xfId="0" applyNumberFormat="1" applyFont="1" applyFill="1" applyBorder="1" applyProtection="1">
      <protection hidden="1"/>
    </xf>
    <xf numFmtId="0" fontId="0" fillId="5" borderId="16" xfId="0" applyFill="1" applyBorder="1" applyAlignment="1">
      <alignment horizontal="center"/>
    </xf>
    <xf numFmtId="0" fontId="3" fillId="38" borderId="7" xfId="0" applyFont="1" applyFill="1" applyBorder="1" applyProtection="1">
      <protection hidden="1"/>
    </xf>
    <xf numFmtId="0" fontId="3" fillId="38" borderId="7" xfId="0" applyFont="1" applyFill="1" applyBorder="1" applyAlignment="1" applyProtection="1">
      <alignment horizontal="center"/>
      <protection hidden="1"/>
    </xf>
    <xf numFmtId="0" fontId="131" fillId="16" borderId="3" xfId="0" applyFont="1" applyFill="1" applyBorder="1" applyAlignment="1">
      <alignment horizontal="right" vertical="center" wrapText="1"/>
    </xf>
    <xf numFmtId="3" fontId="9" fillId="27" borderId="10" xfId="0" applyNumberFormat="1" applyFont="1" applyFill="1" applyBorder="1" applyProtection="1">
      <protection hidden="1"/>
    </xf>
    <xf numFmtId="0" fontId="10" fillId="15" borderId="0" xfId="0" applyFont="1" applyFill="1" applyProtection="1">
      <protection locked="0"/>
    </xf>
    <xf numFmtId="0" fontId="0" fillId="15" borderId="0" xfId="0" applyFill="1" applyProtection="1">
      <protection locked="0"/>
    </xf>
    <xf numFmtId="49" fontId="10" fillId="15" borderId="0" xfId="1" applyNumberFormat="1" applyFont="1" applyFill="1" applyProtection="1">
      <protection locked="0"/>
    </xf>
    <xf numFmtId="3" fontId="9" fillId="15" borderId="16" xfId="0" applyNumberFormat="1" applyFont="1" applyFill="1" applyBorder="1" applyProtection="1">
      <protection hidden="1"/>
    </xf>
    <xf numFmtId="3" fontId="135" fillId="3" borderId="0" xfId="0" applyNumberFormat="1" applyFont="1" applyFill="1" applyProtection="1">
      <protection hidden="1"/>
    </xf>
    <xf numFmtId="175" fontId="135" fillId="3" borderId="0" xfId="0" applyNumberFormat="1" applyFont="1" applyFill="1" applyProtection="1">
      <protection hidden="1"/>
    </xf>
    <xf numFmtId="0" fontId="0" fillId="5" borderId="7" xfId="0" applyFill="1" applyBorder="1" applyAlignment="1">
      <alignment horizontal="center"/>
    </xf>
    <xf numFmtId="0" fontId="10" fillId="16" borderId="0" xfId="0" applyFont="1" applyFill="1" applyAlignment="1">
      <alignment vertical="top" wrapText="1"/>
    </xf>
    <xf numFmtId="0" fontId="0" fillId="21" borderId="88" xfId="0" applyFill="1" applyBorder="1" applyProtection="1">
      <protection locked="0"/>
    </xf>
    <xf numFmtId="0" fontId="3" fillId="3" borderId="0" xfId="0" applyFont="1" applyFill="1" applyAlignment="1" applyProtection="1">
      <alignment vertical="center"/>
      <protection hidden="1"/>
    </xf>
    <xf numFmtId="0" fontId="3" fillId="38" borderId="3" xfId="0" applyFont="1" applyFill="1" applyBorder="1" applyProtection="1">
      <protection hidden="1"/>
    </xf>
    <xf numFmtId="0" fontId="131" fillId="3" borderId="5" xfId="0" applyFont="1" applyFill="1" applyBorder="1" applyAlignment="1" applyProtection="1">
      <alignment vertical="center"/>
      <protection hidden="1"/>
    </xf>
    <xf numFmtId="0" fontId="3" fillId="38" borderId="70" xfId="0" applyFont="1" applyFill="1" applyBorder="1" applyProtection="1">
      <protection hidden="1"/>
    </xf>
    <xf numFmtId="0" fontId="23" fillId="3" borderId="0" xfId="0" applyFont="1" applyFill="1" applyAlignment="1" applyProtection="1">
      <alignment wrapText="1"/>
      <protection hidden="1"/>
    </xf>
    <xf numFmtId="0" fontId="233" fillId="3" borderId="6" xfId="0" applyFont="1" applyFill="1" applyBorder="1" applyProtection="1">
      <protection hidden="1"/>
    </xf>
    <xf numFmtId="0" fontId="233" fillId="3" borderId="0" xfId="0" applyFont="1" applyFill="1" applyProtection="1">
      <protection hidden="1"/>
    </xf>
    <xf numFmtId="0" fontId="10" fillId="2" borderId="22" xfId="0" applyFont="1" applyFill="1" applyBorder="1" applyAlignment="1" applyProtection="1">
      <alignment horizontal="left" vertical="center"/>
      <protection hidden="1"/>
    </xf>
    <xf numFmtId="0" fontId="13" fillId="15" borderId="0" xfId="0" applyFont="1" applyFill="1" applyProtection="1">
      <protection hidden="1"/>
    </xf>
    <xf numFmtId="0" fontId="13" fillId="15" borderId="21" xfId="0" applyFont="1" applyFill="1" applyBorder="1" applyProtection="1">
      <protection hidden="1"/>
    </xf>
    <xf numFmtId="0" fontId="233" fillId="2" borderId="0" xfId="0" applyFont="1" applyFill="1" applyProtection="1">
      <protection hidden="1"/>
    </xf>
    <xf numFmtId="0" fontId="233" fillId="15" borderId="6" xfId="0" applyFont="1" applyFill="1" applyBorder="1" applyAlignment="1" applyProtection="1">
      <alignment horizontal="center" vertical="center"/>
      <protection hidden="1"/>
    </xf>
    <xf numFmtId="0" fontId="0" fillId="5" borderId="3" xfId="0" applyFill="1" applyBorder="1"/>
    <xf numFmtId="0" fontId="0" fillId="5" borderId="25" xfId="0" applyFill="1" applyBorder="1"/>
    <xf numFmtId="4" fontId="0" fillId="3" borderId="5" xfId="0" applyNumberFormat="1" applyFill="1" applyBorder="1" applyProtection="1">
      <protection hidden="1"/>
    </xf>
    <xf numFmtId="4" fontId="0" fillId="3" borderId="10" xfId="0" applyNumberFormat="1" applyFill="1" applyBorder="1" applyProtection="1">
      <protection hidden="1"/>
    </xf>
    <xf numFmtId="4" fontId="6" fillId="3" borderId="1" xfId="0" applyNumberFormat="1" applyFont="1" applyFill="1" applyBorder="1" applyAlignment="1" applyProtection="1">
      <alignment horizontal="center"/>
      <protection hidden="1"/>
    </xf>
    <xf numFmtId="183" fontId="193" fillId="3" borderId="0" xfId="0" applyNumberFormat="1" applyFont="1" applyFill="1" applyAlignment="1" applyProtection="1">
      <alignment horizontal="left" vertical="center"/>
      <protection hidden="1"/>
    </xf>
    <xf numFmtId="0" fontId="199" fillId="3" borderId="0" xfId="0" applyFont="1" applyFill="1" applyAlignment="1" applyProtection="1">
      <alignment horizontal="right" indent="1"/>
      <protection hidden="1"/>
    </xf>
    <xf numFmtId="0" fontId="193" fillId="3" borderId="0" xfId="0" applyFont="1" applyFill="1" applyAlignment="1" applyProtection="1">
      <alignment horizontal="left" indent="1"/>
      <protection hidden="1"/>
    </xf>
    <xf numFmtId="0" fontId="5" fillId="15" borderId="0" xfId="0" applyFont="1" applyFill="1" applyProtection="1">
      <protection hidden="1"/>
    </xf>
    <xf numFmtId="0" fontId="168" fillId="2" borderId="0" xfId="0" applyFont="1" applyFill="1" applyAlignment="1" applyProtection="1">
      <alignment horizontal="left" indent="1"/>
      <protection hidden="1"/>
    </xf>
    <xf numFmtId="0" fontId="168" fillId="2" borderId="0" xfId="0" applyFont="1" applyFill="1" applyAlignment="1" applyProtection="1">
      <alignment horizontal="right"/>
      <protection hidden="1"/>
    </xf>
    <xf numFmtId="0" fontId="7" fillId="2" borderId="0" xfId="0" applyFont="1" applyFill="1" applyAlignment="1" applyProtection="1">
      <alignment horizontal="right" indent="2"/>
      <protection hidden="1"/>
    </xf>
    <xf numFmtId="0" fontId="168" fillId="16" borderId="6" xfId="0" applyFont="1" applyFill="1" applyBorder="1" applyAlignment="1" applyProtection="1">
      <alignment vertical="center"/>
      <protection hidden="1"/>
    </xf>
    <xf numFmtId="0" fontId="168" fillId="16" borderId="0" xfId="0" applyFont="1" applyFill="1" applyAlignment="1" applyProtection="1">
      <alignment horizontal="right"/>
      <protection hidden="1"/>
    </xf>
    <xf numFmtId="39" fontId="11" fillId="15" borderId="0" xfId="0" applyNumberFormat="1" applyFont="1" applyFill="1" applyAlignment="1" applyProtection="1">
      <alignment horizontal="center"/>
      <protection hidden="1"/>
    </xf>
    <xf numFmtId="39" fontId="139" fillId="15" borderId="0" xfId="0" applyNumberFormat="1" applyFont="1" applyFill="1" applyProtection="1">
      <protection hidden="1"/>
    </xf>
    <xf numFmtId="0" fontId="141" fillId="16" borderId="0" xfId="0" applyFont="1" applyFill="1"/>
    <xf numFmtId="0" fontId="131" fillId="2" borderId="0" xfId="0" applyFont="1" applyFill="1" applyAlignment="1" applyProtection="1">
      <alignment horizontal="center"/>
      <protection hidden="1"/>
    </xf>
    <xf numFmtId="14" fontId="5" fillId="25" borderId="0" xfId="0" applyNumberFormat="1" applyFont="1" applyFill="1" applyProtection="1">
      <protection locked="0"/>
    </xf>
    <xf numFmtId="0" fontId="125" fillId="2" borderId="0" xfId="0" applyFont="1" applyFill="1" applyAlignment="1" applyProtection="1">
      <alignment horizontal="left"/>
      <protection hidden="1"/>
    </xf>
    <xf numFmtId="194" fontId="36" fillId="2" borderId="11" xfId="0" applyNumberFormat="1" applyFont="1" applyFill="1" applyBorder="1" applyProtection="1">
      <protection locked="0"/>
    </xf>
    <xf numFmtId="0" fontId="241" fillId="16" borderId="0" xfId="0" applyFont="1" applyFill="1" applyAlignment="1" applyProtection="1">
      <alignment horizontal="centerContinuous" vertical="center"/>
      <protection hidden="1"/>
    </xf>
    <xf numFmtId="3" fontId="36" fillId="16" borderId="0" xfId="0" applyNumberFormat="1" applyFont="1" applyFill="1" applyAlignment="1" applyProtection="1">
      <alignment horizontal="center"/>
      <protection hidden="1"/>
    </xf>
    <xf numFmtId="0" fontId="135" fillId="16" borderId="24" xfId="0" applyFont="1" applyFill="1" applyBorder="1" applyAlignment="1" applyProtection="1">
      <alignment horizontal="center" vertical="center"/>
      <protection hidden="1"/>
    </xf>
    <xf numFmtId="37" fontId="36" fillId="2" borderId="2" xfId="0" applyNumberFormat="1" applyFont="1" applyFill="1" applyBorder="1" applyProtection="1">
      <protection locked="0"/>
    </xf>
    <xf numFmtId="164" fontId="12" fillId="2" borderId="0" xfId="0" applyNumberFormat="1" applyFont="1" applyFill="1" applyProtection="1">
      <protection hidden="1"/>
    </xf>
    <xf numFmtId="0" fontId="26" fillId="2" borderId="8" xfId="0" applyFont="1" applyFill="1" applyBorder="1" applyAlignment="1" applyProtection="1">
      <alignment horizontal="right"/>
      <protection hidden="1"/>
    </xf>
    <xf numFmtId="0" fontId="171" fillId="0" borderId="0" xfId="0" applyFont="1" applyAlignment="1">
      <alignment vertical="center"/>
    </xf>
    <xf numFmtId="0" fontId="139" fillId="2" borderId="0" xfId="0" applyFont="1" applyFill="1" applyAlignment="1" applyProtection="1">
      <alignment horizontal="left" indent="1"/>
      <protection hidden="1"/>
    </xf>
    <xf numFmtId="0" fontId="18" fillId="2" borderId="0" xfId="0" applyFont="1" applyFill="1" applyAlignment="1" applyProtection="1">
      <alignment horizontal="center" vertical="center"/>
      <protection locked="0"/>
    </xf>
    <xf numFmtId="0" fontId="100" fillId="2" borderId="0" xfId="0" applyFont="1" applyFill="1" applyProtection="1">
      <protection hidden="1"/>
    </xf>
    <xf numFmtId="0" fontId="99" fillId="2" borderId="0" xfId="0" applyFont="1" applyFill="1" applyAlignment="1" applyProtection="1">
      <alignment horizontal="right"/>
      <protection hidden="1"/>
    </xf>
    <xf numFmtId="0" fontId="13" fillId="2" borderId="16" xfId="0" applyFont="1" applyFill="1" applyBorder="1" applyAlignment="1" applyProtection="1">
      <alignment horizontal="center" vertical="center" wrapText="1"/>
      <protection locked="0"/>
    </xf>
    <xf numFmtId="0" fontId="3" fillId="2" borderId="40" xfId="0" applyFont="1" applyFill="1" applyBorder="1" applyAlignment="1" applyProtection="1">
      <alignment horizontal="left" vertical="center"/>
      <protection hidden="1"/>
    </xf>
    <xf numFmtId="0" fontId="139" fillId="2" borderId="26" xfId="0" applyFont="1" applyFill="1" applyBorder="1" applyAlignment="1" applyProtection="1">
      <alignment horizontal="left" vertical="top"/>
      <protection hidden="1"/>
    </xf>
    <xf numFmtId="0" fontId="184" fillId="16" borderId="26" xfId="0" applyFont="1" applyFill="1" applyBorder="1" applyAlignment="1" applyProtection="1">
      <alignment vertical="center"/>
      <protection hidden="1"/>
    </xf>
    <xf numFmtId="0" fontId="85" fillId="2" borderId="0" xfId="0" applyFont="1" applyFill="1" applyAlignment="1" applyProtection="1">
      <alignment horizontal="left"/>
      <protection hidden="1"/>
    </xf>
    <xf numFmtId="182" fontId="5" fillId="16" borderId="0" xfId="0" applyNumberFormat="1" applyFont="1" applyFill="1" applyAlignment="1" applyProtection="1">
      <alignment horizontal="center"/>
      <protection hidden="1"/>
    </xf>
    <xf numFmtId="0" fontId="0" fillId="16" borderId="0" xfId="0" applyFill="1" applyAlignment="1">
      <alignment wrapText="1"/>
    </xf>
    <xf numFmtId="0" fontId="171" fillId="5" borderId="0" xfId="0" applyFont="1" applyFill="1" applyAlignment="1" applyProtection="1">
      <alignment horizontal="center"/>
      <protection hidden="1"/>
    </xf>
    <xf numFmtId="0" fontId="128" fillId="5" borderId="0" xfId="0" applyFont="1" applyFill="1" applyAlignment="1" applyProtection="1">
      <alignment horizontal="center" vertical="center" wrapText="1"/>
      <protection hidden="1"/>
    </xf>
    <xf numFmtId="4" fontId="3" fillId="3" borderId="25" xfId="0" applyNumberFormat="1" applyFont="1" applyFill="1" applyBorder="1" applyAlignment="1" applyProtection="1">
      <alignment horizontal="right" indent="1"/>
      <protection hidden="1"/>
    </xf>
    <xf numFmtId="0" fontId="193" fillId="2" borderId="0" xfId="0" applyFont="1" applyFill="1" applyProtection="1">
      <protection hidden="1"/>
    </xf>
    <xf numFmtId="4" fontId="3" fillId="3" borderId="25" xfId="0" applyNumberFormat="1" applyFont="1" applyFill="1" applyBorder="1" applyAlignment="1" applyProtection="1">
      <alignment horizontal="right" vertical="center" indent="2"/>
      <protection hidden="1"/>
    </xf>
    <xf numFmtId="37" fontId="7" fillId="3" borderId="0" xfId="0" applyNumberFormat="1" applyFont="1" applyFill="1" applyAlignment="1" applyProtection="1">
      <alignment horizontal="right"/>
      <protection locked="0"/>
    </xf>
    <xf numFmtId="0" fontId="3" fillId="3" borderId="7" xfId="0" applyFont="1" applyFill="1" applyBorder="1" applyAlignment="1" applyProtection="1">
      <alignment horizontal="right"/>
      <protection hidden="1"/>
    </xf>
    <xf numFmtId="0" fontId="168" fillId="2" borderId="0" xfId="0" applyFont="1" applyFill="1" applyAlignment="1" applyProtection="1">
      <alignment horizontal="right" indent="2"/>
      <protection hidden="1"/>
    </xf>
    <xf numFmtId="37" fontId="227" fillId="3" borderId="31" xfId="0" applyNumberFormat="1" applyFont="1" applyFill="1" applyBorder="1" applyAlignment="1" applyProtection="1">
      <alignment horizontal="right"/>
      <protection hidden="1"/>
    </xf>
    <xf numFmtId="37" fontId="227" fillId="3" borderId="3" xfId="0" applyNumberFormat="1" applyFont="1" applyFill="1" applyBorder="1" applyAlignment="1" applyProtection="1">
      <alignment horizontal="right"/>
      <protection hidden="1"/>
    </xf>
    <xf numFmtId="0" fontId="227" fillId="0" borderId="0" xfId="0" applyFont="1" applyAlignment="1" applyProtection="1">
      <alignment horizontal="center"/>
      <protection hidden="1"/>
    </xf>
    <xf numFmtId="0" fontId="40" fillId="3" borderId="0" xfId="0" applyFont="1" applyFill="1" applyAlignment="1" applyProtection="1">
      <alignment horizontal="center"/>
      <protection hidden="1"/>
    </xf>
    <xf numFmtId="4" fontId="134" fillId="0" borderId="0" xfId="0" applyNumberFormat="1" applyFont="1" applyProtection="1">
      <protection hidden="1"/>
    </xf>
    <xf numFmtId="0" fontId="242" fillId="5" borderId="0" xfId="0" applyFont="1" applyFill="1" applyProtection="1">
      <protection hidden="1"/>
    </xf>
    <xf numFmtId="0" fontId="147" fillId="5" borderId="0" xfId="0" applyFont="1" applyFill="1" applyProtection="1">
      <protection hidden="1"/>
    </xf>
    <xf numFmtId="3" fontId="147" fillId="5" borderId="0" xfId="0" applyNumberFormat="1" applyFont="1" applyFill="1" applyProtection="1">
      <protection hidden="1"/>
    </xf>
    <xf numFmtId="37" fontId="147" fillId="5" borderId="0" xfId="0" applyNumberFormat="1" applyFont="1" applyFill="1" applyProtection="1">
      <protection hidden="1"/>
    </xf>
    <xf numFmtId="0" fontId="10" fillId="2" borderId="3" xfId="0" applyFont="1" applyFill="1" applyBorder="1" applyAlignment="1" applyProtection="1">
      <alignment horizontal="center" vertical="center" wrapText="1"/>
      <protection hidden="1"/>
    </xf>
    <xf numFmtId="0" fontId="5" fillId="24" borderId="0" xfId="0" applyFont="1" applyFill="1" applyProtection="1">
      <protection hidden="1"/>
    </xf>
    <xf numFmtId="0" fontId="10" fillId="16" borderId="3" xfId="0" applyFont="1" applyFill="1" applyBorder="1" applyAlignment="1">
      <alignment horizontal="left"/>
    </xf>
    <xf numFmtId="0" fontId="10" fillId="16" borderId="5" xfId="0" applyFont="1" applyFill="1" applyBorder="1" applyAlignment="1">
      <alignment horizontal="left"/>
    </xf>
    <xf numFmtId="0" fontId="3" fillId="8" borderId="9" xfId="0" applyFont="1" applyFill="1" applyBorder="1" applyAlignment="1" applyProtection="1">
      <alignment horizontal="center" vertical="center" wrapText="1"/>
      <protection hidden="1"/>
    </xf>
    <xf numFmtId="0" fontId="3" fillId="8" borderId="0" xfId="0" applyFont="1" applyFill="1" applyAlignment="1" applyProtection="1">
      <alignment horizontal="center" vertical="center" wrapText="1"/>
      <protection hidden="1"/>
    </xf>
    <xf numFmtId="0" fontId="3" fillId="8" borderId="1" xfId="0" applyFont="1" applyFill="1" applyBorder="1" applyAlignment="1" applyProtection="1">
      <alignment horizontal="center" vertical="center" wrapText="1"/>
      <protection hidden="1"/>
    </xf>
    <xf numFmtId="37" fontId="0" fillId="0" borderId="0" xfId="0" applyNumberFormat="1"/>
    <xf numFmtId="0" fontId="128" fillId="2" borderId="0" xfId="0" applyFont="1" applyFill="1" applyProtection="1">
      <protection hidden="1"/>
    </xf>
    <xf numFmtId="3" fontId="8" fillId="21" borderId="10" xfId="0" applyNumberFormat="1" applyFont="1" applyFill="1" applyBorder="1" applyProtection="1">
      <protection locked="0"/>
    </xf>
    <xf numFmtId="0" fontId="83" fillId="16" borderId="21" xfId="0" applyFont="1" applyFill="1" applyBorder="1" applyAlignment="1">
      <alignment vertical="center"/>
    </xf>
    <xf numFmtId="0" fontId="233" fillId="3" borderId="6" xfId="0" applyFont="1" applyFill="1" applyBorder="1" applyAlignment="1" applyProtection="1">
      <alignment horizontal="left" vertical="center"/>
      <protection hidden="1"/>
    </xf>
    <xf numFmtId="37" fontId="8" fillId="2" borderId="1" xfId="0" applyNumberFormat="1" applyFont="1" applyFill="1" applyBorder="1" applyProtection="1">
      <protection locked="0"/>
    </xf>
    <xf numFmtId="0" fontId="199" fillId="3" borderId="0" xfId="0" applyFont="1" applyFill="1" applyAlignment="1" applyProtection="1">
      <alignment vertical="center"/>
      <protection hidden="1"/>
    </xf>
    <xf numFmtId="0" fontId="199" fillId="3" borderId="6" xfId="0" applyFont="1" applyFill="1" applyBorder="1" applyAlignment="1" applyProtection="1">
      <alignment horizontal="center" vertical="center"/>
      <protection hidden="1"/>
    </xf>
    <xf numFmtId="0" fontId="8" fillId="3" borderId="163" xfId="0" applyFont="1" applyFill="1" applyBorder="1" applyAlignment="1" applyProtection="1">
      <alignment vertical="center"/>
      <protection hidden="1"/>
    </xf>
    <xf numFmtId="0" fontId="7" fillId="3" borderId="163" xfId="0" applyFont="1" applyFill="1" applyBorder="1" applyAlignment="1" applyProtection="1">
      <alignment vertical="center"/>
      <protection hidden="1"/>
    </xf>
    <xf numFmtId="4" fontId="7" fillId="3" borderId="163" xfId="0" applyNumberFormat="1" applyFont="1" applyFill="1" applyBorder="1" applyAlignment="1" applyProtection="1">
      <alignment vertical="center"/>
      <protection hidden="1"/>
    </xf>
    <xf numFmtId="4" fontId="8" fillId="3" borderId="163" xfId="0" applyNumberFormat="1" applyFont="1" applyFill="1" applyBorder="1" applyAlignment="1" applyProtection="1">
      <alignment horizontal="right" vertical="center"/>
      <protection hidden="1"/>
    </xf>
    <xf numFmtId="39" fontId="7" fillId="3" borderId="163" xfId="0" applyNumberFormat="1" applyFont="1" applyFill="1" applyBorder="1" applyAlignment="1" applyProtection="1">
      <alignment horizontal="right" vertical="center"/>
      <protection hidden="1"/>
    </xf>
    <xf numFmtId="0" fontId="3" fillId="3" borderId="163" xfId="0" applyFont="1" applyFill="1" applyBorder="1" applyAlignment="1" applyProtection="1">
      <alignment horizontal="right" vertical="center"/>
      <protection hidden="1"/>
    </xf>
    <xf numFmtId="0" fontId="8" fillId="16" borderId="0" xfId="0" quotePrefix="1" applyFont="1" applyFill="1" applyProtection="1">
      <protection hidden="1"/>
    </xf>
    <xf numFmtId="37" fontId="0" fillId="0" borderId="1" xfId="0" applyNumberFormat="1" applyBorder="1" applyProtection="1">
      <protection locked="0"/>
    </xf>
    <xf numFmtId="37" fontId="5" fillId="0" borderId="1" xfId="0" applyNumberFormat="1" applyFont="1" applyBorder="1" applyProtection="1">
      <protection locked="0"/>
    </xf>
    <xf numFmtId="0" fontId="125" fillId="16" borderId="0" xfId="0" applyFont="1" applyFill="1" applyAlignment="1" applyProtection="1">
      <alignment horizontal="center"/>
      <protection hidden="1"/>
    </xf>
    <xf numFmtId="0" fontId="3" fillId="5" borderId="0" xfId="0" applyFont="1" applyFill="1" applyAlignment="1" applyProtection="1">
      <alignment horizontal="center" vertical="center"/>
      <protection locked="0"/>
    </xf>
    <xf numFmtId="0" fontId="190" fillId="5" borderId="0" xfId="0" applyFont="1" applyFill="1" applyAlignment="1" applyProtection="1">
      <alignment horizontal="center" vertical="center"/>
      <protection hidden="1"/>
    </xf>
    <xf numFmtId="0" fontId="8" fillId="16" borderId="0" xfId="0" applyFont="1" applyFill="1"/>
    <xf numFmtId="0" fontId="0" fillId="8" borderId="164" xfId="0" applyFill="1" applyBorder="1" applyProtection="1">
      <protection hidden="1"/>
    </xf>
    <xf numFmtId="0" fontId="0" fillId="5" borderId="164" xfId="0" applyFill="1" applyBorder="1" applyAlignment="1" applyProtection="1">
      <alignment vertical="top"/>
      <protection hidden="1"/>
    </xf>
    <xf numFmtId="0" fontId="0" fillId="5" borderId="164" xfId="0" applyFill="1" applyBorder="1"/>
    <xf numFmtId="37" fontId="0" fillId="0" borderId="0" xfId="0" applyNumberFormat="1" applyProtection="1">
      <protection hidden="1"/>
    </xf>
    <xf numFmtId="37" fontId="0" fillId="0" borderId="13" xfId="0" applyNumberFormat="1" applyBorder="1" applyProtection="1">
      <protection hidden="1"/>
    </xf>
    <xf numFmtId="37" fontId="0" fillId="0" borderId="44" xfId="0" applyNumberFormat="1" applyBorder="1" applyProtection="1">
      <protection hidden="1"/>
    </xf>
    <xf numFmtId="0" fontId="5" fillId="0" borderId="8" xfId="0" applyFont="1" applyBorder="1" applyProtection="1">
      <protection hidden="1"/>
    </xf>
    <xf numFmtId="0" fontId="0" fillId="0" borderId="20" xfId="0" applyBorder="1" applyProtection="1">
      <protection hidden="1"/>
    </xf>
    <xf numFmtId="0" fontId="0" fillId="0" borderId="21" xfId="0" applyBorder="1" applyProtection="1">
      <protection hidden="1"/>
    </xf>
    <xf numFmtId="37" fontId="0" fillId="0" borderId="5" xfId="0" applyNumberFormat="1" applyBorder="1" applyProtection="1">
      <protection hidden="1"/>
    </xf>
    <xf numFmtId="0" fontId="0" fillId="0" borderId="5" xfId="0" applyBorder="1" applyProtection="1">
      <protection hidden="1"/>
    </xf>
    <xf numFmtId="0" fontId="0" fillId="0" borderId="23" xfId="0" applyBorder="1" applyProtection="1">
      <protection hidden="1"/>
    </xf>
    <xf numFmtId="0" fontId="3" fillId="0" borderId="8" xfId="0" applyFont="1" applyBorder="1" applyProtection="1">
      <protection hidden="1"/>
    </xf>
    <xf numFmtId="0" fontId="3" fillId="0" borderId="5" xfId="0" applyFont="1" applyBorder="1" applyProtection="1">
      <protection hidden="1"/>
    </xf>
    <xf numFmtId="37" fontId="135" fillId="2" borderId="9" xfId="0" applyNumberFormat="1" applyFont="1" applyFill="1" applyBorder="1" applyProtection="1">
      <protection hidden="1"/>
    </xf>
    <xf numFmtId="0" fontId="12" fillId="0" borderId="0" xfId="0" applyFont="1" applyAlignment="1">
      <alignment vertical="center"/>
    </xf>
    <xf numFmtId="0" fontId="5" fillId="0" borderId="0" xfId="0" applyFont="1" applyAlignment="1" applyProtection="1">
      <alignment horizontal="left" vertical="top"/>
      <protection hidden="1"/>
    </xf>
    <xf numFmtId="37" fontId="5" fillId="16" borderId="1" xfId="0" applyNumberFormat="1" applyFont="1" applyFill="1" applyBorder="1" applyProtection="1">
      <protection hidden="1"/>
    </xf>
    <xf numFmtId="0" fontId="0" fillId="0" borderId="3" xfId="0" applyBorder="1" applyAlignment="1">
      <alignment vertical="center"/>
    </xf>
    <xf numFmtId="0" fontId="50" fillId="16" borderId="6" xfId="0" applyFont="1" applyFill="1" applyBorder="1" applyAlignment="1" applyProtection="1">
      <alignment wrapText="1"/>
      <protection hidden="1"/>
    </xf>
    <xf numFmtId="0" fontId="50" fillId="16" borderId="0" xfId="0" applyFont="1" applyFill="1" applyAlignment="1" applyProtection="1">
      <alignment horizontal="center"/>
      <protection hidden="1"/>
    </xf>
    <xf numFmtId="0" fontId="0" fillId="16" borderId="21" xfId="0" applyFill="1" applyBorder="1" applyAlignment="1">
      <alignment wrapText="1"/>
    </xf>
    <xf numFmtId="0" fontId="0" fillId="16" borderId="6" xfId="0" applyFill="1" applyBorder="1" applyAlignment="1">
      <alignment wrapText="1"/>
    </xf>
    <xf numFmtId="0" fontId="0" fillId="16" borderId="37" xfId="0" applyFill="1" applyBorder="1" applyProtection="1">
      <protection hidden="1"/>
    </xf>
    <xf numFmtId="0" fontId="3" fillId="16" borderId="71" xfId="0" applyFont="1" applyFill="1" applyBorder="1" applyAlignment="1" applyProtection="1">
      <alignment horizontal="right"/>
      <protection hidden="1"/>
    </xf>
    <xf numFmtId="0" fontId="23" fillId="15" borderId="6" xfId="0" applyFont="1" applyFill="1" applyBorder="1" applyProtection="1">
      <protection hidden="1"/>
    </xf>
    <xf numFmtId="0" fontId="23" fillId="15" borderId="0" xfId="0" applyFont="1" applyFill="1" applyProtection="1">
      <protection hidden="1"/>
    </xf>
    <xf numFmtId="0" fontId="23" fillId="15" borderId="0" xfId="0" applyFont="1" applyFill="1" applyAlignment="1" applyProtection="1">
      <alignment horizontal="center"/>
      <protection hidden="1"/>
    </xf>
    <xf numFmtId="0" fontId="168" fillId="16" borderId="0" xfId="0" applyFont="1" applyFill="1" applyProtection="1">
      <protection hidden="1"/>
    </xf>
    <xf numFmtId="0" fontId="18" fillId="16" borderId="0" xfId="0" applyFont="1" applyFill="1"/>
    <xf numFmtId="0" fontId="21" fillId="16" borderId="21" xfId="0" applyFont="1" applyFill="1" applyBorder="1"/>
    <xf numFmtId="0" fontId="21" fillId="16" borderId="5" xfId="0" applyFont="1" applyFill="1" applyBorder="1"/>
    <xf numFmtId="0" fontId="21" fillId="16" borderId="23" xfId="0" applyFont="1" applyFill="1" applyBorder="1"/>
    <xf numFmtId="0" fontId="10" fillId="16" borderId="6" xfId="0" applyFont="1" applyFill="1" applyBorder="1" applyAlignment="1" applyProtection="1">
      <alignment horizontal="left"/>
      <protection hidden="1"/>
    </xf>
    <xf numFmtId="0" fontId="40" fillId="16" borderId="0" xfId="0" applyFont="1" applyFill="1" applyAlignment="1" applyProtection="1">
      <alignment horizontal="left"/>
      <protection hidden="1"/>
    </xf>
    <xf numFmtId="164" fontId="8" fillId="2" borderId="0" xfId="0" applyNumberFormat="1" applyFont="1" applyFill="1" applyAlignment="1" applyProtection="1">
      <alignment horizontal="right"/>
      <protection hidden="1"/>
    </xf>
    <xf numFmtId="0" fontId="199" fillId="3" borderId="0" xfId="0" applyFont="1" applyFill="1" applyAlignment="1" applyProtection="1">
      <alignment horizontal="left" vertical="center"/>
      <protection hidden="1"/>
    </xf>
    <xf numFmtId="0" fontId="193" fillId="16" borderId="21" xfId="0" applyFont="1" applyFill="1" applyBorder="1" applyAlignment="1" applyProtection="1">
      <alignment horizontal="center" vertical="center"/>
      <protection hidden="1"/>
    </xf>
    <xf numFmtId="0" fontId="12" fillId="16" borderId="31" xfId="0" applyFont="1" applyFill="1" applyBorder="1" applyAlignment="1">
      <alignment horizontal="left" indent="1"/>
    </xf>
    <xf numFmtId="0" fontId="7" fillId="16" borderId="9" xfId="0" applyFont="1" applyFill="1" applyBorder="1"/>
    <xf numFmtId="0" fontId="0" fillId="16" borderId="1" xfId="0" applyFill="1" applyBorder="1" applyAlignment="1">
      <alignment vertical="top"/>
    </xf>
    <xf numFmtId="0" fontId="5" fillId="16" borderId="3" xfId="0" applyFont="1" applyFill="1" applyBorder="1" applyAlignment="1">
      <alignment horizontal="left" indent="1"/>
    </xf>
    <xf numFmtId="195" fontId="0" fillId="16" borderId="0" xfId="0" applyNumberFormat="1" applyFill="1" applyAlignment="1" applyProtection="1">
      <alignment horizontal="center"/>
      <protection hidden="1"/>
    </xf>
    <xf numFmtId="0" fontId="27" fillId="16" borderId="0" xfId="0" applyFont="1" applyFill="1" applyAlignment="1">
      <alignment horizontal="right"/>
    </xf>
    <xf numFmtId="0" fontId="145" fillId="16" borderId="0" xfId="0" quotePrefix="1" applyFont="1" applyFill="1" applyAlignment="1">
      <alignment horizontal="right"/>
    </xf>
    <xf numFmtId="0" fontId="5" fillId="16" borderId="0" xfId="0" applyFont="1" applyFill="1" applyAlignment="1">
      <alignment vertical="top" wrapText="1"/>
    </xf>
    <xf numFmtId="0" fontId="5" fillId="16" borderId="21" xfId="0" applyFont="1" applyFill="1" applyBorder="1" applyAlignment="1">
      <alignment vertical="top" wrapText="1"/>
    </xf>
    <xf numFmtId="0" fontId="5" fillId="16" borderId="6" xfId="0" applyFont="1" applyFill="1" applyBorder="1" applyAlignment="1">
      <alignment vertical="top"/>
    </xf>
    <xf numFmtId="0" fontId="3" fillId="16" borderId="22" xfId="0" quotePrefix="1" applyFont="1" applyFill="1" applyBorder="1" applyAlignment="1" applyProtection="1">
      <alignment horizontal="right"/>
      <protection hidden="1"/>
    </xf>
    <xf numFmtId="0" fontId="5" fillId="16" borderId="6" xfId="0" applyFont="1" applyFill="1" applyBorder="1" applyAlignment="1">
      <alignment horizontal="left" indent="1"/>
    </xf>
    <xf numFmtId="0" fontId="12" fillId="16" borderId="6" xfId="0" applyFont="1" applyFill="1" applyBorder="1" applyAlignment="1">
      <alignment horizontal="left" indent="1"/>
    </xf>
    <xf numFmtId="0" fontId="63" fillId="16" borderId="22" xfId="0" applyFont="1" applyFill="1" applyBorder="1" applyAlignment="1">
      <alignment horizontal="left" indent="1"/>
    </xf>
    <xf numFmtId="0" fontId="7" fillId="16" borderId="5" xfId="0" applyFont="1" applyFill="1" applyBorder="1"/>
    <xf numFmtId="0" fontId="0" fillId="0" borderId="0" xfId="0" applyAlignment="1">
      <alignment horizontal="right" vertical="top"/>
    </xf>
    <xf numFmtId="0" fontId="5" fillId="0" borderId="0" xfId="0" quotePrefix="1" applyFont="1" applyAlignment="1" applyProtection="1">
      <alignment horizontal="right"/>
      <protection hidden="1"/>
    </xf>
    <xf numFmtId="0" fontId="0" fillId="0" borderId="0" xfId="0" applyAlignment="1">
      <alignment horizontal="right" vertical="center"/>
    </xf>
    <xf numFmtId="181" fontId="0" fillId="0" borderId="0" xfId="0" applyNumberFormat="1" applyProtection="1">
      <protection hidden="1"/>
    </xf>
    <xf numFmtId="37" fontId="0" fillId="2" borderId="2" xfId="0" applyNumberFormat="1" applyFill="1" applyBorder="1" applyProtection="1">
      <protection locked="0"/>
    </xf>
    <xf numFmtId="0" fontId="0" fillId="0" borderId="101" xfId="0" applyBorder="1"/>
    <xf numFmtId="3" fontId="21" fillId="16" borderId="101" xfId="0" applyNumberFormat="1" applyFont="1" applyFill="1" applyBorder="1" applyAlignment="1" applyProtection="1">
      <alignment horizontal="right"/>
      <protection hidden="1"/>
    </xf>
    <xf numFmtId="3" fontId="21" fillId="16" borderId="73" xfId="0" applyNumberFormat="1" applyFont="1" applyFill="1" applyBorder="1" applyAlignment="1" applyProtection="1">
      <alignment horizontal="right"/>
      <protection hidden="1"/>
    </xf>
    <xf numFmtId="0" fontId="21" fillId="16" borderId="14" xfId="0" applyFont="1" applyFill="1" applyBorder="1" applyAlignment="1" applyProtection="1">
      <alignment horizontal="right"/>
      <protection hidden="1"/>
    </xf>
    <xf numFmtId="0" fontId="21" fillId="16" borderId="76" xfId="0" applyFont="1" applyFill="1" applyBorder="1" applyAlignment="1" applyProtection="1">
      <alignment horizontal="right"/>
      <protection hidden="1"/>
    </xf>
    <xf numFmtId="3" fontId="21" fillId="16" borderId="170" xfId="0" applyNumberFormat="1" applyFont="1" applyFill="1" applyBorder="1" applyAlignment="1" applyProtection="1">
      <alignment horizontal="right"/>
      <protection hidden="1"/>
    </xf>
    <xf numFmtId="3" fontId="21" fillId="16" borderId="169" xfId="0" applyNumberFormat="1" applyFont="1" applyFill="1" applyBorder="1" applyAlignment="1" applyProtection="1">
      <alignment horizontal="right"/>
      <protection hidden="1"/>
    </xf>
    <xf numFmtId="3" fontId="21" fillId="16" borderId="2" xfId="0" applyNumberFormat="1" applyFont="1" applyFill="1" applyBorder="1" applyAlignment="1" applyProtection="1">
      <alignment horizontal="right"/>
      <protection hidden="1"/>
    </xf>
    <xf numFmtId="3" fontId="21" fillId="16" borderId="171" xfId="0" applyNumberFormat="1" applyFont="1" applyFill="1" applyBorder="1" applyAlignment="1" applyProtection="1">
      <alignment horizontal="right"/>
      <protection hidden="1"/>
    </xf>
    <xf numFmtId="0" fontId="5" fillId="16" borderId="14" xfId="0" applyFont="1" applyFill="1" applyBorder="1" applyAlignment="1" applyProtection="1">
      <alignment horizontal="right"/>
      <protection hidden="1"/>
    </xf>
    <xf numFmtId="3" fontId="21" fillId="16" borderId="172" xfId="0" applyNumberFormat="1" applyFont="1" applyFill="1" applyBorder="1" applyAlignment="1" applyProtection="1">
      <alignment horizontal="right"/>
      <protection hidden="1"/>
    </xf>
    <xf numFmtId="3" fontId="21" fillId="16" borderId="173" xfId="0" applyNumberFormat="1" applyFont="1" applyFill="1" applyBorder="1" applyAlignment="1" applyProtection="1">
      <alignment horizontal="right"/>
      <protection hidden="1"/>
    </xf>
    <xf numFmtId="0" fontId="6" fillId="16" borderId="0" xfId="0" applyFont="1" applyFill="1" applyAlignment="1" applyProtection="1">
      <alignment horizontal="center" wrapText="1"/>
      <protection hidden="1"/>
    </xf>
    <xf numFmtId="0" fontId="6" fillId="2" borderId="6" xfId="0" applyFont="1" applyFill="1" applyBorder="1" applyAlignment="1" applyProtection="1">
      <alignment horizontal="right" vertical="center"/>
      <protection hidden="1"/>
    </xf>
    <xf numFmtId="0" fontId="53" fillId="16" borderId="0" xfId="0" applyFont="1" applyFill="1" applyAlignment="1" applyProtection="1">
      <alignment vertical="center"/>
      <protection hidden="1"/>
    </xf>
    <xf numFmtId="0" fontId="0" fillId="2" borderId="21" xfId="0" applyFill="1" applyBorder="1" applyAlignment="1" applyProtection="1">
      <alignment vertical="center"/>
      <protection hidden="1"/>
    </xf>
    <xf numFmtId="0" fontId="0" fillId="16" borderId="0" xfId="0" applyFill="1" applyAlignment="1" applyProtection="1">
      <alignment vertical="top" wrapText="1"/>
      <protection hidden="1"/>
    </xf>
    <xf numFmtId="0" fontId="5" fillId="16" borderId="0" xfId="0" applyFont="1" applyFill="1" applyAlignment="1" applyProtection="1">
      <alignment vertical="top" wrapText="1"/>
      <protection hidden="1"/>
    </xf>
    <xf numFmtId="0" fontId="0" fillId="16" borderId="5" xfId="0" applyFill="1" applyBorder="1" applyAlignment="1" applyProtection="1">
      <alignment vertical="top"/>
      <protection hidden="1"/>
    </xf>
    <xf numFmtId="0" fontId="23" fillId="2" borderId="5" xfId="0" applyFont="1" applyFill="1" applyBorder="1" applyAlignment="1" applyProtection="1">
      <alignment horizontal="left"/>
      <protection hidden="1"/>
    </xf>
    <xf numFmtId="37" fontId="129" fillId="2" borderId="0" xfId="0" applyNumberFormat="1" applyFont="1" applyFill="1" applyAlignment="1" applyProtection="1">
      <alignment vertical="top" wrapText="1"/>
      <protection hidden="1"/>
    </xf>
    <xf numFmtId="0" fontId="7" fillId="16" borderId="0" xfId="0" applyFont="1" applyFill="1" applyAlignment="1" applyProtection="1">
      <alignment vertical="top"/>
      <protection hidden="1"/>
    </xf>
    <xf numFmtId="37" fontId="5" fillId="0" borderId="0" xfId="0" applyNumberFormat="1" applyFont="1" applyAlignment="1">
      <alignment horizontal="center"/>
    </xf>
    <xf numFmtId="0" fontId="3" fillId="0" borderId="21" xfId="0" applyFont="1" applyBorder="1" applyAlignment="1" applyProtection="1">
      <alignment horizontal="right"/>
      <protection hidden="1"/>
    </xf>
    <xf numFmtId="0" fontId="192" fillId="2" borderId="1" xfId="0" applyFont="1" applyFill="1" applyBorder="1" applyAlignment="1" applyProtection="1">
      <alignment horizontal="center"/>
      <protection hidden="1"/>
    </xf>
    <xf numFmtId="0" fontId="5" fillId="2" borderId="0" xfId="0" applyFont="1" applyFill="1" applyAlignment="1" applyProtection="1">
      <alignment horizontal="left" vertical="center"/>
      <protection hidden="1"/>
    </xf>
    <xf numFmtId="176" fontId="3" fillId="26" borderId="1" xfId="0" applyNumberFormat="1" applyFont="1" applyFill="1" applyBorder="1" applyAlignment="1" applyProtection="1">
      <alignment horizontal="center"/>
      <protection hidden="1"/>
    </xf>
    <xf numFmtId="0" fontId="145" fillId="2" borderId="1" xfId="0" applyFont="1" applyFill="1" applyBorder="1" applyAlignment="1" applyProtection="1">
      <alignment horizontal="center"/>
      <protection hidden="1"/>
    </xf>
    <xf numFmtId="0" fontId="4" fillId="2" borderId="0" xfId="0" applyFont="1" applyFill="1" applyAlignment="1" applyProtection="1">
      <alignment horizontal="left" indent="3"/>
      <protection hidden="1"/>
    </xf>
    <xf numFmtId="0" fontId="4" fillId="2" borderId="0" xfId="0" applyFont="1" applyFill="1" applyAlignment="1" applyProtection="1">
      <alignment horizontal="right"/>
      <protection hidden="1"/>
    </xf>
    <xf numFmtId="0" fontId="4" fillId="2" borderId="0" xfId="0" applyFont="1" applyFill="1" applyAlignment="1" applyProtection="1">
      <alignment horizontal="right" indent="4"/>
      <protection hidden="1"/>
    </xf>
    <xf numFmtId="37" fontId="21" fillId="28" borderId="1" xfId="0" applyNumberFormat="1" applyFont="1" applyFill="1" applyBorder="1" applyAlignment="1" applyProtection="1">
      <alignment horizontal="right"/>
      <protection hidden="1"/>
    </xf>
    <xf numFmtId="0" fontId="199" fillId="2" borderId="0" xfId="0" applyFont="1" applyFill="1" applyProtection="1">
      <protection hidden="1"/>
    </xf>
    <xf numFmtId="0" fontId="192" fillId="2" borderId="0" xfId="0" applyFont="1" applyFill="1" applyAlignment="1" applyProtection="1">
      <alignment vertical="top"/>
      <protection hidden="1"/>
    </xf>
    <xf numFmtId="0" fontId="5" fillId="0" borderId="24" xfId="0" quotePrefix="1" applyFont="1" applyBorder="1" applyAlignment="1" applyProtection="1">
      <alignment horizontal="center"/>
      <protection hidden="1"/>
    </xf>
    <xf numFmtId="0" fontId="5" fillId="0" borderId="6" xfId="0" quotePrefix="1" applyFont="1" applyBorder="1" applyAlignment="1" applyProtection="1">
      <alignment horizontal="left" indent="1"/>
      <protection hidden="1"/>
    </xf>
    <xf numFmtId="0" fontId="5" fillId="0" borderId="6" xfId="0" quotePrefix="1" applyFont="1" applyBorder="1" applyAlignment="1" applyProtection="1">
      <alignment horizontal="center"/>
      <protection hidden="1"/>
    </xf>
    <xf numFmtId="0" fontId="3" fillId="0" borderId="6" xfId="0" quotePrefix="1" applyFont="1" applyBorder="1" applyAlignment="1" applyProtection="1">
      <alignment horizontal="right"/>
      <protection hidden="1"/>
    </xf>
    <xf numFmtId="0" fontId="3" fillId="0" borderId="22" xfId="0" quotePrefix="1" applyFont="1" applyBorder="1" applyAlignment="1" applyProtection="1">
      <alignment horizontal="right"/>
      <protection hidden="1"/>
    </xf>
    <xf numFmtId="0" fontId="147" fillId="5" borderId="0" xfId="0" applyFont="1" applyFill="1" applyAlignment="1" applyProtection="1">
      <alignment horizontal="center" vertical="center"/>
      <protection hidden="1"/>
    </xf>
    <xf numFmtId="37" fontId="129" fillId="0" borderId="0" xfId="0" applyNumberFormat="1" applyFont="1" applyProtection="1">
      <protection hidden="1"/>
    </xf>
    <xf numFmtId="0" fontId="129" fillId="0" borderId="0" xfId="0" applyFont="1" applyAlignment="1" applyProtection="1">
      <alignment horizontal="left"/>
      <protection hidden="1"/>
    </xf>
    <xf numFmtId="164" fontId="12" fillId="4" borderId="0" xfId="0" applyNumberFormat="1" applyFont="1" applyFill="1" applyAlignment="1" applyProtection="1">
      <alignment vertical="center"/>
      <protection locked="0" hidden="1"/>
    </xf>
    <xf numFmtId="0" fontId="243" fillId="2" borderId="0" xfId="0" applyFont="1" applyFill="1" applyAlignment="1" applyProtection="1">
      <alignment vertical="center"/>
      <protection hidden="1"/>
    </xf>
    <xf numFmtId="0" fontId="5" fillId="16" borderId="6" xfId="0" applyFont="1" applyFill="1" applyBorder="1" applyAlignment="1" applyProtection="1">
      <alignment vertical="center" wrapText="1"/>
      <protection hidden="1"/>
    </xf>
    <xf numFmtId="0" fontId="5" fillId="16" borderId="22" xfId="0" applyFont="1" applyFill="1" applyBorder="1" applyAlignment="1" applyProtection="1">
      <alignment vertical="center" wrapText="1"/>
      <protection hidden="1"/>
    </xf>
    <xf numFmtId="0" fontId="168" fillId="3" borderId="0" xfId="0" applyFont="1" applyFill="1" applyAlignment="1" applyProtection="1">
      <alignment horizontal="center"/>
      <protection hidden="1"/>
    </xf>
    <xf numFmtId="0" fontId="199" fillId="2" borderId="0" xfId="0" applyFont="1" applyFill="1"/>
    <xf numFmtId="4" fontId="25" fillId="3" borderId="0" xfId="0" applyNumberFormat="1" applyFont="1" applyFill="1" applyProtection="1">
      <protection hidden="1"/>
    </xf>
    <xf numFmtId="4" fontId="129" fillId="3" borderId="0" xfId="0" applyNumberFormat="1" applyFont="1" applyFill="1" applyProtection="1">
      <protection hidden="1"/>
    </xf>
    <xf numFmtId="0" fontId="3" fillId="3" borderId="0" xfId="0" applyFont="1" applyFill="1" applyAlignment="1" applyProtection="1">
      <alignment horizontal="right" vertical="center"/>
      <protection hidden="1"/>
    </xf>
    <xf numFmtId="3" fontId="129" fillId="3" borderId="0" xfId="0" applyNumberFormat="1" applyFont="1" applyFill="1" applyProtection="1">
      <protection locked="0"/>
    </xf>
    <xf numFmtId="3" fontId="141" fillId="3" borderId="0" xfId="0" applyNumberFormat="1" applyFont="1" applyFill="1" applyAlignment="1" applyProtection="1">
      <alignment horizontal="center"/>
      <protection hidden="1"/>
    </xf>
    <xf numFmtId="3" fontId="5" fillId="3" borderId="0" xfId="0" applyNumberFormat="1" applyFont="1" applyFill="1" applyProtection="1">
      <protection hidden="1"/>
    </xf>
    <xf numFmtId="0" fontId="0" fillId="3" borderId="28" xfId="0" applyFill="1" applyBorder="1" applyAlignment="1" applyProtection="1">
      <alignment vertical="center"/>
      <protection hidden="1"/>
    </xf>
    <xf numFmtId="0" fontId="165" fillId="3" borderId="1" xfId="0" applyFont="1" applyFill="1" applyBorder="1" applyProtection="1">
      <protection hidden="1"/>
    </xf>
    <xf numFmtId="0" fontId="94" fillId="3" borderId="1" xfId="0" applyFont="1" applyFill="1" applyBorder="1" applyProtection="1">
      <protection hidden="1"/>
    </xf>
    <xf numFmtId="0" fontId="10" fillId="3" borderId="10" xfId="0" applyFont="1" applyFill="1" applyBorder="1" applyAlignment="1" applyProtection="1">
      <alignment vertical="top"/>
      <protection hidden="1"/>
    </xf>
    <xf numFmtId="0" fontId="10" fillId="3" borderId="1" xfId="0" applyFont="1" applyFill="1" applyBorder="1" applyAlignment="1" applyProtection="1">
      <alignment horizontal="left" vertical="top"/>
      <protection hidden="1"/>
    </xf>
    <xf numFmtId="0" fontId="3" fillId="27" borderId="13" xfId="0" applyFont="1" applyFill="1" applyBorder="1" applyAlignment="1" applyProtection="1">
      <alignment horizontal="center" vertical="center"/>
      <protection hidden="1"/>
    </xf>
    <xf numFmtId="0" fontId="5" fillId="3" borderId="1" xfId="0" applyFont="1" applyFill="1" applyBorder="1" applyAlignment="1" applyProtection="1">
      <alignment horizontal="right" vertical="top" indent="2"/>
      <protection hidden="1"/>
    </xf>
    <xf numFmtId="39" fontId="0" fillId="0" borderId="0" xfId="0" applyNumberFormat="1" applyProtection="1">
      <protection locked="0"/>
    </xf>
    <xf numFmtId="14" fontId="0" fillId="0" borderId="0" xfId="0" applyNumberFormat="1" applyProtection="1">
      <protection locked="0"/>
    </xf>
    <xf numFmtId="14" fontId="5" fillId="25" borderId="0" xfId="0" applyNumberFormat="1" applyFont="1" applyFill="1" applyAlignment="1" applyProtection="1">
      <alignment vertical="top"/>
      <protection locked="0"/>
    </xf>
    <xf numFmtId="0" fontId="25" fillId="16" borderId="0" xfId="0" applyFont="1" applyFill="1" applyProtection="1">
      <protection hidden="1"/>
    </xf>
    <xf numFmtId="0" fontId="3" fillId="16" borderId="0" xfId="0" applyFont="1" applyFill="1" applyAlignment="1">
      <alignment horizontal="center"/>
    </xf>
    <xf numFmtId="0" fontId="0" fillId="20" borderId="5" xfId="0" applyFill="1" applyBorder="1"/>
    <xf numFmtId="14" fontId="0" fillId="25" borderId="0" xfId="0" applyNumberFormat="1" applyFill="1" applyAlignment="1" applyProtection="1">
      <alignment horizontal="center"/>
      <protection locked="0"/>
    </xf>
    <xf numFmtId="0" fontId="3" fillId="2" borderId="46" xfId="0" applyFont="1" applyFill="1" applyBorder="1" applyAlignment="1" applyProtection="1">
      <alignment horizontal="right"/>
      <protection hidden="1"/>
    </xf>
    <xf numFmtId="171" fontId="6" fillId="2" borderId="46" xfId="0" applyNumberFormat="1" applyFont="1" applyFill="1" applyBorder="1" applyAlignment="1" applyProtection="1">
      <alignment horizontal="center"/>
      <protection hidden="1"/>
    </xf>
    <xf numFmtId="1" fontId="5" fillId="16" borderId="0" xfId="0" applyNumberFormat="1" applyFont="1" applyFill="1" applyProtection="1">
      <protection locked="0"/>
    </xf>
    <xf numFmtId="4" fontId="5" fillId="16" borderId="10" xfId="0" applyNumberFormat="1" applyFont="1" applyFill="1" applyBorder="1" applyAlignment="1" applyProtection="1">
      <alignment horizontal="left" indent="1"/>
      <protection hidden="1"/>
    </xf>
    <xf numFmtId="4" fontId="5" fillId="16" borderId="31" xfId="0" applyNumberFormat="1" applyFont="1" applyFill="1" applyBorder="1" applyAlignment="1" applyProtection="1">
      <alignment horizontal="left" indent="1"/>
      <protection hidden="1"/>
    </xf>
    <xf numFmtId="1" fontId="18" fillId="17" borderId="2" xfId="0" applyNumberFormat="1" applyFont="1" applyFill="1" applyBorder="1" applyAlignment="1" applyProtection="1">
      <alignment horizontal="center"/>
      <protection locked="0"/>
    </xf>
    <xf numFmtId="3" fontId="13" fillId="17" borderId="1" xfId="0" applyNumberFormat="1" applyFont="1" applyFill="1" applyBorder="1" applyProtection="1">
      <protection locked="0"/>
    </xf>
    <xf numFmtId="3" fontId="13" fillId="28" borderId="1" xfId="0" applyNumberFormat="1" applyFont="1" applyFill="1" applyBorder="1" applyProtection="1">
      <protection hidden="1"/>
    </xf>
    <xf numFmtId="0" fontId="129" fillId="16" borderId="20" xfId="0" applyFont="1" applyFill="1" applyBorder="1" applyProtection="1">
      <protection hidden="1"/>
    </xf>
    <xf numFmtId="0" fontId="129" fillId="16" borderId="21" xfId="0" applyFont="1" applyFill="1" applyBorder="1" applyProtection="1">
      <protection hidden="1"/>
    </xf>
    <xf numFmtId="0" fontId="3" fillId="25" borderId="24" xfId="0" quotePrefix="1" applyFont="1" applyFill="1" applyBorder="1" applyAlignment="1" applyProtection="1">
      <alignment horizontal="right"/>
      <protection hidden="1"/>
    </xf>
    <xf numFmtId="0" fontId="5" fillId="25" borderId="8" xfId="0" applyFont="1" applyFill="1" applyBorder="1" applyProtection="1">
      <protection hidden="1"/>
    </xf>
    <xf numFmtId="0" fontId="10" fillId="25" borderId="8" xfId="0" applyFont="1" applyFill="1" applyBorder="1" applyAlignment="1" applyProtection="1">
      <alignment horizontal="left" vertical="top" wrapText="1"/>
      <protection hidden="1"/>
    </xf>
    <xf numFmtId="0" fontId="13" fillId="25" borderId="8" xfId="0" applyFont="1" applyFill="1" applyBorder="1" applyAlignment="1" applyProtection="1">
      <alignment horizontal="center" wrapText="1"/>
      <protection hidden="1"/>
    </xf>
    <xf numFmtId="0" fontId="10" fillId="25" borderId="8" xfId="0" applyFont="1" applyFill="1" applyBorder="1" applyAlignment="1" applyProtection="1">
      <alignment horizontal="right" vertical="top" wrapText="1"/>
      <protection hidden="1"/>
    </xf>
    <xf numFmtId="0" fontId="3" fillId="25" borderId="0" xfId="0" quotePrefix="1" applyFont="1" applyFill="1" applyAlignment="1" applyProtection="1">
      <alignment horizontal="right"/>
      <protection hidden="1"/>
    </xf>
    <xf numFmtId="0" fontId="10" fillId="25" borderId="0" xfId="0" applyFont="1" applyFill="1" applyAlignment="1" applyProtection="1">
      <alignment horizontal="left" vertical="top" wrapText="1"/>
      <protection hidden="1"/>
    </xf>
    <xf numFmtId="0" fontId="3" fillId="25" borderId="22" xfId="0" applyFont="1" applyFill="1" applyBorder="1" applyAlignment="1" applyProtection="1">
      <alignment horizontal="left"/>
      <protection hidden="1"/>
    </xf>
    <xf numFmtId="0" fontId="10" fillId="25" borderId="8" xfId="0" applyFont="1" applyFill="1" applyBorder="1" applyAlignment="1" applyProtection="1">
      <alignment horizontal="center" vertical="top" wrapText="1"/>
      <protection hidden="1"/>
    </xf>
    <xf numFmtId="0" fontId="13" fillId="25" borderId="28" xfId="0" applyFont="1" applyFill="1" applyBorder="1" applyAlignment="1" applyProtection="1">
      <alignment horizontal="center" wrapText="1"/>
      <protection hidden="1"/>
    </xf>
    <xf numFmtId="3" fontId="5" fillId="0" borderId="0" xfId="0" applyNumberFormat="1" applyFont="1"/>
    <xf numFmtId="0" fontId="13" fillId="16" borderId="6" xfId="0" applyFont="1" applyFill="1" applyBorder="1" applyAlignment="1" applyProtection="1">
      <alignment horizontal="left" indent="1"/>
      <protection hidden="1"/>
    </xf>
    <xf numFmtId="0" fontId="0" fillId="16" borderId="0" xfId="0" applyFill="1" applyAlignment="1" applyProtection="1">
      <alignment wrapText="1"/>
      <protection hidden="1"/>
    </xf>
    <xf numFmtId="0" fontId="5" fillId="16" borderId="0" xfId="0" quotePrefix="1" applyFont="1" applyFill="1" applyProtection="1">
      <protection hidden="1"/>
    </xf>
    <xf numFmtId="0" fontId="125" fillId="2" borderId="0" xfId="0" applyFont="1" applyFill="1" applyAlignment="1" applyProtection="1">
      <alignment horizontal="left" vertical="top"/>
      <protection hidden="1"/>
    </xf>
    <xf numFmtId="0" fontId="10" fillId="16" borderId="8" xfId="0" applyFont="1" applyFill="1" applyBorder="1" applyAlignment="1" applyProtection="1">
      <alignment vertical="top"/>
      <protection hidden="1"/>
    </xf>
    <xf numFmtId="0" fontId="19" fillId="16" borderId="21" xfId="0" applyFont="1" applyFill="1" applyBorder="1" applyAlignment="1" applyProtection="1">
      <alignment horizontal="center" wrapText="1"/>
      <protection hidden="1"/>
    </xf>
    <xf numFmtId="0" fontId="87" fillId="2" borderId="6" xfId="0" applyFont="1" applyFill="1" applyBorder="1" applyAlignment="1" applyProtection="1">
      <alignment horizontal="left"/>
      <protection hidden="1"/>
    </xf>
    <xf numFmtId="0" fontId="87" fillId="2" borderId="22" xfId="0" applyFont="1" applyFill="1" applyBorder="1" applyAlignment="1" applyProtection="1">
      <alignment horizontal="left"/>
      <protection hidden="1"/>
    </xf>
    <xf numFmtId="0" fontId="87" fillId="2" borderId="5" xfId="0" applyFont="1" applyFill="1" applyBorder="1" applyAlignment="1" applyProtection="1">
      <alignment horizontal="left"/>
      <protection hidden="1"/>
    </xf>
    <xf numFmtId="0" fontId="240" fillId="2" borderId="0" xfId="0" applyFont="1" applyFill="1" applyAlignment="1" applyProtection="1">
      <alignment horizontal="center"/>
      <protection hidden="1"/>
    </xf>
    <xf numFmtId="0" fontId="3" fillId="16" borderId="6" xfId="0" applyFont="1" applyFill="1" applyBorder="1" applyAlignment="1" applyProtection="1">
      <alignment horizontal="center" vertical="center"/>
      <protection locked="0"/>
    </xf>
    <xf numFmtId="0" fontId="5" fillId="0" borderId="21" xfId="0" applyFont="1" applyBorder="1" applyProtection="1">
      <protection hidden="1"/>
    </xf>
    <xf numFmtId="0" fontId="0" fillId="0" borderId="13" xfId="0" applyBorder="1" applyProtection="1">
      <protection hidden="1"/>
    </xf>
    <xf numFmtId="182" fontId="18" fillId="25" borderId="0" xfId="0" applyNumberFormat="1" applyFont="1" applyFill="1" applyProtection="1">
      <protection locked="0"/>
    </xf>
    <xf numFmtId="182" fontId="5" fillId="25" borderId="0" xfId="0" applyNumberFormat="1" applyFont="1" applyFill="1" applyProtection="1">
      <protection locked="0"/>
    </xf>
    <xf numFmtId="182" fontId="0" fillId="25" borderId="0" xfId="0" applyNumberFormat="1" applyFill="1" applyProtection="1">
      <protection locked="0"/>
    </xf>
    <xf numFmtId="182" fontId="109" fillId="25" borderId="0" xfId="0" applyNumberFormat="1" applyFont="1" applyFill="1" applyProtection="1">
      <protection locked="0"/>
    </xf>
    <xf numFmtId="164" fontId="8" fillId="3" borderId="0" xfId="0" applyNumberFormat="1" applyFont="1" applyFill="1" applyAlignment="1" applyProtection="1">
      <alignment horizontal="right"/>
      <protection hidden="1"/>
    </xf>
    <xf numFmtId="0" fontId="192" fillId="2" borderId="0" xfId="0" applyFont="1" applyFill="1" applyProtection="1">
      <protection hidden="1"/>
    </xf>
    <xf numFmtId="164" fontId="3" fillId="2" borderId="0" xfId="0" applyNumberFormat="1" applyFont="1" applyFill="1" applyProtection="1">
      <protection hidden="1"/>
    </xf>
    <xf numFmtId="0" fontId="199" fillId="2" borderId="8" xfId="0" applyFont="1" applyFill="1" applyBorder="1" applyProtection="1">
      <protection hidden="1"/>
    </xf>
    <xf numFmtId="0" fontId="12" fillId="30" borderId="108" xfId="0" applyFont="1" applyFill="1" applyBorder="1" applyProtection="1">
      <protection hidden="1"/>
    </xf>
    <xf numFmtId="0" fontId="8" fillId="25" borderId="0" xfId="0" quotePrefix="1" applyFont="1" applyFill="1" applyAlignment="1" applyProtection="1">
      <alignment horizontal="center"/>
      <protection hidden="1"/>
    </xf>
    <xf numFmtId="0" fontId="3" fillId="0" borderId="166" xfId="0" applyFont="1" applyBorder="1"/>
    <xf numFmtId="0" fontId="0" fillId="0" borderId="107" xfId="0" applyBorder="1"/>
    <xf numFmtId="0" fontId="3" fillId="0" borderId="167" xfId="0" quotePrefix="1" applyFont="1" applyBorder="1" applyAlignment="1">
      <alignment horizontal="right"/>
    </xf>
    <xf numFmtId="0" fontId="0" fillId="0" borderId="175" xfId="0" applyBorder="1"/>
    <xf numFmtId="0" fontId="5" fillId="0" borderId="167" xfId="0" quotePrefix="1" applyFont="1" applyBorder="1" applyAlignment="1">
      <alignment horizontal="left" indent="2"/>
    </xf>
    <xf numFmtId="0" fontId="0" fillId="0" borderId="167" xfId="0" quotePrefix="1" applyBorder="1"/>
    <xf numFmtId="0" fontId="5" fillId="0" borderId="167" xfId="0" quotePrefix="1" applyFont="1" applyBorder="1" applyAlignment="1">
      <alignment horizontal="right" indent="2"/>
    </xf>
    <xf numFmtId="2" fontId="0" fillId="0" borderId="175" xfId="0" applyNumberFormat="1" applyBorder="1" applyAlignment="1">
      <alignment horizontal="center"/>
    </xf>
    <xf numFmtId="0" fontId="5" fillId="0" borderId="167" xfId="0" quotePrefix="1" applyFont="1" applyBorder="1"/>
    <xf numFmtId="0" fontId="10" fillId="0" borderId="167" xfId="0" applyFont="1" applyBorder="1" applyAlignment="1" applyProtection="1">
      <alignment horizontal="center"/>
      <protection hidden="1"/>
    </xf>
    <xf numFmtId="0" fontId="0" fillId="0" borderId="175" xfId="0" applyBorder="1" applyAlignment="1">
      <alignment horizontal="center"/>
    </xf>
    <xf numFmtId="3" fontId="21" fillId="16" borderId="176" xfId="0" applyNumberFormat="1" applyFont="1" applyFill="1" applyBorder="1" applyAlignment="1" applyProtection="1">
      <alignment horizontal="right"/>
      <protection hidden="1"/>
    </xf>
    <xf numFmtId="3" fontId="21" fillId="16" borderId="177" xfId="0" applyNumberFormat="1" applyFont="1" applyFill="1" applyBorder="1" applyAlignment="1" applyProtection="1">
      <alignment horizontal="right"/>
      <protection hidden="1"/>
    </xf>
    <xf numFmtId="0" fontId="0" fillId="0" borderId="167" xfId="0" applyBorder="1"/>
    <xf numFmtId="3" fontId="21" fillId="16" borderId="178" xfId="0" applyNumberFormat="1" applyFont="1" applyFill="1" applyBorder="1" applyAlignment="1" applyProtection="1">
      <alignment horizontal="right"/>
      <protection hidden="1"/>
    </xf>
    <xf numFmtId="3" fontId="21" fillId="16" borderId="167" xfId="0" applyNumberFormat="1" applyFont="1" applyFill="1" applyBorder="1" applyAlignment="1" applyProtection="1">
      <alignment horizontal="right"/>
      <protection hidden="1"/>
    </xf>
    <xf numFmtId="0" fontId="21" fillId="16" borderId="175" xfId="0" applyFont="1" applyFill="1" applyBorder="1" applyAlignment="1" applyProtection="1">
      <alignment horizontal="right"/>
      <protection hidden="1"/>
    </xf>
    <xf numFmtId="3" fontId="21" fillId="16" borderId="179" xfId="0" applyNumberFormat="1" applyFont="1" applyFill="1" applyBorder="1" applyAlignment="1" applyProtection="1">
      <alignment horizontal="right"/>
      <protection hidden="1"/>
    </xf>
    <xf numFmtId="3" fontId="21" fillId="16" borderId="180" xfId="0" applyNumberFormat="1" applyFont="1" applyFill="1" applyBorder="1" applyAlignment="1" applyProtection="1">
      <alignment horizontal="right"/>
      <protection hidden="1"/>
    </xf>
    <xf numFmtId="0" fontId="3" fillId="0" borderId="168" xfId="0" quotePrefix="1" applyFont="1" applyBorder="1" applyAlignment="1">
      <alignment horizontal="right"/>
    </xf>
    <xf numFmtId="0" fontId="5" fillId="0" borderId="88" xfId="0" applyFont="1" applyBorder="1"/>
    <xf numFmtId="0" fontId="0" fillId="0" borderId="88" xfId="0" applyBorder="1"/>
    <xf numFmtId="37" fontId="7" fillId="27" borderId="88" xfId="0" applyNumberFormat="1" applyFont="1" applyFill="1" applyBorder="1" applyAlignment="1" applyProtection="1">
      <alignment horizontal="right"/>
      <protection hidden="1"/>
    </xf>
    <xf numFmtId="0" fontId="0" fillId="0" borderId="181" xfId="0" applyBorder="1"/>
    <xf numFmtId="0" fontId="5" fillId="0" borderId="174" xfId="0" applyFont="1" applyBorder="1"/>
    <xf numFmtId="0" fontId="10" fillId="2" borderId="0" xfId="0" applyFont="1" applyFill="1" applyAlignment="1" applyProtection="1">
      <alignment vertical="top" wrapText="1"/>
      <protection hidden="1"/>
    </xf>
    <xf numFmtId="0" fontId="145" fillId="32" borderId="0" xfId="0" applyFont="1" applyFill="1" applyAlignment="1" applyProtection="1">
      <alignment horizontal="center"/>
      <protection hidden="1"/>
    </xf>
    <xf numFmtId="0" fontId="75" fillId="2" borderId="9" xfId="2" applyFill="1" applyBorder="1" applyAlignment="1" applyProtection="1">
      <protection hidden="1"/>
    </xf>
    <xf numFmtId="0" fontId="168" fillId="5" borderId="0" xfId="0" applyFont="1" applyFill="1" applyAlignment="1" applyProtection="1">
      <alignment horizontal="center"/>
      <protection hidden="1"/>
    </xf>
    <xf numFmtId="0" fontId="48" fillId="3" borderId="0" xfId="0" applyFont="1" applyFill="1" applyAlignment="1" applyProtection="1">
      <alignment horizontal="right" vertical="center"/>
      <protection hidden="1"/>
    </xf>
    <xf numFmtId="39" fontId="7" fillId="3" borderId="0" xfId="0" applyNumberFormat="1" applyFont="1" applyFill="1" applyAlignment="1" applyProtection="1">
      <alignment horizontal="right" indent="1"/>
      <protection hidden="1"/>
    </xf>
    <xf numFmtId="39" fontId="8" fillId="3" borderId="0" xfId="0" applyNumberFormat="1" applyFont="1" applyFill="1" applyAlignment="1" applyProtection="1">
      <alignment horizontal="right" indent="1"/>
      <protection hidden="1"/>
    </xf>
    <xf numFmtId="39" fontId="3" fillId="3" borderId="0" xfId="0" applyNumberFormat="1" applyFont="1" applyFill="1" applyAlignment="1" applyProtection="1">
      <alignment horizontal="right"/>
      <protection hidden="1"/>
    </xf>
    <xf numFmtId="0" fontId="184" fillId="5" borderId="0" xfId="0" applyFont="1" applyFill="1" applyAlignment="1">
      <alignment vertical="center"/>
    </xf>
    <xf numFmtId="0" fontId="184" fillId="5" borderId="0" xfId="0" applyFont="1" applyFill="1" applyAlignment="1" applyProtection="1">
      <alignment vertical="center"/>
      <protection hidden="1"/>
    </xf>
    <xf numFmtId="0" fontId="3" fillId="16" borderId="26" xfId="0" applyFont="1" applyFill="1" applyBorder="1" applyAlignment="1" applyProtection="1">
      <alignment horizontal="right" vertical="center"/>
      <protection hidden="1"/>
    </xf>
    <xf numFmtId="0" fontId="3" fillId="16" borderId="25" xfId="0" applyFont="1" applyFill="1" applyBorder="1" applyAlignment="1" applyProtection="1">
      <alignment horizontal="right" vertical="center"/>
      <protection hidden="1"/>
    </xf>
    <xf numFmtId="0" fontId="53" fillId="16" borderId="0" xfId="0" applyFont="1" applyFill="1" applyAlignment="1" applyProtection="1">
      <alignment horizontal="right"/>
      <protection hidden="1"/>
    </xf>
    <xf numFmtId="0" fontId="3" fillId="16" borderId="71" xfId="0" applyFont="1" applyFill="1" applyBorder="1" applyAlignment="1" applyProtection="1">
      <alignment horizontal="right" vertical="center"/>
      <protection hidden="1"/>
    </xf>
    <xf numFmtId="0" fontId="3" fillId="16" borderId="12" xfId="0" applyFont="1" applyFill="1" applyBorder="1" applyAlignment="1" applyProtection="1">
      <alignment horizontal="right" vertical="center"/>
      <protection hidden="1"/>
    </xf>
    <xf numFmtId="0" fontId="12" fillId="16" borderId="1" xfId="0" applyFont="1" applyFill="1" applyBorder="1" applyProtection="1">
      <protection hidden="1"/>
    </xf>
    <xf numFmtId="37" fontId="3" fillId="28" borderId="31" xfId="0" applyNumberFormat="1" applyFont="1" applyFill="1" applyBorder="1" applyAlignment="1" applyProtection="1">
      <alignment horizontal="right" indent="1"/>
      <protection hidden="1"/>
    </xf>
    <xf numFmtId="37" fontId="3" fillId="28" borderId="9" xfId="0" applyNumberFormat="1" applyFont="1" applyFill="1" applyBorder="1" applyAlignment="1">
      <alignment horizontal="right" indent="1"/>
    </xf>
    <xf numFmtId="37" fontId="5" fillId="0" borderId="2" xfId="0" applyNumberFormat="1" applyFont="1" applyBorder="1" applyProtection="1">
      <protection locked="0"/>
    </xf>
    <xf numFmtId="0" fontId="10" fillId="0" borderId="13" xfId="0" applyFont="1" applyBorder="1" applyAlignment="1" applyProtection="1">
      <alignment horizontal="center"/>
      <protection hidden="1"/>
    </xf>
    <xf numFmtId="3" fontId="10" fillId="0" borderId="13" xfId="0" applyNumberFormat="1" applyFont="1" applyBorder="1" applyAlignment="1" applyProtection="1">
      <alignment horizontal="center"/>
      <protection hidden="1"/>
    </xf>
    <xf numFmtId="0" fontId="10" fillId="16" borderId="5" xfId="0" applyFont="1" applyFill="1" applyBorder="1" applyAlignment="1">
      <alignment horizontal="center"/>
    </xf>
    <xf numFmtId="0" fontId="10" fillId="28" borderId="0" xfId="0" applyFont="1" applyFill="1" applyAlignment="1" applyProtection="1">
      <alignment horizontal="center"/>
      <protection hidden="1"/>
    </xf>
    <xf numFmtId="0" fontId="10" fillId="0" borderId="0" xfId="0" applyFont="1" applyAlignment="1" applyProtection="1">
      <alignment horizontal="center" vertical="center"/>
      <protection hidden="1"/>
    </xf>
    <xf numFmtId="0" fontId="206" fillId="16" borderId="0" xfId="0" applyFont="1" applyFill="1" applyAlignment="1" applyProtection="1">
      <alignment horizontal="left"/>
      <protection hidden="1"/>
    </xf>
    <xf numFmtId="4" fontId="147" fillId="7" borderId="40" xfId="0" applyNumberFormat="1" applyFont="1" applyFill="1" applyBorder="1" applyProtection="1">
      <protection hidden="1"/>
    </xf>
    <xf numFmtId="1" fontId="13" fillId="3" borderId="148" xfId="0" applyNumberFormat="1" applyFont="1" applyFill="1" applyBorder="1" applyProtection="1">
      <protection hidden="1"/>
    </xf>
    <xf numFmtId="0" fontId="10" fillId="16" borderId="22" xfId="0" applyFont="1" applyFill="1" applyBorder="1" applyProtection="1">
      <protection hidden="1"/>
    </xf>
    <xf numFmtId="3" fontId="10" fillId="16" borderId="5" xfId="0" applyNumberFormat="1" applyFont="1" applyFill="1" applyBorder="1"/>
    <xf numFmtId="0" fontId="10" fillId="16" borderId="0" xfId="0" applyFont="1" applyFill="1" applyAlignment="1" applyProtection="1">
      <alignment horizontal="right"/>
      <protection hidden="1"/>
    </xf>
    <xf numFmtId="0" fontId="13" fillId="16" borderId="6" xfId="0" applyFont="1" applyFill="1" applyBorder="1" applyAlignment="1" applyProtection="1">
      <alignment horizontal="right"/>
      <protection hidden="1"/>
    </xf>
    <xf numFmtId="0" fontId="13" fillId="0" borderId="0" xfId="0" applyFont="1" applyAlignment="1" applyProtection="1">
      <alignment horizontal="center"/>
      <protection hidden="1"/>
    </xf>
    <xf numFmtId="37" fontId="10" fillId="0" borderId="0" xfId="0" applyNumberFormat="1" applyFont="1" applyAlignment="1" applyProtection="1">
      <alignment horizontal="center"/>
      <protection hidden="1"/>
    </xf>
    <xf numFmtId="0" fontId="10" fillId="0" borderId="1" xfId="0" applyFont="1" applyBorder="1" applyAlignment="1" applyProtection="1">
      <alignment horizontal="center"/>
      <protection hidden="1"/>
    </xf>
    <xf numFmtId="0" fontId="0" fillId="16" borderId="0" xfId="0" applyFill="1" applyAlignment="1">
      <alignment horizontal="left" vertical="top" wrapText="1"/>
    </xf>
    <xf numFmtId="9" fontId="13" fillId="0" borderId="13" xfId="0" applyNumberFormat="1" applyFont="1" applyBorder="1" applyAlignment="1" applyProtection="1">
      <alignment horizontal="center"/>
      <protection hidden="1"/>
    </xf>
    <xf numFmtId="0" fontId="13" fillId="0" borderId="2" xfId="0" applyFont="1" applyBorder="1" applyAlignment="1" applyProtection="1">
      <alignment horizontal="center"/>
      <protection hidden="1"/>
    </xf>
    <xf numFmtId="0" fontId="244" fillId="0" borderId="13" xfId="0" applyFont="1" applyBorder="1" applyAlignment="1" applyProtection="1">
      <alignment horizontal="center"/>
      <protection hidden="1"/>
    </xf>
    <xf numFmtId="37" fontId="244" fillId="0" borderId="0" xfId="0" applyNumberFormat="1" applyFont="1" applyAlignment="1" applyProtection="1">
      <alignment horizontal="center"/>
      <protection hidden="1"/>
    </xf>
    <xf numFmtId="9" fontId="245" fillId="0" borderId="13" xfId="0" applyNumberFormat="1" applyFont="1" applyBorder="1" applyAlignment="1" applyProtection="1">
      <alignment horizontal="center"/>
      <protection hidden="1"/>
    </xf>
    <xf numFmtId="4" fontId="8" fillId="16" borderId="0" xfId="0" applyNumberFormat="1" applyFont="1" applyFill="1" applyAlignment="1" applyProtection="1">
      <alignment horizontal="center" wrapText="1"/>
      <protection hidden="1"/>
    </xf>
    <xf numFmtId="0" fontId="168" fillId="16" borderId="0" xfId="0" applyFont="1" applyFill="1" applyAlignment="1">
      <alignment horizontal="center" wrapText="1"/>
    </xf>
    <xf numFmtId="1" fontId="13" fillId="0" borderId="55" xfId="0" applyNumberFormat="1" applyFont="1" applyBorder="1" applyAlignment="1" applyProtection="1">
      <alignment horizontal="center"/>
      <protection locked="0"/>
    </xf>
    <xf numFmtId="0" fontId="130" fillId="5" borderId="0" xfId="0" applyFont="1" applyFill="1" applyAlignment="1" applyProtection="1">
      <alignment horizontal="center"/>
      <protection hidden="1"/>
    </xf>
    <xf numFmtId="4" fontId="234" fillId="2" borderId="6" xfId="0" applyNumberFormat="1" applyFont="1" applyFill="1" applyBorder="1" applyAlignment="1" applyProtection="1">
      <alignment horizontal="left" indent="1"/>
      <protection hidden="1"/>
    </xf>
    <xf numFmtId="37" fontId="8" fillId="15" borderId="31" xfId="0" applyNumberFormat="1" applyFont="1" applyFill="1" applyBorder="1" applyAlignment="1" applyProtection="1">
      <alignment horizontal="right"/>
      <protection hidden="1"/>
    </xf>
    <xf numFmtId="0" fontId="136" fillId="3" borderId="0" xfId="0" applyFont="1" applyFill="1" applyAlignment="1" applyProtection="1">
      <alignment wrapText="1"/>
      <protection hidden="1"/>
    </xf>
    <xf numFmtId="37" fontId="142" fillId="0" borderId="0" xfId="0" applyNumberFormat="1" applyFont="1" applyAlignment="1" applyProtection="1">
      <alignment horizontal="right"/>
      <protection hidden="1"/>
    </xf>
    <xf numFmtId="0" fontId="0" fillId="0" borderId="0" xfId="0" applyAlignment="1" applyProtection="1">
      <alignment horizontal="right"/>
      <protection locked="0"/>
    </xf>
    <xf numFmtId="4" fontId="7" fillId="3" borderId="1" xfId="0" applyNumberFormat="1" applyFont="1" applyFill="1" applyBorder="1" applyAlignment="1" applyProtection="1">
      <alignment vertical="center"/>
      <protection hidden="1"/>
    </xf>
    <xf numFmtId="37" fontId="8" fillId="29" borderId="10" xfId="0" applyNumberFormat="1" applyFont="1" applyFill="1" applyBorder="1" applyAlignment="1" applyProtection="1">
      <alignment horizontal="center"/>
      <protection hidden="1"/>
    </xf>
    <xf numFmtId="37" fontId="142" fillId="15" borderId="31" xfId="0" applyNumberFormat="1" applyFont="1" applyFill="1" applyBorder="1" applyProtection="1">
      <protection hidden="1"/>
    </xf>
    <xf numFmtId="37" fontId="135" fillId="16" borderId="9" xfId="0" applyNumberFormat="1" applyFont="1" applyFill="1" applyBorder="1" applyAlignment="1" applyProtection="1">
      <alignment horizontal="right"/>
      <protection hidden="1"/>
    </xf>
    <xf numFmtId="37" fontId="135" fillId="3" borderId="0" xfId="0" applyNumberFormat="1" applyFont="1" applyFill="1" applyProtection="1">
      <protection hidden="1"/>
    </xf>
    <xf numFmtId="0" fontId="10" fillId="3" borderId="0" xfId="0" applyFont="1" applyFill="1" applyAlignment="1" applyProtection="1">
      <alignment horizontal="left" vertical="center"/>
      <protection hidden="1"/>
    </xf>
    <xf numFmtId="0" fontId="6" fillId="3" borderId="0" xfId="0" applyFont="1" applyFill="1" applyAlignment="1" applyProtection="1">
      <alignment horizontal="right" vertical="center"/>
      <protection hidden="1"/>
    </xf>
    <xf numFmtId="0" fontId="21" fillId="3" borderId="0" xfId="0" applyFont="1" applyFill="1" applyAlignment="1" applyProtection="1">
      <alignment horizontal="left" vertical="center"/>
      <protection hidden="1"/>
    </xf>
    <xf numFmtId="4" fontId="10" fillId="3" borderId="0" xfId="0" applyNumberFormat="1" applyFont="1" applyFill="1" applyAlignment="1" applyProtection="1">
      <alignment horizontal="left" vertical="center"/>
      <protection hidden="1"/>
    </xf>
    <xf numFmtId="37" fontId="7" fillId="29" borderId="10" xfId="0" applyNumberFormat="1" applyFont="1" applyFill="1" applyBorder="1" applyAlignment="1" applyProtection="1">
      <alignment horizontal="right" vertical="center"/>
      <protection hidden="1"/>
    </xf>
    <xf numFmtId="39" fontId="21" fillId="7" borderId="0" xfId="0" applyNumberFormat="1" applyFont="1" applyFill="1" applyAlignment="1" applyProtection="1">
      <alignment horizontal="right" vertical="center"/>
      <protection hidden="1"/>
    </xf>
    <xf numFmtId="39" fontId="21" fillId="3" borderId="0" xfId="0" applyNumberFormat="1" applyFont="1" applyFill="1" applyAlignment="1" applyProtection="1">
      <alignment horizontal="center" vertical="center"/>
      <protection hidden="1"/>
    </xf>
    <xf numFmtId="37" fontId="7" fillId="3" borderId="1" xfId="0" applyNumberFormat="1" applyFont="1" applyFill="1" applyBorder="1" applyAlignment="1" applyProtection="1">
      <alignment horizontal="right" vertical="center"/>
      <protection locked="0"/>
    </xf>
    <xf numFmtId="0" fontId="15" fillId="16" borderId="0" xfId="0" applyFont="1" applyFill="1" applyAlignment="1" applyProtection="1">
      <alignment horizontal="center" vertical="center"/>
      <protection hidden="1"/>
    </xf>
    <xf numFmtId="0" fontId="5" fillId="16" borderId="0" xfId="0" applyFont="1" applyFill="1" applyAlignment="1">
      <alignment horizontal="center" vertical="center" wrapText="1"/>
    </xf>
    <xf numFmtId="37" fontId="0" fillId="16" borderId="0" xfId="0" applyNumberFormat="1" applyFill="1"/>
    <xf numFmtId="0" fontId="53" fillId="16" borderId="1" xfId="0" applyFont="1" applyFill="1" applyBorder="1" applyAlignment="1">
      <alignment horizontal="left" vertical="center"/>
    </xf>
    <xf numFmtId="0" fontId="5" fillId="3" borderId="0" xfId="0" applyFont="1" applyFill="1" applyAlignment="1" applyProtection="1">
      <alignment horizontal="left" vertical="center"/>
      <protection hidden="1"/>
    </xf>
    <xf numFmtId="0" fontId="6" fillId="0" borderId="9" xfId="0" applyFont="1" applyBorder="1" applyProtection="1">
      <protection hidden="1"/>
    </xf>
    <xf numFmtId="0" fontId="5" fillId="3" borderId="0" xfId="0" quotePrefix="1" applyFont="1" applyFill="1" applyAlignment="1" applyProtection="1">
      <alignment horizontal="left"/>
      <protection hidden="1"/>
    </xf>
    <xf numFmtId="4" fontId="13" fillId="3" borderId="8" xfId="0" applyNumberFormat="1" applyFont="1" applyFill="1" applyBorder="1" applyAlignment="1" applyProtection="1">
      <alignment horizontal="right" vertical="center"/>
      <protection hidden="1"/>
    </xf>
    <xf numFmtId="0" fontId="8" fillId="3" borderId="21" xfId="0" applyFont="1" applyFill="1" applyBorder="1" applyAlignment="1" applyProtection="1">
      <alignment vertical="center"/>
      <protection hidden="1"/>
    </xf>
    <xf numFmtId="4" fontId="19" fillId="2" borderId="0" xfId="0" applyNumberFormat="1" applyFont="1" applyFill="1" applyAlignment="1" applyProtection="1">
      <alignment vertical="center"/>
      <protection hidden="1"/>
    </xf>
    <xf numFmtId="4" fontId="19" fillId="22" borderId="0" xfId="0" applyNumberFormat="1" applyFont="1" applyFill="1" applyAlignment="1" applyProtection="1">
      <alignment vertical="center"/>
      <protection hidden="1"/>
    </xf>
    <xf numFmtId="0" fontId="6" fillId="5" borderId="0" xfId="0" applyFont="1" applyFill="1" applyAlignment="1" applyProtection="1">
      <alignment vertical="center"/>
      <protection hidden="1"/>
    </xf>
    <xf numFmtId="4" fontId="7" fillId="0" borderId="0" xfId="0" applyNumberFormat="1" applyFont="1" applyAlignment="1" applyProtection="1">
      <alignment vertical="center"/>
      <protection hidden="1"/>
    </xf>
    <xf numFmtId="4" fontId="168" fillId="28" borderId="109" xfId="0" applyNumberFormat="1" applyFont="1" applyFill="1" applyBorder="1" applyAlignment="1" applyProtection="1">
      <alignment horizontal="center"/>
      <protection hidden="1"/>
    </xf>
    <xf numFmtId="4" fontId="141" fillId="2" borderId="56" xfId="0" applyNumberFormat="1" applyFont="1" applyFill="1" applyBorder="1" applyAlignment="1" applyProtection="1">
      <alignment horizontal="left" indent="1"/>
      <protection hidden="1"/>
    </xf>
    <xf numFmtId="0" fontId="149" fillId="16" borderId="0" xfId="0" applyFont="1" applyFill="1" applyAlignment="1" applyProtection="1">
      <alignment horizontal="left"/>
      <protection hidden="1"/>
    </xf>
    <xf numFmtId="0" fontId="128" fillId="16" borderId="0" xfId="0" applyFont="1" applyFill="1" applyAlignment="1" applyProtection="1">
      <alignment horizontal="left"/>
      <protection hidden="1"/>
    </xf>
    <xf numFmtId="0" fontId="128" fillId="16" borderId="0" xfId="0" applyFont="1" applyFill="1" applyAlignment="1" applyProtection="1">
      <alignment vertical="center"/>
      <protection hidden="1"/>
    </xf>
    <xf numFmtId="0" fontId="129" fillId="16" borderId="0" xfId="0" applyFont="1" applyFill="1" applyAlignment="1" applyProtection="1">
      <alignment vertical="center"/>
      <protection hidden="1"/>
    </xf>
    <xf numFmtId="0" fontId="7" fillId="2" borderId="0" xfId="0" applyFont="1" applyFill="1" applyAlignment="1" applyProtection="1">
      <alignment horizontal="right"/>
      <protection hidden="1"/>
    </xf>
    <xf numFmtId="0" fontId="0" fillId="0" borderId="21" xfId="0" applyBorder="1" applyAlignment="1">
      <alignment wrapText="1"/>
    </xf>
    <xf numFmtId="0" fontId="19" fillId="3" borderId="0" xfId="0" applyFont="1" applyFill="1" applyAlignment="1" applyProtection="1">
      <alignment wrapText="1"/>
      <protection hidden="1"/>
    </xf>
    <xf numFmtId="1" fontId="210" fillId="10" borderId="0" xfId="0" applyNumberFormat="1" applyFont="1" applyFill="1" applyAlignment="1" applyProtection="1">
      <alignment horizontal="center" vertical="center" wrapText="1"/>
      <protection hidden="1"/>
    </xf>
    <xf numFmtId="39" fontId="7" fillId="3" borderId="0" xfId="0" applyNumberFormat="1" applyFont="1" applyFill="1" applyAlignment="1" applyProtection="1">
      <alignment horizontal="left"/>
      <protection hidden="1"/>
    </xf>
    <xf numFmtId="0" fontId="131" fillId="0" borderId="0" xfId="0" applyFont="1" applyAlignment="1">
      <alignment horizontal="center"/>
    </xf>
    <xf numFmtId="0" fontId="13" fillId="15" borderId="6" xfId="0" applyFont="1" applyFill="1" applyBorder="1" applyProtection="1">
      <protection hidden="1"/>
    </xf>
    <xf numFmtId="0" fontId="13" fillId="16" borderId="0" xfId="0" applyFont="1" applyFill="1" applyAlignment="1">
      <alignment horizontal="right"/>
    </xf>
    <xf numFmtId="0" fontId="8" fillId="3" borderId="8" xfId="0" applyFont="1" applyFill="1" applyBorder="1" applyAlignment="1" applyProtection="1">
      <alignment horizontal="left" vertical="top"/>
      <protection hidden="1"/>
    </xf>
    <xf numFmtId="0" fontId="7" fillId="3" borderId="9" xfId="0" applyFont="1" applyFill="1" applyBorder="1" applyAlignment="1" applyProtection="1">
      <alignment horizontal="left"/>
      <protection hidden="1"/>
    </xf>
    <xf numFmtId="0" fontId="18" fillId="3" borderId="0" xfId="0" applyFont="1" applyFill="1" applyAlignment="1" applyProtection="1">
      <alignment horizontal="right"/>
      <protection hidden="1"/>
    </xf>
    <xf numFmtId="39" fontId="11" fillId="3" borderId="0" xfId="0" applyNumberFormat="1" applyFont="1" applyFill="1" applyAlignment="1" applyProtection="1">
      <alignment horizontal="left"/>
      <protection hidden="1"/>
    </xf>
    <xf numFmtId="0" fontId="18" fillId="3" borderId="26" xfId="0" applyFont="1" applyFill="1" applyBorder="1" applyAlignment="1" applyProtection="1">
      <alignment vertical="center"/>
      <protection hidden="1"/>
    </xf>
    <xf numFmtId="0" fontId="9" fillId="3" borderId="26" xfId="0" applyFont="1" applyFill="1" applyBorder="1" applyAlignment="1" applyProtection="1">
      <alignment horizontal="left"/>
      <protection hidden="1"/>
    </xf>
    <xf numFmtId="39" fontId="3" fillId="3" borderId="26" xfId="0" applyNumberFormat="1" applyFont="1" applyFill="1" applyBorder="1" applyProtection="1">
      <protection hidden="1"/>
    </xf>
    <xf numFmtId="39" fontId="8" fillId="3" borderId="26" xfId="0" applyNumberFormat="1" applyFont="1" applyFill="1" applyBorder="1" applyProtection="1">
      <protection hidden="1"/>
    </xf>
    <xf numFmtId="39" fontId="8" fillId="3" borderId="26" xfId="0" applyNumberFormat="1" applyFont="1" applyFill="1" applyBorder="1" applyAlignment="1" applyProtection="1">
      <alignment horizontal="center"/>
      <protection hidden="1"/>
    </xf>
    <xf numFmtId="39" fontId="8" fillId="3" borderId="26" xfId="0" applyNumberFormat="1" applyFont="1" applyFill="1" applyBorder="1" applyAlignment="1" applyProtection="1">
      <alignment horizontal="left"/>
      <protection hidden="1"/>
    </xf>
    <xf numFmtId="176" fontId="157" fillId="3" borderId="26" xfId="0" applyNumberFormat="1" applyFont="1" applyFill="1" applyBorder="1" applyAlignment="1" applyProtection="1">
      <alignment horizontal="center"/>
      <protection hidden="1"/>
    </xf>
    <xf numFmtId="39" fontId="142" fillId="3" borderId="26" xfId="0" applyNumberFormat="1" applyFont="1" applyFill="1" applyBorder="1" applyAlignment="1" applyProtection="1">
      <alignment horizontal="center"/>
      <protection hidden="1"/>
    </xf>
    <xf numFmtId="176" fontId="13" fillId="3" borderId="26" xfId="0" applyNumberFormat="1" applyFont="1" applyFill="1" applyBorder="1" applyAlignment="1" applyProtection="1">
      <alignment horizontal="right"/>
      <protection hidden="1"/>
    </xf>
    <xf numFmtId="39" fontId="8" fillId="3" borderId="0" xfId="0" quotePrefix="1" applyNumberFormat="1" applyFont="1" applyFill="1" applyAlignment="1" applyProtection="1">
      <alignment horizontal="center"/>
      <protection hidden="1"/>
    </xf>
    <xf numFmtId="39" fontId="11" fillId="3" borderId="1" xfId="0" applyNumberFormat="1" applyFont="1" applyFill="1" applyBorder="1" applyAlignment="1" applyProtection="1">
      <alignment horizontal="center"/>
      <protection hidden="1"/>
    </xf>
    <xf numFmtId="39" fontId="11" fillId="3" borderId="1" xfId="0" applyNumberFormat="1" applyFont="1" applyFill="1" applyBorder="1" applyAlignment="1" applyProtection="1">
      <alignment horizontal="left"/>
      <protection hidden="1"/>
    </xf>
    <xf numFmtId="176" fontId="131" fillId="3" borderId="1" xfId="0" applyNumberFormat="1" applyFont="1" applyFill="1" applyBorder="1" applyAlignment="1" applyProtection="1">
      <alignment horizontal="center"/>
      <protection hidden="1"/>
    </xf>
    <xf numFmtId="39" fontId="135" fillId="3" borderId="1" xfId="0" applyNumberFormat="1" applyFont="1" applyFill="1" applyBorder="1" applyAlignment="1" applyProtection="1">
      <alignment horizontal="center"/>
      <protection hidden="1"/>
    </xf>
    <xf numFmtId="39" fontId="5" fillId="3" borderId="9" xfId="0" applyNumberFormat="1" applyFont="1" applyFill="1" applyBorder="1" applyProtection="1">
      <protection hidden="1"/>
    </xf>
    <xf numFmtId="39" fontId="11" fillId="3" borderId="9" xfId="0" applyNumberFormat="1" applyFont="1" applyFill="1" applyBorder="1" applyAlignment="1" applyProtection="1">
      <alignment horizontal="left"/>
      <protection hidden="1"/>
    </xf>
    <xf numFmtId="176" fontId="131" fillId="3" borderId="9" xfId="0" applyNumberFormat="1" applyFont="1" applyFill="1" applyBorder="1" applyAlignment="1" applyProtection="1">
      <alignment horizontal="center"/>
      <protection hidden="1"/>
    </xf>
    <xf numFmtId="39" fontId="135" fillId="3" borderId="9" xfId="0" applyNumberFormat="1" applyFont="1" applyFill="1" applyBorder="1" applyAlignment="1" applyProtection="1">
      <alignment horizontal="center"/>
      <protection hidden="1"/>
    </xf>
    <xf numFmtId="0" fontId="7" fillId="3" borderId="24" xfId="0" applyFont="1" applyFill="1" applyBorder="1" applyAlignment="1" applyProtection="1">
      <alignment horizontal="left"/>
      <protection hidden="1"/>
    </xf>
    <xf numFmtId="39" fontId="5" fillId="3" borderId="8" xfId="0" applyNumberFormat="1" applyFont="1" applyFill="1" applyBorder="1" applyProtection="1">
      <protection hidden="1"/>
    </xf>
    <xf numFmtId="39" fontId="5" fillId="3" borderId="20" xfId="0" applyNumberFormat="1" applyFont="1" applyFill="1" applyBorder="1" applyProtection="1">
      <protection hidden="1"/>
    </xf>
    <xf numFmtId="39" fontId="5" fillId="3" borderId="21" xfId="0" applyNumberFormat="1" applyFont="1" applyFill="1" applyBorder="1" applyProtection="1">
      <protection hidden="1"/>
    </xf>
    <xf numFmtId="0" fontId="7" fillId="3" borderId="22" xfId="0" applyFont="1" applyFill="1" applyBorder="1" applyAlignment="1" applyProtection="1">
      <alignment horizontal="left"/>
      <protection hidden="1"/>
    </xf>
    <xf numFmtId="39" fontId="5" fillId="3" borderId="5" xfId="0" applyNumberFormat="1" applyFont="1" applyFill="1" applyBorder="1" applyProtection="1">
      <protection hidden="1"/>
    </xf>
    <xf numFmtId="39" fontId="5" fillId="3" borderId="23" xfId="0" applyNumberFormat="1" applyFont="1" applyFill="1" applyBorder="1" applyProtection="1">
      <protection hidden="1"/>
    </xf>
    <xf numFmtId="0" fontId="8" fillId="3" borderId="6" xfId="0" applyFont="1" applyFill="1" applyBorder="1" applyAlignment="1" applyProtection="1">
      <alignment horizontal="left"/>
      <protection hidden="1"/>
    </xf>
    <xf numFmtId="0" fontId="7" fillId="15" borderId="0" xfId="0" applyFont="1" applyFill="1" applyAlignment="1" applyProtection="1">
      <alignment horizontal="left"/>
      <protection hidden="1"/>
    </xf>
    <xf numFmtId="0" fontId="5" fillId="16" borderId="0" xfId="0" applyFont="1" applyFill="1" applyAlignment="1">
      <alignment horizontal="center" vertical="center"/>
    </xf>
    <xf numFmtId="0" fontId="18" fillId="15" borderId="0" xfId="0" applyFont="1" applyFill="1" applyAlignment="1" applyProtection="1">
      <alignment vertical="center"/>
      <protection hidden="1"/>
    </xf>
    <xf numFmtId="0" fontId="5" fillId="3" borderId="26" xfId="0" applyFont="1" applyFill="1" applyBorder="1" applyAlignment="1" applyProtection="1">
      <alignment vertical="center"/>
      <protection hidden="1"/>
    </xf>
    <xf numFmtId="0" fontId="3" fillId="15" borderId="0" xfId="0" applyFont="1" applyFill="1" applyAlignment="1" applyProtection="1">
      <alignment horizontal="left"/>
      <protection hidden="1"/>
    </xf>
    <xf numFmtId="0" fontId="5" fillId="15" borderId="0" xfId="0" applyFont="1" applyFill="1" applyAlignment="1" applyProtection="1">
      <alignment vertical="center"/>
      <protection hidden="1"/>
    </xf>
    <xf numFmtId="39" fontId="3" fillId="3" borderId="0" xfId="0" quotePrefix="1" applyNumberFormat="1" applyFont="1" applyFill="1" applyAlignment="1" applyProtection="1">
      <alignment horizontal="center"/>
      <protection hidden="1"/>
    </xf>
    <xf numFmtId="4" fontId="13" fillId="3" borderId="8" xfId="0" applyNumberFormat="1" applyFont="1" applyFill="1" applyBorder="1" applyAlignment="1" applyProtection="1">
      <alignment horizontal="right" vertical="top"/>
      <protection hidden="1"/>
    </xf>
    <xf numFmtId="176" fontId="13" fillId="21" borderId="13" xfId="0" applyNumberFormat="1" applyFont="1" applyFill="1" applyBorder="1" applyAlignment="1" applyProtection="1">
      <alignment horizontal="center" vertical="center"/>
      <protection locked="0"/>
    </xf>
    <xf numFmtId="1" fontId="7" fillId="15" borderId="0" xfId="0" applyNumberFormat="1" applyFont="1" applyFill="1" applyAlignment="1" applyProtection="1">
      <alignment horizontal="right"/>
      <protection hidden="1"/>
    </xf>
    <xf numFmtId="39" fontId="10" fillId="15" borderId="0" xfId="0" applyNumberFormat="1" applyFont="1" applyFill="1" applyAlignment="1" applyProtection="1">
      <alignment horizontal="center"/>
      <protection hidden="1"/>
    </xf>
    <xf numFmtId="39" fontId="7" fillId="15" borderId="0" xfId="0" applyNumberFormat="1" applyFont="1" applyFill="1" applyAlignment="1" applyProtection="1">
      <alignment horizontal="right"/>
      <protection hidden="1"/>
    </xf>
    <xf numFmtId="0" fontId="13" fillId="3" borderId="11" xfId="0" applyFont="1" applyFill="1" applyBorder="1" applyAlignment="1" applyProtection="1">
      <alignment horizontal="center"/>
      <protection hidden="1"/>
    </xf>
    <xf numFmtId="3" fontId="7" fillId="15" borderId="0" xfId="0" applyNumberFormat="1" applyFont="1" applyFill="1" applyAlignment="1" applyProtection="1">
      <alignment horizontal="right"/>
      <protection hidden="1"/>
    </xf>
    <xf numFmtId="39" fontId="7" fillId="15" borderId="0" xfId="0" applyNumberFormat="1" applyFont="1" applyFill="1" applyProtection="1">
      <protection hidden="1"/>
    </xf>
    <xf numFmtId="0" fontId="7" fillId="15" borderId="0" xfId="0" applyFont="1" applyFill="1" applyProtection="1">
      <protection hidden="1"/>
    </xf>
    <xf numFmtId="0" fontId="53" fillId="15" borderId="0" xfId="0" applyFont="1" applyFill="1" applyProtection="1">
      <protection hidden="1"/>
    </xf>
    <xf numFmtId="0" fontId="247" fillId="3" borderId="0" xfId="0" applyFont="1" applyFill="1" applyAlignment="1" applyProtection="1">
      <alignment horizontal="center" vertical="center"/>
      <protection hidden="1"/>
    </xf>
    <xf numFmtId="0" fontId="8" fillId="3" borderId="24" xfId="0" applyFont="1" applyFill="1" applyBorder="1" applyProtection="1">
      <protection hidden="1"/>
    </xf>
    <xf numFmtId="0" fontId="8" fillId="3" borderId="22" xfId="0" applyFont="1" applyFill="1" applyBorder="1" applyProtection="1">
      <protection hidden="1"/>
    </xf>
    <xf numFmtId="39" fontId="8" fillId="15" borderId="20" xfId="0" applyNumberFormat="1" applyFont="1" applyFill="1" applyBorder="1" applyProtection="1">
      <protection hidden="1"/>
    </xf>
    <xf numFmtId="39" fontId="8" fillId="15" borderId="21" xfId="0" applyNumberFormat="1" applyFont="1" applyFill="1" applyBorder="1" applyProtection="1">
      <protection hidden="1"/>
    </xf>
    <xf numFmtId="39" fontId="8" fillId="15" borderId="23" xfId="0" applyNumberFormat="1" applyFont="1" applyFill="1" applyBorder="1" applyProtection="1">
      <protection hidden="1"/>
    </xf>
    <xf numFmtId="39" fontId="7" fillId="15" borderId="6" xfId="0" applyNumberFormat="1" applyFont="1" applyFill="1" applyBorder="1" applyProtection="1">
      <protection hidden="1"/>
    </xf>
    <xf numFmtId="0" fontId="18" fillId="3" borderId="0" xfId="0" applyFont="1" applyFill="1" applyAlignment="1" applyProtection="1">
      <alignment horizontal="right" vertical="center"/>
      <protection hidden="1"/>
    </xf>
    <xf numFmtId="0" fontId="11" fillId="3" borderId="0" xfId="0" applyFont="1" applyFill="1" applyAlignment="1" applyProtection="1">
      <alignment vertical="center"/>
      <protection hidden="1"/>
    </xf>
    <xf numFmtId="0" fontId="13" fillId="16" borderId="0" xfId="0" applyFont="1" applyFill="1" applyAlignment="1">
      <alignment horizontal="left" vertical="center"/>
    </xf>
    <xf numFmtId="0" fontId="10" fillId="5" borderId="0" xfId="0" applyFont="1" applyFill="1" applyAlignment="1" applyProtection="1">
      <alignment horizontal="right"/>
      <protection hidden="1"/>
    </xf>
    <xf numFmtId="1" fontId="8" fillId="3" borderId="11" xfId="0" applyNumberFormat="1" applyFont="1" applyFill="1" applyBorder="1" applyAlignment="1" applyProtection="1">
      <alignment horizontal="center"/>
      <protection hidden="1"/>
    </xf>
    <xf numFmtId="5" fontId="11" fillId="3" borderId="0" xfId="0" applyNumberFormat="1" applyFont="1" applyFill="1" applyProtection="1">
      <protection hidden="1"/>
    </xf>
    <xf numFmtId="0" fontId="13" fillId="3" borderId="0" xfId="0" applyFont="1" applyFill="1" applyAlignment="1" applyProtection="1">
      <alignment horizontal="right" vertical="center"/>
      <protection hidden="1"/>
    </xf>
    <xf numFmtId="39" fontId="7" fillId="3" borderId="5" xfId="0" applyNumberFormat="1" applyFont="1" applyFill="1" applyBorder="1" applyProtection="1">
      <protection hidden="1"/>
    </xf>
    <xf numFmtId="0" fontId="13" fillId="3" borderId="29" xfId="0" applyFont="1" applyFill="1" applyBorder="1" applyAlignment="1" applyProtection="1">
      <alignment horizontal="center"/>
      <protection hidden="1"/>
    </xf>
    <xf numFmtId="39" fontId="8" fillId="3" borderId="71" xfId="0" applyNumberFormat="1" applyFont="1" applyFill="1" applyBorder="1" applyAlignment="1" applyProtection="1">
      <alignment horizontal="right"/>
      <protection hidden="1"/>
    </xf>
    <xf numFmtId="0" fontId="8" fillId="20" borderId="24" xfId="0" quotePrefix="1" applyFont="1" applyFill="1" applyBorder="1" applyAlignment="1" applyProtection="1">
      <alignment horizontal="right" vertical="center"/>
      <protection hidden="1"/>
    </xf>
    <xf numFmtId="4" fontId="7" fillId="20" borderId="8" xfId="0" applyNumberFormat="1" applyFont="1" applyFill="1" applyBorder="1" applyAlignment="1" applyProtection="1">
      <alignment horizontal="left" vertical="center"/>
      <protection hidden="1"/>
    </xf>
    <xf numFmtId="0" fontId="7" fillId="20" borderId="8" xfId="0" applyFont="1" applyFill="1" applyBorder="1" applyAlignment="1" applyProtection="1">
      <alignment horizontal="left" vertical="center"/>
      <protection hidden="1"/>
    </xf>
    <xf numFmtId="0" fontId="8" fillId="20" borderId="8" xfId="0" applyFont="1" applyFill="1" applyBorder="1" applyAlignment="1" applyProtection="1">
      <alignment horizontal="right" vertical="center"/>
      <protection hidden="1"/>
    </xf>
    <xf numFmtId="39" fontId="7" fillId="20" borderId="8" xfId="0" applyNumberFormat="1" applyFont="1" applyFill="1" applyBorder="1" applyAlignment="1" applyProtection="1">
      <alignment horizontal="center" vertical="center"/>
      <protection hidden="1"/>
    </xf>
    <xf numFmtId="39" fontId="7" fillId="20" borderId="8" xfId="0" applyNumberFormat="1" applyFont="1" applyFill="1" applyBorder="1" applyAlignment="1" applyProtection="1">
      <alignment horizontal="right" vertical="center"/>
      <protection hidden="1"/>
    </xf>
    <xf numFmtId="0" fontId="8" fillId="20" borderId="8" xfId="0" quotePrefix="1" applyFont="1" applyFill="1" applyBorder="1" applyAlignment="1" applyProtection="1">
      <alignment horizontal="right" vertical="center"/>
      <protection hidden="1"/>
    </xf>
    <xf numFmtId="0" fontId="0" fillId="20" borderId="20" xfId="0" applyFill="1" applyBorder="1"/>
    <xf numFmtId="0" fontId="8" fillId="20" borderId="6" xfId="0" quotePrefix="1" applyFont="1" applyFill="1" applyBorder="1" applyAlignment="1" applyProtection="1">
      <alignment horizontal="right" vertical="center"/>
      <protection hidden="1"/>
    </xf>
    <xf numFmtId="4" fontId="7" fillId="20" borderId="0" xfId="0" applyNumberFormat="1" applyFont="1" applyFill="1" applyAlignment="1" applyProtection="1">
      <alignment horizontal="left" vertical="center"/>
      <protection hidden="1"/>
    </xf>
    <xf numFmtId="0" fontId="7" fillId="20" borderId="0" xfId="0" applyFont="1" applyFill="1" applyAlignment="1" applyProtection="1">
      <alignment horizontal="left" vertical="center"/>
      <protection hidden="1"/>
    </xf>
    <xf numFmtId="0" fontId="8" fillId="20" borderId="0" xfId="0" applyFont="1" applyFill="1" applyAlignment="1" applyProtection="1">
      <alignment horizontal="right" vertical="center"/>
      <protection hidden="1"/>
    </xf>
    <xf numFmtId="39" fontId="7" fillId="20" borderId="0" xfId="0" applyNumberFormat="1" applyFont="1" applyFill="1" applyAlignment="1" applyProtection="1">
      <alignment horizontal="center" vertical="center"/>
      <protection hidden="1"/>
    </xf>
    <xf numFmtId="39" fontId="7" fillId="20" borderId="0" xfId="0" applyNumberFormat="1" applyFont="1" applyFill="1" applyAlignment="1" applyProtection="1">
      <alignment horizontal="right" vertical="center"/>
      <protection hidden="1"/>
    </xf>
    <xf numFmtId="0" fontId="8" fillId="20" borderId="0" xfId="0" quotePrefix="1" applyFont="1" applyFill="1" applyAlignment="1" applyProtection="1">
      <alignment horizontal="right" vertical="center"/>
      <protection hidden="1"/>
    </xf>
    <xf numFmtId="0" fontId="0" fillId="20" borderId="21" xfId="0" applyFill="1" applyBorder="1"/>
    <xf numFmtId="0" fontId="0" fillId="20" borderId="6" xfId="0" applyFill="1" applyBorder="1"/>
    <xf numFmtId="0" fontId="0" fillId="20" borderId="22" xfId="0" applyFill="1" applyBorder="1"/>
    <xf numFmtId="4" fontId="7" fillId="20" borderId="5" xfId="0" applyNumberFormat="1" applyFont="1" applyFill="1" applyBorder="1" applyAlignment="1" applyProtection="1">
      <alignment horizontal="left" vertical="center"/>
      <protection hidden="1"/>
    </xf>
    <xf numFmtId="0" fontId="0" fillId="20" borderId="23" xfId="0" applyFill="1" applyBorder="1"/>
    <xf numFmtId="37" fontId="7" fillId="28" borderId="28" xfId="0" applyNumberFormat="1" applyFont="1" applyFill="1" applyBorder="1" applyProtection="1">
      <protection hidden="1"/>
    </xf>
    <xf numFmtId="4" fontId="8" fillId="16" borderId="31" xfId="0" applyNumberFormat="1" applyFont="1" applyFill="1" applyBorder="1" applyAlignment="1" applyProtection="1">
      <alignment horizontal="left"/>
      <protection hidden="1"/>
    </xf>
    <xf numFmtId="4" fontId="8" fillId="16" borderId="9" xfId="0" applyNumberFormat="1" applyFont="1" applyFill="1" applyBorder="1" applyAlignment="1" applyProtection="1">
      <alignment horizontal="left"/>
      <protection hidden="1"/>
    </xf>
    <xf numFmtId="0" fontId="7" fillId="16" borderId="9" xfId="0" applyFont="1" applyFill="1" applyBorder="1" applyAlignment="1" applyProtection="1">
      <alignment horizontal="left"/>
      <protection hidden="1"/>
    </xf>
    <xf numFmtId="4" fontId="7" fillId="16" borderId="9" xfId="0" applyNumberFormat="1" applyFont="1" applyFill="1" applyBorder="1" applyAlignment="1" applyProtection="1">
      <alignment horizontal="left"/>
      <protection hidden="1"/>
    </xf>
    <xf numFmtId="0" fontId="8" fillId="16" borderId="9" xfId="0" applyFont="1" applyFill="1" applyBorder="1" applyAlignment="1" applyProtection="1">
      <alignment horizontal="right"/>
      <protection hidden="1"/>
    </xf>
    <xf numFmtId="39" fontId="7" fillId="16" borderId="9" xfId="0" applyNumberFormat="1" applyFont="1" applyFill="1" applyBorder="1" applyAlignment="1" applyProtection="1">
      <alignment horizontal="center"/>
      <protection hidden="1"/>
    </xf>
    <xf numFmtId="39" fontId="7" fillId="16" borderId="9" xfId="0" applyNumberFormat="1" applyFont="1" applyFill="1" applyBorder="1" applyAlignment="1" applyProtection="1">
      <alignment horizontal="right"/>
      <protection hidden="1"/>
    </xf>
    <xf numFmtId="0" fontId="42" fillId="16" borderId="9" xfId="0" applyFont="1" applyFill="1" applyBorder="1" applyAlignment="1" applyProtection="1">
      <alignment horizontal="right"/>
      <protection hidden="1"/>
    </xf>
    <xf numFmtId="4" fontId="7" fillId="16" borderId="70" xfId="0" applyNumberFormat="1" applyFont="1" applyFill="1" applyBorder="1" applyAlignment="1" applyProtection="1">
      <alignment horizontal="left" vertical="center"/>
      <protection hidden="1"/>
    </xf>
    <xf numFmtId="4" fontId="7" fillId="16" borderId="5" xfId="0" applyNumberFormat="1" applyFont="1" applyFill="1" applyBorder="1" applyAlignment="1" applyProtection="1">
      <alignment horizontal="left" vertical="center"/>
      <protection hidden="1"/>
    </xf>
    <xf numFmtId="0" fontId="7" fillId="16" borderId="5" xfId="0" applyFont="1" applyFill="1" applyBorder="1" applyAlignment="1" applyProtection="1">
      <alignment horizontal="left" vertical="center"/>
      <protection hidden="1"/>
    </xf>
    <xf numFmtId="0" fontId="8" fillId="16" borderId="5" xfId="0" applyFont="1" applyFill="1" applyBorder="1" applyAlignment="1" applyProtection="1">
      <alignment horizontal="right" vertical="center"/>
      <protection hidden="1"/>
    </xf>
    <xf numFmtId="39" fontId="7" fillId="16" borderId="5" xfId="0" applyNumberFormat="1" applyFont="1" applyFill="1" applyBorder="1" applyAlignment="1">
      <alignment horizontal="center" vertical="center"/>
    </xf>
    <xf numFmtId="39" fontId="7" fillId="16" borderId="5" xfId="0" applyNumberFormat="1" applyFont="1" applyFill="1" applyBorder="1" applyAlignment="1" applyProtection="1">
      <alignment horizontal="right" vertical="center"/>
      <protection hidden="1"/>
    </xf>
    <xf numFmtId="0" fontId="0" fillId="16" borderId="71" xfId="0" applyFill="1" applyBorder="1"/>
    <xf numFmtId="0" fontId="248" fillId="20" borderId="5" xfId="0" applyFont="1" applyFill="1" applyBorder="1" applyProtection="1">
      <protection hidden="1"/>
    </xf>
    <xf numFmtId="37" fontId="7" fillId="2" borderId="1" xfId="0" applyNumberFormat="1" applyFont="1" applyFill="1" applyBorder="1" applyProtection="1">
      <protection locked="0"/>
    </xf>
    <xf numFmtId="0" fontId="141" fillId="5" borderId="0" xfId="0" applyFont="1" applyFill="1" applyAlignment="1" applyProtection="1">
      <alignment vertical="center"/>
      <protection hidden="1"/>
    </xf>
    <xf numFmtId="1" fontId="3" fillId="16" borderId="0" xfId="0" applyNumberFormat="1" applyFont="1" applyFill="1" applyAlignment="1" applyProtection="1">
      <alignment horizontal="center"/>
      <protection hidden="1"/>
    </xf>
    <xf numFmtId="1" fontId="5" fillId="16" borderId="0" xfId="0" applyNumberFormat="1" applyFont="1" applyFill="1" applyAlignment="1" applyProtection="1">
      <alignment horizontal="center"/>
      <protection hidden="1"/>
    </xf>
    <xf numFmtId="0" fontId="128" fillId="5" borderId="0" xfId="0" applyFont="1" applyFill="1" applyProtection="1">
      <protection hidden="1"/>
    </xf>
    <xf numFmtId="0" fontId="249" fillId="5" borderId="0" xfId="0" applyFont="1" applyFill="1" applyAlignment="1" applyProtection="1">
      <alignment horizontal="left"/>
      <protection hidden="1"/>
    </xf>
    <xf numFmtId="0" fontId="249" fillId="5" borderId="0" xfId="0" applyFont="1" applyFill="1" applyProtection="1">
      <protection hidden="1"/>
    </xf>
    <xf numFmtId="0" fontId="132" fillId="5" borderId="0" xfId="0" applyFont="1" applyFill="1" applyAlignment="1" applyProtection="1">
      <alignment horizontal="left"/>
      <protection hidden="1"/>
    </xf>
    <xf numFmtId="164" fontId="3" fillId="2" borderId="0" xfId="0" applyNumberFormat="1" applyFont="1" applyFill="1" applyAlignment="1" applyProtection="1">
      <alignment horizontal="right"/>
      <protection hidden="1"/>
    </xf>
    <xf numFmtId="164" fontId="5" fillId="2" borderId="0" xfId="0" applyNumberFormat="1" applyFont="1" applyFill="1" applyAlignment="1" applyProtection="1">
      <alignment horizontal="right"/>
      <protection hidden="1"/>
    </xf>
    <xf numFmtId="40" fontId="3" fillId="2" borderId="0" xfId="0" applyNumberFormat="1" applyFont="1" applyFill="1" applyAlignment="1" applyProtection="1">
      <alignment vertical="center"/>
      <protection hidden="1"/>
    </xf>
    <xf numFmtId="40" fontId="3" fillId="2" borderId="0" xfId="0" applyNumberFormat="1" applyFont="1" applyFill="1" applyAlignment="1" applyProtection="1">
      <alignment horizontal="right" vertical="center"/>
      <protection hidden="1"/>
    </xf>
    <xf numFmtId="0" fontId="189" fillId="2" borderId="0" xfId="0" applyFont="1" applyFill="1" applyAlignment="1" applyProtection="1">
      <alignment horizontal="left" vertical="center"/>
      <protection hidden="1"/>
    </xf>
    <xf numFmtId="0" fontId="3" fillId="16" borderId="13" xfId="0" applyFont="1" applyFill="1" applyBorder="1" applyAlignment="1" applyProtection="1">
      <alignment wrapText="1"/>
      <protection hidden="1"/>
    </xf>
    <xf numFmtId="0" fontId="28" fillId="16" borderId="0" xfId="0" applyFont="1" applyFill="1"/>
    <xf numFmtId="14" fontId="0" fillId="16" borderId="0" xfId="0" applyNumberFormat="1" applyFill="1" applyProtection="1">
      <protection locked="0"/>
    </xf>
    <xf numFmtId="39" fontId="0" fillId="16" borderId="0" xfId="0" applyNumberFormat="1" applyFill="1" applyProtection="1">
      <protection locked="0"/>
    </xf>
    <xf numFmtId="37" fontId="0" fillId="2" borderId="13" xfId="0" applyNumberFormat="1" applyFill="1" applyBorder="1" applyAlignment="1" applyProtection="1">
      <alignment horizontal="right" vertical="center"/>
      <protection locked="0"/>
    </xf>
    <xf numFmtId="0" fontId="27" fillId="2" borderId="0" xfId="0" applyFont="1" applyFill="1" applyAlignment="1" applyProtection="1">
      <alignment horizontal="right"/>
      <protection hidden="1"/>
    </xf>
    <xf numFmtId="0" fontId="0" fillId="2" borderId="107" xfId="0" applyFill="1" applyBorder="1" applyProtection="1">
      <protection hidden="1"/>
    </xf>
    <xf numFmtId="0" fontId="3" fillId="2" borderId="107" xfId="0" applyFont="1" applyFill="1" applyBorder="1" applyAlignment="1" applyProtection="1">
      <alignment horizontal="center"/>
      <protection hidden="1"/>
    </xf>
    <xf numFmtId="0" fontId="25" fillId="2" borderId="107" xfId="0" applyFont="1" applyFill="1" applyBorder="1" applyProtection="1">
      <protection hidden="1"/>
    </xf>
    <xf numFmtId="0" fontId="104" fillId="2" borderId="0" xfId="0" applyFont="1" applyFill="1" applyAlignment="1" applyProtection="1">
      <alignment horizontal="right"/>
      <protection hidden="1"/>
    </xf>
    <xf numFmtId="0" fontId="129" fillId="2" borderId="0" xfId="0" applyFont="1" applyFill="1" applyAlignment="1" applyProtection="1">
      <alignment horizontal="center" vertical="center"/>
      <protection hidden="1"/>
    </xf>
    <xf numFmtId="0" fontId="194" fillId="16" borderId="0" xfId="0" applyFont="1" applyFill="1" applyAlignment="1" applyProtection="1">
      <alignment horizontal="center"/>
      <protection hidden="1"/>
    </xf>
    <xf numFmtId="0" fontId="134" fillId="16" borderId="0" xfId="0" applyFont="1" applyFill="1" applyAlignment="1" applyProtection="1">
      <alignment vertical="center"/>
      <protection hidden="1"/>
    </xf>
    <xf numFmtId="14" fontId="3" fillId="25" borderId="0" xfId="0" applyNumberFormat="1" applyFont="1" applyFill="1" applyProtection="1">
      <protection locked="0"/>
    </xf>
    <xf numFmtId="164" fontId="5" fillId="2" borderId="1" xfId="0" applyNumberFormat="1" applyFont="1" applyFill="1" applyBorder="1" applyAlignment="1" applyProtection="1">
      <alignment horizontal="left" vertical="top"/>
      <protection locked="0" hidden="1"/>
    </xf>
    <xf numFmtId="37" fontId="0" fillId="2" borderId="1" xfId="0" applyNumberFormat="1" applyFill="1" applyBorder="1" applyProtection="1">
      <protection locked="0"/>
    </xf>
    <xf numFmtId="37" fontId="226" fillId="0" borderId="0" xfId="0" applyNumberFormat="1" applyFont="1"/>
    <xf numFmtId="39" fontId="0" fillId="2" borderId="1" xfId="0" applyNumberFormat="1" applyFill="1" applyBorder="1" applyAlignment="1" applyProtection="1">
      <alignment horizontal="center"/>
      <protection locked="0"/>
    </xf>
    <xf numFmtId="39" fontId="0" fillId="0" borderId="0" xfId="0" applyNumberFormat="1" applyAlignment="1" applyProtection="1">
      <alignment horizontal="center"/>
      <protection locked="0"/>
    </xf>
    <xf numFmtId="39" fontId="12" fillId="25" borderId="0" xfId="0" applyNumberFormat="1" applyFont="1" applyFill="1" applyAlignment="1" applyProtection="1">
      <alignment horizontal="left"/>
      <protection locked="0"/>
    </xf>
    <xf numFmtId="14" fontId="3" fillId="25" borderId="0" xfId="0" applyNumberFormat="1" applyFont="1" applyFill="1" applyAlignment="1" applyProtection="1">
      <alignment horizontal="center"/>
      <protection locked="0"/>
    </xf>
    <xf numFmtId="0" fontId="10" fillId="2" borderId="6" xfId="0" applyFont="1" applyFill="1" applyBorder="1" applyAlignment="1" applyProtection="1">
      <alignment horizontal="left"/>
      <protection hidden="1"/>
    </xf>
    <xf numFmtId="0" fontId="5" fillId="16" borderId="32" xfId="0" applyFont="1" applyFill="1" applyBorder="1" applyAlignment="1" applyProtection="1">
      <alignment vertical="top" wrapText="1"/>
      <protection hidden="1"/>
    </xf>
    <xf numFmtId="0" fontId="18" fillId="16" borderId="32" xfId="0" applyFont="1" applyFill="1" applyBorder="1" applyAlignment="1" applyProtection="1">
      <alignment horizontal="center" vertical="top"/>
      <protection hidden="1"/>
    </xf>
    <xf numFmtId="0" fontId="5" fillId="16" borderId="32" xfId="0" applyFont="1" applyFill="1" applyBorder="1" applyAlignment="1" applyProtection="1">
      <alignment horizontal="left" vertical="top" wrapText="1"/>
      <protection hidden="1"/>
    </xf>
    <xf numFmtId="0" fontId="0" fillId="16" borderId="32" xfId="0" applyFill="1" applyBorder="1" applyAlignment="1" applyProtection="1">
      <alignment vertical="top" wrapText="1"/>
      <protection hidden="1"/>
    </xf>
    <xf numFmtId="0" fontId="5" fillId="16" borderId="32" xfId="0" applyFont="1" applyFill="1" applyBorder="1" applyAlignment="1">
      <alignment vertical="top" wrapText="1"/>
    </xf>
    <xf numFmtId="0" fontId="3" fillId="16" borderId="5" xfId="0" applyFont="1" applyFill="1" applyBorder="1" applyAlignment="1" applyProtection="1">
      <alignment vertical="top" wrapText="1"/>
      <protection hidden="1"/>
    </xf>
    <xf numFmtId="0" fontId="7" fillId="16" borderId="5" xfId="0" applyFont="1" applyFill="1" applyBorder="1" applyAlignment="1" applyProtection="1">
      <alignment horizontal="right" vertical="top"/>
      <protection hidden="1"/>
    </xf>
    <xf numFmtId="4" fontId="0" fillId="3" borderId="33" xfId="0" applyNumberFormat="1" applyFill="1" applyBorder="1" applyProtection="1">
      <protection hidden="1"/>
    </xf>
    <xf numFmtId="0" fontId="8" fillId="16" borderId="101" xfId="0" applyFont="1" applyFill="1" applyBorder="1" applyAlignment="1" applyProtection="1">
      <alignment horizontal="center"/>
      <protection hidden="1"/>
    </xf>
    <xf numFmtId="0" fontId="8" fillId="16" borderId="73" xfId="0" applyFont="1" applyFill="1" applyBorder="1" applyAlignment="1" applyProtection="1">
      <alignment horizontal="center"/>
      <protection hidden="1"/>
    </xf>
    <xf numFmtId="0" fontId="3" fillId="3" borderId="26" xfId="0" applyFont="1" applyFill="1" applyBorder="1" applyAlignment="1" applyProtection="1">
      <alignment horizontal="left" indent="2"/>
      <protection hidden="1"/>
    </xf>
    <xf numFmtId="39" fontId="10" fillId="3" borderId="14" xfId="0" applyNumberFormat="1" applyFont="1" applyFill="1" applyBorder="1" applyProtection="1">
      <protection hidden="1"/>
    </xf>
    <xf numFmtId="0" fontId="4" fillId="3" borderId="0" xfId="0" applyFont="1" applyFill="1" applyProtection="1">
      <protection hidden="1"/>
    </xf>
    <xf numFmtId="0" fontId="5" fillId="3" borderId="0" xfId="0" applyFont="1" applyFill="1" applyAlignment="1" applyProtection="1">
      <alignment horizontal="left" indent="1"/>
      <protection hidden="1"/>
    </xf>
    <xf numFmtId="0" fontId="3" fillId="16" borderId="3" xfId="0" applyFont="1" applyFill="1" applyBorder="1" applyProtection="1">
      <protection hidden="1"/>
    </xf>
    <xf numFmtId="0" fontId="18" fillId="16" borderId="0" xfId="0" applyFont="1" applyFill="1" applyAlignment="1" applyProtection="1">
      <alignment vertical="top"/>
      <protection hidden="1"/>
    </xf>
    <xf numFmtId="0" fontId="53" fillId="16" borderId="0" xfId="0" applyFont="1" applyFill="1" applyAlignment="1" applyProtection="1">
      <alignment vertical="top"/>
      <protection hidden="1"/>
    </xf>
    <xf numFmtId="0" fontId="53" fillId="16" borderId="0" xfId="0" applyFont="1" applyFill="1" applyAlignment="1" applyProtection="1">
      <alignment horizontal="left" indent="1"/>
      <protection hidden="1"/>
    </xf>
    <xf numFmtId="0" fontId="18" fillId="16" borderId="1" xfId="0" applyFont="1" applyFill="1" applyBorder="1" applyAlignment="1" applyProtection="1">
      <alignment vertical="top"/>
      <protection hidden="1"/>
    </xf>
    <xf numFmtId="0" fontId="18" fillId="16" borderId="17" xfId="0" applyFont="1" applyFill="1" applyBorder="1" applyAlignment="1" applyProtection="1">
      <alignment horizontal="right"/>
      <protection hidden="1"/>
    </xf>
    <xf numFmtId="0" fontId="0" fillId="16" borderId="17" xfId="0" applyFill="1" applyBorder="1" applyAlignment="1" applyProtection="1">
      <alignment horizontal="left"/>
      <protection hidden="1"/>
    </xf>
    <xf numFmtId="0" fontId="7" fillId="16" borderId="14" xfId="0" applyFont="1" applyFill="1" applyBorder="1" applyProtection="1">
      <protection hidden="1"/>
    </xf>
    <xf numFmtId="168" fontId="7" fillId="3" borderId="0" xfId="0" applyNumberFormat="1" applyFont="1" applyFill="1" applyProtection="1">
      <protection hidden="1"/>
    </xf>
    <xf numFmtId="3" fontId="7" fillId="3" borderId="0" xfId="0" applyNumberFormat="1" applyFont="1" applyFill="1" applyProtection="1">
      <protection hidden="1"/>
    </xf>
    <xf numFmtId="0" fontId="21" fillId="25" borderId="27" xfId="0" applyFont="1" applyFill="1" applyBorder="1" applyProtection="1">
      <protection hidden="1"/>
    </xf>
    <xf numFmtId="0" fontId="21" fillId="25" borderId="1" xfId="0" applyFont="1" applyFill="1" applyBorder="1" applyProtection="1">
      <protection hidden="1"/>
    </xf>
    <xf numFmtId="0" fontId="0" fillId="25" borderId="1" xfId="0" applyFill="1" applyBorder="1" applyAlignment="1" applyProtection="1">
      <alignment horizontal="center"/>
      <protection hidden="1"/>
    </xf>
    <xf numFmtId="0" fontId="0" fillId="25" borderId="1" xfId="0" applyFill="1" applyBorder="1" applyProtection="1">
      <protection hidden="1"/>
    </xf>
    <xf numFmtId="0" fontId="0" fillId="25" borderId="1" xfId="0" applyFill="1" applyBorder="1" applyAlignment="1" applyProtection="1">
      <alignment horizontal="left"/>
      <protection hidden="1"/>
    </xf>
    <xf numFmtId="0" fontId="5" fillId="25" borderId="1" xfId="0" applyFont="1" applyFill="1" applyBorder="1" applyAlignment="1" applyProtection="1">
      <alignment vertical="top"/>
      <protection hidden="1"/>
    </xf>
    <xf numFmtId="0" fontId="21" fillId="25" borderId="30" xfId="0" applyFont="1" applyFill="1" applyBorder="1" applyProtection="1">
      <protection hidden="1"/>
    </xf>
    <xf numFmtId="49" fontId="8" fillId="25" borderId="0" xfId="0" applyNumberFormat="1" applyFont="1" applyFill="1" applyAlignment="1" applyProtection="1">
      <alignment horizontal="center" vertical="center"/>
      <protection hidden="1"/>
    </xf>
    <xf numFmtId="0" fontId="5" fillId="25" borderId="0" xfId="0" applyFont="1" applyFill="1" applyAlignment="1" applyProtection="1">
      <alignment horizontal="left" vertical="center"/>
      <protection hidden="1"/>
    </xf>
    <xf numFmtId="3" fontId="13" fillId="25" borderId="0" xfId="0" applyNumberFormat="1" applyFont="1" applyFill="1" applyAlignment="1" applyProtection="1">
      <alignment horizontal="center"/>
      <protection hidden="1"/>
    </xf>
    <xf numFmtId="3" fontId="13" fillId="25" borderId="0" xfId="0" applyNumberFormat="1" applyFont="1" applyFill="1" applyAlignment="1" applyProtection="1">
      <alignment horizontal="right"/>
      <protection hidden="1"/>
    </xf>
    <xf numFmtId="0" fontId="13" fillId="25" borderId="0" xfId="0" applyFont="1" applyFill="1" applyAlignment="1" applyProtection="1">
      <alignment horizontal="right"/>
      <protection hidden="1"/>
    </xf>
    <xf numFmtId="0" fontId="5" fillId="25" borderId="0" xfId="0" applyFont="1" applyFill="1" applyAlignment="1" applyProtection="1">
      <alignment vertical="center"/>
      <protection hidden="1"/>
    </xf>
    <xf numFmtId="4" fontId="3" fillId="25" borderId="0" xfId="0" applyNumberFormat="1" applyFont="1" applyFill="1" applyAlignment="1" applyProtection="1">
      <alignment horizontal="right"/>
      <protection hidden="1"/>
    </xf>
    <xf numFmtId="4" fontId="5" fillId="25" borderId="0" xfId="0" applyNumberFormat="1" applyFont="1" applyFill="1" applyProtection="1">
      <protection hidden="1"/>
    </xf>
    <xf numFmtId="164" fontId="3" fillId="25" borderId="6" xfId="0" applyNumberFormat="1" applyFont="1" applyFill="1" applyBorder="1" applyAlignment="1" applyProtection="1">
      <alignment horizontal="right"/>
      <protection hidden="1"/>
    </xf>
    <xf numFmtId="0" fontId="3" fillId="25" borderId="6" xfId="0" applyFont="1" applyFill="1" applyBorder="1" applyProtection="1">
      <protection hidden="1"/>
    </xf>
    <xf numFmtId="0" fontId="3" fillId="25" borderId="6" xfId="0" applyFont="1" applyFill="1" applyBorder="1" applyAlignment="1" applyProtection="1">
      <alignment vertical="top"/>
      <protection hidden="1"/>
    </xf>
    <xf numFmtId="0" fontId="3" fillId="25" borderId="108" xfId="0" applyFont="1" applyFill="1" applyBorder="1"/>
    <xf numFmtId="0" fontId="18" fillId="25" borderId="6" xfId="0" applyFont="1" applyFill="1" applyBorder="1" applyAlignment="1" applyProtection="1">
      <alignment horizontal="left" vertical="center"/>
      <protection hidden="1"/>
    </xf>
    <xf numFmtId="0" fontId="8" fillId="25" borderId="0" xfId="0" applyFont="1" applyFill="1" applyAlignment="1">
      <alignment horizontal="left"/>
    </xf>
    <xf numFmtId="0" fontId="64" fillId="5" borderId="0" xfId="0" applyFont="1" applyFill="1" applyAlignment="1">
      <alignment horizontal="left"/>
    </xf>
    <xf numFmtId="0" fontId="3" fillId="16" borderId="12" xfId="0" applyFont="1" applyFill="1" applyBorder="1" applyAlignment="1" applyProtection="1">
      <alignment horizontal="right"/>
      <protection hidden="1"/>
    </xf>
    <xf numFmtId="0" fontId="3" fillId="2" borderId="8" xfId="0" applyFont="1" applyFill="1" applyBorder="1" applyAlignment="1" applyProtection="1">
      <alignment vertical="top"/>
      <protection hidden="1"/>
    </xf>
    <xf numFmtId="0" fontId="10" fillId="2" borderId="8" xfId="0" applyFont="1" applyFill="1" applyBorder="1" applyAlignment="1" applyProtection="1">
      <alignment vertical="top"/>
      <protection hidden="1"/>
    </xf>
    <xf numFmtId="0" fontId="5" fillId="2" borderId="8" xfId="0" applyFont="1" applyFill="1" applyBorder="1" applyAlignment="1" applyProtection="1">
      <alignment horizontal="right"/>
      <protection hidden="1"/>
    </xf>
    <xf numFmtId="0" fontId="121" fillId="5" borderId="8" xfId="0" applyFont="1" applyFill="1" applyBorder="1" applyAlignment="1" applyProtection="1">
      <alignment horizontal="center"/>
      <protection hidden="1"/>
    </xf>
    <xf numFmtId="0" fontId="3" fillId="16" borderId="0" xfId="0" quotePrefix="1" applyFont="1" applyFill="1" applyAlignment="1" applyProtection="1">
      <alignment horizontal="right" vertical="top"/>
      <protection hidden="1"/>
    </xf>
    <xf numFmtId="37" fontId="5" fillId="26" borderId="1" xfId="0" applyNumberFormat="1" applyFont="1" applyFill="1" applyBorder="1" applyProtection="1">
      <protection hidden="1"/>
    </xf>
    <xf numFmtId="3" fontId="7" fillId="0" borderId="13" xfId="0" applyNumberFormat="1" applyFont="1" applyBorder="1" applyAlignment="1" applyProtection="1">
      <alignment horizontal="center" vertical="center"/>
      <protection hidden="1"/>
    </xf>
    <xf numFmtId="3" fontId="7" fillId="0" borderId="59" xfId="0" applyNumberFormat="1" applyFont="1" applyBorder="1" applyAlignment="1" applyProtection="1">
      <alignment horizontal="center" vertical="center"/>
      <protection hidden="1"/>
    </xf>
    <xf numFmtId="3" fontId="7" fillId="0" borderId="52" xfId="0" applyNumberFormat="1" applyFont="1" applyBorder="1" applyAlignment="1" applyProtection="1">
      <alignment horizontal="center" vertical="center"/>
      <protection hidden="1"/>
    </xf>
    <xf numFmtId="3" fontId="7" fillId="0" borderId="111" xfId="0" applyNumberFormat="1" applyFont="1" applyBorder="1" applyAlignment="1" applyProtection="1">
      <alignment horizontal="center" vertical="center"/>
      <protection hidden="1"/>
    </xf>
    <xf numFmtId="0" fontId="251" fillId="16" borderId="0" xfId="0" applyFont="1" applyFill="1"/>
    <xf numFmtId="0" fontId="29" fillId="16" borderId="0" xfId="0" applyFont="1" applyFill="1" applyAlignment="1">
      <alignment horizontal="left"/>
    </xf>
    <xf numFmtId="0" fontId="75" fillId="16" borderId="6" xfId="2" applyFill="1" applyBorder="1" applyAlignment="1" applyProtection="1">
      <protection hidden="1"/>
    </xf>
    <xf numFmtId="0" fontId="75" fillId="16" borderId="21" xfId="2" applyFill="1" applyBorder="1" applyAlignment="1" applyProtection="1"/>
    <xf numFmtId="0" fontId="252" fillId="16" borderId="0" xfId="0" applyFont="1" applyFill="1"/>
    <xf numFmtId="0" fontId="252" fillId="16" borderId="21" xfId="0" applyFont="1" applyFill="1" applyBorder="1"/>
    <xf numFmtId="0" fontId="170" fillId="16" borderId="0" xfId="0" applyFont="1" applyFill="1"/>
    <xf numFmtId="0" fontId="18" fillId="16" borderId="0" xfId="0" applyFont="1" applyFill="1" applyAlignment="1" applyProtection="1">
      <alignment horizontal="center" wrapText="1"/>
      <protection hidden="1"/>
    </xf>
    <xf numFmtId="0" fontId="3" fillId="16" borderId="3" xfId="0" applyFont="1" applyFill="1" applyBorder="1" applyAlignment="1" applyProtection="1">
      <alignment horizontal="center"/>
      <protection hidden="1"/>
    </xf>
    <xf numFmtId="0" fontId="3" fillId="16" borderId="25" xfId="0" applyFont="1" applyFill="1" applyBorder="1" applyAlignment="1" applyProtection="1">
      <alignment horizontal="center"/>
      <protection hidden="1"/>
    </xf>
    <xf numFmtId="0" fontId="3" fillId="16" borderId="0" xfId="0" applyFont="1" applyFill="1" applyAlignment="1" applyProtection="1">
      <alignment horizontal="right" vertical="top"/>
      <protection hidden="1"/>
    </xf>
    <xf numFmtId="0" fontId="3" fillId="16" borderId="0" xfId="0" applyFont="1" applyFill="1" applyAlignment="1" applyProtection="1">
      <alignment horizontal="right" vertical="center" wrapText="1" indent="1"/>
      <protection hidden="1"/>
    </xf>
    <xf numFmtId="0" fontId="3" fillId="16" borderId="5" xfId="0" applyFont="1" applyFill="1" applyBorder="1" applyAlignment="1" applyProtection="1">
      <alignment horizontal="center" wrapText="1"/>
      <protection hidden="1"/>
    </xf>
    <xf numFmtId="0" fontId="5" fillId="16" borderId="0" xfId="0" applyFont="1" applyFill="1" applyAlignment="1" applyProtection="1">
      <alignment horizontal="right" indent="1"/>
      <protection hidden="1"/>
    </xf>
    <xf numFmtId="37" fontId="0" fillId="16" borderId="3" xfId="0" applyNumberFormat="1" applyFill="1" applyBorder="1" applyAlignment="1" applyProtection="1">
      <alignment wrapText="1"/>
      <protection hidden="1"/>
    </xf>
    <xf numFmtId="37" fontId="0" fillId="16" borderId="0" xfId="0" applyNumberFormat="1" applyFill="1" applyAlignment="1" applyProtection="1">
      <alignment wrapText="1"/>
      <protection hidden="1"/>
    </xf>
    <xf numFmtId="37" fontId="0" fillId="16" borderId="25" xfId="0" applyNumberFormat="1" applyFill="1" applyBorder="1" applyAlignment="1" applyProtection="1">
      <alignment wrapText="1"/>
      <protection hidden="1"/>
    </xf>
    <xf numFmtId="0" fontId="3" fillId="16" borderId="55" xfId="0" applyFont="1" applyFill="1" applyBorder="1" applyAlignment="1" applyProtection="1">
      <alignment horizontal="right"/>
      <protection hidden="1"/>
    </xf>
    <xf numFmtId="0" fontId="10" fillId="3" borderId="0" xfId="0" applyFont="1" applyFill="1" applyAlignment="1" applyProtection="1">
      <alignment vertical="center"/>
      <protection hidden="1"/>
    </xf>
    <xf numFmtId="0" fontId="10" fillId="3" borderId="21" xfId="0" applyFont="1" applyFill="1" applyBorder="1" applyAlignment="1" applyProtection="1">
      <alignment vertical="center"/>
      <protection hidden="1"/>
    </xf>
    <xf numFmtId="0" fontId="10" fillId="3" borderId="17" xfId="0" applyFont="1" applyFill="1" applyBorder="1" applyProtection="1">
      <protection hidden="1"/>
    </xf>
    <xf numFmtId="0" fontId="8" fillId="3" borderId="17" xfId="0" applyFont="1" applyFill="1" applyBorder="1" applyProtection="1">
      <protection hidden="1"/>
    </xf>
    <xf numFmtId="0" fontId="163" fillId="3" borderId="17" xfId="0" applyFont="1" applyFill="1" applyBorder="1" applyAlignment="1" applyProtection="1">
      <alignment horizontal="right"/>
      <protection hidden="1"/>
    </xf>
    <xf numFmtId="0" fontId="163" fillId="3" borderId="17" xfId="0" applyFont="1" applyFill="1" applyBorder="1" applyProtection="1">
      <protection hidden="1"/>
    </xf>
    <xf numFmtId="0" fontId="165" fillId="3" borderId="11" xfId="0" applyFont="1" applyFill="1" applyBorder="1" applyAlignment="1" applyProtection="1">
      <alignment horizontal="center"/>
      <protection hidden="1"/>
    </xf>
    <xf numFmtId="0" fontId="0" fillId="7" borderId="7" xfId="0" applyFill="1" applyBorder="1" applyAlignment="1" applyProtection="1">
      <alignment horizontal="center"/>
      <protection hidden="1"/>
    </xf>
    <xf numFmtId="0" fontId="5" fillId="3" borderId="5" xfId="0" applyFont="1" applyFill="1" applyBorder="1" applyAlignment="1" applyProtection="1">
      <alignment vertical="top"/>
      <protection hidden="1"/>
    </xf>
    <xf numFmtId="0" fontId="255" fillId="9" borderId="1" xfId="0" applyFont="1" applyFill="1" applyBorder="1" applyAlignment="1" applyProtection="1">
      <alignment horizontal="center" vertical="center"/>
      <protection hidden="1"/>
    </xf>
    <xf numFmtId="0" fontId="165" fillId="3" borderId="0" xfId="0" applyFont="1" applyFill="1" applyAlignment="1" applyProtection="1">
      <alignment horizontal="right" indent="1"/>
      <protection hidden="1"/>
    </xf>
    <xf numFmtId="0" fontId="0" fillId="3" borderId="0" xfId="0" applyFill="1" applyAlignment="1" applyProtection="1">
      <alignment horizontal="right" indent="1"/>
      <protection hidden="1"/>
    </xf>
    <xf numFmtId="0" fontId="165" fillId="3" borderId="1" xfId="0" applyFont="1" applyFill="1" applyBorder="1" applyAlignment="1" applyProtection="1">
      <alignment horizontal="right" indent="1"/>
      <protection hidden="1"/>
    </xf>
    <xf numFmtId="0" fontId="53" fillId="3" borderId="0" xfId="0" applyFont="1" applyFill="1" applyAlignment="1" applyProtection="1">
      <alignment horizontal="left"/>
      <protection hidden="1"/>
    </xf>
    <xf numFmtId="0" fontId="53" fillId="3" borderId="0" xfId="0" applyFont="1" applyFill="1" applyAlignment="1" applyProtection="1">
      <alignment vertical="top"/>
      <protection hidden="1"/>
    </xf>
    <xf numFmtId="0" fontId="165" fillId="3" borderId="0" xfId="0" applyFont="1" applyFill="1" applyAlignment="1" applyProtection="1">
      <alignment vertical="center"/>
      <protection hidden="1"/>
    </xf>
    <xf numFmtId="166" fontId="8" fillId="29" borderId="1" xfId="0" applyNumberFormat="1" applyFont="1" applyFill="1" applyBorder="1" applyAlignment="1" applyProtection="1">
      <alignment horizontal="center"/>
      <protection hidden="1"/>
    </xf>
    <xf numFmtId="39" fontId="162" fillId="29" borderId="1" xfId="0" applyNumberFormat="1" applyFont="1" applyFill="1" applyBorder="1" applyProtection="1">
      <protection hidden="1"/>
    </xf>
    <xf numFmtId="0" fontId="145" fillId="10" borderId="0" xfId="0" applyFont="1" applyFill="1" applyAlignment="1">
      <alignment horizontal="center"/>
    </xf>
    <xf numFmtId="0" fontId="125" fillId="10" borderId="0" xfId="0" applyFont="1" applyFill="1" applyAlignment="1">
      <alignment horizontal="center"/>
    </xf>
    <xf numFmtId="37" fontId="142" fillId="10" borderId="0" xfId="0" applyNumberFormat="1" applyFont="1" applyFill="1" applyAlignment="1">
      <alignment horizontal="right"/>
    </xf>
    <xf numFmtId="0" fontId="7" fillId="15" borderId="7" xfId="0" applyFont="1" applyFill="1" applyBorder="1" applyAlignment="1" applyProtection="1">
      <alignment horizontal="center"/>
      <protection hidden="1"/>
    </xf>
    <xf numFmtId="0" fontId="53" fillId="3" borderId="0" xfId="0" applyFont="1" applyFill="1" applyAlignment="1" applyProtection="1">
      <alignment horizontal="right"/>
      <protection hidden="1"/>
    </xf>
    <xf numFmtId="0" fontId="16" fillId="3" borderId="0" xfId="0" applyFont="1" applyFill="1" applyProtection="1">
      <protection hidden="1"/>
    </xf>
    <xf numFmtId="0" fontId="256" fillId="3" borderId="0" xfId="0" applyFont="1" applyFill="1" applyProtection="1">
      <protection hidden="1"/>
    </xf>
    <xf numFmtId="0" fontId="16" fillId="3" borderId="0" xfId="0" applyFont="1" applyFill="1" applyAlignment="1" applyProtection="1">
      <alignment vertical="center"/>
      <protection hidden="1"/>
    </xf>
    <xf numFmtId="0" fontId="0" fillId="3" borderId="0" xfId="0" applyFill="1" applyAlignment="1" applyProtection="1">
      <alignment horizontal="right" vertical="center"/>
      <protection hidden="1"/>
    </xf>
    <xf numFmtId="0" fontId="165" fillId="3" borderId="0" xfId="0" applyFont="1" applyFill="1" applyAlignment="1" applyProtection="1">
      <alignment horizontal="right" vertical="center"/>
      <protection hidden="1"/>
    </xf>
    <xf numFmtId="0" fontId="41" fillId="3" borderId="0" xfId="0" applyFont="1" applyFill="1" applyAlignment="1" applyProtection="1">
      <alignment vertical="center"/>
      <protection hidden="1"/>
    </xf>
    <xf numFmtId="0" fontId="0" fillId="7" borderId="7" xfId="0" applyFill="1" applyBorder="1" applyAlignment="1" applyProtection="1">
      <alignment horizontal="center" vertical="center"/>
      <protection hidden="1"/>
    </xf>
    <xf numFmtId="0" fontId="0" fillId="7" borderId="7" xfId="0" applyFill="1" applyBorder="1" applyAlignment="1" applyProtection="1">
      <alignment vertical="center"/>
      <protection hidden="1"/>
    </xf>
    <xf numFmtId="0" fontId="145" fillId="10" borderId="0" xfId="0" applyFont="1" applyFill="1" applyAlignment="1">
      <alignment horizontal="center" vertical="center"/>
    </xf>
    <xf numFmtId="0" fontId="5" fillId="0" borderId="0" xfId="0" applyFont="1" applyAlignment="1">
      <alignment vertical="center"/>
    </xf>
    <xf numFmtId="0" fontId="5" fillId="16" borderId="10" xfId="0" applyFont="1" applyFill="1" applyBorder="1" applyAlignment="1" applyProtection="1">
      <alignment horizontal="left" vertical="center"/>
      <protection hidden="1"/>
    </xf>
    <xf numFmtId="0" fontId="41" fillId="3" borderId="0" xfId="0" applyFont="1" applyFill="1" applyAlignment="1" applyProtection="1">
      <alignment vertical="top"/>
      <protection hidden="1"/>
    </xf>
    <xf numFmtId="0" fontId="3" fillId="27" borderId="2" xfId="0" applyFont="1" applyFill="1" applyBorder="1" applyAlignment="1" applyProtection="1">
      <alignment horizontal="center" vertical="center"/>
      <protection hidden="1"/>
    </xf>
    <xf numFmtId="0" fontId="3" fillId="3" borderId="0" xfId="0" applyFont="1" applyFill="1" applyAlignment="1" applyProtection="1">
      <alignment horizontal="right" indent="1"/>
      <protection hidden="1"/>
    </xf>
    <xf numFmtId="0" fontId="5" fillId="3" borderId="5" xfId="0" applyFont="1" applyFill="1" applyBorder="1" applyAlignment="1" applyProtection="1">
      <alignment horizontal="right" indent="1"/>
      <protection hidden="1"/>
    </xf>
    <xf numFmtId="0" fontId="5" fillId="3" borderId="0" xfId="0" applyFont="1" applyFill="1" applyAlignment="1" applyProtection="1">
      <alignment horizontal="right" indent="1"/>
      <protection hidden="1"/>
    </xf>
    <xf numFmtId="0" fontId="3" fillId="3" borderId="5" xfId="0" applyFont="1" applyFill="1" applyBorder="1" applyAlignment="1" applyProtection="1">
      <alignment horizontal="center"/>
      <protection hidden="1"/>
    </xf>
    <xf numFmtId="0" fontId="18" fillId="16" borderId="24" xfId="0" applyFont="1" applyFill="1" applyBorder="1" applyAlignment="1" applyProtection="1">
      <alignment horizontal="left" vertical="center" indent="1"/>
      <protection hidden="1"/>
    </xf>
    <xf numFmtId="0" fontId="18" fillId="16" borderId="6" xfId="0" applyFont="1" applyFill="1" applyBorder="1" applyAlignment="1" applyProtection="1">
      <alignment horizontal="left" indent="1"/>
      <protection hidden="1"/>
    </xf>
    <xf numFmtId="0" fontId="5" fillId="5" borderId="0" xfId="0" applyFont="1" applyFill="1"/>
    <xf numFmtId="0" fontId="142" fillId="32" borderId="28" xfId="0" applyFont="1" applyFill="1" applyBorder="1" applyAlignment="1" applyProtection="1">
      <alignment vertical="center"/>
      <protection hidden="1"/>
    </xf>
    <xf numFmtId="0" fontId="3" fillId="30" borderId="0" xfId="0" applyFont="1" applyFill="1" applyAlignment="1" applyProtection="1">
      <alignment horizontal="right"/>
      <protection hidden="1"/>
    </xf>
    <xf numFmtId="0" fontId="3" fillId="0" borderId="0" xfId="0" applyFont="1" applyAlignment="1" applyProtection="1">
      <alignment horizontal="left"/>
      <protection hidden="1"/>
    </xf>
    <xf numFmtId="189" fontId="6" fillId="2" borderId="46" xfId="0" applyNumberFormat="1" applyFont="1" applyFill="1" applyBorder="1" applyAlignment="1" applyProtection="1">
      <alignment horizontal="center"/>
      <protection hidden="1"/>
    </xf>
    <xf numFmtId="0" fontId="70" fillId="3" borderId="1" xfId="0" applyFont="1" applyFill="1" applyBorder="1" applyAlignment="1" applyProtection="1">
      <alignment horizontal="right"/>
      <protection hidden="1"/>
    </xf>
    <xf numFmtId="39" fontId="10" fillId="3" borderId="1" xfId="0" applyNumberFormat="1" applyFont="1" applyFill="1" applyBorder="1" applyAlignment="1" applyProtection="1">
      <alignment horizontal="right"/>
      <protection hidden="1"/>
    </xf>
    <xf numFmtId="39" fontId="10" fillId="30" borderId="27" xfId="0" applyNumberFormat="1" applyFont="1" applyFill="1" applyBorder="1" applyAlignment="1" applyProtection="1">
      <alignment horizontal="right"/>
      <protection hidden="1"/>
    </xf>
    <xf numFmtId="39" fontId="10" fillId="30" borderId="1" xfId="0" applyNumberFormat="1" applyFont="1" applyFill="1" applyBorder="1" applyAlignment="1" applyProtection="1">
      <alignment horizontal="right"/>
      <protection hidden="1"/>
    </xf>
    <xf numFmtId="39" fontId="10" fillId="30" borderId="30" xfId="0" applyNumberFormat="1" applyFont="1" applyFill="1" applyBorder="1" applyAlignment="1" applyProtection="1">
      <alignment horizontal="right"/>
      <protection hidden="1"/>
    </xf>
    <xf numFmtId="3" fontId="6" fillId="2" borderId="31" xfId="0" applyNumberFormat="1" applyFont="1" applyFill="1" applyBorder="1" applyAlignment="1" applyProtection="1">
      <alignment horizontal="right" vertical="center"/>
      <protection locked="0"/>
    </xf>
    <xf numFmtId="0" fontId="29" fillId="16" borderId="6" xfId="0" applyFont="1" applyFill="1" applyBorder="1" applyAlignment="1" applyProtection="1">
      <alignment horizontal="left" indent="1"/>
      <protection hidden="1"/>
    </xf>
    <xf numFmtId="4" fontId="5" fillId="2" borderId="0" xfId="0" applyNumberFormat="1" applyFont="1" applyFill="1" applyProtection="1">
      <protection hidden="1"/>
    </xf>
    <xf numFmtId="0" fontId="199" fillId="2" borderId="0" xfId="0" applyFont="1" applyFill="1" applyAlignment="1" applyProtection="1">
      <alignment horizontal="right" indent="2"/>
      <protection hidden="1"/>
    </xf>
    <xf numFmtId="0" fontId="7" fillId="16" borderId="3" xfId="0" applyFont="1" applyFill="1" applyBorder="1" applyProtection="1">
      <protection hidden="1"/>
    </xf>
    <xf numFmtId="0" fontId="7" fillId="16" borderId="10" xfId="0" applyFont="1" applyFill="1" applyBorder="1" applyProtection="1">
      <protection hidden="1"/>
    </xf>
    <xf numFmtId="4" fontId="0" fillId="3" borderId="0" xfId="0" applyNumberFormat="1" applyFill="1" applyAlignment="1" applyProtection="1">
      <alignment horizontal="center"/>
      <protection hidden="1"/>
    </xf>
    <xf numFmtId="0" fontId="16" fillId="16" borderId="9" xfId="0" applyFont="1" applyFill="1" applyBorder="1" applyAlignment="1" applyProtection="1">
      <alignment horizontal="center"/>
      <protection hidden="1"/>
    </xf>
    <xf numFmtId="0" fontId="16" fillId="16" borderId="0" xfId="0" applyFont="1" applyFill="1" applyAlignment="1" applyProtection="1">
      <alignment horizontal="center"/>
      <protection hidden="1"/>
    </xf>
    <xf numFmtId="0" fontId="16" fillId="16" borderId="1" xfId="0" applyFont="1" applyFill="1" applyBorder="1" applyAlignment="1" applyProtection="1">
      <alignment horizontal="center"/>
      <protection hidden="1"/>
    </xf>
    <xf numFmtId="4" fontId="10" fillId="3" borderId="7" xfId="0" applyNumberFormat="1" applyFont="1" applyFill="1" applyBorder="1" applyAlignment="1" applyProtection="1">
      <alignment horizontal="center"/>
      <protection hidden="1"/>
    </xf>
    <xf numFmtId="4" fontId="10" fillId="3" borderId="8" xfId="0" applyNumberFormat="1" applyFont="1" applyFill="1" applyBorder="1" applyAlignment="1" applyProtection="1">
      <alignment horizontal="center"/>
      <protection hidden="1"/>
    </xf>
    <xf numFmtId="4" fontId="0" fillId="0" borderId="0" xfId="0" applyNumberFormat="1" applyAlignment="1" applyProtection="1">
      <alignment horizontal="center"/>
      <protection hidden="1"/>
    </xf>
    <xf numFmtId="0" fontId="18" fillId="3" borderId="0" xfId="0" applyFont="1" applyFill="1" applyAlignment="1" applyProtection="1">
      <alignment horizontal="left" vertical="top"/>
      <protection hidden="1"/>
    </xf>
    <xf numFmtId="0" fontId="74" fillId="5" borderId="0" xfId="0" applyFont="1" applyFill="1" applyAlignment="1" applyProtection="1">
      <alignment vertical="top"/>
      <protection hidden="1"/>
    </xf>
    <xf numFmtId="0" fontId="64" fillId="5" borderId="0" xfId="0" applyFont="1" applyFill="1" applyAlignment="1" applyProtection="1">
      <alignment vertical="top"/>
      <protection hidden="1"/>
    </xf>
    <xf numFmtId="0" fontId="0" fillId="5" borderId="0" xfId="0" applyFill="1" applyAlignment="1" applyProtection="1">
      <alignment horizontal="right"/>
      <protection hidden="1"/>
    </xf>
    <xf numFmtId="0" fontId="7" fillId="5" borderId="0" xfId="0" applyFont="1" applyFill="1" applyAlignment="1" applyProtection="1">
      <alignment vertical="top"/>
      <protection hidden="1"/>
    </xf>
    <xf numFmtId="4" fontId="131" fillId="16" borderId="0" xfId="0" applyNumberFormat="1" applyFont="1" applyFill="1" applyProtection="1">
      <protection hidden="1"/>
    </xf>
    <xf numFmtId="37" fontId="0" fillId="0" borderId="13" xfId="0" applyNumberFormat="1" applyBorder="1" applyAlignment="1" applyProtection="1">
      <alignment horizontal="right"/>
      <protection hidden="1"/>
    </xf>
    <xf numFmtId="4" fontId="13" fillId="16" borderId="0" xfId="0" applyNumberFormat="1" applyFont="1" applyFill="1" applyProtection="1">
      <protection hidden="1"/>
    </xf>
    <xf numFmtId="37" fontId="0" fillId="25" borderId="0" xfId="0" applyNumberFormat="1" applyFill="1" applyProtection="1">
      <protection locked="0"/>
    </xf>
    <xf numFmtId="37" fontId="0" fillId="25" borderId="0" xfId="0" applyNumberFormat="1" applyFill="1" applyAlignment="1" applyProtection="1">
      <alignment vertical="top"/>
      <protection locked="0"/>
    </xf>
    <xf numFmtId="37" fontId="0" fillId="0" borderId="0" xfId="0" applyNumberFormat="1" applyProtection="1">
      <protection locked="0"/>
    </xf>
    <xf numFmtId="14" fontId="0" fillId="25" borderId="0" xfId="0" applyNumberFormat="1" applyFill="1" applyAlignment="1" applyProtection="1">
      <alignment vertical="top"/>
      <protection locked="0"/>
    </xf>
    <xf numFmtId="14" fontId="5" fillId="25" borderId="1" xfId="0" applyNumberFormat="1" applyFont="1" applyFill="1" applyBorder="1" applyAlignment="1" applyProtection="1">
      <alignment horizontal="center"/>
      <protection locked="0"/>
    </xf>
    <xf numFmtId="0" fontId="5" fillId="25" borderId="20" xfId="0" applyFont="1" applyFill="1" applyBorder="1" applyProtection="1">
      <protection hidden="1"/>
    </xf>
    <xf numFmtId="0" fontId="3" fillId="25" borderId="24" xfId="0" applyFont="1" applyFill="1" applyBorder="1" applyAlignment="1" applyProtection="1">
      <alignment horizontal="right"/>
      <protection hidden="1"/>
    </xf>
    <xf numFmtId="37" fontId="131" fillId="0" borderId="0" xfId="0" applyNumberFormat="1" applyFont="1" applyProtection="1">
      <protection hidden="1"/>
    </xf>
    <xf numFmtId="0" fontId="131" fillId="0" borderId="0" xfId="0" applyFont="1" applyAlignment="1" applyProtection="1">
      <alignment vertical="center"/>
      <protection hidden="1"/>
    </xf>
    <xf numFmtId="37" fontId="5" fillId="25" borderId="0" xfId="0" applyNumberFormat="1" applyFont="1" applyFill="1" applyProtection="1">
      <protection locked="0"/>
    </xf>
    <xf numFmtId="37" fontId="5" fillId="25" borderId="0" xfId="0" applyNumberFormat="1" applyFont="1" applyFill="1" applyAlignment="1" applyProtection="1">
      <alignment vertical="top"/>
      <protection locked="0"/>
    </xf>
    <xf numFmtId="37" fontId="0" fillId="25" borderId="1" xfId="0" applyNumberFormat="1" applyFill="1" applyBorder="1" applyAlignment="1" applyProtection="1">
      <alignment horizontal="center"/>
      <protection locked="0"/>
    </xf>
    <xf numFmtId="37" fontId="0" fillId="25" borderId="26" xfId="0" applyNumberFormat="1" applyFill="1" applyBorder="1" applyAlignment="1" applyProtection="1">
      <alignment horizontal="center"/>
      <protection locked="0"/>
    </xf>
    <xf numFmtId="37" fontId="5" fillId="25" borderId="0" xfId="0" applyNumberFormat="1" applyFont="1" applyFill="1" applyAlignment="1" applyProtection="1">
      <alignment horizontal="left" indent="1"/>
      <protection locked="0"/>
    </xf>
    <xf numFmtId="0" fontId="18" fillId="2" borderId="0" xfId="0" applyFont="1" applyFill="1" applyAlignment="1" applyProtection="1">
      <alignment vertical="center"/>
      <protection hidden="1"/>
    </xf>
    <xf numFmtId="0" fontId="53" fillId="2" borderId="28" xfId="0" applyFont="1" applyFill="1" applyBorder="1" applyAlignment="1" applyProtection="1">
      <alignment vertical="center"/>
      <protection hidden="1"/>
    </xf>
    <xf numFmtId="0" fontId="12" fillId="2" borderId="28" xfId="0" applyFont="1" applyFill="1" applyBorder="1" applyAlignment="1" applyProtection="1">
      <alignment horizontal="left" vertical="center" indent="1"/>
      <protection hidden="1"/>
    </xf>
    <xf numFmtId="0" fontId="16" fillId="2" borderId="9" xfId="0" applyFont="1" applyFill="1" applyBorder="1" applyAlignment="1" applyProtection="1">
      <alignment vertical="center"/>
      <protection hidden="1"/>
    </xf>
    <xf numFmtId="0" fontId="18" fillId="2" borderId="0" xfId="0" applyFont="1" applyFill="1" applyAlignment="1" applyProtection="1">
      <alignment horizontal="center" vertical="center"/>
      <protection hidden="1"/>
    </xf>
    <xf numFmtId="0" fontId="53" fillId="2" borderId="0" xfId="0" applyFont="1" applyFill="1" applyAlignment="1" applyProtection="1">
      <alignment horizontal="right" vertical="center"/>
      <protection hidden="1"/>
    </xf>
    <xf numFmtId="0" fontId="12" fillId="2" borderId="0" xfId="0" applyFont="1" applyFill="1" applyAlignment="1" applyProtection="1">
      <alignment horizontal="right" vertical="center"/>
      <protection hidden="1"/>
    </xf>
    <xf numFmtId="0" fontId="13" fillId="2" borderId="0" xfId="0" applyFont="1" applyFill="1" applyAlignment="1" applyProtection="1">
      <alignment horizontal="right" vertical="center"/>
      <protection hidden="1"/>
    </xf>
    <xf numFmtId="39" fontId="129" fillId="2" borderId="25" xfId="0" applyNumberFormat="1" applyFont="1" applyFill="1" applyBorder="1" applyAlignment="1" applyProtection="1">
      <alignment horizontal="right" vertical="center"/>
      <protection locked="0"/>
    </xf>
    <xf numFmtId="0" fontId="184" fillId="24" borderId="0" xfId="0" applyFont="1" applyFill="1" applyAlignment="1" applyProtection="1">
      <alignment vertical="center"/>
      <protection hidden="1"/>
    </xf>
    <xf numFmtId="0" fontId="13" fillId="16" borderId="0" xfId="0" applyFont="1" applyFill="1" applyAlignment="1" applyProtection="1">
      <alignment horizontal="right" vertical="center"/>
      <protection hidden="1"/>
    </xf>
    <xf numFmtId="0" fontId="8" fillId="16" borderId="6" xfId="0" applyFont="1" applyFill="1" applyBorder="1" applyAlignment="1">
      <alignment vertical="center" wrapText="1"/>
    </xf>
    <xf numFmtId="0" fontId="8" fillId="16" borderId="6" xfId="0" applyFont="1" applyFill="1" applyBorder="1"/>
    <xf numFmtId="0" fontId="131" fillId="16" borderId="6" xfId="0" applyFont="1" applyFill="1" applyBorder="1"/>
    <xf numFmtId="0" fontId="129" fillId="16" borderId="6" xfId="0" applyFont="1" applyFill="1" applyBorder="1"/>
    <xf numFmtId="0" fontId="5" fillId="8" borderId="0" xfId="0" applyFont="1" applyFill="1" applyProtection="1">
      <protection hidden="1"/>
    </xf>
    <xf numFmtId="0" fontId="141" fillId="8" borderId="21" xfId="0" applyFont="1" applyFill="1" applyBorder="1" applyAlignment="1" applyProtection="1">
      <alignment vertical="top" wrapText="1"/>
      <protection hidden="1"/>
    </xf>
    <xf numFmtId="0" fontId="3" fillId="17" borderId="13" xfId="0" applyFont="1" applyFill="1" applyBorder="1" applyAlignment="1" applyProtection="1">
      <alignment horizontal="center" vertical="center"/>
      <protection locked="0" hidden="1"/>
    </xf>
    <xf numFmtId="0" fontId="3" fillId="16" borderId="12" xfId="0" applyFont="1" applyFill="1" applyBorder="1" applyAlignment="1">
      <alignment horizontal="right" vertical="center"/>
    </xf>
    <xf numFmtId="0" fontId="12" fillId="16" borderId="3" xfId="0" applyFont="1" applyFill="1" applyBorder="1" applyAlignment="1">
      <alignment vertical="center"/>
    </xf>
    <xf numFmtId="0" fontId="4" fillId="16" borderId="0" xfId="0" applyFont="1" applyFill="1" applyAlignment="1">
      <alignment horizontal="right" vertical="center"/>
    </xf>
    <xf numFmtId="37" fontId="131" fillId="16" borderId="0" xfId="0" applyNumberFormat="1" applyFont="1" applyFill="1"/>
    <xf numFmtId="0" fontId="8" fillId="2" borderId="6" xfId="0" applyFont="1" applyFill="1" applyBorder="1" applyAlignment="1" applyProtection="1">
      <alignment horizontal="left" indent="1"/>
      <protection hidden="1"/>
    </xf>
    <xf numFmtId="0" fontId="34" fillId="2" borderId="26" xfId="0" applyFont="1" applyFill="1" applyBorder="1" applyProtection="1">
      <protection hidden="1"/>
    </xf>
    <xf numFmtId="0" fontId="7" fillId="2" borderId="26" xfId="0" applyFont="1" applyFill="1" applyBorder="1" applyProtection="1">
      <protection hidden="1"/>
    </xf>
    <xf numFmtId="40" fontId="21" fillId="2" borderId="26" xfId="0" applyNumberFormat="1" applyFont="1" applyFill="1" applyBorder="1" applyProtection="1">
      <protection hidden="1"/>
    </xf>
    <xf numFmtId="40" fontId="21" fillId="2" borderId="69" xfId="0" applyNumberFormat="1" applyFont="1" applyFill="1" applyBorder="1" applyProtection="1">
      <protection hidden="1"/>
    </xf>
    <xf numFmtId="0" fontId="10" fillId="2" borderId="26" xfId="0" applyFont="1" applyFill="1" applyBorder="1" applyProtection="1">
      <protection hidden="1"/>
    </xf>
    <xf numFmtId="0" fontId="21" fillId="16" borderId="0" xfId="0" applyFont="1" applyFill="1" applyAlignment="1" applyProtection="1">
      <alignment vertical="center"/>
      <protection hidden="1"/>
    </xf>
    <xf numFmtId="3" fontId="33" fillId="16" borderId="0" xfId="0" applyNumberFormat="1" applyFont="1" applyFill="1" applyAlignment="1" applyProtection="1">
      <alignment horizontal="right"/>
      <protection hidden="1"/>
    </xf>
    <xf numFmtId="0" fontId="5" fillId="16" borderId="8" xfId="0" applyFont="1" applyFill="1" applyBorder="1" applyAlignment="1">
      <alignment vertical="top" wrapText="1"/>
    </xf>
    <xf numFmtId="0" fontId="5" fillId="16" borderId="20" xfId="0" applyFont="1" applyFill="1" applyBorder="1" applyAlignment="1">
      <alignment vertical="top" wrapText="1"/>
    </xf>
    <xf numFmtId="0" fontId="5" fillId="16" borderId="24" xfId="0" applyFont="1" applyFill="1" applyBorder="1" applyAlignment="1">
      <alignment vertical="top"/>
    </xf>
    <xf numFmtId="0" fontId="5" fillId="16" borderId="0" xfId="0" applyFont="1" applyFill="1" applyAlignment="1">
      <alignment vertical="top"/>
    </xf>
    <xf numFmtId="0" fontId="5" fillId="16" borderId="21" xfId="0" applyFont="1" applyFill="1" applyBorder="1" applyAlignment="1">
      <alignment vertical="top"/>
    </xf>
    <xf numFmtId="0" fontId="5" fillId="16" borderId="22" xfId="0" applyFont="1" applyFill="1" applyBorder="1" applyAlignment="1">
      <alignment vertical="top"/>
    </xf>
    <xf numFmtId="0" fontId="5" fillId="16" borderId="5" xfId="0" applyFont="1" applyFill="1" applyBorder="1" applyAlignment="1">
      <alignment vertical="top"/>
    </xf>
    <xf numFmtId="0" fontId="5" fillId="16" borderId="23" xfId="0" applyFont="1" applyFill="1" applyBorder="1" applyAlignment="1">
      <alignment vertical="top"/>
    </xf>
    <xf numFmtId="0" fontId="3" fillId="16" borderId="6" xfId="0" applyFont="1" applyFill="1" applyBorder="1" applyAlignment="1">
      <alignment horizontal="right" vertical="center"/>
    </xf>
    <xf numFmtId="0" fontId="5" fillId="16" borderId="6" xfId="0" applyFont="1" applyFill="1" applyBorder="1" applyAlignment="1">
      <alignment horizontal="left" vertical="center" indent="1"/>
    </xf>
    <xf numFmtId="0" fontId="5" fillId="16" borderId="6" xfId="0" applyFont="1" applyFill="1" applyBorder="1" applyAlignment="1">
      <alignment horizontal="left" vertical="top" indent="1"/>
    </xf>
    <xf numFmtId="0" fontId="3" fillId="24" borderId="0" xfId="0" applyFont="1" applyFill="1" applyProtection="1">
      <protection hidden="1"/>
    </xf>
    <xf numFmtId="0" fontId="5" fillId="24" borderId="0" xfId="0" applyFont="1" applyFill="1" applyAlignment="1" applyProtection="1">
      <alignment horizontal="left" vertical="center" indent="1"/>
      <protection hidden="1"/>
    </xf>
    <xf numFmtId="0" fontId="0" fillId="24" borderId="0" xfId="0" applyFill="1" applyAlignment="1" applyProtection="1">
      <alignment horizontal="left" vertical="center" indent="1"/>
      <protection hidden="1"/>
    </xf>
    <xf numFmtId="0" fontId="258" fillId="24" borderId="0" xfId="0" applyFont="1" applyFill="1" applyProtection="1">
      <protection hidden="1"/>
    </xf>
    <xf numFmtId="0" fontId="259" fillId="24" borderId="0" xfId="0" applyFont="1" applyFill="1" applyProtection="1">
      <protection hidden="1"/>
    </xf>
    <xf numFmtId="0" fontId="13" fillId="16" borderId="0" xfId="0" applyFont="1" applyFill="1" applyAlignment="1" applyProtection="1">
      <alignment horizontal="center" vertical="center"/>
      <protection locked="0"/>
    </xf>
    <xf numFmtId="0" fontId="260" fillId="24" borderId="0" xfId="0" applyFont="1" applyFill="1" applyProtection="1">
      <protection hidden="1"/>
    </xf>
    <xf numFmtId="0" fontId="259" fillId="24" borderId="0" xfId="0" applyFont="1" applyFill="1" applyAlignment="1" applyProtection="1">
      <alignment vertical="top"/>
      <protection hidden="1"/>
    </xf>
    <xf numFmtId="0" fontId="259" fillId="0" borderId="0" xfId="0" applyFont="1" applyProtection="1">
      <protection hidden="1"/>
    </xf>
    <xf numFmtId="0" fontId="258" fillId="24" borderId="0" xfId="0" applyFont="1" applyFill="1" applyAlignment="1" applyProtection="1">
      <alignment horizontal="center"/>
      <protection hidden="1"/>
    </xf>
    <xf numFmtId="0" fontId="258" fillId="24" borderId="0" xfId="0" applyFont="1" applyFill="1" applyAlignment="1" applyProtection="1">
      <alignment vertical="center"/>
      <protection hidden="1"/>
    </xf>
    <xf numFmtId="37" fontId="258" fillId="24" borderId="0" xfId="0" applyNumberFormat="1" applyFont="1" applyFill="1" applyAlignment="1" applyProtection="1">
      <alignment horizontal="center"/>
      <protection hidden="1"/>
    </xf>
    <xf numFmtId="3" fontId="129" fillId="28" borderId="69" xfId="0" applyNumberFormat="1" applyFont="1" applyFill="1" applyBorder="1" applyAlignment="1" applyProtection="1">
      <alignment horizontal="right"/>
      <protection hidden="1"/>
    </xf>
    <xf numFmtId="3" fontId="129" fillId="28" borderId="113" xfId="0" applyNumberFormat="1" applyFont="1" applyFill="1" applyBorder="1" applyAlignment="1" applyProtection="1">
      <alignment horizontal="right"/>
      <protection hidden="1"/>
    </xf>
    <xf numFmtId="0" fontId="199" fillId="5" borderId="0" xfId="0" applyFont="1" applyFill="1" applyAlignment="1" applyProtection="1">
      <alignment horizontal="left" vertical="center"/>
      <protection hidden="1"/>
    </xf>
    <xf numFmtId="0" fontId="18" fillId="16" borderId="21" xfId="0" quotePrefix="1" applyFont="1" applyFill="1" applyBorder="1" applyAlignment="1">
      <alignment horizontal="right"/>
    </xf>
    <xf numFmtId="37" fontId="135" fillId="16" borderId="9" xfId="0" applyNumberFormat="1" applyFont="1" applyFill="1" applyBorder="1" applyProtection="1">
      <protection hidden="1"/>
    </xf>
    <xf numFmtId="0" fontId="5" fillId="16" borderId="6" xfId="4" applyFill="1" applyBorder="1" applyAlignment="1" applyProtection="1">
      <alignment horizontal="right"/>
      <protection hidden="1"/>
    </xf>
    <xf numFmtId="0" fontId="184" fillId="24" borderId="0" xfId="0" applyFont="1" applyFill="1" applyProtection="1">
      <protection hidden="1"/>
    </xf>
    <xf numFmtId="37" fontId="3" fillId="20" borderId="0" xfId="0" applyNumberFormat="1" applyFont="1" applyFill="1" applyProtection="1">
      <protection hidden="1"/>
    </xf>
    <xf numFmtId="37" fontId="3" fillId="29" borderId="1" xfId="0" applyNumberFormat="1" applyFont="1" applyFill="1" applyBorder="1" applyProtection="1">
      <protection hidden="1"/>
    </xf>
    <xf numFmtId="0" fontId="5" fillId="25" borderId="6" xfId="0" applyFont="1" applyFill="1" applyBorder="1" applyAlignment="1" applyProtection="1">
      <alignment horizontal="center"/>
      <protection hidden="1"/>
    </xf>
    <xf numFmtId="15" fontId="145" fillId="0" borderId="0" xfId="0" applyNumberFormat="1" applyFont="1" applyAlignment="1">
      <alignment horizontal="center"/>
    </xf>
    <xf numFmtId="4" fontId="207" fillId="3" borderId="3" xfId="0" applyNumberFormat="1" applyFont="1" applyFill="1" applyBorder="1" applyProtection="1">
      <protection hidden="1"/>
    </xf>
    <xf numFmtId="0" fontId="8" fillId="0" borderId="0" xfId="0" applyFont="1" applyAlignment="1">
      <alignment horizontal="center"/>
    </xf>
    <xf numFmtId="0" fontId="4" fillId="0" borderId="0" xfId="0" applyFont="1" applyAlignment="1">
      <alignment horizontal="center"/>
    </xf>
    <xf numFmtId="182" fontId="3" fillId="17" borderId="2" xfId="0" applyNumberFormat="1" applyFont="1" applyFill="1" applyBorder="1" applyAlignment="1" applyProtection="1">
      <alignment horizontal="center"/>
      <protection locked="0"/>
    </xf>
    <xf numFmtId="37" fontId="3" fillId="28" borderId="2" xfId="0" applyNumberFormat="1" applyFont="1" applyFill="1" applyBorder="1" applyAlignment="1" applyProtection="1">
      <alignment horizontal="right"/>
      <protection hidden="1"/>
    </xf>
    <xf numFmtId="0" fontId="3" fillId="2" borderId="24" xfId="0" quotePrefix="1" applyFont="1" applyFill="1" applyBorder="1" applyAlignment="1" applyProtection="1">
      <alignment horizontal="right"/>
      <protection hidden="1"/>
    </xf>
    <xf numFmtId="0" fontId="126" fillId="2" borderId="6" xfId="0" quotePrefix="1" applyFont="1" applyFill="1" applyBorder="1" applyAlignment="1" applyProtection="1">
      <alignment horizontal="right" vertical="top"/>
      <protection hidden="1"/>
    </xf>
    <xf numFmtId="0" fontId="3" fillId="2" borderId="22" xfId="0" quotePrefix="1" applyFont="1" applyFill="1" applyBorder="1" applyAlignment="1" applyProtection="1">
      <alignment horizontal="right"/>
      <protection hidden="1"/>
    </xf>
    <xf numFmtId="0" fontId="128" fillId="2" borderId="0" xfId="0" applyFont="1" applyFill="1" applyAlignment="1" applyProtection="1">
      <alignment horizontal="left" indent="1"/>
      <protection hidden="1"/>
    </xf>
    <xf numFmtId="4" fontId="3" fillId="28" borderId="113" xfId="0" applyNumberFormat="1" applyFont="1" applyFill="1" applyBorder="1" applyAlignment="1" applyProtection="1">
      <alignment horizontal="right"/>
      <protection hidden="1"/>
    </xf>
    <xf numFmtId="1" fontId="5" fillId="33" borderId="146" xfId="0" applyNumberFormat="1" applyFont="1" applyFill="1" applyBorder="1" applyAlignment="1" applyProtection="1">
      <alignment horizontal="center" vertical="center"/>
      <protection locked="0"/>
    </xf>
    <xf numFmtId="1" fontId="5" fillId="33" borderId="147" xfId="0" applyNumberFormat="1" applyFont="1" applyFill="1" applyBorder="1" applyAlignment="1" applyProtection="1">
      <alignment horizontal="center" vertical="center"/>
      <protection locked="0"/>
    </xf>
    <xf numFmtId="4" fontId="3" fillId="28" borderId="59" xfId="0" quotePrefix="1" applyNumberFormat="1" applyFont="1" applyFill="1" applyBorder="1" applyAlignment="1" applyProtection="1">
      <alignment horizontal="right" indent="1"/>
      <protection hidden="1"/>
    </xf>
    <xf numFmtId="37" fontId="7" fillId="27" borderId="1" xfId="0" applyNumberFormat="1" applyFont="1" applyFill="1" applyBorder="1" applyProtection="1">
      <protection hidden="1"/>
    </xf>
    <xf numFmtId="0" fontId="5" fillId="16" borderId="0" xfId="0" applyFont="1" applyFill="1" applyAlignment="1">
      <alignment horizontal="left" vertical="top" wrapText="1"/>
    </xf>
    <xf numFmtId="0" fontId="28" fillId="16" borderId="0" xfId="0" applyFont="1" applyFill="1" applyAlignment="1">
      <alignment horizontal="left" vertical="top" wrapText="1"/>
    </xf>
    <xf numFmtId="0" fontId="141" fillId="16" borderId="0" xfId="0" applyFont="1" applyFill="1" applyAlignment="1">
      <alignment horizontal="left" vertical="top" wrapText="1"/>
    </xf>
    <xf numFmtId="37" fontId="5" fillId="16" borderId="0" xfId="0" applyNumberFormat="1" applyFont="1" applyFill="1" applyAlignment="1">
      <alignment horizontal="right" vertical="top" wrapText="1"/>
    </xf>
    <xf numFmtId="0" fontId="5" fillId="16" borderId="0" xfId="0" applyFont="1" applyFill="1" applyAlignment="1">
      <alignment horizontal="left" vertical="top"/>
    </xf>
    <xf numFmtId="6" fontId="5" fillId="16" borderId="21" xfId="0" applyNumberFormat="1" applyFont="1" applyFill="1" applyBorder="1"/>
    <xf numFmtId="6" fontId="21" fillId="16" borderId="21" xfId="0" applyNumberFormat="1" applyFont="1" applyFill="1" applyBorder="1"/>
    <xf numFmtId="4" fontId="129" fillId="0" borderId="0" xfId="0" applyNumberFormat="1" applyFont="1"/>
    <xf numFmtId="37" fontId="5" fillId="16" borderId="13" xfId="0" applyNumberFormat="1" applyFont="1" applyFill="1" applyBorder="1" applyAlignment="1">
      <alignment horizontal="right" wrapText="1"/>
    </xf>
    <xf numFmtId="0" fontId="0" fillId="16" borderId="13" xfId="0" applyFill="1" applyBorder="1" applyAlignment="1">
      <alignment horizontal="right" wrapText="1"/>
    </xf>
    <xf numFmtId="0" fontId="18" fillId="22" borderId="0" xfId="0" applyFont="1" applyFill="1" applyAlignment="1" applyProtection="1">
      <alignment horizontal="center" vertical="center"/>
      <protection locked="0"/>
    </xf>
    <xf numFmtId="4" fontId="33" fillId="15" borderId="31" xfId="0" applyNumberFormat="1" applyFont="1" applyFill="1" applyBorder="1" applyAlignment="1" applyProtection="1">
      <alignment horizontal="right" wrapText="1"/>
      <protection hidden="1"/>
    </xf>
    <xf numFmtId="3" fontId="131" fillId="16" borderId="3" xfId="0" applyNumberFormat="1" applyFont="1" applyFill="1" applyBorder="1" applyAlignment="1">
      <alignment horizontal="right" wrapText="1"/>
    </xf>
    <xf numFmtId="4" fontId="135" fillId="3" borderId="3" xfId="0" applyNumberFormat="1" applyFont="1" applyFill="1" applyBorder="1" applyAlignment="1" applyProtection="1">
      <alignment horizontal="center"/>
      <protection hidden="1"/>
    </xf>
    <xf numFmtId="14" fontId="168" fillId="16" borderId="21" xfId="4" applyNumberFormat="1" applyFont="1" applyFill="1" applyBorder="1" applyProtection="1">
      <protection hidden="1"/>
    </xf>
    <xf numFmtId="0" fontId="5" fillId="16" borderId="13" xfId="4" applyFill="1" applyBorder="1" applyProtection="1">
      <protection hidden="1"/>
    </xf>
    <xf numFmtId="37" fontId="129" fillId="0" borderId="0" xfId="0" applyNumberFormat="1" applyFont="1" applyProtection="1">
      <protection locked="0"/>
    </xf>
    <xf numFmtId="37" fontId="129" fillId="0" borderId="0" xfId="0" applyNumberFormat="1" applyFont="1" applyAlignment="1">
      <alignment horizontal="right"/>
    </xf>
    <xf numFmtId="37" fontId="143" fillId="0" borderId="0" xfId="0" applyNumberFormat="1" applyFont="1" applyAlignment="1" applyProtection="1">
      <alignment horizontal="right"/>
      <protection hidden="1"/>
    </xf>
    <xf numFmtId="37" fontId="135" fillId="0" borderId="0" xfId="0" applyNumberFormat="1" applyFont="1" applyAlignment="1" applyProtection="1">
      <alignment horizontal="right"/>
      <protection hidden="1"/>
    </xf>
    <xf numFmtId="37" fontId="129" fillId="0" borderId="0" xfId="0" quotePrefix="1" applyNumberFormat="1" applyFont="1" applyAlignment="1" applyProtection="1">
      <alignment horizontal="right"/>
      <protection hidden="1"/>
    </xf>
    <xf numFmtId="37" fontId="129" fillId="0" borderId="0" xfId="0" applyNumberFormat="1" applyFont="1" applyAlignment="1" applyProtection="1">
      <alignment horizontal="right"/>
      <protection hidden="1"/>
    </xf>
    <xf numFmtId="37" fontId="131" fillId="0" borderId="0" xfId="0" applyNumberFormat="1" applyFont="1" applyAlignment="1" applyProtection="1">
      <alignment horizontal="right"/>
      <protection hidden="1"/>
    </xf>
    <xf numFmtId="49" fontId="6" fillId="0" borderId="0" xfId="0" quotePrefix="1" applyNumberFormat="1" applyFont="1" applyAlignment="1" applyProtection="1">
      <alignment horizontal="center"/>
      <protection hidden="1"/>
    </xf>
    <xf numFmtId="49" fontId="3" fillId="0" borderId="0" xfId="0" quotePrefix="1" applyNumberFormat="1" applyFont="1" applyAlignment="1" applyProtection="1">
      <alignment horizontal="center"/>
      <protection hidden="1"/>
    </xf>
    <xf numFmtId="1" fontId="129" fillId="2" borderId="0" xfId="0" applyNumberFormat="1" applyFont="1" applyFill="1" applyAlignment="1" applyProtection="1">
      <alignment horizontal="center"/>
      <protection hidden="1"/>
    </xf>
    <xf numFmtId="1" fontId="3" fillId="17" borderId="13" xfId="0" applyNumberFormat="1" applyFont="1" applyFill="1" applyBorder="1" applyAlignment="1" applyProtection="1">
      <alignment horizontal="center" vertical="center"/>
      <protection locked="0"/>
    </xf>
    <xf numFmtId="41" fontId="259" fillId="24" borderId="0" xfId="0" applyNumberFormat="1" applyFont="1" applyFill="1" applyProtection="1">
      <protection hidden="1"/>
    </xf>
    <xf numFmtId="0" fontId="141" fillId="16" borderId="21" xfId="0" applyFont="1" applyFill="1" applyBorder="1" applyAlignment="1">
      <alignment horizontal="center"/>
    </xf>
    <xf numFmtId="0" fontId="41" fillId="16" borderId="6" xfId="0" applyFont="1" applyFill="1" applyBorder="1" applyAlignment="1" applyProtection="1">
      <alignment horizontal="center"/>
      <protection hidden="1"/>
    </xf>
    <xf numFmtId="0" fontId="41" fillId="16" borderId="27" xfId="0" applyFont="1" applyFill="1" applyBorder="1" applyAlignment="1" applyProtection="1">
      <alignment horizontal="center"/>
      <protection hidden="1"/>
    </xf>
    <xf numFmtId="0" fontId="41" fillId="16" borderId="22" xfId="0" applyFont="1" applyFill="1" applyBorder="1" applyAlignment="1" applyProtection="1">
      <alignment horizontal="center"/>
      <protection hidden="1"/>
    </xf>
    <xf numFmtId="37" fontId="129" fillId="16" borderId="0" xfId="0" applyNumberFormat="1" applyFont="1" applyFill="1"/>
    <xf numFmtId="37" fontId="3" fillId="16" borderId="0" xfId="0" quotePrefix="1" applyNumberFormat="1" applyFont="1" applyFill="1" applyAlignment="1">
      <alignment horizontal="right"/>
    </xf>
    <xf numFmtId="37" fontId="0" fillId="16" borderId="0" xfId="0" applyNumberFormat="1" applyFill="1" applyAlignment="1">
      <alignment horizontal="center"/>
    </xf>
    <xf numFmtId="37" fontId="129" fillId="16" borderId="0" xfId="0" applyNumberFormat="1" applyFont="1" applyFill="1" applyProtection="1">
      <protection hidden="1"/>
    </xf>
    <xf numFmtId="37" fontId="0" fillId="2" borderId="60" xfId="0" applyNumberFormat="1" applyFill="1" applyBorder="1" applyProtection="1">
      <protection locked="0"/>
    </xf>
    <xf numFmtId="0" fontId="0" fillId="16" borderId="6" xfId="0" applyFill="1" applyBorder="1" applyAlignment="1">
      <alignment horizontal="left" indent="1"/>
    </xf>
    <xf numFmtId="0" fontId="5" fillId="16" borderId="6" xfId="0" applyFont="1" applyFill="1" applyBorder="1" applyProtection="1">
      <protection hidden="1"/>
    </xf>
    <xf numFmtId="49" fontId="6" fillId="0" borderId="0" xfId="0" applyNumberFormat="1" applyFont="1" applyAlignment="1" applyProtection="1">
      <alignment horizontal="center"/>
      <protection locked="0"/>
    </xf>
    <xf numFmtId="0" fontId="131" fillId="16" borderId="0" xfId="0" applyFont="1" applyFill="1" applyAlignment="1" applyProtection="1">
      <alignment vertical="center"/>
      <protection hidden="1"/>
    </xf>
    <xf numFmtId="0" fontId="131" fillId="16" borderId="0" xfId="0" applyFont="1" applyFill="1" applyAlignment="1">
      <alignment vertical="center"/>
    </xf>
    <xf numFmtId="0" fontId="131" fillId="16" borderId="25" xfId="0" applyFont="1" applyFill="1" applyBorder="1" applyAlignment="1">
      <alignment vertical="center"/>
    </xf>
    <xf numFmtId="0" fontId="16" fillId="16" borderId="0" xfId="0" applyFont="1" applyFill="1" applyAlignment="1" applyProtection="1">
      <alignment vertical="center"/>
      <protection hidden="1"/>
    </xf>
    <xf numFmtId="0" fontId="12" fillId="16" borderId="0" xfId="0" applyFont="1" applyFill="1" applyAlignment="1" applyProtection="1">
      <alignment horizontal="right" vertical="center"/>
      <protection hidden="1"/>
    </xf>
    <xf numFmtId="0" fontId="12" fillId="16" borderId="0" xfId="0" applyFont="1" applyFill="1" applyProtection="1">
      <protection hidden="1"/>
    </xf>
    <xf numFmtId="0" fontId="18" fillId="16" borderId="6" xfId="0" applyFont="1" applyFill="1" applyBorder="1" applyAlignment="1">
      <alignment horizontal="left" indent="1"/>
    </xf>
    <xf numFmtId="0" fontId="18" fillId="16" borderId="3" xfId="0" applyFont="1" applyFill="1" applyBorder="1" applyAlignment="1">
      <alignment horizontal="left" vertical="center" indent="1"/>
    </xf>
    <xf numFmtId="40" fontId="129" fillId="2" borderId="0" xfId="0" applyNumberFormat="1" applyFont="1" applyFill="1" applyAlignment="1" applyProtection="1">
      <alignment vertical="center"/>
      <protection hidden="1"/>
    </xf>
    <xf numFmtId="0" fontId="3" fillId="16" borderId="0" xfId="0" applyFont="1" applyFill="1" applyAlignment="1">
      <alignment horizontal="left" vertical="top" wrapText="1"/>
    </xf>
    <xf numFmtId="0" fontId="141" fillId="16" borderId="0" xfId="0" applyFont="1" applyFill="1" applyAlignment="1">
      <alignment horizontal="center" vertical="top"/>
    </xf>
    <xf numFmtId="37" fontId="128" fillId="0" borderId="0" xfId="0" applyNumberFormat="1" applyFont="1" applyAlignment="1">
      <alignment horizontal="right"/>
    </xf>
    <xf numFmtId="0" fontId="0" fillId="0" borderId="0" xfId="0" applyAlignment="1">
      <alignment horizontal="left" indent="1"/>
    </xf>
    <xf numFmtId="0" fontId="12" fillId="16" borderId="33" xfId="0" applyFont="1" applyFill="1" applyBorder="1" applyAlignment="1">
      <alignment horizontal="left" indent="1"/>
    </xf>
    <xf numFmtId="0" fontId="3" fillId="16" borderId="76" xfId="0" applyFont="1" applyFill="1" applyBorder="1" applyAlignment="1">
      <alignment horizontal="left" indent="1"/>
    </xf>
    <xf numFmtId="0" fontId="5" fillId="16" borderId="76" xfId="0" applyFont="1" applyFill="1" applyBorder="1" applyAlignment="1">
      <alignment horizontal="left" indent="1"/>
    </xf>
    <xf numFmtId="0" fontId="0" fillId="16" borderId="34" xfId="0" applyFill="1" applyBorder="1" applyAlignment="1">
      <alignment horizontal="left" indent="1"/>
    </xf>
    <xf numFmtId="0" fontId="23" fillId="16" borderId="76" xfId="0" quotePrefix="1" applyFont="1" applyFill="1" applyBorder="1" applyAlignment="1">
      <alignment horizontal="left" vertical="center"/>
    </xf>
    <xf numFmtId="0" fontId="75" fillId="16" borderId="101" xfId="2" applyFill="1" applyBorder="1" applyAlignment="1" applyProtection="1">
      <alignment horizontal="right"/>
    </xf>
    <xf numFmtId="0" fontId="75" fillId="16" borderId="101" xfId="2" quotePrefix="1" applyFill="1" applyBorder="1" applyAlignment="1" applyProtection="1">
      <alignment horizontal="right"/>
    </xf>
    <xf numFmtId="0" fontId="0" fillId="16" borderId="73" xfId="0" applyFill="1" applyBorder="1" applyAlignment="1">
      <alignment horizontal="right"/>
    </xf>
    <xf numFmtId="0" fontId="29" fillId="16" borderId="76" xfId="0" applyFont="1" applyFill="1" applyBorder="1" applyAlignment="1">
      <alignment horizontal="left" indent="1"/>
    </xf>
    <xf numFmtId="0" fontId="23" fillId="16" borderId="76" xfId="0" applyFont="1" applyFill="1" applyBorder="1" applyAlignment="1">
      <alignment horizontal="left" vertical="center"/>
    </xf>
    <xf numFmtId="37" fontId="0" fillId="2" borderId="9" xfId="0" applyNumberFormat="1" applyFill="1" applyBorder="1" applyAlignment="1" applyProtection="1">
      <alignment wrapText="1"/>
      <protection hidden="1"/>
    </xf>
    <xf numFmtId="37" fontId="0" fillId="2" borderId="1" xfId="0" applyNumberFormat="1" applyFill="1" applyBorder="1" applyAlignment="1" applyProtection="1">
      <alignment wrapText="1"/>
      <protection hidden="1"/>
    </xf>
    <xf numFmtId="37" fontId="0" fillId="2" borderId="26" xfId="0" applyNumberFormat="1" applyFill="1" applyBorder="1" applyAlignment="1" applyProtection="1">
      <alignment wrapText="1"/>
      <protection hidden="1"/>
    </xf>
    <xf numFmtId="37" fontId="0" fillId="2" borderId="26" xfId="0" applyNumberFormat="1" applyFill="1" applyBorder="1" applyAlignment="1" applyProtection="1">
      <alignment vertical="top" wrapText="1"/>
      <protection hidden="1"/>
    </xf>
    <xf numFmtId="0" fontId="0" fillId="16" borderId="38" xfId="0" applyFill="1" applyBorder="1" applyProtection="1">
      <protection hidden="1"/>
    </xf>
    <xf numFmtId="0" fontId="75" fillId="16" borderId="103" xfId="2" applyFill="1" applyBorder="1" applyAlignment="1" applyProtection="1">
      <alignment horizontal="left" indent="1"/>
      <protection hidden="1"/>
    </xf>
    <xf numFmtId="0" fontId="0" fillId="16" borderId="39" xfId="0" applyFill="1" applyBorder="1" applyProtection="1">
      <protection hidden="1"/>
    </xf>
    <xf numFmtId="0" fontId="0" fillId="16" borderId="24" xfId="0" applyFill="1" applyBorder="1" applyAlignment="1" applyProtection="1">
      <alignment horizontal="left" indent="1"/>
      <protection hidden="1"/>
    </xf>
    <xf numFmtId="0" fontId="75" fillId="16" borderId="6" xfId="2" applyFill="1" applyBorder="1" applyAlignment="1" applyProtection="1">
      <alignment horizontal="left" indent="1"/>
      <protection hidden="1"/>
    </xf>
    <xf numFmtId="0" fontId="0" fillId="16" borderId="38" xfId="0" applyFill="1" applyBorder="1" applyAlignment="1" applyProtection="1">
      <alignment horizontal="left" indent="1"/>
      <protection hidden="1"/>
    </xf>
    <xf numFmtId="0" fontId="0" fillId="16" borderId="39" xfId="0" applyFill="1" applyBorder="1" applyAlignment="1" applyProtection="1">
      <alignment horizontal="left" indent="1"/>
      <protection hidden="1"/>
    </xf>
    <xf numFmtId="0" fontId="168" fillId="0" borderId="0" xfId="0" applyFont="1" applyAlignment="1" applyProtection="1">
      <alignment horizontal="left"/>
      <protection hidden="1"/>
    </xf>
    <xf numFmtId="0" fontId="5" fillId="16" borderId="0" xfId="0" applyFont="1" applyFill="1" applyAlignment="1">
      <alignment wrapText="1"/>
    </xf>
    <xf numFmtId="0" fontId="148" fillId="16" borderId="6" xfId="0" applyFont="1" applyFill="1" applyBorder="1" applyAlignment="1">
      <alignment vertical="center" wrapText="1"/>
    </xf>
    <xf numFmtId="0" fontId="148" fillId="16" borderId="0" xfId="0" applyFont="1" applyFill="1" applyAlignment="1">
      <alignment vertical="center" wrapText="1"/>
    </xf>
    <xf numFmtId="0" fontId="148" fillId="16" borderId="21" xfId="0" applyFont="1" applyFill="1" applyBorder="1" applyAlignment="1">
      <alignment vertical="center" wrapText="1"/>
    </xf>
    <xf numFmtId="0" fontId="148" fillId="16" borderId="6" xfId="0" applyFont="1" applyFill="1" applyBorder="1" applyAlignment="1">
      <alignment horizontal="centerContinuous" vertical="center" wrapText="1"/>
    </xf>
    <xf numFmtId="0" fontId="148" fillId="16" borderId="21" xfId="0" applyFont="1" applyFill="1" applyBorder="1" applyAlignment="1">
      <alignment horizontal="centerContinuous" vertical="center" wrapText="1"/>
    </xf>
    <xf numFmtId="0" fontId="148" fillId="16" borderId="22" xfId="0" applyFont="1" applyFill="1" applyBorder="1" applyAlignment="1">
      <alignment vertical="center" wrapText="1"/>
    </xf>
    <xf numFmtId="0" fontId="148" fillId="16" borderId="5" xfId="0" applyFont="1" applyFill="1" applyBorder="1" applyAlignment="1">
      <alignment vertical="center" wrapText="1"/>
    </xf>
    <xf numFmtId="0" fontId="148" fillId="16" borderId="23" xfId="0" applyFont="1" applyFill="1" applyBorder="1" applyAlignment="1">
      <alignment vertical="center" wrapText="1"/>
    </xf>
    <xf numFmtId="0" fontId="148" fillId="16" borderId="0" xfId="0" applyFont="1" applyFill="1" applyAlignment="1" applyProtection="1">
      <alignment horizontal="centerContinuous"/>
      <protection hidden="1"/>
    </xf>
    <xf numFmtId="0" fontId="263" fillId="16" borderId="5" xfId="2" applyFont="1" applyFill="1" applyBorder="1" applyAlignment="1" applyProtection="1">
      <alignment horizontal="center" vertical="top"/>
    </xf>
    <xf numFmtId="0" fontId="263" fillId="16" borderId="0" xfId="2" applyFont="1" applyFill="1" applyAlignment="1" applyProtection="1">
      <alignment horizontal="center" vertical="top"/>
    </xf>
    <xf numFmtId="4" fontId="0" fillId="0" borderId="0" xfId="0" applyNumberFormat="1" applyProtection="1">
      <protection locked="0"/>
    </xf>
    <xf numFmtId="0" fontId="0" fillId="25" borderId="0" xfId="0" applyFill="1"/>
    <xf numFmtId="0" fontId="3" fillId="0" borderId="42" xfId="0" applyFont="1" applyBorder="1" applyProtection="1">
      <protection hidden="1"/>
    </xf>
    <xf numFmtId="0" fontId="126" fillId="0" borderId="6" xfId="0" quotePrefix="1" applyFont="1" applyBorder="1" applyAlignment="1" applyProtection="1">
      <alignment horizontal="right" vertical="top"/>
      <protection hidden="1"/>
    </xf>
    <xf numFmtId="0" fontId="127" fillId="0" borderId="42" xfId="0" applyFont="1" applyBorder="1" applyAlignment="1" applyProtection="1">
      <alignment vertical="top" wrapText="1"/>
      <protection hidden="1"/>
    </xf>
    <xf numFmtId="0" fontId="3" fillId="0" borderId="0" xfId="0" quotePrefix="1" applyFont="1" applyAlignment="1">
      <alignment horizontal="left"/>
    </xf>
    <xf numFmtId="184" fontId="3" fillId="0" borderId="2" xfId="0" applyNumberFormat="1" applyFont="1" applyBorder="1" applyAlignment="1">
      <alignment horizontal="center" wrapText="1"/>
    </xf>
    <xf numFmtId="184" fontId="0" fillId="16" borderId="0" xfId="0" applyNumberFormat="1" applyFill="1" applyAlignment="1" applyProtection="1">
      <alignment horizontal="center" vertical="center"/>
      <protection hidden="1"/>
    </xf>
    <xf numFmtId="0" fontId="238" fillId="16" borderId="0" xfId="0" applyFont="1" applyFill="1" applyAlignment="1" applyProtection="1">
      <alignment vertical="center"/>
      <protection hidden="1"/>
    </xf>
    <xf numFmtId="1" fontId="3" fillId="16" borderId="2" xfId="0" applyNumberFormat="1" applyFont="1" applyFill="1" applyBorder="1" applyAlignment="1" applyProtection="1">
      <alignment horizontal="center"/>
      <protection locked="0"/>
    </xf>
    <xf numFmtId="37" fontId="0" fillId="16" borderId="0" xfId="0" applyNumberFormat="1" applyFill="1" applyProtection="1">
      <protection locked="0"/>
    </xf>
    <xf numFmtId="37" fontId="3" fillId="16" borderId="0" xfId="0" quotePrefix="1" applyNumberFormat="1" applyFont="1" applyFill="1" applyAlignment="1" applyProtection="1">
      <alignment horizontal="right"/>
      <protection locked="0"/>
    </xf>
    <xf numFmtId="37" fontId="0" fillId="16" borderId="9" xfId="0" applyNumberFormat="1" applyFill="1" applyBorder="1" applyProtection="1">
      <protection locked="0"/>
    </xf>
    <xf numFmtId="37" fontId="0" fillId="16" borderId="20" xfId="0" applyNumberFormat="1" applyFill="1" applyBorder="1" applyProtection="1">
      <protection hidden="1"/>
    </xf>
    <xf numFmtId="37" fontId="0" fillId="16" borderId="30" xfId="0" applyNumberFormat="1" applyFill="1" applyBorder="1" applyProtection="1">
      <protection hidden="1"/>
    </xf>
    <xf numFmtId="14" fontId="0" fillId="16" borderId="6" xfId="0" applyNumberFormat="1" applyFill="1" applyBorder="1" applyProtection="1">
      <protection hidden="1"/>
    </xf>
    <xf numFmtId="37" fontId="0" fillId="16" borderId="21" xfId="0" applyNumberFormat="1" applyFill="1" applyBorder="1" applyProtection="1">
      <protection hidden="1"/>
    </xf>
    <xf numFmtId="37" fontId="5" fillId="16" borderId="0" xfId="0" applyNumberFormat="1" applyFont="1" applyFill="1" applyProtection="1">
      <protection hidden="1"/>
    </xf>
    <xf numFmtId="14" fontId="3" fillId="16" borderId="6" xfId="0" quotePrefix="1" applyNumberFormat="1" applyFont="1" applyFill="1" applyBorder="1" applyAlignment="1" applyProtection="1">
      <alignment horizontal="right"/>
      <protection hidden="1"/>
    </xf>
    <xf numFmtId="37" fontId="3" fillId="16" borderId="0" xfId="0" quotePrefix="1" applyNumberFormat="1" applyFont="1" applyFill="1" applyAlignment="1" applyProtection="1">
      <alignment horizontal="right"/>
      <protection hidden="1"/>
    </xf>
    <xf numFmtId="14" fontId="0" fillId="16" borderId="22" xfId="0" applyNumberFormat="1" applyFill="1" applyBorder="1" applyProtection="1">
      <protection hidden="1"/>
    </xf>
    <xf numFmtId="37" fontId="0" fillId="16" borderId="5" xfId="0" applyNumberFormat="1" applyFill="1" applyBorder="1" applyProtection="1">
      <protection hidden="1"/>
    </xf>
    <xf numFmtId="39" fontId="131" fillId="16" borderId="0" xfId="0" applyNumberFormat="1" applyFont="1" applyFill="1" applyProtection="1">
      <protection hidden="1"/>
    </xf>
    <xf numFmtId="191" fontId="131" fillId="16" borderId="0" xfId="0" applyNumberFormat="1" applyFont="1" applyFill="1" applyProtection="1">
      <protection hidden="1"/>
    </xf>
    <xf numFmtId="37" fontId="0" fillId="16" borderId="23" xfId="0" applyNumberFormat="1" applyFill="1" applyBorder="1" applyProtection="1">
      <protection hidden="1"/>
    </xf>
    <xf numFmtId="0" fontId="5" fillId="16" borderId="0" xfId="0" applyFont="1" applyFill="1" applyAlignment="1">
      <alignment horizontal="left" vertical="center" wrapText="1"/>
    </xf>
    <xf numFmtId="37" fontId="0" fillId="17" borderId="2" xfId="0" applyNumberFormat="1" applyFill="1" applyBorder="1" applyProtection="1">
      <protection locked="0"/>
    </xf>
    <xf numFmtId="0" fontId="8" fillId="16" borderId="0" xfId="0" applyFont="1" applyFill="1" applyAlignment="1" applyProtection="1">
      <alignment horizontal="left" vertical="center" indent="1"/>
      <protection locked="0"/>
    </xf>
    <xf numFmtId="0" fontId="12" fillId="16" borderId="0" xfId="0" applyFont="1" applyFill="1" applyAlignment="1" applyProtection="1">
      <alignment horizontal="left"/>
      <protection hidden="1"/>
    </xf>
    <xf numFmtId="0" fontId="7" fillId="2" borderId="9" xfId="0" applyFont="1" applyFill="1" applyBorder="1" applyProtection="1">
      <protection hidden="1"/>
    </xf>
    <xf numFmtId="0" fontId="134" fillId="16" borderId="0" xfId="0" applyFont="1" applyFill="1" applyAlignment="1" applyProtection="1">
      <alignment horizontal="left"/>
      <protection hidden="1"/>
    </xf>
    <xf numFmtId="0" fontId="50" fillId="2" borderId="0" xfId="0" applyFont="1" applyFill="1" applyAlignment="1" applyProtection="1">
      <alignment vertical="center"/>
      <protection hidden="1"/>
    </xf>
    <xf numFmtId="0" fontId="50" fillId="2" borderId="8" xfId="0" applyFont="1" applyFill="1" applyBorder="1" applyAlignment="1" applyProtection="1">
      <alignment vertical="center"/>
      <protection hidden="1"/>
    </xf>
    <xf numFmtId="39" fontId="5" fillId="0" borderId="2" xfId="0" applyNumberFormat="1" applyFont="1" applyBorder="1" applyProtection="1">
      <protection locked="0"/>
    </xf>
    <xf numFmtId="3" fontId="129" fillId="16" borderId="0" xfId="0" applyNumberFormat="1" applyFont="1" applyFill="1" applyProtection="1">
      <protection locked="0"/>
    </xf>
    <xf numFmtId="0" fontId="7" fillId="16" borderId="0" xfId="0" applyFont="1" applyFill="1" applyAlignment="1" applyProtection="1">
      <alignment vertical="center"/>
      <protection hidden="1"/>
    </xf>
    <xf numFmtId="0" fontId="125" fillId="2" borderId="0" xfId="0" applyFont="1" applyFill="1" applyAlignment="1" applyProtection="1">
      <alignment horizontal="left" vertical="center"/>
      <protection hidden="1"/>
    </xf>
    <xf numFmtId="0" fontId="10" fillId="16" borderId="1" xfId="0" applyFont="1" applyFill="1" applyBorder="1" applyAlignment="1" applyProtection="1">
      <alignment horizontal="left"/>
      <protection hidden="1"/>
    </xf>
    <xf numFmtId="0" fontId="10" fillId="16" borderId="1" xfId="0" applyFont="1" applyFill="1" applyBorder="1" applyAlignment="1" applyProtection="1">
      <alignment horizontal="left" vertical="top"/>
      <protection hidden="1"/>
    </xf>
    <xf numFmtId="0" fontId="10" fillId="16" borderId="1" xfId="0" applyFont="1" applyFill="1" applyBorder="1" applyAlignment="1">
      <alignment horizontal="left" vertical="center"/>
    </xf>
    <xf numFmtId="0" fontId="87" fillId="2" borderId="6" xfId="0" applyFont="1" applyFill="1" applyBorder="1" applyAlignment="1" applyProtection="1">
      <alignment horizontal="left" vertical="top"/>
      <protection hidden="1"/>
    </xf>
    <xf numFmtId="0" fontId="10" fillId="16" borderId="5" xfId="0" applyFont="1" applyFill="1" applyBorder="1" applyAlignment="1" applyProtection="1">
      <alignment vertical="top"/>
      <protection hidden="1"/>
    </xf>
    <xf numFmtId="0" fontId="12" fillId="28" borderId="40" xfId="0" applyFont="1" applyFill="1" applyBorder="1" applyAlignment="1" applyProtection="1">
      <alignment horizontal="center" vertical="center"/>
      <protection hidden="1"/>
    </xf>
    <xf numFmtId="0" fontId="131" fillId="28" borderId="26" xfId="0" applyFont="1" applyFill="1" applyBorder="1" applyAlignment="1" applyProtection="1">
      <alignment horizontal="center" vertical="center"/>
      <protection hidden="1"/>
    </xf>
    <xf numFmtId="0" fontId="12" fillId="28" borderId="26" xfId="0" applyFont="1" applyFill="1" applyBorder="1" applyAlignment="1" applyProtection="1">
      <alignment horizontal="center" vertical="center"/>
      <protection hidden="1"/>
    </xf>
    <xf numFmtId="0" fontId="23" fillId="28" borderId="26" xfId="0" applyFont="1" applyFill="1" applyBorder="1" applyAlignment="1" applyProtection="1">
      <alignment horizontal="center" vertical="center"/>
      <protection hidden="1"/>
    </xf>
    <xf numFmtId="1" fontId="3" fillId="20" borderId="11" xfId="0" applyNumberFormat="1" applyFont="1" applyFill="1" applyBorder="1" applyAlignment="1" applyProtection="1">
      <alignment horizontal="center" vertical="center"/>
      <protection hidden="1"/>
    </xf>
    <xf numFmtId="0" fontId="3" fillId="16" borderId="26" xfId="0" applyFont="1" applyFill="1" applyBorder="1" applyAlignment="1" applyProtection="1">
      <alignment horizontal="right"/>
      <protection hidden="1"/>
    </xf>
    <xf numFmtId="6" fontId="10" fillId="2" borderId="0" xfId="0" applyNumberFormat="1" applyFont="1" applyFill="1" applyAlignment="1" applyProtection="1">
      <alignment horizontal="left"/>
      <protection hidden="1"/>
    </xf>
    <xf numFmtId="4" fontId="129" fillId="2" borderId="0" xfId="0" applyNumberFormat="1" applyFont="1" applyFill="1" applyProtection="1">
      <protection hidden="1"/>
    </xf>
    <xf numFmtId="0" fontId="234" fillId="16" borderId="68" xfId="0" applyFont="1" applyFill="1" applyBorder="1" applyProtection="1">
      <protection hidden="1"/>
    </xf>
    <xf numFmtId="0" fontId="3" fillId="16" borderId="0" xfId="0" applyFont="1" applyFill="1" applyAlignment="1" applyProtection="1">
      <alignment wrapText="1"/>
      <protection hidden="1"/>
    </xf>
    <xf numFmtId="0" fontId="3" fillId="16" borderId="59" xfId="0" applyFont="1" applyFill="1" applyBorder="1" applyAlignment="1" applyProtection="1">
      <alignment wrapText="1"/>
      <protection hidden="1"/>
    </xf>
    <xf numFmtId="0" fontId="184" fillId="16" borderId="22" xfId="0" applyFont="1" applyFill="1" applyBorder="1" applyProtection="1">
      <protection hidden="1"/>
    </xf>
    <xf numFmtId="1" fontId="3" fillId="20" borderId="7" xfId="0" applyNumberFormat="1" applyFont="1" applyFill="1" applyBorder="1" applyAlignment="1" applyProtection="1">
      <alignment horizontal="center" vertical="center"/>
      <protection hidden="1"/>
    </xf>
    <xf numFmtId="0" fontId="19" fillId="16" borderId="0" xfId="0" applyFont="1" applyFill="1" applyAlignment="1" applyProtection="1">
      <alignment vertical="top"/>
      <protection hidden="1"/>
    </xf>
    <xf numFmtId="0" fontId="19" fillId="16" borderId="1" xfId="0" applyFont="1" applyFill="1" applyBorder="1" applyAlignment="1" applyProtection="1">
      <alignment vertical="top" wrapText="1"/>
      <protection hidden="1"/>
    </xf>
    <xf numFmtId="0" fontId="10" fillId="16" borderId="5" xfId="0" applyFont="1" applyFill="1" applyBorder="1" applyProtection="1">
      <protection hidden="1"/>
    </xf>
    <xf numFmtId="1" fontId="0" fillId="10" borderId="7" xfId="0" applyNumberFormat="1" applyFill="1" applyBorder="1" applyAlignment="1" applyProtection="1">
      <alignment vertical="center"/>
      <protection hidden="1"/>
    </xf>
    <xf numFmtId="0" fontId="19" fillId="16" borderId="0" xfId="0" applyFont="1" applyFill="1" applyAlignment="1" applyProtection="1">
      <alignment vertical="top" wrapText="1"/>
      <protection hidden="1"/>
    </xf>
    <xf numFmtId="0" fontId="5" fillId="16" borderId="5" xfId="4" applyFill="1" applyBorder="1" applyProtection="1">
      <protection hidden="1"/>
    </xf>
    <xf numFmtId="6" fontId="119" fillId="16" borderId="0" xfId="0" applyNumberFormat="1" applyFont="1" applyFill="1" applyAlignment="1" applyProtection="1">
      <alignment horizontal="center" vertical="center"/>
      <protection hidden="1"/>
    </xf>
    <xf numFmtId="0" fontId="129" fillId="16" borderId="0" xfId="0" applyFont="1" applyFill="1" applyAlignment="1">
      <alignment horizontal="center"/>
    </xf>
    <xf numFmtId="0" fontId="3" fillId="0" borderId="0" xfId="0" applyFont="1" applyAlignment="1">
      <alignment horizontal="right"/>
    </xf>
    <xf numFmtId="0" fontId="129" fillId="0" borderId="0" xfId="0" applyFont="1" applyAlignment="1">
      <alignment horizontal="left"/>
    </xf>
    <xf numFmtId="0" fontId="267" fillId="16" borderId="0" xfId="0" applyFont="1" applyFill="1" applyAlignment="1" applyProtection="1">
      <alignment vertical="center"/>
      <protection hidden="1"/>
    </xf>
    <xf numFmtId="0" fontId="265" fillId="16" borderId="0" xfId="0" applyFont="1" applyFill="1" applyAlignment="1" applyProtection="1">
      <alignment vertical="center"/>
      <protection hidden="1"/>
    </xf>
    <xf numFmtId="0" fontId="266" fillId="16" borderId="0" xfId="0" applyFont="1" applyFill="1" applyAlignment="1" applyProtection="1">
      <alignment vertical="center"/>
      <protection hidden="1"/>
    </xf>
    <xf numFmtId="182" fontId="131" fillId="16" borderId="0" xfId="0" applyNumberFormat="1" applyFont="1" applyFill="1" applyAlignment="1" applyProtection="1">
      <alignment horizontal="center"/>
      <protection hidden="1"/>
    </xf>
    <xf numFmtId="0" fontId="3" fillId="16" borderId="25" xfId="0" applyFont="1" applyFill="1" applyBorder="1" applyAlignment="1" applyProtection="1">
      <alignment horizontal="right"/>
      <protection hidden="1"/>
    </xf>
    <xf numFmtId="37" fontId="8" fillId="16" borderId="0" xfId="0" applyNumberFormat="1" applyFont="1" applyFill="1" applyProtection="1">
      <protection hidden="1"/>
    </xf>
    <xf numFmtId="37" fontId="9" fillId="16" borderId="0" xfId="0" applyNumberFormat="1" applyFont="1" applyFill="1" applyProtection="1">
      <protection hidden="1"/>
    </xf>
    <xf numFmtId="37" fontId="0" fillId="16" borderId="9" xfId="0" applyNumberFormat="1" applyFill="1" applyBorder="1" applyProtection="1">
      <protection hidden="1"/>
    </xf>
    <xf numFmtId="37" fontId="8" fillId="16" borderId="10" xfId="0" applyNumberFormat="1" applyFont="1" applyFill="1" applyBorder="1" applyProtection="1">
      <protection hidden="1"/>
    </xf>
    <xf numFmtId="37" fontId="8" fillId="16" borderId="1" xfId="0" applyNumberFormat="1" applyFont="1" applyFill="1" applyBorder="1" applyProtection="1">
      <protection hidden="1"/>
    </xf>
    <xf numFmtId="0" fontId="3" fillId="16" borderId="8" xfId="0" applyFont="1" applyFill="1" applyBorder="1" applyAlignment="1" applyProtection="1">
      <alignment horizontal="left" vertical="center"/>
      <protection hidden="1"/>
    </xf>
    <xf numFmtId="0" fontId="10" fillId="16" borderId="8" xfId="0" applyFont="1" applyFill="1" applyBorder="1" applyAlignment="1" applyProtection="1">
      <alignment vertical="center"/>
      <protection hidden="1"/>
    </xf>
    <xf numFmtId="0" fontId="3" fillId="16" borderId="5" xfId="0" applyFont="1" applyFill="1" applyBorder="1" applyAlignment="1" applyProtection="1">
      <alignment horizontal="center"/>
      <protection hidden="1"/>
    </xf>
    <xf numFmtId="0" fontId="3" fillId="16" borderId="5" xfId="0" applyFont="1" applyFill="1" applyBorder="1" applyAlignment="1" applyProtection="1">
      <alignment horizontal="left" indent="1"/>
      <protection hidden="1"/>
    </xf>
    <xf numFmtId="0" fontId="0" fillId="16" borderId="5" xfId="0" applyFill="1" applyBorder="1" applyAlignment="1" applyProtection="1">
      <alignment horizontal="right" indent="1"/>
      <protection hidden="1"/>
    </xf>
    <xf numFmtId="0" fontId="18" fillId="16" borderId="0" xfId="0" applyFont="1" applyFill="1" applyAlignment="1" applyProtection="1">
      <alignment horizontal="right"/>
      <protection hidden="1"/>
    </xf>
    <xf numFmtId="0" fontId="10" fillId="16" borderId="8" xfId="0" applyFont="1" applyFill="1" applyBorder="1" applyAlignment="1" applyProtection="1">
      <alignment horizontal="center" vertical="center"/>
      <protection hidden="1"/>
    </xf>
    <xf numFmtId="4" fontId="10" fillId="3" borderId="16" xfId="0" applyNumberFormat="1" applyFont="1" applyFill="1" applyBorder="1" applyAlignment="1" applyProtection="1">
      <alignment horizontal="center"/>
      <protection hidden="1"/>
    </xf>
    <xf numFmtId="0" fontId="57" fillId="9" borderId="26" xfId="0" applyFont="1" applyFill="1" applyBorder="1" applyAlignment="1" applyProtection="1">
      <alignment horizontal="center" vertical="center"/>
      <protection hidden="1"/>
    </xf>
    <xf numFmtId="0" fontId="60" fillId="9" borderId="26" xfId="0" applyFont="1" applyFill="1" applyBorder="1" applyAlignment="1" applyProtection="1">
      <alignment horizontal="center" vertical="center"/>
      <protection hidden="1"/>
    </xf>
    <xf numFmtId="0" fontId="5" fillId="0" borderId="0" xfId="0" quotePrefix="1" applyFont="1" applyAlignment="1">
      <alignment horizontal="center"/>
    </xf>
    <xf numFmtId="0" fontId="53" fillId="3" borderId="0" xfId="0" applyFont="1" applyFill="1" applyAlignment="1" applyProtection="1">
      <alignment horizontal="left" vertical="top"/>
      <protection hidden="1"/>
    </xf>
    <xf numFmtId="0" fontId="13" fillId="16" borderId="8" xfId="0" applyFont="1" applyFill="1" applyBorder="1" applyAlignment="1" applyProtection="1">
      <alignment horizontal="right" vertical="center"/>
      <protection hidden="1"/>
    </xf>
    <xf numFmtId="0" fontId="129" fillId="0" borderId="0" xfId="0" quotePrefix="1" applyFont="1" applyAlignment="1" applyProtection="1">
      <alignment horizontal="center"/>
      <protection hidden="1"/>
    </xf>
    <xf numFmtId="0" fontId="53" fillId="15" borderId="0" xfId="0" applyFont="1" applyFill="1" applyAlignment="1" applyProtection="1">
      <alignment vertical="center"/>
      <protection hidden="1"/>
    </xf>
    <xf numFmtId="4" fontId="10" fillId="3" borderId="8" xfId="0" applyNumberFormat="1" applyFont="1" applyFill="1" applyBorder="1" applyAlignment="1" applyProtection="1">
      <alignment horizontal="left" vertical="top"/>
      <protection hidden="1"/>
    </xf>
    <xf numFmtId="0" fontId="5" fillId="20" borderId="0" xfId="0" applyFont="1" applyFill="1" applyAlignment="1">
      <alignment horizontal="right"/>
    </xf>
    <xf numFmtId="0" fontId="7" fillId="2" borderId="0" xfId="0" applyFont="1" applyFill="1" applyAlignment="1" applyProtection="1">
      <alignment vertical="top"/>
      <protection hidden="1"/>
    </xf>
    <xf numFmtId="164" fontId="6" fillId="2" borderId="6" xfId="0" applyNumberFormat="1" applyFont="1" applyFill="1" applyBorder="1" applyAlignment="1" applyProtection="1">
      <alignment horizontal="right" vertical="top"/>
      <protection hidden="1"/>
    </xf>
    <xf numFmtId="40" fontId="5" fillId="2" borderId="0" xfId="0" applyNumberFormat="1" applyFont="1" applyFill="1" applyAlignment="1" applyProtection="1">
      <alignment vertical="center"/>
      <protection hidden="1"/>
    </xf>
    <xf numFmtId="40" fontId="3" fillId="2" borderId="0" xfId="0" applyNumberFormat="1" applyFont="1" applyFill="1" applyAlignment="1" applyProtection="1">
      <alignment horizontal="center" vertical="center"/>
      <protection hidden="1"/>
    </xf>
    <xf numFmtId="40" fontId="5" fillId="2" borderId="0" xfId="0" applyNumberFormat="1" applyFont="1" applyFill="1" applyAlignment="1" applyProtection="1">
      <alignment horizontal="left" indent="1"/>
      <protection hidden="1"/>
    </xf>
    <xf numFmtId="38" fontId="129" fillId="2" borderId="0" xfId="0" applyNumberFormat="1" applyFont="1" applyFill="1" applyProtection="1">
      <protection hidden="1"/>
    </xf>
    <xf numFmtId="40" fontId="5" fillId="2" borderId="0" xfId="0" applyNumberFormat="1" applyFont="1" applyFill="1" applyAlignment="1" applyProtection="1">
      <alignment horizontal="left" vertical="center"/>
      <protection hidden="1"/>
    </xf>
    <xf numFmtId="0" fontId="5" fillId="16" borderId="0" xfId="4" applyFill="1"/>
    <xf numFmtId="182" fontId="168" fillId="16" borderId="0" xfId="4" applyNumberFormat="1" applyFont="1" applyFill="1" applyAlignment="1" applyProtection="1">
      <alignment horizontal="center"/>
      <protection hidden="1"/>
    </xf>
    <xf numFmtId="182" fontId="5" fillId="16" borderId="0" xfId="4" applyNumberFormat="1" applyFill="1" applyAlignment="1" applyProtection="1">
      <alignment horizontal="center"/>
      <protection hidden="1"/>
    </xf>
    <xf numFmtId="1" fontId="5" fillId="16" borderId="0" xfId="4" applyNumberFormat="1" applyFill="1" applyAlignment="1" applyProtection="1">
      <alignment horizontal="center"/>
      <protection hidden="1"/>
    </xf>
    <xf numFmtId="0" fontId="5" fillId="16" borderId="8" xfId="4" applyFill="1" applyBorder="1" applyAlignment="1" applyProtection="1">
      <alignment horizontal="center"/>
      <protection hidden="1"/>
    </xf>
    <xf numFmtId="0" fontId="5" fillId="16" borderId="20" xfId="4" applyFill="1" applyBorder="1" applyAlignment="1" applyProtection="1">
      <alignment horizontal="center"/>
      <protection hidden="1"/>
    </xf>
    <xf numFmtId="1" fontId="129" fillId="2" borderId="6" xfId="0" applyNumberFormat="1" applyFont="1" applyFill="1" applyBorder="1" applyAlignment="1" applyProtection="1">
      <alignment horizontal="center" vertical="top"/>
      <protection hidden="1"/>
    </xf>
    <xf numFmtId="164" fontId="145" fillId="2" borderId="6" xfId="0" applyNumberFormat="1" applyFont="1" applyFill="1" applyBorder="1" applyAlignment="1" applyProtection="1">
      <alignment vertical="top"/>
      <protection hidden="1"/>
    </xf>
    <xf numFmtId="1" fontId="129" fillId="2" borderId="21" xfId="0" applyNumberFormat="1" applyFont="1" applyFill="1" applyBorder="1" applyAlignment="1" applyProtection="1">
      <alignment horizontal="center" vertical="top"/>
      <protection hidden="1"/>
    </xf>
    <xf numFmtId="40" fontId="145" fillId="2" borderId="0" xfId="0" applyNumberFormat="1" applyFont="1" applyFill="1" applyAlignment="1" applyProtection="1">
      <alignment horizontal="right"/>
      <protection hidden="1"/>
    </xf>
    <xf numFmtId="38" fontId="135" fillId="2" borderId="0" xfId="0" applyNumberFormat="1" applyFont="1" applyFill="1" applyAlignment="1" applyProtection="1">
      <alignment horizontal="right"/>
      <protection hidden="1"/>
    </xf>
    <xf numFmtId="37" fontId="7" fillId="17" borderId="13" xfId="0" applyNumberFormat="1" applyFont="1" applyFill="1" applyBorder="1" applyProtection="1">
      <protection locked="0"/>
    </xf>
    <xf numFmtId="37" fontId="0" fillId="5" borderId="0" xfId="0" applyNumberFormat="1" applyFill="1" applyProtection="1">
      <protection hidden="1"/>
    </xf>
    <xf numFmtId="37" fontId="6" fillId="2" borderId="6" xfId="0" applyNumberFormat="1" applyFont="1" applyFill="1" applyBorder="1" applyAlignment="1" applyProtection="1">
      <alignment vertical="top"/>
      <protection hidden="1"/>
    </xf>
    <xf numFmtId="37" fontId="0" fillId="2" borderId="0" xfId="0" applyNumberFormat="1" applyFill="1" applyProtection="1">
      <protection hidden="1"/>
    </xf>
    <xf numFmtId="37" fontId="5" fillId="2" borderId="0" xfId="0" applyNumberFormat="1" applyFont="1" applyFill="1" applyAlignment="1" applyProtection="1">
      <alignment vertical="center"/>
      <protection hidden="1"/>
    </xf>
    <xf numFmtId="37" fontId="6" fillId="2" borderId="0" xfId="0" applyNumberFormat="1" applyFont="1" applyFill="1" applyProtection="1">
      <protection hidden="1"/>
    </xf>
    <xf numFmtId="37" fontId="0" fillId="2" borderId="21" xfId="0" applyNumberFormat="1" applyFill="1" applyBorder="1" applyProtection="1">
      <protection hidden="1"/>
    </xf>
    <xf numFmtId="37" fontId="135" fillId="2" borderId="0" xfId="0" applyNumberFormat="1" applyFont="1" applyFill="1" applyProtection="1">
      <protection hidden="1"/>
    </xf>
    <xf numFmtId="40" fontId="190" fillId="22" borderId="0" xfId="0" applyNumberFormat="1" applyFont="1" applyFill="1" applyAlignment="1" applyProtection="1">
      <alignment horizontal="right"/>
      <protection hidden="1"/>
    </xf>
    <xf numFmtId="40" fontId="269" fillId="22" borderId="21" xfId="0" applyNumberFormat="1" applyFont="1" applyFill="1" applyBorder="1" applyAlignment="1" applyProtection="1">
      <alignment horizontal="right"/>
      <protection hidden="1"/>
    </xf>
    <xf numFmtId="37" fontId="7" fillId="28" borderId="13" xfId="0" applyNumberFormat="1" applyFont="1" applyFill="1" applyBorder="1" applyProtection="1">
      <protection hidden="1"/>
    </xf>
    <xf numFmtId="0" fontId="8" fillId="2" borderId="75" xfId="0" applyFont="1" applyFill="1" applyBorder="1" applyAlignment="1" applyProtection="1">
      <alignment horizontal="center"/>
      <protection hidden="1"/>
    </xf>
    <xf numFmtId="0" fontId="129" fillId="2" borderId="5" xfId="0" applyFont="1" applyFill="1" applyBorder="1" applyAlignment="1" applyProtection="1">
      <alignment vertical="top"/>
      <protection hidden="1"/>
    </xf>
    <xf numFmtId="0" fontId="0" fillId="2" borderId="8" xfId="0" applyFill="1" applyBorder="1" applyAlignment="1" applyProtection="1">
      <alignment horizontal="center"/>
      <protection hidden="1"/>
    </xf>
    <xf numFmtId="0" fontId="129" fillId="2" borderId="8" xfId="0" applyFont="1" applyFill="1" applyBorder="1" applyProtection="1">
      <protection hidden="1"/>
    </xf>
    <xf numFmtId="0" fontId="129" fillId="2" borderId="21" xfId="0" applyFont="1" applyFill="1" applyBorder="1" applyProtection="1">
      <protection hidden="1"/>
    </xf>
    <xf numFmtId="37" fontId="7" fillId="0" borderId="1" xfId="0" applyNumberFormat="1" applyFont="1" applyBorder="1" applyProtection="1">
      <protection locked="0"/>
    </xf>
    <xf numFmtId="0" fontId="184" fillId="39" borderId="0" xfId="0" applyFont="1" applyFill="1" applyAlignment="1" applyProtection="1">
      <alignment horizontal="left" indent="1"/>
      <protection hidden="1"/>
    </xf>
    <xf numFmtId="37" fontId="5" fillId="2" borderId="2" xfId="0" applyNumberFormat="1" applyFont="1" applyFill="1" applyBorder="1" applyProtection="1">
      <protection hidden="1"/>
    </xf>
    <xf numFmtId="4" fontId="157" fillId="16" borderId="0" xfId="0" applyNumberFormat="1" applyFont="1" applyFill="1" applyProtection="1">
      <protection hidden="1"/>
    </xf>
    <xf numFmtId="0" fontId="13" fillId="3" borderId="0" xfId="0" applyFont="1" applyFill="1" applyAlignment="1" applyProtection="1">
      <alignment horizontal="center"/>
      <protection hidden="1"/>
    </xf>
    <xf numFmtId="0" fontId="0" fillId="16" borderId="0" xfId="0" applyFill="1" applyAlignment="1">
      <alignment horizontal="centerContinuous"/>
    </xf>
    <xf numFmtId="0" fontId="0" fillId="16" borderId="21" xfId="0" applyFill="1" applyBorder="1" applyAlignment="1">
      <alignment horizontal="centerContinuous"/>
    </xf>
    <xf numFmtId="0" fontId="0" fillId="16" borderId="0" xfId="0" applyFill="1" applyAlignment="1">
      <alignment horizontal="left" vertical="center" wrapText="1"/>
    </xf>
    <xf numFmtId="0" fontId="0" fillId="16" borderId="5" xfId="0" applyFill="1" applyBorder="1" applyAlignment="1">
      <alignment horizontal="left" vertical="center" wrapText="1"/>
    </xf>
    <xf numFmtId="0" fontId="5" fillId="16" borderId="6" xfId="0" applyFont="1" applyFill="1" applyBorder="1" applyAlignment="1" applyProtection="1">
      <alignment horizontal="left" indent="2"/>
      <protection hidden="1"/>
    </xf>
    <xf numFmtId="0" fontId="5" fillId="16" borderId="22" xfId="0" applyFont="1" applyFill="1" applyBorder="1" applyAlignment="1" applyProtection="1">
      <alignment horizontal="left" indent="2"/>
      <protection hidden="1"/>
    </xf>
    <xf numFmtId="0" fontId="8" fillId="16" borderId="57" xfId="0" applyFont="1" applyFill="1" applyBorder="1" applyAlignment="1" applyProtection="1">
      <alignment horizontal="center"/>
      <protection hidden="1"/>
    </xf>
    <xf numFmtId="37" fontId="3" fillId="16" borderId="0" xfId="0" applyNumberFormat="1" applyFont="1" applyFill="1" applyProtection="1">
      <protection hidden="1"/>
    </xf>
    <xf numFmtId="37" fontId="8" fillId="16" borderId="25" xfId="0" applyNumberFormat="1" applyFont="1" applyFill="1" applyBorder="1" applyProtection="1">
      <protection locked="0"/>
    </xf>
    <xf numFmtId="37" fontId="8" fillId="16" borderId="25" xfId="0" applyNumberFormat="1" applyFont="1" applyFill="1" applyBorder="1" applyProtection="1">
      <protection hidden="1"/>
    </xf>
    <xf numFmtId="0" fontId="3" fillId="16" borderId="9" xfId="0" applyFont="1" applyFill="1" applyBorder="1" applyProtection="1">
      <protection hidden="1"/>
    </xf>
    <xf numFmtId="0" fontId="7" fillId="16" borderId="8" xfId="0" applyFont="1" applyFill="1" applyBorder="1" applyAlignment="1" applyProtection="1">
      <alignment horizontal="right"/>
      <protection hidden="1"/>
    </xf>
    <xf numFmtId="0" fontId="75" fillId="0" borderId="101" xfId="2" applyFill="1" applyBorder="1" applyAlignment="1" applyProtection="1">
      <alignment horizontal="right"/>
    </xf>
    <xf numFmtId="0" fontId="3" fillId="0" borderId="76" xfId="0" applyFont="1" applyBorder="1" applyAlignment="1">
      <alignment horizontal="left" indent="1"/>
    </xf>
    <xf numFmtId="0" fontId="0" fillId="24" borderId="16" xfId="0" applyFill="1" applyBorder="1" applyProtection="1">
      <protection hidden="1"/>
    </xf>
    <xf numFmtId="37" fontId="3" fillId="28" borderId="10" xfId="0" quotePrefix="1" applyNumberFormat="1" applyFont="1" applyFill="1" applyBorder="1" applyAlignment="1" applyProtection="1">
      <alignment horizontal="center"/>
      <protection hidden="1"/>
    </xf>
    <xf numFmtId="37" fontId="3" fillId="28" borderId="1" xfId="0" quotePrefix="1" applyNumberFormat="1" applyFont="1" applyFill="1" applyBorder="1" applyProtection="1">
      <protection hidden="1"/>
    </xf>
    <xf numFmtId="37" fontId="53" fillId="16" borderId="25" xfId="0" applyNumberFormat="1" applyFont="1" applyFill="1" applyBorder="1" applyAlignment="1" applyProtection="1">
      <alignment horizontal="right"/>
      <protection hidden="1"/>
    </xf>
    <xf numFmtId="37" fontId="18" fillId="28" borderId="40" xfId="0" quotePrefix="1" applyNumberFormat="1" applyFont="1" applyFill="1" applyBorder="1" applyAlignment="1" applyProtection="1">
      <alignment horizontal="center"/>
      <protection hidden="1"/>
    </xf>
    <xf numFmtId="37" fontId="18" fillId="28" borderId="26" xfId="0" quotePrefix="1" applyNumberFormat="1" applyFont="1" applyFill="1" applyBorder="1" applyAlignment="1" applyProtection="1">
      <alignment horizontal="center"/>
      <protection hidden="1"/>
    </xf>
    <xf numFmtId="0" fontId="8" fillId="3" borderId="0" xfId="0" applyFont="1" applyFill="1" applyAlignment="1" applyProtection="1">
      <alignment vertical="top"/>
      <protection hidden="1"/>
    </xf>
    <xf numFmtId="0" fontId="13" fillId="3" borderId="0" xfId="0" applyFont="1" applyFill="1" applyAlignment="1" applyProtection="1">
      <alignment vertical="top"/>
      <protection hidden="1"/>
    </xf>
    <xf numFmtId="0" fontId="5" fillId="15" borderId="0" xfId="0" applyFont="1" applyFill="1" applyProtection="1">
      <protection locked="0"/>
    </xf>
    <xf numFmtId="0" fontId="146" fillId="25" borderId="8" xfId="0" applyFont="1" applyFill="1" applyBorder="1" applyProtection="1">
      <protection hidden="1"/>
    </xf>
    <xf numFmtId="0" fontId="13" fillId="2" borderId="0" xfId="0" applyFont="1" applyFill="1" applyAlignment="1" applyProtection="1">
      <alignment vertical="center"/>
      <protection hidden="1"/>
    </xf>
    <xf numFmtId="0" fontId="11" fillId="3" borderId="0" xfId="0" applyFont="1" applyFill="1" applyAlignment="1" applyProtection="1">
      <alignment horizontal="center" vertical="center"/>
      <protection hidden="1"/>
    </xf>
    <xf numFmtId="4" fontId="11" fillId="3" borderId="0" xfId="0" applyNumberFormat="1" applyFont="1" applyFill="1" applyAlignment="1" applyProtection="1">
      <alignment vertical="center"/>
      <protection hidden="1"/>
    </xf>
    <xf numFmtId="39" fontId="11" fillId="3" borderId="0" xfId="0" applyNumberFormat="1" applyFont="1" applyFill="1" applyAlignment="1" applyProtection="1">
      <alignment vertical="center"/>
      <protection hidden="1"/>
    </xf>
    <xf numFmtId="0" fontId="19" fillId="3" borderId="6" xfId="0" applyFont="1" applyFill="1" applyBorder="1" applyAlignment="1" applyProtection="1">
      <alignment horizontal="left" vertical="center"/>
      <protection hidden="1"/>
    </xf>
    <xf numFmtId="4" fontId="11" fillId="3" borderId="0" xfId="0" applyNumberFormat="1" applyFont="1" applyFill="1" applyAlignment="1" applyProtection="1">
      <alignment horizontal="right" vertical="center"/>
      <protection hidden="1"/>
    </xf>
    <xf numFmtId="0" fontId="7" fillId="15" borderId="6" xfId="0" applyFont="1" applyFill="1" applyBorder="1" applyAlignment="1" applyProtection="1">
      <alignment vertical="center"/>
      <protection hidden="1"/>
    </xf>
    <xf numFmtId="4" fontId="10" fillId="16" borderId="0" xfId="0" applyNumberFormat="1" applyFont="1" applyFill="1" applyProtection="1">
      <protection hidden="1"/>
    </xf>
    <xf numFmtId="0" fontId="13" fillId="3" borderId="0" xfId="0" applyFont="1" applyFill="1" applyAlignment="1" applyProtection="1">
      <alignment horizontal="centerContinuous" vertical="top"/>
      <protection hidden="1"/>
    </xf>
    <xf numFmtId="0" fontId="17" fillId="3" borderId="0" xfId="0" applyFont="1" applyFill="1" applyAlignment="1" applyProtection="1">
      <alignment horizontal="centerContinuous" vertical="top"/>
      <protection hidden="1"/>
    </xf>
    <xf numFmtId="0" fontId="0" fillId="3" borderId="0" xfId="0" applyFill="1" applyAlignment="1" applyProtection="1">
      <alignment horizontal="centerContinuous"/>
      <protection hidden="1"/>
    </xf>
    <xf numFmtId="4" fontId="0" fillId="3" borderId="0" xfId="0" applyNumberFormat="1" applyFill="1" applyAlignment="1" applyProtection="1">
      <alignment horizontal="centerContinuous"/>
      <protection hidden="1"/>
    </xf>
    <xf numFmtId="0" fontId="7" fillId="16" borderId="0" xfId="0" applyFont="1" applyFill="1" applyAlignment="1">
      <alignment vertical="center"/>
    </xf>
    <xf numFmtId="0" fontId="23" fillId="16" borderId="0" xfId="0" applyFont="1" applyFill="1" applyAlignment="1">
      <alignment horizontal="center"/>
    </xf>
    <xf numFmtId="0" fontId="7" fillId="16" borderId="6" xfId="0" applyFont="1" applyFill="1" applyBorder="1" applyAlignment="1">
      <alignment vertical="center"/>
    </xf>
    <xf numFmtId="0" fontId="10" fillId="3" borderId="8" xfId="0" applyFont="1" applyFill="1" applyBorder="1" applyAlignment="1" applyProtection="1">
      <alignment vertical="top"/>
      <protection hidden="1"/>
    </xf>
    <xf numFmtId="0" fontId="13" fillId="3" borderId="8" xfId="0" applyFont="1" applyFill="1" applyBorder="1" applyAlignment="1" applyProtection="1">
      <alignment horizontal="centerContinuous" vertical="top"/>
      <protection hidden="1"/>
    </xf>
    <xf numFmtId="0" fontId="17" fillId="3" borderId="8" xfId="0" applyFont="1" applyFill="1" applyBorder="1" applyAlignment="1" applyProtection="1">
      <alignment horizontal="centerContinuous" vertical="top"/>
      <protection hidden="1"/>
    </xf>
    <xf numFmtId="0" fontId="0" fillId="3" borderId="8" xfId="0" applyFill="1" applyBorder="1" applyAlignment="1" applyProtection="1">
      <alignment horizontal="centerContinuous"/>
      <protection hidden="1"/>
    </xf>
    <xf numFmtId="4" fontId="0" fillId="3" borderId="8" xfId="0" applyNumberFormat="1" applyFill="1" applyBorder="1" applyAlignment="1" applyProtection="1">
      <alignment horizontal="centerContinuous"/>
      <protection hidden="1"/>
    </xf>
    <xf numFmtId="0" fontId="3" fillId="3" borderId="8" xfId="0" applyFont="1" applyFill="1" applyBorder="1" applyAlignment="1" applyProtection="1">
      <alignment horizontal="centerContinuous"/>
      <protection hidden="1"/>
    </xf>
    <xf numFmtId="0" fontId="7" fillId="16" borderId="8" xfId="0" applyFont="1" applyFill="1" applyBorder="1" applyAlignment="1">
      <alignment vertical="center"/>
    </xf>
    <xf numFmtId="0" fontId="7" fillId="16" borderId="8" xfId="0" applyFont="1" applyFill="1" applyBorder="1" applyAlignment="1">
      <alignment horizontal="right" vertical="top"/>
    </xf>
    <xf numFmtId="0" fontId="23" fillId="16" borderId="8" xfId="0" applyFont="1" applyFill="1" applyBorder="1" applyAlignment="1">
      <alignment horizontal="center"/>
    </xf>
    <xf numFmtId="0" fontId="13" fillId="3" borderId="1" xfId="0" applyFont="1" applyFill="1" applyBorder="1" applyAlignment="1" applyProtection="1">
      <alignment horizontal="centerContinuous" vertical="top"/>
      <protection hidden="1"/>
    </xf>
    <xf numFmtId="0" fontId="17" fillId="3" borderId="1" xfId="0" applyFont="1" applyFill="1" applyBorder="1" applyAlignment="1" applyProtection="1">
      <alignment horizontal="centerContinuous" vertical="top"/>
      <protection hidden="1"/>
    </xf>
    <xf numFmtId="0" fontId="0" fillId="3" borderId="1" xfId="0" applyFill="1" applyBorder="1" applyAlignment="1" applyProtection="1">
      <alignment horizontal="centerContinuous"/>
      <protection hidden="1"/>
    </xf>
    <xf numFmtId="4" fontId="0" fillId="3" borderId="1" xfId="0" applyNumberFormat="1" applyFill="1" applyBorder="1" applyAlignment="1" applyProtection="1">
      <alignment horizontal="centerContinuous"/>
      <protection hidden="1"/>
    </xf>
    <xf numFmtId="0" fontId="3" fillId="3" borderId="1" xfId="0" applyFont="1" applyFill="1" applyBorder="1" applyAlignment="1" applyProtection="1">
      <alignment horizontal="centerContinuous"/>
      <protection hidden="1"/>
    </xf>
    <xf numFmtId="0" fontId="7" fillId="16" borderId="1" xfId="0" applyFont="1" applyFill="1" applyBorder="1" applyAlignment="1">
      <alignment vertical="center"/>
    </xf>
    <xf numFmtId="0" fontId="7" fillId="16" borderId="1" xfId="0" applyFont="1" applyFill="1" applyBorder="1" applyAlignment="1">
      <alignment horizontal="right" vertical="top"/>
    </xf>
    <xf numFmtId="0" fontId="23" fillId="16" borderId="1" xfId="0" applyFont="1" applyFill="1" applyBorder="1" applyAlignment="1">
      <alignment horizontal="center"/>
    </xf>
    <xf numFmtId="0" fontId="3" fillId="3" borderId="0" xfId="0" applyFont="1" applyFill="1" applyAlignment="1" applyProtection="1">
      <alignment horizontal="left" vertical="center"/>
      <protection hidden="1"/>
    </xf>
    <xf numFmtId="0" fontId="3" fillId="21" borderId="2" xfId="0" applyFont="1" applyFill="1" applyBorder="1" applyAlignment="1" applyProtection="1">
      <alignment horizontal="centerContinuous"/>
      <protection locked="0"/>
    </xf>
    <xf numFmtId="0" fontId="18" fillId="3" borderId="1" xfId="0" applyFont="1" applyFill="1" applyBorder="1" applyAlignment="1" applyProtection="1">
      <alignment vertical="center"/>
      <protection hidden="1"/>
    </xf>
    <xf numFmtId="0" fontId="5" fillId="3" borderId="1" xfId="0" applyFont="1" applyFill="1" applyBorder="1" applyAlignment="1" applyProtection="1">
      <alignment horizontal="left" indent="1"/>
      <protection hidden="1"/>
    </xf>
    <xf numFmtId="0" fontId="14" fillId="3" borderId="17" xfId="0" applyFont="1" applyFill="1" applyBorder="1" applyProtection="1">
      <protection hidden="1"/>
    </xf>
    <xf numFmtId="0" fontId="6" fillId="3" borderId="0" xfId="0" applyFont="1" applyFill="1" applyAlignment="1" applyProtection="1">
      <alignment horizontal="center" vertical="top"/>
      <protection hidden="1"/>
    </xf>
    <xf numFmtId="0" fontId="8" fillId="3" borderId="0" xfId="0" applyFont="1" applyFill="1" applyAlignment="1" applyProtection="1">
      <alignment horizontal="left" vertical="center"/>
      <protection hidden="1"/>
    </xf>
    <xf numFmtId="0" fontId="8" fillId="3" borderId="0" xfId="0" applyFont="1" applyFill="1" applyAlignment="1" applyProtection="1">
      <alignment horizontal="left" vertical="top"/>
      <protection hidden="1"/>
    </xf>
    <xf numFmtId="164" fontId="3" fillId="3" borderId="3" xfId="0" quotePrefix="1" applyNumberFormat="1" applyFont="1" applyFill="1" applyBorder="1" applyAlignment="1" applyProtection="1">
      <alignment horizontal="right"/>
      <protection hidden="1"/>
    </xf>
    <xf numFmtId="37" fontId="109" fillId="0" borderId="0" xfId="0" applyNumberFormat="1" applyFont="1" applyProtection="1">
      <protection hidden="1"/>
    </xf>
    <xf numFmtId="164" fontId="6" fillId="3" borderId="0" xfId="0" quotePrefix="1" applyNumberFormat="1" applyFont="1" applyFill="1" applyAlignment="1" applyProtection="1">
      <alignment horizontal="right"/>
      <protection hidden="1"/>
    </xf>
    <xf numFmtId="0" fontId="21" fillId="3" borderId="1" xfId="0" applyFont="1" applyFill="1" applyBorder="1" applyAlignment="1" applyProtection="1">
      <alignment horizontal="left"/>
      <protection hidden="1"/>
    </xf>
    <xf numFmtId="4" fontId="10" fillId="3" borderId="1" xfId="0" applyNumberFormat="1" applyFont="1" applyFill="1" applyBorder="1" applyAlignment="1" applyProtection="1">
      <alignment horizontal="left"/>
      <protection hidden="1"/>
    </xf>
    <xf numFmtId="1" fontId="3" fillId="3" borderId="1" xfId="0" applyNumberFormat="1" applyFont="1" applyFill="1" applyBorder="1" applyAlignment="1" applyProtection="1">
      <alignment horizontal="right"/>
      <protection hidden="1"/>
    </xf>
    <xf numFmtId="0" fontId="53" fillId="16" borderId="5" xfId="0" applyFont="1" applyFill="1" applyBorder="1" applyAlignment="1" applyProtection="1">
      <alignment vertical="center"/>
      <protection hidden="1"/>
    </xf>
    <xf numFmtId="0" fontId="4" fillId="3" borderId="0" xfId="0" applyFont="1" applyFill="1" applyAlignment="1" applyProtection="1">
      <alignment horizontal="left" indent="2"/>
      <protection hidden="1"/>
    </xf>
    <xf numFmtId="0" fontId="8" fillId="3" borderId="0" xfId="0" applyFont="1" applyFill="1" applyAlignment="1" applyProtection="1">
      <alignment horizontal="left" indent="1"/>
      <protection hidden="1"/>
    </xf>
    <xf numFmtId="0" fontId="264" fillId="8" borderId="0" xfId="0" applyFont="1" applyFill="1" applyAlignment="1" applyProtection="1">
      <alignment horizontal="center"/>
      <protection hidden="1"/>
    </xf>
    <xf numFmtId="0" fontId="86" fillId="2" borderId="0" xfId="0" applyFont="1" applyFill="1" applyAlignment="1" applyProtection="1">
      <alignment horizontal="right" wrapText="1"/>
      <protection hidden="1"/>
    </xf>
    <xf numFmtId="0" fontId="139" fillId="2" borderId="0" xfId="0" applyFont="1" applyFill="1" applyAlignment="1" applyProtection="1">
      <alignment horizontal="left" vertical="center" indent="1"/>
      <protection hidden="1"/>
    </xf>
    <xf numFmtId="0" fontId="5" fillId="16" borderId="5" xfId="0" applyFont="1" applyFill="1" applyBorder="1" applyAlignment="1" applyProtection="1">
      <alignment horizontal="center"/>
      <protection hidden="1"/>
    </xf>
    <xf numFmtId="4" fontId="5" fillId="33" borderId="194" xfId="0" applyNumberFormat="1" applyFont="1" applyFill="1" applyBorder="1" applyProtection="1">
      <protection locked="0"/>
    </xf>
    <xf numFmtId="4" fontId="5" fillId="33" borderId="196" xfId="0" applyNumberFormat="1" applyFont="1" applyFill="1" applyBorder="1" applyAlignment="1" applyProtection="1">
      <alignment horizontal="right"/>
      <protection locked="0"/>
    </xf>
    <xf numFmtId="4" fontId="141" fillId="2" borderId="0" xfId="0" applyNumberFormat="1" applyFont="1" applyFill="1" applyProtection="1">
      <protection hidden="1"/>
    </xf>
    <xf numFmtId="4" fontId="129" fillId="2" borderId="0" xfId="0" applyNumberFormat="1" applyFont="1" applyFill="1" applyAlignment="1" applyProtection="1">
      <alignment horizontal="left"/>
      <protection hidden="1"/>
    </xf>
    <xf numFmtId="0" fontId="3" fillId="16" borderId="0" xfId="0" applyFont="1" applyFill="1" applyAlignment="1">
      <alignment vertical="center"/>
    </xf>
    <xf numFmtId="0" fontId="171" fillId="0" borderId="8" xfId="0" applyFont="1" applyBorder="1" applyAlignment="1">
      <alignment vertical="top"/>
    </xf>
    <xf numFmtId="0" fontId="3" fillId="2" borderId="16" xfId="0" quotePrefix="1" applyFont="1" applyFill="1" applyBorder="1" applyAlignment="1" applyProtection="1">
      <alignment horizontal="center" vertical="center"/>
      <protection hidden="1"/>
    </xf>
    <xf numFmtId="0" fontId="3" fillId="2" borderId="11" xfId="0" quotePrefix="1" applyFont="1" applyFill="1" applyBorder="1" applyAlignment="1" applyProtection="1">
      <alignment horizontal="center" vertical="center"/>
      <protection hidden="1"/>
    </xf>
    <xf numFmtId="3" fontId="5" fillId="0" borderId="0" xfId="0" applyNumberFormat="1" applyFont="1" applyAlignment="1">
      <alignment horizontal="center"/>
    </xf>
    <xf numFmtId="0" fontId="18" fillId="3" borderId="8" xfId="0" applyFont="1" applyFill="1" applyBorder="1" applyAlignment="1" applyProtection="1">
      <alignment vertical="center"/>
      <protection hidden="1"/>
    </xf>
    <xf numFmtId="0" fontId="5" fillId="3" borderId="5" xfId="0" applyFont="1" applyFill="1" applyBorder="1" applyAlignment="1" applyProtection="1">
      <alignment horizontal="right"/>
      <protection hidden="1"/>
    </xf>
    <xf numFmtId="0" fontId="5" fillId="16" borderId="3" xfId="0" applyFont="1" applyFill="1" applyBorder="1" applyAlignment="1">
      <alignment horizontal="left"/>
    </xf>
    <xf numFmtId="0" fontId="5" fillId="16" borderId="3" xfId="0" applyFont="1" applyFill="1" applyBorder="1" applyAlignment="1">
      <alignment vertical="center"/>
    </xf>
    <xf numFmtId="0" fontId="5" fillId="16" borderId="31" xfId="0" applyFont="1" applyFill="1" applyBorder="1" applyAlignment="1">
      <alignment vertical="center"/>
    </xf>
    <xf numFmtId="0" fontId="5" fillId="16" borderId="10" xfId="0" applyFont="1" applyFill="1" applyBorder="1" applyAlignment="1">
      <alignment vertical="top"/>
    </xf>
    <xf numFmtId="0" fontId="0" fillId="16" borderId="10" xfId="0" applyFill="1" applyBorder="1" applyAlignment="1">
      <alignment vertical="top"/>
    </xf>
    <xf numFmtId="0" fontId="0" fillId="16" borderId="17" xfId="0" applyFill="1" applyBorder="1" applyAlignment="1" applyProtection="1">
      <alignment horizontal="right" vertical="center"/>
      <protection hidden="1"/>
    </xf>
    <xf numFmtId="0" fontId="5" fillId="16" borderId="17" xfId="0" applyFont="1" applyFill="1" applyBorder="1" applyAlignment="1" applyProtection="1">
      <alignment horizontal="right" vertical="center"/>
      <protection hidden="1"/>
    </xf>
    <xf numFmtId="4" fontId="5" fillId="3" borderId="0" xfId="0" applyNumberFormat="1" applyFont="1" applyFill="1" applyAlignment="1" applyProtection="1">
      <alignment horizontal="right"/>
      <protection hidden="1"/>
    </xf>
    <xf numFmtId="0" fontId="3" fillId="3" borderId="0" xfId="0" quotePrefix="1" applyFont="1" applyFill="1" applyAlignment="1" applyProtection="1">
      <alignment horizontal="right"/>
      <protection hidden="1"/>
    </xf>
    <xf numFmtId="37" fontId="7" fillId="29" borderId="70" xfId="0" applyNumberFormat="1" applyFont="1" applyFill="1" applyBorder="1" applyAlignment="1" applyProtection="1">
      <alignment horizontal="right"/>
      <protection hidden="1"/>
    </xf>
    <xf numFmtId="0" fontId="10" fillId="3" borderId="5" xfId="0" applyFont="1" applyFill="1" applyBorder="1" applyAlignment="1" applyProtection="1">
      <alignment vertical="top"/>
      <protection hidden="1"/>
    </xf>
    <xf numFmtId="0" fontId="5" fillId="3" borderId="0" xfId="0" applyFont="1" applyFill="1" applyAlignment="1" applyProtection="1">
      <alignment horizontal="left" vertical="top"/>
      <protection hidden="1"/>
    </xf>
    <xf numFmtId="4" fontId="8" fillId="3" borderId="25" xfId="0" applyNumberFormat="1" applyFont="1" applyFill="1" applyBorder="1" applyAlignment="1" applyProtection="1">
      <alignment horizontal="left" vertical="center"/>
      <protection hidden="1"/>
    </xf>
    <xf numFmtId="0" fontId="0" fillId="0" borderId="25" xfId="0" applyBorder="1" applyAlignment="1">
      <alignment horizontal="center" vertical="center"/>
    </xf>
    <xf numFmtId="0" fontId="28" fillId="16" borderId="0" xfId="0" applyFont="1" applyFill="1" applyAlignment="1">
      <alignment horizontal="center"/>
    </xf>
    <xf numFmtId="0" fontId="5" fillId="16" borderId="0" xfId="0" applyFont="1" applyFill="1" applyAlignment="1">
      <alignment horizontal="right"/>
    </xf>
    <xf numFmtId="0" fontId="5" fillId="16" borderId="0" xfId="0" applyFont="1" applyFill="1" applyAlignment="1" applyProtection="1">
      <alignment horizontal="center" vertical="top"/>
      <protection hidden="1"/>
    </xf>
    <xf numFmtId="4" fontId="5" fillId="16" borderId="0" xfId="0" applyNumberFormat="1" applyFont="1" applyFill="1" applyProtection="1">
      <protection hidden="1"/>
    </xf>
    <xf numFmtId="0" fontId="5" fillId="16" borderId="1" xfId="0" applyFont="1" applyFill="1" applyBorder="1" applyAlignment="1" applyProtection="1">
      <alignment horizontal="center" vertical="top"/>
      <protection hidden="1"/>
    </xf>
    <xf numFmtId="0" fontId="10" fillId="16" borderId="15" xfId="0" applyFont="1" applyFill="1" applyBorder="1" applyProtection="1">
      <protection hidden="1"/>
    </xf>
    <xf numFmtId="0" fontId="129" fillId="16" borderId="3" xfId="0" applyFont="1" applyFill="1" applyBorder="1" applyProtection="1">
      <protection hidden="1"/>
    </xf>
    <xf numFmtId="0" fontId="3" fillId="16" borderId="5" xfId="0" applyFont="1" applyFill="1" applyBorder="1" applyAlignment="1" applyProtection="1">
      <alignment horizontal="right" vertical="center"/>
      <protection hidden="1"/>
    </xf>
    <xf numFmtId="0" fontId="7" fillId="16" borderId="8" xfId="0" applyFont="1" applyFill="1" applyBorder="1" applyAlignment="1" applyProtection="1">
      <alignment horizontal="center" vertical="center"/>
      <protection hidden="1"/>
    </xf>
    <xf numFmtId="0" fontId="10" fillId="2" borderId="68" xfId="0" applyFont="1" applyFill="1" applyBorder="1" applyAlignment="1" applyProtection="1">
      <alignment horizontal="left" vertical="center" indent="1"/>
      <protection hidden="1"/>
    </xf>
    <xf numFmtId="164" fontId="6" fillId="2" borderId="6" xfId="0" applyNumberFormat="1" applyFont="1" applyFill="1" applyBorder="1" applyAlignment="1" applyProtection="1">
      <alignment horizontal="right"/>
      <protection hidden="1"/>
    </xf>
    <xf numFmtId="194" fontId="36" fillId="2" borderId="77" xfId="0" applyNumberFormat="1" applyFont="1" applyFill="1" applyBorder="1" applyProtection="1">
      <protection hidden="1"/>
    </xf>
    <xf numFmtId="37" fontId="92" fillId="2" borderId="59" xfId="0" applyNumberFormat="1" applyFont="1" applyFill="1" applyBorder="1" applyProtection="1">
      <protection locked="0"/>
    </xf>
    <xf numFmtId="37" fontId="92" fillId="2" borderId="13" xfId="0" applyNumberFormat="1" applyFont="1" applyFill="1" applyBorder="1" applyProtection="1">
      <protection locked="0"/>
    </xf>
    <xf numFmtId="37" fontId="36" fillId="2" borderId="10" xfId="0" applyNumberFormat="1" applyFont="1" applyFill="1" applyBorder="1" applyProtection="1">
      <protection locked="0"/>
    </xf>
    <xf numFmtId="37" fontId="10" fillId="16" borderId="1" xfId="0" applyNumberFormat="1" applyFont="1" applyFill="1" applyBorder="1" applyAlignment="1" applyProtection="1">
      <alignment horizontal="right"/>
      <protection hidden="1"/>
    </xf>
    <xf numFmtId="0" fontId="240" fillId="2" borderId="0" xfId="0" applyFont="1" applyFill="1" applyAlignment="1" applyProtection="1">
      <alignment horizontal="center" vertical="center"/>
      <protection hidden="1"/>
    </xf>
    <xf numFmtId="0" fontId="0" fillId="0" borderId="21" xfId="0" applyBorder="1"/>
    <xf numFmtId="0" fontId="145" fillId="16" borderId="0" xfId="0" applyFont="1" applyFill="1" applyAlignment="1" applyProtection="1">
      <alignment horizontal="center"/>
      <protection hidden="1"/>
    </xf>
    <xf numFmtId="182" fontId="168" fillId="16" borderId="0" xfId="0" applyNumberFormat="1" applyFont="1" applyFill="1" applyAlignment="1" applyProtection="1">
      <alignment horizontal="center"/>
      <protection hidden="1"/>
    </xf>
    <xf numFmtId="0" fontId="199" fillId="16" borderId="0" xfId="0" applyFont="1" applyFill="1" applyAlignment="1" applyProtection="1">
      <alignment horizontal="center"/>
      <protection hidden="1"/>
    </xf>
    <xf numFmtId="0" fontId="125" fillId="2" borderId="0" xfId="0" applyFont="1" applyFill="1" applyAlignment="1" applyProtection="1">
      <alignment vertical="center"/>
      <protection hidden="1"/>
    </xf>
    <xf numFmtId="0" fontId="235" fillId="16" borderId="0" xfId="0" applyFont="1" applyFill="1" applyProtection="1">
      <protection hidden="1"/>
    </xf>
    <xf numFmtId="0" fontId="235" fillId="16" borderId="0" xfId="0" applyFont="1" applyFill="1" applyAlignment="1" applyProtection="1">
      <alignment vertical="center"/>
      <protection hidden="1"/>
    </xf>
    <xf numFmtId="0" fontId="235" fillId="16" borderId="0" xfId="0" applyFont="1" applyFill="1" applyAlignment="1" applyProtection="1">
      <alignment vertical="top"/>
      <protection hidden="1"/>
    </xf>
    <xf numFmtId="37" fontId="36" fillId="2" borderId="0" xfId="0" applyNumberFormat="1" applyFont="1" applyFill="1" applyProtection="1">
      <protection locked="0"/>
    </xf>
    <xf numFmtId="37" fontId="5" fillId="17" borderId="1" xfId="0" applyNumberFormat="1" applyFont="1" applyFill="1" applyBorder="1" applyProtection="1">
      <protection locked="0"/>
    </xf>
    <xf numFmtId="4" fontId="3" fillId="3" borderId="25" xfId="0" applyNumberFormat="1" applyFont="1" applyFill="1" applyBorder="1" applyAlignment="1" applyProtection="1">
      <alignment horizontal="right" vertical="top"/>
      <protection hidden="1"/>
    </xf>
    <xf numFmtId="4" fontId="7" fillId="3" borderId="8" xfId="0" applyNumberFormat="1" applyFont="1" applyFill="1" applyBorder="1" applyAlignment="1" applyProtection="1">
      <alignment horizontal="right" vertical="center"/>
      <protection hidden="1"/>
    </xf>
    <xf numFmtId="0" fontId="10" fillId="25" borderId="0" xfId="0" applyFont="1" applyFill="1" applyAlignment="1" applyProtection="1">
      <alignment horizontal="right" vertical="top"/>
      <protection hidden="1"/>
    </xf>
    <xf numFmtId="0" fontId="147" fillId="5" borderId="0" xfId="0" applyFont="1" applyFill="1" applyAlignment="1" applyProtection="1">
      <alignment horizontal="center"/>
      <protection hidden="1"/>
    </xf>
    <xf numFmtId="0" fontId="12" fillId="16" borderId="22" xfId="0" applyFont="1" applyFill="1" applyBorder="1" applyProtection="1">
      <protection hidden="1"/>
    </xf>
    <xf numFmtId="0" fontId="12" fillId="16" borderId="5" xfId="0" applyFont="1" applyFill="1" applyBorder="1" applyProtection="1">
      <protection hidden="1"/>
    </xf>
    <xf numFmtId="0" fontId="50" fillId="16" borderId="6" xfId="0" applyFont="1" applyFill="1" applyBorder="1" applyProtection="1">
      <protection hidden="1"/>
    </xf>
    <xf numFmtId="0" fontId="63" fillId="16" borderId="6" xfId="0" applyFont="1" applyFill="1" applyBorder="1" applyProtection="1">
      <protection hidden="1"/>
    </xf>
    <xf numFmtId="0" fontId="5" fillId="16" borderId="6" xfId="0" quotePrefix="1" applyFont="1" applyFill="1" applyBorder="1" applyAlignment="1" applyProtection="1">
      <alignment horizontal="right" indent="1"/>
      <protection hidden="1"/>
    </xf>
    <xf numFmtId="0" fontId="5" fillId="16" borderId="6" xfId="0" applyFont="1" applyFill="1" applyBorder="1"/>
    <xf numFmtId="0" fontId="5" fillId="16" borderId="27" xfId="0" quotePrefix="1" applyFont="1" applyFill="1" applyBorder="1" applyAlignment="1" applyProtection="1">
      <alignment horizontal="right" vertical="top" indent="1"/>
      <protection hidden="1"/>
    </xf>
    <xf numFmtId="0" fontId="0" fillId="16" borderId="30" xfId="0" applyFill="1" applyBorder="1" applyAlignment="1" applyProtection="1">
      <alignment vertical="top"/>
      <protection hidden="1"/>
    </xf>
    <xf numFmtId="40" fontId="46" fillId="2" borderId="0" xfId="0" applyNumberFormat="1" applyFont="1" applyFill="1" applyAlignment="1" applyProtection="1">
      <alignment horizontal="right" vertical="center"/>
      <protection hidden="1"/>
    </xf>
    <xf numFmtId="0" fontId="16" fillId="16" borderId="0" xfId="0" applyFont="1" applyFill="1" applyAlignment="1" applyProtection="1">
      <alignment horizontal="right"/>
      <protection hidden="1"/>
    </xf>
    <xf numFmtId="0" fontId="10" fillId="16" borderId="0" xfId="0" quotePrefix="1" applyFont="1" applyFill="1" applyAlignment="1" applyProtection="1">
      <alignment horizontal="right"/>
      <protection hidden="1"/>
    </xf>
    <xf numFmtId="14" fontId="176" fillId="25" borderId="0" xfId="0" applyNumberFormat="1" applyFont="1" applyFill="1" applyProtection="1">
      <protection locked="0"/>
    </xf>
    <xf numFmtId="3" fontId="5" fillId="2" borderId="0" xfId="0" applyNumberFormat="1" applyFont="1" applyFill="1" applyAlignment="1" applyProtection="1">
      <alignment horizontal="right"/>
      <protection hidden="1"/>
    </xf>
    <xf numFmtId="37" fontId="5" fillId="28" borderId="1" xfId="0" applyNumberFormat="1" applyFont="1" applyFill="1" applyBorder="1" applyProtection="1">
      <protection hidden="1"/>
    </xf>
    <xf numFmtId="0" fontId="3" fillId="16" borderId="2" xfId="0" applyFont="1" applyFill="1" applyBorder="1" applyAlignment="1" applyProtection="1">
      <alignment horizontal="center"/>
      <protection locked="0"/>
    </xf>
    <xf numFmtId="0" fontId="234" fillId="0" borderId="0" xfId="0" applyFont="1" applyAlignment="1">
      <alignment horizontal="center"/>
    </xf>
    <xf numFmtId="0" fontId="264" fillId="0" borderId="0" xfId="0" applyFont="1" applyAlignment="1">
      <alignment horizontal="right"/>
    </xf>
    <xf numFmtId="4" fontId="235" fillId="16" borderId="0" xfId="0" applyNumberFormat="1" applyFont="1" applyFill="1" applyAlignment="1" applyProtection="1">
      <alignment horizontal="center"/>
      <protection hidden="1"/>
    </xf>
    <xf numFmtId="0" fontId="5" fillId="2" borderId="0" xfId="0" quotePrefix="1" applyFont="1" applyFill="1" applyProtection="1">
      <protection hidden="1"/>
    </xf>
    <xf numFmtId="0" fontId="234" fillId="16" borderId="0" xfId="0" applyFont="1" applyFill="1" applyAlignment="1" applyProtection="1">
      <alignment horizontal="center"/>
      <protection hidden="1"/>
    </xf>
    <xf numFmtId="0" fontId="234" fillId="16" borderId="25" xfId="0" applyFont="1" applyFill="1" applyBorder="1" applyAlignment="1" applyProtection="1">
      <alignment horizontal="center"/>
      <protection hidden="1"/>
    </xf>
    <xf numFmtId="0" fontId="116" fillId="16" borderId="136" xfId="0" applyFont="1" applyFill="1" applyBorder="1" applyAlignment="1" applyProtection="1">
      <alignment horizontal="centerContinuous" vertical="center"/>
      <protection hidden="1"/>
    </xf>
    <xf numFmtId="0" fontId="218" fillId="16" borderId="157" xfId="0" applyFont="1" applyFill="1" applyBorder="1" applyAlignment="1" applyProtection="1">
      <alignment horizontal="left" vertical="center"/>
      <protection hidden="1"/>
    </xf>
    <xf numFmtId="0" fontId="218" fillId="16" borderId="1" xfId="0" applyFont="1" applyFill="1" applyBorder="1" applyAlignment="1" applyProtection="1">
      <alignment horizontal="center" vertical="center"/>
      <protection hidden="1"/>
    </xf>
    <xf numFmtId="0" fontId="218" fillId="35" borderId="1" xfId="0" applyFont="1" applyFill="1" applyBorder="1" applyAlignment="1" applyProtection="1">
      <alignment horizontal="center" vertical="center"/>
      <protection hidden="1"/>
    </xf>
    <xf numFmtId="0" fontId="218" fillId="35" borderId="0" xfId="0" applyFont="1" applyFill="1" applyAlignment="1" applyProtection="1">
      <alignment horizontal="left"/>
      <protection hidden="1"/>
    </xf>
    <xf numFmtId="0" fontId="218" fillId="35" borderId="0" xfId="0" applyFont="1" applyFill="1" applyAlignment="1" applyProtection="1">
      <alignment horizontal="center"/>
      <protection hidden="1"/>
    </xf>
    <xf numFmtId="0" fontId="220" fillId="16" borderId="197" xfId="0" applyFont="1" applyFill="1" applyBorder="1" applyAlignment="1" applyProtection="1">
      <alignment horizontal="center"/>
      <protection hidden="1"/>
    </xf>
    <xf numFmtId="0" fontId="219" fillId="16" borderId="195" xfId="0" applyFont="1" applyFill="1" applyBorder="1" applyAlignment="1" applyProtection="1">
      <alignment horizontal="center" vertical="center"/>
      <protection hidden="1"/>
    </xf>
    <xf numFmtId="0" fontId="219" fillId="16" borderId="195" xfId="0" applyFont="1" applyFill="1" applyBorder="1" applyProtection="1">
      <protection hidden="1"/>
    </xf>
    <xf numFmtId="0" fontId="219" fillId="16" borderId="195" xfId="0" applyFont="1" applyFill="1" applyBorder="1" applyAlignment="1" applyProtection="1">
      <alignment horizontal="right"/>
      <protection hidden="1"/>
    </xf>
    <xf numFmtId="0" fontId="113" fillId="16" borderId="198" xfId="0" applyFont="1" applyFill="1" applyBorder="1" applyProtection="1">
      <protection hidden="1"/>
    </xf>
    <xf numFmtId="0" fontId="220" fillId="16" borderId="199" xfId="0" applyFont="1" applyFill="1" applyBorder="1" applyAlignment="1" applyProtection="1">
      <alignment horizontal="center"/>
      <protection hidden="1"/>
    </xf>
    <xf numFmtId="0" fontId="219" fillId="16" borderId="0" xfId="0" applyFont="1" applyFill="1" applyAlignment="1" applyProtection="1">
      <alignment horizontal="center" vertical="center"/>
      <protection hidden="1"/>
    </xf>
    <xf numFmtId="0" fontId="219" fillId="16" borderId="0" xfId="0" applyFont="1" applyFill="1" applyProtection="1">
      <protection hidden="1"/>
    </xf>
    <xf numFmtId="0" fontId="219" fillId="16" borderId="0" xfId="0" applyFont="1" applyFill="1" applyAlignment="1" applyProtection="1">
      <alignment horizontal="right"/>
      <protection hidden="1"/>
    </xf>
    <xf numFmtId="0" fontId="113" fillId="16" borderId="200" xfId="0" applyFont="1" applyFill="1" applyBorder="1" applyProtection="1">
      <protection hidden="1"/>
    </xf>
    <xf numFmtId="0" fontId="220" fillId="16" borderId="0" xfId="0" applyFont="1" applyFill="1" applyAlignment="1" applyProtection="1">
      <alignment horizontal="center" vertical="center"/>
      <protection hidden="1"/>
    </xf>
    <xf numFmtId="0" fontId="220" fillId="16" borderId="0" xfId="0" applyFont="1" applyFill="1" applyAlignment="1" applyProtection="1">
      <alignment horizontal="center"/>
      <protection hidden="1"/>
    </xf>
    <xf numFmtId="0" fontId="218" fillId="35" borderId="0" xfId="0" applyFont="1" applyFill="1" applyAlignment="1" applyProtection="1">
      <alignment horizontal="center" vertical="center"/>
      <protection hidden="1"/>
    </xf>
    <xf numFmtId="0" fontId="218" fillId="16" borderId="0" xfId="0" applyFont="1" applyFill="1" applyAlignment="1" applyProtection="1">
      <alignment horizontal="center" vertical="center"/>
      <protection hidden="1"/>
    </xf>
    <xf numFmtId="0" fontId="220" fillId="16" borderId="201" xfId="0" applyFont="1" applyFill="1" applyBorder="1" applyAlignment="1" applyProtection="1">
      <alignment horizontal="center"/>
      <protection hidden="1"/>
    </xf>
    <xf numFmtId="0" fontId="219" fillId="16" borderId="164" xfId="0" applyFont="1" applyFill="1" applyBorder="1" applyAlignment="1" applyProtection="1">
      <alignment horizontal="center" vertical="center"/>
      <protection hidden="1"/>
    </xf>
    <xf numFmtId="0" fontId="219" fillId="16" borderId="164" xfId="0" applyFont="1" applyFill="1" applyBorder="1" applyProtection="1">
      <protection hidden="1"/>
    </xf>
    <xf numFmtId="0" fontId="219" fillId="16" borderId="164" xfId="0" applyFont="1" applyFill="1" applyBorder="1" applyAlignment="1" applyProtection="1">
      <alignment horizontal="right"/>
      <protection hidden="1"/>
    </xf>
    <xf numFmtId="0" fontId="113" fillId="16" borderId="202" xfId="0" applyFont="1" applyFill="1" applyBorder="1" applyProtection="1">
      <protection hidden="1"/>
    </xf>
    <xf numFmtId="0" fontId="218" fillId="35" borderId="164" xfId="0" applyFont="1" applyFill="1" applyBorder="1" applyAlignment="1" applyProtection="1">
      <alignment horizontal="center"/>
      <protection hidden="1"/>
    </xf>
    <xf numFmtId="0" fontId="218" fillId="35" borderId="164" xfId="0" applyFont="1" applyFill="1" applyBorder="1" applyAlignment="1" applyProtection="1">
      <alignment horizontal="left"/>
      <protection hidden="1"/>
    </xf>
    <xf numFmtId="184" fontId="5" fillId="0" borderId="0" xfId="0" applyNumberFormat="1" applyFont="1" applyAlignment="1" applyProtection="1">
      <alignment horizontal="center" vertical="top" wrapText="1"/>
      <protection hidden="1"/>
    </xf>
    <xf numFmtId="0" fontId="199" fillId="3" borderId="0" xfId="0" applyFont="1" applyFill="1" applyProtection="1">
      <protection hidden="1"/>
    </xf>
    <xf numFmtId="182" fontId="199" fillId="3" borderId="0" xfId="0" applyNumberFormat="1" applyFont="1" applyFill="1" applyAlignment="1" applyProtection="1">
      <alignment horizontal="center" vertical="center"/>
      <protection hidden="1"/>
    </xf>
    <xf numFmtId="0" fontId="5" fillId="25" borderId="5" xfId="0" applyFont="1" applyFill="1" applyBorder="1" applyProtection="1">
      <protection hidden="1"/>
    </xf>
    <xf numFmtId="1" fontId="0" fillId="10" borderId="9" xfId="0" applyNumberFormat="1" applyFill="1" applyBorder="1" applyProtection="1">
      <protection hidden="1"/>
    </xf>
    <xf numFmtId="3" fontId="0" fillId="8" borderId="1" xfId="0" applyNumberFormat="1" applyFill="1" applyBorder="1" applyProtection="1">
      <protection locked="0"/>
    </xf>
    <xf numFmtId="0" fontId="5" fillId="2" borderId="9" xfId="0" applyFont="1" applyFill="1" applyBorder="1" applyProtection="1">
      <protection hidden="1"/>
    </xf>
    <xf numFmtId="3" fontId="131" fillId="2" borderId="0" xfId="0" applyNumberFormat="1" applyFont="1" applyFill="1" applyAlignment="1" applyProtection="1">
      <alignment horizontal="center"/>
      <protection hidden="1"/>
    </xf>
    <xf numFmtId="3" fontId="3" fillId="0" borderId="2" xfId="0" applyNumberFormat="1" applyFont="1" applyBorder="1" applyAlignment="1" applyProtection="1">
      <alignment horizontal="center"/>
      <protection locked="0"/>
    </xf>
    <xf numFmtId="0" fontId="5" fillId="4" borderId="0" xfId="0" applyFont="1" applyFill="1" applyProtection="1">
      <protection locked="0" hidden="1"/>
    </xf>
    <xf numFmtId="164" fontId="12" fillId="4" borderId="6" xfId="0" applyNumberFormat="1" applyFont="1" applyFill="1" applyBorder="1" applyAlignment="1" applyProtection="1">
      <alignment horizontal="left" indent="1"/>
      <protection locked="0" hidden="1"/>
    </xf>
    <xf numFmtId="0" fontId="271" fillId="5" borderId="0" xfId="0" applyFont="1" applyFill="1" applyAlignment="1" applyProtection="1">
      <alignment horizontal="center"/>
      <protection hidden="1"/>
    </xf>
    <xf numFmtId="0" fontId="272" fillId="16" borderId="0" xfId="0" applyFont="1" applyFill="1" applyAlignment="1" applyProtection="1">
      <alignment vertical="center"/>
      <protection hidden="1"/>
    </xf>
    <xf numFmtId="0" fontId="4" fillId="0" borderId="0" xfId="0" applyFont="1" applyProtection="1">
      <protection hidden="1"/>
    </xf>
    <xf numFmtId="37" fontId="8" fillId="15" borderId="0" xfId="0" applyNumberFormat="1" applyFont="1" applyFill="1" applyAlignment="1" applyProtection="1">
      <alignment horizontal="right"/>
      <protection hidden="1"/>
    </xf>
    <xf numFmtId="0" fontId="18" fillId="16" borderId="0" xfId="0" quotePrefix="1" applyFont="1" applyFill="1" applyAlignment="1" applyProtection="1">
      <alignment horizontal="left"/>
      <protection hidden="1"/>
    </xf>
    <xf numFmtId="0" fontId="12" fillId="16" borderId="1" xfId="0" applyFont="1" applyFill="1" applyBorder="1" applyAlignment="1" applyProtection="1">
      <alignment horizontal="left" vertical="center" indent="1"/>
      <protection hidden="1"/>
    </xf>
    <xf numFmtId="0" fontId="3" fillId="16" borderId="0" xfId="0" quotePrefix="1" applyFont="1" applyFill="1" applyAlignment="1" applyProtection="1">
      <alignment horizontal="center"/>
      <protection hidden="1"/>
    </xf>
    <xf numFmtId="0" fontId="5" fillId="16" borderId="1" xfId="0" applyFont="1" applyFill="1" applyBorder="1" applyAlignment="1" applyProtection="1">
      <alignment vertical="center"/>
      <protection hidden="1"/>
    </xf>
    <xf numFmtId="0" fontId="53" fillId="16" borderId="9" xfId="0" applyFont="1" applyFill="1" applyBorder="1" applyAlignment="1" applyProtection="1">
      <alignment horizontal="left"/>
      <protection hidden="1"/>
    </xf>
    <xf numFmtId="0" fontId="5" fillId="16" borderId="15" xfId="0" applyFont="1" applyFill="1" applyBorder="1" applyProtection="1">
      <protection hidden="1"/>
    </xf>
    <xf numFmtId="0" fontId="53" fillId="16" borderId="9" xfId="0" applyFont="1" applyFill="1" applyBorder="1" applyAlignment="1" applyProtection="1">
      <alignment horizontal="center"/>
      <protection hidden="1"/>
    </xf>
    <xf numFmtId="166" fontId="23" fillId="16" borderId="10" xfId="0" applyNumberFormat="1" applyFont="1" applyFill="1" applyBorder="1" applyProtection="1">
      <protection locked="0"/>
    </xf>
    <xf numFmtId="0" fontId="18" fillId="17" borderId="13" xfId="0" applyFont="1" applyFill="1" applyBorder="1" applyAlignment="1" applyProtection="1">
      <alignment horizontal="center" vertical="center"/>
      <protection locked="0"/>
    </xf>
    <xf numFmtId="0" fontId="53" fillId="16" borderId="0" xfId="0" applyFont="1" applyFill="1" applyAlignment="1" applyProtection="1">
      <alignment horizontal="left" vertical="center" wrapText="1"/>
      <protection hidden="1"/>
    </xf>
    <xf numFmtId="0" fontId="3" fillId="16" borderId="0" xfId="0" quotePrefix="1" applyFont="1" applyFill="1" applyAlignment="1" applyProtection="1">
      <alignment horizontal="center" vertical="center"/>
      <protection hidden="1"/>
    </xf>
    <xf numFmtId="0" fontId="53" fillId="16" borderId="25" xfId="0" applyFont="1" applyFill="1" applyBorder="1" applyAlignment="1" applyProtection="1">
      <alignment horizontal="left" vertical="center" wrapText="1"/>
      <protection hidden="1"/>
    </xf>
    <xf numFmtId="0" fontId="12" fillId="16" borderId="0" xfId="0" quotePrefix="1" applyFont="1" applyFill="1" applyAlignment="1" applyProtection="1">
      <alignment horizontal="center" vertical="center" wrapText="1"/>
      <protection hidden="1"/>
    </xf>
    <xf numFmtId="0" fontId="18" fillId="16" borderId="9" xfId="0" quotePrefix="1" applyFont="1" applyFill="1" applyBorder="1" applyAlignment="1" applyProtection="1">
      <alignment horizontal="right"/>
      <protection hidden="1"/>
    </xf>
    <xf numFmtId="0" fontId="53" fillId="16" borderId="1" xfId="0" applyFont="1" applyFill="1" applyBorder="1" applyAlignment="1" applyProtection="1">
      <alignment vertical="top"/>
      <protection hidden="1"/>
    </xf>
    <xf numFmtId="0" fontId="3" fillId="16" borderId="29" xfId="0" quotePrefix="1" applyFont="1" applyFill="1" applyBorder="1" applyAlignment="1" applyProtection="1">
      <alignment horizontal="center"/>
      <protection hidden="1"/>
    </xf>
    <xf numFmtId="0" fontId="150" fillId="16" borderId="9" xfId="0" applyFont="1" applyFill="1" applyBorder="1" applyAlignment="1" applyProtection="1">
      <alignment vertical="center" wrapText="1"/>
      <protection hidden="1"/>
    </xf>
    <xf numFmtId="0" fontId="150" fillId="16" borderId="0" xfId="0" applyFont="1" applyFill="1" applyAlignment="1" applyProtection="1">
      <alignment vertical="center" wrapText="1"/>
      <protection hidden="1"/>
    </xf>
    <xf numFmtId="0" fontId="150" fillId="16" borderId="1" xfId="0" applyFont="1" applyFill="1" applyBorder="1" applyAlignment="1" applyProtection="1">
      <alignment vertical="center" wrapText="1"/>
      <protection hidden="1"/>
    </xf>
    <xf numFmtId="196" fontId="53" fillId="16" borderId="2" xfId="0" applyNumberFormat="1" applyFont="1" applyFill="1" applyBorder="1" applyProtection="1">
      <protection locked="0"/>
    </xf>
    <xf numFmtId="37" fontId="0" fillId="16" borderId="2" xfId="0" applyNumberFormat="1" applyFill="1" applyBorder="1" applyProtection="1">
      <protection locked="0"/>
    </xf>
    <xf numFmtId="0" fontId="8" fillId="16" borderId="0" xfId="0" applyFont="1" applyFill="1" applyAlignment="1" applyProtection="1">
      <alignment horizontal="center" vertical="top"/>
      <protection hidden="1"/>
    </xf>
    <xf numFmtId="0" fontId="10" fillId="0" borderId="13" xfId="0" quotePrefix="1" applyFont="1" applyBorder="1" applyAlignment="1" applyProtection="1">
      <alignment horizontal="center"/>
      <protection hidden="1"/>
    </xf>
    <xf numFmtId="39" fontId="4" fillId="25" borderId="0" xfId="0" applyNumberFormat="1" applyFont="1" applyFill="1" applyProtection="1">
      <protection locked="0"/>
    </xf>
    <xf numFmtId="39" fontId="4" fillId="0" borderId="0" xfId="0" applyNumberFormat="1" applyFont="1" applyProtection="1">
      <protection locked="0"/>
    </xf>
    <xf numFmtId="39" fontId="0" fillId="0" borderId="0" xfId="0" applyNumberFormat="1" applyAlignment="1" applyProtection="1">
      <alignment vertical="top"/>
      <protection locked="0"/>
    </xf>
    <xf numFmtId="0" fontId="18" fillId="28" borderId="13" xfId="0" applyFont="1" applyFill="1" applyBorder="1" applyAlignment="1" applyProtection="1">
      <alignment horizontal="center" vertical="center"/>
      <protection hidden="1"/>
    </xf>
    <xf numFmtId="37" fontId="3" fillId="28" borderId="2" xfId="0" applyNumberFormat="1" applyFont="1" applyFill="1" applyBorder="1" applyProtection="1">
      <protection hidden="1"/>
    </xf>
    <xf numFmtId="37" fontId="3" fillId="28" borderId="49" xfId="0" applyNumberFormat="1" applyFont="1" applyFill="1" applyBorder="1" applyProtection="1">
      <protection hidden="1"/>
    </xf>
    <xf numFmtId="37" fontId="3" fillId="28" borderId="50" xfId="0" applyNumberFormat="1" applyFont="1" applyFill="1" applyBorder="1" applyProtection="1">
      <protection hidden="1"/>
    </xf>
    <xf numFmtId="37" fontId="3" fillId="28" borderId="54" xfId="0" applyNumberFormat="1" applyFont="1" applyFill="1" applyBorder="1" applyProtection="1">
      <protection hidden="1"/>
    </xf>
    <xf numFmtId="37" fontId="3" fillId="16" borderId="0" xfId="0" applyNumberFormat="1" applyFont="1" applyFill="1" applyAlignment="1" applyProtection="1">
      <alignment horizontal="right"/>
      <protection hidden="1"/>
    </xf>
    <xf numFmtId="2" fontId="129" fillId="16" borderId="0" xfId="0" applyNumberFormat="1" applyFont="1" applyFill="1" applyProtection="1">
      <protection hidden="1"/>
    </xf>
    <xf numFmtId="0" fontId="129" fillId="16" borderId="9" xfId="0" applyFont="1" applyFill="1" applyBorder="1" applyProtection="1">
      <protection hidden="1"/>
    </xf>
    <xf numFmtId="0" fontId="129" fillId="16" borderId="15" xfId="0" applyFont="1" applyFill="1" applyBorder="1" applyProtection="1">
      <protection hidden="1"/>
    </xf>
    <xf numFmtId="3" fontId="129" fillId="16" borderId="9" xfId="0" applyNumberFormat="1" applyFont="1" applyFill="1" applyBorder="1" applyProtection="1">
      <protection hidden="1"/>
    </xf>
    <xf numFmtId="0" fontId="150" fillId="16" borderId="0" xfId="0" applyFont="1" applyFill="1" applyAlignment="1" applyProtection="1">
      <alignment horizontal="left" vertical="center" indent="1"/>
      <protection hidden="1"/>
    </xf>
    <xf numFmtId="0" fontId="150" fillId="16" borderId="0" xfId="0" applyFont="1" applyFill="1" applyAlignment="1" applyProtection="1">
      <alignment horizontal="left" indent="1"/>
      <protection hidden="1"/>
    </xf>
    <xf numFmtId="0" fontId="26" fillId="16" borderId="9" xfId="0" applyFont="1" applyFill="1" applyBorder="1" applyAlignment="1" applyProtection="1">
      <alignment vertical="center"/>
      <protection hidden="1"/>
    </xf>
    <xf numFmtId="0" fontId="26" fillId="16" borderId="0" xfId="0" applyFont="1" applyFill="1" applyAlignment="1" applyProtection="1">
      <alignment vertical="center"/>
      <protection hidden="1"/>
    </xf>
    <xf numFmtId="0" fontId="26" fillId="16" borderId="1" xfId="0" applyFont="1" applyFill="1" applyBorder="1" applyAlignment="1" applyProtection="1">
      <alignment vertical="center"/>
      <protection hidden="1"/>
    </xf>
    <xf numFmtId="39" fontId="16" fillId="16" borderId="0" xfId="0" applyNumberFormat="1" applyFont="1" applyFill="1" applyProtection="1">
      <protection locked="0"/>
    </xf>
    <xf numFmtId="39" fontId="16" fillId="16" borderId="0" xfId="0" applyNumberFormat="1" applyFont="1" applyFill="1" applyAlignment="1" applyProtection="1">
      <alignment vertical="top"/>
      <protection locked="0"/>
    </xf>
    <xf numFmtId="0" fontId="273" fillId="16" borderId="0" xfId="0" applyFont="1" applyFill="1" applyAlignment="1">
      <alignment vertical="center"/>
    </xf>
    <xf numFmtId="39" fontId="26" fillId="16" borderId="0" xfId="0" applyNumberFormat="1" applyFont="1" applyFill="1" applyAlignment="1" applyProtection="1">
      <alignment horizontal="left" indent="3"/>
      <protection locked="0"/>
    </xf>
    <xf numFmtId="39" fontId="26" fillId="16" borderId="0" xfId="0" applyNumberFormat="1" applyFont="1" applyFill="1" applyAlignment="1" applyProtection="1">
      <alignment horizontal="left" vertical="top" indent="3"/>
      <protection locked="0"/>
    </xf>
    <xf numFmtId="49" fontId="7" fillId="33" borderId="146" xfId="0" applyNumberFormat="1" applyFont="1" applyFill="1" applyBorder="1" applyAlignment="1" applyProtection="1">
      <alignment horizontal="right"/>
      <protection locked="0"/>
    </xf>
    <xf numFmtId="39" fontId="5" fillId="33" borderId="146" xfId="0" applyNumberFormat="1" applyFont="1" applyFill="1" applyBorder="1" applyAlignment="1" applyProtection="1">
      <alignment horizontal="right"/>
      <protection locked="0"/>
    </xf>
    <xf numFmtId="39" fontId="5" fillId="33" borderId="147" xfId="0" applyNumberFormat="1" applyFont="1" applyFill="1" applyBorder="1" applyAlignment="1" applyProtection="1">
      <alignment horizontal="right"/>
      <protection locked="0"/>
    </xf>
    <xf numFmtId="39" fontId="5" fillId="33" borderId="149" xfId="0" applyNumberFormat="1" applyFont="1" applyFill="1" applyBorder="1" applyAlignment="1" applyProtection="1">
      <alignment horizontal="right"/>
      <protection locked="0"/>
    </xf>
    <xf numFmtId="49" fontId="7" fillId="33" borderId="147" xfId="0" applyNumberFormat="1" applyFont="1" applyFill="1" applyBorder="1" applyAlignment="1" applyProtection="1">
      <alignment horizontal="right"/>
      <protection locked="0"/>
    </xf>
    <xf numFmtId="49" fontId="7" fillId="33" borderId="149" xfId="0" applyNumberFormat="1" applyFont="1" applyFill="1" applyBorder="1" applyAlignment="1" applyProtection="1">
      <alignment horizontal="right"/>
      <protection locked="0"/>
    </xf>
    <xf numFmtId="37" fontId="5" fillId="16" borderId="2" xfId="0" applyNumberFormat="1" applyFont="1" applyFill="1" applyBorder="1" applyProtection="1">
      <protection locked="0"/>
    </xf>
    <xf numFmtId="39" fontId="0" fillId="16" borderId="0" xfId="0" applyNumberFormat="1" applyFill="1" applyProtection="1">
      <protection hidden="1"/>
    </xf>
    <xf numFmtId="39" fontId="0" fillId="16" borderId="21" xfId="0" applyNumberFormat="1" applyFill="1" applyBorder="1" applyProtection="1">
      <protection hidden="1"/>
    </xf>
    <xf numFmtId="39" fontId="5" fillId="16" borderId="6" xfId="0" applyNumberFormat="1" applyFont="1" applyFill="1" applyBorder="1" applyAlignment="1" applyProtection="1">
      <alignment horizontal="left" indent="2"/>
      <protection hidden="1"/>
    </xf>
    <xf numFmtId="39" fontId="5" fillId="16" borderId="0" xfId="0" quotePrefix="1" applyNumberFormat="1" applyFont="1" applyFill="1" applyAlignment="1" applyProtection="1">
      <alignment horizontal="right"/>
      <protection hidden="1"/>
    </xf>
    <xf numFmtId="39" fontId="0" fillId="16" borderId="22" xfId="0" applyNumberFormat="1" applyFill="1" applyBorder="1" applyProtection="1">
      <protection hidden="1"/>
    </xf>
    <xf numFmtId="39" fontId="0" fillId="16" borderId="5" xfId="0" applyNumberFormat="1" applyFill="1" applyBorder="1" applyProtection="1">
      <protection hidden="1"/>
    </xf>
    <xf numFmtId="39" fontId="0" fillId="16" borderId="23" xfId="0" applyNumberFormat="1" applyFill="1" applyBorder="1" applyProtection="1">
      <protection hidden="1"/>
    </xf>
    <xf numFmtId="39" fontId="3" fillId="16" borderId="6" xfId="0" applyNumberFormat="1" applyFont="1" applyFill="1" applyBorder="1" applyAlignment="1" applyProtection="1">
      <alignment horizontal="left" indent="1"/>
      <protection hidden="1"/>
    </xf>
    <xf numFmtId="39" fontId="241" fillId="16" borderId="24" xfId="0" applyNumberFormat="1" applyFont="1" applyFill="1" applyBorder="1" applyAlignment="1" applyProtection="1">
      <alignment horizontal="centerContinuous" vertical="center"/>
      <protection locked="0"/>
    </xf>
    <xf numFmtId="39" fontId="0" fillId="16" borderId="8" xfId="0" applyNumberFormat="1" applyFill="1" applyBorder="1" applyAlignment="1" applyProtection="1">
      <alignment horizontal="centerContinuous"/>
      <protection locked="0"/>
    </xf>
    <xf numFmtId="39" fontId="0" fillId="16" borderId="20" xfId="0" applyNumberFormat="1" applyFill="1" applyBorder="1" applyAlignment="1" applyProtection="1">
      <alignment horizontal="centerContinuous"/>
      <protection locked="0"/>
    </xf>
    <xf numFmtId="39" fontId="5" fillId="16" borderId="6" xfId="0" applyNumberFormat="1" applyFont="1" applyFill="1" applyBorder="1" applyAlignment="1" applyProtection="1">
      <alignment horizontal="left" vertical="center" indent="1"/>
      <protection locked="0"/>
    </xf>
    <xf numFmtId="39" fontId="0" fillId="16" borderId="0" xfId="0" applyNumberFormat="1" applyFill="1" applyAlignment="1" applyProtection="1">
      <alignment vertical="top"/>
      <protection locked="0"/>
    </xf>
    <xf numFmtId="39" fontId="0" fillId="16" borderId="21" xfId="0" applyNumberFormat="1" applyFill="1" applyBorder="1" applyAlignment="1" applyProtection="1">
      <alignment vertical="top"/>
      <protection locked="0"/>
    </xf>
    <xf numFmtId="39" fontId="5" fillId="16" borderId="27" xfId="0" applyNumberFormat="1" applyFont="1" applyFill="1" applyBorder="1" applyAlignment="1" applyProtection="1">
      <alignment horizontal="left" vertical="center" indent="1"/>
      <protection locked="0"/>
    </xf>
    <xf numFmtId="39" fontId="0" fillId="16" borderId="1" xfId="0" applyNumberFormat="1" applyFill="1" applyBorder="1" applyProtection="1">
      <protection locked="0"/>
    </xf>
    <xf numFmtId="39" fontId="0" fillId="16" borderId="30" xfId="0" applyNumberFormat="1" applyFill="1" applyBorder="1" applyProtection="1">
      <protection locked="0"/>
    </xf>
    <xf numFmtId="39" fontId="5" fillId="16" borderId="6" xfId="0" applyNumberFormat="1" applyFont="1" applyFill="1" applyBorder="1" applyAlignment="1" applyProtection="1">
      <alignment horizontal="left" vertical="center"/>
      <protection locked="0"/>
    </xf>
    <xf numFmtId="39" fontId="0" fillId="16" borderId="21" xfId="0" applyNumberFormat="1" applyFill="1" applyBorder="1" applyProtection="1">
      <protection locked="0"/>
    </xf>
    <xf numFmtId="39" fontId="5" fillId="16" borderId="6" xfId="0" applyNumberFormat="1" applyFont="1" applyFill="1" applyBorder="1" applyAlignment="1" applyProtection="1">
      <alignment horizontal="left" indent="1"/>
      <protection hidden="1"/>
    </xf>
    <xf numFmtId="39" fontId="5" fillId="16" borderId="6" xfId="0" applyNumberFormat="1" applyFont="1" applyFill="1" applyBorder="1" applyAlignment="1" applyProtection="1">
      <alignment horizontal="left" vertical="center" indent="3"/>
      <protection hidden="1"/>
    </xf>
    <xf numFmtId="39" fontId="5" fillId="16" borderId="6" xfId="0" applyNumberFormat="1" applyFont="1" applyFill="1" applyBorder="1" applyAlignment="1" applyProtection="1">
      <alignment horizontal="left" indent="3"/>
      <protection hidden="1"/>
    </xf>
    <xf numFmtId="39" fontId="3" fillId="16" borderId="6" xfId="0" quotePrefix="1" applyNumberFormat="1" applyFont="1" applyFill="1" applyBorder="1" applyAlignment="1" applyProtection="1">
      <alignment horizontal="right"/>
      <protection locked="0"/>
    </xf>
    <xf numFmtId="39" fontId="5" fillId="16" borderId="0" xfId="0" applyNumberFormat="1" applyFont="1" applyFill="1" applyProtection="1">
      <protection locked="0"/>
    </xf>
    <xf numFmtId="39" fontId="4" fillId="16" borderId="21" xfId="0" applyNumberFormat="1" applyFont="1" applyFill="1" applyBorder="1" applyProtection="1">
      <protection locked="0"/>
    </xf>
    <xf numFmtId="39" fontId="4" fillId="16" borderId="6" xfId="0" applyNumberFormat="1" applyFont="1" applyFill="1" applyBorder="1" applyProtection="1">
      <protection locked="0"/>
    </xf>
    <xf numFmtId="39" fontId="4" fillId="16" borderId="0" xfId="0" applyNumberFormat="1" applyFont="1" applyFill="1" applyProtection="1">
      <protection locked="0"/>
    </xf>
    <xf numFmtId="39" fontId="5" fillId="16" borderId="0" xfId="0" applyNumberFormat="1" applyFont="1" applyFill="1" applyProtection="1">
      <protection hidden="1"/>
    </xf>
    <xf numFmtId="39" fontId="0" fillId="16" borderId="22" xfId="0" applyNumberFormat="1" applyFill="1" applyBorder="1" applyProtection="1">
      <protection locked="0"/>
    </xf>
    <xf numFmtId="39" fontId="5" fillId="16" borderId="5" xfId="0" applyNumberFormat="1" applyFont="1" applyFill="1" applyBorder="1" applyProtection="1">
      <protection locked="0"/>
    </xf>
    <xf numFmtId="39" fontId="0" fillId="16" borderId="5" xfId="0" applyNumberFormat="1" applyFill="1" applyBorder="1" applyProtection="1">
      <protection locked="0"/>
    </xf>
    <xf numFmtId="39" fontId="0" fillId="16" borderId="23" xfId="0" applyNumberFormat="1" applyFill="1" applyBorder="1" applyProtection="1">
      <protection locked="0"/>
    </xf>
    <xf numFmtId="166" fontId="53" fillId="16" borderId="3" xfId="0" applyNumberFormat="1" applyFont="1" applyFill="1" applyBorder="1" applyAlignment="1" applyProtection="1">
      <alignment horizontal="center"/>
      <protection hidden="1"/>
    </xf>
    <xf numFmtId="186" fontId="5" fillId="16" borderId="0" xfId="0" applyNumberFormat="1" applyFont="1" applyFill="1" applyAlignment="1" applyProtection="1">
      <alignment horizontal="center"/>
      <protection hidden="1"/>
    </xf>
    <xf numFmtId="4" fontId="5" fillId="16" borderId="9" xfId="0" applyNumberFormat="1" applyFont="1" applyFill="1" applyBorder="1" applyAlignment="1" applyProtection="1">
      <alignment horizontal="left" indent="1"/>
      <protection hidden="1"/>
    </xf>
    <xf numFmtId="4" fontId="5" fillId="16" borderId="0" xfId="0" applyNumberFormat="1" applyFont="1" applyFill="1" applyAlignment="1" applyProtection="1">
      <alignment horizontal="left" indent="1"/>
      <protection hidden="1"/>
    </xf>
    <xf numFmtId="4" fontId="5" fillId="16" borderId="1" xfId="0" applyNumberFormat="1" applyFont="1" applyFill="1" applyBorder="1" applyAlignment="1" applyProtection="1">
      <alignment horizontal="left" indent="1"/>
      <protection hidden="1"/>
    </xf>
    <xf numFmtId="0" fontId="274" fillId="2" borderId="42" xfId="0" applyFont="1" applyFill="1" applyBorder="1" applyProtection="1">
      <protection hidden="1"/>
    </xf>
    <xf numFmtId="0" fontId="3" fillId="17" borderId="2" xfId="0" applyFont="1" applyFill="1" applyBorder="1" applyAlignment="1" applyProtection="1">
      <alignment horizontal="center"/>
      <protection locked="0"/>
    </xf>
    <xf numFmtId="0" fontId="12" fillId="16" borderId="0" xfId="0" applyFont="1" applyFill="1" applyAlignment="1" applyProtection="1">
      <alignment vertical="top"/>
      <protection hidden="1"/>
    </xf>
    <xf numFmtId="0" fontId="141" fillId="16" borderId="0" xfId="0" applyFont="1" applyFill="1" applyAlignment="1" applyProtection="1">
      <alignment horizontal="left"/>
      <protection hidden="1"/>
    </xf>
    <xf numFmtId="0" fontId="3" fillId="16" borderId="57" xfId="0" applyFont="1" applyFill="1" applyBorder="1" applyProtection="1">
      <protection hidden="1"/>
    </xf>
    <xf numFmtId="0" fontId="12" fillId="16" borderId="9" xfId="0" applyFont="1" applyFill="1" applyBorder="1" applyAlignment="1" applyProtection="1">
      <alignment vertical="center"/>
      <protection hidden="1"/>
    </xf>
    <xf numFmtId="0" fontId="16" fillId="16" borderId="1" xfId="0" applyFont="1" applyFill="1" applyBorder="1" applyAlignment="1" applyProtection="1">
      <alignment vertical="center"/>
      <protection hidden="1"/>
    </xf>
    <xf numFmtId="0" fontId="3" fillId="16" borderId="8" xfId="0" applyFont="1" applyFill="1" applyBorder="1" applyProtection="1">
      <protection hidden="1"/>
    </xf>
    <xf numFmtId="0" fontId="0" fillId="16" borderId="5" xfId="0" applyFill="1" applyBorder="1" applyAlignment="1" applyProtection="1">
      <alignment horizontal="center"/>
      <protection hidden="1"/>
    </xf>
    <xf numFmtId="0" fontId="53" fillId="16" borderId="25" xfId="0" applyFont="1" applyFill="1" applyBorder="1" applyAlignment="1" applyProtection="1">
      <alignment horizontal="left" vertical="center"/>
      <protection hidden="1"/>
    </xf>
    <xf numFmtId="0" fontId="18" fillId="16" borderId="24" xfId="0" applyFont="1" applyFill="1" applyBorder="1" applyProtection="1">
      <protection hidden="1"/>
    </xf>
    <xf numFmtId="0" fontId="3" fillId="16" borderId="20" xfId="0" applyFont="1" applyFill="1" applyBorder="1" applyProtection="1">
      <protection hidden="1"/>
    </xf>
    <xf numFmtId="0" fontId="18" fillId="16" borderId="6" xfId="0" applyFont="1" applyFill="1" applyBorder="1" applyAlignment="1" applyProtection="1">
      <alignment horizontal="left" vertical="center"/>
      <protection hidden="1"/>
    </xf>
    <xf numFmtId="0" fontId="3" fillId="16" borderId="21" xfId="0" applyFont="1" applyFill="1" applyBorder="1" applyProtection="1">
      <protection hidden="1"/>
    </xf>
    <xf numFmtId="0" fontId="5" fillId="16" borderId="8" xfId="0" applyFont="1" applyFill="1" applyBorder="1" applyAlignment="1" applyProtection="1">
      <alignment horizontal="center"/>
      <protection hidden="1"/>
    </xf>
    <xf numFmtId="0" fontId="0" fillId="16" borderId="1" xfId="0" applyFill="1" applyBorder="1" applyAlignment="1" applyProtection="1">
      <alignment horizontal="center"/>
      <protection hidden="1"/>
    </xf>
    <xf numFmtId="0" fontId="5" fillId="2" borderId="8" xfId="0" applyFont="1" applyFill="1" applyBorder="1" applyAlignment="1" applyProtection="1">
      <alignment horizontal="center"/>
      <protection hidden="1"/>
    </xf>
    <xf numFmtId="0" fontId="0" fillId="16" borderId="14" xfId="0" applyFill="1" applyBorder="1" applyAlignment="1" applyProtection="1">
      <alignment horizontal="center"/>
      <protection hidden="1"/>
    </xf>
    <xf numFmtId="0" fontId="150" fillId="16" borderId="0" xfId="0" applyFont="1" applyFill="1" applyAlignment="1" applyProtection="1">
      <alignment horizontal="center" vertical="center" wrapText="1"/>
      <protection hidden="1"/>
    </xf>
    <xf numFmtId="0" fontId="3" fillId="16" borderId="16" xfId="0" quotePrefix="1" applyFont="1" applyFill="1" applyBorder="1" applyAlignment="1" applyProtection="1">
      <alignment horizontal="center"/>
      <protection hidden="1"/>
    </xf>
    <xf numFmtId="37" fontId="53" fillId="15" borderId="10" xfId="0" applyNumberFormat="1" applyFont="1" applyFill="1" applyBorder="1" applyAlignment="1" applyProtection="1">
      <alignment horizontal="right"/>
      <protection hidden="1"/>
    </xf>
    <xf numFmtId="0" fontId="0" fillId="22" borderId="31" xfId="0" applyFill="1" applyBorder="1" applyProtection="1">
      <protection hidden="1"/>
    </xf>
    <xf numFmtId="0" fontId="0" fillId="22" borderId="9" xfId="0" applyFill="1" applyBorder="1" applyProtection="1">
      <protection hidden="1"/>
    </xf>
    <xf numFmtId="0" fontId="3" fillId="22" borderId="70" xfId="0" applyFont="1" applyFill="1" applyBorder="1" applyAlignment="1" applyProtection="1">
      <alignment horizontal="center"/>
      <protection hidden="1"/>
    </xf>
    <xf numFmtId="37" fontId="18" fillId="38" borderId="5" xfId="0" applyNumberFormat="1" applyFont="1" applyFill="1" applyBorder="1" applyAlignment="1" applyProtection="1">
      <alignment horizontal="right"/>
      <protection hidden="1"/>
    </xf>
    <xf numFmtId="37" fontId="18" fillId="22" borderId="5" xfId="0" applyNumberFormat="1" applyFont="1" applyFill="1" applyBorder="1" applyAlignment="1" applyProtection="1">
      <alignment horizontal="right"/>
      <protection hidden="1"/>
    </xf>
    <xf numFmtId="0" fontId="18" fillId="16" borderId="0" xfId="0" applyFont="1" applyFill="1" applyAlignment="1" applyProtection="1">
      <alignment vertical="center"/>
      <protection hidden="1"/>
    </xf>
    <xf numFmtId="0" fontId="12" fillId="16" borderId="17" xfId="0" applyFont="1" applyFill="1" applyBorder="1" applyAlignment="1" applyProtection="1">
      <alignment vertical="center"/>
      <protection hidden="1"/>
    </xf>
    <xf numFmtId="0" fontId="23" fillId="16" borderId="17" xfId="0" applyFont="1" applyFill="1" applyBorder="1" applyProtection="1">
      <protection hidden="1"/>
    </xf>
    <xf numFmtId="0" fontId="53" fillId="16" borderId="1" xfId="0" applyFont="1" applyFill="1" applyBorder="1" applyAlignment="1" applyProtection="1">
      <alignment vertical="center"/>
      <protection hidden="1"/>
    </xf>
    <xf numFmtId="0" fontId="3" fillId="16" borderId="5" xfId="0" applyFont="1" applyFill="1" applyBorder="1" applyAlignment="1" applyProtection="1">
      <alignment horizontal="right"/>
      <protection hidden="1"/>
    </xf>
    <xf numFmtId="0" fontId="12" fillId="16" borderId="8" xfId="0" applyFont="1" applyFill="1" applyBorder="1" applyAlignment="1" applyProtection="1">
      <alignment vertical="center"/>
      <protection hidden="1"/>
    </xf>
    <xf numFmtId="0" fontId="53" fillId="16" borderId="9" xfId="0" applyFont="1" applyFill="1" applyBorder="1" applyAlignment="1" applyProtection="1">
      <alignment horizontal="left" vertical="center"/>
      <protection hidden="1"/>
    </xf>
    <xf numFmtId="0" fontId="53" fillId="16" borderId="15" xfId="0" applyFont="1" applyFill="1" applyBorder="1" applyAlignment="1" applyProtection="1">
      <alignment horizontal="left" vertical="center"/>
      <protection hidden="1"/>
    </xf>
    <xf numFmtId="0" fontId="5" fillId="16" borderId="1" xfId="0" applyFont="1" applyFill="1" applyBorder="1" applyAlignment="1" applyProtection="1">
      <alignment horizontal="center"/>
      <protection hidden="1"/>
    </xf>
    <xf numFmtId="0" fontId="16" fillId="16" borderId="0" xfId="0" quotePrefix="1" applyFont="1" applyFill="1" applyAlignment="1" applyProtection="1">
      <alignment horizontal="center" vertical="center"/>
      <protection hidden="1"/>
    </xf>
    <xf numFmtId="0" fontId="53" fillId="16" borderId="0" xfId="0" quotePrefix="1" applyFont="1" applyFill="1" applyAlignment="1" applyProtection="1">
      <alignment horizontal="right"/>
      <protection hidden="1"/>
    </xf>
    <xf numFmtId="0" fontId="53" fillId="16" borderId="0" xfId="0" applyFont="1" applyFill="1" applyAlignment="1" applyProtection="1">
      <alignment horizontal="center"/>
      <protection hidden="1"/>
    </xf>
    <xf numFmtId="0" fontId="5" fillId="16" borderId="0" xfId="0" quotePrefix="1" applyFont="1" applyFill="1" applyAlignment="1" applyProtection="1">
      <alignment horizontal="center"/>
      <protection hidden="1"/>
    </xf>
    <xf numFmtId="0" fontId="53" fillId="16" borderId="0" xfId="0" applyFont="1" applyFill="1" applyAlignment="1" applyProtection="1">
      <alignment horizontal="center" vertical="center"/>
      <protection locked="0"/>
    </xf>
    <xf numFmtId="0" fontId="5" fillId="16" borderId="0" xfId="0" quotePrefix="1" applyFont="1" applyFill="1" applyAlignment="1" applyProtection="1">
      <alignment horizontal="center" vertical="center"/>
      <protection hidden="1"/>
    </xf>
    <xf numFmtId="0" fontId="5" fillId="16" borderId="7" xfId="0" applyFont="1" applyFill="1" applyBorder="1" applyProtection="1">
      <protection hidden="1"/>
    </xf>
    <xf numFmtId="0" fontId="150" fillId="16" borderId="5" xfId="0" applyFont="1" applyFill="1" applyBorder="1" applyAlignment="1" applyProtection="1">
      <alignment vertical="center" wrapText="1"/>
      <protection hidden="1"/>
    </xf>
    <xf numFmtId="0" fontId="150" fillId="16" borderId="5" xfId="0" applyFont="1" applyFill="1" applyBorder="1" applyAlignment="1" applyProtection="1">
      <alignment horizontal="center" vertical="center" wrapText="1"/>
      <protection hidden="1"/>
    </xf>
    <xf numFmtId="0" fontId="150" fillId="16" borderId="5" xfId="0" applyFont="1" applyFill="1" applyBorder="1" applyAlignment="1" applyProtection="1">
      <alignment horizontal="left" indent="1"/>
      <protection hidden="1"/>
    </xf>
    <xf numFmtId="0" fontId="16" fillId="16" borderId="5" xfId="0" applyFont="1" applyFill="1" applyBorder="1" applyAlignment="1" applyProtection="1">
      <alignment vertical="top"/>
      <protection hidden="1"/>
    </xf>
    <xf numFmtId="0" fontId="225" fillId="16" borderId="8" xfId="0" applyFont="1" applyFill="1" applyBorder="1" applyAlignment="1" applyProtection="1">
      <alignment horizontal="center" vertical="center"/>
      <protection hidden="1"/>
    </xf>
    <xf numFmtId="0" fontId="53" fillId="16" borderId="8" xfId="0" applyFont="1" applyFill="1" applyBorder="1" applyProtection="1">
      <protection hidden="1"/>
    </xf>
    <xf numFmtId="0" fontId="5" fillId="16" borderId="204" xfId="0" applyFont="1" applyFill="1" applyBorder="1" applyProtection="1">
      <protection hidden="1"/>
    </xf>
    <xf numFmtId="0" fontId="23" fillId="16" borderId="8" xfId="0" applyFont="1" applyFill="1" applyBorder="1" applyAlignment="1" applyProtection="1">
      <alignment vertical="center"/>
      <protection hidden="1"/>
    </xf>
    <xf numFmtId="0" fontId="53" fillId="16" borderId="12" xfId="0" applyFont="1" applyFill="1" applyBorder="1" applyAlignment="1" applyProtection="1">
      <alignment horizontal="left" vertical="center"/>
      <protection hidden="1"/>
    </xf>
    <xf numFmtId="0" fontId="53" fillId="16" borderId="3" xfId="0" applyFont="1" applyFill="1" applyBorder="1" applyAlignment="1" applyProtection="1">
      <alignment horizontal="left" vertical="center"/>
      <protection hidden="1"/>
    </xf>
    <xf numFmtId="0" fontId="53" fillId="16" borderId="10" xfId="0" applyFont="1" applyFill="1" applyBorder="1" applyAlignment="1" applyProtection="1">
      <alignment horizontal="left" vertical="center"/>
      <protection hidden="1"/>
    </xf>
    <xf numFmtId="0" fontId="53" fillId="16" borderId="1" xfId="0" applyFont="1" applyFill="1" applyBorder="1" applyAlignment="1" applyProtection="1">
      <alignment horizontal="center" vertical="center"/>
      <protection locked="0"/>
    </xf>
    <xf numFmtId="0" fontId="5" fillId="16" borderId="9" xfId="0" quotePrefix="1" applyFont="1" applyFill="1" applyBorder="1" applyAlignment="1" applyProtection="1">
      <alignment horizontal="center" vertical="center"/>
      <protection hidden="1"/>
    </xf>
    <xf numFmtId="0" fontId="7" fillId="16" borderId="40" xfId="0" applyFont="1" applyFill="1" applyBorder="1" applyAlignment="1" applyProtection="1">
      <alignment horizontal="left" vertical="center"/>
      <protection locked="0"/>
    </xf>
    <xf numFmtId="0" fontId="16" fillId="16" borderId="26" xfId="0" quotePrefix="1" applyFont="1" applyFill="1" applyBorder="1" applyAlignment="1" applyProtection="1">
      <alignment horizontal="center" vertical="center"/>
      <protection hidden="1"/>
    </xf>
    <xf numFmtId="0" fontId="53" fillId="16" borderId="26" xfId="0" applyFont="1" applyFill="1" applyBorder="1" applyAlignment="1" applyProtection="1">
      <alignment horizontal="center" vertical="center"/>
      <protection locked="0"/>
    </xf>
    <xf numFmtId="0" fontId="5" fillId="16" borderId="205" xfId="0" applyFont="1" applyFill="1" applyBorder="1" applyProtection="1">
      <protection hidden="1"/>
    </xf>
    <xf numFmtId="0" fontId="5" fillId="16" borderId="100" xfId="0" applyFont="1" applyFill="1" applyBorder="1" applyProtection="1">
      <protection hidden="1"/>
    </xf>
    <xf numFmtId="0" fontId="12" fillId="16" borderId="0" xfId="0" quotePrefix="1" applyFont="1" applyFill="1" applyAlignment="1" applyProtection="1">
      <alignment horizontal="center"/>
      <protection hidden="1"/>
    </xf>
    <xf numFmtId="0" fontId="12" fillId="16" borderId="0" xfId="0" quotePrefix="1" applyFont="1" applyFill="1" applyAlignment="1" applyProtection="1">
      <alignment horizontal="right"/>
      <protection hidden="1"/>
    </xf>
    <xf numFmtId="0" fontId="12" fillId="16" borderId="8" xfId="0" quotePrefix="1" applyFont="1" applyFill="1" applyBorder="1" applyAlignment="1" applyProtection="1">
      <alignment horizontal="center"/>
      <protection hidden="1"/>
    </xf>
    <xf numFmtId="0" fontId="16" fillId="16" borderId="5" xfId="0" applyFont="1" applyFill="1" applyBorder="1" applyAlignment="1" applyProtection="1">
      <alignment horizontal="center"/>
      <protection hidden="1"/>
    </xf>
    <xf numFmtId="0" fontId="16" fillId="16" borderId="25" xfId="0" applyFont="1" applyFill="1" applyBorder="1" applyAlignment="1" applyProtection="1">
      <alignment horizontal="left" vertical="center"/>
      <protection hidden="1"/>
    </xf>
    <xf numFmtId="0" fontId="18" fillId="16" borderId="25" xfId="0" applyFont="1" applyFill="1" applyBorder="1" applyAlignment="1" applyProtection="1">
      <alignment horizontal="right" indent="1"/>
      <protection hidden="1"/>
    </xf>
    <xf numFmtId="37" fontId="53" fillId="15" borderId="1" xfId="0" applyNumberFormat="1" applyFont="1" applyFill="1" applyBorder="1" applyAlignment="1" applyProtection="1">
      <alignment horizontal="center" vertical="center"/>
      <protection hidden="1"/>
    </xf>
    <xf numFmtId="0" fontId="275" fillId="5" borderId="0" xfId="0" applyFont="1" applyFill="1" applyAlignment="1" applyProtection="1">
      <alignment horizontal="left" vertical="center"/>
      <protection hidden="1"/>
    </xf>
    <xf numFmtId="39" fontId="5" fillId="25" borderId="0" xfId="0" applyNumberFormat="1" applyFont="1" applyFill="1" applyAlignment="1" applyProtection="1">
      <alignment vertical="top"/>
      <protection locked="0"/>
    </xf>
    <xf numFmtId="0" fontId="276" fillId="16" borderId="0" xfId="0" applyFont="1" applyFill="1" applyAlignment="1" applyProtection="1">
      <alignment vertical="top" wrapText="1"/>
      <protection hidden="1"/>
    </xf>
    <xf numFmtId="39" fontId="244" fillId="0" borderId="0" xfId="0" applyNumberFormat="1" applyFont="1" applyAlignment="1" applyProtection="1">
      <alignment horizontal="center"/>
      <protection hidden="1"/>
    </xf>
    <xf numFmtId="4" fontId="10" fillId="0" borderId="0" xfId="0" applyNumberFormat="1" applyFont="1" applyAlignment="1" applyProtection="1">
      <alignment horizontal="center"/>
      <protection hidden="1"/>
    </xf>
    <xf numFmtId="4" fontId="244" fillId="0" borderId="0" xfId="0" applyNumberFormat="1" applyFont="1" applyAlignment="1" applyProtection="1">
      <alignment horizontal="center"/>
      <protection hidden="1"/>
    </xf>
    <xf numFmtId="0" fontId="189" fillId="8" borderId="0" xfId="0" applyFont="1" applyFill="1" applyAlignment="1" applyProtection="1">
      <alignment horizontal="center"/>
      <protection hidden="1"/>
    </xf>
    <xf numFmtId="0" fontId="129" fillId="2" borderId="0" xfId="0" applyFont="1" applyFill="1" applyAlignment="1" applyProtection="1">
      <alignment horizontal="left" indent="1"/>
      <protection hidden="1"/>
    </xf>
    <xf numFmtId="0" fontId="10" fillId="2" borderId="124" xfId="0" applyFont="1" applyFill="1" applyBorder="1" applyAlignment="1" applyProtection="1">
      <alignment horizontal="left" vertical="center"/>
      <protection hidden="1"/>
    </xf>
    <xf numFmtId="0" fontId="277" fillId="16" borderId="0" xfId="0" applyFont="1" applyFill="1" applyAlignment="1" applyProtection="1">
      <alignment horizontal="center"/>
      <protection hidden="1"/>
    </xf>
    <xf numFmtId="3" fontId="277" fillId="16" borderId="0" xfId="0" applyNumberFormat="1" applyFont="1" applyFill="1" applyAlignment="1" applyProtection="1">
      <alignment horizontal="left"/>
      <protection hidden="1"/>
    </xf>
    <xf numFmtId="0" fontId="7" fillId="3" borderId="0" xfId="0" applyFont="1" applyFill="1" applyAlignment="1" applyProtection="1">
      <alignment horizontal="right"/>
      <protection hidden="1"/>
    </xf>
    <xf numFmtId="0" fontId="3" fillId="16" borderId="0" xfId="0" applyFont="1" applyFill="1" applyAlignment="1" applyProtection="1">
      <alignment horizontal="left" vertical="top" wrapText="1"/>
      <protection hidden="1"/>
    </xf>
    <xf numFmtId="0" fontId="3" fillId="16" borderId="5" xfId="0" applyFont="1" applyFill="1" applyBorder="1" applyAlignment="1" applyProtection="1">
      <alignment horizontal="left" vertical="top" wrapText="1"/>
      <protection hidden="1"/>
    </xf>
    <xf numFmtId="0" fontId="0" fillId="16" borderId="0" xfId="0" applyFill="1" applyAlignment="1">
      <alignment vertical="center" wrapText="1"/>
    </xf>
    <xf numFmtId="0" fontId="0" fillId="16" borderId="5" xfId="0" applyFill="1" applyBorder="1" applyAlignment="1">
      <alignment vertical="center" wrapText="1"/>
    </xf>
    <xf numFmtId="0" fontId="3" fillId="0" borderId="207" xfId="0" applyFont="1" applyBorder="1" applyAlignment="1">
      <alignment horizontal="center"/>
    </xf>
    <xf numFmtId="0" fontId="3" fillId="0" borderId="80" xfId="0" applyFont="1" applyBorder="1" applyAlignment="1">
      <alignment horizontal="center"/>
    </xf>
    <xf numFmtId="182" fontId="0" fillId="0" borderId="206" xfId="0" applyNumberFormat="1" applyBorder="1" applyAlignment="1">
      <alignment horizontal="center"/>
    </xf>
    <xf numFmtId="182" fontId="0" fillId="0" borderId="79" xfId="0" applyNumberFormat="1" applyBorder="1" applyAlignment="1">
      <alignment horizontal="center"/>
    </xf>
    <xf numFmtId="182" fontId="5" fillId="0" borderId="206" xfId="0" applyNumberFormat="1" applyFont="1" applyBorder="1" applyAlignment="1">
      <alignment horizontal="center"/>
    </xf>
    <xf numFmtId="182" fontId="5" fillId="0" borderId="79" xfId="0" applyNumberFormat="1" applyFont="1" applyBorder="1" applyAlignment="1">
      <alignment horizontal="center"/>
    </xf>
    <xf numFmtId="0" fontId="3" fillId="0" borderId="29" xfId="0" applyFont="1" applyBorder="1" applyAlignment="1">
      <alignment horizontal="center"/>
    </xf>
    <xf numFmtId="182" fontId="0" fillId="0" borderId="7" xfId="0" applyNumberFormat="1" applyBorder="1" applyAlignment="1">
      <alignment horizontal="center"/>
    </xf>
    <xf numFmtId="182" fontId="5" fillId="0" borderId="7" xfId="0" applyNumberFormat="1" applyFont="1" applyBorder="1" applyAlignment="1">
      <alignment horizontal="center"/>
    </xf>
    <xf numFmtId="0" fontId="3" fillId="0" borderId="24" xfId="0" applyFont="1" applyBorder="1" applyAlignment="1">
      <alignment horizontal="center"/>
    </xf>
    <xf numFmtId="0" fontId="3" fillId="0" borderId="208" xfId="0" applyFont="1" applyBorder="1" applyAlignment="1">
      <alignment horizontal="center"/>
    </xf>
    <xf numFmtId="0" fontId="3" fillId="0" borderId="204" xfId="0" applyFont="1" applyBorder="1" applyAlignment="1">
      <alignment horizontal="center"/>
    </xf>
    <xf numFmtId="0" fontId="3" fillId="0" borderId="209" xfId="0" applyFont="1" applyBorder="1" applyAlignment="1">
      <alignment horizontal="center"/>
    </xf>
    <xf numFmtId="0" fontId="3" fillId="0" borderId="22" xfId="0" applyFont="1" applyBorder="1" applyAlignment="1">
      <alignment horizontal="center"/>
    </xf>
    <xf numFmtId="182" fontId="0" fillId="0" borderId="6" xfId="0" applyNumberFormat="1" applyBorder="1" applyAlignment="1">
      <alignment horizontal="center"/>
    </xf>
    <xf numFmtId="182" fontId="0" fillId="0" borderId="21" xfId="0" applyNumberFormat="1" applyBorder="1" applyAlignment="1">
      <alignment horizontal="center"/>
    </xf>
    <xf numFmtId="182" fontId="5" fillId="0" borderId="6" xfId="0" applyNumberFormat="1" applyFont="1" applyBorder="1" applyAlignment="1">
      <alignment horizontal="right" indent="1"/>
    </xf>
    <xf numFmtId="182" fontId="5" fillId="0" borderId="21" xfId="0" applyNumberFormat="1" applyFont="1" applyBorder="1" applyAlignment="1">
      <alignment horizontal="center"/>
    </xf>
    <xf numFmtId="182" fontId="0" fillId="0" borderId="22" xfId="0" applyNumberFormat="1" applyBorder="1" applyAlignment="1">
      <alignment horizontal="center"/>
    </xf>
    <xf numFmtId="182" fontId="0" fillId="0" borderId="207" xfId="0" applyNumberFormat="1" applyBorder="1" applyAlignment="1">
      <alignment horizontal="center"/>
    </xf>
    <xf numFmtId="182" fontId="0" fillId="0" borderId="29" xfId="0" applyNumberFormat="1" applyBorder="1" applyAlignment="1">
      <alignment horizontal="center"/>
    </xf>
    <xf numFmtId="182" fontId="0" fillId="0" borderId="80" xfId="0" applyNumberFormat="1" applyBorder="1" applyAlignment="1">
      <alignment horizontal="center"/>
    </xf>
    <xf numFmtId="182" fontId="0" fillId="0" borderId="23" xfId="0" applyNumberFormat="1" applyBorder="1" applyAlignment="1">
      <alignment horizontal="center"/>
    </xf>
    <xf numFmtId="0" fontId="55" fillId="9" borderId="26" xfId="0" applyFont="1" applyFill="1" applyBorder="1" applyAlignment="1" applyProtection="1">
      <alignment horizontal="center" vertical="center"/>
      <protection hidden="1"/>
    </xf>
    <xf numFmtId="0" fontId="8" fillId="3" borderId="8" xfId="0" applyFont="1" applyFill="1" applyBorder="1" applyAlignment="1" applyProtection="1">
      <alignment vertical="top"/>
      <protection hidden="1"/>
    </xf>
    <xf numFmtId="4" fontId="10" fillId="3" borderId="8" xfId="0" applyNumberFormat="1" applyFont="1" applyFill="1" applyBorder="1" applyAlignment="1" applyProtection="1">
      <alignment horizontal="right" vertical="top"/>
      <protection hidden="1"/>
    </xf>
    <xf numFmtId="4" fontId="7" fillId="3" borderId="8" xfId="0" applyNumberFormat="1" applyFont="1" applyFill="1" applyBorder="1" applyAlignment="1" applyProtection="1">
      <alignment horizontal="right" vertical="top"/>
      <protection hidden="1"/>
    </xf>
    <xf numFmtId="1" fontId="5" fillId="3" borderId="8" xfId="0" applyNumberFormat="1" applyFont="1" applyFill="1" applyBorder="1" applyAlignment="1" applyProtection="1">
      <alignment horizontal="left" vertical="center"/>
      <protection hidden="1"/>
    </xf>
    <xf numFmtId="165" fontId="8" fillId="17" borderId="26" xfId="0" applyNumberFormat="1" applyFont="1" applyFill="1" applyBorder="1" applyAlignment="1" applyProtection="1">
      <alignment horizontal="center"/>
      <protection locked="0"/>
    </xf>
    <xf numFmtId="165" fontId="8" fillId="17" borderId="1" xfId="0" applyNumberFormat="1" applyFont="1" applyFill="1" applyBorder="1" applyAlignment="1" applyProtection="1">
      <alignment horizontal="center"/>
      <protection locked="0"/>
    </xf>
    <xf numFmtId="165" fontId="7" fillId="17" borderId="1" xfId="0" applyNumberFormat="1" applyFont="1" applyFill="1" applyBorder="1" applyAlignment="1" applyProtection="1">
      <alignment horizontal="center"/>
      <protection locked="0"/>
    </xf>
    <xf numFmtId="0" fontId="7" fillId="2" borderId="3" xfId="0" applyFont="1" applyFill="1" applyBorder="1" applyProtection="1">
      <protection hidden="1"/>
    </xf>
    <xf numFmtId="0" fontId="7" fillId="2" borderId="31" xfId="0" applyFont="1" applyFill="1" applyBorder="1" applyProtection="1">
      <protection hidden="1"/>
    </xf>
    <xf numFmtId="37" fontId="3" fillId="16" borderId="3" xfId="0" applyNumberFormat="1" applyFont="1" applyFill="1" applyBorder="1" applyAlignment="1" applyProtection="1">
      <alignment horizontal="right"/>
      <protection hidden="1"/>
    </xf>
    <xf numFmtId="0" fontId="7" fillId="16" borderId="0" xfId="0" applyFont="1" applyFill="1" applyAlignment="1">
      <alignment horizontal="left" vertical="center"/>
    </xf>
    <xf numFmtId="49" fontId="102" fillId="16" borderId="0" xfId="0" applyNumberFormat="1" applyFont="1" applyFill="1" applyAlignment="1" applyProtection="1">
      <alignment horizontal="center" vertical="top" wrapText="1"/>
      <protection hidden="1"/>
    </xf>
    <xf numFmtId="0" fontId="3" fillId="2" borderId="0" xfId="0" applyFont="1" applyFill="1" applyAlignment="1" applyProtection="1">
      <alignment horizontal="left" vertical="center"/>
      <protection hidden="1"/>
    </xf>
    <xf numFmtId="0" fontId="139" fillId="2" borderId="0" xfId="0" applyFont="1" applyFill="1" applyAlignment="1" applyProtection="1">
      <alignment horizontal="left" vertical="top"/>
      <protection hidden="1"/>
    </xf>
    <xf numFmtId="0" fontId="184" fillId="16" borderId="0" xfId="0" applyFont="1" applyFill="1" applyAlignment="1" applyProtection="1">
      <alignment vertical="center"/>
      <protection hidden="1"/>
    </xf>
    <xf numFmtId="0" fontId="8" fillId="16" borderId="0" xfId="0" applyFont="1" applyFill="1" applyAlignment="1" applyProtection="1">
      <alignment horizontal="left"/>
      <protection hidden="1"/>
    </xf>
    <xf numFmtId="0" fontId="3" fillId="17" borderId="11" xfId="0" applyFont="1" applyFill="1" applyBorder="1" applyAlignment="1" applyProtection="1">
      <alignment horizontal="center" vertical="center"/>
      <protection locked="0"/>
    </xf>
    <xf numFmtId="0" fontId="7" fillId="19" borderId="26" xfId="0" applyFont="1" applyFill="1" applyBorder="1" applyAlignment="1" applyProtection="1">
      <alignment vertical="top"/>
      <protection hidden="1"/>
    </xf>
    <xf numFmtId="168" fontId="10" fillId="2" borderId="0" xfId="0" applyNumberFormat="1" applyFont="1" applyFill="1" applyAlignment="1" applyProtection="1">
      <alignment horizontal="left"/>
      <protection hidden="1"/>
    </xf>
    <xf numFmtId="0" fontId="3" fillId="17" borderId="211" xfId="0" applyFont="1" applyFill="1" applyBorder="1" applyAlignment="1" applyProtection="1">
      <alignment horizontal="center" vertical="center"/>
      <protection locked="0"/>
    </xf>
    <xf numFmtId="0" fontId="12" fillId="28" borderId="205" xfId="0" applyFont="1" applyFill="1" applyBorder="1" applyAlignment="1" applyProtection="1">
      <alignment horizontal="center" vertical="center"/>
      <protection hidden="1"/>
    </xf>
    <xf numFmtId="0" fontId="131" fillId="28" borderId="100" xfId="0" applyFont="1" applyFill="1" applyBorder="1" applyAlignment="1" applyProtection="1">
      <alignment horizontal="center" vertical="center"/>
      <protection hidden="1"/>
    </xf>
    <xf numFmtId="0" fontId="12" fillId="28" borderId="100" xfId="0" applyFont="1" applyFill="1" applyBorder="1" applyAlignment="1" applyProtection="1">
      <alignment horizontal="center" vertical="center"/>
      <protection hidden="1"/>
    </xf>
    <xf numFmtId="0" fontId="23" fillId="28" borderId="100" xfId="0" applyFont="1" applyFill="1" applyBorder="1" applyAlignment="1" applyProtection="1">
      <alignment horizontal="center" vertical="center"/>
      <protection hidden="1"/>
    </xf>
    <xf numFmtId="0" fontId="3" fillId="16" borderId="9" xfId="0" applyFont="1" applyFill="1" applyBorder="1" applyAlignment="1" applyProtection="1">
      <alignment horizontal="left"/>
      <protection hidden="1"/>
    </xf>
    <xf numFmtId="0" fontId="3" fillId="16" borderId="1" xfId="0" applyFont="1" applyFill="1" applyBorder="1" applyProtection="1">
      <protection hidden="1"/>
    </xf>
    <xf numFmtId="168" fontId="10" fillId="2" borderId="9" xfId="0" applyNumberFormat="1" applyFont="1" applyFill="1" applyBorder="1" applyAlignment="1" applyProtection="1">
      <alignment horizontal="left"/>
      <protection hidden="1"/>
    </xf>
    <xf numFmtId="168" fontId="10" fillId="2" borderId="15" xfId="0" applyNumberFormat="1" applyFont="1" applyFill="1" applyBorder="1" applyAlignment="1" applyProtection="1">
      <alignment horizontal="left"/>
      <protection hidden="1"/>
    </xf>
    <xf numFmtId="0" fontId="10" fillId="2" borderId="35" xfId="0" applyFont="1" applyFill="1" applyBorder="1" applyAlignment="1" applyProtection="1">
      <alignment wrapText="1"/>
      <protection hidden="1"/>
    </xf>
    <xf numFmtId="0" fontId="13" fillId="2" borderId="35" xfId="0" applyFont="1" applyFill="1" applyBorder="1" applyProtection="1">
      <protection hidden="1"/>
    </xf>
    <xf numFmtId="3" fontId="21" fillId="16" borderId="0" xfId="0" applyNumberFormat="1" applyFont="1" applyFill="1" applyAlignment="1" applyProtection="1">
      <alignment horizontal="right"/>
      <protection hidden="1"/>
    </xf>
    <xf numFmtId="37" fontId="3" fillId="16" borderId="31" xfId="0" applyNumberFormat="1" applyFont="1" applyFill="1" applyBorder="1" applyAlignment="1" applyProtection="1">
      <alignment horizontal="right"/>
      <protection hidden="1"/>
    </xf>
    <xf numFmtId="37" fontId="3" fillId="16" borderId="9" xfId="0" applyNumberFormat="1" applyFont="1" applyFill="1" applyBorder="1" applyAlignment="1" applyProtection="1">
      <alignment horizontal="right"/>
      <protection hidden="1"/>
    </xf>
    <xf numFmtId="4" fontId="7" fillId="2" borderId="0" xfId="0" applyNumberFormat="1" applyFont="1" applyFill="1" applyProtection="1">
      <protection hidden="1"/>
    </xf>
    <xf numFmtId="0" fontId="10" fillId="2" borderId="8" xfId="0" applyFont="1" applyFill="1" applyBorder="1" applyProtection="1">
      <protection hidden="1"/>
    </xf>
    <xf numFmtId="6" fontId="119" fillId="2" borderId="0" xfId="0" applyNumberFormat="1" applyFont="1" applyFill="1" applyAlignment="1" applyProtection="1">
      <alignment horizontal="center" vertical="center"/>
      <protection hidden="1"/>
    </xf>
    <xf numFmtId="37" fontId="8" fillId="17" borderId="3" xfId="0" applyNumberFormat="1" applyFont="1" applyFill="1" applyBorder="1" applyProtection="1">
      <protection locked="0"/>
    </xf>
    <xf numFmtId="37" fontId="8" fillId="17" borderId="0" xfId="0" applyNumberFormat="1" applyFont="1" applyFill="1" applyProtection="1">
      <protection locked="0"/>
    </xf>
    <xf numFmtId="37" fontId="3" fillId="17" borderId="0" xfId="0" applyNumberFormat="1" applyFont="1" applyFill="1" applyProtection="1">
      <protection locked="0"/>
    </xf>
    <xf numFmtId="0" fontId="5" fillId="2" borderId="27" xfId="0" applyFont="1" applyFill="1" applyBorder="1" applyProtection="1">
      <protection hidden="1"/>
    </xf>
    <xf numFmtId="0" fontId="5" fillId="2" borderId="6" xfId="0" applyFont="1" applyFill="1" applyBorder="1" applyProtection="1">
      <protection hidden="1"/>
    </xf>
    <xf numFmtId="0" fontId="7" fillId="16" borderId="1" xfId="0" applyFont="1" applyFill="1" applyBorder="1" applyAlignment="1" applyProtection="1">
      <alignment horizontal="left" vertical="top"/>
      <protection hidden="1"/>
    </xf>
    <xf numFmtId="1" fontId="0" fillId="10" borderId="16" xfId="0" applyNumberFormat="1" applyFill="1" applyBorder="1" applyAlignment="1" applyProtection="1">
      <alignment vertical="center"/>
      <protection hidden="1"/>
    </xf>
    <xf numFmtId="1" fontId="0" fillId="10" borderId="11" xfId="0" applyNumberFormat="1" applyFill="1" applyBorder="1" applyAlignment="1" applyProtection="1">
      <alignment vertical="center"/>
      <protection hidden="1"/>
    </xf>
    <xf numFmtId="0" fontId="21" fillId="16" borderId="8" xfId="0" applyFont="1" applyFill="1" applyBorder="1" applyAlignment="1" applyProtection="1">
      <alignment horizontal="center"/>
      <protection hidden="1"/>
    </xf>
    <xf numFmtId="37" fontId="9" fillId="20" borderId="5" xfId="0" applyNumberFormat="1" applyFont="1" applyFill="1" applyBorder="1" applyProtection="1">
      <protection hidden="1"/>
    </xf>
    <xf numFmtId="1" fontId="3" fillId="20" borderId="29" xfId="0" applyNumberFormat="1" applyFont="1" applyFill="1" applyBorder="1" applyAlignment="1" applyProtection="1">
      <alignment horizontal="center" vertical="center"/>
      <protection hidden="1"/>
    </xf>
    <xf numFmtId="0" fontId="8" fillId="0" borderId="0" xfId="0" applyFont="1"/>
    <xf numFmtId="0" fontId="12" fillId="16" borderId="7" xfId="0" applyFont="1" applyFill="1" applyBorder="1" applyAlignment="1" applyProtection="1">
      <alignment horizontal="center"/>
      <protection hidden="1"/>
    </xf>
    <xf numFmtId="0" fontId="12" fillId="16" borderId="13" xfId="0" applyFont="1" applyFill="1" applyBorder="1" applyAlignment="1" applyProtection="1">
      <alignment horizontal="center"/>
      <protection hidden="1"/>
    </xf>
    <xf numFmtId="0" fontId="16" fillId="24" borderId="7" xfId="0" applyFont="1" applyFill="1" applyBorder="1" applyProtection="1">
      <protection hidden="1"/>
    </xf>
    <xf numFmtId="0" fontId="12" fillId="16" borderId="11" xfId="0" applyFont="1" applyFill="1" applyBorder="1" applyAlignment="1" applyProtection="1">
      <alignment horizontal="center"/>
      <protection hidden="1"/>
    </xf>
    <xf numFmtId="0" fontId="12" fillId="16" borderId="16" xfId="0" applyFont="1" applyFill="1" applyBorder="1" applyAlignment="1" applyProtection="1">
      <alignment horizontal="center"/>
      <protection hidden="1"/>
    </xf>
    <xf numFmtId="18" fontId="12" fillId="16" borderId="0" xfId="0" applyNumberFormat="1" applyFont="1" applyFill="1" applyAlignment="1" applyProtection="1">
      <alignment horizontal="center"/>
      <protection hidden="1"/>
    </xf>
    <xf numFmtId="0" fontId="23" fillId="16" borderId="1" xfId="0" applyFont="1" applyFill="1" applyBorder="1" applyAlignment="1" applyProtection="1">
      <alignment horizontal="left" vertical="center"/>
      <protection hidden="1"/>
    </xf>
    <xf numFmtId="0" fontId="23" fillId="16" borderId="26" xfId="0" applyFont="1" applyFill="1" applyBorder="1" applyAlignment="1" applyProtection="1">
      <alignment horizontal="left" vertical="center"/>
      <protection hidden="1"/>
    </xf>
    <xf numFmtId="0" fontId="8" fillId="3" borderId="0" xfId="0" applyFont="1" applyFill="1" applyAlignment="1" applyProtection="1">
      <alignment horizontal="center" vertical="center"/>
      <protection hidden="1"/>
    </xf>
    <xf numFmtId="0" fontId="136" fillId="3" borderId="3" xfId="0" applyFont="1" applyFill="1" applyBorder="1" applyAlignment="1" applyProtection="1">
      <alignment wrapText="1"/>
      <protection hidden="1"/>
    </xf>
    <xf numFmtId="3" fontId="7" fillId="2" borderId="2" xfId="0" applyNumberFormat="1" applyFont="1" applyFill="1" applyBorder="1" applyAlignment="1" applyProtection="1">
      <alignment horizontal="right" indent="1"/>
      <protection locked="0"/>
    </xf>
    <xf numFmtId="0" fontId="5" fillId="16" borderId="3" xfId="0" applyFont="1" applyFill="1" applyBorder="1" applyAlignment="1" applyProtection="1">
      <alignment horizontal="center"/>
      <protection hidden="1"/>
    </xf>
    <xf numFmtId="37" fontId="135" fillId="3" borderId="3" xfId="0" applyNumberFormat="1" applyFont="1" applyFill="1" applyBorder="1" applyProtection="1">
      <protection hidden="1"/>
    </xf>
    <xf numFmtId="0" fontId="3" fillId="20" borderId="0" xfId="0" applyFont="1" applyFill="1" applyAlignment="1">
      <alignment horizontal="center"/>
    </xf>
    <xf numFmtId="168" fontId="8" fillId="2" borderId="2" xfId="0" applyNumberFormat="1" applyFont="1" applyFill="1" applyBorder="1" applyAlignment="1" applyProtection="1">
      <alignment horizontal="center"/>
      <protection locked="0"/>
    </xf>
    <xf numFmtId="0" fontId="8" fillId="20" borderId="0" xfId="0" applyFont="1" applyFill="1" applyAlignment="1">
      <alignment horizontal="center" vertical="top"/>
    </xf>
    <xf numFmtId="0" fontId="5" fillId="3" borderId="9" xfId="0" applyFont="1" applyFill="1" applyBorder="1" applyProtection="1">
      <protection hidden="1"/>
    </xf>
    <xf numFmtId="0" fontId="5" fillId="3" borderId="5" xfId="0" applyFont="1" applyFill="1" applyBorder="1" applyAlignment="1" applyProtection="1">
      <alignment vertical="center"/>
      <protection hidden="1"/>
    </xf>
    <xf numFmtId="0" fontId="8" fillId="2" borderId="0" xfId="0" applyFont="1" applyFill="1"/>
    <xf numFmtId="0" fontId="7" fillId="16" borderId="6" xfId="0" applyFont="1" applyFill="1" applyBorder="1" applyAlignment="1" applyProtection="1">
      <alignment horizontal="left" indent="1"/>
      <protection hidden="1"/>
    </xf>
    <xf numFmtId="0" fontId="50" fillId="3" borderId="0" xfId="0" applyFont="1" applyFill="1" applyAlignment="1" applyProtection="1">
      <alignment horizontal="center"/>
      <protection hidden="1"/>
    </xf>
    <xf numFmtId="0" fontId="3" fillId="3" borderId="0" xfId="0" applyFont="1" applyFill="1" applyAlignment="1" applyProtection="1">
      <alignment vertical="top"/>
      <protection hidden="1"/>
    </xf>
    <xf numFmtId="0" fontId="3" fillId="3" borderId="0" xfId="0" applyFont="1" applyFill="1" applyAlignment="1" applyProtection="1">
      <alignment horizontal="center" vertical="top"/>
      <protection hidden="1"/>
    </xf>
    <xf numFmtId="0" fontId="16" fillId="3" borderId="26" xfId="0" applyFont="1" applyFill="1" applyBorder="1" applyProtection="1">
      <protection hidden="1"/>
    </xf>
    <xf numFmtId="39" fontId="3" fillId="3" borderId="0" xfId="0" applyNumberFormat="1" applyFont="1" applyFill="1" applyProtection="1">
      <protection hidden="1"/>
    </xf>
    <xf numFmtId="0" fontId="3" fillId="7" borderId="7" xfId="0" applyFont="1" applyFill="1" applyBorder="1" applyAlignment="1" applyProtection="1">
      <alignment horizontal="center"/>
      <protection hidden="1"/>
    </xf>
    <xf numFmtId="0" fontId="3" fillId="3" borderId="29" xfId="0" applyFont="1" applyFill="1" applyBorder="1" applyAlignment="1" applyProtection="1">
      <alignment horizontal="center"/>
      <protection hidden="1"/>
    </xf>
    <xf numFmtId="0" fontId="3" fillId="3" borderId="52" xfId="0" applyFont="1" applyFill="1" applyBorder="1" applyAlignment="1" applyProtection="1">
      <alignment horizontal="center"/>
      <protection hidden="1"/>
    </xf>
    <xf numFmtId="0" fontId="3" fillId="3" borderId="6" xfId="0" applyFont="1" applyFill="1" applyBorder="1" applyAlignment="1" applyProtection="1">
      <alignment horizontal="right"/>
      <protection hidden="1"/>
    </xf>
    <xf numFmtId="0" fontId="3" fillId="3" borderId="22" xfId="0" applyFont="1" applyFill="1" applyBorder="1" applyAlignment="1" applyProtection="1">
      <alignment horizontal="right"/>
      <protection hidden="1"/>
    </xf>
    <xf numFmtId="0" fontId="3" fillId="3" borderId="5" xfId="0" applyFont="1" applyFill="1" applyBorder="1" applyAlignment="1" applyProtection="1">
      <alignment horizontal="left"/>
      <protection hidden="1"/>
    </xf>
    <xf numFmtId="0" fontId="19" fillId="3" borderId="0" xfId="0" applyFont="1" applyFill="1" applyAlignment="1" applyProtection="1">
      <alignment horizontal="left" vertical="top"/>
      <protection hidden="1"/>
    </xf>
    <xf numFmtId="39" fontId="3" fillId="3" borderId="5" xfId="0" applyNumberFormat="1" applyFont="1" applyFill="1" applyBorder="1" applyProtection="1">
      <protection hidden="1"/>
    </xf>
    <xf numFmtId="0" fontId="5" fillId="3" borderId="3" xfId="0" applyFont="1" applyFill="1" applyBorder="1" applyAlignment="1" applyProtection="1">
      <alignment horizontal="center"/>
      <protection hidden="1"/>
    </xf>
    <xf numFmtId="0" fontId="18" fillId="3" borderId="0" xfId="0" applyFont="1" applyFill="1" applyAlignment="1" applyProtection="1">
      <alignment horizontal="left"/>
      <protection hidden="1"/>
    </xf>
    <xf numFmtId="39" fontId="136" fillId="3" borderId="31" xfId="0" applyNumberFormat="1" applyFont="1" applyFill="1" applyBorder="1" applyAlignment="1" applyProtection="1">
      <alignment wrapText="1"/>
      <protection hidden="1"/>
    </xf>
    <xf numFmtId="0" fontId="136" fillId="3" borderId="9" xfId="0" applyFont="1" applyFill="1" applyBorder="1" applyAlignment="1" applyProtection="1">
      <alignment wrapText="1"/>
      <protection hidden="1"/>
    </xf>
    <xf numFmtId="39" fontId="5" fillId="3" borderId="0" xfId="0" applyNumberFormat="1" applyFont="1" applyFill="1" applyAlignment="1" applyProtection="1">
      <alignment horizontal="right"/>
      <protection hidden="1"/>
    </xf>
    <xf numFmtId="0" fontId="7" fillId="15" borderId="0" xfId="0" applyFont="1" applyFill="1" applyAlignment="1" applyProtection="1">
      <alignment vertical="center" wrapText="1"/>
      <protection hidden="1"/>
    </xf>
    <xf numFmtId="0" fontId="7" fillId="15" borderId="0" xfId="0" applyFont="1" applyFill="1" applyAlignment="1" applyProtection="1">
      <alignment horizontal="right"/>
      <protection hidden="1"/>
    </xf>
    <xf numFmtId="0" fontId="10" fillId="16" borderId="158" xfId="0" applyFont="1" applyFill="1" applyBorder="1"/>
    <xf numFmtId="176" fontId="158" fillId="30" borderId="0" xfId="0" applyNumberFormat="1" applyFont="1" applyFill="1" applyAlignment="1" applyProtection="1">
      <alignment horizontal="right"/>
      <protection hidden="1"/>
    </xf>
    <xf numFmtId="0" fontId="53" fillId="16" borderId="5" xfId="0" applyFont="1" applyFill="1" applyBorder="1" applyAlignment="1" applyProtection="1">
      <alignment horizontal="left" vertical="center"/>
      <protection hidden="1"/>
    </xf>
    <xf numFmtId="0" fontId="23" fillId="16" borderId="26" xfId="0" applyFont="1" applyFill="1" applyBorder="1" applyProtection="1">
      <protection hidden="1"/>
    </xf>
    <xf numFmtId="0" fontId="130" fillId="5" borderId="0" xfId="0" applyFont="1" applyFill="1" applyProtection="1">
      <protection hidden="1"/>
    </xf>
    <xf numFmtId="49" fontId="8" fillId="2" borderId="0" xfId="0" quotePrefix="1" applyNumberFormat="1" applyFont="1" applyFill="1" applyAlignment="1" applyProtection="1">
      <alignment horizontal="right"/>
      <protection hidden="1"/>
    </xf>
    <xf numFmtId="0" fontId="5" fillId="0" borderId="167" xfId="0" quotePrefix="1" applyFont="1" applyBorder="1" applyAlignment="1">
      <alignment horizontal="right" indent="1"/>
    </xf>
    <xf numFmtId="0" fontId="3" fillId="0" borderId="175" xfId="0" applyFont="1" applyBorder="1"/>
    <xf numFmtId="39" fontId="5" fillId="25" borderId="1" xfId="0" applyNumberFormat="1" applyFont="1" applyFill="1" applyBorder="1" applyAlignment="1" applyProtection="1">
      <alignment horizontal="center"/>
      <protection locked="0"/>
    </xf>
    <xf numFmtId="0" fontId="3" fillId="3" borderId="10" xfId="0" applyFont="1" applyFill="1" applyBorder="1" applyAlignment="1" applyProtection="1">
      <alignment horizontal="right"/>
      <protection hidden="1"/>
    </xf>
    <xf numFmtId="39" fontId="3" fillId="3" borderId="11" xfId="0" applyNumberFormat="1" applyFont="1" applyFill="1" applyBorder="1" applyAlignment="1" applyProtection="1">
      <alignment horizontal="center"/>
      <protection hidden="1"/>
    </xf>
    <xf numFmtId="39" fontId="3" fillId="3" borderId="3" xfId="0" applyNumberFormat="1" applyFont="1" applyFill="1" applyBorder="1" applyAlignment="1" applyProtection="1">
      <alignment horizontal="center"/>
      <protection hidden="1"/>
    </xf>
    <xf numFmtId="0" fontId="5" fillId="3" borderId="8" xfId="0" applyFont="1" applyFill="1" applyBorder="1" applyAlignment="1" applyProtection="1">
      <alignment vertical="top"/>
      <protection hidden="1"/>
    </xf>
    <xf numFmtId="4" fontId="7" fillId="3" borderId="8" xfId="0" applyNumberFormat="1" applyFont="1" applyFill="1" applyBorder="1" applyAlignment="1" applyProtection="1">
      <alignment horizontal="center" vertical="top"/>
      <protection hidden="1"/>
    </xf>
    <xf numFmtId="0" fontId="3" fillId="3" borderId="1" xfId="0" applyFont="1" applyFill="1" applyBorder="1" applyAlignment="1" applyProtection="1">
      <alignment horizontal="center"/>
      <protection hidden="1"/>
    </xf>
    <xf numFmtId="39" fontId="5" fillId="3" borderId="16" xfId="0" applyNumberFormat="1" applyFont="1" applyFill="1" applyBorder="1" applyProtection="1">
      <protection hidden="1"/>
    </xf>
    <xf numFmtId="39" fontId="5" fillId="23" borderId="16" xfId="0" applyNumberFormat="1" applyFont="1" applyFill="1" applyBorder="1" applyProtection="1">
      <protection hidden="1"/>
    </xf>
    <xf numFmtId="39" fontId="5" fillId="23" borderId="7" xfId="0" applyNumberFormat="1" applyFont="1" applyFill="1" applyBorder="1" applyProtection="1">
      <protection hidden="1"/>
    </xf>
    <xf numFmtId="1" fontId="3" fillId="3" borderId="11" xfId="0" applyNumberFormat="1" applyFont="1" applyFill="1" applyBorder="1" applyAlignment="1" applyProtection="1">
      <alignment horizontal="right"/>
      <protection hidden="1"/>
    </xf>
    <xf numFmtId="39" fontId="3" fillId="3" borderId="7" xfId="0" applyNumberFormat="1" applyFont="1" applyFill="1" applyBorder="1" applyAlignment="1" applyProtection="1">
      <alignment horizontal="right"/>
      <protection hidden="1"/>
    </xf>
    <xf numFmtId="0" fontId="4" fillId="3" borderId="0" xfId="0" applyFont="1" applyFill="1" applyAlignment="1" applyProtection="1">
      <alignment horizontal="left"/>
      <protection hidden="1"/>
    </xf>
    <xf numFmtId="0" fontId="4" fillId="3" borderId="0" xfId="0" applyFont="1" applyFill="1" applyAlignment="1" applyProtection="1">
      <alignment horizontal="left" indent="1"/>
      <protection hidden="1"/>
    </xf>
    <xf numFmtId="0" fontId="4" fillId="3" borderId="14" xfId="0" applyFont="1" applyFill="1" applyBorder="1" applyAlignment="1" applyProtection="1">
      <alignment vertical="top"/>
      <protection hidden="1"/>
    </xf>
    <xf numFmtId="0" fontId="4" fillId="3" borderId="14" xfId="0" applyFont="1" applyFill="1" applyBorder="1" applyProtection="1">
      <protection hidden="1"/>
    </xf>
    <xf numFmtId="39" fontId="21" fillId="3" borderId="14" xfId="0" applyNumberFormat="1" applyFont="1" applyFill="1" applyBorder="1" applyProtection="1">
      <protection hidden="1"/>
    </xf>
    <xf numFmtId="39" fontId="53" fillId="3" borderId="14" xfId="0" applyNumberFormat="1" applyFont="1" applyFill="1" applyBorder="1" applyProtection="1">
      <protection hidden="1"/>
    </xf>
    <xf numFmtId="0" fontId="13" fillId="3" borderId="31" xfId="0" applyFont="1" applyFill="1" applyBorder="1" applyProtection="1">
      <protection hidden="1"/>
    </xf>
    <xf numFmtId="176" fontId="13" fillId="27" borderId="13" xfId="0" applyNumberFormat="1" applyFont="1" applyFill="1" applyBorder="1" applyAlignment="1" applyProtection="1">
      <alignment horizontal="center"/>
      <protection hidden="1"/>
    </xf>
    <xf numFmtId="0" fontId="8" fillId="3" borderId="6" xfId="0" applyFont="1" applyFill="1" applyBorder="1" applyAlignment="1" applyProtection="1">
      <alignment horizontal="left" indent="1"/>
      <protection hidden="1"/>
    </xf>
    <xf numFmtId="0" fontId="5" fillId="2" borderId="1" xfId="0" applyFont="1" applyFill="1" applyBorder="1" applyAlignment="1" applyProtection="1">
      <alignment vertical="center"/>
      <protection hidden="1"/>
    </xf>
    <xf numFmtId="0" fontId="23" fillId="2" borderId="1" xfId="0" applyFont="1" applyFill="1" applyBorder="1" applyAlignment="1" applyProtection="1">
      <alignment horizontal="left" vertical="center" indent="2"/>
      <protection hidden="1"/>
    </xf>
    <xf numFmtId="0" fontId="23" fillId="2" borderId="0" xfId="0" applyFont="1" applyFill="1" applyAlignment="1" applyProtection="1">
      <alignment horizontal="left" vertical="center" indent="2"/>
      <protection hidden="1"/>
    </xf>
    <xf numFmtId="0" fontId="83" fillId="16" borderId="0" xfId="0" applyFont="1" applyFill="1" applyAlignment="1" applyProtection="1">
      <alignment horizontal="center" vertical="center"/>
      <protection hidden="1"/>
    </xf>
    <xf numFmtId="0" fontId="3" fillId="2" borderId="5" xfId="0" applyFont="1" applyFill="1" applyBorder="1" applyAlignment="1" applyProtection="1">
      <alignment horizontal="right" vertical="center"/>
      <protection hidden="1"/>
    </xf>
    <xf numFmtId="0" fontId="3" fillId="2" borderId="10" xfId="0" applyFont="1" applyFill="1" applyBorder="1" applyAlignment="1" applyProtection="1">
      <alignment horizontal="center"/>
      <protection hidden="1"/>
    </xf>
    <xf numFmtId="37" fontId="0" fillId="16" borderId="0" xfId="0" applyNumberFormat="1" applyFill="1" applyAlignment="1" applyProtection="1">
      <alignment horizontal="right" vertical="center"/>
      <protection locked="0"/>
    </xf>
    <xf numFmtId="0" fontId="3" fillId="2" borderId="5" xfId="0" applyFont="1" applyFill="1" applyBorder="1" applyAlignment="1" applyProtection="1">
      <alignment vertical="top"/>
      <protection hidden="1"/>
    </xf>
    <xf numFmtId="0" fontId="3" fillId="2" borderId="52" xfId="0" applyFont="1" applyFill="1" applyBorder="1" applyAlignment="1" applyProtection="1">
      <alignment horizontal="center"/>
      <protection hidden="1"/>
    </xf>
    <xf numFmtId="173" fontId="7" fillId="16" borderId="0" xfId="0" applyNumberFormat="1" applyFont="1" applyFill="1" applyAlignment="1" applyProtection="1">
      <alignment vertical="center"/>
      <protection locked="0"/>
    </xf>
    <xf numFmtId="173" fontId="7" fillId="16" borderId="25" xfId="0" applyNumberFormat="1" applyFont="1" applyFill="1" applyBorder="1" applyAlignment="1" applyProtection="1">
      <alignment vertical="center"/>
      <protection locked="0"/>
    </xf>
    <xf numFmtId="0" fontId="3" fillId="2" borderId="70" xfId="0" applyFont="1" applyFill="1" applyBorder="1" applyAlignment="1" applyProtection="1">
      <alignment horizontal="center"/>
      <protection hidden="1"/>
    </xf>
    <xf numFmtId="37" fontId="7" fillId="16" borderId="0" xfId="0" applyNumberFormat="1" applyFont="1" applyFill="1" applyAlignment="1" applyProtection="1">
      <alignment vertical="center"/>
      <protection locked="0"/>
    </xf>
    <xf numFmtId="37" fontId="7" fillId="16" borderId="0" xfId="0" applyNumberFormat="1" applyFont="1" applyFill="1" applyAlignment="1" applyProtection="1">
      <alignment horizontal="right" vertical="center"/>
      <protection locked="0"/>
    </xf>
    <xf numFmtId="0" fontId="264" fillId="16" borderId="0" xfId="0" applyFont="1" applyFill="1" applyAlignment="1">
      <alignment horizontal="center" vertical="center"/>
    </xf>
    <xf numFmtId="0" fontId="5" fillId="2" borderId="6" xfId="0" applyFont="1" applyFill="1" applyBorder="1" applyAlignment="1" applyProtection="1">
      <alignment wrapText="1"/>
      <protection hidden="1"/>
    </xf>
    <xf numFmtId="0" fontId="5" fillId="2" borderId="22" xfId="0" applyFont="1" applyFill="1" applyBorder="1" applyAlignment="1" applyProtection="1">
      <alignment wrapText="1"/>
      <protection hidden="1"/>
    </xf>
    <xf numFmtId="3" fontId="0" fillId="16" borderId="0" xfId="0" applyNumberFormat="1" applyFill="1"/>
    <xf numFmtId="37" fontId="5" fillId="16" borderId="0" xfId="0" applyNumberFormat="1" applyFont="1" applyFill="1"/>
    <xf numFmtId="37" fontId="0" fillId="16" borderId="5" xfId="0" applyNumberFormat="1" applyFill="1" applyBorder="1"/>
    <xf numFmtId="37" fontId="10" fillId="16" borderId="0" xfId="0" applyNumberFormat="1" applyFont="1" applyFill="1" applyAlignment="1" applyProtection="1">
      <alignment vertical="center"/>
      <protection locked="0"/>
    </xf>
    <xf numFmtId="0" fontId="5" fillId="16" borderId="0" xfId="0" applyFont="1" applyFill="1" applyAlignment="1">
      <alignment vertical="center" wrapText="1"/>
    </xf>
    <xf numFmtId="37" fontId="0" fillId="16" borderId="8" xfId="0" applyNumberFormat="1" applyFill="1" applyBorder="1"/>
    <xf numFmtId="173" fontId="135" fillId="16" borderId="0" xfId="0" applyNumberFormat="1" applyFont="1" applyFill="1" applyAlignment="1" applyProtection="1">
      <alignment horizontal="right" vertical="center"/>
      <protection locked="0"/>
    </xf>
    <xf numFmtId="0" fontId="0" fillId="16" borderId="3" xfId="0" applyFill="1" applyBorder="1" applyAlignment="1" applyProtection="1">
      <alignment wrapText="1"/>
      <protection hidden="1"/>
    </xf>
    <xf numFmtId="0" fontId="3" fillId="0" borderId="25" xfId="0" applyFont="1" applyBorder="1" applyAlignment="1" applyProtection="1">
      <alignment horizontal="center"/>
      <protection hidden="1"/>
    </xf>
    <xf numFmtId="0" fontId="3" fillId="16" borderId="0" xfId="0" applyFont="1" applyFill="1" applyAlignment="1" applyProtection="1">
      <alignment horizontal="center" wrapText="1"/>
      <protection hidden="1"/>
    </xf>
    <xf numFmtId="3" fontId="129" fillId="16" borderId="0" xfId="0" applyNumberFormat="1" applyFont="1" applyFill="1" applyAlignment="1" applyProtection="1">
      <alignment wrapText="1"/>
      <protection hidden="1"/>
    </xf>
    <xf numFmtId="0" fontId="129" fillId="16" borderId="0" xfId="0" applyFont="1" applyFill="1" applyAlignment="1" applyProtection="1">
      <alignment wrapText="1"/>
      <protection hidden="1"/>
    </xf>
    <xf numFmtId="0" fontId="5" fillId="16" borderId="24" xfId="0" applyFont="1" applyFill="1" applyBorder="1"/>
    <xf numFmtId="0" fontId="5" fillId="16" borderId="22" xfId="0" applyFont="1" applyFill="1" applyBorder="1"/>
    <xf numFmtId="0" fontId="129" fillId="16" borderId="0" xfId="0" applyFont="1" applyFill="1" applyAlignment="1">
      <alignment vertical="center" wrapText="1"/>
    </xf>
    <xf numFmtId="0" fontId="235" fillId="8" borderId="0" xfId="0" applyFont="1" applyFill="1" applyAlignment="1" applyProtection="1">
      <alignment horizontal="center"/>
      <protection hidden="1"/>
    </xf>
    <xf numFmtId="0" fontId="18" fillId="17" borderId="13" xfId="0" applyFont="1" applyFill="1" applyBorder="1" applyAlignment="1" applyProtection="1">
      <alignment horizontal="center" vertical="center"/>
      <protection locked="0" hidden="1"/>
    </xf>
    <xf numFmtId="0" fontId="3" fillId="2" borderId="29" xfId="0" applyFont="1" applyFill="1" applyBorder="1" applyAlignment="1" applyProtection="1">
      <alignment horizontal="center"/>
      <protection hidden="1"/>
    </xf>
    <xf numFmtId="0" fontId="0" fillId="2" borderId="16" xfId="0" applyFill="1" applyBorder="1" applyAlignment="1" applyProtection="1">
      <alignment vertical="center"/>
      <protection hidden="1"/>
    </xf>
    <xf numFmtId="0" fontId="264" fillId="8" borderId="0" xfId="0" applyFont="1" applyFill="1" applyAlignment="1" applyProtection="1">
      <alignment horizontal="center" vertical="center"/>
      <protection hidden="1"/>
    </xf>
    <xf numFmtId="0" fontId="5" fillId="16" borderId="24" xfId="0" applyFont="1" applyFill="1" applyBorder="1" applyAlignment="1">
      <alignment vertical="center"/>
    </xf>
    <xf numFmtId="0" fontId="0" fillId="16" borderId="8" xfId="0" applyFill="1" applyBorder="1" applyAlignment="1">
      <alignment vertical="center"/>
    </xf>
    <xf numFmtId="0" fontId="0" fillId="16" borderId="20" xfId="0" applyFill="1" applyBorder="1" applyAlignment="1">
      <alignment vertical="center"/>
    </xf>
    <xf numFmtId="37" fontId="5" fillId="16" borderId="0" xfId="0" applyNumberFormat="1" applyFont="1" applyFill="1" applyAlignment="1">
      <alignment horizontal="right"/>
    </xf>
    <xf numFmtId="37" fontId="5" fillId="0" borderId="111" xfId="0" applyNumberFormat="1" applyFont="1" applyBorder="1"/>
    <xf numFmtId="37" fontId="5" fillId="16" borderId="0" xfId="0" applyNumberFormat="1" applyFont="1" applyFill="1" applyAlignment="1" applyProtection="1">
      <alignment vertical="top"/>
      <protection hidden="1"/>
    </xf>
    <xf numFmtId="0" fontId="278" fillId="24" borderId="0" xfId="0" applyFont="1" applyFill="1" applyProtection="1">
      <protection hidden="1"/>
    </xf>
    <xf numFmtId="0" fontId="134" fillId="16" borderId="0" xfId="0" applyFont="1" applyFill="1" applyAlignment="1">
      <alignment vertical="center"/>
    </xf>
    <xf numFmtId="0" fontId="259" fillId="24" borderId="0" xfId="0" applyFont="1" applyFill="1" applyAlignment="1" applyProtection="1">
      <alignment vertical="center"/>
      <protection hidden="1"/>
    </xf>
    <xf numFmtId="0" fontId="0" fillId="16" borderId="3" xfId="0" applyFill="1" applyBorder="1" applyAlignment="1" applyProtection="1">
      <alignment vertical="center"/>
      <protection hidden="1"/>
    </xf>
    <xf numFmtId="0" fontId="0" fillId="16" borderId="25" xfId="0" applyFill="1" applyBorder="1" applyAlignment="1" applyProtection="1">
      <alignment vertical="center"/>
      <protection hidden="1"/>
    </xf>
    <xf numFmtId="0" fontId="18" fillId="16" borderId="0" xfId="0" applyFont="1" applyFill="1" applyAlignment="1" applyProtection="1">
      <alignment horizontal="right" vertical="top"/>
      <protection hidden="1"/>
    </xf>
    <xf numFmtId="0" fontId="0" fillId="16" borderId="3" xfId="0" applyFill="1" applyBorder="1" applyAlignment="1" applyProtection="1">
      <alignment vertical="top"/>
      <protection hidden="1"/>
    </xf>
    <xf numFmtId="14" fontId="3" fillId="16" borderId="6" xfId="0" quotePrefix="1" applyNumberFormat="1" applyFont="1" applyFill="1" applyBorder="1" applyAlignment="1" applyProtection="1">
      <alignment horizontal="right" vertical="top"/>
      <protection hidden="1"/>
    </xf>
    <xf numFmtId="37" fontId="0" fillId="16" borderId="0" xfId="0" applyNumberFormat="1" applyFill="1" applyAlignment="1" applyProtection="1">
      <alignment vertical="top"/>
      <protection hidden="1"/>
    </xf>
    <xf numFmtId="37" fontId="3" fillId="16" borderId="0" xfId="0" quotePrefix="1" applyNumberFormat="1" applyFont="1" applyFill="1" applyAlignment="1" applyProtection="1">
      <alignment horizontal="right" vertical="top"/>
      <protection hidden="1"/>
    </xf>
    <xf numFmtId="37" fontId="0" fillId="17" borderId="1" xfId="0" applyNumberFormat="1" applyFill="1" applyBorder="1" applyAlignment="1" applyProtection="1">
      <alignment vertical="top"/>
      <protection locked="0"/>
    </xf>
    <xf numFmtId="39" fontId="131" fillId="16" borderId="0" xfId="0" applyNumberFormat="1" applyFont="1" applyFill="1" applyAlignment="1" applyProtection="1">
      <alignment vertical="top"/>
      <protection hidden="1"/>
    </xf>
    <xf numFmtId="37" fontId="0" fillId="16" borderId="21" xfId="0" applyNumberFormat="1" applyFill="1" applyBorder="1" applyAlignment="1" applyProtection="1">
      <alignment vertical="top"/>
      <protection hidden="1"/>
    </xf>
    <xf numFmtId="0" fontId="141" fillId="16" borderId="0" xfId="0" applyFont="1" applyFill="1" applyAlignment="1" applyProtection="1">
      <alignment vertical="top"/>
      <protection hidden="1"/>
    </xf>
    <xf numFmtId="0" fontId="0" fillId="16" borderId="25" xfId="0" applyFill="1" applyBorder="1" applyAlignment="1" applyProtection="1">
      <alignment vertical="top"/>
      <protection hidden="1"/>
    </xf>
    <xf numFmtId="14" fontId="0" fillId="16" borderId="22" xfId="0" applyNumberFormat="1" applyFill="1" applyBorder="1" applyAlignment="1" applyProtection="1">
      <alignment vertical="top"/>
      <protection hidden="1"/>
    </xf>
    <xf numFmtId="37" fontId="0" fillId="16" borderId="5" xfId="0" applyNumberFormat="1" applyFill="1" applyBorder="1" applyAlignment="1" applyProtection="1">
      <alignment vertical="top"/>
      <protection hidden="1"/>
    </xf>
    <xf numFmtId="37" fontId="0" fillId="16" borderId="23" xfId="0" applyNumberFormat="1" applyFill="1" applyBorder="1" applyAlignment="1" applyProtection="1">
      <alignment vertical="top"/>
      <protection hidden="1"/>
    </xf>
    <xf numFmtId="0" fontId="16" fillId="0" borderId="0" xfId="0" applyFont="1" applyAlignment="1" applyProtection="1">
      <alignment vertical="top"/>
      <protection hidden="1"/>
    </xf>
    <xf numFmtId="3" fontId="128" fillId="16" borderId="0" xfId="0" applyNumberFormat="1" applyFont="1" applyFill="1" applyAlignment="1" applyProtection="1">
      <alignment wrapText="1"/>
      <protection hidden="1"/>
    </xf>
    <xf numFmtId="0" fontId="171" fillId="16" borderId="0" xfId="0" applyFont="1" applyFill="1" applyProtection="1">
      <protection hidden="1"/>
    </xf>
    <xf numFmtId="3" fontId="171" fillId="16" borderId="0" xfId="0" applyNumberFormat="1" applyFont="1" applyFill="1" applyAlignment="1" applyProtection="1">
      <alignment wrapText="1"/>
      <protection hidden="1"/>
    </xf>
    <xf numFmtId="0" fontId="84" fillId="9" borderId="0" xfId="0" applyFont="1" applyFill="1" applyAlignment="1" applyProtection="1">
      <alignment horizontal="center" vertical="center"/>
      <protection hidden="1"/>
    </xf>
    <xf numFmtId="0" fontId="0" fillId="7" borderId="3" xfId="0" applyFill="1" applyBorder="1" applyProtection="1">
      <protection hidden="1"/>
    </xf>
    <xf numFmtId="0" fontId="0" fillId="15" borderId="7" xfId="0" applyFill="1" applyBorder="1" applyAlignment="1" applyProtection="1">
      <alignment horizontal="center"/>
      <protection hidden="1"/>
    </xf>
    <xf numFmtId="0" fontId="165" fillId="3" borderId="29" xfId="0" applyFont="1" applyFill="1" applyBorder="1" applyAlignment="1" applyProtection="1">
      <alignment horizontal="center"/>
      <protection hidden="1"/>
    </xf>
    <xf numFmtId="0" fontId="18" fillId="29" borderId="1" xfId="0" quotePrefix="1" applyFont="1" applyFill="1" applyBorder="1" applyProtection="1">
      <protection hidden="1"/>
    </xf>
    <xf numFmtId="0" fontId="55" fillId="9" borderId="26" xfId="0" applyFont="1" applyFill="1" applyBorder="1" applyAlignment="1" applyProtection="1">
      <alignment horizontal="center"/>
      <protection hidden="1"/>
    </xf>
    <xf numFmtId="0" fontId="0" fillId="0" borderId="25" xfId="0" applyBorder="1"/>
    <xf numFmtId="0" fontId="143" fillId="32" borderId="9" xfId="0" applyFont="1" applyFill="1" applyBorder="1" applyAlignment="1" applyProtection="1">
      <alignment vertical="center"/>
      <protection hidden="1"/>
    </xf>
    <xf numFmtId="0" fontId="143" fillId="32" borderId="0" xfId="0" applyFont="1" applyFill="1" applyAlignment="1" applyProtection="1">
      <alignment vertical="center"/>
      <protection hidden="1"/>
    </xf>
    <xf numFmtId="0" fontId="12" fillId="16" borderId="28" xfId="0" applyFont="1" applyFill="1" applyBorder="1" applyAlignment="1" applyProtection="1">
      <alignment horizontal="left" vertical="center" indent="1"/>
      <protection hidden="1"/>
    </xf>
    <xf numFmtId="0" fontId="7" fillId="16" borderId="28" xfId="0" applyFont="1" applyFill="1" applyBorder="1" applyAlignment="1" applyProtection="1">
      <alignment horizontal="center" vertical="center"/>
      <protection hidden="1"/>
    </xf>
    <xf numFmtId="0" fontId="40" fillId="3" borderId="0" xfId="0" applyFont="1" applyFill="1" applyAlignment="1" applyProtection="1">
      <alignment horizontal="left"/>
      <protection hidden="1"/>
    </xf>
    <xf numFmtId="0" fontId="23" fillId="16" borderId="1" xfId="0" applyFont="1" applyFill="1" applyBorder="1" applyAlignment="1" applyProtection="1">
      <alignment vertical="center"/>
      <protection hidden="1"/>
    </xf>
    <xf numFmtId="0" fontId="23" fillId="16" borderId="26" xfId="0" applyFont="1" applyFill="1" applyBorder="1" applyAlignment="1" applyProtection="1">
      <alignment vertical="center"/>
      <protection hidden="1"/>
    </xf>
    <xf numFmtId="3" fontId="18" fillId="16" borderId="0" xfId="0" applyNumberFormat="1" applyFont="1" applyFill="1" applyProtection="1">
      <protection hidden="1"/>
    </xf>
    <xf numFmtId="0" fontId="21" fillId="3" borderId="0" xfId="0" applyFont="1" applyFill="1" applyAlignment="1" applyProtection="1">
      <alignment horizontal="left" vertical="top"/>
      <protection hidden="1"/>
    </xf>
    <xf numFmtId="0" fontId="84" fillId="9" borderId="26" xfId="0" applyFont="1" applyFill="1" applyBorder="1" applyAlignment="1" applyProtection="1">
      <alignment horizontal="center"/>
      <protection hidden="1"/>
    </xf>
    <xf numFmtId="0" fontId="84" fillId="9" borderId="26" xfId="0" applyFont="1" applyFill="1" applyBorder="1" applyAlignment="1" applyProtection="1">
      <alignment horizontal="center" vertical="center"/>
      <protection hidden="1"/>
    </xf>
    <xf numFmtId="4" fontId="10" fillId="3" borderId="8" xfId="0" applyNumberFormat="1" applyFont="1" applyFill="1" applyBorder="1" applyProtection="1">
      <protection hidden="1"/>
    </xf>
    <xf numFmtId="39" fontId="279" fillId="40" borderId="214" xfId="6" applyNumberFormat="1" applyAlignment="1" applyProtection="1">
      <alignment horizontal="center"/>
      <protection hidden="1"/>
    </xf>
    <xf numFmtId="0" fontId="3" fillId="3" borderId="11" xfId="0" applyFont="1" applyFill="1" applyBorder="1" applyAlignment="1" applyProtection="1">
      <alignment horizontal="center" vertical="center"/>
      <protection hidden="1"/>
    </xf>
    <xf numFmtId="0" fontId="121" fillId="5" borderId="0" xfId="0" applyFont="1" applyFill="1" applyAlignment="1" applyProtection="1">
      <alignment horizontal="center" vertical="center"/>
      <protection hidden="1"/>
    </xf>
    <xf numFmtId="0" fontId="0" fillId="0" borderId="0" xfId="0" applyAlignment="1" applyProtection="1">
      <alignment horizontal="center" vertical="center"/>
      <protection hidden="1"/>
    </xf>
    <xf numFmtId="0" fontId="8" fillId="2" borderId="0" xfId="0" applyFont="1" applyFill="1" applyAlignment="1" applyProtection="1">
      <alignment horizontal="left" vertical="center"/>
      <protection hidden="1"/>
    </xf>
    <xf numFmtId="0" fontId="55" fillId="9" borderId="9" xfId="0" applyFont="1" applyFill="1" applyBorder="1" applyAlignment="1" applyProtection="1">
      <alignment horizontal="center" vertical="center"/>
      <protection hidden="1"/>
    </xf>
    <xf numFmtId="1" fontId="13" fillId="10" borderId="0" xfId="0" applyNumberFormat="1" applyFont="1" applyFill="1" applyProtection="1">
      <protection hidden="1"/>
    </xf>
    <xf numFmtId="37" fontId="3" fillId="16" borderId="9" xfId="0" applyNumberFormat="1" applyFont="1" applyFill="1" applyBorder="1" applyProtection="1">
      <protection hidden="1"/>
    </xf>
    <xf numFmtId="37" fontId="18" fillId="28" borderId="70" xfId="0" quotePrefix="1" applyNumberFormat="1" applyFont="1" applyFill="1" applyBorder="1" applyAlignment="1" applyProtection="1">
      <alignment horizontal="center"/>
      <protection hidden="1"/>
    </xf>
    <xf numFmtId="37" fontId="18" fillId="28" borderId="5" xfId="0" quotePrefix="1" applyNumberFormat="1" applyFont="1" applyFill="1" applyBorder="1" applyAlignment="1" applyProtection="1">
      <alignment horizontal="center"/>
      <protection hidden="1"/>
    </xf>
    <xf numFmtId="37" fontId="0" fillId="17" borderId="2" xfId="0" applyNumberFormat="1" applyFill="1" applyBorder="1" applyAlignment="1" applyProtection="1">
      <alignment horizontal="right"/>
      <protection locked="0"/>
    </xf>
    <xf numFmtId="0" fontId="13" fillId="0" borderId="0" xfId="0" applyFont="1"/>
    <xf numFmtId="37" fontId="9" fillId="27" borderId="10" xfId="0" applyNumberFormat="1" applyFont="1" applyFill="1" applyBorder="1" applyAlignment="1" applyProtection="1">
      <alignment horizontal="right"/>
      <protection hidden="1"/>
    </xf>
    <xf numFmtId="0" fontId="10" fillId="2" borderId="0" xfId="0" applyFont="1" applyFill="1" applyAlignment="1" applyProtection="1">
      <alignment vertical="center" wrapText="1"/>
      <protection hidden="1"/>
    </xf>
    <xf numFmtId="0" fontId="3" fillId="3" borderId="8" xfId="0" applyFont="1" applyFill="1" applyBorder="1" applyAlignment="1" applyProtection="1">
      <alignment horizontal="center"/>
      <protection hidden="1"/>
    </xf>
    <xf numFmtId="39" fontId="3" fillId="3" borderId="8" xfId="0" applyNumberFormat="1" applyFont="1" applyFill="1" applyBorder="1" applyProtection="1">
      <protection hidden="1"/>
    </xf>
    <xf numFmtId="39" fontId="8" fillId="3" borderId="8" xfId="0" applyNumberFormat="1" applyFont="1" applyFill="1" applyBorder="1" applyProtection="1">
      <protection hidden="1"/>
    </xf>
    <xf numFmtId="39" fontId="11" fillId="3" borderId="8" xfId="0" applyNumberFormat="1" applyFont="1" applyFill="1" applyBorder="1" applyProtection="1">
      <protection hidden="1"/>
    </xf>
    <xf numFmtId="39" fontId="11" fillId="3" borderId="8" xfId="0" applyNumberFormat="1" applyFont="1" applyFill="1" applyBorder="1" applyAlignment="1" applyProtection="1">
      <alignment horizontal="center"/>
      <protection hidden="1"/>
    </xf>
    <xf numFmtId="39" fontId="8" fillId="3" borderId="8" xfId="0" applyNumberFormat="1" applyFont="1" applyFill="1" applyBorder="1" applyAlignment="1" applyProtection="1">
      <alignment horizontal="right"/>
      <protection hidden="1"/>
    </xf>
    <xf numFmtId="0" fontId="3" fillId="3" borderId="48" xfId="0" applyFont="1" applyFill="1" applyBorder="1" applyAlignment="1" applyProtection="1">
      <alignment horizontal="center"/>
      <protection hidden="1"/>
    </xf>
    <xf numFmtId="0" fontId="3" fillId="16" borderId="101" xfId="0" applyFont="1" applyFill="1" applyBorder="1" applyAlignment="1">
      <alignment wrapText="1"/>
    </xf>
    <xf numFmtId="0" fontId="3" fillId="16" borderId="24" xfId="0" applyFont="1" applyFill="1" applyBorder="1" applyAlignment="1" applyProtection="1">
      <alignment horizontal="left" indent="1"/>
      <protection hidden="1"/>
    </xf>
    <xf numFmtId="0" fontId="3" fillId="16" borderId="31" xfId="0" applyFont="1" applyFill="1" applyBorder="1" applyAlignment="1" applyProtection="1">
      <alignment horizontal="left" indent="1"/>
      <protection hidden="1"/>
    </xf>
    <xf numFmtId="0" fontId="0" fillId="16" borderId="0" xfId="0" applyFill="1" applyAlignment="1" applyProtection="1">
      <alignment horizontal="right" vertical="center"/>
      <protection hidden="1"/>
    </xf>
    <xf numFmtId="0" fontId="5" fillId="16" borderId="0" xfId="0" applyFont="1" applyFill="1" applyAlignment="1" applyProtection="1">
      <alignment horizontal="right" vertical="center"/>
      <protection hidden="1"/>
    </xf>
    <xf numFmtId="0" fontId="18" fillId="16" borderId="26" xfId="0" applyFont="1" applyFill="1" applyBorder="1" applyAlignment="1" applyProtection="1">
      <alignment vertical="center"/>
      <protection hidden="1"/>
    </xf>
    <xf numFmtId="0" fontId="0" fillId="16" borderId="26" xfId="0" applyFill="1" applyBorder="1" applyAlignment="1" applyProtection="1">
      <alignment vertical="center"/>
      <protection hidden="1"/>
    </xf>
    <xf numFmtId="0" fontId="129" fillId="2" borderId="8" xfId="0" applyFont="1" applyFill="1" applyBorder="1" applyAlignment="1" applyProtection="1">
      <alignment vertical="top"/>
      <protection hidden="1"/>
    </xf>
    <xf numFmtId="3" fontId="8" fillId="2" borderId="0" xfId="0" applyNumberFormat="1" applyFont="1" applyFill="1" applyAlignment="1" applyProtection="1">
      <alignment horizontal="center"/>
      <protection locked="0"/>
    </xf>
    <xf numFmtId="1" fontId="210" fillId="10" borderId="0" xfId="0" applyNumberFormat="1" applyFont="1" applyFill="1" applyAlignment="1" applyProtection="1">
      <alignment vertical="center" wrapText="1"/>
      <protection hidden="1"/>
    </xf>
    <xf numFmtId="0" fontId="5" fillId="16" borderId="0" xfId="0" quotePrefix="1" applyFont="1" applyFill="1" applyAlignment="1">
      <alignment horizontal="center"/>
    </xf>
    <xf numFmtId="166" fontId="0" fillId="16" borderId="0" xfId="0" applyNumberFormat="1" applyFill="1" applyAlignment="1">
      <alignment horizontal="center"/>
    </xf>
    <xf numFmtId="166" fontId="5" fillId="16" borderId="0" xfId="0" applyNumberFormat="1" applyFont="1" applyFill="1" applyAlignment="1">
      <alignment horizontal="center"/>
    </xf>
    <xf numFmtId="0" fontId="7" fillId="16" borderId="0" xfId="0" applyFont="1" applyFill="1" applyAlignment="1">
      <alignment wrapText="1"/>
    </xf>
    <xf numFmtId="0" fontId="10" fillId="0" borderId="110" xfId="0" applyFont="1" applyBorder="1" applyAlignment="1">
      <alignment horizontal="center"/>
    </xf>
    <xf numFmtId="0" fontId="10" fillId="0" borderId="44" xfId="0" applyFont="1" applyBorder="1" applyAlignment="1">
      <alignment horizontal="center"/>
    </xf>
    <xf numFmtId="0" fontId="10" fillId="0" borderId="67" xfId="0" applyFont="1" applyBorder="1" applyAlignment="1">
      <alignment horizontal="center"/>
    </xf>
    <xf numFmtId="37" fontId="5" fillId="0" borderId="51" xfId="0" applyNumberFormat="1" applyFont="1" applyBorder="1"/>
    <xf numFmtId="37" fontId="5" fillId="0" borderId="52" xfId="0" applyNumberFormat="1" applyFont="1" applyBorder="1"/>
    <xf numFmtId="37" fontId="5" fillId="16" borderId="110" xfId="0" applyNumberFormat="1" applyFont="1" applyFill="1" applyBorder="1" applyAlignment="1">
      <alignment horizontal="right"/>
    </xf>
    <xf numFmtId="37" fontId="5" fillId="16" borderId="44" xfId="0" applyNumberFormat="1" applyFont="1" applyFill="1" applyBorder="1" applyAlignment="1">
      <alignment horizontal="right"/>
    </xf>
    <xf numFmtId="37" fontId="5" fillId="16" borderId="67" xfId="0" applyNumberFormat="1" applyFont="1" applyFill="1" applyBorder="1" applyAlignment="1">
      <alignment horizontal="right"/>
    </xf>
    <xf numFmtId="37" fontId="5" fillId="16" borderId="47" xfId="0" applyNumberFormat="1" applyFont="1" applyFill="1" applyBorder="1" applyAlignment="1">
      <alignment horizontal="right"/>
    </xf>
    <xf numFmtId="37" fontId="5" fillId="16" borderId="13" xfId="0" applyNumberFormat="1" applyFont="1" applyFill="1" applyBorder="1" applyAlignment="1">
      <alignment horizontal="right"/>
    </xf>
    <xf numFmtId="37" fontId="5" fillId="16" borderId="59" xfId="0" applyNumberFormat="1" applyFont="1" applyFill="1" applyBorder="1" applyAlignment="1">
      <alignment horizontal="right"/>
    </xf>
    <xf numFmtId="0" fontId="0" fillId="16" borderId="51" xfId="0" applyFill="1" applyBorder="1"/>
    <xf numFmtId="0" fontId="0" fillId="16" borderId="52" xfId="0" applyFill="1" applyBorder="1"/>
    <xf numFmtId="0" fontId="0" fillId="16" borderId="111" xfId="0" applyFill="1" applyBorder="1"/>
    <xf numFmtId="37" fontId="5" fillId="16" borderId="0" xfId="0" applyNumberFormat="1" applyFont="1" applyFill="1" applyAlignment="1">
      <alignment horizontal="center"/>
    </xf>
    <xf numFmtId="37" fontId="5" fillId="16" borderId="51" xfId="0" applyNumberFormat="1" applyFont="1" applyFill="1" applyBorder="1"/>
    <xf numFmtId="37" fontId="5" fillId="16" borderId="111" xfId="0" applyNumberFormat="1" applyFont="1" applyFill="1" applyBorder="1"/>
    <xf numFmtId="37" fontId="5" fillId="16" borderId="21" xfId="0" applyNumberFormat="1" applyFont="1" applyFill="1" applyBorder="1"/>
    <xf numFmtId="0" fontId="0" fillId="5" borderId="0" xfId="0" applyFill="1" applyAlignment="1">
      <alignment horizontal="center" vertical="center"/>
    </xf>
    <xf numFmtId="0" fontId="0" fillId="16" borderId="9" xfId="0" applyFill="1" applyBorder="1" applyAlignment="1">
      <alignment horizontal="center"/>
    </xf>
    <xf numFmtId="0" fontId="5" fillId="16" borderId="9" xfId="0" applyFont="1" applyFill="1" applyBorder="1" applyAlignment="1">
      <alignment horizontal="center"/>
    </xf>
    <xf numFmtId="0" fontId="5" fillId="16" borderId="15" xfId="0" applyFont="1" applyFill="1" applyBorder="1" applyAlignment="1">
      <alignment horizontal="center"/>
    </xf>
    <xf numFmtId="0" fontId="3" fillId="16" borderId="3" xfId="0" applyFont="1" applyFill="1" applyBorder="1" applyAlignment="1">
      <alignment horizontal="center"/>
    </xf>
    <xf numFmtId="0" fontId="5" fillId="16" borderId="3" xfId="0" quotePrefix="1" applyFont="1" applyFill="1" applyBorder="1" applyAlignment="1">
      <alignment horizontal="center"/>
    </xf>
    <xf numFmtId="37" fontId="5" fillId="16" borderId="25" xfId="0" applyNumberFormat="1" applyFont="1" applyFill="1" applyBorder="1" applyAlignment="1">
      <alignment horizontal="right"/>
    </xf>
    <xf numFmtId="0" fontId="64" fillId="41" borderId="0" xfId="0" applyFont="1" applyFill="1" applyAlignment="1" applyProtection="1">
      <alignment horizontal="center"/>
      <protection hidden="1"/>
    </xf>
    <xf numFmtId="37" fontId="7" fillId="16" borderId="0" xfId="0" applyNumberFormat="1" applyFont="1" applyFill="1" applyAlignment="1" applyProtection="1">
      <alignment horizontal="center" vertical="center"/>
      <protection locked="0"/>
    </xf>
    <xf numFmtId="0" fontId="3" fillId="2" borderId="0" xfId="0" applyFont="1" applyFill="1" applyAlignment="1" applyProtection="1">
      <alignment horizontal="center" vertical="center"/>
      <protection hidden="1"/>
    </xf>
    <xf numFmtId="37" fontId="10" fillId="16" borderId="49" xfId="0" applyNumberFormat="1" applyFont="1" applyFill="1" applyBorder="1" applyAlignment="1" applyProtection="1">
      <alignment vertical="center"/>
      <protection locked="0"/>
    </xf>
    <xf numFmtId="37" fontId="7" fillId="16" borderId="54" xfId="0" applyNumberFormat="1" applyFont="1" applyFill="1" applyBorder="1" applyAlignment="1" applyProtection="1">
      <alignment vertical="center"/>
      <protection locked="0"/>
    </xf>
    <xf numFmtId="37" fontId="145" fillId="3" borderId="0" xfId="0" applyNumberFormat="1" applyFont="1" applyFill="1" applyAlignment="1" applyProtection="1">
      <alignment horizontal="right"/>
      <protection hidden="1"/>
    </xf>
    <xf numFmtId="37" fontId="131" fillId="0" borderId="0" xfId="0" applyNumberFormat="1" applyFont="1" applyAlignment="1" applyProtection="1">
      <alignment horizontal="center"/>
      <protection hidden="1"/>
    </xf>
    <xf numFmtId="1" fontId="3" fillId="8" borderId="5" xfId="0" applyNumberFormat="1" applyFont="1" applyFill="1" applyBorder="1" applyProtection="1">
      <protection hidden="1"/>
    </xf>
    <xf numFmtId="4" fontId="3" fillId="2" borderId="0" xfId="0" applyNumberFormat="1" applyFont="1" applyFill="1" applyProtection="1">
      <protection hidden="1"/>
    </xf>
    <xf numFmtId="37" fontId="142" fillId="16" borderId="3" xfId="0" applyNumberFormat="1" applyFont="1" applyFill="1" applyBorder="1" applyProtection="1">
      <protection locked="0"/>
    </xf>
    <xf numFmtId="0" fontId="12" fillId="16" borderId="0" xfId="0" applyFont="1" applyFill="1" applyAlignment="1">
      <alignment horizontal="left" indent="1"/>
    </xf>
    <xf numFmtId="0" fontId="23" fillId="16" borderId="0" xfId="0" applyFont="1" applyFill="1" applyAlignment="1">
      <alignment horizontal="left" vertical="center"/>
    </xf>
    <xf numFmtId="0" fontId="23" fillId="16" borderId="0" xfId="0" quotePrefix="1" applyFont="1" applyFill="1" applyAlignment="1">
      <alignment horizontal="left" vertical="center"/>
    </xf>
    <xf numFmtId="0" fontId="0" fillId="16" borderId="0" xfId="0" applyFill="1" applyAlignment="1">
      <alignment horizontal="left" indent="1"/>
    </xf>
    <xf numFmtId="0" fontId="29" fillId="16" borderId="0" xfId="0" applyFont="1" applyFill="1" applyAlignment="1">
      <alignment horizontal="left" indent="1"/>
    </xf>
    <xf numFmtId="0" fontId="5" fillId="16" borderId="0" xfId="0" applyFont="1" applyFill="1" applyAlignment="1">
      <alignment horizontal="left" indent="1"/>
    </xf>
    <xf numFmtId="0" fontId="3" fillId="16" borderId="0" xfId="0" applyFont="1" applyFill="1" applyAlignment="1">
      <alignment horizontal="left" indent="1"/>
    </xf>
    <xf numFmtId="0" fontId="3" fillId="0" borderId="0" xfId="0" applyFont="1" applyAlignment="1">
      <alignment horizontal="left" indent="1"/>
    </xf>
    <xf numFmtId="1" fontId="13" fillId="37" borderId="0" xfId="0" applyNumberFormat="1" applyFont="1" applyFill="1" applyAlignment="1" applyProtection="1">
      <alignment horizontal="right" vertical="center"/>
      <protection hidden="1"/>
    </xf>
    <xf numFmtId="0" fontId="155" fillId="16" borderId="0" xfId="0" applyFont="1" applyFill="1" applyProtection="1">
      <protection hidden="1"/>
    </xf>
    <xf numFmtId="2" fontId="155" fillId="16" borderId="0" xfId="0" applyNumberFormat="1" applyFont="1" applyFill="1" applyProtection="1">
      <protection hidden="1"/>
    </xf>
    <xf numFmtId="39" fontId="53" fillId="3" borderId="1" xfId="0" applyNumberFormat="1" applyFont="1" applyFill="1" applyBorder="1" applyProtection="1">
      <protection hidden="1"/>
    </xf>
    <xf numFmtId="0" fontId="143" fillId="3" borderId="3" xfId="0" applyFont="1" applyFill="1" applyBorder="1" applyAlignment="1" applyProtection="1">
      <alignment horizontal="right" vertical="center"/>
      <protection hidden="1"/>
    </xf>
    <xf numFmtId="0" fontId="8" fillId="3" borderId="6" xfId="0" applyFont="1" applyFill="1" applyBorder="1" applyAlignment="1" applyProtection="1">
      <alignment horizontal="centerContinuous" vertical="top"/>
      <protection hidden="1"/>
    </xf>
    <xf numFmtId="0" fontId="8" fillId="3" borderId="0" xfId="0" applyFont="1" applyFill="1" applyAlignment="1" applyProtection="1">
      <alignment horizontal="centerContinuous" vertical="top"/>
      <protection hidden="1"/>
    </xf>
    <xf numFmtId="0" fontId="7" fillId="3" borderId="0" xfId="0" applyFont="1" applyFill="1" applyAlignment="1" applyProtection="1">
      <alignment horizontal="centerContinuous"/>
      <protection hidden="1"/>
    </xf>
    <xf numFmtId="4" fontId="7" fillId="3" borderId="0" xfId="0" applyNumberFormat="1" applyFont="1" applyFill="1" applyAlignment="1" applyProtection="1">
      <alignment horizontal="centerContinuous"/>
      <protection hidden="1"/>
    </xf>
    <xf numFmtId="0" fontId="8" fillId="3" borderId="0" xfId="0" applyFont="1" applyFill="1" applyAlignment="1" applyProtection="1">
      <alignment horizontal="centerContinuous"/>
      <protection hidden="1"/>
    </xf>
    <xf numFmtId="4" fontId="7" fillId="3" borderId="1" xfId="0" applyNumberFormat="1" applyFont="1" applyFill="1" applyBorder="1" applyAlignment="1" applyProtection="1">
      <alignment horizontal="right" vertical="center"/>
      <protection hidden="1"/>
    </xf>
    <xf numFmtId="0" fontId="50" fillId="16" borderId="6" xfId="0" applyFont="1" applyFill="1" applyBorder="1" applyAlignment="1" applyProtection="1">
      <alignment horizontal="centerContinuous" vertical="top"/>
      <protection hidden="1"/>
    </xf>
    <xf numFmtId="0" fontId="128" fillId="2" borderId="0" xfId="0" applyFont="1" applyFill="1" applyAlignment="1">
      <alignment horizontal="center"/>
    </xf>
    <xf numFmtId="0" fontId="139" fillId="2" borderId="0" xfId="0" applyFont="1" applyFill="1" applyAlignment="1">
      <alignment horizontal="left"/>
    </xf>
    <xf numFmtId="0" fontId="23" fillId="3" borderId="6" xfId="0" applyFont="1" applyFill="1" applyBorder="1" applyProtection="1">
      <protection hidden="1"/>
    </xf>
    <xf numFmtId="0" fontId="23" fillId="3" borderId="0" xfId="0" applyFont="1" applyFill="1" applyProtection="1">
      <protection hidden="1"/>
    </xf>
    <xf numFmtId="0" fontId="23" fillId="3" borderId="21" xfId="0" applyFont="1" applyFill="1" applyBorder="1" applyProtection="1">
      <protection hidden="1"/>
    </xf>
    <xf numFmtId="37" fontId="6" fillId="2" borderId="1" xfId="0" applyNumberFormat="1" applyFont="1" applyFill="1" applyBorder="1" applyProtection="1">
      <protection locked="0"/>
    </xf>
    <xf numFmtId="37" fontId="8" fillId="29" borderId="1" xfId="0" quotePrefix="1" applyNumberFormat="1" applyFont="1" applyFill="1" applyBorder="1" applyAlignment="1" applyProtection="1">
      <alignment horizontal="center"/>
      <protection hidden="1"/>
    </xf>
    <xf numFmtId="0" fontId="171" fillId="0" borderId="0" xfId="0" applyFont="1"/>
    <xf numFmtId="0" fontId="46" fillId="2" borderId="24" xfId="0" applyFont="1" applyFill="1" applyBorder="1" applyProtection="1">
      <protection hidden="1"/>
    </xf>
    <xf numFmtId="0" fontId="9" fillId="2" borderId="6" xfId="0" applyFont="1" applyFill="1" applyBorder="1" applyAlignment="1" applyProtection="1">
      <alignment horizontal="right"/>
      <protection hidden="1"/>
    </xf>
    <xf numFmtId="0" fontId="9" fillId="2" borderId="22" xfId="0" applyFont="1" applyFill="1" applyBorder="1" applyAlignment="1" applyProtection="1">
      <alignment horizontal="right"/>
      <protection hidden="1"/>
    </xf>
    <xf numFmtId="0" fontId="18" fillId="2" borderId="6" xfId="0" applyFont="1" applyFill="1" applyBorder="1" applyAlignment="1" applyProtection="1">
      <alignment horizontal="right"/>
      <protection hidden="1"/>
    </xf>
    <xf numFmtId="0" fontId="53" fillId="2" borderId="0" xfId="0" applyFont="1" applyFill="1" applyAlignment="1" applyProtection="1">
      <alignment horizontal="right"/>
      <protection hidden="1"/>
    </xf>
    <xf numFmtId="0" fontId="18" fillId="2" borderId="0" xfId="0" applyFont="1" applyFill="1" applyAlignment="1" applyProtection="1">
      <alignment horizontal="right"/>
      <protection hidden="1"/>
    </xf>
    <xf numFmtId="0" fontId="9" fillId="2" borderId="0" xfId="0" applyFont="1" applyFill="1" applyAlignment="1" applyProtection="1">
      <alignment horizontal="right"/>
      <protection hidden="1"/>
    </xf>
    <xf numFmtId="0" fontId="0" fillId="25" borderId="0" xfId="0" applyFill="1" applyProtection="1">
      <protection locked="0"/>
    </xf>
    <xf numFmtId="0" fontId="9" fillId="2" borderId="5" xfId="0" applyFont="1" applyFill="1" applyBorder="1" applyAlignment="1" applyProtection="1">
      <alignment horizontal="right"/>
      <protection hidden="1"/>
    </xf>
    <xf numFmtId="0" fontId="6" fillId="2" borderId="8" xfId="0" applyFont="1" applyFill="1" applyBorder="1" applyProtection="1">
      <protection hidden="1"/>
    </xf>
    <xf numFmtId="0" fontId="53" fillId="2" borderId="8" xfId="0" applyFont="1" applyFill="1" applyBorder="1" applyProtection="1">
      <protection hidden="1"/>
    </xf>
    <xf numFmtId="0" fontId="18" fillId="2" borderId="8" xfId="0" applyFont="1" applyFill="1" applyBorder="1" applyAlignment="1" applyProtection="1">
      <alignment horizontal="right"/>
      <protection hidden="1"/>
    </xf>
    <xf numFmtId="0" fontId="9" fillId="2" borderId="8" xfId="0" applyFont="1" applyFill="1" applyBorder="1" applyAlignment="1" applyProtection="1">
      <alignment horizontal="right"/>
      <protection hidden="1"/>
    </xf>
    <xf numFmtId="0" fontId="23" fillId="2" borderId="20" xfId="0" applyFont="1" applyFill="1" applyBorder="1" applyAlignment="1" applyProtection="1">
      <alignment horizontal="right"/>
      <protection hidden="1"/>
    </xf>
    <xf numFmtId="0" fontId="53" fillId="2" borderId="0" xfId="0" applyFont="1" applyFill="1" applyAlignment="1" applyProtection="1">
      <alignment horizontal="left" vertical="top"/>
      <protection hidden="1"/>
    </xf>
    <xf numFmtId="0" fontId="23" fillId="2" borderId="21" xfId="0" applyFont="1" applyFill="1" applyBorder="1" applyAlignment="1" applyProtection="1">
      <alignment horizontal="right"/>
      <protection hidden="1"/>
    </xf>
    <xf numFmtId="0" fontId="53" fillId="2" borderId="5" xfId="0" applyFont="1" applyFill="1" applyBorder="1" applyAlignment="1" applyProtection="1">
      <alignment horizontal="left"/>
      <protection hidden="1"/>
    </xf>
    <xf numFmtId="0" fontId="53" fillId="2" borderId="5" xfId="0" applyFont="1" applyFill="1" applyBorder="1" applyProtection="1">
      <protection hidden="1"/>
    </xf>
    <xf numFmtId="0" fontId="74" fillId="2" borderId="5" xfId="0" applyFont="1" applyFill="1" applyBorder="1" applyAlignment="1" applyProtection="1">
      <alignment horizontal="left"/>
      <protection hidden="1"/>
    </xf>
    <xf numFmtId="0" fontId="79" fillId="2" borderId="5" xfId="0" applyFont="1" applyFill="1" applyBorder="1" applyAlignment="1" applyProtection="1">
      <alignment horizontal="left"/>
      <protection hidden="1"/>
    </xf>
    <xf numFmtId="0" fontId="23" fillId="2" borderId="23" xfId="0" applyFont="1" applyFill="1" applyBorder="1" applyAlignment="1" applyProtection="1">
      <alignment horizontal="right"/>
      <protection hidden="1"/>
    </xf>
    <xf numFmtId="0" fontId="53" fillId="2" borderId="0" xfId="0" applyFont="1" applyFill="1" applyAlignment="1" applyProtection="1">
      <alignment horizontal="left"/>
      <protection hidden="1"/>
    </xf>
    <xf numFmtId="0" fontId="53" fillId="2" borderId="21" xfId="0" applyFont="1" applyFill="1" applyBorder="1" applyAlignment="1" applyProtection="1">
      <alignment horizontal="left" vertical="center"/>
      <protection hidden="1"/>
    </xf>
    <xf numFmtId="0" fontId="6" fillId="5" borderId="0" xfId="0" applyFont="1" applyFill="1" applyAlignment="1" applyProtection="1">
      <alignment horizontal="left"/>
      <protection hidden="1"/>
    </xf>
    <xf numFmtId="0" fontId="18" fillId="2" borderId="0" xfId="0" applyFont="1" applyFill="1" applyAlignment="1" applyProtection="1">
      <alignment horizontal="left" indent="1"/>
      <protection hidden="1"/>
    </xf>
    <xf numFmtId="0" fontId="53" fillId="2" borderId="0" xfId="0" applyFont="1" applyFill="1" applyAlignment="1" applyProtection="1">
      <alignment horizontal="center"/>
      <protection hidden="1"/>
    </xf>
    <xf numFmtId="0" fontId="18" fillId="17" borderId="13" xfId="0" applyFont="1" applyFill="1" applyBorder="1" applyAlignment="1" applyProtection="1">
      <alignment horizontal="center"/>
      <protection locked="0"/>
    </xf>
    <xf numFmtId="0" fontId="18" fillId="28" borderId="13" xfId="0" applyFont="1" applyFill="1" applyBorder="1" applyAlignment="1" applyProtection="1">
      <alignment horizontal="center"/>
      <protection hidden="1"/>
    </xf>
    <xf numFmtId="0" fontId="18" fillId="2" borderId="6" xfId="0" quotePrefix="1" applyFont="1" applyFill="1" applyBorder="1" applyAlignment="1" applyProtection="1">
      <alignment horizontal="right"/>
      <protection hidden="1"/>
    </xf>
    <xf numFmtId="0" fontId="194" fillId="2" borderId="0" xfId="0" applyFont="1" applyFill="1" applyAlignment="1" applyProtection="1">
      <alignment horizontal="right"/>
      <protection hidden="1"/>
    </xf>
    <xf numFmtId="0" fontId="23" fillId="2" borderId="5" xfId="0" applyFont="1" applyFill="1" applyBorder="1" applyAlignment="1" applyProtection="1">
      <alignment vertical="center"/>
      <protection hidden="1"/>
    </xf>
    <xf numFmtId="0" fontId="0" fillId="16" borderId="0" xfId="0" applyFill="1" applyAlignment="1" applyProtection="1">
      <alignment vertical="center" wrapText="1"/>
      <protection hidden="1"/>
    </xf>
    <xf numFmtId="0" fontId="0" fillId="16" borderId="21" xfId="0" applyFill="1" applyBorder="1" applyAlignment="1">
      <alignment vertical="center" wrapText="1"/>
    </xf>
    <xf numFmtId="0" fontId="277" fillId="16" borderId="0" xfId="0" applyFont="1" applyFill="1" applyProtection="1">
      <protection hidden="1"/>
    </xf>
    <xf numFmtId="4" fontId="25" fillId="5" borderId="0" xfId="0" applyNumberFormat="1" applyFont="1" applyFill="1" applyAlignment="1" applyProtection="1">
      <alignment horizontal="center"/>
      <protection hidden="1"/>
    </xf>
    <xf numFmtId="4" fontId="3" fillId="16" borderId="61" xfId="0" applyNumberFormat="1" applyFont="1" applyFill="1" applyBorder="1" applyAlignment="1" applyProtection="1">
      <alignment horizontal="center" vertical="center"/>
      <protection locked="0"/>
    </xf>
    <xf numFmtId="0" fontId="0" fillId="16" borderId="76" xfId="0" applyFill="1" applyBorder="1" applyAlignment="1">
      <alignment horizontal="right" indent="1"/>
    </xf>
    <xf numFmtId="0" fontId="7" fillId="3" borderId="0" xfId="0" applyFont="1" applyFill="1" applyAlignment="1" applyProtection="1">
      <alignment horizontal="right" indent="2"/>
      <protection hidden="1"/>
    </xf>
    <xf numFmtId="0" fontId="6" fillId="3" borderId="52" xfId="0" applyFont="1" applyFill="1" applyBorder="1" applyAlignment="1" applyProtection="1">
      <alignment horizontal="center"/>
      <protection hidden="1"/>
    </xf>
    <xf numFmtId="37" fontId="7" fillId="21" borderId="52" xfId="0" applyNumberFormat="1" applyFont="1" applyFill="1" applyBorder="1" applyAlignment="1" applyProtection="1">
      <alignment horizontal="right"/>
      <protection locked="0"/>
    </xf>
    <xf numFmtId="37" fontId="7" fillId="21" borderId="53" xfId="0" applyNumberFormat="1" applyFont="1" applyFill="1" applyBorder="1" applyAlignment="1" applyProtection="1">
      <alignment horizontal="right"/>
      <protection locked="0"/>
    </xf>
    <xf numFmtId="0" fontId="18" fillId="3" borderId="0" xfId="0" applyFont="1" applyFill="1" applyAlignment="1" applyProtection="1">
      <alignment horizontal="left" vertical="center"/>
      <protection hidden="1"/>
    </xf>
    <xf numFmtId="0" fontId="7" fillId="3" borderId="0" xfId="0" applyFont="1" applyFill="1" applyAlignment="1" applyProtection="1">
      <alignment horizontal="right" indent="1"/>
      <protection hidden="1"/>
    </xf>
    <xf numFmtId="40" fontId="46" fillId="2" borderId="5" xfId="0" applyNumberFormat="1" applyFont="1" applyFill="1" applyBorder="1" applyAlignment="1" applyProtection="1">
      <alignment horizontal="right" vertical="center"/>
      <protection hidden="1"/>
    </xf>
    <xf numFmtId="0" fontId="0" fillId="4" borderId="5" xfId="0" applyFill="1" applyBorder="1" applyProtection="1">
      <protection hidden="1"/>
    </xf>
    <xf numFmtId="40" fontId="13" fillId="2" borderId="0" xfId="0" applyNumberFormat="1" applyFont="1" applyFill="1" applyProtection="1">
      <protection hidden="1"/>
    </xf>
    <xf numFmtId="0" fontId="0" fillId="16" borderId="66" xfId="0" applyFill="1" applyBorder="1"/>
    <xf numFmtId="37" fontId="18" fillId="16" borderId="1" xfId="4" applyNumberFormat="1" applyFont="1" applyFill="1" applyBorder="1" applyAlignment="1" applyProtection="1">
      <alignment horizontal="right"/>
      <protection locked="0"/>
    </xf>
    <xf numFmtId="0" fontId="0" fillId="20" borderId="6" xfId="0" applyFill="1" applyBorder="1" applyAlignment="1" applyProtection="1">
      <alignment horizontal="left" vertical="center"/>
      <protection hidden="1"/>
    </xf>
    <xf numFmtId="0" fontId="3" fillId="20" borderId="0" xfId="4" applyFont="1" applyFill="1" applyAlignment="1" applyProtection="1">
      <alignment horizontal="center"/>
      <protection hidden="1"/>
    </xf>
    <xf numFmtId="0" fontId="18" fillId="2" borderId="88" xfId="0" applyFont="1" applyFill="1" applyBorder="1" applyAlignment="1" applyProtection="1">
      <alignment horizontal="right"/>
      <protection hidden="1"/>
    </xf>
    <xf numFmtId="0" fontId="53" fillId="2" borderId="88" xfId="0" applyFont="1" applyFill="1" applyBorder="1" applyProtection="1">
      <protection hidden="1"/>
    </xf>
    <xf numFmtId="0" fontId="53" fillId="2" borderId="88" xfId="0" applyFont="1" applyFill="1" applyBorder="1" applyAlignment="1" applyProtection="1">
      <alignment horizontal="left"/>
      <protection hidden="1"/>
    </xf>
    <xf numFmtId="0" fontId="53" fillId="2" borderId="191" xfId="0" applyFont="1" applyFill="1" applyBorder="1" applyAlignment="1" applyProtection="1">
      <alignment horizontal="left" vertical="center"/>
      <protection hidden="1"/>
    </xf>
    <xf numFmtId="0" fontId="74" fillId="2" borderId="0" xfId="0" applyFont="1" applyFill="1" applyAlignment="1" applyProtection="1">
      <alignment horizontal="left"/>
      <protection hidden="1"/>
    </xf>
    <xf numFmtId="0" fontId="79" fillId="2" borderId="0" xfId="0" applyFont="1" applyFill="1" applyAlignment="1" applyProtection="1">
      <alignment horizontal="left"/>
      <protection hidden="1"/>
    </xf>
    <xf numFmtId="0" fontId="18" fillId="2" borderId="0" xfId="0" quotePrefix="1" applyFont="1" applyFill="1" applyAlignment="1" applyProtection="1">
      <alignment horizontal="right"/>
      <protection hidden="1"/>
    </xf>
    <xf numFmtId="0" fontId="3" fillId="20" borderId="22" xfId="0" applyFont="1" applyFill="1" applyBorder="1" applyAlignment="1" applyProtection="1">
      <alignment horizontal="center" vertical="center" wrapText="1"/>
      <protection hidden="1"/>
    </xf>
    <xf numFmtId="0" fontId="3" fillId="20" borderId="5" xfId="0" applyFont="1" applyFill="1" applyBorder="1" applyAlignment="1" applyProtection="1">
      <alignment horizontal="center" vertical="center" wrapText="1"/>
      <protection hidden="1"/>
    </xf>
    <xf numFmtId="0" fontId="194" fillId="2" borderId="6" xfId="0" applyFont="1" applyFill="1" applyBorder="1" applyAlignment="1" applyProtection="1">
      <alignment horizontal="right"/>
      <protection hidden="1"/>
    </xf>
    <xf numFmtId="0" fontId="154" fillId="2" borderId="0" xfId="0" applyFont="1" applyFill="1" applyAlignment="1" applyProtection="1">
      <alignment horizontal="right"/>
      <protection hidden="1"/>
    </xf>
    <xf numFmtId="0" fontId="6" fillId="20" borderId="21" xfId="0" applyFont="1" applyFill="1" applyBorder="1" applyProtection="1">
      <protection hidden="1"/>
    </xf>
    <xf numFmtId="0" fontId="3" fillId="20" borderId="23" xfId="0" applyFont="1" applyFill="1" applyBorder="1" applyAlignment="1" applyProtection="1">
      <alignment horizontal="center" vertical="center" wrapText="1"/>
      <protection hidden="1"/>
    </xf>
    <xf numFmtId="0" fontId="5" fillId="16" borderId="8" xfId="4" applyFill="1" applyBorder="1" applyProtection="1">
      <protection hidden="1"/>
    </xf>
    <xf numFmtId="0" fontId="5" fillId="16" borderId="6" xfId="4" quotePrefix="1" applyFill="1" applyBorder="1" applyAlignment="1" applyProtection="1">
      <alignment horizontal="left"/>
      <protection hidden="1"/>
    </xf>
    <xf numFmtId="0" fontId="171" fillId="2" borderId="0" xfId="0" applyFont="1" applyFill="1" applyProtection="1">
      <protection hidden="1"/>
    </xf>
    <xf numFmtId="0" fontId="3" fillId="0" borderId="0" xfId="0" applyFont="1" applyAlignment="1" applyProtection="1">
      <alignment horizontal="center" vertical="center" wrapText="1"/>
      <protection hidden="1"/>
    </xf>
    <xf numFmtId="4" fontId="3" fillId="2" borderId="83" xfId="0" applyNumberFormat="1" applyFont="1" applyFill="1" applyBorder="1" applyAlignment="1" applyProtection="1">
      <alignment horizontal="center"/>
      <protection hidden="1"/>
    </xf>
    <xf numFmtId="4" fontId="5" fillId="33" borderId="83" xfId="0" applyNumberFormat="1" applyFont="1" applyFill="1" applyBorder="1" applyAlignment="1" applyProtection="1">
      <alignment horizontal="center"/>
      <protection locked="0"/>
    </xf>
    <xf numFmtId="2" fontId="3" fillId="2" borderId="38" xfId="0" applyNumberFormat="1" applyFont="1" applyFill="1" applyBorder="1" applyAlignment="1" applyProtection="1">
      <alignment horizontal="center"/>
      <protection hidden="1"/>
    </xf>
    <xf numFmtId="0" fontId="12" fillId="16" borderId="29" xfId="0" applyFont="1" applyFill="1" applyBorder="1" applyAlignment="1" applyProtection="1">
      <alignment horizontal="center"/>
      <protection hidden="1"/>
    </xf>
    <xf numFmtId="0" fontId="12" fillId="16" borderId="26" xfId="0" applyFont="1" applyFill="1" applyBorder="1" applyAlignment="1" applyProtection="1">
      <alignment horizontal="center"/>
      <protection hidden="1"/>
    </xf>
    <xf numFmtId="0" fontId="12" fillId="16" borderId="9" xfId="0" applyFont="1" applyFill="1" applyBorder="1" applyAlignment="1" applyProtection="1">
      <alignment horizontal="center"/>
      <protection hidden="1"/>
    </xf>
    <xf numFmtId="0" fontId="12" fillId="16" borderId="1" xfId="0" applyFont="1" applyFill="1" applyBorder="1" applyAlignment="1" applyProtection="1">
      <alignment horizontal="center"/>
      <protection hidden="1"/>
    </xf>
    <xf numFmtId="0" fontId="12" fillId="16" borderId="9" xfId="0" applyFont="1" applyFill="1" applyBorder="1" applyAlignment="1" applyProtection="1">
      <alignment horizontal="center" vertical="center" wrapText="1"/>
      <protection hidden="1"/>
    </xf>
    <xf numFmtId="39" fontId="12" fillId="16" borderId="0" xfId="0" applyNumberFormat="1" applyFont="1" applyFill="1" applyAlignment="1" applyProtection="1">
      <alignment horizontal="centerContinuous"/>
      <protection locked="0"/>
    </xf>
    <xf numFmtId="0" fontId="5" fillId="16" borderId="37" xfId="0" applyFont="1" applyFill="1" applyBorder="1" applyProtection="1">
      <protection hidden="1"/>
    </xf>
    <xf numFmtId="0" fontId="5" fillId="16" borderId="57" xfId="0" applyFont="1" applyFill="1" applyBorder="1" applyProtection="1">
      <protection hidden="1"/>
    </xf>
    <xf numFmtId="0" fontId="5" fillId="16" borderId="57" xfId="0" applyFont="1" applyFill="1" applyBorder="1" applyAlignment="1" applyProtection="1">
      <alignment horizontal="left"/>
      <protection hidden="1"/>
    </xf>
    <xf numFmtId="0" fontId="5" fillId="16" borderId="8" xfId="0" applyFont="1" applyFill="1" applyBorder="1" applyAlignment="1" applyProtection="1">
      <alignment horizontal="left" vertical="center" indent="1"/>
      <protection hidden="1"/>
    </xf>
    <xf numFmtId="39" fontId="26" fillId="16" borderId="9" xfId="0" applyNumberFormat="1" applyFont="1" applyFill="1" applyBorder="1" applyAlignment="1" applyProtection="1">
      <alignment horizontal="left"/>
      <protection hidden="1"/>
    </xf>
    <xf numFmtId="0" fontId="82" fillId="16" borderId="9" xfId="0" applyFont="1" applyFill="1" applyBorder="1" applyAlignment="1" applyProtection="1">
      <alignment vertical="center"/>
      <protection hidden="1"/>
    </xf>
    <xf numFmtId="0" fontId="273" fillId="16" borderId="9" xfId="0" applyFont="1" applyFill="1" applyBorder="1" applyAlignment="1" applyProtection="1">
      <alignment vertical="center"/>
      <protection hidden="1"/>
    </xf>
    <xf numFmtId="0" fontId="4" fillId="16" borderId="9" xfId="0" applyFont="1" applyFill="1" applyBorder="1" applyProtection="1">
      <protection hidden="1"/>
    </xf>
    <xf numFmtId="0" fontId="273" fillId="16" borderId="1" xfId="0" applyFont="1" applyFill="1" applyBorder="1" applyAlignment="1" applyProtection="1">
      <alignment vertical="center"/>
      <protection hidden="1"/>
    </xf>
    <xf numFmtId="39" fontId="26" fillId="16" borderId="1" xfId="0" applyNumberFormat="1" applyFont="1" applyFill="1" applyBorder="1" applyAlignment="1" applyProtection="1">
      <alignment horizontal="left" vertical="top"/>
      <protection hidden="1"/>
    </xf>
    <xf numFmtId="0" fontId="215" fillId="16" borderId="1" xfId="0" applyFont="1" applyFill="1" applyBorder="1" applyAlignment="1" applyProtection="1">
      <alignment vertical="center"/>
      <protection hidden="1"/>
    </xf>
    <xf numFmtId="0" fontId="4" fillId="16" borderId="1" xfId="0" applyFont="1" applyFill="1" applyBorder="1" applyProtection="1">
      <protection hidden="1"/>
    </xf>
    <xf numFmtId="0" fontId="4" fillId="0" borderId="55" xfId="0" applyFont="1" applyBorder="1" applyProtection="1">
      <protection locked="0"/>
    </xf>
    <xf numFmtId="39" fontId="4" fillId="0" borderId="13" xfId="0" applyNumberFormat="1" applyFont="1" applyBorder="1" applyProtection="1">
      <protection locked="0"/>
    </xf>
    <xf numFmtId="39" fontId="4" fillId="0" borderId="40" xfId="0" applyNumberFormat="1" applyFont="1" applyBorder="1" applyProtection="1">
      <protection locked="0"/>
    </xf>
    <xf numFmtId="0" fontId="16" fillId="16" borderId="0" xfId="0" quotePrefix="1" applyFont="1" applyFill="1" applyAlignment="1" applyProtection="1">
      <alignment horizontal="left"/>
      <protection hidden="1"/>
    </xf>
    <xf numFmtId="0" fontId="53" fillId="16" borderId="0" xfId="0" quotePrefix="1" applyFont="1" applyFill="1" applyAlignment="1" applyProtection="1">
      <alignment horizontal="center"/>
      <protection hidden="1"/>
    </xf>
    <xf numFmtId="37" fontId="5" fillId="16" borderId="0" xfId="0" applyNumberFormat="1" applyFont="1" applyFill="1" applyAlignment="1" applyProtection="1">
      <alignment horizontal="center"/>
      <protection hidden="1"/>
    </xf>
    <xf numFmtId="37" fontId="7" fillId="15" borderId="0" xfId="0" applyNumberFormat="1" applyFont="1" applyFill="1" applyAlignment="1" applyProtection="1">
      <alignment horizontal="right"/>
      <protection hidden="1"/>
    </xf>
    <xf numFmtId="37" fontId="53" fillId="15" borderId="0" xfId="0" applyNumberFormat="1" applyFont="1" applyFill="1" applyAlignment="1" applyProtection="1">
      <alignment horizontal="right"/>
      <protection hidden="1"/>
    </xf>
    <xf numFmtId="0" fontId="53" fillId="15" borderId="0" xfId="0" applyFont="1" applyFill="1" applyAlignment="1" applyProtection="1">
      <alignment horizontal="right"/>
      <protection hidden="1"/>
    </xf>
    <xf numFmtId="0" fontId="53" fillId="16" borderId="1" xfId="0" quotePrefix="1" applyFont="1" applyFill="1" applyBorder="1" applyAlignment="1" applyProtection="1">
      <alignment horizontal="left"/>
      <protection hidden="1"/>
    </xf>
    <xf numFmtId="0" fontId="5" fillId="16" borderId="1" xfId="0" quotePrefix="1" applyFont="1" applyFill="1" applyBorder="1" applyAlignment="1" applyProtection="1">
      <alignment horizontal="center"/>
      <protection hidden="1"/>
    </xf>
    <xf numFmtId="37" fontId="18" fillId="16" borderId="2" xfId="0" applyNumberFormat="1" applyFont="1" applyFill="1" applyBorder="1" applyProtection="1">
      <protection locked="0"/>
    </xf>
    <xf numFmtId="0" fontId="12" fillId="16" borderId="26" xfId="0" quotePrefix="1" applyFont="1" applyFill="1" applyBorder="1" applyAlignment="1" applyProtection="1">
      <alignment horizontal="center"/>
      <protection hidden="1"/>
    </xf>
    <xf numFmtId="0" fontId="5" fillId="20" borderId="0" xfId="0" applyFont="1" applyFill="1" applyAlignment="1" applyProtection="1">
      <alignment horizontal="center"/>
      <protection hidden="1"/>
    </xf>
    <xf numFmtId="0" fontId="5" fillId="20" borderId="31" xfId="0" applyFont="1" applyFill="1" applyBorder="1" applyProtection="1">
      <protection hidden="1"/>
    </xf>
    <xf numFmtId="0" fontId="5" fillId="20" borderId="9" xfId="0" applyFont="1" applyFill="1" applyBorder="1" applyAlignment="1" applyProtection="1">
      <alignment horizontal="center"/>
      <protection hidden="1"/>
    </xf>
    <xf numFmtId="0" fontId="53" fillId="16" borderId="26" xfId="0" quotePrefix="1" applyFont="1" applyFill="1" applyBorder="1" applyAlignment="1" applyProtection="1">
      <alignment horizontal="left"/>
      <protection hidden="1"/>
    </xf>
    <xf numFmtId="39" fontId="12" fillId="16" borderId="26" xfId="0" applyNumberFormat="1" applyFont="1" applyFill="1" applyBorder="1" applyAlignment="1" applyProtection="1">
      <alignment horizontal="left"/>
      <protection hidden="1"/>
    </xf>
    <xf numFmtId="0" fontId="82" fillId="16" borderId="26" xfId="0" applyFont="1" applyFill="1" applyBorder="1" applyAlignment="1" applyProtection="1">
      <alignment vertical="center"/>
      <protection hidden="1"/>
    </xf>
    <xf numFmtId="0" fontId="273" fillId="16" borderId="26" xfId="0" applyFont="1" applyFill="1" applyBorder="1" applyAlignment="1" applyProtection="1">
      <alignment vertical="center"/>
      <protection hidden="1"/>
    </xf>
    <xf numFmtId="0" fontId="4" fillId="16" borderId="26" xfId="0" applyFont="1" applyFill="1" applyBorder="1" applyProtection="1">
      <protection hidden="1"/>
    </xf>
    <xf numFmtId="37" fontId="129" fillId="16" borderId="0" xfId="0" applyNumberFormat="1" applyFont="1" applyFill="1" applyAlignment="1" applyProtection="1">
      <alignment vertical="center"/>
      <protection hidden="1"/>
    </xf>
    <xf numFmtId="0" fontId="82" fillId="16" borderId="26" xfId="0" applyFont="1" applyFill="1" applyBorder="1" applyAlignment="1" applyProtection="1">
      <alignment horizontal="centerContinuous" vertical="center"/>
      <protection hidden="1"/>
    </xf>
    <xf numFmtId="0" fontId="3" fillId="0" borderId="26" xfId="0" applyFont="1" applyBorder="1" applyAlignment="1" applyProtection="1">
      <alignment horizontal="centerContinuous" vertical="center"/>
      <protection hidden="1"/>
    </xf>
    <xf numFmtId="39" fontId="12" fillId="16" borderId="26" xfId="0" applyNumberFormat="1" applyFont="1" applyFill="1" applyBorder="1" applyAlignment="1" applyProtection="1">
      <alignment horizontal="centerContinuous"/>
      <protection hidden="1"/>
    </xf>
    <xf numFmtId="0" fontId="273" fillId="16" borderId="26" xfId="0" applyFont="1" applyFill="1" applyBorder="1" applyAlignment="1" applyProtection="1">
      <alignment horizontal="centerContinuous" vertical="center"/>
      <protection hidden="1"/>
    </xf>
    <xf numFmtId="0" fontId="4" fillId="16" borderId="26" xfId="0" applyFont="1" applyFill="1" applyBorder="1" applyAlignment="1" applyProtection="1">
      <alignment horizontal="centerContinuous"/>
      <protection hidden="1"/>
    </xf>
    <xf numFmtId="0" fontId="16" fillId="16" borderId="0" xfId="0" quotePrefix="1" applyFont="1" applyFill="1" applyAlignment="1" applyProtection="1">
      <alignment horizontal="left" vertical="center"/>
      <protection hidden="1"/>
    </xf>
    <xf numFmtId="0" fontId="5" fillId="20" borderId="9" xfId="0" applyFont="1" applyFill="1" applyBorder="1" applyProtection="1">
      <protection hidden="1"/>
    </xf>
    <xf numFmtId="2" fontId="12" fillId="17" borderId="13" xfId="0" applyNumberFormat="1" applyFont="1" applyFill="1" applyBorder="1" applyAlignment="1" applyProtection="1">
      <alignment horizontal="center" vertical="center"/>
      <protection locked="0"/>
    </xf>
    <xf numFmtId="2" fontId="5" fillId="16" borderId="0" xfId="0" applyNumberFormat="1" applyFont="1" applyFill="1" applyProtection="1">
      <protection hidden="1"/>
    </xf>
    <xf numFmtId="0" fontId="53" fillId="16" borderId="1" xfId="0" quotePrefix="1" applyFont="1" applyFill="1" applyBorder="1" applyAlignment="1" applyProtection="1">
      <alignment horizontal="center"/>
      <protection hidden="1"/>
    </xf>
    <xf numFmtId="0" fontId="5" fillId="16" borderId="12" xfId="0" applyFont="1" applyFill="1" applyBorder="1" applyAlignment="1" applyProtection="1">
      <alignment horizontal="center"/>
      <protection hidden="1"/>
    </xf>
    <xf numFmtId="0" fontId="5" fillId="20" borderId="1" xfId="0" applyFont="1" applyFill="1" applyBorder="1" applyAlignment="1" applyProtection="1">
      <alignment horizontal="center"/>
      <protection hidden="1"/>
    </xf>
    <xf numFmtId="0" fontId="90" fillId="5" borderId="0" xfId="0" applyFont="1" applyFill="1" applyAlignment="1" applyProtection="1">
      <alignment horizontal="center" vertical="center"/>
      <protection hidden="1"/>
    </xf>
    <xf numFmtId="39" fontId="0" fillId="0" borderId="0" xfId="0" applyNumberFormat="1" applyAlignment="1" applyProtection="1">
      <alignment vertical="center"/>
      <protection locked="0"/>
    </xf>
    <xf numFmtId="0" fontId="16" fillId="16" borderId="26" xfId="0" applyFont="1" applyFill="1" applyBorder="1" applyAlignment="1" applyProtection="1">
      <alignment horizontal="center" vertical="center"/>
      <protection hidden="1"/>
    </xf>
    <xf numFmtId="0" fontId="16" fillId="16" borderId="9" xfId="0" applyFont="1" applyFill="1" applyBorder="1" applyAlignment="1" applyProtection="1">
      <alignment horizontal="center" vertical="center" wrapText="1"/>
      <protection hidden="1"/>
    </xf>
    <xf numFmtId="0" fontId="16" fillId="16" borderId="1" xfId="0" applyFont="1" applyFill="1" applyBorder="1" applyAlignment="1" applyProtection="1">
      <alignment horizontal="center" vertical="center" wrapText="1"/>
      <protection hidden="1"/>
    </xf>
    <xf numFmtId="0" fontId="16" fillId="16" borderId="1" xfId="0" applyFont="1" applyFill="1" applyBorder="1" applyAlignment="1" applyProtection="1">
      <alignment horizontal="center" vertical="center"/>
      <protection hidden="1"/>
    </xf>
    <xf numFmtId="0" fontId="26" fillId="16" borderId="26" xfId="0" applyFont="1" applyFill="1" applyBorder="1" applyAlignment="1" applyProtection="1">
      <alignment horizontal="centerContinuous" vertical="center"/>
      <protection hidden="1"/>
    </xf>
    <xf numFmtId="0" fontId="12" fillId="16" borderId="26" xfId="0" applyFont="1" applyFill="1" applyBorder="1" applyAlignment="1" applyProtection="1">
      <alignment horizontal="center" vertical="center"/>
      <protection hidden="1"/>
    </xf>
    <xf numFmtId="0" fontId="16" fillId="16" borderId="32" xfId="0" applyFont="1" applyFill="1" applyBorder="1" applyAlignment="1" applyProtection="1">
      <alignment horizontal="center" vertical="center"/>
      <protection hidden="1"/>
    </xf>
    <xf numFmtId="37" fontId="129" fillId="2" borderId="0" xfId="0" applyNumberFormat="1" applyFont="1" applyFill="1" applyProtection="1">
      <protection hidden="1"/>
    </xf>
    <xf numFmtId="0" fontId="53" fillId="16" borderId="0" xfId="0" quotePrefix="1" applyFont="1" applyFill="1" applyAlignment="1" applyProtection="1">
      <alignment horizontal="left"/>
      <protection hidden="1"/>
    </xf>
    <xf numFmtId="0" fontId="46" fillId="16" borderId="5" xfId="0" applyFont="1" applyFill="1" applyBorder="1" applyAlignment="1" applyProtection="1">
      <alignment horizontal="center" vertical="center"/>
      <protection hidden="1"/>
    </xf>
    <xf numFmtId="0" fontId="53" fillId="16" borderId="5" xfId="0" applyFont="1" applyFill="1" applyBorder="1" applyAlignment="1" applyProtection="1">
      <alignment horizontal="left"/>
      <protection hidden="1"/>
    </xf>
    <xf numFmtId="0" fontId="288" fillId="16" borderId="5" xfId="0" applyFont="1" applyFill="1" applyBorder="1" applyAlignment="1" applyProtection="1">
      <alignment vertical="center"/>
      <protection hidden="1"/>
    </xf>
    <xf numFmtId="0" fontId="5" fillId="20" borderId="70" xfId="0" applyFont="1" applyFill="1" applyBorder="1" applyProtection="1">
      <protection hidden="1"/>
    </xf>
    <xf numFmtId="0" fontId="5" fillId="20" borderId="5" xfId="0" applyFont="1" applyFill="1" applyBorder="1" applyProtection="1">
      <protection hidden="1"/>
    </xf>
    <xf numFmtId="0" fontId="5" fillId="20" borderId="5" xfId="0" applyFont="1" applyFill="1" applyBorder="1" applyAlignment="1" applyProtection="1">
      <alignment horizontal="center"/>
      <protection hidden="1"/>
    </xf>
    <xf numFmtId="0" fontId="7" fillId="16" borderId="5" xfId="0" quotePrefix="1" applyFont="1" applyFill="1" applyBorder="1" applyAlignment="1" applyProtection="1">
      <alignment horizontal="left"/>
      <protection hidden="1"/>
    </xf>
    <xf numFmtId="0" fontId="53" fillId="16" borderId="5" xfId="0" applyFont="1" applyFill="1" applyBorder="1" applyAlignment="1" applyProtection="1">
      <alignment horizontal="center"/>
      <protection hidden="1"/>
    </xf>
    <xf numFmtId="0" fontId="5" fillId="2" borderId="5" xfId="0" applyFont="1" applyFill="1" applyBorder="1" applyAlignment="1" applyProtection="1">
      <alignment horizontal="right"/>
      <protection hidden="1"/>
    </xf>
    <xf numFmtId="39" fontId="12" fillId="16" borderId="9" xfId="0" applyNumberFormat="1" applyFont="1" applyFill="1" applyBorder="1" applyAlignment="1" applyProtection="1">
      <alignment horizontal="left"/>
      <protection hidden="1"/>
    </xf>
    <xf numFmtId="0" fontId="82" fillId="16" borderId="8" xfId="0" applyFont="1" applyFill="1" applyBorder="1" applyAlignment="1" applyProtection="1">
      <alignment vertical="center"/>
      <protection hidden="1"/>
    </xf>
    <xf numFmtId="0" fontId="215" fillId="16" borderId="9" xfId="0" applyFont="1" applyFill="1" applyBorder="1" applyAlignment="1" applyProtection="1">
      <alignment vertical="center"/>
      <protection hidden="1"/>
    </xf>
    <xf numFmtId="0" fontId="16" fillId="16" borderId="0" xfId="0" quotePrefix="1" applyFont="1" applyFill="1" applyAlignment="1" applyProtection="1">
      <alignment horizontal="center"/>
      <protection hidden="1"/>
    </xf>
    <xf numFmtId="49" fontId="140" fillId="16" borderId="0" xfId="0" applyNumberFormat="1" applyFont="1" applyFill="1" applyAlignment="1" applyProtection="1">
      <alignment horizontal="left"/>
      <protection hidden="1"/>
    </xf>
    <xf numFmtId="0" fontId="215" fillId="16" borderId="0" xfId="0" applyFont="1" applyFill="1" applyAlignment="1" applyProtection="1">
      <alignment vertical="center"/>
      <protection hidden="1"/>
    </xf>
    <xf numFmtId="166" fontId="83" fillId="16" borderId="0" xfId="0" applyNumberFormat="1" applyFont="1" applyFill="1" applyProtection="1">
      <protection hidden="1"/>
    </xf>
    <xf numFmtId="166" fontId="83" fillId="16" borderId="0" xfId="0" applyNumberFormat="1" applyFont="1" applyFill="1" applyAlignment="1" applyProtection="1">
      <alignment horizontal="center"/>
      <protection hidden="1"/>
    </xf>
    <xf numFmtId="0" fontId="82" fillId="16" borderId="0" xfId="0" applyFont="1" applyFill="1" applyAlignment="1" applyProtection="1">
      <alignment horizontal="centerContinuous" vertical="center"/>
      <protection hidden="1"/>
    </xf>
    <xf numFmtId="0" fontId="3" fillId="0" borderId="0" xfId="0" applyFont="1" applyAlignment="1" applyProtection="1">
      <alignment horizontal="centerContinuous" vertical="center"/>
      <protection hidden="1"/>
    </xf>
    <xf numFmtId="39" fontId="12" fillId="16" borderId="0" xfId="0" applyNumberFormat="1" applyFont="1" applyFill="1" applyAlignment="1" applyProtection="1">
      <alignment horizontal="centerContinuous"/>
      <protection hidden="1"/>
    </xf>
    <xf numFmtId="0" fontId="273" fillId="16" borderId="0" xfId="0" applyFont="1" applyFill="1" applyAlignment="1" applyProtection="1">
      <alignment horizontal="centerContinuous" vertical="center"/>
      <protection hidden="1"/>
    </xf>
    <xf numFmtId="0" fontId="26" fillId="16" borderId="0" xfId="0" applyFont="1" applyFill="1" applyAlignment="1" applyProtection="1">
      <alignment horizontal="centerContinuous" vertical="center"/>
      <protection hidden="1"/>
    </xf>
    <xf numFmtId="0" fontId="26" fillId="16" borderId="9" xfId="0" applyFont="1" applyFill="1" applyBorder="1" applyAlignment="1" applyProtection="1">
      <alignment horizontal="centerContinuous" vertical="center"/>
      <protection hidden="1"/>
    </xf>
    <xf numFmtId="0" fontId="26" fillId="16" borderId="31" xfId="0" applyFont="1" applyFill="1" applyBorder="1" applyAlignment="1" applyProtection="1">
      <alignment horizontal="centerContinuous" vertical="center"/>
      <protection hidden="1"/>
    </xf>
    <xf numFmtId="0" fontId="273" fillId="16" borderId="9" xfId="0" applyFont="1" applyFill="1" applyBorder="1" applyAlignment="1" applyProtection="1">
      <alignment horizontal="centerContinuous" vertical="center"/>
      <protection hidden="1"/>
    </xf>
    <xf numFmtId="0" fontId="4" fillId="16" borderId="9" xfId="0" applyFont="1" applyFill="1" applyBorder="1" applyAlignment="1" applyProtection="1">
      <alignment horizontal="centerContinuous"/>
      <protection hidden="1"/>
    </xf>
    <xf numFmtId="0" fontId="4" fillId="16" borderId="0" xfId="0" applyFont="1" applyFill="1" applyAlignment="1" applyProtection="1">
      <alignment horizontal="centerContinuous"/>
      <protection hidden="1"/>
    </xf>
    <xf numFmtId="0" fontId="12" fillId="16" borderId="0" xfId="0" quotePrefix="1" applyFont="1" applyFill="1" applyAlignment="1" applyProtection="1">
      <alignment horizontal="left"/>
      <protection hidden="1"/>
    </xf>
    <xf numFmtId="0" fontId="12" fillId="16" borderId="3" xfId="0" applyFont="1" applyFill="1" applyBorder="1"/>
    <xf numFmtId="0" fontId="53" fillId="16" borderId="25" xfId="0" applyFont="1" applyFill="1" applyBorder="1" applyAlignment="1" applyProtection="1">
      <alignment horizontal="right" indent="1"/>
      <protection hidden="1"/>
    </xf>
    <xf numFmtId="0" fontId="12" fillId="16" borderId="7" xfId="0" quotePrefix="1" applyFont="1" applyFill="1" applyBorder="1" applyAlignment="1" applyProtection="1">
      <alignment horizontal="left"/>
      <protection hidden="1"/>
    </xf>
    <xf numFmtId="0" fontId="5" fillId="16" borderId="10" xfId="0" applyFont="1" applyFill="1" applyBorder="1" applyProtection="1">
      <protection hidden="1"/>
    </xf>
    <xf numFmtId="0" fontId="12" fillId="16" borderId="15" xfId="0" applyFont="1" applyFill="1" applyBorder="1" applyAlignment="1" applyProtection="1">
      <alignment horizontal="center"/>
      <protection hidden="1"/>
    </xf>
    <xf numFmtId="0" fontId="12" fillId="16" borderId="31" xfId="0" applyFont="1" applyFill="1" applyBorder="1" applyAlignment="1" applyProtection="1">
      <alignment horizontal="center"/>
      <protection hidden="1"/>
    </xf>
    <xf numFmtId="0" fontId="5" fillId="20" borderId="31" xfId="0" applyFont="1" applyFill="1" applyBorder="1" applyAlignment="1" applyProtection="1">
      <alignment horizontal="center"/>
      <protection hidden="1"/>
    </xf>
    <xf numFmtId="0" fontId="12" fillId="16" borderId="5" xfId="0" applyFont="1" applyFill="1" applyBorder="1" applyAlignment="1" applyProtection="1">
      <alignment horizontal="center"/>
      <protection hidden="1"/>
    </xf>
    <xf numFmtId="0" fontId="12" fillId="16" borderId="71" xfId="0" applyFont="1" applyFill="1" applyBorder="1" applyAlignment="1" applyProtection="1">
      <alignment horizontal="center"/>
      <protection hidden="1"/>
    </xf>
    <xf numFmtId="0" fontId="5" fillId="20" borderId="70" xfId="0" applyFont="1" applyFill="1" applyBorder="1" applyAlignment="1" applyProtection="1">
      <alignment horizontal="center"/>
      <protection hidden="1"/>
    </xf>
    <xf numFmtId="0" fontId="82" fillId="16" borderId="26" xfId="0" applyFont="1" applyFill="1" applyBorder="1" applyAlignment="1" applyProtection="1">
      <alignment horizontal="center" vertical="center"/>
      <protection hidden="1"/>
    </xf>
    <xf numFmtId="0" fontId="5" fillId="0" borderId="26" xfId="0" applyFont="1" applyBorder="1" applyAlignment="1" applyProtection="1">
      <alignment horizontal="left" vertical="center"/>
      <protection hidden="1"/>
    </xf>
    <xf numFmtId="0" fontId="16" fillId="16" borderId="55" xfId="0" applyFont="1" applyFill="1" applyBorder="1" applyAlignment="1">
      <alignment horizontal="center" vertical="center" wrapText="1"/>
    </xf>
    <xf numFmtId="0" fontId="5" fillId="20" borderId="3" xfId="0" applyFont="1" applyFill="1" applyBorder="1" applyAlignment="1" applyProtection="1">
      <alignment horizontal="center"/>
      <protection hidden="1"/>
    </xf>
    <xf numFmtId="0" fontId="12" fillId="16" borderId="9" xfId="0" applyFont="1" applyFill="1" applyBorder="1" applyAlignment="1" applyProtection="1">
      <alignment horizontal="center" vertical="center"/>
      <protection hidden="1"/>
    </xf>
    <xf numFmtId="0" fontId="288" fillId="16" borderId="9" xfId="0" applyFont="1" applyFill="1" applyBorder="1" applyAlignment="1" applyProtection="1">
      <alignment vertical="center"/>
      <protection hidden="1"/>
    </xf>
    <xf numFmtId="0" fontId="5" fillId="20" borderId="10" xfId="0" applyFont="1" applyFill="1" applyBorder="1" applyAlignment="1" applyProtection="1">
      <alignment horizontal="center"/>
      <protection hidden="1"/>
    </xf>
    <xf numFmtId="0" fontId="288" fillId="16" borderId="26" xfId="0" applyFont="1" applyFill="1" applyBorder="1" applyAlignment="1" applyProtection="1">
      <alignment vertical="center"/>
      <protection hidden="1"/>
    </xf>
    <xf numFmtId="0" fontId="5" fillId="16" borderId="0" xfId="0" applyFont="1" applyFill="1" applyAlignment="1" applyProtection="1">
      <alignment horizontal="centerContinuous"/>
      <protection hidden="1"/>
    </xf>
    <xf numFmtId="0" fontId="53" fillId="16" borderId="0" xfId="0" applyFont="1" applyFill="1" applyAlignment="1" applyProtection="1">
      <alignment horizontal="centerContinuous"/>
      <protection hidden="1"/>
    </xf>
    <xf numFmtId="0" fontId="53" fillId="16" borderId="1" xfId="0" applyFont="1" applyFill="1" applyBorder="1" applyAlignment="1" applyProtection="1">
      <alignment horizontal="center" vertical="center"/>
      <protection hidden="1"/>
    </xf>
    <xf numFmtId="0" fontId="90" fillId="5" borderId="0" xfId="0" applyFont="1" applyFill="1" applyAlignment="1" applyProtection="1">
      <alignment horizontal="center" vertical="top"/>
      <protection hidden="1"/>
    </xf>
    <xf numFmtId="0" fontId="12" fillId="16" borderId="0" xfId="0" applyFont="1" applyFill="1" applyAlignment="1" applyProtection="1">
      <alignment horizontal="center" vertical="top"/>
      <protection hidden="1"/>
    </xf>
    <xf numFmtId="0" fontId="5" fillId="16" borderId="12" xfId="0" applyFont="1" applyFill="1" applyBorder="1" applyProtection="1">
      <protection hidden="1"/>
    </xf>
    <xf numFmtId="0" fontId="16" fillId="16" borderId="0" xfId="0" applyFont="1" applyFill="1" applyAlignment="1" applyProtection="1">
      <alignment horizontal="left" vertical="top"/>
      <protection hidden="1"/>
    </xf>
    <xf numFmtId="0" fontId="16" fillId="16" borderId="1" xfId="0" applyFont="1" applyFill="1" applyBorder="1" applyAlignment="1" applyProtection="1">
      <alignment horizontal="left" vertical="top"/>
      <protection hidden="1"/>
    </xf>
    <xf numFmtId="39" fontId="16" fillId="16" borderId="0" xfId="0" applyNumberFormat="1" applyFont="1" applyFill="1" applyProtection="1">
      <protection hidden="1"/>
    </xf>
    <xf numFmtId="0" fontId="16" fillId="16" borderId="0" xfId="0" applyFont="1" applyFill="1" applyAlignment="1" applyProtection="1">
      <alignment horizontal="center" vertical="center"/>
      <protection hidden="1"/>
    </xf>
    <xf numFmtId="39" fontId="16" fillId="16" borderId="0" xfId="0" applyNumberFormat="1" applyFont="1" applyFill="1" applyAlignment="1" applyProtection="1">
      <alignment vertical="top"/>
      <protection hidden="1"/>
    </xf>
    <xf numFmtId="3" fontId="53" fillId="16" borderId="0" xfId="0" applyNumberFormat="1" applyFont="1" applyFill="1" applyProtection="1">
      <protection hidden="1"/>
    </xf>
    <xf numFmtId="37" fontId="53" fillId="16" borderId="0" xfId="0" applyNumberFormat="1" applyFont="1" applyFill="1" applyAlignment="1" applyProtection="1">
      <alignment horizontal="right"/>
      <protection hidden="1"/>
    </xf>
    <xf numFmtId="0" fontId="16" fillId="16" borderId="5" xfId="0" applyFont="1" applyFill="1" applyBorder="1" applyAlignment="1" applyProtection="1">
      <alignment vertical="center"/>
      <protection hidden="1"/>
    </xf>
    <xf numFmtId="0" fontId="5" fillId="16" borderId="5" xfId="0" quotePrefix="1" applyFont="1" applyFill="1" applyBorder="1" applyAlignment="1" applyProtection="1">
      <alignment horizontal="center"/>
      <protection hidden="1"/>
    </xf>
    <xf numFmtId="37" fontId="53" fillId="15" borderId="5" xfId="0" applyNumberFormat="1" applyFont="1" applyFill="1" applyBorder="1" applyAlignment="1" applyProtection="1">
      <alignment horizontal="right"/>
      <protection hidden="1"/>
    </xf>
    <xf numFmtId="37" fontId="53" fillId="16" borderId="5" xfId="0" applyNumberFormat="1" applyFont="1" applyFill="1" applyBorder="1" applyAlignment="1" applyProtection="1">
      <alignment horizontal="right"/>
      <protection hidden="1"/>
    </xf>
    <xf numFmtId="39" fontId="12" fillId="16" borderId="26" xfId="0" applyNumberFormat="1" applyFont="1" applyFill="1" applyBorder="1" applyAlignment="1" applyProtection="1">
      <alignment horizontal="left" indent="1"/>
      <protection hidden="1"/>
    </xf>
    <xf numFmtId="0" fontId="16" fillId="16" borderId="26" xfId="0" applyFont="1" applyFill="1" applyBorder="1" applyAlignment="1" applyProtection="1">
      <alignment vertical="center"/>
      <protection hidden="1"/>
    </xf>
    <xf numFmtId="0" fontId="16" fillId="16" borderId="9" xfId="0" applyFont="1" applyFill="1" applyBorder="1" applyAlignment="1" applyProtection="1">
      <alignment vertical="center"/>
      <protection hidden="1"/>
    </xf>
    <xf numFmtId="0" fontId="0" fillId="16" borderId="2" xfId="0" applyFill="1" applyBorder="1" applyProtection="1">
      <protection locked="0"/>
    </xf>
    <xf numFmtId="0" fontId="16" fillId="2" borderId="0" xfId="0" applyFont="1" applyFill="1" applyAlignment="1" applyProtection="1">
      <alignment horizontal="center" vertical="top"/>
      <protection hidden="1"/>
    </xf>
    <xf numFmtId="0" fontId="18" fillId="16" borderId="0" xfId="0" applyFont="1" applyFill="1" applyAlignment="1" applyProtection="1">
      <alignment horizontal="centerContinuous"/>
      <protection hidden="1"/>
    </xf>
    <xf numFmtId="39" fontId="53" fillId="25" borderId="0" xfId="0" applyNumberFormat="1" applyFont="1" applyFill="1" applyProtection="1">
      <protection locked="0"/>
    </xf>
    <xf numFmtId="4" fontId="129" fillId="2" borderId="0" xfId="0" quotePrefix="1" applyNumberFormat="1" applyFont="1" applyFill="1" applyProtection="1">
      <protection hidden="1"/>
    </xf>
    <xf numFmtId="4" fontId="135" fillId="2" borderId="0" xfId="0" applyNumberFormat="1" applyFont="1" applyFill="1" applyAlignment="1" applyProtection="1">
      <alignment vertical="center"/>
      <protection hidden="1"/>
    </xf>
    <xf numFmtId="14" fontId="0" fillId="0" borderId="0" xfId="0" applyNumberFormat="1" applyAlignment="1" applyProtection="1">
      <alignment vertical="center"/>
      <protection hidden="1"/>
    </xf>
    <xf numFmtId="0" fontId="3" fillId="16" borderId="26" xfId="0" applyFont="1" applyFill="1" applyBorder="1" applyAlignment="1" applyProtection="1">
      <alignment horizontal="center"/>
      <protection hidden="1"/>
    </xf>
    <xf numFmtId="0" fontId="145" fillId="16" borderId="0" xfId="0" applyFont="1" applyFill="1" applyAlignment="1" applyProtection="1">
      <alignment vertical="top" wrapText="1"/>
      <protection hidden="1"/>
    </xf>
    <xf numFmtId="0" fontId="282" fillId="16" borderId="0" xfId="0" applyFont="1" applyFill="1" applyAlignment="1">
      <alignment horizontal="left" indent="1"/>
    </xf>
    <xf numFmtId="40" fontId="31" fillId="2" borderId="0" xfId="0" applyNumberFormat="1" applyFont="1" applyFill="1" applyAlignment="1" applyProtection="1">
      <alignment horizontal="left"/>
      <protection hidden="1"/>
    </xf>
    <xf numFmtId="0" fontId="27" fillId="2" borderId="8" xfId="0" applyFont="1" applyFill="1" applyBorder="1" applyAlignment="1" applyProtection="1">
      <alignment horizontal="left"/>
      <protection hidden="1"/>
    </xf>
    <xf numFmtId="185" fontId="207" fillId="2" borderId="3" xfId="0" applyNumberFormat="1" applyFont="1" applyFill="1" applyBorder="1" applyAlignment="1" applyProtection="1">
      <alignment horizontal="center"/>
      <protection hidden="1"/>
    </xf>
    <xf numFmtId="3" fontId="5" fillId="17" borderId="10" xfId="0" applyNumberFormat="1" applyFont="1" applyFill="1" applyBorder="1" applyAlignment="1" applyProtection="1">
      <alignment wrapText="1"/>
      <protection locked="0"/>
    </xf>
    <xf numFmtId="185" fontId="207" fillId="16" borderId="25" xfId="0" applyNumberFormat="1" applyFont="1" applyFill="1" applyBorder="1" applyAlignment="1">
      <alignment horizontal="center"/>
    </xf>
    <xf numFmtId="185" fontId="207" fillId="16" borderId="0" xfId="0" applyNumberFormat="1" applyFont="1" applyFill="1" applyAlignment="1">
      <alignment horizontal="center"/>
    </xf>
    <xf numFmtId="0" fontId="0" fillId="37" borderId="9" xfId="0" applyFill="1" applyBorder="1" applyProtection="1">
      <protection hidden="1"/>
    </xf>
    <xf numFmtId="3" fontId="6" fillId="37" borderId="9" xfId="0" applyNumberFormat="1" applyFont="1" applyFill="1" applyBorder="1" applyAlignment="1" applyProtection="1">
      <alignment horizontal="right" vertical="center"/>
      <protection locked="0"/>
    </xf>
    <xf numFmtId="0" fontId="0" fillId="37" borderId="1" xfId="0" applyFill="1" applyBorder="1" applyAlignment="1" applyProtection="1">
      <alignment vertical="top"/>
      <protection hidden="1"/>
    </xf>
    <xf numFmtId="3" fontId="6" fillId="37" borderId="1" xfId="0" applyNumberFormat="1" applyFont="1" applyFill="1" applyBorder="1" applyAlignment="1" applyProtection="1">
      <alignment horizontal="right" vertical="center"/>
      <protection locked="0"/>
    </xf>
    <xf numFmtId="3" fontId="6" fillId="37" borderId="0" xfId="0" applyNumberFormat="1" applyFont="1" applyFill="1" applyAlignment="1" applyProtection="1">
      <alignment horizontal="right" vertical="center"/>
      <protection locked="0"/>
    </xf>
    <xf numFmtId="0" fontId="46" fillId="16" borderId="0" xfId="0" applyFont="1" applyFill="1" applyAlignment="1" applyProtection="1">
      <alignment vertical="center"/>
      <protection hidden="1"/>
    </xf>
    <xf numFmtId="0" fontId="46" fillId="16" borderId="9" xfId="0" applyFont="1" applyFill="1" applyBorder="1" applyAlignment="1" applyProtection="1">
      <alignment vertical="center"/>
      <protection hidden="1"/>
    </xf>
    <xf numFmtId="0" fontId="46" fillId="16" borderId="1" xfId="0" applyFont="1" applyFill="1" applyBorder="1" applyAlignment="1" applyProtection="1">
      <alignment vertical="center"/>
      <protection hidden="1"/>
    </xf>
    <xf numFmtId="0" fontId="6" fillId="2" borderId="16" xfId="0" applyFont="1" applyFill="1" applyBorder="1" applyAlignment="1" applyProtection="1">
      <alignment horizontal="right" vertical="center"/>
      <protection hidden="1"/>
    </xf>
    <xf numFmtId="0" fontId="0" fillId="17" borderId="12" xfId="0" applyFill="1" applyBorder="1" applyAlignment="1" applyProtection="1">
      <alignment wrapText="1"/>
      <protection locked="0"/>
    </xf>
    <xf numFmtId="0" fontId="0" fillId="17" borderId="1" xfId="0" applyFill="1" applyBorder="1" applyAlignment="1" applyProtection="1">
      <alignment wrapText="1"/>
      <protection locked="0"/>
    </xf>
    <xf numFmtId="3" fontId="5" fillId="16" borderId="3" xfId="0" applyNumberFormat="1" applyFont="1" applyFill="1" applyBorder="1" applyAlignment="1" applyProtection="1">
      <alignment wrapText="1"/>
      <protection locked="0"/>
    </xf>
    <xf numFmtId="0" fontId="0" fillId="16" borderId="25" xfId="0" applyFill="1" applyBorder="1" applyAlignment="1" applyProtection="1">
      <alignment wrapText="1"/>
      <protection locked="0"/>
    </xf>
    <xf numFmtId="0" fontId="0" fillId="16" borderId="0" xfId="0" applyFill="1" applyAlignment="1" applyProtection="1">
      <alignment wrapText="1"/>
      <protection locked="0"/>
    </xf>
    <xf numFmtId="0" fontId="3" fillId="8" borderId="15" xfId="0" applyFont="1" applyFill="1" applyBorder="1" applyAlignment="1" applyProtection="1">
      <alignment horizontal="center" vertical="center" wrapText="1"/>
      <protection hidden="1"/>
    </xf>
    <xf numFmtId="3" fontId="21" fillId="16" borderId="217" xfId="0" applyNumberFormat="1" applyFont="1" applyFill="1" applyBorder="1" applyAlignment="1" applyProtection="1">
      <alignment horizontal="right"/>
      <protection hidden="1"/>
    </xf>
    <xf numFmtId="3" fontId="21" fillId="16" borderId="58" xfId="0" applyNumberFormat="1" applyFont="1" applyFill="1" applyBorder="1" applyAlignment="1" applyProtection="1">
      <alignment horizontal="right"/>
      <protection locked="0"/>
    </xf>
    <xf numFmtId="1" fontId="129" fillId="16" borderId="0" xfId="0" applyNumberFormat="1" applyFont="1" applyFill="1"/>
    <xf numFmtId="1" fontId="129" fillId="16" borderId="0" xfId="0" applyNumberFormat="1" applyFont="1" applyFill="1" applyAlignment="1">
      <alignment horizontal="center"/>
    </xf>
    <xf numFmtId="183" fontId="129" fillId="16" borderId="0" xfId="0" applyNumberFormat="1" applyFont="1" applyFill="1" applyAlignment="1">
      <alignment horizontal="center"/>
    </xf>
    <xf numFmtId="0" fontId="131" fillId="16" borderId="0" xfId="0" applyFont="1" applyFill="1" applyAlignment="1" applyProtection="1">
      <alignment horizontal="center" vertical="center"/>
      <protection hidden="1"/>
    </xf>
    <xf numFmtId="0" fontId="145" fillId="2" borderId="0" xfId="0" applyFont="1" applyFill="1" applyAlignment="1" applyProtection="1">
      <alignment horizontal="left"/>
      <protection hidden="1"/>
    </xf>
    <xf numFmtId="0" fontId="210" fillId="16" borderId="0" xfId="0" applyFont="1" applyFill="1" applyAlignment="1" applyProtection="1">
      <alignment horizontal="left"/>
      <protection hidden="1"/>
    </xf>
    <xf numFmtId="0" fontId="210" fillId="16" borderId="0" xfId="0" applyFont="1" applyFill="1" applyAlignment="1" applyProtection="1">
      <alignment horizontal="left" vertical="top"/>
      <protection hidden="1"/>
    </xf>
    <xf numFmtId="37" fontId="5" fillId="16" borderId="8" xfId="0" applyNumberFormat="1" applyFont="1" applyFill="1" applyBorder="1" applyAlignment="1" applyProtection="1">
      <alignment vertical="top"/>
      <protection hidden="1"/>
    </xf>
    <xf numFmtId="0" fontId="5" fillId="16" borderId="8" xfId="0" applyFont="1" applyFill="1" applyBorder="1" applyAlignment="1">
      <alignment vertical="top"/>
    </xf>
    <xf numFmtId="0" fontId="3" fillId="16" borderId="8" xfId="0" applyFont="1" applyFill="1" applyBorder="1" applyAlignment="1" applyProtection="1">
      <alignment horizontal="left" vertical="top"/>
      <protection hidden="1"/>
    </xf>
    <xf numFmtId="0" fontId="5" fillId="16" borderId="8" xfId="0" applyFont="1" applyFill="1" applyBorder="1" applyAlignment="1" applyProtection="1">
      <alignment horizontal="left" vertical="top"/>
      <protection hidden="1"/>
    </xf>
    <xf numFmtId="0" fontId="5" fillId="16" borderId="8" xfId="0" applyFont="1" applyFill="1" applyBorder="1" applyAlignment="1" applyProtection="1">
      <alignment vertical="top"/>
      <protection hidden="1"/>
    </xf>
    <xf numFmtId="0" fontId="5" fillId="16" borderId="8" xfId="0" applyFont="1" applyFill="1" applyBorder="1" applyAlignment="1" applyProtection="1">
      <alignment horizontal="right" vertical="top"/>
      <protection hidden="1"/>
    </xf>
    <xf numFmtId="0" fontId="10" fillId="16" borderId="8" xfId="0" applyFont="1" applyFill="1" applyBorder="1" applyAlignment="1" applyProtection="1">
      <alignment horizontal="left" vertical="top"/>
      <protection hidden="1"/>
    </xf>
    <xf numFmtId="0" fontId="129" fillId="16" borderId="8" xfId="0" applyFont="1" applyFill="1" applyBorder="1" applyAlignment="1" applyProtection="1">
      <alignment vertical="top"/>
      <protection hidden="1"/>
    </xf>
    <xf numFmtId="0" fontId="171" fillId="16" borderId="8" xfId="0" applyFont="1" applyFill="1" applyBorder="1" applyAlignment="1">
      <alignment vertical="top"/>
    </xf>
    <xf numFmtId="0" fontId="131" fillId="3" borderId="0" xfId="0" applyFont="1" applyFill="1" applyAlignment="1" applyProtection="1">
      <alignment wrapText="1"/>
      <protection hidden="1"/>
    </xf>
    <xf numFmtId="0" fontId="289" fillId="16" borderId="0" xfId="0" applyFont="1" applyFill="1" applyAlignment="1" applyProtection="1">
      <alignment horizontal="right" vertical="center" wrapText="1"/>
      <protection hidden="1"/>
    </xf>
    <xf numFmtId="0" fontId="290" fillId="16" borderId="0" xfId="0" applyFont="1" applyFill="1" applyAlignment="1" applyProtection="1">
      <alignment horizontal="center" vertical="center" wrapText="1"/>
      <protection hidden="1"/>
    </xf>
    <xf numFmtId="4" fontId="18" fillId="5" borderId="0" xfId="0" applyNumberFormat="1" applyFont="1" applyFill="1" applyAlignment="1" applyProtection="1">
      <alignment horizontal="center" vertical="center"/>
      <protection locked="0"/>
    </xf>
    <xf numFmtId="0" fontId="271" fillId="16" borderId="13" xfId="0" applyFont="1" applyFill="1" applyBorder="1" applyAlignment="1" applyProtection="1">
      <alignment horizontal="center"/>
      <protection locked="0"/>
    </xf>
    <xf numFmtId="4" fontId="5" fillId="2" borderId="0" xfId="0" quotePrefix="1" applyNumberFormat="1" applyFont="1" applyFill="1" applyAlignment="1" applyProtection="1">
      <alignment horizontal="left" indent="1"/>
      <protection hidden="1"/>
    </xf>
    <xf numFmtId="0" fontId="5" fillId="2" borderId="0" xfId="0" quotePrefix="1" applyFont="1" applyFill="1" applyAlignment="1" applyProtection="1">
      <alignment horizontal="left" indent="1"/>
      <protection hidden="1"/>
    </xf>
    <xf numFmtId="38" fontId="5" fillId="28" borderId="1" xfId="0" applyNumberFormat="1" applyFont="1" applyFill="1" applyBorder="1" applyAlignment="1" applyProtection="1">
      <alignment horizontal="right"/>
      <protection hidden="1"/>
    </xf>
    <xf numFmtId="4" fontId="199" fillId="2" borderId="0" xfId="0" applyNumberFormat="1" applyFont="1" applyFill="1" applyAlignment="1" applyProtection="1">
      <alignment horizontal="center"/>
      <protection hidden="1"/>
    </xf>
    <xf numFmtId="0" fontId="129" fillId="2" borderId="0" xfId="0" applyFont="1" applyFill="1" applyAlignment="1" applyProtection="1">
      <alignment horizontal="right"/>
      <protection hidden="1"/>
    </xf>
    <xf numFmtId="0" fontId="168" fillId="2" borderId="46" xfId="0" applyFont="1" applyFill="1" applyBorder="1" applyAlignment="1" applyProtection="1">
      <alignment horizontal="left" vertical="center"/>
      <protection hidden="1"/>
    </xf>
    <xf numFmtId="37" fontId="129" fillId="16" borderId="0" xfId="0" applyNumberFormat="1" applyFont="1" applyFill="1" applyAlignment="1" applyProtection="1">
      <alignment vertical="top" wrapText="1"/>
      <protection hidden="1"/>
    </xf>
    <xf numFmtId="4" fontId="3" fillId="33" borderId="146" xfId="0" applyNumberFormat="1" applyFont="1" applyFill="1" applyBorder="1" applyAlignment="1" applyProtection="1">
      <alignment horizontal="center" wrapText="1"/>
      <protection locked="0"/>
    </xf>
    <xf numFmtId="4" fontId="3" fillId="33" borderId="147" xfId="0" applyNumberFormat="1" applyFont="1" applyFill="1" applyBorder="1" applyAlignment="1" applyProtection="1">
      <alignment horizontal="center" wrapText="1"/>
      <protection locked="0"/>
    </xf>
    <xf numFmtId="4" fontId="3" fillId="33" borderId="149" xfId="0" applyNumberFormat="1" applyFont="1" applyFill="1" applyBorder="1" applyAlignment="1" applyProtection="1">
      <alignment horizontal="center" wrapText="1"/>
      <protection locked="0"/>
    </xf>
    <xf numFmtId="0" fontId="5" fillId="16" borderId="13" xfId="0" applyFont="1" applyFill="1" applyBorder="1" applyAlignment="1" applyProtection="1">
      <alignment horizontal="center"/>
      <protection locked="0"/>
    </xf>
    <xf numFmtId="1" fontId="0" fillId="10" borderId="0" xfId="0" applyNumberFormat="1" applyFill="1" applyAlignment="1" applyProtection="1">
      <alignment vertical="top"/>
      <protection hidden="1"/>
    </xf>
    <xf numFmtId="37" fontId="131" fillId="16" borderId="0" xfId="0" applyNumberFormat="1" applyFont="1" applyFill="1" applyProtection="1">
      <protection hidden="1"/>
    </xf>
    <xf numFmtId="182" fontId="5" fillId="0" borderId="206" xfId="0" quotePrefix="1" applyNumberFormat="1" applyFont="1" applyBorder="1" applyAlignment="1">
      <alignment horizontal="center"/>
    </xf>
    <xf numFmtId="0" fontId="7" fillId="16" borderId="0" xfId="0" applyFont="1" applyFill="1" applyProtection="1">
      <protection locked="0"/>
    </xf>
    <xf numFmtId="0" fontId="18" fillId="16" borderId="11" xfId="0" applyFont="1" applyFill="1" applyBorder="1" applyAlignment="1" applyProtection="1">
      <alignment horizontal="center"/>
      <protection hidden="1"/>
    </xf>
    <xf numFmtId="0" fontId="18" fillId="16" borderId="16" xfId="0" applyFont="1" applyFill="1" applyBorder="1" applyAlignment="1" applyProtection="1">
      <alignment horizontal="center"/>
      <protection hidden="1"/>
    </xf>
    <xf numFmtId="0" fontId="18" fillId="16" borderId="7" xfId="0" applyFont="1" applyFill="1" applyBorder="1" applyAlignment="1" applyProtection="1">
      <alignment horizontal="center"/>
      <protection hidden="1"/>
    </xf>
    <xf numFmtId="37" fontId="12" fillId="16" borderId="3" xfId="0" applyNumberFormat="1" applyFont="1" applyFill="1" applyBorder="1" applyProtection="1">
      <protection hidden="1"/>
    </xf>
    <xf numFmtId="37" fontId="16" fillId="16" borderId="0" xfId="0" applyNumberFormat="1" applyFont="1" applyFill="1" applyProtection="1">
      <protection hidden="1"/>
    </xf>
    <xf numFmtId="0" fontId="7" fillId="16" borderId="7" xfId="0" applyFont="1" applyFill="1" applyBorder="1" applyProtection="1">
      <protection locked="0"/>
    </xf>
    <xf numFmtId="37" fontId="12" fillId="16" borderId="31" xfId="0" applyNumberFormat="1" applyFont="1" applyFill="1" applyBorder="1" applyProtection="1">
      <protection hidden="1"/>
    </xf>
    <xf numFmtId="37" fontId="12" fillId="16" borderId="9" xfId="0" applyNumberFormat="1" applyFont="1" applyFill="1" applyBorder="1" applyProtection="1">
      <protection hidden="1"/>
    </xf>
    <xf numFmtId="37" fontId="12" fillId="16" borderId="0" xfId="0" applyNumberFormat="1" applyFont="1" applyFill="1" applyProtection="1">
      <protection hidden="1"/>
    </xf>
    <xf numFmtId="3" fontId="184" fillId="16" borderId="0" xfId="0" applyNumberFormat="1" applyFont="1" applyFill="1" applyAlignment="1" applyProtection="1">
      <alignment vertical="center"/>
      <protection hidden="1"/>
    </xf>
    <xf numFmtId="0" fontId="171" fillId="0" borderId="0" xfId="0" applyFont="1" applyAlignment="1" applyProtection="1">
      <alignment horizontal="left"/>
      <protection hidden="1"/>
    </xf>
    <xf numFmtId="37" fontId="5" fillId="28" borderId="1" xfId="0" applyNumberFormat="1" applyFont="1" applyFill="1" applyBorder="1" applyAlignment="1" applyProtection="1">
      <alignment vertical="center"/>
      <protection hidden="1"/>
    </xf>
    <xf numFmtId="37" fontId="129" fillId="0" borderId="0" xfId="0" applyNumberFormat="1" applyFont="1"/>
    <xf numFmtId="37" fontId="0" fillId="17" borderId="2" xfId="0" applyNumberFormat="1" applyFill="1" applyBorder="1" applyAlignment="1" applyProtection="1">
      <alignment horizontal="right" vertical="center"/>
      <protection locked="0"/>
    </xf>
    <xf numFmtId="5" fontId="7" fillId="25" borderId="0" xfId="0" applyNumberFormat="1" applyFont="1" applyFill="1" applyProtection="1">
      <protection hidden="1"/>
    </xf>
    <xf numFmtId="5" fontId="5" fillId="25" borderId="0" xfId="0" applyNumberFormat="1" applyFont="1" applyFill="1" applyAlignment="1" applyProtection="1">
      <alignment vertical="center"/>
      <protection hidden="1"/>
    </xf>
    <xf numFmtId="0" fontId="5" fillId="25" borderId="5" xfId="0" applyFont="1" applyFill="1" applyBorder="1" applyAlignment="1" applyProtection="1">
      <alignment vertical="top"/>
      <protection hidden="1"/>
    </xf>
    <xf numFmtId="0" fontId="4" fillId="16" borderId="0" xfId="0" applyFont="1" applyFill="1" applyAlignment="1" applyProtection="1">
      <alignment horizontal="right"/>
      <protection hidden="1"/>
    </xf>
    <xf numFmtId="0" fontId="3" fillId="25" borderId="0" xfId="0" applyFont="1" applyFill="1" applyAlignment="1" applyProtection="1">
      <alignment horizontal="right"/>
      <protection hidden="1"/>
    </xf>
    <xf numFmtId="0" fontId="5" fillId="25" borderId="21" xfId="0" applyFont="1" applyFill="1" applyBorder="1" applyProtection="1">
      <protection hidden="1"/>
    </xf>
    <xf numFmtId="168" fontId="5" fillId="25" borderId="0" xfId="0" applyNumberFormat="1" applyFont="1" applyFill="1" applyProtection="1">
      <protection hidden="1"/>
    </xf>
    <xf numFmtId="0" fontId="5" fillId="25" borderId="23" xfId="0" applyFont="1" applyFill="1" applyBorder="1" applyProtection="1">
      <protection hidden="1"/>
    </xf>
    <xf numFmtId="0" fontId="20" fillId="25" borderId="0" xfId="0" applyFont="1" applyFill="1" applyProtection="1">
      <protection hidden="1"/>
    </xf>
    <xf numFmtId="0" fontId="3" fillId="25" borderId="0" xfId="0" applyFont="1" applyFill="1" applyAlignment="1" applyProtection="1">
      <alignment horizontal="center"/>
      <protection hidden="1"/>
    </xf>
    <xf numFmtId="0" fontId="3" fillId="16" borderId="13" xfId="0" applyFont="1" applyFill="1" applyBorder="1" applyAlignment="1" applyProtection="1">
      <alignment horizontal="center" vertical="center"/>
      <protection hidden="1"/>
    </xf>
    <xf numFmtId="173" fontId="5" fillId="28" borderId="1" xfId="0" applyNumberFormat="1" applyFont="1" applyFill="1" applyBorder="1" applyProtection="1">
      <protection hidden="1"/>
    </xf>
    <xf numFmtId="0" fontId="292" fillId="25" borderId="0" xfId="0" applyFont="1" applyFill="1" applyAlignment="1" applyProtection="1">
      <alignment vertical="center"/>
      <protection hidden="1"/>
    </xf>
    <xf numFmtId="0" fontId="292" fillId="25" borderId="0" xfId="0" applyFont="1" applyFill="1" applyProtection="1">
      <protection hidden="1"/>
    </xf>
    <xf numFmtId="37" fontId="292" fillId="25" borderId="0" xfId="0" applyNumberFormat="1" applyFont="1" applyFill="1" applyProtection="1">
      <protection hidden="1"/>
    </xf>
    <xf numFmtId="200" fontId="129" fillId="0" borderId="0" xfId="0" applyNumberFormat="1" applyFont="1"/>
    <xf numFmtId="4" fontId="193" fillId="3" borderId="3" xfId="0" applyNumberFormat="1" applyFont="1" applyFill="1" applyBorder="1" applyAlignment="1" applyProtection="1">
      <alignment horizontal="center"/>
      <protection hidden="1"/>
    </xf>
    <xf numFmtId="0" fontId="3" fillId="5" borderId="0" xfId="0" applyFont="1" applyFill="1" applyAlignment="1" applyProtection="1">
      <alignment horizontal="center"/>
      <protection locked="0"/>
    </xf>
    <xf numFmtId="3" fontId="8" fillId="8" borderId="0" xfId="0" applyNumberFormat="1" applyFont="1" applyFill="1" applyAlignment="1" applyProtection="1">
      <alignment horizontal="left"/>
      <protection hidden="1"/>
    </xf>
    <xf numFmtId="3" fontId="129" fillId="0" borderId="0" xfId="0" applyNumberFormat="1" applyFont="1" applyAlignment="1">
      <alignment horizontal="center"/>
    </xf>
    <xf numFmtId="37" fontId="0" fillId="0" borderId="2" xfId="0" applyNumberFormat="1" applyBorder="1" applyAlignment="1" applyProtection="1">
      <alignment vertical="center"/>
      <protection locked="0"/>
    </xf>
    <xf numFmtId="0" fontId="3" fillId="0" borderId="0" xfId="0" applyFont="1" applyAlignment="1">
      <alignment horizontal="center" vertical="center"/>
    </xf>
    <xf numFmtId="182" fontId="234" fillId="0" borderId="206" xfId="0" applyNumberFormat="1" applyFont="1" applyBorder="1" applyAlignment="1">
      <alignment horizontal="center"/>
    </xf>
    <xf numFmtId="182" fontId="5" fillId="0" borderId="6" xfId="0" applyNumberFormat="1" applyFont="1" applyBorder="1" applyAlignment="1">
      <alignment horizontal="right"/>
    </xf>
    <xf numFmtId="182" fontId="184" fillId="0" borderId="206" xfId="0" applyNumberFormat="1" applyFont="1" applyBorder="1" applyAlignment="1">
      <alignment horizontal="center"/>
    </xf>
    <xf numFmtId="0" fontId="12" fillId="3" borderId="26" xfId="0" applyFont="1" applyFill="1" applyBorder="1" applyAlignment="1" applyProtection="1">
      <alignment horizontal="center" vertical="center"/>
      <protection hidden="1"/>
    </xf>
    <xf numFmtId="0" fontId="235" fillId="8" borderId="0" xfId="0" applyFont="1" applyFill="1" applyAlignment="1" applyProtection="1">
      <alignment vertical="center" wrapText="1"/>
      <protection hidden="1"/>
    </xf>
    <xf numFmtId="0" fontId="235" fillId="8" borderId="5" xfId="0" applyFont="1" applyFill="1" applyBorder="1" applyAlignment="1" applyProtection="1">
      <alignment vertical="center" wrapText="1"/>
      <protection hidden="1"/>
    </xf>
    <xf numFmtId="4" fontId="13" fillId="16" borderId="0" xfId="0" applyNumberFormat="1" applyFont="1" applyFill="1" applyAlignment="1" applyProtection="1">
      <alignment vertical="center"/>
      <protection hidden="1"/>
    </xf>
    <xf numFmtId="37" fontId="210" fillId="16" borderId="3" xfId="0" applyNumberFormat="1" applyFont="1" applyFill="1" applyBorder="1" applyAlignment="1" applyProtection="1">
      <alignment horizontal="center" vertical="center"/>
      <protection hidden="1"/>
    </xf>
    <xf numFmtId="0" fontId="210" fillId="16" borderId="0" xfId="0" applyFont="1" applyFill="1" applyAlignment="1" applyProtection="1">
      <alignment horizontal="center" vertical="center"/>
      <protection hidden="1"/>
    </xf>
    <xf numFmtId="0" fontId="234" fillId="0" borderId="0" xfId="0" applyFont="1" applyAlignment="1" applyProtection="1">
      <alignment vertical="center" wrapText="1"/>
      <protection hidden="1"/>
    </xf>
    <xf numFmtId="37" fontId="12" fillId="16" borderId="3" xfId="0" applyNumberFormat="1" applyFont="1" applyFill="1" applyBorder="1" applyProtection="1">
      <protection locked="0"/>
    </xf>
    <xf numFmtId="37" fontId="12" fillId="16" borderId="0" xfId="0" applyNumberFormat="1" applyFont="1" applyFill="1" applyProtection="1">
      <protection locked="0"/>
    </xf>
    <xf numFmtId="0" fontId="8" fillId="16" borderId="0" xfId="0" applyFont="1" applyFill="1" applyAlignment="1" applyProtection="1">
      <alignment horizontal="left" vertical="center"/>
      <protection hidden="1"/>
    </xf>
    <xf numFmtId="0" fontId="12" fillId="16" borderId="35" xfId="0" applyFont="1" applyFill="1" applyBorder="1" applyAlignment="1" applyProtection="1">
      <alignment horizontal="left"/>
      <protection hidden="1"/>
    </xf>
    <xf numFmtId="0" fontId="0" fillId="16" borderId="35" xfId="0" applyFill="1" applyBorder="1" applyProtection="1">
      <protection hidden="1"/>
    </xf>
    <xf numFmtId="0" fontId="23" fillId="16" borderId="35" xfId="0" applyFont="1" applyFill="1" applyBorder="1" applyAlignment="1" applyProtection="1">
      <alignment horizontal="left" vertical="center"/>
      <protection hidden="1"/>
    </xf>
    <xf numFmtId="0" fontId="16" fillId="16" borderId="14" xfId="0" applyFont="1" applyFill="1" applyBorder="1" applyProtection="1">
      <protection hidden="1"/>
    </xf>
    <xf numFmtId="0" fontId="3" fillId="16" borderId="14" xfId="0" applyFont="1" applyFill="1" applyBorder="1" applyAlignment="1" applyProtection="1">
      <alignment horizontal="left" indent="1"/>
      <protection hidden="1"/>
    </xf>
    <xf numFmtId="0" fontId="0" fillId="16" borderId="14" xfId="0" applyFill="1" applyBorder="1" applyAlignment="1" applyProtection="1">
      <alignment horizontal="right" indent="1"/>
      <protection hidden="1"/>
    </xf>
    <xf numFmtId="0" fontId="3" fillId="16" borderId="14" xfId="0" applyFont="1" applyFill="1" applyBorder="1" applyAlignment="1" applyProtection="1">
      <alignment horizontal="right"/>
      <protection hidden="1"/>
    </xf>
    <xf numFmtId="37" fontId="12" fillId="16" borderId="31" xfId="0" applyNumberFormat="1" applyFont="1" applyFill="1" applyBorder="1" applyProtection="1">
      <protection locked="0"/>
    </xf>
    <xf numFmtId="37" fontId="12" fillId="16" borderId="9" xfId="0" applyNumberFormat="1" applyFont="1" applyFill="1" applyBorder="1" applyProtection="1">
      <protection locked="0"/>
    </xf>
    <xf numFmtId="37" fontId="12" fillId="16" borderId="15" xfId="0" applyNumberFormat="1" applyFont="1" applyFill="1" applyBorder="1" applyProtection="1">
      <protection locked="0"/>
    </xf>
    <xf numFmtId="0" fontId="7" fillId="16" borderId="14" xfId="0" applyFont="1" applyFill="1" applyBorder="1" applyAlignment="1" applyProtection="1">
      <alignment horizontal="left"/>
      <protection hidden="1"/>
    </xf>
    <xf numFmtId="0" fontId="10" fillId="16" borderId="14" xfId="0" applyFont="1" applyFill="1" applyBorder="1" applyProtection="1">
      <protection hidden="1"/>
    </xf>
    <xf numFmtId="0" fontId="296" fillId="16" borderId="6" xfId="0" applyFont="1" applyFill="1" applyBorder="1" applyAlignment="1" applyProtection="1">
      <alignment horizontal="centerContinuous" vertical="center"/>
      <protection hidden="1"/>
    </xf>
    <xf numFmtId="0" fontId="3" fillId="17" borderId="1" xfId="0" applyFont="1" applyFill="1" applyBorder="1" applyProtection="1">
      <protection locked="0"/>
    </xf>
    <xf numFmtId="0" fontId="12" fillId="16" borderId="14" xfId="0" applyFont="1" applyFill="1" applyBorder="1" applyAlignment="1" applyProtection="1">
      <alignment horizontal="right"/>
      <protection hidden="1"/>
    </xf>
    <xf numFmtId="0" fontId="12" fillId="16" borderId="14" xfId="0" applyFont="1" applyFill="1" applyBorder="1" applyAlignment="1" applyProtection="1">
      <alignment horizontal="center"/>
      <protection hidden="1"/>
    </xf>
    <xf numFmtId="0" fontId="3" fillId="16" borderId="26" xfId="0" applyFont="1" applyFill="1" applyBorder="1" applyAlignment="1" applyProtection="1">
      <alignment horizontal="left"/>
      <protection hidden="1"/>
    </xf>
    <xf numFmtId="37" fontId="36" fillId="2" borderId="52" xfId="0" applyNumberFormat="1" applyFont="1" applyFill="1" applyBorder="1" applyProtection="1">
      <protection locked="0"/>
    </xf>
    <xf numFmtId="6" fontId="152" fillId="2" borderId="25" xfId="0" applyNumberFormat="1" applyFont="1" applyFill="1" applyBorder="1" applyProtection="1">
      <protection hidden="1"/>
    </xf>
    <xf numFmtId="0" fontId="3" fillId="42" borderId="0" xfId="0" applyFont="1" applyFill="1" applyAlignment="1" applyProtection="1">
      <alignment horizontal="right"/>
      <protection hidden="1"/>
    </xf>
    <xf numFmtId="0" fontId="3" fillId="42" borderId="0" xfId="0" applyFont="1" applyFill="1" applyProtection="1">
      <protection hidden="1"/>
    </xf>
    <xf numFmtId="0" fontId="5" fillId="42" borderId="0" xfId="0" applyFont="1" applyFill="1" applyAlignment="1" applyProtection="1">
      <alignment horizontal="left"/>
      <protection hidden="1"/>
    </xf>
    <xf numFmtId="0" fontId="10" fillId="42" borderId="0" xfId="0" applyFont="1" applyFill="1" applyAlignment="1" applyProtection="1">
      <alignment horizontal="left" vertical="center"/>
      <protection hidden="1"/>
    </xf>
    <xf numFmtId="0" fontId="7" fillId="42" borderId="0" xfId="0" applyFont="1" applyFill="1" applyAlignment="1" applyProtection="1">
      <alignment horizontal="left" vertical="center"/>
      <protection hidden="1"/>
    </xf>
    <xf numFmtId="0" fontId="3" fillId="42" borderId="0" xfId="0" quotePrefix="1" applyFont="1" applyFill="1" applyAlignment="1" applyProtection="1">
      <alignment horizontal="right"/>
      <protection hidden="1"/>
    </xf>
    <xf numFmtId="0" fontId="5" fillId="42" borderId="0" xfId="0" quotePrefix="1" applyFont="1" applyFill="1" applyAlignment="1" applyProtection="1">
      <alignment horizontal="left"/>
      <protection hidden="1"/>
    </xf>
    <xf numFmtId="0" fontId="3" fillId="42" borderId="0" xfId="0" quotePrefix="1" applyFont="1" applyFill="1" applyAlignment="1" applyProtection="1">
      <alignment horizontal="right" vertical="center"/>
      <protection hidden="1"/>
    </xf>
    <xf numFmtId="0" fontId="3" fillId="42" borderId="11" xfId="0" applyFont="1" applyFill="1" applyBorder="1" applyAlignment="1" applyProtection="1">
      <alignment horizontal="center"/>
      <protection hidden="1"/>
    </xf>
    <xf numFmtId="0" fontId="10" fillId="42" borderId="0" xfId="0" quotePrefix="1" applyFont="1" applyFill="1" applyAlignment="1" applyProtection="1">
      <alignment horizontal="left"/>
      <protection hidden="1"/>
    </xf>
    <xf numFmtId="0" fontId="10" fillId="42" borderId="0" xfId="0" quotePrefix="1" applyFont="1" applyFill="1" applyAlignment="1" applyProtection="1">
      <alignment horizontal="right"/>
      <protection hidden="1"/>
    </xf>
    <xf numFmtId="166" fontId="3" fillId="42" borderId="0" xfId="0" applyNumberFormat="1" applyFont="1" applyFill="1" applyAlignment="1" applyProtection="1">
      <alignment horizontal="right"/>
      <protection locked="0"/>
    </xf>
    <xf numFmtId="1" fontId="3" fillId="42" borderId="13" xfId="0" applyNumberFormat="1" applyFont="1" applyFill="1" applyBorder="1" applyAlignment="1" applyProtection="1">
      <alignment horizontal="center"/>
      <protection hidden="1"/>
    </xf>
    <xf numFmtId="166" fontId="3" fillId="42" borderId="0" xfId="0" applyNumberFormat="1" applyFont="1" applyFill="1" applyAlignment="1" applyProtection="1">
      <alignment horizontal="right" indent="1"/>
      <protection locked="0"/>
    </xf>
    <xf numFmtId="0" fontId="5" fillId="42" borderId="0" xfId="0" applyFont="1" applyFill="1" applyProtection="1">
      <protection hidden="1"/>
    </xf>
    <xf numFmtId="0" fontId="10" fillId="42" borderId="0" xfId="0" applyFont="1" applyFill="1" applyProtection="1">
      <protection hidden="1"/>
    </xf>
    <xf numFmtId="0" fontId="10" fillId="42" borderId="0" xfId="0" applyFont="1" applyFill="1" applyAlignment="1" applyProtection="1">
      <alignment horizontal="right"/>
      <protection hidden="1"/>
    </xf>
    <xf numFmtId="0" fontId="29" fillId="42" borderId="0" xfId="0" applyFont="1" applyFill="1" applyAlignment="1" applyProtection="1">
      <alignment horizontal="right"/>
      <protection hidden="1"/>
    </xf>
    <xf numFmtId="0" fontId="7" fillId="42" borderId="0" xfId="0" applyFont="1" applyFill="1" applyProtection="1">
      <protection hidden="1"/>
    </xf>
    <xf numFmtId="0" fontId="0" fillId="42" borderId="0" xfId="0" applyFill="1" applyProtection="1">
      <protection hidden="1"/>
    </xf>
    <xf numFmtId="0" fontId="6"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6" fillId="42" borderId="0" xfId="0" applyFont="1" applyFill="1" applyAlignment="1" applyProtection="1">
      <alignment horizontal="left"/>
      <protection hidden="1"/>
    </xf>
    <xf numFmtId="0" fontId="8" fillId="42" borderId="0" xfId="0" applyFont="1" applyFill="1" applyAlignment="1" applyProtection="1">
      <alignment horizontal="left" vertical="center"/>
      <protection hidden="1"/>
    </xf>
    <xf numFmtId="0" fontId="17" fillId="42" borderId="0" xfId="0" applyFont="1" applyFill="1" applyAlignment="1" applyProtection="1">
      <alignment horizontal="left" vertical="center"/>
      <protection hidden="1"/>
    </xf>
    <xf numFmtId="0" fontId="3" fillId="42" borderId="0" xfId="0" applyFont="1" applyFill="1" applyAlignment="1" applyProtection="1">
      <alignment horizontal="right" vertical="center"/>
      <protection hidden="1"/>
    </xf>
    <xf numFmtId="0" fontId="0" fillId="42" borderId="0" xfId="0" applyFill="1" applyAlignment="1" applyProtection="1">
      <alignment vertical="center"/>
      <protection hidden="1"/>
    </xf>
    <xf numFmtId="0" fontId="10" fillId="42" borderId="0" xfId="0" applyFont="1" applyFill="1" applyAlignment="1" applyProtection="1">
      <alignment vertical="center"/>
      <protection hidden="1"/>
    </xf>
    <xf numFmtId="0" fontId="19" fillId="42" borderId="0" xfId="0" applyFont="1" applyFill="1" applyAlignment="1" applyProtection="1">
      <alignment horizontal="left" vertical="center"/>
      <protection hidden="1"/>
    </xf>
    <xf numFmtId="0" fontId="10" fillId="42" borderId="0" xfId="0" applyFont="1" applyFill="1" applyAlignment="1" applyProtection="1">
      <alignment horizontal="center" vertical="center"/>
      <protection hidden="1"/>
    </xf>
    <xf numFmtId="0" fontId="6" fillId="42" borderId="0" xfId="0" applyFont="1" applyFill="1" applyAlignment="1" applyProtection="1">
      <alignment horizontal="right" vertical="center"/>
      <protection hidden="1"/>
    </xf>
    <xf numFmtId="1" fontId="14" fillId="42" borderId="0" xfId="0" applyNumberFormat="1" applyFont="1" applyFill="1" applyAlignment="1" applyProtection="1">
      <alignment horizontal="center" vertical="center"/>
      <protection hidden="1"/>
    </xf>
    <xf numFmtId="1" fontId="10" fillId="42" borderId="0" xfId="0" applyNumberFormat="1" applyFont="1" applyFill="1" applyAlignment="1" applyProtection="1">
      <alignment horizontal="right" vertical="center"/>
      <protection hidden="1"/>
    </xf>
    <xf numFmtId="1" fontId="7" fillId="42" borderId="0" xfId="0" applyNumberFormat="1" applyFont="1" applyFill="1" applyAlignment="1" applyProtection="1">
      <alignment horizontal="right" vertical="center"/>
      <protection hidden="1"/>
    </xf>
    <xf numFmtId="0" fontId="14" fillId="42" borderId="5" xfId="0" applyFont="1" applyFill="1" applyBorder="1" applyProtection="1">
      <protection hidden="1"/>
    </xf>
    <xf numFmtId="0" fontId="3" fillId="42" borderId="5" xfId="0" applyFont="1" applyFill="1" applyBorder="1" applyAlignment="1" applyProtection="1">
      <alignment horizontal="right"/>
      <protection hidden="1"/>
    </xf>
    <xf numFmtId="0" fontId="0" fillId="42" borderId="5" xfId="0" applyFill="1" applyBorder="1" applyProtection="1">
      <protection hidden="1"/>
    </xf>
    <xf numFmtId="0" fontId="10" fillId="42" borderId="5" xfId="0" applyFont="1" applyFill="1" applyBorder="1" applyProtection="1">
      <protection hidden="1"/>
    </xf>
    <xf numFmtId="0" fontId="85" fillId="42" borderId="5" xfId="0" applyFont="1" applyFill="1" applyBorder="1" applyProtection="1">
      <protection hidden="1"/>
    </xf>
    <xf numFmtId="0" fontId="6" fillId="42" borderId="5" xfId="0" applyFont="1" applyFill="1" applyBorder="1" applyAlignment="1" applyProtection="1">
      <alignment horizontal="right"/>
      <protection hidden="1"/>
    </xf>
    <xf numFmtId="4" fontId="7" fillId="42" borderId="5" xfId="0" applyNumberFormat="1" applyFont="1" applyFill="1" applyBorder="1" applyProtection="1">
      <protection hidden="1"/>
    </xf>
    <xf numFmtId="0" fontId="85" fillId="42" borderId="5" xfId="0" applyFont="1" applyFill="1" applyBorder="1" applyAlignment="1" applyProtection="1">
      <alignment horizontal="right"/>
      <protection hidden="1"/>
    </xf>
    <xf numFmtId="4" fontId="10" fillId="42" borderId="5" xfId="0" applyNumberFormat="1" applyFont="1" applyFill="1" applyBorder="1" applyAlignment="1" applyProtection="1">
      <alignment horizontal="right"/>
      <protection hidden="1"/>
    </xf>
    <xf numFmtId="0" fontId="85" fillId="42" borderId="0" xfId="0" applyFont="1" applyFill="1" applyProtection="1">
      <protection hidden="1"/>
    </xf>
    <xf numFmtId="0" fontId="10" fillId="42" borderId="8" xfId="0" applyFont="1" applyFill="1" applyBorder="1" applyProtection="1">
      <protection hidden="1"/>
    </xf>
    <xf numFmtId="0" fontId="6" fillId="42" borderId="204" xfId="0" applyFont="1" applyFill="1" applyBorder="1" applyAlignment="1" applyProtection="1">
      <alignment horizontal="right"/>
      <protection hidden="1"/>
    </xf>
    <xf numFmtId="0" fontId="0" fillId="42" borderId="25" xfId="0" applyFill="1" applyBorder="1" applyAlignment="1" applyProtection="1">
      <alignment horizontal="right"/>
      <protection locked="0" hidden="1"/>
    </xf>
    <xf numFmtId="0" fontId="17" fillId="42" borderId="0" xfId="0" applyFont="1" applyFill="1" applyProtection="1">
      <protection hidden="1"/>
    </xf>
    <xf numFmtId="0" fontId="17" fillId="42" borderId="0" xfId="0" applyFont="1" applyFill="1" applyProtection="1">
      <protection locked="0"/>
    </xf>
    <xf numFmtId="0" fontId="136" fillId="42" borderId="0" xfId="0" applyFont="1" applyFill="1" applyProtection="1">
      <protection hidden="1"/>
    </xf>
    <xf numFmtId="0" fontId="8" fillId="42" borderId="5" xfId="0" applyFont="1" applyFill="1" applyBorder="1" applyProtection="1">
      <protection hidden="1"/>
    </xf>
    <xf numFmtId="0" fontId="7" fillId="42" borderId="5" xfId="0" applyFont="1" applyFill="1" applyBorder="1" applyAlignment="1" applyProtection="1">
      <alignment vertical="center"/>
      <protection hidden="1"/>
    </xf>
    <xf numFmtId="0" fontId="3" fillId="42" borderId="3" xfId="0" applyFont="1" applyFill="1" applyBorder="1" applyAlignment="1" applyProtection="1">
      <alignment horizontal="right"/>
      <protection hidden="1"/>
    </xf>
    <xf numFmtId="0" fontId="3" fillId="42" borderId="0" xfId="0" applyFont="1" applyFill="1" applyAlignment="1" applyProtection="1">
      <alignment vertical="center"/>
      <protection hidden="1"/>
    </xf>
    <xf numFmtId="0" fontId="3" fillId="42" borderId="5" xfId="0" applyFont="1" applyFill="1" applyBorder="1" applyProtection="1">
      <protection hidden="1"/>
    </xf>
    <xf numFmtId="1" fontId="3" fillId="42" borderId="13" xfId="0" applyNumberFormat="1" applyFont="1" applyFill="1" applyBorder="1" applyAlignment="1" applyProtection="1">
      <alignment horizontal="center" vertical="center"/>
      <protection hidden="1"/>
    </xf>
    <xf numFmtId="1" fontId="3" fillId="42" borderId="11" xfId="0" applyNumberFormat="1" applyFont="1" applyFill="1" applyBorder="1" applyAlignment="1" applyProtection="1">
      <alignment horizontal="center" vertical="center"/>
      <protection hidden="1"/>
    </xf>
    <xf numFmtId="0" fontId="0" fillId="42" borderId="0" xfId="0" applyFill="1" applyAlignment="1" applyProtection="1">
      <alignment horizontal="right"/>
      <protection hidden="1"/>
    </xf>
    <xf numFmtId="0" fontId="7" fillId="42" borderId="5" xfId="0" applyFont="1" applyFill="1" applyBorder="1" applyProtection="1">
      <protection hidden="1"/>
    </xf>
    <xf numFmtId="0" fontId="0" fillId="42" borderId="5" xfId="0" applyFill="1" applyBorder="1" applyAlignment="1" applyProtection="1">
      <alignment horizontal="right"/>
      <protection hidden="1"/>
    </xf>
    <xf numFmtId="166" fontId="3" fillId="42" borderId="5" xfId="0" applyNumberFormat="1" applyFont="1" applyFill="1" applyBorder="1" applyAlignment="1" applyProtection="1">
      <alignment horizontal="right"/>
      <protection locked="0"/>
    </xf>
    <xf numFmtId="1" fontId="3" fillId="42" borderId="52" xfId="0" applyNumberFormat="1" applyFont="1" applyFill="1" applyBorder="1" applyAlignment="1" applyProtection="1">
      <alignment horizontal="center" vertical="center"/>
      <protection hidden="1"/>
    </xf>
    <xf numFmtId="1" fontId="3" fillId="42" borderId="7" xfId="0" applyNumberFormat="1" applyFont="1" applyFill="1" applyBorder="1" applyAlignment="1" applyProtection="1">
      <alignment horizontal="center"/>
      <protection hidden="1"/>
    </xf>
    <xf numFmtId="0" fontId="3" fillId="42" borderId="11" xfId="0" quotePrefix="1" applyFont="1" applyFill="1" applyBorder="1" applyAlignment="1" applyProtection="1">
      <alignment horizontal="right"/>
      <protection hidden="1"/>
    </xf>
    <xf numFmtId="0" fontId="3" fillId="42" borderId="13" xfId="0" quotePrefix="1" applyFont="1" applyFill="1" applyBorder="1" applyAlignment="1" applyProtection="1">
      <alignment horizontal="right"/>
      <protection hidden="1"/>
    </xf>
    <xf numFmtId="0" fontId="3" fillId="42" borderId="52" xfId="0" quotePrefix="1" applyFont="1" applyFill="1" applyBorder="1" applyAlignment="1" applyProtection="1">
      <alignment horizontal="right"/>
      <protection hidden="1"/>
    </xf>
    <xf numFmtId="0" fontId="7" fillId="42" borderId="0" xfId="0" applyFont="1" applyFill="1" applyAlignment="1" applyProtection="1">
      <alignment horizontal="left"/>
      <protection hidden="1"/>
    </xf>
    <xf numFmtId="1" fontId="3" fillId="42" borderId="11" xfId="0" applyNumberFormat="1" applyFont="1" applyFill="1" applyBorder="1" applyAlignment="1" applyProtection="1">
      <alignment horizontal="center"/>
      <protection hidden="1"/>
    </xf>
    <xf numFmtId="0" fontId="5" fillId="42" borderId="0" xfId="0" applyFont="1" applyFill="1" applyAlignment="1" applyProtection="1">
      <alignment vertical="top"/>
      <protection hidden="1"/>
    </xf>
    <xf numFmtId="0" fontId="7" fillId="42" borderId="0" xfId="0" applyFont="1" applyFill="1" applyAlignment="1" applyProtection="1">
      <alignment vertical="top"/>
      <protection hidden="1"/>
    </xf>
    <xf numFmtId="0" fontId="10" fillId="42" borderId="0" xfId="0" applyFont="1" applyFill="1" applyAlignment="1" applyProtection="1">
      <alignment horizontal="centerContinuous" vertical="center"/>
      <protection hidden="1"/>
    </xf>
    <xf numFmtId="0" fontId="10" fillId="42" borderId="1" xfId="0" applyFont="1" applyFill="1" applyBorder="1" applyAlignment="1" applyProtection="1">
      <alignment horizontal="centerContinuous" vertical="center"/>
      <protection hidden="1"/>
    </xf>
    <xf numFmtId="0" fontId="5" fillId="42" borderId="0" xfId="0" applyFont="1" applyFill="1" applyAlignment="1" applyProtection="1">
      <alignment horizontal="right" vertical="top"/>
      <protection hidden="1"/>
    </xf>
    <xf numFmtId="0" fontId="10" fillId="42" borderId="0" xfId="0" applyFont="1" applyFill="1" applyAlignment="1">
      <alignment horizontal="right" vertical="center"/>
    </xf>
    <xf numFmtId="0" fontId="7" fillId="42" borderId="0" xfId="0" applyFont="1" applyFill="1" applyAlignment="1">
      <alignment horizontal="left"/>
    </xf>
    <xf numFmtId="0" fontId="10" fillId="42" borderId="0" xfId="0" applyFont="1" applyFill="1" applyAlignment="1">
      <alignment horizontal="left" vertical="center"/>
    </xf>
    <xf numFmtId="0" fontId="10" fillId="42" borderId="0" xfId="0" applyFont="1" applyFill="1" applyAlignment="1">
      <alignment horizontal="left" vertical="top" wrapText="1"/>
    </xf>
    <xf numFmtId="0" fontId="7" fillId="42" borderId="0" xfId="0" applyFont="1" applyFill="1" applyAlignment="1">
      <alignment horizontal="left" vertical="top"/>
    </xf>
    <xf numFmtId="0" fontId="7" fillId="42" borderId="3" xfId="0" applyFont="1" applyFill="1" applyBorder="1" applyAlignment="1" applyProtection="1">
      <alignment horizontal="left" vertical="top"/>
      <protection hidden="1"/>
    </xf>
    <xf numFmtId="0" fontId="10" fillId="42" borderId="1" xfId="0" applyFont="1" applyFill="1" applyBorder="1" applyAlignment="1">
      <alignment horizontal="left" vertical="center"/>
    </xf>
    <xf numFmtId="0" fontId="10" fillId="42" borderId="1" xfId="0" applyFont="1" applyFill="1" applyBorder="1" applyAlignment="1">
      <alignment horizontal="left" vertical="top" wrapText="1"/>
    </xf>
    <xf numFmtId="0" fontId="10" fillId="42" borderId="1" xfId="0" applyFont="1" applyFill="1" applyBorder="1" applyAlignment="1" applyProtection="1">
      <alignment horizontal="left" vertical="center"/>
      <protection hidden="1"/>
    </xf>
    <xf numFmtId="0" fontId="10" fillId="42" borderId="9" xfId="0" applyFont="1" applyFill="1" applyBorder="1" applyAlignment="1">
      <alignment horizontal="left" vertical="center"/>
    </xf>
    <xf numFmtId="0" fontId="10" fillId="42" borderId="9" xfId="0" applyFont="1" applyFill="1" applyBorder="1" applyAlignment="1">
      <alignment horizontal="left" vertical="top" wrapText="1"/>
    </xf>
    <xf numFmtId="0" fontId="10" fillId="42" borderId="9" xfId="0" applyFont="1" applyFill="1" applyBorder="1" applyAlignment="1" applyProtection="1">
      <alignment horizontal="left" vertical="center"/>
      <protection hidden="1"/>
    </xf>
    <xf numFmtId="0" fontId="7" fillId="42" borderId="3" xfId="0" applyFont="1" applyFill="1" applyBorder="1" applyAlignment="1" applyProtection="1">
      <alignment horizontal="left" vertical="center"/>
      <protection hidden="1"/>
    </xf>
    <xf numFmtId="0" fontId="10" fillId="42" borderId="3" xfId="0" applyFont="1" applyFill="1" applyBorder="1" applyAlignment="1" applyProtection="1">
      <alignment horizontal="left" vertical="center"/>
      <protection hidden="1"/>
    </xf>
    <xf numFmtId="0" fontId="10" fillId="42" borderId="0" xfId="0" applyFont="1" applyFill="1" applyAlignment="1" applyProtection="1">
      <alignment horizontal="left" vertical="top" wrapText="1"/>
      <protection hidden="1"/>
    </xf>
    <xf numFmtId="0" fontId="10" fillId="42" borderId="15" xfId="0" applyFont="1" applyFill="1" applyBorder="1" applyAlignment="1">
      <alignment horizontal="left" vertical="top" wrapText="1"/>
    </xf>
    <xf numFmtId="0" fontId="10" fillId="42" borderId="31" xfId="0" applyFont="1" applyFill="1" applyBorder="1" applyAlignment="1" applyProtection="1">
      <alignment horizontal="left" vertical="center"/>
      <protection hidden="1"/>
    </xf>
    <xf numFmtId="0" fontId="10" fillId="42" borderId="25" xfId="0" applyFont="1" applyFill="1" applyBorder="1" applyAlignment="1">
      <alignment horizontal="left" vertical="center"/>
    </xf>
    <xf numFmtId="0" fontId="10" fillId="42" borderId="3" xfId="0" applyFont="1" applyFill="1" applyBorder="1" applyAlignment="1">
      <alignment horizontal="left" vertical="center"/>
    </xf>
    <xf numFmtId="0" fontId="13" fillId="42" borderId="0" xfId="0" quotePrefix="1" applyFont="1" applyFill="1" applyAlignment="1">
      <alignment horizontal="left" vertical="top"/>
    </xf>
    <xf numFmtId="0" fontId="10" fillId="42" borderId="0" xfId="0" applyFont="1" applyFill="1" applyAlignment="1">
      <alignment horizontal="left" vertical="top"/>
    </xf>
    <xf numFmtId="1" fontId="3" fillId="42" borderId="29" xfId="0" applyNumberFormat="1" applyFont="1" applyFill="1" applyBorder="1" applyAlignment="1" applyProtection="1">
      <alignment horizontal="center"/>
      <protection hidden="1"/>
    </xf>
    <xf numFmtId="0" fontId="3" fillId="42" borderId="1" xfId="0" applyFont="1" applyFill="1" applyBorder="1" applyProtection="1">
      <protection hidden="1"/>
    </xf>
    <xf numFmtId="0" fontId="7" fillId="42" borderId="1" xfId="0" applyFont="1" applyFill="1" applyBorder="1" applyProtection="1">
      <protection hidden="1"/>
    </xf>
    <xf numFmtId="0" fontId="10" fillId="42" borderId="1" xfId="0" applyFont="1" applyFill="1" applyBorder="1" applyProtection="1">
      <protection hidden="1"/>
    </xf>
    <xf numFmtId="1" fontId="3" fillId="42" borderId="52" xfId="0" applyNumberFormat="1" applyFont="1" applyFill="1" applyBorder="1" applyAlignment="1" applyProtection="1">
      <alignment horizontal="center"/>
      <protection hidden="1"/>
    </xf>
    <xf numFmtId="166" fontId="3" fillId="42" borderId="1" xfId="0" applyNumberFormat="1" applyFont="1" applyFill="1" applyBorder="1" applyAlignment="1" applyProtection="1">
      <alignment horizontal="right"/>
      <protection locked="0"/>
    </xf>
    <xf numFmtId="167" fontId="8" fillId="42" borderId="25" xfId="0" applyNumberFormat="1" applyFont="1" applyFill="1" applyBorder="1" applyAlignment="1" applyProtection="1">
      <alignment horizontal="right" vertical="center"/>
      <protection hidden="1"/>
    </xf>
    <xf numFmtId="167" fontId="7" fillId="42" borderId="0" xfId="0" applyNumberFormat="1" applyFont="1" applyFill="1" applyAlignment="1" applyProtection="1">
      <alignment horizontal="left"/>
      <protection hidden="1"/>
    </xf>
    <xf numFmtId="0" fontId="8" fillId="42" borderId="0" xfId="0" applyFont="1" applyFill="1" applyAlignment="1" applyProtection="1">
      <alignment horizontal="right"/>
      <protection hidden="1"/>
    </xf>
    <xf numFmtId="0" fontId="7" fillId="42" borderId="0" xfId="0" applyFont="1" applyFill="1" applyAlignment="1" applyProtection="1">
      <alignment horizontal="center" vertical="center"/>
      <protection hidden="1"/>
    </xf>
    <xf numFmtId="0" fontId="0" fillId="42" borderId="0" xfId="0" applyFill="1" applyAlignment="1">
      <alignment horizontal="center"/>
    </xf>
    <xf numFmtId="4" fontId="7" fillId="42" borderId="0" xfId="0" applyNumberFormat="1" applyFont="1" applyFill="1" applyProtection="1">
      <protection hidden="1"/>
    </xf>
    <xf numFmtId="4" fontId="10" fillId="42" borderId="0" xfId="0" applyNumberFormat="1" applyFont="1" applyFill="1" applyProtection="1">
      <protection hidden="1"/>
    </xf>
    <xf numFmtId="0" fontId="8" fillId="42" borderId="0" xfId="0" applyFont="1" applyFill="1" applyProtection="1">
      <protection hidden="1"/>
    </xf>
    <xf numFmtId="0" fontId="3" fillId="42" borderId="0" xfId="0" applyFont="1" applyFill="1" applyAlignment="1" applyProtection="1">
      <alignment horizontal="right" indent="1"/>
      <protection hidden="1"/>
    </xf>
    <xf numFmtId="0" fontId="3" fillId="42" borderId="16" xfId="0" applyFont="1" applyFill="1" applyBorder="1" applyAlignment="1" applyProtection="1">
      <alignment horizontal="center"/>
      <protection hidden="1"/>
    </xf>
    <xf numFmtId="0" fontId="3" fillId="42" borderId="9" xfId="0" applyFont="1" applyFill="1" applyBorder="1" applyProtection="1">
      <protection hidden="1"/>
    </xf>
    <xf numFmtId="0" fontId="10" fillId="42" borderId="9" xfId="0" applyFont="1" applyFill="1" applyBorder="1" applyProtection="1">
      <protection hidden="1"/>
    </xf>
    <xf numFmtId="0" fontId="17" fillId="42" borderId="9" xfId="0" applyFont="1" applyFill="1" applyBorder="1" applyProtection="1">
      <protection hidden="1"/>
    </xf>
    <xf numFmtId="0" fontId="7" fillId="42" borderId="9" xfId="0" applyFont="1" applyFill="1" applyBorder="1" applyAlignment="1" applyProtection="1">
      <alignment horizontal="center" vertical="center"/>
      <protection hidden="1"/>
    </xf>
    <xf numFmtId="0" fontId="0" fillId="42" borderId="9" xfId="0" applyFill="1" applyBorder="1" applyAlignment="1">
      <alignment horizontal="center"/>
    </xf>
    <xf numFmtId="166" fontId="3" fillId="42" borderId="71" xfId="0" applyNumberFormat="1" applyFont="1" applyFill="1" applyBorder="1" applyAlignment="1" applyProtection="1">
      <alignment horizontal="right" indent="1"/>
      <protection locked="0"/>
    </xf>
    <xf numFmtId="0" fontId="3" fillId="42" borderId="52" xfId="0" applyFont="1" applyFill="1" applyBorder="1" applyAlignment="1" applyProtection="1">
      <alignment horizontal="center"/>
      <protection hidden="1"/>
    </xf>
    <xf numFmtId="0" fontId="10" fillId="42" borderId="0" xfId="0" applyFont="1" applyFill="1" applyAlignment="1" applyProtection="1">
      <alignment wrapText="1"/>
      <protection hidden="1"/>
    </xf>
    <xf numFmtId="0" fontId="19" fillId="42" borderId="0" xfId="0" applyFont="1" applyFill="1" applyProtection="1">
      <protection hidden="1"/>
    </xf>
    <xf numFmtId="0" fontId="19" fillId="42" borderId="0" xfId="0" applyFont="1" applyFill="1" applyAlignment="1" applyProtection="1">
      <alignment vertical="top"/>
      <protection hidden="1"/>
    </xf>
    <xf numFmtId="0" fontId="10" fillId="42" borderId="0" xfId="0" applyFont="1" applyFill="1" applyAlignment="1" applyProtection="1">
      <alignment vertical="top"/>
      <protection hidden="1"/>
    </xf>
    <xf numFmtId="0" fontId="7" fillId="42" borderId="0" xfId="0" applyFont="1" applyFill="1" applyAlignment="1" applyProtection="1">
      <alignment horizontal="left" vertical="center" indent="1"/>
      <protection hidden="1"/>
    </xf>
    <xf numFmtId="0" fontId="0" fillId="42" borderId="0" xfId="0" applyFill="1" applyAlignment="1">
      <alignment horizontal="right" indent="1"/>
    </xf>
    <xf numFmtId="0" fontId="5" fillId="42" borderId="1" xfId="0" applyFont="1" applyFill="1" applyBorder="1" applyAlignment="1" applyProtection="1">
      <alignment horizontal="right" vertical="top"/>
      <protection hidden="1"/>
    </xf>
    <xf numFmtId="0" fontId="7" fillId="42" borderId="3" xfId="0" applyFont="1" applyFill="1" applyBorder="1" applyAlignment="1" applyProtection="1">
      <alignment vertical="top"/>
      <protection hidden="1"/>
    </xf>
    <xf numFmtId="0" fontId="7" fillId="42" borderId="10" xfId="0" applyFont="1" applyFill="1" applyBorder="1" applyAlignment="1" applyProtection="1">
      <alignment vertical="top"/>
      <protection hidden="1"/>
    </xf>
    <xf numFmtId="0" fontId="7" fillId="42" borderId="1" xfId="0" applyFont="1" applyFill="1" applyBorder="1" applyAlignment="1" applyProtection="1">
      <alignment vertical="top"/>
      <protection hidden="1"/>
    </xf>
    <xf numFmtId="0" fontId="10" fillId="42" borderId="1" xfId="0" applyFont="1" applyFill="1" applyBorder="1" applyAlignment="1" applyProtection="1">
      <alignment horizontal="center" vertical="center"/>
      <protection hidden="1"/>
    </xf>
    <xf numFmtId="0" fontId="7" fillId="42" borderId="26" xfId="0" applyFont="1" applyFill="1" applyBorder="1" applyAlignment="1" applyProtection="1">
      <alignment vertical="top"/>
      <protection hidden="1"/>
    </xf>
    <xf numFmtId="0" fontId="10" fillId="42" borderId="1" xfId="0" applyFont="1" applyFill="1" applyBorder="1" applyAlignment="1" applyProtection="1">
      <alignment horizontal="left"/>
      <protection hidden="1"/>
    </xf>
    <xf numFmtId="0" fontId="10" fillId="42" borderId="0" xfId="0" applyFont="1" applyFill="1" applyAlignment="1" applyProtection="1">
      <alignment horizontal="left"/>
      <protection hidden="1"/>
    </xf>
    <xf numFmtId="0" fontId="10" fillId="42" borderId="0" xfId="0" applyFont="1" applyFill="1" applyAlignment="1" applyProtection="1">
      <alignment horizontal="center" wrapText="1"/>
      <protection hidden="1"/>
    </xf>
    <xf numFmtId="0" fontId="23" fillId="42" borderId="14" xfId="0" applyFont="1" applyFill="1" applyBorder="1" applyAlignment="1" applyProtection="1">
      <alignment vertical="center"/>
      <protection hidden="1"/>
    </xf>
    <xf numFmtId="0" fontId="12" fillId="42" borderId="14" xfId="0" applyFont="1" applyFill="1" applyBorder="1" applyAlignment="1" applyProtection="1">
      <alignment horizontal="left"/>
      <protection hidden="1"/>
    </xf>
    <xf numFmtId="0" fontId="23" fillId="42" borderId="0" xfId="0" applyFont="1" applyFill="1" applyAlignment="1" applyProtection="1">
      <alignment vertical="center"/>
      <protection hidden="1"/>
    </xf>
    <xf numFmtId="0" fontId="12" fillId="42" borderId="0" xfId="0" applyFont="1" applyFill="1" applyAlignment="1" applyProtection="1">
      <alignment horizontal="left"/>
      <protection hidden="1"/>
    </xf>
    <xf numFmtId="0" fontId="10" fillId="42" borderId="17" xfId="0" applyFont="1" applyFill="1" applyBorder="1" applyAlignment="1" applyProtection="1">
      <alignment horizontal="center" wrapText="1"/>
      <protection hidden="1"/>
    </xf>
    <xf numFmtId="0" fontId="19" fillId="42" borderId="0" xfId="0" applyFont="1" applyFill="1" applyAlignment="1" applyProtection="1">
      <alignment horizontal="center"/>
      <protection hidden="1"/>
    </xf>
    <xf numFmtId="0" fontId="19" fillId="42" borderId="0" xfId="0" applyFont="1" applyFill="1" applyAlignment="1">
      <alignment horizontal="center"/>
    </xf>
    <xf numFmtId="0" fontId="7" fillId="42" borderId="3" xfId="0" applyFont="1" applyFill="1" applyBorder="1" applyAlignment="1" applyProtection="1">
      <alignment horizontal="left"/>
      <protection hidden="1"/>
    </xf>
    <xf numFmtId="0" fontId="10" fillId="42" borderId="25" xfId="0" applyFont="1" applyFill="1" applyBorder="1" applyAlignment="1" applyProtection="1">
      <alignment horizontal="left"/>
      <protection hidden="1"/>
    </xf>
    <xf numFmtId="0" fontId="10" fillId="42" borderId="3" xfId="0" applyFont="1" applyFill="1" applyBorder="1" applyAlignment="1" applyProtection="1">
      <alignment horizontal="left"/>
      <protection hidden="1"/>
    </xf>
    <xf numFmtId="37" fontId="3" fillId="16" borderId="1" xfId="0" applyNumberFormat="1" applyFont="1" applyFill="1" applyBorder="1" applyAlignment="1" applyProtection="1">
      <alignment horizontal="right"/>
      <protection hidden="1"/>
    </xf>
    <xf numFmtId="37" fontId="5" fillId="16" borderId="1" xfId="0" applyNumberFormat="1" applyFont="1" applyFill="1" applyBorder="1" applyAlignment="1" applyProtection="1">
      <alignment horizontal="right"/>
      <protection hidden="1"/>
    </xf>
    <xf numFmtId="37" fontId="5" fillId="16" borderId="12" xfId="0" applyNumberFormat="1" applyFont="1" applyFill="1" applyBorder="1" applyAlignment="1" applyProtection="1">
      <alignment horizontal="right"/>
      <protection hidden="1"/>
    </xf>
    <xf numFmtId="0" fontId="3" fillId="42" borderId="13" xfId="0" quotePrefix="1" applyFont="1" applyFill="1" applyBorder="1" applyAlignment="1" applyProtection="1">
      <alignment horizontal="center"/>
      <protection hidden="1"/>
    </xf>
    <xf numFmtId="0" fontId="7" fillId="42" borderId="9" xfId="0" applyFont="1" applyFill="1" applyBorder="1" applyAlignment="1" applyProtection="1">
      <alignment vertical="center"/>
      <protection hidden="1"/>
    </xf>
    <xf numFmtId="166" fontId="3" fillId="42" borderId="15" xfId="0" applyNumberFormat="1" applyFont="1" applyFill="1" applyBorder="1" applyAlignment="1" applyProtection="1">
      <alignment horizontal="right" vertical="top" indent="1"/>
      <protection locked="0"/>
    </xf>
    <xf numFmtId="0" fontId="5" fillId="42" borderId="1" xfId="0" applyFont="1" applyFill="1" applyBorder="1" applyAlignment="1" applyProtection="1">
      <alignment horizontal="left" vertical="top"/>
      <protection hidden="1"/>
    </xf>
    <xf numFmtId="37" fontId="0" fillId="0" borderId="0" xfId="0" applyNumberFormat="1" applyAlignment="1" applyProtection="1">
      <alignment horizontal="right"/>
      <protection hidden="1"/>
    </xf>
    <xf numFmtId="0" fontId="26" fillId="16" borderId="0" xfId="0" applyFont="1" applyFill="1" applyAlignment="1" applyProtection="1">
      <alignment horizontal="right" vertical="center"/>
      <protection hidden="1"/>
    </xf>
    <xf numFmtId="0" fontId="75" fillId="0" borderId="24" xfId="2" applyBorder="1" applyAlignment="1" applyProtection="1">
      <alignment vertical="center"/>
      <protection hidden="1"/>
    </xf>
    <xf numFmtId="0" fontId="18" fillId="16" borderId="5" xfId="0" applyFont="1" applyFill="1" applyBorder="1" applyProtection="1">
      <protection hidden="1"/>
    </xf>
    <xf numFmtId="0" fontId="3" fillId="16" borderId="8" xfId="0" applyFont="1" applyFill="1" applyBorder="1" applyAlignment="1" applyProtection="1">
      <alignment vertical="center"/>
      <protection hidden="1"/>
    </xf>
    <xf numFmtId="0" fontId="3" fillId="16" borderId="14" xfId="0" applyFont="1" applyFill="1" applyBorder="1" applyProtection="1">
      <protection hidden="1"/>
    </xf>
    <xf numFmtId="0" fontId="18" fillId="20" borderId="7" xfId="0" applyFont="1" applyFill="1" applyBorder="1" applyAlignment="1" applyProtection="1">
      <alignment horizontal="center"/>
      <protection hidden="1"/>
    </xf>
    <xf numFmtId="0" fontId="3" fillId="16" borderId="0" xfId="0" applyFont="1" applyFill="1" applyAlignment="1" applyProtection="1">
      <alignment horizontal="right" vertical="top" wrapText="1"/>
      <protection hidden="1"/>
    </xf>
    <xf numFmtId="0" fontId="5" fillId="16" borderId="0" xfId="0" applyFont="1" applyFill="1" applyAlignment="1" applyProtection="1">
      <alignment wrapText="1"/>
      <protection hidden="1"/>
    </xf>
    <xf numFmtId="0" fontId="3" fillId="16" borderId="3" xfId="0" applyFont="1" applyFill="1" applyBorder="1" applyAlignment="1" applyProtection="1">
      <alignment horizontal="center" vertical="center"/>
      <protection hidden="1"/>
    </xf>
    <xf numFmtId="0" fontId="10" fillId="16" borderId="0" xfId="0" applyFont="1" applyFill="1" applyAlignment="1" applyProtection="1">
      <alignment horizontal="left" vertical="top" wrapText="1"/>
      <protection hidden="1"/>
    </xf>
    <xf numFmtId="0" fontId="0" fillId="16" borderId="210" xfId="0" applyFill="1" applyBorder="1" applyProtection="1">
      <protection hidden="1"/>
    </xf>
    <xf numFmtId="0" fontId="0" fillId="16" borderId="210" xfId="0" applyFill="1" applyBorder="1" applyAlignment="1" applyProtection="1">
      <alignment horizontal="left" vertical="center" wrapText="1" indent="2"/>
      <protection hidden="1"/>
    </xf>
    <xf numFmtId="0" fontId="10" fillId="16" borderId="14" xfId="0" applyFont="1" applyFill="1" applyBorder="1" applyAlignment="1" applyProtection="1">
      <alignment horizontal="left" vertical="top" wrapText="1"/>
      <protection hidden="1"/>
    </xf>
    <xf numFmtId="0" fontId="3" fillId="16" borderId="0" xfId="0" applyFont="1" applyFill="1" applyAlignment="1" applyProtection="1">
      <alignment horizontal="right" wrapText="1"/>
      <protection hidden="1"/>
    </xf>
    <xf numFmtId="0" fontId="3" fillId="20" borderId="10" xfId="0" applyFont="1" applyFill="1" applyBorder="1" applyAlignment="1" applyProtection="1">
      <alignment horizontal="center" vertical="center"/>
      <protection hidden="1"/>
    </xf>
    <xf numFmtId="0" fontId="3" fillId="20" borderId="25" xfId="0" applyFont="1" applyFill="1" applyBorder="1" applyAlignment="1" applyProtection="1">
      <alignment horizontal="center" vertical="center"/>
      <protection hidden="1"/>
    </xf>
    <xf numFmtId="0" fontId="8" fillId="24" borderId="0" xfId="0" applyFont="1" applyFill="1" applyAlignment="1" applyProtection="1">
      <alignment horizontal="center" vertical="center"/>
      <protection hidden="1"/>
    </xf>
    <xf numFmtId="3" fontId="3" fillId="16" borderId="0" xfId="0" applyNumberFormat="1" applyFont="1" applyFill="1" applyAlignment="1" applyProtection="1">
      <alignment horizontal="right" vertical="center"/>
      <protection hidden="1"/>
    </xf>
    <xf numFmtId="3" fontId="0" fillId="16" borderId="0" xfId="0" applyNumberFormat="1" applyFill="1" applyAlignment="1" applyProtection="1">
      <alignment horizontal="right" vertical="center"/>
      <protection hidden="1"/>
    </xf>
    <xf numFmtId="0" fontId="0" fillId="16" borderId="31" xfId="0" applyFill="1" applyBorder="1" applyAlignment="1" applyProtection="1">
      <alignment horizontal="center" vertical="center"/>
      <protection hidden="1"/>
    </xf>
    <xf numFmtId="3" fontId="0" fillId="16" borderId="9" xfId="0" applyNumberFormat="1" applyFill="1" applyBorder="1" applyAlignment="1" applyProtection="1">
      <alignment horizontal="center" vertical="center"/>
      <protection hidden="1"/>
    </xf>
    <xf numFmtId="0" fontId="0" fillId="16" borderId="15" xfId="0" applyFill="1" applyBorder="1" applyAlignment="1">
      <alignment horizontal="center" vertical="center"/>
    </xf>
    <xf numFmtId="0" fontId="0" fillId="20" borderId="25" xfId="0" applyFill="1" applyBorder="1" applyAlignment="1">
      <alignment horizontal="center" vertical="center"/>
    </xf>
    <xf numFmtId="3" fontId="0" fillId="16" borderId="0" xfId="0" applyNumberFormat="1" applyFill="1" applyAlignment="1" applyProtection="1">
      <alignment horizontal="center" vertical="center"/>
      <protection hidden="1"/>
    </xf>
    <xf numFmtId="0" fontId="0" fillId="16" borderId="9" xfId="0" applyFill="1" applyBorder="1" applyAlignment="1">
      <alignment horizontal="center" vertical="center"/>
    </xf>
    <xf numFmtId="0" fontId="5" fillId="16" borderId="12" xfId="0" applyFont="1" applyFill="1" applyBorder="1" applyAlignment="1" applyProtection="1">
      <alignment horizontal="left" vertical="center"/>
      <protection hidden="1"/>
    </xf>
    <xf numFmtId="3" fontId="3" fillId="16" borderId="3" xfId="0" applyNumberFormat="1" applyFont="1" applyFill="1" applyBorder="1" applyAlignment="1" applyProtection="1">
      <alignment vertical="center" wrapText="1"/>
      <protection hidden="1"/>
    </xf>
    <xf numFmtId="3" fontId="0" fillId="16" borderId="0" xfId="0" applyNumberFormat="1" applyFill="1" applyAlignment="1" applyProtection="1">
      <alignment vertical="center" wrapText="1"/>
      <protection hidden="1"/>
    </xf>
    <xf numFmtId="5" fontId="7" fillId="16" borderId="0" xfId="0" applyNumberFormat="1" applyFont="1" applyFill="1" applyProtection="1">
      <protection hidden="1"/>
    </xf>
    <xf numFmtId="0" fontId="8" fillId="16" borderId="0" xfId="0" quotePrefix="1" applyFont="1" applyFill="1" applyAlignment="1" applyProtection="1">
      <alignment horizontal="center"/>
      <protection hidden="1"/>
    </xf>
    <xf numFmtId="0" fontId="7" fillId="16" borderId="0" xfId="0" applyFont="1" applyFill="1" applyAlignment="1" applyProtection="1">
      <alignment horizontal="right"/>
      <protection hidden="1"/>
    </xf>
    <xf numFmtId="0" fontId="8" fillId="16" borderId="13" xfId="0" quotePrefix="1" applyFont="1" applyFill="1" applyBorder="1" applyAlignment="1" applyProtection="1">
      <alignment horizontal="left" vertical="center"/>
      <protection hidden="1"/>
    </xf>
    <xf numFmtId="0" fontId="7" fillId="16" borderId="0" xfId="0" quotePrefix="1" applyFont="1" applyFill="1" applyProtection="1">
      <protection hidden="1"/>
    </xf>
    <xf numFmtId="0" fontId="7" fillId="16" borderId="0" xfId="0" quotePrefix="1" applyFont="1" applyFill="1" applyAlignment="1" applyProtection="1">
      <alignment horizontal="center"/>
      <protection hidden="1"/>
    </xf>
    <xf numFmtId="0" fontId="8" fillId="16" borderId="14" xfId="0" quotePrefix="1" applyFont="1" applyFill="1" applyBorder="1" applyAlignment="1" applyProtection="1">
      <alignment horizontal="center"/>
      <protection hidden="1"/>
    </xf>
    <xf numFmtId="0" fontId="8" fillId="16" borderId="0" xfId="0" applyFont="1" applyFill="1" applyAlignment="1" applyProtection="1">
      <alignment horizontal="right" vertical="center"/>
      <protection hidden="1"/>
    </xf>
    <xf numFmtId="0" fontId="0" fillId="16" borderId="26" xfId="0" applyFill="1" applyBorder="1" applyAlignment="1" applyProtection="1">
      <alignment horizontal="right" vertical="center"/>
      <protection hidden="1"/>
    </xf>
    <xf numFmtId="0" fontId="7" fillId="16" borderId="26" xfId="0" applyFont="1" applyFill="1" applyBorder="1" applyAlignment="1" applyProtection="1">
      <alignment vertical="center"/>
      <protection hidden="1"/>
    </xf>
    <xf numFmtId="0" fontId="7" fillId="16" borderId="26" xfId="0" applyFont="1" applyFill="1" applyBorder="1" applyAlignment="1" applyProtection="1">
      <alignment horizontal="center" vertical="center"/>
      <protection hidden="1"/>
    </xf>
    <xf numFmtId="0" fontId="0" fillId="16" borderId="0" xfId="0" applyFill="1" applyAlignment="1" applyProtection="1">
      <alignment horizontal="left" vertical="center"/>
      <protection hidden="1"/>
    </xf>
    <xf numFmtId="0" fontId="3" fillId="25" borderId="206" xfId="0" applyFont="1" applyFill="1" applyBorder="1" applyAlignment="1" applyProtection="1">
      <alignment horizontal="right"/>
      <protection hidden="1"/>
    </xf>
    <xf numFmtId="0" fontId="131" fillId="0" borderId="0" xfId="0" applyFont="1" applyAlignment="1">
      <alignment horizontal="right"/>
    </xf>
    <xf numFmtId="0" fontId="5" fillId="16" borderId="0" xfId="0" applyFont="1" applyFill="1" applyAlignment="1" applyProtection="1">
      <alignment horizontal="left" vertical="center" wrapText="1"/>
      <protection locked="0"/>
    </xf>
    <xf numFmtId="0" fontId="0" fillId="20" borderId="31" xfId="0" applyFill="1" applyBorder="1" applyAlignment="1" applyProtection="1">
      <alignment horizontal="left" vertical="center"/>
      <protection hidden="1"/>
    </xf>
    <xf numFmtId="0" fontId="0" fillId="20" borderId="15" xfId="0" applyFill="1" applyBorder="1" applyAlignment="1" applyProtection="1">
      <alignment horizontal="left" vertical="center"/>
      <protection hidden="1"/>
    </xf>
    <xf numFmtId="0" fontId="0" fillId="20" borderId="3" xfId="0" applyFill="1" applyBorder="1" applyAlignment="1" applyProtection="1">
      <alignment horizontal="left" vertical="center"/>
      <protection hidden="1"/>
    </xf>
    <xf numFmtId="0" fontId="0" fillId="20" borderId="25" xfId="0" applyFill="1" applyBorder="1" applyAlignment="1" applyProtection="1">
      <alignment horizontal="left" vertical="center"/>
      <protection hidden="1"/>
    </xf>
    <xf numFmtId="0" fontId="0" fillId="16" borderId="31" xfId="0" applyFill="1" applyBorder="1" applyAlignment="1" applyProtection="1">
      <alignment horizontal="left" vertical="center"/>
      <protection hidden="1"/>
    </xf>
    <xf numFmtId="0" fontId="0" fillId="16" borderId="15" xfId="0" applyFill="1" applyBorder="1" applyAlignment="1" applyProtection="1">
      <alignment horizontal="left" vertical="center"/>
      <protection hidden="1"/>
    </xf>
    <xf numFmtId="0" fontId="5" fillId="16" borderId="5" xfId="0" applyFont="1" applyFill="1" applyBorder="1" applyAlignment="1" applyProtection="1">
      <alignment horizontal="right" vertical="center"/>
      <protection hidden="1"/>
    </xf>
    <xf numFmtId="0" fontId="0" fillId="16" borderId="5" xfId="0" applyFill="1" applyBorder="1" applyAlignment="1" applyProtection="1">
      <alignment vertical="center"/>
      <protection hidden="1"/>
    </xf>
    <xf numFmtId="0" fontId="7" fillId="16" borderId="5" xfId="0" applyFont="1" applyFill="1" applyBorder="1" applyAlignment="1" applyProtection="1">
      <alignment vertical="center"/>
      <protection hidden="1"/>
    </xf>
    <xf numFmtId="0" fontId="7" fillId="16" borderId="5" xfId="0" applyFont="1" applyFill="1" applyBorder="1" applyAlignment="1" applyProtection="1">
      <alignment horizontal="center" vertical="center"/>
      <protection hidden="1"/>
    </xf>
    <xf numFmtId="0" fontId="5" fillId="16" borderId="100" xfId="0" applyFont="1" applyFill="1" applyBorder="1" applyAlignment="1" applyProtection="1">
      <alignment horizontal="right" vertical="center"/>
      <protection hidden="1"/>
    </xf>
    <xf numFmtId="0" fontId="0" fillId="16" borderId="100" xfId="0" applyFill="1" applyBorder="1" applyAlignment="1" applyProtection="1">
      <alignment vertical="center"/>
      <protection hidden="1"/>
    </xf>
    <xf numFmtId="0" fontId="7" fillId="16" borderId="100" xfId="0" applyFont="1" applyFill="1" applyBorder="1" applyAlignment="1" applyProtection="1">
      <alignment vertical="center"/>
      <protection hidden="1"/>
    </xf>
    <xf numFmtId="0" fontId="7" fillId="16" borderId="100" xfId="0" applyFont="1" applyFill="1" applyBorder="1" applyAlignment="1" applyProtection="1">
      <alignment horizontal="center" vertical="center"/>
      <protection hidden="1"/>
    </xf>
    <xf numFmtId="0" fontId="3" fillId="16" borderId="17" xfId="0" applyFont="1" applyFill="1" applyBorder="1" applyAlignment="1" applyProtection="1">
      <alignment horizontal="right" vertical="center"/>
      <protection hidden="1"/>
    </xf>
    <xf numFmtId="0" fontId="0" fillId="16" borderId="17" xfId="0" applyFill="1" applyBorder="1" applyAlignment="1" applyProtection="1">
      <alignment vertical="center"/>
      <protection hidden="1"/>
    </xf>
    <xf numFmtId="0" fontId="7" fillId="16" borderId="17" xfId="0" applyFont="1" applyFill="1" applyBorder="1" applyAlignment="1" applyProtection="1">
      <alignment vertical="center"/>
      <protection hidden="1"/>
    </xf>
    <xf numFmtId="0" fontId="7" fillId="16" borderId="17" xfId="0" applyFont="1" applyFill="1" applyBorder="1" applyAlignment="1" applyProtection="1">
      <alignment horizontal="center" vertical="center"/>
      <protection hidden="1"/>
    </xf>
    <xf numFmtId="0" fontId="8" fillId="16" borderId="17" xfId="0" applyFont="1" applyFill="1" applyBorder="1" applyAlignment="1" applyProtection="1">
      <alignment horizontal="right" vertical="center"/>
      <protection hidden="1"/>
    </xf>
    <xf numFmtId="0" fontId="0" fillId="16" borderId="14" xfId="0" applyFill="1" applyBorder="1" applyAlignment="1" applyProtection="1">
      <alignment horizontal="right" vertical="center"/>
      <protection hidden="1"/>
    </xf>
    <xf numFmtId="0" fontId="0" fillId="16" borderId="14" xfId="0" applyFill="1" applyBorder="1" applyAlignment="1" applyProtection="1">
      <alignment vertical="center"/>
      <protection hidden="1"/>
    </xf>
    <xf numFmtId="0" fontId="7" fillId="16" borderId="14" xfId="0" applyFont="1" applyFill="1" applyBorder="1" applyAlignment="1" applyProtection="1">
      <alignment vertical="center"/>
      <protection hidden="1"/>
    </xf>
    <xf numFmtId="0" fontId="7" fillId="16" borderId="14" xfId="0" applyFont="1" applyFill="1" applyBorder="1" applyAlignment="1" applyProtection="1">
      <alignment horizontal="center" vertical="center"/>
      <protection hidden="1"/>
    </xf>
    <xf numFmtId="0" fontId="5" fillId="16" borderId="14" xfId="0" applyFont="1" applyFill="1" applyBorder="1" applyAlignment="1" applyProtection="1">
      <alignment horizontal="right" vertical="center"/>
      <protection hidden="1"/>
    </xf>
    <xf numFmtId="0" fontId="8" fillId="16" borderId="14" xfId="0" applyFont="1" applyFill="1" applyBorder="1" applyAlignment="1" applyProtection="1">
      <alignment horizontal="right" vertical="center"/>
      <protection hidden="1"/>
    </xf>
    <xf numFmtId="0" fontId="16" fillId="16" borderId="35" xfId="0" applyFont="1" applyFill="1" applyBorder="1" applyProtection="1">
      <protection hidden="1"/>
    </xf>
    <xf numFmtId="0" fontId="12" fillId="16" borderId="35" xfId="0" applyFont="1" applyFill="1" applyBorder="1" applyProtection="1">
      <protection hidden="1"/>
    </xf>
    <xf numFmtId="0" fontId="0" fillId="16" borderId="31" xfId="0" applyFill="1" applyBorder="1" applyAlignment="1" applyProtection="1">
      <alignment vertical="center"/>
      <protection hidden="1"/>
    </xf>
    <xf numFmtId="0" fontId="0" fillId="16" borderId="15" xfId="0" applyFill="1" applyBorder="1" applyAlignment="1" applyProtection="1">
      <alignment vertical="center"/>
      <protection hidden="1"/>
    </xf>
    <xf numFmtId="0" fontId="0" fillId="20" borderId="31" xfId="0" applyFill="1" applyBorder="1" applyAlignment="1" applyProtection="1">
      <alignment vertical="center"/>
      <protection hidden="1"/>
    </xf>
    <xf numFmtId="0" fontId="0" fillId="20" borderId="9" xfId="0" applyFill="1" applyBorder="1" applyAlignment="1" applyProtection="1">
      <alignment vertical="center"/>
      <protection hidden="1"/>
    </xf>
    <xf numFmtId="0" fontId="5" fillId="20" borderId="9" xfId="0" applyFont="1" applyFill="1" applyBorder="1" applyAlignment="1" applyProtection="1">
      <alignment horizontal="right" vertical="center"/>
      <protection hidden="1"/>
    </xf>
    <xf numFmtId="0" fontId="8" fillId="20" borderId="9" xfId="0" applyFont="1" applyFill="1" applyBorder="1" applyAlignment="1" applyProtection="1">
      <alignment horizontal="right" vertical="center"/>
      <protection hidden="1"/>
    </xf>
    <xf numFmtId="0" fontId="0" fillId="20" borderId="3" xfId="0" applyFill="1" applyBorder="1" applyAlignment="1" applyProtection="1">
      <alignment vertical="center"/>
      <protection hidden="1"/>
    </xf>
    <xf numFmtId="0" fontId="0" fillId="20" borderId="0" xfId="0" applyFill="1" applyAlignment="1" applyProtection="1">
      <alignment vertical="center"/>
      <protection hidden="1"/>
    </xf>
    <xf numFmtId="0" fontId="5" fillId="20" borderId="0" xfId="0" applyFont="1" applyFill="1" applyAlignment="1" applyProtection="1">
      <alignment horizontal="right" vertical="center"/>
      <protection hidden="1"/>
    </xf>
    <xf numFmtId="0" fontId="0" fillId="20" borderId="70" xfId="0" applyFill="1" applyBorder="1" applyAlignment="1" applyProtection="1">
      <alignment vertical="center"/>
      <protection hidden="1"/>
    </xf>
    <xf numFmtId="0" fontId="0" fillId="20" borderId="5" xfId="0" applyFill="1" applyBorder="1" applyAlignment="1" applyProtection="1">
      <alignment vertical="center"/>
      <protection hidden="1"/>
    </xf>
    <xf numFmtId="0" fontId="5" fillId="20" borderId="5" xfId="0" applyFont="1" applyFill="1" applyBorder="1" applyAlignment="1" applyProtection="1">
      <alignment horizontal="right" vertical="center"/>
      <protection hidden="1"/>
    </xf>
    <xf numFmtId="0" fontId="8" fillId="20" borderId="5" xfId="0" applyFont="1" applyFill="1" applyBorder="1" applyAlignment="1" applyProtection="1">
      <alignment horizontal="right" vertical="center"/>
      <protection hidden="1"/>
    </xf>
    <xf numFmtId="0" fontId="0" fillId="20" borderId="53" xfId="0" applyFill="1" applyBorder="1" applyAlignment="1" applyProtection="1">
      <alignment vertical="center"/>
      <protection hidden="1"/>
    </xf>
    <xf numFmtId="0" fontId="0" fillId="20" borderId="32" xfId="0" applyFill="1" applyBorder="1" applyAlignment="1" applyProtection="1">
      <alignment vertical="center"/>
      <protection hidden="1"/>
    </xf>
    <xf numFmtId="6" fontId="5" fillId="16" borderId="0" xfId="0" applyNumberFormat="1" applyFont="1" applyFill="1" applyProtection="1">
      <protection hidden="1"/>
    </xf>
    <xf numFmtId="0" fontId="10" fillId="42" borderId="31" xfId="0" applyFont="1" applyFill="1" applyBorder="1" applyAlignment="1">
      <alignment horizontal="left" vertical="top" wrapText="1"/>
    </xf>
    <xf numFmtId="176" fontId="12" fillId="28" borderId="40" xfId="0" applyNumberFormat="1" applyFont="1" applyFill="1" applyBorder="1" applyAlignment="1" applyProtection="1">
      <alignment horizontal="center" vertical="center"/>
      <protection hidden="1"/>
    </xf>
    <xf numFmtId="176" fontId="12" fillId="28" borderId="205" xfId="0" applyNumberFormat="1" applyFont="1" applyFill="1" applyBorder="1" applyAlignment="1" applyProtection="1">
      <alignment horizontal="center" vertical="center"/>
      <protection hidden="1"/>
    </xf>
    <xf numFmtId="0" fontId="0" fillId="24" borderId="0" xfId="0" applyFill="1"/>
    <xf numFmtId="0" fontId="3" fillId="16" borderId="14" xfId="0" applyFont="1" applyFill="1" applyBorder="1" applyAlignment="1" applyProtection="1">
      <alignment horizontal="center" vertical="center"/>
      <protection hidden="1"/>
    </xf>
    <xf numFmtId="0" fontId="3" fillId="0" borderId="0" xfId="0" applyFont="1" applyAlignment="1">
      <alignment horizontal="center" wrapText="1"/>
    </xf>
    <xf numFmtId="0" fontId="5" fillId="16" borderId="0" xfId="0" applyFont="1" applyFill="1" applyAlignment="1" applyProtection="1">
      <alignment vertical="center" wrapText="1"/>
      <protection locked="0"/>
    </xf>
    <xf numFmtId="0" fontId="0" fillId="0" borderId="44" xfId="0" applyBorder="1" applyAlignment="1">
      <alignment horizontal="center"/>
    </xf>
    <xf numFmtId="0" fontId="0" fillId="0" borderId="67" xfId="0" applyBorder="1" applyAlignment="1">
      <alignment horizontal="center"/>
    </xf>
    <xf numFmtId="0" fontId="0" fillId="0" borderId="13" xfId="0" applyBorder="1" applyAlignment="1">
      <alignment horizontal="center"/>
    </xf>
    <xf numFmtId="0" fontId="0" fillId="0" borderId="59" xfId="0" applyBorder="1" applyAlignment="1">
      <alignment horizontal="center"/>
    </xf>
    <xf numFmtId="0" fontId="0" fillId="0" borderId="52" xfId="0" applyBorder="1" applyAlignment="1">
      <alignment horizontal="center"/>
    </xf>
    <xf numFmtId="0" fontId="0" fillId="0" borderId="111" xfId="0" applyBorder="1" applyAlignment="1">
      <alignment horizontal="center"/>
    </xf>
    <xf numFmtId="0" fontId="141" fillId="0" borderId="0" xfId="0" applyFont="1" applyAlignment="1">
      <alignment vertical="center"/>
    </xf>
    <xf numFmtId="0" fontId="0" fillId="0" borderId="49" xfId="0" applyBorder="1" applyAlignment="1">
      <alignment horizontal="center"/>
    </xf>
    <xf numFmtId="0" fontId="0" fillId="0" borderId="50" xfId="0" applyBorder="1" applyAlignment="1">
      <alignment horizontal="center"/>
    </xf>
    <xf numFmtId="0" fontId="0" fillId="0" borderId="54"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0" fillId="0" borderId="110" xfId="0" applyBorder="1" applyAlignment="1">
      <alignment horizontal="center"/>
    </xf>
    <xf numFmtId="0" fontId="0" fillId="0" borderId="47" xfId="0" applyBorder="1" applyAlignment="1">
      <alignment horizontal="center"/>
    </xf>
    <xf numFmtId="0" fontId="0" fillId="0" borderId="51" xfId="0" applyBorder="1" applyAlignment="1">
      <alignment horizontal="center"/>
    </xf>
    <xf numFmtId="1" fontId="0" fillId="16" borderId="0" xfId="0" applyNumberFormat="1" applyFill="1" applyAlignment="1" applyProtection="1">
      <alignment horizontal="center"/>
      <protection hidden="1"/>
    </xf>
    <xf numFmtId="37" fontId="143" fillId="16" borderId="3" xfId="0" applyNumberFormat="1" applyFont="1" applyFill="1" applyBorder="1" applyProtection="1">
      <protection hidden="1"/>
    </xf>
    <xf numFmtId="0" fontId="89" fillId="2" borderId="0" xfId="0" applyFont="1" applyFill="1" applyAlignment="1" applyProtection="1">
      <alignment horizontal="right"/>
      <protection hidden="1"/>
    </xf>
    <xf numFmtId="0" fontId="89" fillId="0" borderId="0" xfId="0" applyFont="1" applyAlignment="1" applyProtection="1">
      <alignment horizontal="right"/>
      <protection hidden="1"/>
    </xf>
    <xf numFmtId="4" fontId="235" fillId="2" borderId="0" xfId="0" applyNumberFormat="1" applyFont="1" applyFill="1" applyAlignment="1" applyProtection="1">
      <alignment horizontal="left"/>
      <protection hidden="1"/>
    </xf>
    <xf numFmtId="0" fontId="3" fillId="28" borderId="211" xfId="0" applyFont="1" applyFill="1" applyBorder="1" applyAlignment="1" applyProtection="1">
      <alignment horizontal="center" vertical="center"/>
      <protection hidden="1"/>
    </xf>
    <xf numFmtId="0" fontId="18" fillId="0" borderId="0" xfId="0" applyFont="1" applyAlignment="1">
      <alignment horizontal="right"/>
    </xf>
    <xf numFmtId="0" fontId="0" fillId="0" borderId="46" xfId="0" applyBorder="1" applyAlignment="1">
      <alignment horizontal="center"/>
    </xf>
    <xf numFmtId="0" fontId="0" fillId="0" borderId="128" xfId="0" applyBorder="1" applyAlignment="1">
      <alignment horizontal="center"/>
    </xf>
    <xf numFmtId="0" fontId="129" fillId="16" borderId="9" xfId="0" applyFont="1" applyFill="1" applyBorder="1" applyAlignment="1" applyProtection="1">
      <alignment vertical="center"/>
      <protection hidden="1"/>
    </xf>
    <xf numFmtId="0" fontId="129" fillId="16" borderId="15" xfId="0" applyFont="1" applyFill="1" applyBorder="1" applyAlignment="1" applyProtection="1">
      <alignment vertical="center"/>
      <protection hidden="1"/>
    </xf>
    <xf numFmtId="0" fontId="3" fillId="16" borderId="0" xfId="0" quotePrefix="1" applyFont="1" applyFill="1" applyAlignment="1" applyProtection="1">
      <alignment horizontal="right" vertical="center"/>
      <protection hidden="1"/>
    </xf>
    <xf numFmtId="0" fontId="3" fillId="16" borderId="100" xfId="0" quotePrefix="1" applyFont="1" applyFill="1" applyBorder="1" applyAlignment="1" applyProtection="1">
      <alignment horizontal="right" vertical="center"/>
      <protection hidden="1"/>
    </xf>
    <xf numFmtId="0" fontId="3" fillId="16" borderId="13" xfId="0" quotePrefix="1" applyFont="1" applyFill="1" applyBorder="1" applyAlignment="1" applyProtection="1">
      <alignment horizontal="left"/>
      <protection hidden="1"/>
    </xf>
    <xf numFmtId="0" fontId="3" fillId="16" borderId="0" xfId="0" quotePrefix="1" applyFont="1" applyFill="1" applyAlignment="1" applyProtection="1">
      <alignment horizontal="center" vertical="top" wrapText="1"/>
      <protection hidden="1"/>
    </xf>
    <xf numFmtId="0" fontId="3" fillId="16" borderId="0" xfId="0" quotePrefix="1" applyFont="1" applyFill="1" applyAlignment="1" applyProtection="1">
      <alignment horizontal="center" vertical="center" wrapText="1"/>
      <protection hidden="1"/>
    </xf>
    <xf numFmtId="0" fontId="3" fillId="16" borderId="0" xfId="0" quotePrefix="1" applyFont="1" applyFill="1" applyAlignment="1" applyProtection="1">
      <alignment horizontal="center" wrapText="1"/>
      <protection hidden="1"/>
    </xf>
    <xf numFmtId="182" fontId="5" fillId="0" borderId="3" xfId="0" applyNumberFormat="1" applyFont="1" applyBorder="1" applyAlignment="1">
      <alignment horizontal="center"/>
    </xf>
    <xf numFmtId="182" fontId="5" fillId="0" borderId="79" xfId="0" quotePrefix="1" applyNumberFormat="1" applyFont="1" applyBorder="1" applyAlignment="1">
      <alignment horizontal="center"/>
    </xf>
    <xf numFmtId="1" fontId="5" fillId="0" borderId="6" xfId="0" applyNumberFormat="1" applyFont="1" applyBorder="1" applyAlignment="1">
      <alignment horizontal="right" indent="1"/>
    </xf>
    <xf numFmtId="0" fontId="6" fillId="2" borderId="17" xfId="0" applyFont="1" applyFill="1" applyBorder="1" applyProtection="1">
      <protection hidden="1"/>
    </xf>
    <xf numFmtId="0" fontId="6" fillId="2" borderId="25" xfId="0" applyFont="1" applyFill="1" applyBorder="1" applyProtection="1">
      <protection hidden="1"/>
    </xf>
    <xf numFmtId="6" fontId="119" fillId="2" borderId="25" xfId="0" applyNumberFormat="1" applyFont="1" applyFill="1" applyBorder="1" applyAlignment="1" applyProtection="1">
      <alignment horizontal="center" vertical="center"/>
      <protection hidden="1"/>
    </xf>
    <xf numFmtId="0" fontId="7" fillId="42" borderId="0" xfId="0" applyFont="1" applyFill="1" applyAlignment="1" applyProtection="1">
      <alignment horizontal="right" vertical="center"/>
      <protection hidden="1"/>
    </xf>
    <xf numFmtId="0" fontId="0" fillId="16" borderId="31" xfId="0" applyFill="1" applyBorder="1" applyAlignment="1">
      <alignment horizontal="center"/>
    </xf>
    <xf numFmtId="0" fontId="3" fillId="16" borderId="9" xfId="0" applyFont="1" applyFill="1" applyBorder="1" applyAlignment="1">
      <alignment horizontal="center" wrapText="1"/>
    </xf>
    <xf numFmtId="0" fontId="3" fillId="16" borderId="9" xfId="0" applyFont="1" applyFill="1" applyBorder="1" applyAlignment="1">
      <alignment horizontal="center"/>
    </xf>
    <xf numFmtId="0" fontId="0" fillId="16" borderId="3" xfId="0" applyFill="1" applyBorder="1" applyAlignment="1">
      <alignment horizontal="center"/>
    </xf>
    <xf numFmtId="0" fontId="3" fillId="16" borderId="0" xfId="0" applyFont="1" applyFill="1" applyAlignment="1">
      <alignment horizontal="center" wrapText="1"/>
    </xf>
    <xf numFmtId="0" fontId="3" fillId="16" borderId="3" xfId="0" applyFont="1" applyFill="1" applyBorder="1" applyAlignment="1">
      <alignment horizontal="center" vertical="center"/>
    </xf>
    <xf numFmtId="0" fontId="3" fillId="16" borderId="0" xfId="0" applyFont="1" applyFill="1" applyAlignment="1">
      <alignment horizontal="right" vertical="center" indent="1"/>
    </xf>
    <xf numFmtId="0" fontId="3" fillId="16" borderId="10" xfId="0" applyFont="1" applyFill="1" applyBorder="1" applyAlignment="1">
      <alignment horizontal="right"/>
    </xf>
    <xf numFmtId="0" fontId="3" fillId="16" borderId="1" xfId="0" applyFont="1" applyFill="1" applyBorder="1" applyAlignment="1">
      <alignment horizontal="right"/>
    </xf>
    <xf numFmtId="0" fontId="3" fillId="16" borderId="1" xfId="0" applyFont="1" applyFill="1" applyBorder="1" applyAlignment="1">
      <alignment horizontal="center"/>
    </xf>
    <xf numFmtId="0" fontId="3" fillId="16" borderId="1" xfId="0" quotePrefix="1" applyFont="1" applyFill="1" applyBorder="1" applyAlignment="1">
      <alignment horizontal="center"/>
    </xf>
    <xf numFmtId="1" fontId="18" fillId="28" borderId="2" xfId="0" applyNumberFormat="1" applyFont="1" applyFill="1" applyBorder="1" applyAlignment="1" applyProtection="1">
      <alignment horizontal="center" vertical="center"/>
      <protection hidden="1"/>
    </xf>
    <xf numFmtId="0" fontId="234" fillId="16" borderId="68" xfId="0" applyFont="1" applyFill="1" applyBorder="1" applyAlignment="1" applyProtection="1">
      <alignment vertical="center"/>
      <protection hidden="1"/>
    </xf>
    <xf numFmtId="0" fontId="23" fillId="16" borderId="6" xfId="0" applyFont="1" applyFill="1" applyBorder="1" applyAlignment="1" applyProtection="1">
      <alignment horizontal="centerContinuous"/>
      <protection hidden="1"/>
    </xf>
    <xf numFmtId="0" fontId="8" fillId="16" borderId="57" xfId="0" applyFont="1" applyFill="1" applyBorder="1" applyProtection="1">
      <protection hidden="1"/>
    </xf>
    <xf numFmtId="3" fontId="12" fillId="16" borderId="1" xfId="0" applyNumberFormat="1" applyFont="1" applyFill="1" applyBorder="1" applyProtection="1">
      <protection locked="0"/>
    </xf>
    <xf numFmtId="3" fontId="12" fillId="16" borderId="12" xfId="0" applyNumberFormat="1" applyFont="1" applyFill="1" applyBorder="1" applyProtection="1">
      <protection locked="0"/>
    </xf>
    <xf numFmtId="37" fontId="143" fillId="16" borderId="31" xfId="0" applyNumberFormat="1" applyFont="1" applyFill="1" applyBorder="1" applyProtection="1">
      <protection hidden="1"/>
    </xf>
    <xf numFmtId="37" fontId="143" fillId="16" borderId="9" xfId="0" applyNumberFormat="1" applyFont="1" applyFill="1" applyBorder="1" applyProtection="1">
      <protection hidden="1"/>
    </xf>
    <xf numFmtId="37" fontId="143" fillId="16" borderId="0" xfId="0" applyNumberFormat="1" applyFont="1" applyFill="1" applyProtection="1">
      <protection hidden="1"/>
    </xf>
    <xf numFmtId="0" fontId="53" fillId="16" borderId="14" xfId="0" applyFont="1" applyFill="1" applyBorder="1" applyAlignment="1" applyProtection="1">
      <alignment vertical="center"/>
      <protection hidden="1"/>
    </xf>
    <xf numFmtId="0" fontId="3" fillId="16" borderId="14" xfId="0" applyFont="1" applyFill="1" applyBorder="1" applyAlignment="1" applyProtection="1">
      <alignment horizontal="right" vertical="center"/>
      <protection hidden="1"/>
    </xf>
    <xf numFmtId="0" fontId="12" fillId="16" borderId="187" xfId="0" applyFont="1" applyFill="1" applyBorder="1" applyAlignment="1" applyProtection="1">
      <alignment horizontal="center"/>
      <protection hidden="1"/>
    </xf>
    <xf numFmtId="0" fontId="3" fillId="16" borderId="17" xfId="0" applyFont="1" applyFill="1" applyBorder="1" applyAlignment="1" applyProtection="1">
      <alignment horizontal="left"/>
      <protection hidden="1"/>
    </xf>
    <xf numFmtId="0" fontId="0" fillId="16" borderId="17" xfId="0" applyFill="1" applyBorder="1" applyAlignment="1" applyProtection="1">
      <alignment horizontal="right" indent="1"/>
      <protection hidden="1"/>
    </xf>
    <xf numFmtId="0" fontId="10" fillId="16" borderId="17" xfId="0" applyFont="1" applyFill="1" applyBorder="1" applyProtection="1">
      <protection hidden="1"/>
    </xf>
    <xf numFmtId="0" fontId="7" fillId="16" borderId="17" xfId="0" applyFont="1" applyFill="1" applyBorder="1" applyProtection="1">
      <protection hidden="1"/>
    </xf>
    <xf numFmtId="0" fontId="3" fillId="16" borderId="17" xfId="0" applyFont="1" applyFill="1" applyBorder="1" applyAlignment="1" applyProtection="1">
      <alignment horizontal="right"/>
      <protection hidden="1"/>
    </xf>
    <xf numFmtId="0" fontId="7" fillId="16" borderId="1" xfId="0" applyFont="1" applyFill="1" applyBorder="1" applyAlignment="1" applyProtection="1">
      <alignment horizontal="left"/>
      <protection hidden="1"/>
    </xf>
    <xf numFmtId="0" fontId="5" fillId="42" borderId="0" xfId="0" applyFont="1" applyFill="1" applyAlignment="1" applyProtection="1">
      <alignment horizontal="right" indent="1"/>
      <protection hidden="1"/>
    </xf>
    <xf numFmtId="0" fontId="171" fillId="0" borderId="0" xfId="0" applyFont="1" applyProtection="1">
      <protection hidden="1"/>
    </xf>
    <xf numFmtId="37" fontId="171" fillId="0" borderId="0" xfId="0" applyNumberFormat="1" applyFont="1" applyProtection="1">
      <protection hidden="1"/>
    </xf>
    <xf numFmtId="0" fontId="171" fillId="0" borderId="0" xfId="0" applyFont="1" applyAlignment="1" applyProtection="1">
      <alignment horizontal="center"/>
      <protection hidden="1"/>
    </xf>
    <xf numFmtId="0" fontId="28" fillId="24" borderId="0" xfId="0" applyFont="1" applyFill="1" applyProtection="1">
      <protection hidden="1"/>
    </xf>
    <xf numFmtId="0" fontId="131" fillId="16" borderId="0" xfId="0" applyFont="1" applyFill="1" applyAlignment="1" applyProtection="1">
      <alignment vertical="top" wrapText="1"/>
      <protection hidden="1"/>
    </xf>
    <xf numFmtId="14" fontId="227" fillId="16" borderId="0" xfId="0" applyNumberFormat="1" applyFont="1" applyFill="1" applyAlignment="1" applyProtection="1">
      <alignment horizontal="center" vertical="center" wrapText="1"/>
      <protection hidden="1"/>
    </xf>
    <xf numFmtId="0" fontId="125" fillId="16" borderId="0" xfId="0" applyFont="1" applyFill="1" applyAlignment="1" applyProtection="1">
      <alignment horizontal="center" vertical="center"/>
      <protection hidden="1"/>
    </xf>
    <xf numFmtId="40" fontId="129" fillId="2" borderId="0" xfId="0" applyNumberFormat="1" applyFont="1" applyFill="1" applyAlignment="1" applyProtection="1">
      <alignment horizontal="right"/>
      <protection hidden="1"/>
    </xf>
    <xf numFmtId="1" fontId="12" fillId="16" borderId="11" xfId="0" applyNumberFormat="1" applyFont="1" applyFill="1" applyBorder="1" applyAlignment="1" applyProtection="1">
      <alignment horizontal="center"/>
      <protection hidden="1"/>
    </xf>
    <xf numFmtId="0" fontId="16" fillId="16" borderId="7" xfId="0" applyFont="1" applyFill="1" applyBorder="1" applyProtection="1">
      <protection hidden="1"/>
    </xf>
    <xf numFmtId="1" fontId="12" fillId="16" borderId="16" xfId="0" applyNumberFormat="1" applyFont="1" applyFill="1" applyBorder="1" applyAlignment="1" applyProtection="1">
      <alignment horizontal="center"/>
      <protection hidden="1"/>
    </xf>
    <xf numFmtId="0" fontId="12" fillId="16" borderId="52" xfId="0" applyFont="1" applyFill="1" applyBorder="1" applyAlignment="1" applyProtection="1">
      <alignment horizontal="center"/>
      <protection hidden="1"/>
    </xf>
    <xf numFmtId="164" fontId="5" fillId="2" borderId="0" xfId="0" applyNumberFormat="1" applyFont="1" applyFill="1" applyAlignment="1" applyProtection="1">
      <alignment horizontal="left"/>
      <protection hidden="1"/>
    </xf>
    <xf numFmtId="3" fontId="36" fillId="2" borderId="2" xfId="0" applyNumberFormat="1" applyFont="1" applyFill="1" applyBorder="1" applyProtection="1">
      <protection locked="0"/>
    </xf>
    <xf numFmtId="0" fontId="89" fillId="16" borderId="0" xfId="0" applyFont="1" applyFill="1" applyAlignment="1" applyProtection="1">
      <alignment horizontal="right"/>
      <protection hidden="1"/>
    </xf>
    <xf numFmtId="0" fontId="4" fillId="2" borderId="1" xfId="0" applyFont="1" applyFill="1" applyBorder="1" applyAlignment="1" applyProtection="1">
      <alignment horizontal="left" indent="1"/>
      <protection hidden="1"/>
    </xf>
    <xf numFmtId="0" fontId="231" fillId="16" borderId="0" xfId="0" applyFont="1" applyFill="1" applyAlignment="1" applyProtection="1">
      <alignment horizontal="right"/>
      <protection hidden="1"/>
    </xf>
    <xf numFmtId="0" fontId="299" fillId="16" borderId="0" xfId="0" applyFont="1" applyFill="1" applyAlignment="1" applyProtection="1">
      <alignment horizontal="left" vertical="center"/>
      <protection hidden="1"/>
    </xf>
    <xf numFmtId="0" fontId="299" fillId="16" borderId="0" xfId="0" applyFont="1" applyFill="1" applyAlignment="1" applyProtection="1">
      <alignment horizontal="left"/>
      <protection hidden="1"/>
    </xf>
    <xf numFmtId="0" fontId="299" fillId="16" borderId="0" xfId="0" applyFont="1" applyFill="1" applyProtection="1">
      <protection hidden="1"/>
    </xf>
    <xf numFmtId="0" fontId="299" fillId="16" borderId="0" xfId="0" applyFont="1" applyFill="1" applyAlignment="1" applyProtection="1">
      <alignment horizontal="center" vertical="center"/>
      <protection hidden="1"/>
    </xf>
    <xf numFmtId="0" fontId="300" fillId="16" borderId="0" xfId="0" applyFont="1" applyFill="1" applyAlignment="1" applyProtection="1">
      <alignment horizontal="center" vertical="center"/>
      <protection hidden="1"/>
    </xf>
    <xf numFmtId="0" fontId="300" fillId="16" borderId="26" xfId="0" applyFont="1" applyFill="1" applyBorder="1" applyAlignment="1" applyProtection="1">
      <alignment horizontal="left" vertical="center"/>
      <protection hidden="1"/>
    </xf>
    <xf numFmtId="0" fontId="300" fillId="16" borderId="0" xfId="0" applyFont="1" applyFill="1" applyAlignment="1" applyProtection="1">
      <alignment horizontal="left" vertical="center"/>
      <protection hidden="1"/>
    </xf>
    <xf numFmtId="0" fontId="299" fillId="16" borderId="0" xfId="0" applyFont="1" applyFill="1" applyAlignment="1" applyProtection="1">
      <alignment vertical="center"/>
      <protection hidden="1"/>
    </xf>
    <xf numFmtId="0" fontId="300" fillId="16" borderId="0" xfId="0" applyFont="1" applyFill="1" applyAlignment="1" applyProtection="1">
      <alignment vertical="center"/>
      <protection hidden="1"/>
    </xf>
    <xf numFmtId="0" fontId="300" fillId="16" borderId="5" xfId="0" applyFont="1" applyFill="1" applyBorder="1" applyAlignment="1" applyProtection="1">
      <alignment vertical="center"/>
      <protection hidden="1"/>
    </xf>
    <xf numFmtId="0" fontId="299" fillId="16" borderId="5" xfId="0" applyFont="1" applyFill="1" applyBorder="1" applyAlignment="1" applyProtection="1">
      <alignment vertical="center"/>
      <protection hidden="1"/>
    </xf>
    <xf numFmtId="0" fontId="300" fillId="16" borderId="0" xfId="0" applyFont="1" applyFill="1" applyAlignment="1" applyProtection="1">
      <alignment horizontal="left" vertical="center" indent="1"/>
      <protection hidden="1"/>
    </xf>
    <xf numFmtId="0" fontId="299" fillId="16" borderId="100" xfId="0" applyFont="1" applyFill="1" applyBorder="1" applyAlignment="1" applyProtection="1">
      <alignment vertical="center"/>
      <protection hidden="1"/>
    </xf>
    <xf numFmtId="42" fontId="299" fillId="16" borderId="0" xfId="0" applyNumberFormat="1" applyFont="1" applyFill="1" applyAlignment="1" applyProtection="1">
      <alignment vertical="center"/>
      <protection hidden="1"/>
    </xf>
    <xf numFmtId="0" fontId="135" fillId="2" borderId="6" xfId="0" applyFont="1" applyFill="1" applyBorder="1" applyAlignment="1" applyProtection="1">
      <alignment horizontal="center" vertical="center"/>
      <protection hidden="1"/>
    </xf>
    <xf numFmtId="0" fontId="135" fillId="2" borderId="0" xfId="0" applyFont="1" applyFill="1" applyAlignment="1" applyProtection="1">
      <alignment horizontal="center" vertical="center"/>
      <protection hidden="1"/>
    </xf>
    <xf numFmtId="0" fontId="0" fillId="16" borderId="57" xfId="0" applyFill="1" applyBorder="1" applyAlignment="1" applyProtection="1">
      <alignment horizontal="left" vertical="center"/>
      <protection hidden="1"/>
    </xf>
    <xf numFmtId="0" fontId="0" fillId="16" borderId="37" xfId="0" applyFill="1" applyBorder="1" applyAlignment="1" applyProtection="1">
      <alignment horizontal="left" vertical="center"/>
      <protection hidden="1"/>
    </xf>
    <xf numFmtId="0" fontId="5" fillId="16" borderId="8" xfId="0" applyFont="1" applyFill="1" applyBorder="1" applyAlignment="1" applyProtection="1">
      <alignment horizontal="left" vertical="center"/>
      <protection hidden="1"/>
    </xf>
    <xf numFmtId="0" fontId="0" fillId="16" borderId="8" xfId="0" applyFill="1" applyBorder="1" applyAlignment="1" applyProtection="1">
      <alignment horizontal="left" vertical="center"/>
      <protection hidden="1"/>
    </xf>
    <xf numFmtId="0" fontId="300" fillId="16" borderId="0" xfId="0" applyFont="1" applyFill="1" applyAlignment="1" applyProtection="1">
      <alignment vertical="top"/>
      <protection hidden="1"/>
    </xf>
    <xf numFmtId="0" fontId="3" fillId="16" borderId="8" xfId="0" applyFont="1" applyFill="1" applyBorder="1" applyAlignment="1" applyProtection="1">
      <alignment horizontal="right" vertical="center"/>
      <protection hidden="1"/>
    </xf>
    <xf numFmtId="0" fontId="300" fillId="16" borderId="8" xfId="0" applyFont="1" applyFill="1" applyBorder="1" applyAlignment="1" applyProtection="1">
      <alignment vertical="top"/>
      <protection hidden="1"/>
    </xf>
    <xf numFmtId="0" fontId="23" fillId="16" borderId="0" xfId="0" applyFont="1" applyFill="1" applyAlignment="1" applyProtection="1">
      <alignment vertical="center"/>
      <protection hidden="1"/>
    </xf>
    <xf numFmtId="37" fontId="7" fillId="20" borderId="6" xfId="0" applyNumberFormat="1" applyFont="1" applyFill="1" applyBorder="1" applyProtection="1">
      <protection hidden="1"/>
    </xf>
    <xf numFmtId="0" fontId="234" fillId="24" borderId="0" xfId="0" applyFont="1" applyFill="1" applyProtection="1">
      <protection hidden="1"/>
    </xf>
    <xf numFmtId="0" fontId="234" fillId="24" borderId="45" xfId="0" applyFont="1" applyFill="1" applyBorder="1" applyProtection="1">
      <protection hidden="1"/>
    </xf>
    <xf numFmtId="0" fontId="234" fillId="24" borderId="128" xfId="0" applyFont="1" applyFill="1" applyBorder="1" applyProtection="1">
      <protection hidden="1"/>
    </xf>
    <xf numFmtId="0" fontId="10" fillId="24" borderId="0" xfId="0" applyFont="1" applyFill="1" applyAlignment="1" applyProtection="1">
      <alignment horizontal="center" vertical="top"/>
      <protection hidden="1"/>
    </xf>
    <xf numFmtId="0" fontId="234" fillId="24" borderId="1" xfId="0" applyFont="1" applyFill="1" applyBorder="1" applyProtection="1">
      <protection hidden="1"/>
    </xf>
    <xf numFmtId="0" fontId="231" fillId="16" borderId="5" xfId="0" applyFont="1" applyFill="1" applyBorder="1" applyAlignment="1" applyProtection="1">
      <alignment horizontal="right"/>
      <protection hidden="1"/>
    </xf>
    <xf numFmtId="0" fontId="16" fillId="16" borderId="28" xfId="0" applyFont="1" applyFill="1" applyBorder="1" applyProtection="1">
      <protection hidden="1"/>
    </xf>
    <xf numFmtId="37" fontId="0" fillId="24" borderId="1" xfId="0" applyNumberFormat="1" applyFill="1" applyBorder="1" applyProtection="1">
      <protection hidden="1"/>
    </xf>
    <xf numFmtId="0" fontId="7" fillId="24" borderId="0" xfId="0" applyFont="1" applyFill="1" applyAlignment="1" applyProtection="1">
      <alignment horizontal="center"/>
      <protection hidden="1"/>
    </xf>
    <xf numFmtId="0" fontId="10" fillId="24" borderId="0" xfId="0" applyFont="1" applyFill="1" applyAlignment="1" applyProtection="1">
      <alignment horizontal="center"/>
      <protection hidden="1"/>
    </xf>
    <xf numFmtId="0" fontId="10" fillId="24" borderId="0" xfId="0" applyFont="1" applyFill="1" applyAlignment="1" applyProtection="1">
      <alignment horizontal="right" vertical="center"/>
      <protection hidden="1"/>
    </xf>
    <xf numFmtId="0" fontId="42" fillId="16" borderId="0" xfId="0" applyFont="1" applyFill="1" applyProtection="1">
      <protection hidden="1"/>
    </xf>
    <xf numFmtId="0" fontId="8" fillId="16" borderId="13" xfId="0" quotePrefix="1" applyFont="1" applyFill="1" applyBorder="1" applyAlignment="1" applyProtection="1">
      <alignment horizontal="center" vertical="center"/>
      <protection hidden="1"/>
    </xf>
    <xf numFmtId="0" fontId="8" fillId="16" borderId="0" xfId="0" quotePrefix="1" applyFont="1" applyFill="1" applyAlignment="1" applyProtection="1">
      <alignment horizontal="center" vertical="center"/>
      <protection hidden="1"/>
    </xf>
    <xf numFmtId="0" fontId="12" fillId="16" borderId="17" xfId="0" applyFont="1" applyFill="1" applyBorder="1" applyAlignment="1" applyProtection="1">
      <alignment vertical="top"/>
      <protection hidden="1"/>
    </xf>
    <xf numFmtId="0" fontId="42" fillId="16" borderId="0" xfId="0" applyFont="1" applyFill="1" applyAlignment="1" applyProtection="1">
      <alignment vertical="top"/>
      <protection hidden="1"/>
    </xf>
    <xf numFmtId="0" fontId="184" fillId="20" borderId="0" xfId="0" applyFont="1" applyFill="1" applyAlignment="1" applyProtection="1">
      <alignment vertical="center" wrapText="1"/>
      <protection hidden="1"/>
    </xf>
    <xf numFmtId="0" fontId="12" fillId="0" borderId="0" xfId="0" applyFont="1" applyAlignment="1">
      <alignment horizontal="center" vertical="center"/>
    </xf>
    <xf numFmtId="0" fontId="3" fillId="16" borderId="15" xfId="0" applyFont="1" applyFill="1" applyBorder="1" applyAlignment="1">
      <alignment horizontal="center"/>
    </xf>
    <xf numFmtId="0" fontId="3" fillId="16" borderId="25" xfId="0" applyFont="1" applyFill="1" applyBorder="1" applyAlignment="1">
      <alignment horizontal="center" wrapText="1"/>
    </xf>
    <xf numFmtId="0" fontId="3" fillId="16" borderId="12" xfId="0" applyFont="1" applyFill="1" applyBorder="1" applyAlignment="1">
      <alignment horizontal="center"/>
    </xf>
    <xf numFmtId="0" fontId="200" fillId="2" borderId="0" xfId="0" applyFont="1" applyFill="1" applyProtection="1">
      <protection hidden="1"/>
    </xf>
    <xf numFmtId="0" fontId="18" fillId="2" borderId="192" xfId="0" quotePrefix="1" applyFont="1" applyFill="1" applyBorder="1" applyAlignment="1" applyProtection="1">
      <alignment horizontal="right"/>
      <protection hidden="1"/>
    </xf>
    <xf numFmtId="0" fontId="18" fillId="2" borderId="107" xfId="0" applyFont="1" applyFill="1" applyBorder="1" applyAlignment="1" applyProtection="1">
      <alignment horizontal="right"/>
      <protection hidden="1"/>
    </xf>
    <xf numFmtId="0" fontId="53" fillId="2" borderId="107" xfId="0" applyFont="1" applyFill="1" applyBorder="1" applyProtection="1">
      <protection hidden="1"/>
    </xf>
    <xf numFmtId="0" fontId="53" fillId="2" borderId="107" xfId="0" applyFont="1" applyFill="1" applyBorder="1" applyAlignment="1" applyProtection="1">
      <alignment horizontal="left"/>
      <protection hidden="1"/>
    </xf>
    <xf numFmtId="0" fontId="53" fillId="2" borderId="107" xfId="0" applyFont="1" applyFill="1" applyBorder="1" applyAlignment="1" applyProtection="1">
      <alignment horizontal="right"/>
      <protection hidden="1"/>
    </xf>
    <xf numFmtId="0" fontId="53" fillId="2" borderId="193" xfId="0" applyFont="1" applyFill="1" applyBorder="1" applyAlignment="1" applyProtection="1">
      <alignment horizontal="left" vertical="center"/>
      <protection hidden="1"/>
    </xf>
    <xf numFmtId="0" fontId="135" fillId="2" borderId="107" xfId="0" applyFont="1" applyFill="1" applyBorder="1" applyAlignment="1" applyProtection="1">
      <alignment horizontal="center" vertical="center"/>
      <protection hidden="1"/>
    </xf>
    <xf numFmtId="0" fontId="18" fillId="2" borderId="190" xfId="0" quotePrefix="1" applyFont="1" applyFill="1" applyBorder="1" applyAlignment="1" applyProtection="1">
      <alignment horizontal="right"/>
      <protection hidden="1"/>
    </xf>
    <xf numFmtId="0" fontId="135" fillId="2" borderId="88" xfId="0" applyFont="1" applyFill="1" applyBorder="1" applyAlignment="1" applyProtection="1">
      <alignment horizontal="center" vertical="center"/>
      <protection hidden="1"/>
    </xf>
    <xf numFmtId="0" fontId="135" fillId="2" borderId="190" xfId="0" applyFont="1" applyFill="1" applyBorder="1" applyAlignment="1" applyProtection="1">
      <alignment horizontal="center" vertical="center"/>
      <protection hidden="1"/>
    </xf>
    <xf numFmtId="0" fontId="53" fillId="2" borderId="0" xfId="0" applyFont="1" applyFill="1" applyAlignment="1" applyProtection="1">
      <alignment horizontal="left" vertical="center"/>
      <protection hidden="1"/>
    </xf>
    <xf numFmtId="0" fontId="18" fillId="2" borderId="27" xfId="0" applyFont="1" applyFill="1" applyBorder="1" applyAlignment="1" applyProtection="1">
      <alignment horizontal="right"/>
      <protection hidden="1"/>
    </xf>
    <xf numFmtId="0" fontId="53" fillId="2" borderId="1" xfId="0" applyFont="1" applyFill="1" applyBorder="1" applyAlignment="1" applyProtection="1">
      <alignment horizontal="left"/>
      <protection hidden="1"/>
    </xf>
    <xf numFmtId="0" fontId="154" fillId="2" borderId="1" xfId="0" applyFont="1" applyFill="1" applyBorder="1" applyAlignment="1" applyProtection="1">
      <alignment horizontal="left"/>
      <protection hidden="1"/>
    </xf>
    <xf numFmtId="0" fontId="135" fillId="2" borderId="1" xfId="0" applyFont="1" applyFill="1" applyBorder="1" applyAlignment="1" applyProtection="1">
      <alignment horizontal="center"/>
      <protection hidden="1"/>
    </xf>
    <xf numFmtId="0" fontId="53" fillId="2" borderId="30" xfId="0" applyFont="1" applyFill="1" applyBorder="1" applyAlignment="1" applyProtection="1">
      <alignment horizontal="left" vertical="center"/>
      <protection hidden="1"/>
    </xf>
    <xf numFmtId="0" fontId="3" fillId="17" borderId="83" xfId="0" applyFont="1" applyFill="1" applyBorder="1" applyAlignment="1" applyProtection="1">
      <alignment horizontal="center" vertical="center"/>
      <protection locked="0"/>
    </xf>
    <xf numFmtId="3" fontId="0" fillId="16" borderId="1" xfId="0" applyNumberFormat="1" applyFill="1" applyBorder="1" applyProtection="1">
      <protection locked="0"/>
    </xf>
    <xf numFmtId="0" fontId="8" fillId="16" borderId="2" xfId="0" applyFont="1" applyFill="1" applyBorder="1" applyAlignment="1" applyProtection="1">
      <alignment horizontal="center" vertical="center"/>
      <protection hidden="1"/>
    </xf>
    <xf numFmtId="0" fontId="3" fillId="16" borderId="2" xfId="0" applyFont="1" applyFill="1" applyBorder="1" applyAlignment="1" applyProtection="1">
      <alignment horizontal="center" vertical="center"/>
      <protection hidden="1"/>
    </xf>
    <xf numFmtId="0" fontId="135" fillId="16" borderId="0" xfId="0" applyFont="1" applyFill="1" applyProtection="1">
      <protection hidden="1"/>
    </xf>
    <xf numFmtId="0" fontId="8" fillId="16" borderId="13" xfId="0" applyFont="1" applyFill="1" applyBorder="1" applyAlignment="1" applyProtection="1">
      <alignment horizontal="center" vertical="center"/>
      <protection hidden="1"/>
    </xf>
    <xf numFmtId="0" fontId="5" fillId="24" borderId="0" xfId="0" quotePrefix="1" applyFont="1" applyFill="1" applyProtection="1">
      <protection hidden="1"/>
    </xf>
    <xf numFmtId="0" fontId="142" fillId="16" borderId="0" xfId="0" quotePrefix="1" applyFont="1" applyFill="1" applyAlignment="1" applyProtection="1">
      <alignment horizontal="center"/>
      <protection hidden="1"/>
    </xf>
    <xf numFmtId="0" fontId="234" fillId="24" borderId="0" xfId="0" applyFont="1" applyFill="1" applyAlignment="1" applyProtection="1">
      <alignment horizontal="center"/>
      <protection hidden="1"/>
    </xf>
    <xf numFmtId="0" fontId="184" fillId="24" borderId="2" xfId="0" applyFont="1" applyFill="1" applyBorder="1" applyAlignment="1" applyProtection="1">
      <alignment horizontal="center" vertical="center"/>
      <protection hidden="1"/>
    </xf>
    <xf numFmtId="0" fontId="12" fillId="16" borderId="5" xfId="0" applyFont="1" applyFill="1" applyBorder="1" applyAlignment="1" applyProtection="1">
      <alignment vertical="top"/>
      <protection hidden="1"/>
    </xf>
    <xf numFmtId="39" fontId="4" fillId="3" borderId="0" xfId="0" applyNumberFormat="1" applyFont="1" applyFill="1" applyAlignment="1" applyProtection="1">
      <alignment vertical="center"/>
      <protection hidden="1"/>
    </xf>
    <xf numFmtId="0" fontId="53" fillId="23" borderId="7" xfId="0" applyFont="1" applyFill="1" applyBorder="1" applyProtection="1">
      <protection hidden="1"/>
    </xf>
    <xf numFmtId="37" fontId="5" fillId="28" borderId="1" xfId="0" applyNumberFormat="1" applyFont="1" applyFill="1" applyBorder="1" applyAlignment="1" applyProtection="1">
      <alignment horizontal="right"/>
      <protection hidden="1"/>
    </xf>
    <xf numFmtId="0" fontId="0" fillId="0" borderId="21" xfId="0" applyBorder="1" applyAlignment="1">
      <alignment horizontal="center"/>
    </xf>
    <xf numFmtId="0" fontId="7" fillId="0" borderId="0" xfId="0" applyFont="1" applyAlignment="1">
      <alignment vertical="top"/>
    </xf>
    <xf numFmtId="0" fontId="0" fillId="0" borderId="20" xfId="0" applyBorder="1" applyAlignment="1">
      <alignment horizontal="center"/>
    </xf>
    <xf numFmtId="0" fontId="18" fillId="27" borderId="5" xfId="0" quotePrefix="1" applyFont="1" applyFill="1" applyBorder="1" applyProtection="1">
      <protection hidden="1"/>
    </xf>
    <xf numFmtId="0" fontId="53" fillId="28" borderId="5" xfId="0" applyFont="1" applyFill="1" applyBorder="1" applyProtection="1">
      <protection hidden="1"/>
    </xf>
    <xf numFmtId="49" fontId="5" fillId="17" borderId="10" xfId="0" applyNumberFormat="1" applyFont="1" applyFill="1" applyBorder="1" applyAlignment="1" applyProtection="1">
      <alignment vertical="center" wrapText="1"/>
      <protection locked="0"/>
    </xf>
    <xf numFmtId="49" fontId="5" fillId="17" borderId="1" xfId="0" applyNumberFormat="1" applyFont="1" applyFill="1" applyBorder="1" applyAlignment="1" applyProtection="1">
      <alignment vertical="center" wrapText="1"/>
      <protection locked="0"/>
    </xf>
    <xf numFmtId="49" fontId="5" fillId="17" borderId="12" xfId="0" applyNumberFormat="1" applyFont="1" applyFill="1" applyBorder="1" applyAlignment="1" applyProtection="1">
      <alignment vertical="center" wrapText="1"/>
      <protection locked="0"/>
    </xf>
    <xf numFmtId="4" fontId="13" fillId="3" borderId="31" xfId="0" applyNumberFormat="1" applyFont="1" applyFill="1" applyBorder="1" applyProtection="1">
      <protection hidden="1"/>
    </xf>
    <xf numFmtId="4" fontId="13" fillId="3" borderId="9" xfId="0" applyNumberFormat="1" applyFont="1" applyFill="1" applyBorder="1" applyProtection="1">
      <protection hidden="1"/>
    </xf>
    <xf numFmtId="0" fontId="0" fillId="3" borderId="25" xfId="0" applyFill="1" applyBorder="1" applyProtection="1">
      <protection hidden="1"/>
    </xf>
    <xf numFmtId="49" fontId="5" fillId="15" borderId="31" xfId="0" applyNumberFormat="1" applyFont="1" applyFill="1" applyBorder="1" applyAlignment="1" applyProtection="1">
      <alignment vertical="center" wrapText="1"/>
      <protection hidden="1"/>
    </xf>
    <xf numFmtId="49" fontId="5" fillId="16" borderId="9" xfId="0" applyNumberFormat="1" applyFont="1" applyFill="1" applyBorder="1" applyAlignment="1" applyProtection="1">
      <alignment vertical="center" wrapText="1"/>
      <protection hidden="1"/>
    </xf>
    <xf numFmtId="49" fontId="5" fillId="16" borderId="15" xfId="0" applyNumberFormat="1" applyFont="1" applyFill="1" applyBorder="1" applyAlignment="1" applyProtection="1">
      <alignment vertical="center" wrapText="1"/>
      <protection hidden="1"/>
    </xf>
    <xf numFmtId="49" fontId="5" fillId="16" borderId="12" xfId="0" applyNumberFormat="1" applyFont="1" applyFill="1" applyBorder="1" applyAlignment="1" applyProtection="1">
      <alignment vertical="center" wrapText="1"/>
      <protection hidden="1"/>
    </xf>
    <xf numFmtId="0" fontId="48" fillId="3" borderId="0" xfId="0" applyFont="1" applyFill="1" applyAlignment="1" applyProtection="1">
      <alignment vertical="top"/>
      <protection hidden="1"/>
    </xf>
    <xf numFmtId="37" fontId="10" fillId="0" borderId="0" xfId="0" applyNumberFormat="1" applyFont="1"/>
    <xf numFmtId="0" fontId="0" fillId="15" borderId="7" xfId="0" applyFill="1" applyBorder="1" applyProtection="1">
      <protection hidden="1"/>
    </xf>
    <xf numFmtId="4" fontId="141" fillId="3" borderId="31" xfId="0" applyNumberFormat="1" applyFont="1" applyFill="1" applyBorder="1" applyAlignment="1" applyProtection="1">
      <alignment wrapText="1"/>
      <protection hidden="1"/>
    </xf>
    <xf numFmtId="4" fontId="141" fillId="3" borderId="9" xfId="0" applyNumberFormat="1" applyFont="1" applyFill="1" applyBorder="1" applyAlignment="1" applyProtection="1">
      <alignment wrapText="1"/>
      <protection hidden="1"/>
    </xf>
    <xf numFmtId="4" fontId="141" fillId="3" borderId="3" xfId="0" applyNumberFormat="1" applyFont="1" applyFill="1" applyBorder="1" applyAlignment="1" applyProtection="1">
      <alignment wrapText="1"/>
      <protection hidden="1"/>
    </xf>
    <xf numFmtId="4" fontId="141" fillId="3" borderId="0" xfId="0" applyNumberFormat="1" applyFont="1" applyFill="1" applyAlignment="1" applyProtection="1">
      <alignment wrapText="1"/>
      <protection hidden="1"/>
    </xf>
    <xf numFmtId="0" fontId="7" fillId="15" borderId="3" xfId="0" applyFont="1" applyFill="1" applyBorder="1" applyAlignment="1" applyProtection="1">
      <alignment horizontal="center"/>
      <protection hidden="1"/>
    </xf>
    <xf numFmtId="0" fontId="7" fillId="15" borderId="0" xfId="0" applyFont="1" applyFill="1" applyAlignment="1" applyProtection="1">
      <alignment horizontal="center"/>
      <protection hidden="1"/>
    </xf>
    <xf numFmtId="0" fontId="7" fillId="15" borderId="25" xfId="0" applyFont="1" applyFill="1" applyBorder="1" applyAlignment="1" applyProtection="1">
      <alignment horizontal="center"/>
      <protection hidden="1"/>
    </xf>
    <xf numFmtId="0" fontId="5" fillId="16" borderId="31" xfId="0" applyFont="1" applyFill="1" applyBorder="1" applyAlignment="1">
      <alignment horizontal="left"/>
    </xf>
    <xf numFmtId="0" fontId="5" fillId="16" borderId="9" xfId="0" applyFont="1" applyFill="1" applyBorder="1" applyAlignment="1">
      <alignment horizontal="left"/>
    </xf>
    <xf numFmtId="0" fontId="5" fillId="16" borderId="15" xfId="0" applyFont="1" applyFill="1" applyBorder="1" applyAlignment="1">
      <alignment horizontal="left"/>
    </xf>
    <xf numFmtId="0" fontId="3" fillId="16" borderId="0" xfId="0" applyFont="1" applyFill="1" applyAlignment="1">
      <alignment horizontal="left"/>
    </xf>
    <xf numFmtId="0" fontId="5" fillId="16" borderId="25" xfId="0" applyFont="1" applyFill="1" applyBorder="1" applyAlignment="1">
      <alignment horizontal="left"/>
    </xf>
    <xf numFmtId="0" fontId="4" fillId="16" borderId="0" xfId="0" applyFont="1" applyFill="1" applyAlignment="1">
      <alignment horizontal="right"/>
    </xf>
    <xf numFmtId="0" fontId="4" fillId="16" borderId="0" xfId="0" applyFont="1" applyFill="1" applyAlignment="1">
      <alignment horizontal="left"/>
    </xf>
    <xf numFmtId="0" fontId="5" fillId="16" borderId="1" xfId="0" applyFont="1" applyFill="1" applyBorder="1" applyAlignment="1">
      <alignment horizontal="center"/>
    </xf>
    <xf numFmtId="3" fontId="7" fillId="16" borderId="0" xfId="0" applyNumberFormat="1" applyFont="1" applyFill="1" applyAlignment="1">
      <alignment horizontal="right"/>
    </xf>
    <xf numFmtId="200" fontId="5" fillId="16" borderId="0" xfId="0" applyNumberFormat="1" applyFont="1" applyFill="1" applyAlignment="1">
      <alignment horizontal="center"/>
    </xf>
    <xf numFmtId="0" fontId="165" fillId="16" borderId="3" xfId="0" applyFont="1" applyFill="1" applyBorder="1" applyAlignment="1">
      <alignment horizontal="left"/>
    </xf>
    <xf numFmtId="0" fontId="165" fillId="16" borderId="0" xfId="0" applyFont="1" applyFill="1" applyAlignment="1">
      <alignment horizontal="left"/>
    </xf>
    <xf numFmtId="0" fontId="165" fillId="16" borderId="25" xfId="0" applyFont="1" applyFill="1" applyBorder="1" applyAlignment="1">
      <alignment horizontal="left"/>
    </xf>
    <xf numFmtId="0" fontId="5" fillId="16" borderId="10" xfId="0" applyFont="1" applyFill="1" applyBorder="1" applyAlignment="1">
      <alignment horizontal="left"/>
    </xf>
    <xf numFmtId="0" fontId="5" fillId="16" borderId="1" xfId="0" applyFont="1" applyFill="1" applyBorder="1" applyAlignment="1">
      <alignment horizontal="left"/>
    </xf>
    <xf numFmtId="0" fontId="5" fillId="16" borderId="12" xfId="0" applyFont="1" applyFill="1" applyBorder="1" applyAlignment="1">
      <alignment horizontal="left"/>
    </xf>
    <xf numFmtId="37" fontId="5" fillId="17" borderId="1" xfId="0" applyNumberFormat="1" applyFont="1" applyFill="1" applyBorder="1" applyAlignment="1" applyProtection="1">
      <alignment horizontal="right"/>
      <protection locked="0"/>
    </xf>
    <xf numFmtId="1" fontId="5" fillId="17" borderId="13" xfId="0" applyNumberFormat="1" applyFont="1" applyFill="1" applyBorder="1" applyAlignment="1" applyProtection="1">
      <alignment horizontal="center" vertical="center"/>
      <protection locked="0"/>
    </xf>
    <xf numFmtId="0" fontId="131" fillId="16" borderId="3" xfId="0" applyFont="1" applyFill="1" applyBorder="1" applyAlignment="1">
      <alignment horizontal="center" vertical="center"/>
    </xf>
    <xf numFmtId="0" fontId="0" fillId="15" borderId="0" xfId="0" applyFill="1" applyProtection="1">
      <protection hidden="1"/>
    </xf>
    <xf numFmtId="0" fontId="5" fillId="15" borderId="0" xfId="0" quotePrefix="1" applyFont="1" applyFill="1" applyAlignment="1" applyProtection="1">
      <alignment horizontal="right"/>
      <protection hidden="1"/>
    </xf>
    <xf numFmtId="0" fontId="0" fillId="15" borderId="0" xfId="0" applyFill="1" applyAlignment="1" applyProtection="1">
      <alignment horizontal="right"/>
      <protection hidden="1"/>
    </xf>
    <xf numFmtId="0" fontId="3" fillId="15" borderId="0" xfId="0" applyFont="1" applyFill="1" applyProtection="1">
      <protection hidden="1"/>
    </xf>
    <xf numFmtId="0" fontId="18" fillId="15" borderId="0" xfId="0" applyFont="1" applyFill="1" applyProtection="1">
      <protection hidden="1"/>
    </xf>
    <xf numFmtId="0" fontId="5" fillId="3" borderId="1" xfId="0" applyFont="1" applyFill="1" applyBorder="1" applyAlignment="1" applyProtection="1">
      <alignment vertical="top"/>
      <protection hidden="1"/>
    </xf>
    <xf numFmtId="0" fontId="5" fillId="3" borderId="9" xfId="0" applyFont="1" applyFill="1" applyBorder="1" applyAlignment="1" applyProtection="1">
      <alignment vertical="top"/>
      <protection hidden="1"/>
    </xf>
    <xf numFmtId="200" fontId="5" fillId="27" borderId="1" xfId="0" applyNumberFormat="1" applyFont="1" applyFill="1" applyBorder="1" applyProtection="1">
      <protection hidden="1"/>
    </xf>
    <xf numFmtId="4" fontId="3" fillId="3" borderId="3" xfId="0" quotePrefix="1" applyNumberFormat="1" applyFont="1" applyFill="1" applyBorder="1" applyAlignment="1" applyProtection="1">
      <alignment horizontal="right"/>
      <protection hidden="1"/>
    </xf>
    <xf numFmtId="0" fontId="8" fillId="3" borderId="10" xfId="0" quotePrefix="1" applyFont="1" applyFill="1" applyBorder="1" applyAlignment="1" applyProtection="1">
      <alignment horizontal="center"/>
      <protection hidden="1"/>
    </xf>
    <xf numFmtId="4" fontId="5" fillId="3" borderId="25" xfId="0" applyNumberFormat="1" applyFont="1" applyFill="1" applyBorder="1" applyProtection="1">
      <protection hidden="1"/>
    </xf>
    <xf numFmtId="4" fontId="5" fillId="3" borderId="3" xfId="0" applyNumberFormat="1" applyFont="1" applyFill="1" applyBorder="1" applyAlignment="1" applyProtection="1">
      <alignment vertical="center"/>
      <protection hidden="1"/>
    </xf>
    <xf numFmtId="4" fontId="5" fillId="3" borderId="0" xfId="0" applyNumberFormat="1" applyFont="1" applyFill="1" applyAlignment="1" applyProtection="1">
      <alignment vertical="center"/>
      <protection hidden="1"/>
    </xf>
    <xf numFmtId="4" fontId="5" fillId="3" borderId="25" xfId="0" applyNumberFormat="1" applyFont="1" applyFill="1" applyBorder="1" applyAlignment="1" applyProtection="1">
      <alignment vertical="center"/>
      <protection hidden="1"/>
    </xf>
    <xf numFmtId="3" fontId="129" fillId="3" borderId="3" xfId="0" applyNumberFormat="1" applyFont="1" applyFill="1" applyBorder="1" applyProtection="1">
      <protection hidden="1"/>
    </xf>
    <xf numFmtId="3" fontId="129" fillId="3" borderId="0" xfId="0" applyNumberFormat="1" applyFont="1" applyFill="1" applyProtection="1">
      <protection hidden="1"/>
    </xf>
    <xf numFmtId="3" fontId="129" fillId="3" borderId="25" xfId="0" applyNumberFormat="1" applyFont="1" applyFill="1" applyBorder="1" applyProtection="1">
      <protection hidden="1"/>
    </xf>
    <xf numFmtId="3" fontId="25" fillId="3" borderId="0" xfId="0" applyNumberFormat="1" applyFont="1" applyFill="1" applyProtection="1">
      <protection hidden="1"/>
    </xf>
    <xf numFmtId="3" fontId="25" fillId="3" borderId="25" xfId="0" applyNumberFormat="1" applyFont="1" applyFill="1" applyBorder="1" applyProtection="1">
      <protection hidden="1"/>
    </xf>
    <xf numFmtId="0" fontId="165" fillId="3" borderId="16" xfId="0" applyFont="1" applyFill="1" applyBorder="1" applyAlignment="1" applyProtection="1">
      <alignment horizontal="center"/>
      <protection hidden="1"/>
    </xf>
    <xf numFmtId="0" fontId="53" fillId="3" borderId="5" xfId="0" applyFont="1" applyFill="1" applyBorder="1" applyAlignment="1" applyProtection="1">
      <alignment vertical="top"/>
      <protection hidden="1"/>
    </xf>
    <xf numFmtId="0" fontId="3" fillId="3" borderId="5" xfId="0" applyFont="1" applyFill="1" applyBorder="1" applyAlignment="1" applyProtection="1">
      <alignment horizontal="right" vertical="center"/>
      <protection hidden="1"/>
    </xf>
    <xf numFmtId="0" fontId="5" fillId="0" borderId="0" xfId="0" applyFont="1" applyAlignment="1">
      <alignment horizontal="center" wrapText="1"/>
    </xf>
    <xf numFmtId="0" fontId="302" fillId="5" borderId="0" xfId="0" quotePrefix="1" applyFont="1" applyFill="1" applyAlignment="1">
      <alignment horizontal="left"/>
    </xf>
    <xf numFmtId="0" fontId="126" fillId="17" borderId="0" xfId="0" applyFont="1" applyFill="1" applyAlignment="1" applyProtection="1">
      <alignment horizontal="center" vertical="center"/>
      <protection locked="0"/>
    </xf>
    <xf numFmtId="0" fontId="4" fillId="15" borderId="0" xfId="0" applyFont="1" applyFill="1" applyProtection="1">
      <protection hidden="1"/>
    </xf>
    <xf numFmtId="4" fontId="131" fillId="3" borderId="3" xfId="0" applyNumberFormat="1" applyFont="1" applyFill="1" applyBorder="1" applyAlignment="1" applyProtection="1">
      <alignment wrapText="1"/>
      <protection hidden="1"/>
    </xf>
    <xf numFmtId="0" fontId="7" fillId="0" borderId="0" xfId="0" applyFont="1" applyAlignment="1">
      <alignment vertical="center"/>
    </xf>
    <xf numFmtId="0" fontId="13" fillId="10" borderId="0" xfId="0" applyFont="1" applyFill="1" applyAlignment="1">
      <alignment horizontal="center" vertical="top"/>
    </xf>
    <xf numFmtId="0" fontId="63" fillId="16" borderId="0" xfId="0" applyFont="1" applyFill="1" applyAlignment="1">
      <alignment horizontal="right"/>
    </xf>
    <xf numFmtId="0" fontId="5" fillId="16" borderId="3" xfId="0" applyFont="1" applyFill="1" applyBorder="1" applyAlignment="1">
      <alignment vertical="top"/>
    </xf>
    <xf numFmtId="0" fontId="0" fillId="16" borderId="3" xfId="0" applyFill="1" applyBorder="1" applyAlignment="1">
      <alignment vertical="top"/>
    </xf>
    <xf numFmtId="37" fontId="131" fillId="0" borderId="0" xfId="0" applyNumberFormat="1" applyFont="1"/>
    <xf numFmtId="200" fontId="131" fillId="0" borderId="0" xfId="0" applyNumberFormat="1" applyFont="1"/>
    <xf numFmtId="0" fontId="0" fillId="15" borderId="3" xfId="0" applyFill="1" applyBorder="1" applyAlignment="1" applyProtection="1">
      <alignment horizontal="center"/>
      <protection hidden="1"/>
    </xf>
    <xf numFmtId="0" fontId="0" fillId="15" borderId="0" xfId="0" applyFill="1" applyAlignment="1" applyProtection="1">
      <alignment horizontal="center"/>
      <protection hidden="1"/>
    </xf>
    <xf numFmtId="0" fontId="0" fillId="15" borderId="25" xfId="0" applyFill="1" applyBorder="1" applyAlignment="1" applyProtection="1">
      <alignment horizontal="center"/>
      <protection hidden="1"/>
    </xf>
    <xf numFmtId="0" fontId="168" fillId="2" borderId="0" xfId="0" applyFont="1" applyFill="1" applyAlignment="1" applyProtection="1">
      <alignment horizontal="center" vertical="center"/>
      <protection hidden="1"/>
    </xf>
    <xf numFmtId="0" fontId="3" fillId="0" borderId="21" xfId="0" applyFont="1" applyBorder="1" applyAlignment="1">
      <alignment horizontal="center"/>
    </xf>
    <xf numFmtId="0" fontId="3" fillId="0" borderId="70" xfId="0" applyFont="1" applyBorder="1" applyAlignment="1">
      <alignment horizontal="center"/>
    </xf>
    <xf numFmtId="37" fontId="8" fillId="15" borderId="10" xfId="0" applyNumberFormat="1" applyFont="1" applyFill="1" applyBorder="1" applyAlignment="1" applyProtection="1">
      <alignment horizontal="center"/>
      <protection hidden="1"/>
    </xf>
    <xf numFmtId="37" fontId="8" fillId="15" borderId="1" xfId="0" applyNumberFormat="1" applyFont="1" applyFill="1" applyBorder="1" applyAlignment="1" applyProtection="1">
      <alignment horizontal="center" vertical="center"/>
      <protection hidden="1"/>
    </xf>
    <xf numFmtId="0" fontId="7" fillId="16" borderId="14" xfId="0" applyFont="1" applyFill="1" applyBorder="1" applyAlignment="1">
      <alignment vertical="center"/>
    </xf>
    <xf numFmtId="0" fontId="7" fillId="16" borderId="14" xfId="0" applyFont="1" applyFill="1" applyBorder="1" applyAlignment="1">
      <alignment horizontal="right" vertical="top"/>
    </xf>
    <xf numFmtId="0" fontId="6" fillId="30" borderId="27" xfId="0" applyFont="1" applyFill="1" applyBorder="1" applyAlignment="1" applyProtection="1">
      <alignment horizontal="right" vertical="center"/>
      <protection hidden="1"/>
    </xf>
    <xf numFmtId="0" fontId="21" fillId="30" borderId="1" xfId="0" applyFont="1" applyFill="1" applyBorder="1" applyAlignment="1" applyProtection="1">
      <alignment horizontal="left" vertical="center"/>
      <protection hidden="1"/>
    </xf>
    <xf numFmtId="0" fontId="10" fillId="30" borderId="1" xfId="0" applyFont="1" applyFill="1" applyBorder="1" applyAlignment="1" applyProtection="1">
      <alignment horizontal="left" vertical="center"/>
      <protection hidden="1"/>
    </xf>
    <xf numFmtId="0" fontId="6" fillId="30" borderId="1" xfId="0" applyFont="1" applyFill="1" applyBorder="1" applyAlignment="1" applyProtection="1">
      <alignment horizontal="right" vertical="center"/>
      <protection hidden="1"/>
    </xf>
    <xf numFmtId="0" fontId="10" fillId="30" borderId="30" xfId="0" applyFont="1" applyFill="1" applyBorder="1" applyAlignment="1" applyProtection="1">
      <alignment horizontal="left" vertical="center"/>
      <protection hidden="1"/>
    </xf>
    <xf numFmtId="39" fontId="33" fillId="3" borderId="0" xfId="0" applyNumberFormat="1" applyFont="1" applyFill="1" applyAlignment="1" applyProtection="1">
      <alignment horizontal="center" vertical="center"/>
      <protection hidden="1"/>
    </xf>
    <xf numFmtId="0" fontId="10" fillId="2" borderId="0" xfId="0" applyFont="1" applyFill="1" applyAlignment="1" applyProtection="1">
      <alignment vertical="center"/>
      <protection hidden="1"/>
    </xf>
    <xf numFmtId="182" fontId="0" fillId="25" borderId="0" xfId="0" applyNumberFormat="1" applyFill="1" applyAlignment="1" applyProtection="1">
      <alignment vertical="center"/>
      <protection locked="0"/>
    </xf>
    <xf numFmtId="0" fontId="0" fillId="16" borderId="25" xfId="0" applyFill="1" applyBorder="1" applyAlignment="1" applyProtection="1">
      <alignment horizontal="center" vertical="center" wrapText="1"/>
      <protection hidden="1"/>
    </xf>
    <xf numFmtId="0" fontId="0" fillId="16" borderId="3" xfId="0" applyFill="1" applyBorder="1" applyAlignment="1" applyProtection="1">
      <alignment horizontal="center" vertical="center" wrapText="1"/>
      <protection hidden="1"/>
    </xf>
    <xf numFmtId="0" fontId="5" fillId="0" borderId="0" xfId="0" applyFont="1" applyAlignment="1">
      <alignment horizontal="center" vertical="center"/>
    </xf>
    <xf numFmtId="0" fontId="75" fillId="16" borderId="101" xfId="2" applyFill="1" applyBorder="1" applyAlignment="1" applyProtection="1">
      <alignment horizontal="right" vertical="center"/>
    </xf>
    <xf numFmtId="0" fontId="3" fillId="16" borderId="76" xfId="0" applyFont="1" applyFill="1" applyBorder="1" applyAlignment="1">
      <alignment horizontal="left" wrapText="1" indent="1"/>
    </xf>
    <xf numFmtId="0" fontId="3" fillId="16" borderId="0" xfId="0" applyFont="1" applyFill="1" applyAlignment="1">
      <alignment horizontal="left" wrapText="1" indent="1"/>
    </xf>
    <xf numFmtId="182" fontId="5" fillId="0" borderId="6" xfId="0" applyNumberFormat="1" applyFont="1" applyBorder="1" applyAlignment="1">
      <alignment horizontal="right" vertical="center" indent="1"/>
    </xf>
    <xf numFmtId="182" fontId="5" fillId="0" borderId="206" xfId="0" applyNumberFormat="1" applyFont="1" applyBorder="1" applyAlignment="1">
      <alignment horizontal="center" vertical="center"/>
    </xf>
    <xf numFmtId="182" fontId="5" fillId="0" borderId="7" xfId="0" applyNumberFormat="1" applyFont="1" applyBorder="1" applyAlignment="1">
      <alignment horizontal="center" vertical="center"/>
    </xf>
    <xf numFmtId="182" fontId="5" fillId="0" borderId="79" xfId="0" applyNumberFormat="1" applyFont="1" applyBorder="1" applyAlignment="1">
      <alignment horizontal="center" vertical="center"/>
    </xf>
    <xf numFmtId="182" fontId="0" fillId="0" borderId="79" xfId="0" applyNumberFormat="1" applyBorder="1" applyAlignment="1">
      <alignment horizontal="center" vertical="center"/>
    </xf>
    <xf numFmtId="182" fontId="5" fillId="0" borderId="21" xfId="0" applyNumberFormat="1" applyFont="1" applyBorder="1" applyAlignment="1">
      <alignment horizontal="center" vertical="center"/>
    </xf>
    <xf numFmtId="0" fontId="18" fillId="16" borderId="3" xfId="0" quotePrefix="1" applyFont="1" applyFill="1" applyBorder="1" applyAlignment="1" applyProtection="1">
      <alignment horizontal="center"/>
      <protection hidden="1"/>
    </xf>
    <xf numFmtId="0" fontId="23" fillId="16" borderId="26" xfId="0" applyFont="1" applyFill="1" applyBorder="1" applyAlignment="1" applyProtection="1">
      <alignment horizontal="left" vertical="center" indent="1"/>
      <protection hidden="1"/>
    </xf>
    <xf numFmtId="0" fontId="0" fillId="16" borderId="89" xfId="0" applyFill="1" applyBorder="1" applyProtection="1">
      <protection hidden="1"/>
    </xf>
    <xf numFmtId="0" fontId="12" fillId="16" borderId="0" xfId="0" applyFont="1" applyFill="1" applyAlignment="1" applyProtection="1">
      <alignment horizontal="left" indent="1"/>
      <protection hidden="1"/>
    </xf>
    <xf numFmtId="0" fontId="83" fillId="16" borderId="0" xfId="0" applyFont="1" applyFill="1" applyProtection="1">
      <protection hidden="1"/>
    </xf>
    <xf numFmtId="0" fontId="12" fillId="16" borderId="35" xfId="0" applyFont="1" applyFill="1" applyBorder="1" applyAlignment="1" applyProtection="1">
      <alignment horizontal="left" vertical="center" indent="1"/>
      <protection hidden="1"/>
    </xf>
    <xf numFmtId="0" fontId="7" fillId="16" borderId="35" xfId="0" applyFont="1" applyFill="1" applyBorder="1" applyAlignment="1" applyProtection="1">
      <alignment horizontal="center" vertical="center"/>
      <protection hidden="1"/>
    </xf>
    <xf numFmtId="0" fontId="18" fillId="16" borderId="25" xfId="0" applyFont="1" applyFill="1" applyBorder="1" applyProtection="1">
      <protection hidden="1"/>
    </xf>
    <xf numFmtId="0" fontId="177" fillId="17" borderId="2" xfId="0" applyFont="1" applyFill="1" applyBorder="1" applyAlignment="1" applyProtection="1">
      <alignment horizontal="center"/>
      <protection locked="0"/>
    </xf>
    <xf numFmtId="0" fontId="195" fillId="16" borderId="40" xfId="0" applyFont="1" applyFill="1" applyBorder="1" applyAlignment="1" applyProtection="1">
      <alignment horizontal="left" vertical="center" wrapText="1"/>
      <protection hidden="1"/>
    </xf>
    <xf numFmtId="0" fontId="0" fillId="17" borderId="1" xfId="0" applyFill="1" applyBorder="1" applyProtection="1">
      <protection locked="0"/>
    </xf>
    <xf numFmtId="0" fontId="5" fillId="16" borderId="40" xfId="0" applyFont="1" applyFill="1" applyBorder="1" applyProtection="1">
      <protection hidden="1"/>
    </xf>
    <xf numFmtId="0" fontId="141" fillId="16" borderId="40" xfId="0" applyFont="1" applyFill="1" applyBorder="1" applyProtection="1">
      <protection hidden="1"/>
    </xf>
    <xf numFmtId="0" fontId="0" fillId="16" borderId="0" xfId="0" applyFill="1" applyAlignment="1" applyProtection="1">
      <alignment horizontal="center" vertical="center" wrapText="1"/>
      <protection hidden="1"/>
    </xf>
    <xf numFmtId="0" fontId="8" fillId="17" borderId="58" xfId="0" applyFont="1" applyFill="1" applyBorder="1" applyAlignment="1" applyProtection="1">
      <alignment horizontal="center"/>
      <protection locked="0"/>
    </xf>
    <xf numFmtId="0" fontId="0" fillId="16" borderId="76" xfId="0" applyFill="1" applyBorder="1" applyProtection="1">
      <protection hidden="1"/>
    </xf>
    <xf numFmtId="0" fontId="0" fillId="16" borderId="224" xfId="0" applyFill="1" applyBorder="1" applyProtection="1">
      <protection hidden="1"/>
    </xf>
    <xf numFmtId="182" fontId="5" fillId="16" borderId="2" xfId="0" applyNumberFormat="1" applyFont="1" applyFill="1" applyBorder="1" applyAlignment="1" applyProtection="1">
      <alignment horizontal="center"/>
      <protection hidden="1"/>
    </xf>
    <xf numFmtId="182" fontId="5" fillId="16" borderId="31" xfId="0" applyNumberFormat="1" applyFont="1" applyFill="1" applyBorder="1" applyAlignment="1" applyProtection="1">
      <alignment horizontal="center"/>
      <protection hidden="1"/>
    </xf>
    <xf numFmtId="0" fontId="5" fillId="16" borderId="10" xfId="0" applyFont="1" applyFill="1" applyBorder="1" applyAlignment="1" applyProtection="1">
      <alignment horizontal="center"/>
      <protection hidden="1"/>
    </xf>
    <xf numFmtId="0" fontId="5" fillId="16" borderId="44" xfId="0" applyFont="1" applyFill="1" applyBorder="1" applyAlignment="1" applyProtection="1">
      <alignment horizontal="center"/>
      <protection hidden="1"/>
    </xf>
    <xf numFmtId="0" fontId="12" fillId="16" borderId="0" xfId="4" applyFont="1" applyFill="1" applyProtection="1">
      <protection hidden="1"/>
    </xf>
    <xf numFmtId="0" fontId="12" fillId="16" borderId="0" xfId="4" applyFont="1" applyFill="1" applyAlignment="1" applyProtection="1">
      <alignment horizontal="center"/>
      <protection hidden="1"/>
    </xf>
    <xf numFmtId="0" fontId="53" fillId="16" borderId="25" xfId="0" applyFont="1" applyFill="1" applyBorder="1" applyProtection="1">
      <protection hidden="1"/>
    </xf>
    <xf numFmtId="0" fontId="131" fillId="16" borderId="0" xfId="0" applyFont="1" applyFill="1" applyAlignment="1">
      <alignment horizontal="center"/>
    </xf>
    <xf numFmtId="3" fontId="131" fillId="16" borderId="0" xfId="0" applyNumberFormat="1" applyFont="1" applyFill="1"/>
    <xf numFmtId="0" fontId="10" fillId="16" borderId="8" xfId="0" applyFont="1" applyFill="1" applyBorder="1" applyAlignment="1" applyProtection="1">
      <alignment horizontal="center"/>
      <protection hidden="1"/>
    </xf>
    <xf numFmtId="0" fontId="13" fillId="16" borderId="8" xfId="0" applyFont="1" applyFill="1" applyBorder="1" applyAlignment="1">
      <alignment horizontal="center" textRotation="90"/>
    </xf>
    <xf numFmtId="0" fontId="10" fillId="16" borderId="8" xfId="0" applyFont="1" applyFill="1" applyBorder="1" applyAlignment="1">
      <alignment horizontal="center"/>
    </xf>
    <xf numFmtId="3" fontId="10" fillId="16" borderId="8" xfId="0" applyNumberFormat="1" applyFont="1" applyFill="1" applyBorder="1"/>
    <xf numFmtId="0" fontId="10" fillId="16" borderId="24" xfId="0" applyFont="1" applyFill="1" applyBorder="1" applyProtection="1">
      <protection hidden="1"/>
    </xf>
    <xf numFmtId="181" fontId="10" fillId="17" borderId="0" xfId="0" applyNumberFormat="1" applyFont="1" applyFill="1" applyAlignment="1" applyProtection="1">
      <alignment horizontal="center"/>
      <protection locked="0" hidden="1"/>
    </xf>
    <xf numFmtId="181" fontId="10" fillId="28" borderId="0" xfId="0" applyNumberFormat="1" applyFont="1" applyFill="1" applyAlignment="1" applyProtection="1">
      <alignment horizontal="center"/>
      <protection hidden="1"/>
    </xf>
    <xf numFmtId="0" fontId="13" fillId="16" borderId="0" xfId="0" applyFont="1" applyFill="1" applyAlignment="1">
      <alignment horizontal="left"/>
    </xf>
    <xf numFmtId="0" fontId="10" fillId="16" borderId="22" xfId="0" applyFont="1" applyFill="1" applyBorder="1" applyAlignment="1" applyProtection="1">
      <alignment horizontal="center"/>
      <protection hidden="1"/>
    </xf>
    <xf numFmtId="0" fontId="13" fillId="16" borderId="5" xfId="0" applyFont="1" applyFill="1" applyBorder="1" applyAlignment="1">
      <alignment horizontal="center" textRotation="90"/>
    </xf>
    <xf numFmtId="0" fontId="306" fillId="5" borderId="0" xfId="0" applyFont="1" applyFill="1" applyAlignment="1" applyProtection="1">
      <alignment horizontal="center"/>
      <protection hidden="1"/>
    </xf>
    <xf numFmtId="0" fontId="129" fillId="0" borderId="0" xfId="0" applyFont="1" applyAlignment="1" applyProtection="1">
      <alignment vertical="top"/>
      <protection hidden="1"/>
    </xf>
    <xf numFmtId="4" fontId="42" fillId="3" borderId="0" xfId="0" applyNumberFormat="1" applyFont="1" applyFill="1" applyAlignment="1" applyProtection="1">
      <alignment horizontal="left"/>
      <protection hidden="1"/>
    </xf>
    <xf numFmtId="39" fontId="3" fillId="15" borderId="55" xfId="0" applyNumberFormat="1" applyFont="1" applyFill="1" applyBorder="1" applyAlignment="1" applyProtection="1">
      <alignment horizontal="center" vertical="center"/>
      <protection locked="0"/>
    </xf>
    <xf numFmtId="0" fontId="7" fillId="16" borderId="9" xfId="0" applyFont="1" applyFill="1" applyBorder="1" applyAlignment="1" applyProtection="1">
      <alignment vertical="center"/>
      <protection hidden="1"/>
    </xf>
    <xf numFmtId="0" fontId="7" fillId="16" borderId="9" xfId="0" applyFont="1" applyFill="1" applyBorder="1" applyAlignment="1">
      <alignment vertical="center"/>
    </xf>
    <xf numFmtId="0" fontId="18" fillId="16" borderId="0" xfId="0" applyFont="1" applyFill="1" applyAlignment="1">
      <alignment horizontal="right" vertical="center"/>
    </xf>
    <xf numFmtId="0" fontId="7" fillId="16" borderId="0" xfId="0" applyFont="1" applyFill="1" applyAlignment="1">
      <alignment vertical="top"/>
    </xf>
    <xf numFmtId="0" fontId="3" fillId="16" borderId="0" xfId="0" applyFont="1" applyFill="1" applyAlignment="1">
      <alignment horizontal="right" vertical="center"/>
    </xf>
    <xf numFmtId="0" fontId="159" fillId="16" borderId="3" xfId="0" applyFont="1" applyFill="1" applyBorder="1" applyAlignment="1">
      <alignment wrapText="1"/>
    </xf>
    <xf numFmtId="0" fontId="159" fillId="16" borderId="0" xfId="0" applyFont="1" applyFill="1" applyAlignment="1">
      <alignment wrapText="1"/>
    </xf>
    <xf numFmtId="0" fontId="159" fillId="16" borderId="25" xfId="0" applyFont="1" applyFill="1" applyBorder="1" applyAlignment="1">
      <alignment wrapText="1"/>
    </xf>
    <xf numFmtId="0" fontId="159" fillId="16" borderId="3" xfId="0" applyFont="1" applyFill="1" applyBorder="1" applyAlignment="1">
      <alignment vertical="top" wrapText="1"/>
    </xf>
    <xf numFmtId="0" fontId="159" fillId="16" borderId="0" xfId="0" applyFont="1" applyFill="1" applyAlignment="1">
      <alignment vertical="top" wrapText="1"/>
    </xf>
    <xf numFmtId="0" fontId="159" fillId="16" borderId="25" xfId="0" applyFont="1" applyFill="1" applyBorder="1" applyAlignment="1">
      <alignment vertical="top" wrapText="1"/>
    </xf>
    <xf numFmtId="0" fontId="159" fillId="16" borderId="1" xfId="0" applyFont="1" applyFill="1" applyBorder="1" applyAlignment="1">
      <alignment vertical="top"/>
    </xf>
    <xf numFmtId="0" fontId="159" fillId="16" borderId="12" xfId="0" applyFont="1" applyFill="1" applyBorder="1" applyAlignment="1">
      <alignment vertical="top"/>
    </xf>
    <xf numFmtId="37" fontId="10" fillId="28" borderId="1" xfId="0" applyNumberFormat="1" applyFont="1" applyFill="1" applyBorder="1" applyProtection="1">
      <protection hidden="1"/>
    </xf>
    <xf numFmtId="49" fontId="3" fillId="16" borderId="0" xfId="0" quotePrefix="1" applyNumberFormat="1" applyFont="1" applyFill="1" applyAlignment="1" applyProtection="1">
      <alignment horizontal="right"/>
      <protection hidden="1"/>
    </xf>
    <xf numFmtId="49" fontId="3" fillId="16" borderId="3" xfId="0" applyNumberFormat="1" applyFont="1" applyFill="1" applyBorder="1" applyAlignment="1" applyProtection="1">
      <alignment horizontal="right"/>
      <protection hidden="1"/>
    </xf>
    <xf numFmtId="0" fontId="159" fillId="16" borderId="3" xfId="0" applyFont="1" applyFill="1" applyBorder="1" applyAlignment="1">
      <alignment horizontal="center" vertical="center"/>
    </xf>
    <xf numFmtId="0" fontId="131" fillId="16" borderId="25" xfId="0" applyFont="1" applyFill="1" applyBorder="1" applyAlignment="1" applyProtection="1">
      <alignment horizontal="center"/>
      <protection hidden="1"/>
    </xf>
    <xf numFmtId="0" fontId="159" fillId="16" borderId="3" xfId="0" applyFont="1" applyFill="1" applyBorder="1" applyAlignment="1">
      <alignment horizontal="left" indent="1"/>
    </xf>
    <xf numFmtId="0" fontId="159" fillId="16" borderId="0" xfId="0" applyFont="1" applyFill="1" applyAlignment="1">
      <alignment horizontal="left" wrapText="1" indent="1"/>
    </xf>
    <xf numFmtId="0" fontId="159" fillId="16" borderId="25" xfId="0" applyFont="1" applyFill="1" applyBorder="1" applyAlignment="1">
      <alignment horizontal="left" wrapText="1" indent="1"/>
    </xf>
    <xf numFmtId="0" fontId="159" fillId="16" borderId="10" xfId="0" applyFont="1" applyFill="1" applyBorder="1" applyAlignment="1">
      <alignment horizontal="left" vertical="top" indent="1"/>
    </xf>
    <xf numFmtId="0" fontId="309" fillId="16" borderId="3" xfId="0" applyFont="1" applyFill="1" applyBorder="1" applyAlignment="1">
      <alignment vertical="center" wrapText="1"/>
    </xf>
    <xf numFmtId="0" fontId="175" fillId="0" borderId="0" xfId="0" applyFont="1" applyAlignment="1" applyProtection="1">
      <alignment vertical="center" wrapText="1"/>
      <protection hidden="1"/>
    </xf>
    <xf numFmtId="1" fontId="179" fillId="28" borderId="82" xfId="0" applyNumberFormat="1" applyFont="1" applyFill="1" applyBorder="1" applyAlignment="1" applyProtection="1">
      <alignment horizontal="center" vertical="center"/>
      <protection hidden="1"/>
    </xf>
    <xf numFmtId="180" fontId="179" fillId="28" borderId="83" xfId="0" applyNumberFormat="1" applyFont="1" applyFill="1" applyBorder="1" applyAlignment="1" applyProtection="1">
      <alignment horizontal="center" vertical="center"/>
      <protection hidden="1"/>
    </xf>
    <xf numFmtId="1" fontId="179" fillId="17" borderId="82" xfId="0" applyNumberFormat="1" applyFont="1" applyFill="1" applyBorder="1" applyAlignment="1" applyProtection="1">
      <alignment horizontal="center" vertical="center"/>
      <protection locked="0"/>
    </xf>
    <xf numFmtId="0" fontId="0" fillId="0" borderId="0" xfId="0" applyAlignment="1">
      <alignment horizontal="left" wrapText="1" indent="1"/>
    </xf>
    <xf numFmtId="0" fontId="5" fillId="16" borderId="6" xfId="0" applyFont="1" applyFill="1" applyBorder="1" applyAlignment="1" applyProtection="1">
      <alignment horizontal="left" wrapText="1" indent="1"/>
      <protection hidden="1"/>
    </xf>
    <xf numFmtId="0" fontId="0" fillId="16" borderId="0" xfId="0" applyFill="1" applyAlignment="1" applyProtection="1">
      <alignment horizontal="left" wrapText="1" indent="1"/>
      <protection hidden="1"/>
    </xf>
    <xf numFmtId="0" fontId="0" fillId="0" borderId="21" xfId="0" applyBorder="1" applyAlignment="1">
      <alignment horizontal="left" wrapText="1" indent="1"/>
    </xf>
    <xf numFmtId="0" fontId="16" fillId="16" borderId="0" xfId="0" applyFont="1" applyFill="1"/>
    <xf numFmtId="0" fontId="310" fillId="16" borderId="0" xfId="0" applyFont="1" applyFill="1" applyAlignment="1" applyProtection="1">
      <alignment vertical="center"/>
      <protection hidden="1"/>
    </xf>
    <xf numFmtId="37" fontId="131" fillId="16" borderId="0" xfId="0" applyNumberFormat="1" applyFont="1" applyFill="1" applyAlignment="1">
      <alignment vertical="center"/>
    </xf>
    <xf numFmtId="14" fontId="23" fillId="25" borderId="0" xfId="0" applyNumberFormat="1" applyFont="1" applyFill="1" applyProtection="1">
      <protection locked="0"/>
    </xf>
    <xf numFmtId="2" fontId="135" fillId="16" borderId="25" xfId="0" applyNumberFormat="1" applyFont="1" applyFill="1" applyBorder="1" applyAlignment="1">
      <alignment horizontal="center"/>
    </xf>
    <xf numFmtId="0" fontId="13" fillId="18" borderId="0" xfId="0" quotePrefix="1" applyFont="1" applyFill="1" applyProtection="1">
      <protection hidden="1"/>
    </xf>
    <xf numFmtId="0" fontId="168" fillId="8" borderId="0" xfId="0" applyFont="1" applyFill="1" applyAlignment="1" applyProtection="1">
      <alignment vertical="top" wrapText="1"/>
      <protection hidden="1"/>
    </xf>
    <xf numFmtId="0" fontId="5" fillId="8" borderId="0" xfId="0" applyFont="1" applyFill="1" applyAlignment="1" applyProtection="1">
      <alignment vertical="center"/>
      <protection hidden="1"/>
    </xf>
    <xf numFmtId="188" fontId="227" fillId="2" borderId="25" xfId="0" applyNumberFormat="1" applyFont="1" applyFill="1" applyBorder="1" applyAlignment="1" applyProtection="1">
      <alignment horizontal="center" vertical="center" wrapText="1"/>
      <protection hidden="1"/>
    </xf>
    <xf numFmtId="37" fontId="10" fillId="2" borderId="25" xfId="0" applyNumberFormat="1" applyFont="1" applyFill="1" applyBorder="1" applyAlignment="1" applyProtection="1">
      <alignment horizontal="center" vertical="center" wrapText="1"/>
      <protection hidden="1"/>
    </xf>
    <xf numFmtId="0" fontId="171" fillId="16" borderId="0" xfId="0" applyFont="1" applyFill="1" applyAlignment="1" applyProtection="1">
      <alignment horizontal="center"/>
      <protection hidden="1"/>
    </xf>
    <xf numFmtId="0" fontId="0" fillId="16" borderId="0" xfId="0" applyFill="1" applyAlignment="1">
      <alignment horizontal="right"/>
    </xf>
    <xf numFmtId="183" fontId="129" fillId="2" borderId="0" xfId="0" applyNumberFormat="1" applyFont="1" applyFill="1" applyAlignment="1" applyProtection="1">
      <alignment horizontal="center"/>
      <protection hidden="1"/>
    </xf>
    <xf numFmtId="42" fontId="5" fillId="0" borderId="0" xfId="0" applyNumberFormat="1" applyFont="1"/>
    <xf numFmtId="0" fontId="5" fillId="0" borderId="0" xfId="0" applyFont="1" applyAlignment="1" applyProtection="1">
      <alignment horizontal="center" vertical="center"/>
      <protection hidden="1"/>
    </xf>
    <xf numFmtId="0" fontId="129" fillId="0" borderId="6" xfId="0" applyFont="1" applyBorder="1" applyProtection="1">
      <protection hidden="1"/>
    </xf>
    <xf numFmtId="37" fontId="0" fillId="0" borderId="0" xfId="0" applyNumberFormat="1" applyAlignment="1" applyProtection="1">
      <alignment vertical="center"/>
      <protection locked="0"/>
    </xf>
    <xf numFmtId="0" fontId="0" fillId="25" borderId="6" xfId="0" applyFill="1" applyBorder="1" applyProtection="1">
      <protection hidden="1"/>
    </xf>
    <xf numFmtId="0" fontId="5" fillId="0" borderId="110" xfId="0" applyFont="1" applyBorder="1" applyProtection="1">
      <protection hidden="1"/>
    </xf>
    <xf numFmtId="42" fontId="5" fillId="0" borderId="67" xfId="0" applyNumberFormat="1" applyFont="1" applyBorder="1" applyProtection="1">
      <protection hidden="1"/>
    </xf>
    <xf numFmtId="0" fontId="5" fillId="0" borderId="47" xfId="0" applyFont="1" applyBorder="1" applyProtection="1">
      <protection hidden="1"/>
    </xf>
    <xf numFmtId="42" fontId="5" fillId="0" borderId="59" xfId="0" applyNumberFormat="1" applyFont="1" applyBorder="1" applyProtection="1">
      <protection hidden="1"/>
    </xf>
    <xf numFmtId="0" fontId="5" fillId="0" borderId="51" xfId="0" applyFont="1" applyBorder="1" applyProtection="1">
      <protection hidden="1"/>
    </xf>
    <xf numFmtId="42" fontId="5" fillId="0" borderId="111" xfId="0" applyNumberFormat="1" applyFont="1" applyBorder="1" applyProtection="1">
      <protection hidden="1"/>
    </xf>
    <xf numFmtId="0" fontId="3" fillId="16" borderId="110" xfId="0" applyFont="1" applyFill="1" applyBorder="1" applyAlignment="1" applyProtection="1">
      <alignment horizontal="center"/>
      <protection locked="0"/>
    </xf>
    <xf numFmtId="0" fontId="3" fillId="16" borderId="47" xfId="0" applyFont="1" applyFill="1" applyBorder="1" applyAlignment="1" applyProtection="1">
      <alignment horizontal="center"/>
      <protection locked="0"/>
    </xf>
    <xf numFmtId="0" fontId="3" fillId="16" borderId="51" xfId="0" applyFont="1" applyFill="1" applyBorder="1" applyAlignment="1" applyProtection="1">
      <alignment horizontal="center"/>
      <protection locked="0"/>
    </xf>
    <xf numFmtId="37" fontId="3" fillId="16" borderId="67" xfId="0" applyNumberFormat="1" applyFont="1" applyFill="1" applyBorder="1" applyProtection="1">
      <protection locked="0"/>
    </xf>
    <xf numFmtId="37" fontId="3" fillId="16" borderId="59" xfId="0" applyNumberFormat="1" applyFont="1" applyFill="1" applyBorder="1" applyProtection="1">
      <protection locked="0"/>
    </xf>
    <xf numFmtId="37" fontId="3" fillId="16" borderId="111" xfId="0" applyNumberFormat="1" applyFont="1" applyFill="1" applyBorder="1" applyProtection="1">
      <protection locked="0"/>
    </xf>
    <xf numFmtId="0" fontId="131" fillId="16" borderId="0" xfId="0" applyFont="1" applyFill="1" applyAlignment="1" applyProtection="1">
      <alignment horizontal="right" vertical="top" wrapText="1"/>
      <protection hidden="1"/>
    </xf>
    <xf numFmtId="37" fontId="143" fillId="16" borderId="3" xfId="0" applyNumberFormat="1" applyFont="1" applyFill="1" applyBorder="1" applyProtection="1">
      <protection locked="0"/>
    </xf>
    <xf numFmtId="37" fontId="143" fillId="16" borderId="0" xfId="0" applyNumberFormat="1" applyFont="1" applyFill="1" applyProtection="1">
      <protection locked="0"/>
    </xf>
    <xf numFmtId="37" fontId="311" fillId="2" borderId="13" xfId="0" applyNumberFormat="1" applyFont="1" applyFill="1" applyBorder="1" applyProtection="1">
      <protection locked="0"/>
    </xf>
    <xf numFmtId="0" fontId="129" fillId="0" borderId="0" xfId="0" applyFont="1" applyAlignment="1">
      <alignment horizontal="right"/>
    </xf>
    <xf numFmtId="0" fontId="3" fillId="33" borderId="26" xfId="0" applyFont="1" applyFill="1" applyBorder="1" applyAlignment="1" applyProtection="1">
      <alignment horizontal="center" wrapText="1"/>
      <protection locked="0"/>
    </xf>
    <xf numFmtId="0" fontId="6" fillId="33" borderId="26" xfId="0" applyFont="1" applyFill="1" applyBorder="1" applyAlignment="1" applyProtection="1">
      <alignment horizontal="center" wrapText="1"/>
      <protection locked="0"/>
    </xf>
    <xf numFmtId="0" fontId="3" fillId="33" borderId="1" xfId="0" applyFont="1" applyFill="1" applyBorder="1" applyAlignment="1" applyProtection="1">
      <alignment horizontal="center" wrapText="1"/>
      <protection locked="0"/>
    </xf>
    <xf numFmtId="0" fontId="6" fillId="33" borderId="1" xfId="0" applyFont="1" applyFill="1" applyBorder="1" applyAlignment="1" applyProtection="1">
      <alignment horizontal="center" wrapText="1"/>
      <protection locked="0"/>
    </xf>
    <xf numFmtId="0" fontId="3" fillId="28" borderId="1" xfId="0" applyFont="1" applyFill="1" applyBorder="1" applyAlignment="1" applyProtection="1">
      <alignment horizontal="center"/>
      <protection hidden="1"/>
    </xf>
    <xf numFmtId="0" fontId="5" fillId="0" borderId="110" xfId="0" applyFont="1" applyBorder="1" applyAlignment="1" applyProtection="1">
      <alignment horizontal="right"/>
      <protection hidden="1"/>
    </xf>
    <xf numFmtId="0" fontId="5" fillId="0" borderId="44" xfId="0" applyFont="1" applyBorder="1" applyAlignment="1" applyProtection="1">
      <alignment horizontal="right"/>
      <protection hidden="1"/>
    </xf>
    <xf numFmtId="0" fontId="5" fillId="0" borderId="67" xfId="0" applyFont="1" applyBorder="1" applyAlignment="1" applyProtection="1">
      <alignment horizontal="right"/>
      <protection hidden="1"/>
    </xf>
    <xf numFmtId="0" fontId="0" fillId="0" borderId="47" xfId="0" applyBorder="1" applyProtection="1">
      <protection hidden="1"/>
    </xf>
    <xf numFmtId="0" fontId="0" fillId="0" borderId="59" xfId="0" applyBorder="1" applyProtection="1">
      <protection hidden="1"/>
    </xf>
    <xf numFmtId="0" fontId="0" fillId="0" borderId="51" xfId="0" applyBorder="1" applyProtection="1">
      <protection hidden="1"/>
    </xf>
    <xf numFmtId="0" fontId="0" fillId="0" borderId="52" xfId="0" applyBorder="1" applyProtection="1">
      <protection hidden="1"/>
    </xf>
    <xf numFmtId="0" fontId="0" fillId="0" borderId="111" xfId="0" applyBorder="1" applyProtection="1">
      <protection hidden="1"/>
    </xf>
    <xf numFmtId="4" fontId="291" fillId="2" borderId="0" xfId="0" applyNumberFormat="1" applyFont="1" applyFill="1" applyAlignment="1" applyProtection="1">
      <alignment vertical="center" wrapText="1"/>
      <protection hidden="1"/>
    </xf>
    <xf numFmtId="0" fontId="25" fillId="2" borderId="0" xfId="0" applyFont="1" applyFill="1" applyAlignment="1" applyProtection="1">
      <alignment horizontal="left"/>
      <protection hidden="1"/>
    </xf>
    <xf numFmtId="39" fontId="25" fillId="25" borderId="0" xfId="0" applyNumberFormat="1" applyFont="1" applyFill="1" applyAlignment="1" applyProtection="1">
      <alignment horizontal="left"/>
      <protection locked="0"/>
    </xf>
    <xf numFmtId="0" fontId="171" fillId="2" borderId="0" xfId="0" applyFont="1" applyFill="1" applyAlignment="1" applyProtection="1">
      <alignment horizontal="center"/>
      <protection hidden="1"/>
    </xf>
    <xf numFmtId="0" fontId="3" fillId="2" borderId="9" xfId="0" applyFont="1" applyFill="1" applyBorder="1" applyAlignment="1" applyProtection="1">
      <alignment horizontal="left"/>
      <protection hidden="1"/>
    </xf>
    <xf numFmtId="0" fontId="225" fillId="2" borderId="0" xfId="0" applyFont="1" applyFill="1" applyProtection="1">
      <protection hidden="1"/>
    </xf>
    <xf numFmtId="0" fontId="187" fillId="16" borderId="0" xfId="0" applyFont="1" applyFill="1" applyAlignment="1" applyProtection="1">
      <alignment horizontal="left"/>
      <protection hidden="1"/>
    </xf>
    <xf numFmtId="0" fontId="136" fillId="5" borderId="0" xfId="0" applyFont="1" applyFill="1" applyAlignment="1" applyProtection="1">
      <alignment horizontal="center" vertical="center"/>
      <protection hidden="1"/>
    </xf>
    <xf numFmtId="0" fontId="157" fillId="16" borderId="69" xfId="0" applyFont="1" applyFill="1" applyBorder="1" applyAlignment="1" applyProtection="1">
      <alignment vertical="center" wrapText="1"/>
      <protection hidden="1"/>
    </xf>
    <xf numFmtId="4" fontId="312" fillId="33" borderId="146" xfId="0" applyNumberFormat="1" applyFont="1" applyFill="1" applyBorder="1" applyAlignment="1" applyProtection="1">
      <alignment horizontal="center"/>
      <protection locked="0"/>
    </xf>
    <xf numFmtId="4" fontId="312" fillId="33" borderId="147" xfId="0" applyNumberFormat="1" applyFont="1" applyFill="1" applyBorder="1" applyAlignment="1" applyProtection="1">
      <alignment horizontal="center"/>
      <protection locked="0"/>
    </xf>
    <xf numFmtId="0" fontId="143" fillId="16" borderId="0" xfId="0" applyFont="1" applyFill="1"/>
    <xf numFmtId="0" fontId="207" fillId="2" borderId="0" xfId="0" applyFont="1" applyFill="1" applyProtection="1">
      <protection hidden="1"/>
    </xf>
    <xf numFmtId="0" fontId="135" fillId="2" borderId="0" xfId="0" applyFont="1" applyFill="1" applyProtection="1">
      <protection hidden="1"/>
    </xf>
    <xf numFmtId="37" fontId="0" fillId="2" borderId="0" xfId="0" applyNumberFormat="1" applyFill="1" applyAlignment="1" applyProtection="1">
      <alignment vertical="center"/>
      <protection hidden="1"/>
    </xf>
    <xf numFmtId="1" fontId="3" fillId="17" borderId="88" xfId="0" applyNumberFormat="1" applyFont="1" applyFill="1" applyBorder="1" applyAlignment="1" applyProtection="1">
      <alignment horizontal="center"/>
      <protection locked="0"/>
    </xf>
    <xf numFmtId="0" fontId="152" fillId="2" borderId="0" xfId="0" applyFont="1" applyFill="1" applyAlignment="1" applyProtection="1">
      <alignment horizontal="left" vertical="top" wrapText="1"/>
      <protection hidden="1"/>
    </xf>
    <xf numFmtId="0" fontId="313" fillId="0" borderId="0" xfId="0" applyFont="1" applyAlignment="1">
      <alignment vertical="center"/>
    </xf>
    <xf numFmtId="0" fontId="136" fillId="0" borderId="0" xfId="0" applyFont="1" applyProtection="1">
      <protection hidden="1"/>
    </xf>
    <xf numFmtId="37" fontId="8" fillId="28" borderId="1" xfId="0" applyNumberFormat="1" applyFont="1" applyFill="1" applyBorder="1" applyProtection="1">
      <protection hidden="1"/>
    </xf>
    <xf numFmtId="37" fontId="5" fillId="16" borderId="0" xfId="0" applyNumberFormat="1" applyFont="1" applyFill="1" applyAlignment="1">
      <alignment horizontal="left"/>
    </xf>
    <xf numFmtId="38" fontId="129" fillId="0" borderId="0" xfId="0" applyNumberFormat="1" applyFont="1"/>
    <xf numFmtId="0" fontId="314" fillId="16" borderId="0" xfId="0" applyFont="1" applyFill="1" applyAlignment="1" applyProtection="1">
      <alignment horizontal="center" vertical="center"/>
      <protection hidden="1"/>
    </xf>
    <xf numFmtId="0" fontId="314" fillId="16" borderId="0" xfId="0" applyFont="1" applyFill="1" applyProtection="1">
      <protection hidden="1"/>
    </xf>
    <xf numFmtId="0" fontId="136" fillId="0" borderId="0" xfId="0" applyFont="1" applyAlignment="1" applyProtection="1">
      <alignment horizontal="center"/>
      <protection hidden="1"/>
    </xf>
    <xf numFmtId="0" fontId="131" fillId="25" borderId="0" xfId="0" applyFont="1" applyFill="1" applyProtection="1">
      <protection hidden="1"/>
    </xf>
    <xf numFmtId="3" fontId="131" fillId="0" borderId="0" xfId="0" applyNumberFormat="1" applyFont="1" applyAlignment="1" applyProtection="1">
      <alignment horizontal="right"/>
      <protection hidden="1"/>
    </xf>
    <xf numFmtId="0" fontId="157" fillId="0" borderId="0" xfId="0" applyFont="1" applyAlignment="1" applyProtection="1">
      <alignment horizontal="center"/>
      <protection hidden="1"/>
    </xf>
    <xf numFmtId="4" fontId="131" fillId="0" borderId="0" xfId="0" applyNumberFormat="1" applyFont="1" applyAlignment="1" applyProtection="1">
      <alignment horizontal="center"/>
      <protection hidden="1"/>
    </xf>
    <xf numFmtId="4" fontId="131" fillId="0" borderId="0" xfId="0" applyNumberFormat="1" applyFont="1" applyAlignment="1" applyProtection="1">
      <alignment horizontal="left"/>
      <protection hidden="1"/>
    </xf>
    <xf numFmtId="0" fontId="131" fillId="0" borderId="21" xfId="0" applyFont="1" applyBorder="1"/>
    <xf numFmtId="4" fontId="131" fillId="0" borderId="0" xfId="0" applyNumberFormat="1" applyFont="1" applyAlignment="1" applyProtection="1">
      <alignment horizontal="right"/>
      <protection hidden="1"/>
    </xf>
    <xf numFmtId="39" fontId="129" fillId="0" borderId="0" xfId="0" applyNumberFormat="1" applyFont="1" applyAlignment="1" applyProtection="1">
      <alignment horizontal="right"/>
      <protection hidden="1"/>
    </xf>
    <xf numFmtId="3" fontId="3" fillId="0" borderId="0" xfId="0" applyNumberFormat="1" applyFont="1" applyProtection="1">
      <protection hidden="1"/>
    </xf>
    <xf numFmtId="37" fontId="8" fillId="27" borderId="1" xfId="0" applyNumberFormat="1" applyFont="1" applyFill="1" applyBorder="1" applyAlignment="1" applyProtection="1">
      <alignment horizontal="right"/>
      <protection locked="0"/>
    </xf>
    <xf numFmtId="0" fontId="315" fillId="5" borderId="2" xfId="2" applyFont="1" applyFill="1" applyBorder="1" applyAlignment="1" applyProtection="1">
      <alignment horizontal="center" vertical="center"/>
    </xf>
    <xf numFmtId="37" fontId="177" fillId="16" borderId="0" xfId="0" applyNumberFormat="1" applyFont="1" applyFill="1" applyProtection="1">
      <protection hidden="1"/>
    </xf>
    <xf numFmtId="0" fontId="177" fillId="16" borderId="0" xfId="0" quotePrefix="1" applyFont="1" applyFill="1" applyAlignment="1" applyProtection="1">
      <alignment horizontal="center"/>
      <protection hidden="1"/>
    </xf>
    <xf numFmtId="37" fontId="314" fillId="16" borderId="0" xfId="0" applyNumberFormat="1" applyFont="1" applyFill="1" applyProtection="1">
      <protection hidden="1"/>
    </xf>
    <xf numFmtId="0" fontId="314" fillId="16" borderId="0" xfId="0" applyFont="1" applyFill="1" applyAlignment="1" applyProtection="1">
      <alignment vertical="center"/>
      <protection hidden="1"/>
    </xf>
    <xf numFmtId="4" fontId="264" fillId="2" borderId="0" xfId="0" applyNumberFormat="1" applyFont="1" applyFill="1" applyAlignment="1" applyProtection="1">
      <alignment vertical="center" wrapText="1"/>
      <protection hidden="1"/>
    </xf>
    <xf numFmtId="37" fontId="36" fillId="2" borderId="16" xfId="0" applyNumberFormat="1" applyFont="1" applyFill="1" applyBorder="1" applyProtection="1">
      <protection locked="0"/>
    </xf>
    <xf numFmtId="1" fontId="0" fillId="10" borderId="44" xfId="0" applyNumberFormat="1" applyFill="1" applyBorder="1" applyAlignment="1" applyProtection="1">
      <alignment vertical="center"/>
      <protection hidden="1"/>
    </xf>
    <xf numFmtId="37" fontId="10" fillId="16" borderId="50" xfId="0" applyNumberFormat="1" applyFont="1" applyFill="1" applyBorder="1" applyAlignment="1" applyProtection="1">
      <alignment vertical="center"/>
      <protection locked="0"/>
    </xf>
    <xf numFmtId="37" fontId="10" fillId="16" borderId="54" xfId="0" applyNumberFormat="1" applyFont="1" applyFill="1" applyBorder="1" applyAlignment="1" applyProtection="1">
      <alignment vertical="center"/>
      <protection locked="0"/>
    </xf>
    <xf numFmtId="37" fontId="134" fillId="27" borderId="1" xfId="0" applyNumberFormat="1" applyFont="1" applyFill="1" applyBorder="1" applyAlignment="1" applyProtection="1">
      <alignment horizontal="right"/>
      <protection hidden="1"/>
    </xf>
    <xf numFmtId="0" fontId="3" fillId="0" borderId="13" xfId="0" applyFont="1" applyBorder="1" applyProtection="1">
      <protection hidden="1"/>
    </xf>
    <xf numFmtId="171" fontId="5" fillId="2" borderId="13" xfId="0" applyNumberFormat="1" applyFont="1" applyFill="1" applyBorder="1" applyAlignment="1" applyProtection="1">
      <alignment horizontal="right"/>
      <protection locked="0"/>
    </xf>
    <xf numFmtId="3" fontId="5" fillId="2" borderId="50" xfId="0" applyNumberFormat="1" applyFont="1" applyFill="1" applyBorder="1" applyProtection="1">
      <protection hidden="1"/>
    </xf>
    <xf numFmtId="3" fontId="5" fillId="2" borderId="54" xfId="0" applyNumberFormat="1" applyFont="1" applyFill="1" applyBorder="1" applyProtection="1">
      <protection hidden="1"/>
    </xf>
    <xf numFmtId="4" fontId="6" fillId="2" borderId="2" xfId="0" applyNumberFormat="1" applyFont="1" applyFill="1" applyBorder="1" applyAlignment="1" applyProtection="1">
      <alignment horizontal="center"/>
      <protection hidden="1"/>
    </xf>
    <xf numFmtId="4" fontId="3" fillId="2" borderId="2" xfId="0" applyNumberFormat="1" applyFont="1" applyFill="1" applyBorder="1" applyAlignment="1" applyProtection="1">
      <alignment horizontal="center"/>
      <protection hidden="1"/>
    </xf>
    <xf numFmtId="3" fontId="5" fillId="2" borderId="49" xfId="0" applyNumberFormat="1" applyFont="1" applyFill="1" applyBorder="1" applyProtection="1">
      <protection hidden="1"/>
    </xf>
    <xf numFmtId="3" fontId="6" fillId="2" borderId="49" xfId="0" applyNumberFormat="1" applyFont="1" applyFill="1" applyBorder="1" applyProtection="1">
      <protection hidden="1"/>
    </xf>
    <xf numFmtId="3" fontId="6" fillId="2" borderId="50" xfId="0" applyNumberFormat="1" applyFont="1" applyFill="1" applyBorder="1" applyProtection="1">
      <protection hidden="1"/>
    </xf>
    <xf numFmtId="3" fontId="127" fillId="2" borderId="50" xfId="0" applyNumberFormat="1" applyFont="1" applyFill="1" applyBorder="1" applyProtection="1">
      <protection hidden="1"/>
    </xf>
    <xf numFmtId="3" fontId="127" fillId="2" borderId="50" xfId="0" applyNumberFormat="1" applyFont="1" applyFill="1" applyBorder="1" applyAlignment="1" applyProtection="1">
      <alignment horizontal="center"/>
      <protection hidden="1"/>
    </xf>
    <xf numFmtId="3" fontId="274" fillId="2" borderId="50" xfId="0" applyNumberFormat="1" applyFont="1" applyFill="1" applyBorder="1" applyProtection="1">
      <protection hidden="1"/>
    </xf>
    <xf numFmtId="3" fontId="127" fillId="2" borderId="54" xfId="0" applyNumberFormat="1" applyFont="1" applyFill="1" applyBorder="1" applyProtection="1">
      <protection hidden="1"/>
    </xf>
    <xf numFmtId="37" fontId="21" fillId="28" borderId="86" xfId="0" applyNumberFormat="1" applyFont="1" applyFill="1" applyBorder="1" applyProtection="1">
      <protection hidden="1"/>
    </xf>
    <xf numFmtId="37" fontId="21" fillId="28" borderId="114" xfId="0" applyNumberFormat="1" applyFont="1" applyFill="1" applyBorder="1" applyProtection="1">
      <protection hidden="1"/>
    </xf>
    <xf numFmtId="39" fontId="21" fillId="28" borderId="114" xfId="0" applyNumberFormat="1" applyFont="1" applyFill="1" applyBorder="1" applyProtection="1">
      <protection hidden="1"/>
    </xf>
    <xf numFmtId="37" fontId="3" fillId="28" borderId="87" xfId="0" applyNumberFormat="1" applyFont="1" applyFill="1" applyBorder="1" applyProtection="1">
      <protection hidden="1"/>
    </xf>
    <xf numFmtId="37" fontId="3" fillId="28" borderId="139" xfId="0" applyNumberFormat="1" applyFont="1" applyFill="1" applyBorder="1" applyProtection="1">
      <protection hidden="1"/>
    </xf>
    <xf numFmtId="37" fontId="21" fillId="28" borderId="139" xfId="0" applyNumberFormat="1" applyFont="1" applyFill="1" applyBorder="1" applyProtection="1">
      <protection hidden="1"/>
    </xf>
    <xf numFmtId="37" fontId="5" fillId="28" borderId="139" xfId="0" applyNumberFormat="1" applyFont="1" applyFill="1" applyBorder="1" applyProtection="1">
      <protection hidden="1"/>
    </xf>
    <xf numFmtId="37" fontId="3" fillId="28" borderId="126" xfId="0" applyNumberFormat="1" applyFont="1" applyFill="1" applyBorder="1" applyProtection="1">
      <protection hidden="1"/>
    </xf>
    <xf numFmtId="37" fontId="0" fillId="34" borderId="13" xfId="0" applyNumberFormat="1" applyFill="1" applyBorder="1" applyProtection="1">
      <protection hidden="1"/>
    </xf>
    <xf numFmtId="37" fontId="21" fillId="28" borderId="49" xfId="0" applyNumberFormat="1" applyFont="1" applyFill="1" applyBorder="1" applyProtection="1">
      <protection hidden="1"/>
    </xf>
    <xf numFmtId="37" fontId="21" fillId="28" borderId="50" xfId="0" applyNumberFormat="1" applyFont="1" applyFill="1" applyBorder="1" applyProtection="1">
      <protection hidden="1"/>
    </xf>
    <xf numFmtId="37" fontId="21" fillId="2" borderId="54" xfId="0" applyNumberFormat="1" applyFont="1" applyFill="1" applyBorder="1" applyAlignment="1" applyProtection="1">
      <alignment horizontal="right"/>
      <protection hidden="1"/>
    </xf>
    <xf numFmtId="37" fontId="21" fillId="28" borderId="50" xfId="0" applyNumberFormat="1" applyFont="1" applyFill="1" applyBorder="1" applyAlignment="1" applyProtection="1">
      <alignment horizontal="center"/>
      <protection hidden="1"/>
    </xf>
    <xf numFmtId="37" fontId="3" fillId="28" borderId="54" xfId="0" applyNumberFormat="1" applyFont="1" applyFill="1" applyBorder="1" applyAlignment="1" applyProtection="1">
      <alignment horizontal="right"/>
      <protection hidden="1"/>
    </xf>
    <xf numFmtId="37" fontId="5" fillId="28" borderId="59" xfId="0" applyNumberFormat="1" applyFont="1" applyFill="1" applyBorder="1" applyProtection="1">
      <protection hidden="1"/>
    </xf>
    <xf numFmtId="37" fontId="5" fillId="28" borderId="59" xfId="0" applyNumberFormat="1" applyFont="1" applyFill="1" applyBorder="1" applyAlignment="1" applyProtection="1">
      <alignment horizontal="center"/>
      <protection hidden="1"/>
    </xf>
    <xf numFmtId="37" fontId="3" fillId="28" borderId="67" xfId="0" applyNumberFormat="1" applyFont="1" applyFill="1" applyBorder="1" applyProtection="1">
      <protection hidden="1"/>
    </xf>
    <xf numFmtId="37" fontId="3" fillId="28" borderId="59" xfId="0" applyNumberFormat="1" applyFont="1" applyFill="1" applyBorder="1" applyProtection="1">
      <protection hidden="1"/>
    </xf>
    <xf numFmtId="182" fontId="5" fillId="25" borderId="0" xfId="0" applyNumberFormat="1" applyFont="1" applyFill="1" applyAlignment="1" applyProtection="1">
      <alignment wrapText="1"/>
      <protection locked="0"/>
    </xf>
    <xf numFmtId="182" fontId="3" fillId="25" borderId="0" xfId="0" applyNumberFormat="1" applyFont="1" applyFill="1" applyAlignment="1" applyProtection="1">
      <alignment horizontal="center"/>
      <protection locked="0"/>
    </xf>
    <xf numFmtId="182" fontId="18" fillId="25" borderId="0" xfId="0" applyNumberFormat="1" applyFont="1" applyFill="1" applyAlignment="1" applyProtection="1">
      <alignment horizontal="center"/>
      <protection locked="0"/>
    </xf>
    <xf numFmtId="182" fontId="0" fillId="25" borderId="0" xfId="0" applyNumberFormat="1" applyFill="1" applyAlignment="1" applyProtection="1">
      <alignment horizontal="center"/>
      <protection locked="0"/>
    </xf>
    <xf numFmtId="182" fontId="128" fillId="25" borderId="0" xfId="0" applyNumberFormat="1" applyFont="1" applyFill="1" applyAlignment="1" applyProtection="1">
      <alignment horizontal="center"/>
      <protection locked="0"/>
    </xf>
    <xf numFmtId="182" fontId="5" fillId="25" borderId="0" xfId="0" applyNumberFormat="1" applyFont="1" applyFill="1" applyAlignment="1" applyProtection="1">
      <alignment horizontal="center" wrapText="1"/>
      <protection locked="0"/>
    </xf>
    <xf numFmtId="0" fontId="3" fillId="17" borderId="0" xfId="0" applyFont="1" applyFill="1" applyAlignment="1" applyProtection="1">
      <alignment horizontal="center"/>
      <protection locked="0"/>
    </xf>
    <xf numFmtId="0" fontId="129" fillId="0" borderId="0" xfId="0" applyFont="1" applyAlignment="1" applyProtection="1">
      <alignment horizontal="center" vertical="center"/>
      <protection hidden="1"/>
    </xf>
    <xf numFmtId="182" fontId="5" fillId="25" borderId="0" xfId="0" applyNumberFormat="1" applyFont="1" applyFill="1" applyAlignment="1" applyProtection="1">
      <alignment horizontal="center"/>
      <protection locked="0"/>
    </xf>
    <xf numFmtId="182" fontId="12" fillId="25" borderId="0" xfId="0" applyNumberFormat="1" applyFont="1" applyFill="1" applyAlignment="1" applyProtection="1">
      <alignment horizontal="center"/>
      <protection locked="0"/>
    </xf>
    <xf numFmtId="182" fontId="5" fillId="25" borderId="1" xfId="0" applyNumberFormat="1" applyFont="1" applyFill="1" applyBorder="1" applyAlignment="1" applyProtection="1">
      <alignment horizontal="center"/>
      <protection locked="0"/>
    </xf>
    <xf numFmtId="0" fontId="18" fillId="16" borderId="0" xfId="0" applyFont="1" applyFill="1" applyAlignment="1" applyProtection="1">
      <alignment horizontal="center" vertical="center"/>
      <protection hidden="1"/>
    </xf>
    <xf numFmtId="3" fontId="10" fillId="0" borderId="0" xfId="0" applyNumberFormat="1" applyFont="1" applyAlignment="1" applyProtection="1">
      <alignment horizontal="right"/>
      <protection hidden="1"/>
    </xf>
    <xf numFmtId="37" fontId="10" fillId="0" borderId="0" xfId="0" applyNumberFormat="1" applyFont="1" applyAlignment="1" applyProtection="1">
      <alignment horizontal="right"/>
      <protection hidden="1"/>
    </xf>
    <xf numFmtId="37" fontId="131" fillId="0" borderId="21" xfId="0" applyNumberFormat="1" applyFont="1" applyBorder="1" applyAlignment="1" applyProtection="1">
      <alignment horizontal="center"/>
      <protection hidden="1"/>
    </xf>
    <xf numFmtId="0" fontId="227" fillId="25" borderId="28" xfId="0" applyFont="1" applyFill="1" applyBorder="1"/>
    <xf numFmtId="0" fontId="316" fillId="5" borderId="0" xfId="0" applyFont="1" applyFill="1" applyProtection="1">
      <protection hidden="1"/>
    </xf>
    <xf numFmtId="0" fontId="317" fillId="5" borderId="0" xfId="0" applyFont="1" applyFill="1" applyAlignment="1" applyProtection="1">
      <alignment horizontal="center"/>
      <protection hidden="1"/>
    </xf>
    <xf numFmtId="4" fontId="171" fillId="0" borderId="0" xfId="0" applyNumberFormat="1" applyFont="1" applyProtection="1">
      <protection hidden="1"/>
    </xf>
    <xf numFmtId="1" fontId="171" fillId="0" borderId="0" xfId="0" applyNumberFormat="1" applyFont="1" applyProtection="1">
      <protection hidden="1"/>
    </xf>
    <xf numFmtId="0" fontId="129" fillId="0" borderId="0" xfId="0" applyFont="1" applyAlignment="1" applyProtection="1">
      <alignment vertical="center"/>
      <protection hidden="1"/>
    </xf>
    <xf numFmtId="1" fontId="129" fillId="0" borderId="0" xfId="0" applyNumberFormat="1" applyFont="1" applyProtection="1">
      <protection hidden="1"/>
    </xf>
    <xf numFmtId="1" fontId="145" fillId="0" borderId="0" xfId="0" applyNumberFormat="1" applyFont="1" applyAlignment="1" applyProtection="1">
      <alignment horizontal="center"/>
      <protection hidden="1"/>
    </xf>
    <xf numFmtId="1" fontId="145" fillId="0" borderId="0" xfId="0" applyNumberFormat="1" applyFont="1" applyProtection="1">
      <protection hidden="1"/>
    </xf>
    <xf numFmtId="0" fontId="3" fillId="24" borderId="8" xfId="0" applyFont="1" applyFill="1" applyBorder="1" applyProtection="1">
      <protection hidden="1"/>
    </xf>
    <xf numFmtId="0" fontId="0" fillId="24" borderId="20" xfId="0" applyFill="1" applyBorder="1" applyProtection="1">
      <protection hidden="1"/>
    </xf>
    <xf numFmtId="0" fontId="0" fillId="24" borderId="21" xfId="0" applyFill="1" applyBorder="1" applyProtection="1">
      <protection hidden="1"/>
    </xf>
    <xf numFmtId="0" fontId="3" fillId="24" borderId="5" xfId="0" applyFont="1" applyFill="1" applyBorder="1" applyProtection="1">
      <protection hidden="1"/>
    </xf>
    <xf numFmtId="0" fontId="0" fillId="24" borderId="5" xfId="0" applyFill="1" applyBorder="1" applyProtection="1">
      <protection hidden="1"/>
    </xf>
    <xf numFmtId="0" fontId="0" fillId="24" borderId="23" xfId="0" applyFill="1" applyBorder="1" applyProtection="1">
      <protection hidden="1"/>
    </xf>
    <xf numFmtId="0" fontId="5" fillId="24" borderId="8" xfId="0" applyFont="1" applyFill="1" applyBorder="1" applyProtection="1">
      <protection hidden="1"/>
    </xf>
    <xf numFmtId="0" fontId="95" fillId="24" borderId="5" xfId="0" applyFont="1" applyFill="1" applyBorder="1" applyAlignment="1" applyProtection="1">
      <alignment horizontal="left"/>
      <protection hidden="1"/>
    </xf>
    <xf numFmtId="0" fontId="18" fillId="24" borderId="0" xfId="0" applyFont="1" applyFill="1" applyAlignment="1" applyProtection="1">
      <alignment horizontal="center"/>
      <protection hidden="1"/>
    </xf>
    <xf numFmtId="37" fontId="7" fillId="16" borderId="9" xfId="0" applyNumberFormat="1" applyFont="1" applyFill="1" applyBorder="1" applyAlignment="1" applyProtection="1">
      <alignment vertical="center"/>
      <protection hidden="1"/>
    </xf>
    <xf numFmtId="0" fontId="231" fillId="16" borderId="0" xfId="0" applyFont="1" applyFill="1" applyAlignment="1" applyProtection="1">
      <alignment horizontal="right" vertical="center"/>
      <protection hidden="1"/>
    </xf>
    <xf numFmtId="0" fontId="3" fillId="20" borderId="0" xfId="0" applyFont="1" applyFill="1" applyAlignment="1" applyProtection="1">
      <alignment horizontal="center"/>
      <protection hidden="1"/>
    </xf>
    <xf numFmtId="0" fontId="5" fillId="0" borderId="0" xfId="0" applyFont="1" applyProtection="1">
      <protection locked="0"/>
    </xf>
    <xf numFmtId="37" fontId="5" fillId="0" borderId="0" xfId="0" applyNumberFormat="1" applyFont="1" applyProtection="1">
      <protection locked="0"/>
    </xf>
    <xf numFmtId="0" fontId="13" fillId="16" borderId="0" xfId="0" applyFont="1" applyFill="1" applyProtection="1">
      <protection hidden="1"/>
    </xf>
    <xf numFmtId="0" fontId="18" fillId="16" borderId="5" xfId="0" quotePrefix="1" applyFont="1" applyFill="1" applyBorder="1" applyAlignment="1" applyProtection="1">
      <alignment horizontal="center"/>
      <protection hidden="1"/>
    </xf>
    <xf numFmtId="0" fontId="23" fillId="16" borderId="28" xfId="0" applyFont="1" applyFill="1" applyBorder="1" applyAlignment="1" applyProtection="1">
      <alignment horizontal="left" vertical="center"/>
      <protection hidden="1"/>
    </xf>
    <xf numFmtId="0" fontId="18" fillId="16" borderId="14" xfId="0" quotePrefix="1" applyFont="1" applyFill="1" applyBorder="1" applyAlignment="1" applyProtection="1">
      <alignment horizontal="center"/>
      <protection hidden="1"/>
    </xf>
    <xf numFmtId="0" fontId="53" fillId="16" borderId="14" xfId="0" applyFont="1" applyFill="1" applyBorder="1" applyProtection="1">
      <protection hidden="1"/>
    </xf>
    <xf numFmtId="0" fontId="3" fillId="16" borderId="187" xfId="0" applyFont="1" applyFill="1" applyBorder="1" applyAlignment="1" applyProtection="1">
      <alignment horizontal="center"/>
      <protection hidden="1"/>
    </xf>
    <xf numFmtId="0" fontId="177" fillId="0" borderId="0" xfId="0" applyFont="1" applyProtection="1">
      <protection hidden="1"/>
    </xf>
    <xf numFmtId="180" fontId="0" fillId="0" borderId="0" xfId="0" applyNumberFormat="1" applyProtection="1">
      <protection hidden="1"/>
    </xf>
    <xf numFmtId="0" fontId="3" fillId="16" borderId="17" xfId="0" applyFont="1" applyFill="1" applyBorder="1" applyAlignment="1" applyProtection="1">
      <alignment vertical="top"/>
      <protection hidden="1"/>
    </xf>
    <xf numFmtId="0" fontId="5" fillId="16" borderId="17" xfId="0" applyFont="1" applyFill="1" applyBorder="1" applyProtection="1">
      <protection hidden="1"/>
    </xf>
    <xf numFmtId="0" fontId="10" fillId="16" borderId="17" xfId="0" applyFont="1" applyFill="1" applyBorder="1" applyAlignment="1" applyProtection="1">
      <alignment vertical="top"/>
      <protection hidden="1"/>
    </xf>
    <xf numFmtId="0" fontId="5" fillId="16" borderId="17" xfId="0" applyFont="1" applyFill="1" applyBorder="1" applyAlignment="1" applyProtection="1">
      <alignment horizontal="right"/>
      <protection hidden="1"/>
    </xf>
    <xf numFmtId="182" fontId="18" fillId="25" borderId="1" xfId="0" applyNumberFormat="1" applyFont="1" applyFill="1" applyBorder="1" applyAlignment="1" applyProtection="1">
      <alignment horizontal="center"/>
      <protection locked="0"/>
    </xf>
    <xf numFmtId="182" fontId="0" fillId="0" borderId="0" xfId="0" applyNumberFormat="1" applyAlignment="1" applyProtection="1">
      <alignment horizontal="center"/>
      <protection locked="0"/>
    </xf>
    <xf numFmtId="0" fontId="7" fillId="16" borderId="17" xfId="0" applyFont="1" applyFill="1" applyBorder="1" applyAlignment="1" applyProtection="1">
      <alignment vertical="top"/>
      <protection hidden="1"/>
    </xf>
    <xf numFmtId="1" fontId="18" fillId="0" borderId="1" xfId="0" applyNumberFormat="1" applyFont="1" applyBorder="1" applyAlignment="1" applyProtection="1">
      <alignment horizontal="center"/>
      <protection hidden="1"/>
    </xf>
    <xf numFmtId="1" fontId="18" fillId="0" borderId="5" xfId="0" applyNumberFormat="1" applyFont="1" applyBorder="1" applyAlignment="1" applyProtection="1">
      <alignment horizontal="center"/>
      <protection hidden="1"/>
    </xf>
    <xf numFmtId="37" fontId="18" fillId="15" borderId="9" xfId="0" applyNumberFormat="1" applyFont="1" applyFill="1" applyBorder="1" applyProtection="1">
      <protection hidden="1"/>
    </xf>
    <xf numFmtId="0" fontId="18" fillId="15" borderId="9" xfId="0" applyFont="1" applyFill="1" applyBorder="1" applyProtection="1">
      <protection hidden="1"/>
    </xf>
    <xf numFmtId="0" fontId="0" fillId="16" borderId="13" xfId="0" applyFill="1" applyBorder="1" applyAlignment="1" applyProtection="1">
      <alignment horizontal="center"/>
      <protection hidden="1"/>
    </xf>
    <xf numFmtId="0" fontId="3" fillId="16" borderId="0" xfId="0" applyFont="1" applyFill="1" applyAlignment="1" applyProtection="1">
      <alignment horizontal="left" vertical="center"/>
      <protection locked="0"/>
    </xf>
    <xf numFmtId="38" fontId="171" fillId="2" borderId="5" xfId="0" applyNumberFormat="1" applyFont="1" applyFill="1" applyBorder="1" applyAlignment="1" applyProtection="1">
      <alignment horizontal="center"/>
      <protection hidden="1"/>
    </xf>
    <xf numFmtId="164" fontId="145" fillId="2" borderId="0" xfId="0" applyNumberFormat="1" applyFont="1" applyFill="1" applyProtection="1">
      <protection hidden="1"/>
    </xf>
    <xf numFmtId="38" fontId="129" fillId="2" borderId="5" xfId="0" applyNumberFormat="1" applyFont="1" applyFill="1" applyBorder="1" applyAlignment="1" applyProtection="1">
      <alignment horizontal="center"/>
      <protection hidden="1"/>
    </xf>
    <xf numFmtId="0" fontId="3" fillId="16" borderId="9" xfId="0" applyFont="1" applyFill="1" applyBorder="1" applyAlignment="1" applyProtection="1">
      <alignment horizontal="left" vertical="center"/>
      <protection locked="0"/>
    </xf>
    <xf numFmtId="0" fontId="3" fillId="16" borderId="15" xfId="0" applyFont="1" applyFill="1" applyBorder="1" applyAlignment="1" applyProtection="1">
      <alignment horizontal="left" vertical="center"/>
      <protection locked="0"/>
    </xf>
    <xf numFmtId="0" fontId="5" fillId="16" borderId="3" xfId="0" quotePrefix="1" applyFont="1" applyFill="1" applyBorder="1" applyAlignment="1" applyProtection="1">
      <alignment horizontal="right"/>
      <protection hidden="1"/>
    </xf>
    <xf numFmtId="0" fontId="0" fillId="16" borderId="3" xfId="0" applyFill="1" applyBorder="1" applyAlignment="1" applyProtection="1">
      <alignment horizontal="right"/>
      <protection hidden="1"/>
    </xf>
    <xf numFmtId="0" fontId="3" fillId="17" borderId="1" xfId="0" applyFont="1" applyFill="1" applyBorder="1" applyAlignment="1" applyProtection="1">
      <alignment horizontal="center"/>
      <protection locked="0"/>
    </xf>
    <xf numFmtId="0" fontId="131" fillId="16" borderId="25" xfId="0" applyFont="1" applyFill="1" applyBorder="1" applyProtection="1">
      <protection hidden="1"/>
    </xf>
    <xf numFmtId="0" fontId="0" fillId="16" borderId="110" xfId="0" applyFill="1" applyBorder="1" applyAlignment="1" applyProtection="1">
      <alignment horizontal="center"/>
      <protection hidden="1"/>
    </xf>
    <xf numFmtId="0" fontId="0" fillId="16" borderId="47" xfId="0" applyFill="1" applyBorder="1" applyAlignment="1" applyProtection="1">
      <alignment horizontal="center"/>
      <protection hidden="1"/>
    </xf>
    <xf numFmtId="0" fontId="0" fillId="16" borderId="51" xfId="0" applyFill="1" applyBorder="1" applyAlignment="1" applyProtection="1">
      <alignment horizontal="center"/>
      <protection hidden="1"/>
    </xf>
    <xf numFmtId="0" fontId="0" fillId="16" borderId="67" xfId="0" applyFill="1" applyBorder="1" applyAlignment="1" applyProtection="1">
      <alignment horizontal="center"/>
      <protection hidden="1"/>
    </xf>
    <xf numFmtId="0" fontId="0" fillId="16" borderId="59" xfId="0" applyFill="1" applyBorder="1" applyAlignment="1" applyProtection="1">
      <alignment horizontal="center"/>
      <protection hidden="1"/>
    </xf>
    <xf numFmtId="0" fontId="0" fillId="16" borderId="111" xfId="0" applyFill="1" applyBorder="1" applyAlignment="1" applyProtection="1">
      <alignment horizontal="center"/>
      <protection hidden="1"/>
    </xf>
    <xf numFmtId="0" fontId="168" fillId="16" borderId="0" xfId="0" applyFont="1" applyFill="1" applyAlignment="1" applyProtection="1">
      <alignment horizontal="center"/>
      <protection hidden="1"/>
    </xf>
    <xf numFmtId="0" fontId="3" fillId="16" borderId="0" xfId="0" applyFont="1" applyFill="1" applyAlignment="1" applyProtection="1">
      <alignment vertical="center"/>
      <protection locked="0"/>
    </xf>
    <xf numFmtId="0" fontId="3" fillId="16" borderId="0" xfId="0" applyFont="1" applyFill="1" applyAlignment="1" applyProtection="1">
      <alignment horizontal="center" vertical="top"/>
      <protection hidden="1"/>
    </xf>
    <xf numFmtId="3" fontId="3" fillId="17" borderId="13" xfId="0" applyNumberFormat="1" applyFont="1" applyFill="1" applyBorder="1" applyProtection="1">
      <protection locked="0"/>
    </xf>
    <xf numFmtId="0" fontId="26" fillId="16" borderId="0" xfId="0" applyFont="1" applyFill="1" applyAlignment="1" applyProtection="1">
      <alignment horizontal="left"/>
      <protection hidden="1"/>
    </xf>
    <xf numFmtId="49" fontId="8" fillId="5" borderId="0" xfId="0" applyNumberFormat="1" applyFont="1" applyFill="1" applyAlignment="1" applyProtection="1">
      <alignment horizontal="right"/>
      <protection hidden="1"/>
    </xf>
    <xf numFmtId="49" fontId="8" fillId="16" borderId="8" xfId="0" applyNumberFormat="1" applyFont="1" applyFill="1" applyBorder="1" applyAlignment="1" applyProtection="1">
      <alignment horizontal="right"/>
      <protection hidden="1"/>
    </xf>
    <xf numFmtId="49" fontId="8" fillId="16" borderId="5" xfId="0" applyNumberFormat="1" applyFont="1" applyFill="1" applyBorder="1" applyAlignment="1" applyProtection="1">
      <alignment horizontal="right"/>
      <protection hidden="1"/>
    </xf>
    <xf numFmtId="49" fontId="8" fillId="16" borderId="0" xfId="0" applyNumberFormat="1" applyFont="1" applyFill="1" applyAlignment="1" applyProtection="1">
      <alignment horizontal="right"/>
      <protection hidden="1"/>
    </xf>
    <xf numFmtId="0" fontId="42" fillId="16" borderId="5" xfId="0" applyFont="1" applyFill="1" applyBorder="1" applyProtection="1">
      <protection hidden="1"/>
    </xf>
    <xf numFmtId="0" fontId="3" fillId="2" borderId="5" xfId="0" applyFont="1" applyFill="1" applyBorder="1" applyProtection="1">
      <protection hidden="1"/>
    </xf>
    <xf numFmtId="49" fontId="8" fillId="2" borderId="5" xfId="0" applyNumberFormat="1" applyFont="1" applyFill="1" applyBorder="1" applyAlignment="1" applyProtection="1">
      <alignment horizontal="right"/>
      <protection hidden="1"/>
    </xf>
    <xf numFmtId="49" fontId="8" fillId="2" borderId="24" xfId="0" applyNumberFormat="1" applyFont="1" applyFill="1" applyBorder="1" applyAlignment="1" applyProtection="1">
      <alignment horizontal="right"/>
      <protection hidden="1"/>
    </xf>
    <xf numFmtId="0" fontId="3" fillId="2" borderId="8" xfId="0" applyFont="1" applyFill="1" applyBorder="1" applyProtection="1">
      <protection hidden="1"/>
    </xf>
    <xf numFmtId="49" fontId="8" fillId="2" borderId="8" xfId="0" applyNumberFormat="1" applyFont="1" applyFill="1" applyBorder="1" applyAlignment="1" applyProtection="1">
      <alignment horizontal="right"/>
      <protection hidden="1"/>
    </xf>
    <xf numFmtId="49" fontId="8" fillId="2" borderId="6" xfId="0" applyNumberFormat="1" applyFont="1" applyFill="1" applyBorder="1" applyAlignment="1" applyProtection="1">
      <alignment horizontal="right"/>
      <protection hidden="1"/>
    </xf>
    <xf numFmtId="49" fontId="8" fillId="2" borderId="22" xfId="0" applyNumberFormat="1" applyFont="1" applyFill="1" applyBorder="1" applyAlignment="1" applyProtection="1">
      <alignment horizontal="right"/>
      <protection hidden="1"/>
    </xf>
    <xf numFmtId="40" fontId="64" fillId="2" borderId="5" xfId="0" applyNumberFormat="1" applyFont="1" applyFill="1" applyBorder="1" applyAlignment="1" applyProtection="1">
      <alignment horizontal="left"/>
      <protection hidden="1"/>
    </xf>
    <xf numFmtId="40" fontId="64" fillId="2" borderId="5" xfId="0" applyNumberFormat="1" applyFont="1" applyFill="1" applyBorder="1" applyAlignment="1" applyProtection="1">
      <alignment horizontal="center"/>
      <protection hidden="1"/>
    </xf>
    <xf numFmtId="49" fontId="8" fillId="2" borderId="6" xfId="0" applyNumberFormat="1" applyFont="1" applyFill="1" applyBorder="1" applyAlignment="1" applyProtection="1">
      <alignment horizontal="left" vertical="center"/>
      <protection hidden="1"/>
    </xf>
    <xf numFmtId="0" fontId="13" fillId="2" borderId="0" xfId="0" applyFont="1" applyFill="1" applyProtection="1">
      <protection hidden="1"/>
    </xf>
    <xf numFmtId="0" fontId="8" fillId="2" borderId="21" xfId="0" applyFont="1" applyFill="1" applyBorder="1" applyAlignment="1" applyProtection="1">
      <alignment horizontal="center"/>
      <protection hidden="1"/>
    </xf>
    <xf numFmtId="0" fontId="3" fillId="16" borderId="6" xfId="0" applyFont="1" applyFill="1" applyBorder="1" applyProtection="1">
      <protection hidden="1"/>
    </xf>
    <xf numFmtId="0" fontId="3" fillId="16" borderId="27" xfId="0" applyFont="1" applyFill="1" applyBorder="1" applyProtection="1">
      <protection hidden="1"/>
    </xf>
    <xf numFmtId="0" fontId="57" fillId="2" borderId="0" xfId="0" applyFont="1" applyFill="1" applyProtection="1">
      <protection hidden="1"/>
    </xf>
    <xf numFmtId="37" fontId="5" fillId="2" borderId="0" xfId="0" applyNumberFormat="1" applyFont="1" applyFill="1" applyProtection="1">
      <protection hidden="1"/>
    </xf>
    <xf numFmtId="37" fontId="25" fillId="2" borderId="0" xfId="0" applyNumberFormat="1" applyFont="1" applyFill="1" applyAlignment="1" applyProtection="1">
      <alignment horizontal="right"/>
      <protection hidden="1"/>
    </xf>
    <xf numFmtId="0" fontId="3" fillId="5" borderId="21" xfId="0" applyFont="1" applyFill="1" applyBorder="1" applyProtection="1">
      <protection hidden="1"/>
    </xf>
    <xf numFmtId="0" fontId="3" fillId="16" borderId="22" xfId="0" applyFont="1" applyFill="1" applyBorder="1" applyProtection="1">
      <protection hidden="1"/>
    </xf>
    <xf numFmtId="0" fontId="3" fillId="2" borderId="5" xfId="0" quotePrefix="1" applyFont="1" applyFill="1" applyBorder="1" applyAlignment="1" applyProtection="1">
      <alignment horizontal="right"/>
      <protection hidden="1"/>
    </xf>
    <xf numFmtId="0" fontId="129" fillId="0" borderId="0" xfId="0" applyFont="1" applyAlignment="1" applyProtection="1">
      <alignment horizontal="right"/>
      <protection hidden="1"/>
    </xf>
    <xf numFmtId="0" fontId="13" fillId="0" borderId="1" xfId="0" applyFont="1" applyBorder="1" applyAlignment="1" applyProtection="1">
      <alignment horizontal="center"/>
      <protection hidden="1"/>
    </xf>
    <xf numFmtId="0" fontId="10" fillId="0" borderId="22" xfId="0" applyFont="1" applyBorder="1" applyAlignment="1" applyProtection="1">
      <alignment horizontal="right"/>
      <protection hidden="1"/>
    </xf>
    <xf numFmtId="0" fontId="10" fillId="0" borderId="23" xfId="0" applyFont="1" applyBorder="1" applyAlignment="1" applyProtection="1">
      <alignment horizontal="right"/>
      <protection hidden="1"/>
    </xf>
    <xf numFmtId="0" fontId="10" fillId="0" borderId="5" xfId="0" applyFont="1" applyBorder="1" applyAlignment="1" applyProtection="1">
      <alignment horizontal="center"/>
      <protection hidden="1"/>
    </xf>
    <xf numFmtId="0" fontId="10" fillId="0" borderId="23" xfId="0" applyFont="1" applyBorder="1" applyAlignment="1" applyProtection="1">
      <alignment horizontal="center"/>
      <protection hidden="1"/>
    </xf>
    <xf numFmtId="3" fontId="10" fillId="0" borderId="5" xfId="0" applyNumberFormat="1" applyFont="1" applyBorder="1" applyAlignment="1" applyProtection="1">
      <alignment horizontal="center"/>
      <protection hidden="1"/>
    </xf>
    <xf numFmtId="3" fontId="10" fillId="0" borderId="23" xfId="0" applyNumberFormat="1" applyFont="1" applyBorder="1" applyAlignment="1" applyProtection="1">
      <alignment horizontal="center"/>
      <protection hidden="1"/>
    </xf>
    <xf numFmtId="168" fontId="148" fillId="0" borderId="0" xfId="0" applyNumberFormat="1" applyFont="1" applyAlignment="1" applyProtection="1">
      <alignment horizontal="center"/>
      <protection hidden="1"/>
    </xf>
    <xf numFmtId="0" fontId="10" fillId="0" borderId="112" xfId="0" applyFont="1" applyBorder="1" applyAlignment="1" applyProtection="1">
      <alignment horizontal="center"/>
      <protection hidden="1"/>
    </xf>
    <xf numFmtId="168" fontId="148" fillId="0" borderId="0" xfId="0" applyNumberFormat="1" applyFont="1" applyAlignment="1" applyProtection="1">
      <alignment horizontal="right"/>
      <protection hidden="1"/>
    </xf>
    <xf numFmtId="168" fontId="148" fillId="0" borderId="21" xfId="0" applyNumberFormat="1" applyFont="1" applyBorder="1" applyAlignment="1" applyProtection="1">
      <alignment horizontal="right"/>
      <protection hidden="1"/>
    </xf>
    <xf numFmtId="168" fontId="148" fillId="0" borderId="24" xfId="0" applyNumberFormat="1" applyFont="1" applyBorder="1" applyAlignment="1" applyProtection="1">
      <alignment horizontal="right"/>
      <protection hidden="1"/>
    </xf>
    <xf numFmtId="168" fontId="148" fillId="0" borderId="8" xfId="0" applyNumberFormat="1" applyFont="1" applyBorder="1" applyAlignment="1" applyProtection="1">
      <alignment horizontal="right"/>
      <protection hidden="1"/>
    </xf>
    <xf numFmtId="168" fontId="148" fillId="0" borderId="20" xfId="0" applyNumberFormat="1" applyFont="1" applyBorder="1" applyAlignment="1" applyProtection="1">
      <alignment horizontal="right"/>
      <protection hidden="1"/>
    </xf>
    <xf numFmtId="3" fontId="148" fillId="0" borderId="0" xfId="0" applyNumberFormat="1" applyFont="1" applyAlignment="1" applyProtection="1">
      <alignment horizontal="right"/>
      <protection hidden="1"/>
    </xf>
    <xf numFmtId="3" fontId="148" fillId="0" borderId="21" xfId="0" applyNumberFormat="1" applyFont="1" applyBorder="1" applyAlignment="1" applyProtection="1">
      <alignment horizontal="right"/>
      <protection hidden="1"/>
    </xf>
    <xf numFmtId="3" fontId="148" fillId="0" borderId="6" xfId="0" applyNumberFormat="1" applyFont="1" applyBorder="1" applyAlignment="1" applyProtection="1">
      <alignment horizontal="right"/>
      <protection hidden="1"/>
    </xf>
    <xf numFmtId="192" fontId="148" fillId="0" borderId="0" xfId="0" applyNumberFormat="1" applyFont="1" applyAlignment="1" applyProtection="1">
      <alignment horizontal="right"/>
      <protection hidden="1"/>
    </xf>
    <xf numFmtId="203" fontId="148" fillId="0" borderId="0" xfId="0" applyNumberFormat="1" applyFont="1" applyAlignment="1" applyProtection="1">
      <alignment horizontal="right"/>
      <protection hidden="1"/>
    </xf>
    <xf numFmtId="204" fontId="148" fillId="0" borderId="0" xfId="0" applyNumberFormat="1" applyFont="1" applyAlignment="1" applyProtection="1">
      <alignment horizontal="right"/>
      <protection hidden="1"/>
    </xf>
    <xf numFmtId="202" fontId="0" fillId="0" borderId="0" xfId="0" applyNumberFormat="1" applyAlignment="1" applyProtection="1">
      <alignment horizontal="right"/>
      <protection hidden="1"/>
    </xf>
    <xf numFmtId="3" fontId="0" fillId="0" borderId="0" xfId="0" applyNumberFormat="1" applyAlignment="1" applyProtection="1">
      <alignment horizontal="right"/>
      <protection hidden="1"/>
    </xf>
    <xf numFmtId="180" fontId="0" fillId="0" borderId="0" xfId="0" applyNumberFormat="1" applyAlignment="1" applyProtection="1">
      <alignment horizontal="right"/>
      <protection hidden="1"/>
    </xf>
    <xf numFmtId="168" fontId="0" fillId="0" borderId="0" xfId="0" applyNumberFormat="1" applyAlignment="1" applyProtection="1">
      <alignment horizontal="right"/>
      <protection hidden="1"/>
    </xf>
    <xf numFmtId="192" fontId="0" fillId="0" borderId="0" xfId="0" applyNumberFormat="1" applyAlignment="1" applyProtection="1">
      <alignment horizontal="right"/>
      <protection hidden="1"/>
    </xf>
    <xf numFmtId="201" fontId="5" fillId="0" borderId="0" xfId="0" applyNumberFormat="1" applyFont="1" applyAlignment="1" applyProtection="1">
      <alignment horizontal="right"/>
      <protection hidden="1"/>
    </xf>
    <xf numFmtId="189" fontId="0" fillId="0" borderId="0" xfId="0" applyNumberFormat="1" applyAlignment="1" applyProtection="1">
      <alignment horizontal="right"/>
      <protection hidden="1"/>
    </xf>
    <xf numFmtId="0" fontId="0" fillId="0" borderId="21" xfId="0" applyBorder="1" applyAlignment="1" applyProtection="1">
      <alignment horizontal="right"/>
      <protection hidden="1"/>
    </xf>
    <xf numFmtId="3" fontId="0" fillId="0" borderId="21" xfId="0" applyNumberFormat="1" applyBorder="1" applyAlignment="1" applyProtection="1">
      <alignment horizontal="right"/>
      <protection hidden="1"/>
    </xf>
    <xf numFmtId="14" fontId="0" fillId="16" borderId="24" xfId="0" applyNumberFormat="1" applyFill="1" applyBorder="1" applyProtection="1">
      <protection locked="0"/>
    </xf>
    <xf numFmtId="37" fontId="0" fillId="16" borderId="8" xfId="0" applyNumberFormat="1" applyFill="1" applyBorder="1" applyProtection="1">
      <protection locked="0"/>
    </xf>
    <xf numFmtId="37" fontId="0" fillId="16" borderId="20" xfId="0" applyNumberFormat="1" applyFill="1" applyBorder="1" applyProtection="1">
      <protection locked="0"/>
    </xf>
    <xf numFmtId="37" fontId="0" fillId="16" borderId="21" xfId="0" applyNumberFormat="1" applyFill="1" applyBorder="1" applyProtection="1">
      <protection locked="0"/>
    </xf>
    <xf numFmtId="37" fontId="0" fillId="16" borderId="5" xfId="0" applyNumberFormat="1" applyFill="1" applyBorder="1" applyProtection="1">
      <protection locked="0"/>
    </xf>
    <xf numFmtId="37" fontId="0" fillId="16" borderId="23" xfId="0" applyNumberFormat="1" applyFill="1" applyBorder="1" applyProtection="1">
      <protection locked="0"/>
    </xf>
    <xf numFmtId="37" fontId="5" fillId="16" borderId="0" xfId="0" applyNumberFormat="1" applyFont="1" applyFill="1" applyProtection="1">
      <protection locked="0"/>
    </xf>
    <xf numFmtId="14" fontId="5" fillId="16" borderId="6" xfId="0" applyNumberFormat="1" applyFont="1" applyFill="1" applyBorder="1" applyAlignment="1" applyProtection="1">
      <alignment horizontal="left" indent="1"/>
      <protection locked="0"/>
    </xf>
    <xf numFmtId="14" fontId="3" fillId="16" borderId="6" xfId="0" applyNumberFormat="1" applyFont="1" applyFill="1" applyBorder="1" applyProtection="1">
      <protection locked="0"/>
    </xf>
    <xf numFmtId="37" fontId="5" fillId="16" borderId="5" xfId="0" applyNumberFormat="1" applyFont="1" applyFill="1" applyBorder="1" applyProtection="1">
      <protection locked="0"/>
    </xf>
    <xf numFmtId="14" fontId="0" fillId="16" borderId="6" xfId="0" applyNumberFormat="1" applyFill="1" applyBorder="1" applyAlignment="1" applyProtection="1">
      <alignment horizontal="left" indent="1"/>
      <protection locked="0"/>
    </xf>
    <xf numFmtId="14" fontId="5" fillId="16" borderId="22" xfId="0" applyNumberFormat="1" applyFont="1" applyFill="1" applyBorder="1" applyAlignment="1" applyProtection="1">
      <alignment horizontal="left" vertical="top" indent="1"/>
      <protection locked="0"/>
    </xf>
    <xf numFmtId="14" fontId="129" fillId="16" borderId="6" xfId="0" applyNumberFormat="1" applyFont="1" applyFill="1" applyBorder="1" applyProtection="1">
      <protection locked="0"/>
    </xf>
    <xf numFmtId="0" fontId="126" fillId="2" borderId="6" xfId="0" quotePrefix="1" applyFont="1" applyFill="1" applyBorder="1" applyAlignment="1" applyProtection="1">
      <alignment horizontal="right"/>
      <protection hidden="1"/>
    </xf>
    <xf numFmtId="0" fontId="126" fillId="2" borderId="22" xfId="0" quotePrefix="1" applyFont="1" applyFill="1" applyBorder="1" applyAlignment="1" applyProtection="1">
      <alignment horizontal="right"/>
      <protection hidden="1"/>
    </xf>
    <xf numFmtId="0" fontId="3" fillId="2" borderId="5" xfId="0" quotePrefix="1" applyFont="1" applyFill="1" applyBorder="1" applyAlignment="1" applyProtection="1">
      <alignment horizontal="right" wrapText="1"/>
      <protection hidden="1"/>
    </xf>
    <xf numFmtId="0" fontId="3" fillId="16" borderId="9" xfId="0" quotePrefix="1" applyFont="1" applyFill="1" applyBorder="1" applyAlignment="1" applyProtection="1">
      <alignment horizontal="right"/>
      <protection hidden="1"/>
    </xf>
    <xf numFmtId="0" fontId="3" fillId="16" borderId="1" xfId="0" quotePrefix="1" applyFont="1" applyFill="1" applyBorder="1" applyAlignment="1" applyProtection="1">
      <alignment horizontal="right"/>
      <protection hidden="1"/>
    </xf>
    <xf numFmtId="0" fontId="3" fillId="16" borderId="26" xfId="0" quotePrefix="1" applyFont="1" applyFill="1" applyBorder="1" applyAlignment="1" applyProtection="1">
      <alignment horizontal="right"/>
      <protection hidden="1"/>
    </xf>
    <xf numFmtId="0" fontId="3" fillId="42" borderId="5" xfId="0" quotePrefix="1" applyFont="1" applyFill="1" applyBorder="1" applyAlignment="1" applyProtection="1">
      <alignment horizontal="right"/>
      <protection hidden="1"/>
    </xf>
    <xf numFmtId="1" fontId="3" fillId="42" borderId="0" xfId="0" applyNumberFormat="1" applyFont="1" applyFill="1" applyAlignment="1" applyProtection="1">
      <alignment horizontal="right"/>
      <protection hidden="1"/>
    </xf>
    <xf numFmtId="1" fontId="3" fillId="16" borderId="26" xfId="0" applyNumberFormat="1" applyFont="1" applyFill="1" applyBorder="1" applyAlignment="1" applyProtection="1">
      <alignment horizontal="right"/>
      <protection hidden="1"/>
    </xf>
    <xf numFmtId="1" fontId="3" fillId="42" borderId="1" xfId="0" applyNumberFormat="1" applyFont="1" applyFill="1" applyBorder="1" applyAlignment="1" applyProtection="1">
      <alignment horizontal="right"/>
      <protection hidden="1"/>
    </xf>
    <xf numFmtId="1" fontId="3" fillId="42" borderId="9" xfId="0" applyNumberFormat="1" applyFont="1" applyFill="1" applyBorder="1" applyAlignment="1" applyProtection="1">
      <alignment horizontal="right"/>
      <protection hidden="1"/>
    </xf>
    <xf numFmtId="1" fontId="3" fillId="42" borderId="5" xfId="0" applyNumberFormat="1" applyFont="1" applyFill="1" applyBorder="1" applyAlignment="1" applyProtection="1">
      <alignment horizontal="right"/>
      <protection hidden="1"/>
    </xf>
    <xf numFmtId="1" fontId="3" fillId="42" borderId="13" xfId="0" quotePrefix="1" applyNumberFormat="1" applyFont="1" applyFill="1" applyBorder="1" applyAlignment="1" applyProtection="1">
      <alignment horizontal="center"/>
      <protection hidden="1"/>
    </xf>
    <xf numFmtId="1" fontId="3" fillId="42" borderId="52" xfId="0" quotePrefix="1" applyNumberFormat="1" applyFont="1" applyFill="1" applyBorder="1" applyAlignment="1" applyProtection="1">
      <alignment horizontal="center"/>
      <protection hidden="1"/>
    </xf>
    <xf numFmtId="1" fontId="21" fillId="16" borderId="81" xfId="0" applyNumberFormat="1" applyFont="1" applyFill="1" applyBorder="1" applyAlignment="1" applyProtection="1">
      <alignment horizontal="center"/>
      <protection hidden="1"/>
    </xf>
    <xf numFmtId="1" fontId="21" fillId="16" borderId="6" xfId="0" applyNumberFormat="1" applyFont="1" applyFill="1" applyBorder="1" applyAlignment="1" applyProtection="1">
      <alignment horizontal="center"/>
      <protection hidden="1"/>
    </xf>
    <xf numFmtId="1" fontId="12" fillId="17" borderId="2" xfId="0" applyNumberFormat="1" applyFont="1" applyFill="1" applyBorder="1" applyAlignment="1" applyProtection="1">
      <alignment horizontal="center"/>
      <protection locked="0"/>
    </xf>
    <xf numFmtId="1" fontId="3" fillId="0" borderId="2" xfId="0" applyNumberFormat="1" applyFont="1" applyBorder="1" applyAlignment="1">
      <alignment horizontal="center"/>
    </xf>
    <xf numFmtId="1" fontId="18" fillId="16" borderId="82" xfId="0" applyNumberFormat="1" applyFont="1" applyFill="1" applyBorder="1" applyAlignment="1">
      <alignment horizontal="center"/>
    </xf>
    <xf numFmtId="1" fontId="18" fillId="16" borderId="84" xfId="0" applyNumberFormat="1" applyFont="1" applyFill="1" applyBorder="1" applyAlignment="1">
      <alignment horizontal="center"/>
    </xf>
    <xf numFmtId="1" fontId="18" fillId="16" borderId="83" xfId="0" applyNumberFormat="1" applyFont="1" applyFill="1" applyBorder="1" applyAlignment="1">
      <alignment horizontal="center"/>
    </xf>
    <xf numFmtId="1" fontId="18" fillId="16" borderId="2" xfId="0" applyNumberFormat="1" applyFont="1" applyFill="1" applyBorder="1" applyAlignment="1">
      <alignment horizontal="center"/>
    </xf>
    <xf numFmtId="37" fontId="0" fillId="28" borderId="26" xfId="0" applyNumberFormat="1" applyFill="1" applyBorder="1" applyProtection="1">
      <protection hidden="1"/>
    </xf>
    <xf numFmtId="3" fontId="129" fillId="16" borderId="0" xfId="0" applyNumberFormat="1" applyFont="1" applyFill="1" applyAlignment="1" applyProtection="1">
      <alignment horizontal="right"/>
      <protection hidden="1"/>
    </xf>
    <xf numFmtId="10" fontId="0" fillId="17" borderId="1" xfId="0" applyNumberFormat="1" applyFill="1" applyBorder="1" applyProtection="1">
      <protection locked="0"/>
    </xf>
    <xf numFmtId="3" fontId="0" fillId="17" borderId="1" xfId="0" applyNumberFormat="1" applyFill="1" applyBorder="1" applyProtection="1">
      <protection locked="0"/>
    </xf>
    <xf numFmtId="37" fontId="0" fillId="17" borderId="26" xfId="0" applyNumberFormat="1" applyFill="1" applyBorder="1" applyProtection="1">
      <protection locked="0"/>
    </xf>
    <xf numFmtId="0" fontId="63" fillId="16" borderId="9" xfId="0" applyFont="1" applyFill="1" applyBorder="1"/>
    <xf numFmtId="0" fontId="3" fillId="16" borderId="0" xfId="0" quotePrefix="1" applyFont="1" applyFill="1" applyAlignment="1">
      <alignment horizontal="center"/>
    </xf>
    <xf numFmtId="0" fontId="3" fillId="16" borderId="0" xfId="0" applyFont="1" applyFill="1" applyAlignment="1">
      <alignment horizontal="right"/>
    </xf>
    <xf numFmtId="39" fontId="207" fillId="3" borderId="0" xfId="0" applyNumberFormat="1" applyFont="1" applyFill="1" applyProtection="1">
      <protection hidden="1"/>
    </xf>
    <xf numFmtId="8" fontId="0" fillId="28" borderId="1" xfId="0" applyNumberFormat="1" applyFill="1" applyBorder="1" applyAlignment="1" applyProtection="1">
      <alignment horizontal="right"/>
      <protection hidden="1"/>
    </xf>
    <xf numFmtId="6" fontId="0" fillId="28" borderId="1" xfId="0" applyNumberFormat="1" applyFill="1" applyBorder="1" applyAlignment="1" applyProtection="1">
      <alignment horizontal="right"/>
      <protection hidden="1"/>
    </xf>
    <xf numFmtId="3" fontId="0" fillId="28" borderId="26" xfId="0" applyNumberFormat="1" applyFill="1" applyBorder="1" applyProtection="1">
      <protection hidden="1"/>
    </xf>
    <xf numFmtId="1" fontId="128" fillId="16" borderId="0" xfId="0" applyNumberFormat="1" applyFont="1" applyFill="1" applyAlignment="1" applyProtection="1">
      <alignment horizontal="center"/>
      <protection hidden="1"/>
    </xf>
    <xf numFmtId="0" fontId="157" fillId="16" borderId="3" xfId="0" applyFont="1" applyFill="1" applyBorder="1" applyAlignment="1" applyProtection="1">
      <alignment vertical="top" wrapText="1"/>
      <protection hidden="1"/>
    </xf>
    <xf numFmtId="0" fontId="157" fillId="16" borderId="0" xfId="0" applyFont="1" applyFill="1" applyAlignment="1" applyProtection="1">
      <alignment vertical="top" wrapText="1"/>
      <protection hidden="1"/>
    </xf>
    <xf numFmtId="1" fontId="157" fillId="16" borderId="3" xfId="0" applyNumberFormat="1" applyFont="1" applyFill="1" applyBorder="1" applyAlignment="1" applyProtection="1">
      <alignment horizontal="center" vertical="top" wrapText="1"/>
      <protection hidden="1"/>
    </xf>
    <xf numFmtId="3" fontId="142" fillId="16" borderId="0" xfId="0" applyNumberFormat="1" applyFont="1" applyFill="1" applyProtection="1">
      <protection hidden="1"/>
    </xf>
    <xf numFmtId="4" fontId="135" fillId="16" borderId="0" xfId="0" applyNumberFormat="1" applyFont="1" applyFill="1" applyProtection="1">
      <protection hidden="1"/>
    </xf>
    <xf numFmtId="0" fontId="16" fillId="0" borderId="0" xfId="0" applyFont="1"/>
    <xf numFmtId="0" fontId="27" fillId="16" borderId="0" xfId="0" applyFont="1" applyFill="1" applyAlignment="1">
      <alignment vertical="center"/>
    </xf>
    <xf numFmtId="0" fontId="18" fillId="16" borderId="31" xfId="0" applyFont="1" applyFill="1" applyBorder="1" applyProtection="1">
      <protection locked="0"/>
    </xf>
    <xf numFmtId="0" fontId="18" fillId="16" borderId="9" xfId="0" applyFont="1" applyFill="1" applyBorder="1" applyProtection="1">
      <protection locked="0"/>
    </xf>
    <xf numFmtId="0" fontId="53" fillId="16" borderId="10" xfId="0" applyFont="1" applyFill="1" applyBorder="1" applyProtection="1">
      <protection hidden="1"/>
    </xf>
    <xf numFmtId="0" fontId="18" fillId="16" borderId="3" xfId="0" applyFont="1" applyFill="1" applyBorder="1" applyProtection="1">
      <protection locked="0"/>
    </xf>
    <xf numFmtId="0" fontId="18" fillId="16" borderId="0" xfId="0" applyFont="1" applyFill="1" applyProtection="1">
      <protection locked="0"/>
    </xf>
    <xf numFmtId="0" fontId="16" fillId="16" borderId="1" xfId="0" applyFont="1" applyFill="1" applyBorder="1" applyAlignment="1" applyProtection="1">
      <alignment horizontal="right"/>
      <protection hidden="1"/>
    </xf>
    <xf numFmtId="0" fontId="27" fillId="16" borderId="0" xfId="0" applyFont="1" applyFill="1" applyAlignment="1">
      <alignment vertical="top"/>
    </xf>
    <xf numFmtId="0" fontId="3" fillId="16" borderId="48" xfId="0" applyFont="1" applyFill="1" applyBorder="1" applyAlignment="1" applyProtection="1">
      <alignment horizontal="center"/>
      <protection hidden="1"/>
    </xf>
    <xf numFmtId="0" fontId="18" fillId="16" borderId="17" xfId="0" applyFont="1" applyFill="1" applyBorder="1" applyAlignment="1" applyProtection="1">
      <alignment vertical="center"/>
      <protection hidden="1"/>
    </xf>
    <xf numFmtId="0" fontId="12" fillId="5" borderId="0" xfId="0" applyFont="1" applyFill="1" applyAlignment="1" applyProtection="1">
      <alignment horizontal="center" vertical="center"/>
      <protection hidden="1"/>
    </xf>
    <xf numFmtId="0" fontId="3" fillId="16" borderId="44" xfId="0" quotePrefix="1" applyFont="1" applyFill="1" applyBorder="1" applyAlignment="1" applyProtection="1">
      <alignment horizontal="center"/>
      <protection hidden="1"/>
    </xf>
    <xf numFmtId="0" fontId="3" fillId="16" borderId="52" xfId="0" quotePrefix="1" applyFont="1" applyFill="1" applyBorder="1" applyAlignment="1" applyProtection="1">
      <alignment horizontal="center"/>
      <protection hidden="1"/>
    </xf>
    <xf numFmtId="37" fontId="18" fillId="28" borderId="1" xfId="0" applyNumberFormat="1" applyFont="1" applyFill="1" applyBorder="1" applyProtection="1">
      <protection hidden="1"/>
    </xf>
    <xf numFmtId="0" fontId="129" fillId="16" borderId="1" xfId="0" applyFont="1" applyFill="1" applyBorder="1" applyProtection="1">
      <protection hidden="1"/>
    </xf>
    <xf numFmtId="0" fontId="12" fillId="16" borderId="8" xfId="0" applyFont="1" applyFill="1" applyBorder="1" applyAlignment="1">
      <alignment horizontal="center"/>
    </xf>
    <xf numFmtId="0" fontId="131" fillId="2" borderId="0" xfId="0" applyFont="1" applyFill="1" applyAlignment="1" applyProtection="1">
      <alignment vertical="center"/>
      <protection hidden="1"/>
    </xf>
    <xf numFmtId="37" fontId="0" fillId="16" borderId="1" xfId="0" applyNumberFormat="1" applyFill="1" applyBorder="1" applyProtection="1">
      <protection locked="0"/>
    </xf>
    <xf numFmtId="0" fontId="3" fillId="3" borderId="3" xfId="0" applyFont="1" applyFill="1" applyBorder="1" applyAlignment="1" applyProtection="1">
      <alignment horizontal="left"/>
      <protection hidden="1"/>
    </xf>
    <xf numFmtId="0" fontId="233" fillId="5" borderId="0" xfId="0" applyFont="1" applyFill="1" applyAlignment="1" applyProtection="1">
      <alignment horizontal="center"/>
      <protection hidden="1"/>
    </xf>
    <xf numFmtId="0" fontId="136" fillId="5" borderId="0" xfId="0" applyFont="1" applyFill="1" applyAlignment="1" applyProtection="1">
      <alignment vertical="center"/>
      <protection hidden="1"/>
    </xf>
    <xf numFmtId="0" fontId="136" fillId="0" borderId="0" xfId="0" applyFont="1"/>
    <xf numFmtId="0" fontId="3" fillId="3" borderId="13" xfId="0" applyFont="1" applyFill="1" applyBorder="1" applyAlignment="1" applyProtection="1">
      <alignment horizontal="center" vertical="center"/>
      <protection hidden="1"/>
    </xf>
    <xf numFmtId="0" fontId="143" fillId="16" borderId="0" xfId="0" applyFont="1" applyFill="1" applyAlignment="1" applyProtection="1">
      <alignment vertical="center"/>
      <protection hidden="1"/>
    </xf>
    <xf numFmtId="0" fontId="5" fillId="16" borderId="9" xfId="0" applyFont="1" applyFill="1" applyBorder="1" applyAlignment="1" applyProtection="1">
      <alignment horizontal="center"/>
      <protection hidden="1"/>
    </xf>
    <xf numFmtId="0" fontId="113" fillId="16" borderId="31" xfId="0" applyFont="1" applyFill="1" applyBorder="1" applyProtection="1">
      <protection hidden="1"/>
    </xf>
    <xf numFmtId="0" fontId="113" fillId="16" borderId="9" xfId="0" applyFont="1" applyFill="1" applyBorder="1" applyProtection="1">
      <protection hidden="1"/>
    </xf>
    <xf numFmtId="0" fontId="113" fillId="16" borderId="15" xfId="0" applyFont="1" applyFill="1" applyBorder="1" applyProtection="1">
      <protection hidden="1"/>
    </xf>
    <xf numFmtId="0" fontId="113" fillId="16" borderId="3" xfId="0" applyFont="1" applyFill="1" applyBorder="1" applyProtection="1">
      <protection hidden="1"/>
    </xf>
    <xf numFmtId="0" fontId="5" fillId="16" borderId="25" xfId="0" applyFont="1" applyFill="1" applyBorder="1" applyAlignment="1" applyProtection="1">
      <alignment horizontal="center"/>
      <protection hidden="1"/>
    </xf>
    <xf numFmtId="0" fontId="5" fillId="16" borderId="25" xfId="0" applyFont="1" applyFill="1" applyBorder="1" applyAlignment="1" applyProtection="1">
      <alignment horizontal="left" indent="1"/>
      <protection hidden="1"/>
    </xf>
    <xf numFmtId="0" fontId="113" fillId="16" borderId="25" xfId="0" applyFont="1" applyFill="1" applyBorder="1" applyProtection="1">
      <protection hidden="1"/>
    </xf>
    <xf numFmtId="0" fontId="113" fillId="16" borderId="10" xfId="0" applyFont="1" applyFill="1" applyBorder="1" applyProtection="1">
      <protection hidden="1"/>
    </xf>
    <xf numFmtId="0" fontId="113" fillId="16" borderId="1" xfId="0" applyFont="1" applyFill="1" applyBorder="1" applyProtection="1">
      <protection hidden="1"/>
    </xf>
    <xf numFmtId="0" fontId="113" fillId="16" borderId="12" xfId="0" applyFont="1" applyFill="1" applyBorder="1" applyProtection="1">
      <protection hidden="1"/>
    </xf>
    <xf numFmtId="0" fontId="113" fillId="16" borderId="40" xfId="0" applyFont="1" applyFill="1" applyBorder="1" applyProtection="1">
      <protection hidden="1"/>
    </xf>
    <xf numFmtId="0" fontId="318" fillId="16" borderId="26" xfId="0" applyFont="1" applyFill="1" applyBorder="1" applyProtection="1">
      <protection hidden="1"/>
    </xf>
    <xf numFmtId="0" fontId="113" fillId="16" borderId="26" xfId="0" applyFont="1" applyFill="1" applyBorder="1" applyProtection="1">
      <protection hidden="1"/>
    </xf>
    <xf numFmtId="0" fontId="113" fillId="16" borderId="55" xfId="0" applyFont="1" applyFill="1" applyBorder="1" applyProtection="1">
      <protection hidden="1"/>
    </xf>
    <xf numFmtId="3" fontId="21" fillId="28" borderId="170" xfId="0" applyNumberFormat="1" applyFont="1" applyFill="1" applyBorder="1" applyAlignment="1" applyProtection="1">
      <alignment horizontal="right"/>
      <protection hidden="1"/>
    </xf>
    <xf numFmtId="3" fontId="21" fillId="28" borderId="169" xfId="0" applyNumberFormat="1" applyFont="1" applyFill="1" applyBorder="1" applyAlignment="1" applyProtection="1">
      <alignment horizontal="right"/>
      <protection hidden="1"/>
    </xf>
    <xf numFmtId="3" fontId="21" fillId="28" borderId="2" xfId="0" applyNumberFormat="1" applyFont="1" applyFill="1" applyBorder="1" applyAlignment="1" applyProtection="1">
      <alignment horizontal="right"/>
      <protection hidden="1"/>
    </xf>
    <xf numFmtId="3" fontId="21" fillId="28" borderId="171" xfId="0" applyNumberFormat="1" applyFont="1" applyFill="1" applyBorder="1" applyAlignment="1" applyProtection="1">
      <alignment horizontal="right"/>
      <protection hidden="1"/>
    </xf>
    <xf numFmtId="3" fontId="21" fillId="17" borderId="173" xfId="0" applyNumberFormat="1" applyFont="1" applyFill="1" applyBorder="1" applyAlignment="1" applyProtection="1">
      <alignment horizontal="right"/>
      <protection locked="0"/>
    </xf>
    <xf numFmtId="0" fontId="0" fillId="0" borderId="101" xfId="0" applyBorder="1" applyProtection="1">
      <protection hidden="1"/>
    </xf>
    <xf numFmtId="3" fontId="21" fillId="28" borderId="172" xfId="0" applyNumberFormat="1" applyFont="1" applyFill="1" applyBorder="1" applyAlignment="1" applyProtection="1">
      <alignment horizontal="right"/>
      <protection hidden="1"/>
    </xf>
    <xf numFmtId="0" fontId="169" fillId="16" borderId="6" xfId="0" applyFont="1" applyFill="1" applyBorder="1" applyAlignment="1">
      <alignment horizontal="center" vertical="center" wrapText="1"/>
    </xf>
    <xf numFmtId="0" fontId="0" fillId="16" borderId="0" xfId="0" applyFill="1" applyAlignment="1">
      <alignment horizontal="center"/>
    </xf>
    <xf numFmtId="0" fontId="0" fillId="16" borderId="21" xfId="0" applyFill="1" applyBorder="1" applyAlignment="1">
      <alignment horizontal="center"/>
    </xf>
    <xf numFmtId="0" fontId="0" fillId="16" borderId="6" xfId="0" applyFill="1" applyBorder="1" applyAlignment="1">
      <alignment horizontal="center"/>
    </xf>
    <xf numFmtId="0" fontId="148" fillId="16" borderId="24" xfId="0" quotePrefix="1" applyFont="1" applyFill="1" applyBorder="1" applyAlignment="1" applyProtection="1">
      <alignment horizontal="center" vertical="center" wrapText="1"/>
      <protection hidden="1"/>
    </xf>
    <xf numFmtId="0" fontId="148" fillId="0" borderId="8" xfId="0" applyFont="1" applyBorder="1" applyAlignment="1">
      <alignment horizontal="center" vertical="center" wrapText="1"/>
    </xf>
    <xf numFmtId="0" fontId="148" fillId="0" borderId="20" xfId="0" applyFont="1" applyBorder="1" applyAlignment="1">
      <alignment horizontal="center" vertical="center" wrapText="1"/>
    </xf>
    <xf numFmtId="0" fontId="148" fillId="0" borderId="6" xfId="0" applyFont="1" applyBorder="1" applyAlignment="1">
      <alignment horizontal="center" vertical="center" wrapText="1"/>
    </xf>
    <xf numFmtId="0" fontId="148" fillId="0" borderId="0" xfId="0" applyFont="1" applyAlignment="1">
      <alignment horizontal="center" vertical="center" wrapText="1"/>
    </xf>
    <xf numFmtId="0" fontId="148" fillId="0" borderId="21" xfId="0" applyFont="1" applyBorder="1" applyAlignment="1">
      <alignment horizontal="center" vertical="center" wrapText="1"/>
    </xf>
    <xf numFmtId="0" fontId="148" fillId="0" borderId="22" xfId="0" applyFont="1" applyBorder="1" applyAlignment="1">
      <alignment horizontal="center" vertical="center" wrapText="1"/>
    </xf>
    <xf numFmtId="0" fontId="148" fillId="0" borderId="5" xfId="0" applyFont="1" applyBorder="1" applyAlignment="1">
      <alignment horizontal="center" vertical="center" wrapText="1"/>
    </xf>
    <xf numFmtId="0" fontId="148" fillId="0" borderId="23" xfId="0" applyFont="1" applyBorder="1" applyAlignment="1">
      <alignment horizontal="center" vertical="center" wrapText="1"/>
    </xf>
    <xf numFmtId="0" fontId="148" fillId="16" borderId="24" xfId="0" applyFont="1" applyFill="1" applyBorder="1" applyAlignment="1" applyProtection="1">
      <alignment horizontal="center" vertical="center" wrapText="1"/>
      <protection hidden="1"/>
    </xf>
    <xf numFmtId="0" fontId="148" fillId="16" borderId="8" xfId="0" applyFont="1" applyFill="1" applyBorder="1" applyAlignment="1" applyProtection="1">
      <alignment horizontal="center" vertical="center" wrapText="1"/>
      <protection hidden="1"/>
    </xf>
    <xf numFmtId="0" fontId="148" fillId="16" borderId="20" xfId="0" applyFont="1" applyFill="1" applyBorder="1" applyAlignment="1" applyProtection="1">
      <alignment horizontal="center" vertical="center" wrapText="1"/>
      <protection hidden="1"/>
    </xf>
    <xf numFmtId="0" fontId="148" fillId="16" borderId="6" xfId="0" applyFont="1" applyFill="1" applyBorder="1" applyAlignment="1" applyProtection="1">
      <alignment horizontal="center" vertical="center" wrapText="1"/>
      <protection hidden="1"/>
    </xf>
    <xf numFmtId="0" fontId="148" fillId="16" borderId="0" xfId="0" applyFont="1" applyFill="1" applyAlignment="1" applyProtection="1">
      <alignment horizontal="center" vertical="center" wrapText="1"/>
      <protection hidden="1"/>
    </xf>
    <xf numFmtId="0" fontId="148" fillId="16" borderId="21" xfId="0" applyFont="1" applyFill="1" applyBorder="1" applyAlignment="1" applyProtection="1">
      <alignment horizontal="center" vertical="center" wrapText="1"/>
      <protection hidden="1"/>
    </xf>
    <xf numFmtId="0" fontId="3" fillId="16" borderId="72" xfId="0" applyFont="1" applyFill="1" applyBorder="1" applyAlignment="1">
      <alignment horizontal="center" wrapText="1"/>
    </xf>
    <xf numFmtId="0" fontId="3" fillId="16" borderId="101" xfId="0" applyFont="1" applyFill="1" applyBorder="1" applyAlignment="1">
      <alignment horizontal="center" wrapText="1"/>
    </xf>
    <xf numFmtId="0" fontId="75" fillId="16" borderId="24" xfId="2" applyFill="1" applyBorder="1" applyAlignment="1" applyProtection="1">
      <alignment horizontal="center" vertical="center"/>
      <protection hidden="1"/>
    </xf>
    <xf numFmtId="0" fontId="75" fillId="16" borderId="20" xfId="2" applyFill="1" applyBorder="1" applyAlignment="1" applyProtection="1">
      <alignment horizontal="center" vertical="center"/>
      <protection hidden="1"/>
    </xf>
    <xf numFmtId="0" fontId="75" fillId="16" borderId="6" xfId="2" applyFill="1" applyBorder="1" applyAlignment="1" applyProtection="1">
      <alignment horizontal="center" vertical="center"/>
      <protection hidden="1"/>
    </xf>
    <xf numFmtId="0" fontId="75" fillId="16" borderId="21" xfId="2" applyFill="1" applyBorder="1" applyAlignment="1" applyProtection="1">
      <alignment horizontal="center" vertical="center"/>
      <protection hidden="1"/>
    </xf>
    <xf numFmtId="0" fontId="75" fillId="16" borderId="22" xfId="2" applyFill="1" applyBorder="1" applyAlignment="1" applyProtection="1">
      <alignment horizontal="center" vertical="center"/>
      <protection hidden="1"/>
    </xf>
    <xf numFmtId="0" fontId="75" fillId="16" borderId="23" xfId="2" applyFill="1" applyBorder="1" applyAlignment="1" applyProtection="1">
      <alignment horizontal="center" vertical="center"/>
      <protection hidden="1"/>
    </xf>
    <xf numFmtId="0" fontId="5" fillId="2" borderId="0" xfId="0" applyFont="1" applyFill="1" applyAlignment="1" applyProtection="1">
      <alignment vertical="top" wrapText="1"/>
      <protection hidden="1"/>
    </xf>
    <xf numFmtId="0" fontId="0" fillId="2" borderId="0" xfId="0" applyFill="1" applyAlignment="1" applyProtection="1">
      <alignment vertical="top" wrapText="1"/>
      <protection hidden="1"/>
    </xf>
    <xf numFmtId="0" fontId="0" fillId="16" borderId="5" xfId="0" applyFill="1" applyBorder="1" applyAlignment="1" applyProtection="1">
      <alignment vertical="top" wrapText="1"/>
      <protection hidden="1"/>
    </xf>
    <xf numFmtId="0" fontId="0" fillId="16" borderId="5" xfId="0" applyFill="1" applyBorder="1" applyAlignment="1" applyProtection="1">
      <alignment vertical="top"/>
      <protection hidden="1"/>
    </xf>
    <xf numFmtId="0" fontId="5" fillId="0" borderId="1" xfId="0" applyFont="1" applyBorder="1" applyAlignment="1">
      <alignment horizontal="left" vertical="top" wrapText="1"/>
    </xf>
    <xf numFmtId="0" fontId="5" fillId="2" borderId="1" xfId="0" applyFont="1" applyFill="1" applyBorder="1" applyAlignment="1" applyProtection="1">
      <alignment horizontal="left" vertical="top" wrapText="1"/>
      <protection hidden="1"/>
    </xf>
    <xf numFmtId="0" fontId="5" fillId="16" borderId="0" xfId="0" applyFont="1" applyFill="1" applyAlignment="1">
      <alignment horizontal="left" vertical="top" wrapText="1"/>
    </xf>
    <xf numFmtId="0" fontId="0" fillId="16" borderId="0" xfId="0" applyFill="1" applyAlignment="1">
      <alignment horizontal="left" vertical="top" wrapText="1"/>
    </xf>
    <xf numFmtId="0" fontId="5" fillId="16" borderId="0" xfId="0" applyFont="1" applyFill="1" applyAlignment="1" applyProtection="1">
      <alignment horizontal="left" vertical="top" wrapText="1"/>
      <protection hidden="1"/>
    </xf>
    <xf numFmtId="0" fontId="5" fillId="16" borderId="1" xfId="0" applyFont="1" applyFill="1" applyBorder="1" applyAlignment="1">
      <alignment horizontal="left" vertical="top" wrapText="1"/>
    </xf>
    <xf numFmtId="0" fontId="12" fillId="16" borderId="0" xfId="0" applyFont="1" applyFill="1" applyAlignment="1">
      <alignment horizontal="left" wrapText="1"/>
    </xf>
    <xf numFmtId="0" fontId="235" fillId="16" borderId="3" xfId="0" applyFont="1" applyFill="1" applyBorder="1" applyAlignment="1" applyProtection="1">
      <alignment horizontal="center" wrapText="1"/>
      <protection hidden="1"/>
    </xf>
    <xf numFmtId="0" fontId="12" fillId="16" borderId="0" xfId="4" applyFont="1" applyFill="1" applyAlignment="1" applyProtection="1">
      <alignment horizontal="center"/>
      <protection hidden="1"/>
    </xf>
    <xf numFmtId="6" fontId="152" fillId="2" borderId="3" xfId="0" applyNumberFormat="1" applyFont="1" applyFill="1" applyBorder="1" applyAlignment="1" applyProtection="1">
      <alignment horizontal="center"/>
      <protection hidden="1"/>
    </xf>
    <xf numFmtId="6" fontId="152" fillId="2" borderId="0" xfId="0" applyNumberFormat="1" applyFont="1" applyFill="1" applyAlignment="1" applyProtection="1">
      <alignment horizontal="center"/>
      <protection hidden="1"/>
    </xf>
    <xf numFmtId="6" fontId="152" fillId="2" borderId="25" xfId="0" applyNumberFormat="1" applyFont="1" applyFill="1" applyBorder="1" applyAlignment="1" applyProtection="1">
      <alignment horizontal="center"/>
      <protection hidden="1"/>
    </xf>
    <xf numFmtId="0" fontId="18" fillId="16" borderId="9" xfId="0" applyFont="1" applyFill="1" applyBorder="1" applyAlignment="1" applyProtection="1">
      <alignment horizontal="left" vertical="center" wrapText="1"/>
      <protection hidden="1"/>
    </xf>
    <xf numFmtId="0" fontId="18" fillId="16" borderId="0" xfId="0" applyFont="1" applyFill="1" applyAlignment="1" applyProtection="1">
      <alignment horizontal="left" vertical="center" wrapText="1"/>
      <protection hidden="1"/>
    </xf>
    <xf numFmtId="0" fontId="0" fillId="16" borderId="0" xfId="0" applyFill="1" applyAlignment="1">
      <alignment vertical="center" wrapText="1"/>
    </xf>
    <xf numFmtId="0" fontId="0" fillId="16" borderId="5" xfId="0" applyFill="1" applyBorder="1" applyAlignment="1">
      <alignment vertical="center" wrapText="1"/>
    </xf>
    <xf numFmtId="37" fontId="3" fillId="26" borderId="70" xfId="0" applyNumberFormat="1" applyFont="1" applyFill="1" applyBorder="1" applyProtection="1">
      <protection hidden="1"/>
    </xf>
    <xf numFmtId="0" fontId="5" fillId="0" borderId="5" xfId="0" applyFont="1" applyBorder="1"/>
    <xf numFmtId="185" fontId="8" fillId="17" borderId="10" xfId="0" applyNumberFormat="1" applyFont="1" applyFill="1" applyBorder="1" applyAlignment="1" applyProtection="1">
      <alignment horizontal="left" indent="1"/>
      <protection locked="0"/>
    </xf>
    <xf numFmtId="185" fontId="8" fillId="17" borderId="1" xfId="0" applyNumberFormat="1" applyFont="1" applyFill="1" applyBorder="1" applyAlignment="1" applyProtection="1">
      <alignment horizontal="left" indent="1"/>
      <protection locked="0"/>
    </xf>
    <xf numFmtId="185" fontId="8" fillId="17" borderId="12" xfId="0" applyNumberFormat="1" applyFont="1" applyFill="1" applyBorder="1" applyAlignment="1" applyProtection="1">
      <alignment horizontal="left" indent="1"/>
      <protection locked="0"/>
    </xf>
    <xf numFmtId="0" fontId="8" fillId="17" borderId="10" xfId="0" applyFont="1" applyFill="1" applyBorder="1" applyAlignment="1" applyProtection="1">
      <alignment horizontal="left" indent="1"/>
      <protection locked="0"/>
    </xf>
    <xf numFmtId="0" fontId="8" fillId="17" borderId="1" xfId="0" applyFont="1" applyFill="1" applyBorder="1" applyAlignment="1" applyProtection="1">
      <alignment horizontal="left" indent="1"/>
      <protection locked="0"/>
    </xf>
    <xf numFmtId="0" fontId="8" fillId="17" borderId="12" xfId="0" applyFont="1" applyFill="1" applyBorder="1" applyAlignment="1" applyProtection="1">
      <alignment horizontal="left" indent="1"/>
      <protection locked="0"/>
    </xf>
    <xf numFmtId="0" fontId="7" fillId="2" borderId="26" xfId="0" applyFont="1" applyFill="1" applyBorder="1" applyAlignment="1" applyProtection="1">
      <alignment horizontal="left" vertical="center"/>
      <protection hidden="1"/>
    </xf>
    <xf numFmtId="0" fontId="7" fillId="0" borderId="26" xfId="0" applyFont="1" applyBorder="1" applyAlignment="1" applyProtection="1">
      <alignment horizontal="left" vertical="center"/>
      <protection hidden="1"/>
    </xf>
    <xf numFmtId="0" fontId="7" fillId="0" borderId="26" xfId="0" applyFont="1" applyBorder="1" applyAlignment="1" applyProtection="1">
      <alignment horizontal="left"/>
      <protection hidden="1"/>
    </xf>
    <xf numFmtId="0" fontId="3" fillId="17" borderId="5" xfId="0" applyFont="1" applyFill="1" applyBorder="1" applyAlignment="1" applyProtection="1">
      <alignment wrapText="1"/>
      <protection locked="0"/>
    </xf>
    <xf numFmtId="0" fontId="12" fillId="16" borderId="8" xfId="0" applyFont="1" applyFill="1" applyBorder="1" applyAlignment="1" applyProtection="1">
      <alignment horizontal="left" vertical="top" wrapText="1"/>
      <protection hidden="1"/>
    </xf>
    <xf numFmtId="0" fontId="3" fillId="16" borderId="8" xfId="0" applyFont="1" applyFill="1" applyBorder="1" applyAlignment="1" applyProtection="1">
      <alignment horizontal="left" vertical="top" wrapText="1"/>
      <protection hidden="1"/>
    </xf>
    <xf numFmtId="0" fontId="3" fillId="16" borderId="0" xfId="0" applyFont="1" applyFill="1" applyAlignment="1" applyProtection="1">
      <alignment horizontal="left" vertical="top" wrapText="1"/>
      <protection hidden="1"/>
    </xf>
    <xf numFmtId="0" fontId="3" fillId="16" borderId="5" xfId="0" applyFont="1" applyFill="1" applyBorder="1" applyAlignment="1" applyProtection="1">
      <alignment horizontal="left" vertical="top" wrapText="1"/>
      <protection hidden="1"/>
    </xf>
    <xf numFmtId="0" fontId="10" fillId="42" borderId="5" xfId="0" applyFont="1" applyFill="1" applyBorder="1" applyAlignment="1" applyProtection="1">
      <alignment horizontal="left" wrapText="1"/>
      <protection hidden="1"/>
    </xf>
    <xf numFmtId="0" fontId="10" fillId="42" borderId="5" xfId="0" applyFont="1" applyFill="1" applyBorder="1" applyAlignment="1" applyProtection="1">
      <alignment horizontal="left" wrapText="1" indent="1"/>
      <protection hidden="1"/>
    </xf>
    <xf numFmtId="0" fontId="10" fillId="42" borderId="23" xfId="0" applyFont="1" applyFill="1" applyBorder="1" applyAlignment="1" applyProtection="1">
      <alignment horizontal="left" wrapText="1" indent="1"/>
      <protection hidden="1"/>
    </xf>
    <xf numFmtId="49" fontId="8" fillId="17" borderId="26" xfId="0" applyNumberFormat="1" applyFont="1" applyFill="1" applyBorder="1" applyAlignment="1" applyProtection="1">
      <alignment horizontal="left"/>
      <protection locked="0"/>
    </xf>
    <xf numFmtId="165" fontId="8" fillId="17" borderId="26" xfId="0" applyNumberFormat="1" applyFont="1" applyFill="1" applyBorder="1" applyAlignment="1" applyProtection="1">
      <alignment horizontal="center"/>
      <protection locked="0"/>
    </xf>
    <xf numFmtId="165" fontId="7" fillId="17" borderId="26" xfId="0" applyNumberFormat="1" applyFont="1" applyFill="1" applyBorder="1" applyAlignment="1" applyProtection="1">
      <alignment horizontal="center"/>
      <protection locked="0"/>
    </xf>
    <xf numFmtId="165" fontId="8" fillId="17" borderId="1" xfId="0" applyNumberFormat="1" applyFont="1" applyFill="1" applyBorder="1" applyAlignment="1" applyProtection="1">
      <alignment horizontal="center"/>
      <protection locked="0"/>
    </xf>
    <xf numFmtId="165" fontId="7" fillId="17" borderId="1" xfId="0" applyNumberFormat="1" applyFont="1" applyFill="1" applyBorder="1" applyAlignment="1" applyProtection="1">
      <alignment horizontal="center"/>
      <protection locked="0"/>
    </xf>
    <xf numFmtId="0" fontId="0" fillId="0" borderId="1" xfId="0" applyBorder="1" applyProtection="1">
      <protection locked="0"/>
    </xf>
    <xf numFmtId="0" fontId="10" fillId="16" borderId="40" xfId="0" applyFont="1" applyFill="1" applyBorder="1" applyAlignment="1" applyProtection="1">
      <alignment horizontal="center" vertical="center"/>
      <protection hidden="1"/>
    </xf>
    <xf numFmtId="0" fontId="0" fillId="0" borderId="26" xfId="0" applyBorder="1" applyAlignment="1">
      <alignment horizontal="center"/>
    </xf>
    <xf numFmtId="0" fontId="10" fillId="16" borderId="3" xfId="0" applyFont="1" applyFill="1" applyBorder="1" applyProtection="1">
      <protection hidden="1"/>
    </xf>
    <xf numFmtId="0" fontId="0" fillId="16" borderId="0" xfId="0" applyFill="1" applyProtection="1">
      <protection hidden="1"/>
    </xf>
    <xf numFmtId="0" fontId="10" fillId="2" borderId="9" xfId="0" applyFont="1" applyFill="1" applyBorder="1" applyAlignment="1" applyProtection="1">
      <alignment horizontal="left"/>
      <protection hidden="1"/>
    </xf>
    <xf numFmtId="0" fontId="10" fillId="0" borderId="9" xfId="0" applyFont="1" applyBorder="1" applyProtection="1">
      <protection hidden="1"/>
    </xf>
    <xf numFmtId="0" fontId="10" fillId="0" borderId="15" xfId="0" applyFont="1" applyBorder="1" applyProtection="1">
      <protection hidden="1"/>
    </xf>
    <xf numFmtId="0" fontId="10" fillId="16" borderId="31" xfId="0" applyFont="1" applyFill="1" applyBorder="1" applyAlignment="1" applyProtection="1">
      <alignment horizontal="left" indent="1"/>
      <protection hidden="1"/>
    </xf>
    <xf numFmtId="0" fontId="0" fillId="0" borderId="9" xfId="0" applyBorder="1" applyAlignment="1">
      <alignment horizontal="left" indent="1"/>
    </xf>
    <xf numFmtId="49" fontId="12" fillId="17" borderId="10" xfId="0" applyNumberFormat="1" applyFont="1" applyFill="1" applyBorder="1" applyAlignment="1" applyProtection="1">
      <alignment horizontal="center"/>
      <protection locked="0"/>
    </xf>
    <xf numFmtId="0" fontId="0" fillId="17" borderId="1" xfId="0" applyFill="1" applyBorder="1" applyAlignment="1">
      <alignment horizontal="center"/>
    </xf>
    <xf numFmtId="0" fontId="0" fillId="17" borderId="12" xfId="0" applyFill="1" applyBorder="1" applyAlignment="1">
      <alignment horizontal="center"/>
    </xf>
    <xf numFmtId="49" fontId="6" fillId="17" borderId="1" xfId="0" applyNumberFormat="1" applyFont="1" applyFill="1" applyBorder="1" applyAlignment="1" applyProtection="1">
      <alignment horizontal="left"/>
      <protection locked="0"/>
    </xf>
    <xf numFmtId="0" fontId="0" fillId="17" borderId="1" xfId="0" applyFill="1" applyBorder="1" applyAlignment="1" applyProtection="1">
      <alignment horizontal="left"/>
      <protection locked="0"/>
    </xf>
    <xf numFmtId="0" fontId="0" fillId="17" borderId="12" xfId="0" applyFill="1" applyBorder="1" applyAlignment="1" applyProtection="1">
      <alignment horizontal="left"/>
      <protection locked="0"/>
    </xf>
    <xf numFmtId="49" fontId="8" fillId="17" borderId="40" xfId="0" applyNumberFormat="1" applyFont="1" applyFill="1" applyBorder="1" applyAlignment="1" applyProtection="1">
      <alignment horizontal="center"/>
      <protection locked="0"/>
    </xf>
    <xf numFmtId="0" fontId="0" fillId="17" borderId="26" xfId="0" applyFill="1" applyBorder="1" applyAlignment="1" applyProtection="1">
      <alignment horizontal="center"/>
      <protection locked="0"/>
    </xf>
    <xf numFmtId="0" fontId="0" fillId="17" borderId="55" xfId="0" applyFill="1" applyBorder="1" applyAlignment="1" applyProtection="1">
      <alignment horizontal="center"/>
      <protection locked="0"/>
    </xf>
    <xf numFmtId="37" fontId="125" fillId="16" borderId="31" xfId="0" applyNumberFormat="1" applyFont="1" applyFill="1" applyBorder="1" applyProtection="1">
      <protection hidden="1"/>
    </xf>
    <xf numFmtId="0" fontId="136" fillId="0" borderId="9" xfId="0" applyFont="1" applyBorder="1"/>
    <xf numFmtId="0" fontId="5" fillId="42" borderId="5" xfId="0" applyFont="1" applyFill="1" applyBorder="1" applyAlignment="1" applyProtection="1">
      <alignment horizontal="left"/>
      <protection hidden="1"/>
    </xf>
    <xf numFmtId="37" fontId="3" fillId="28" borderId="53" xfId="0" applyNumberFormat="1" applyFont="1" applyFill="1" applyBorder="1" applyAlignment="1" applyProtection="1">
      <alignment horizontal="right"/>
      <protection hidden="1"/>
    </xf>
    <xf numFmtId="37" fontId="5" fillId="28" borderId="32" xfId="0" applyNumberFormat="1" applyFont="1" applyFill="1" applyBorder="1" applyAlignment="1" applyProtection="1">
      <alignment horizontal="right"/>
      <protection hidden="1"/>
    </xf>
    <xf numFmtId="37" fontId="5" fillId="28" borderId="74" xfId="0" applyNumberFormat="1" applyFont="1" applyFill="1" applyBorder="1" applyAlignment="1" applyProtection="1">
      <alignment horizontal="right"/>
      <protection hidden="1"/>
    </xf>
    <xf numFmtId="0" fontId="75" fillId="0" borderId="24" xfId="2" applyBorder="1" applyAlignment="1" applyProtection="1">
      <alignment horizontal="center" vertical="center"/>
    </xf>
    <xf numFmtId="0" fontId="75" fillId="0" borderId="8" xfId="2" applyBorder="1" applyAlignment="1" applyProtection="1">
      <alignment horizontal="center" vertical="center"/>
    </xf>
    <xf numFmtId="0" fontId="75" fillId="0" borderId="20" xfId="2" applyBorder="1" applyAlignment="1" applyProtection="1">
      <alignment horizontal="center" vertical="center"/>
    </xf>
    <xf numFmtId="0" fontId="75" fillId="0" borderId="6" xfId="2" applyBorder="1" applyAlignment="1" applyProtection="1">
      <alignment horizontal="center" vertical="center"/>
    </xf>
    <xf numFmtId="0" fontId="75" fillId="0" borderId="0" xfId="2" applyAlignment="1" applyProtection="1">
      <alignment horizontal="center" vertical="center"/>
    </xf>
    <xf numFmtId="0" fontId="75" fillId="0" borderId="21" xfId="2" applyBorder="1" applyAlignment="1" applyProtection="1">
      <alignment horizontal="center" vertical="center"/>
    </xf>
    <xf numFmtId="0" fontId="75" fillId="0" borderId="22" xfId="2" applyBorder="1" applyAlignment="1" applyProtection="1">
      <alignment horizontal="center" vertical="center"/>
    </xf>
    <xf numFmtId="0" fontId="75" fillId="0" borderId="5" xfId="2" applyBorder="1" applyAlignment="1" applyProtection="1">
      <alignment horizontal="center" vertical="center"/>
    </xf>
    <xf numFmtId="0" fontId="75" fillId="0" borderId="23" xfId="2" applyBorder="1" applyAlignment="1" applyProtection="1">
      <alignment horizontal="center" vertical="center"/>
    </xf>
    <xf numFmtId="37" fontId="125" fillId="16" borderId="10" xfId="0" applyNumberFormat="1" applyFont="1" applyFill="1" applyBorder="1" applyAlignment="1" applyProtection="1">
      <alignment vertical="top"/>
      <protection hidden="1"/>
    </xf>
    <xf numFmtId="0" fontId="136" fillId="0" borderId="1" xfId="0" applyFont="1" applyBorder="1" applyAlignment="1">
      <alignment vertical="top"/>
    </xf>
    <xf numFmtId="37" fontId="125" fillId="16" borderId="3" xfId="0" applyNumberFormat="1" applyFont="1" applyFill="1" applyBorder="1" applyAlignment="1" applyProtection="1">
      <alignment vertical="center"/>
      <protection hidden="1"/>
    </xf>
    <xf numFmtId="0" fontId="136" fillId="0" borderId="0" xfId="0" applyFont="1" applyAlignment="1">
      <alignment vertical="center"/>
    </xf>
    <xf numFmtId="0" fontId="10" fillId="2" borderId="40" xfId="0" applyFont="1" applyFill="1" applyBorder="1" applyAlignment="1" applyProtection="1">
      <alignment horizontal="left"/>
      <protection hidden="1"/>
    </xf>
    <xf numFmtId="0" fontId="0" fillId="0" borderId="26" xfId="0" applyBorder="1" applyAlignment="1">
      <alignment horizontal="left"/>
    </xf>
    <xf numFmtId="14" fontId="6" fillId="17" borderId="10" xfId="0" applyNumberFormat="1" applyFont="1" applyFill="1" applyBorder="1" applyAlignment="1" applyProtection="1">
      <alignment horizontal="center"/>
      <protection locked="0"/>
    </xf>
    <xf numFmtId="14" fontId="6" fillId="17" borderId="1" xfId="0" applyNumberFormat="1" applyFont="1" applyFill="1" applyBorder="1" applyAlignment="1" applyProtection="1">
      <alignment horizontal="center"/>
      <protection locked="0"/>
    </xf>
    <xf numFmtId="14" fontId="21" fillId="17" borderId="1" xfId="0" applyNumberFormat="1" applyFont="1" applyFill="1" applyBorder="1" applyAlignment="1" applyProtection="1">
      <alignment horizontal="center"/>
      <protection locked="0"/>
    </xf>
    <xf numFmtId="14" fontId="0" fillId="17" borderId="12" xfId="0" applyNumberFormat="1" applyFill="1" applyBorder="1" applyAlignment="1" applyProtection="1">
      <alignment horizontal="center"/>
      <protection locked="0"/>
    </xf>
    <xf numFmtId="49" fontId="13" fillId="17" borderId="10" xfId="0" applyNumberFormat="1" applyFont="1" applyFill="1" applyBorder="1" applyAlignment="1" applyProtection="1">
      <alignment horizontal="left"/>
      <protection locked="0"/>
    </xf>
    <xf numFmtId="0" fontId="0" fillId="17" borderId="1" xfId="0" applyFill="1" applyBorder="1" applyProtection="1">
      <protection locked="0"/>
    </xf>
    <xf numFmtId="0" fontId="0" fillId="17" borderId="12" xfId="0" applyFill="1" applyBorder="1" applyProtection="1">
      <protection locked="0"/>
    </xf>
    <xf numFmtId="165" fontId="10" fillId="16" borderId="10" xfId="0" applyNumberFormat="1" applyFont="1" applyFill="1" applyBorder="1" applyAlignment="1" applyProtection="1">
      <alignment horizontal="center"/>
      <protection hidden="1"/>
    </xf>
    <xf numFmtId="0" fontId="10" fillId="16" borderId="30" xfId="0" applyFont="1" applyFill="1" applyBorder="1" applyAlignment="1" applyProtection="1">
      <alignment horizontal="center"/>
      <protection hidden="1"/>
    </xf>
    <xf numFmtId="0" fontId="7" fillId="2" borderId="32" xfId="0" applyFont="1" applyFill="1" applyBorder="1" applyAlignment="1" applyProtection="1">
      <alignment horizontal="left" vertical="center"/>
      <protection hidden="1"/>
    </xf>
    <xf numFmtId="0" fontId="7" fillId="0" borderId="32" xfId="0" applyFont="1" applyBorder="1" applyAlignment="1" applyProtection="1">
      <alignment horizontal="left" vertical="center"/>
      <protection hidden="1"/>
    </xf>
    <xf numFmtId="0" fontId="7" fillId="0" borderId="32" xfId="0" applyFont="1" applyBorder="1" applyAlignment="1" applyProtection="1">
      <alignment horizontal="left"/>
      <protection hidden="1"/>
    </xf>
    <xf numFmtId="0" fontId="10" fillId="2" borderId="3" xfId="0" applyFont="1" applyFill="1" applyBorder="1" applyAlignment="1" applyProtection="1">
      <alignment horizontal="left" indent="1"/>
      <protection hidden="1"/>
    </xf>
    <xf numFmtId="0" fontId="10" fillId="2" borderId="0" xfId="0" applyFont="1" applyFill="1" applyAlignment="1" applyProtection="1">
      <alignment horizontal="left" indent="1"/>
      <protection hidden="1"/>
    </xf>
    <xf numFmtId="0" fontId="10" fillId="2" borderId="25" xfId="0" applyFont="1" applyFill="1" applyBorder="1" applyAlignment="1" applyProtection="1">
      <alignment horizontal="left" indent="1"/>
      <protection hidden="1"/>
    </xf>
    <xf numFmtId="0" fontId="10" fillId="2" borderId="31" xfId="0" applyFont="1" applyFill="1" applyBorder="1" applyAlignment="1" applyProtection="1">
      <alignment horizontal="left" indent="1"/>
      <protection hidden="1"/>
    </xf>
    <xf numFmtId="0" fontId="10" fillId="2" borderId="9" xfId="0" applyFont="1" applyFill="1" applyBorder="1" applyAlignment="1" applyProtection="1">
      <alignment horizontal="left" indent="1"/>
      <protection hidden="1"/>
    </xf>
    <xf numFmtId="0" fontId="10" fillId="2" borderId="15" xfId="0" applyFont="1" applyFill="1" applyBorder="1" applyAlignment="1" applyProtection="1">
      <alignment horizontal="left" indent="1"/>
      <protection hidden="1"/>
    </xf>
    <xf numFmtId="0" fontId="75" fillId="11" borderId="62" xfId="2" applyFill="1" applyBorder="1" applyAlignment="1" applyProtection="1">
      <alignment horizontal="center"/>
    </xf>
    <xf numFmtId="0" fontId="0" fillId="0" borderId="63" xfId="0" applyBorder="1" applyAlignment="1">
      <alignment horizontal="center"/>
    </xf>
    <xf numFmtId="0" fontId="0" fillId="0" borderId="64" xfId="0" applyBorder="1" applyAlignment="1">
      <alignment horizontal="center"/>
    </xf>
    <xf numFmtId="37" fontId="3" fillId="28" borderId="9" xfId="0" applyNumberFormat="1" applyFont="1" applyFill="1" applyBorder="1" applyProtection="1">
      <protection hidden="1"/>
    </xf>
    <xf numFmtId="37" fontId="6" fillId="28" borderId="9" xfId="0" applyNumberFormat="1" applyFont="1" applyFill="1" applyBorder="1" applyProtection="1">
      <protection hidden="1"/>
    </xf>
    <xf numFmtId="0" fontId="10" fillId="2" borderId="31" xfId="0" applyFont="1" applyFill="1" applyBorder="1" applyAlignment="1" applyProtection="1">
      <alignment horizontal="left"/>
      <protection hidden="1"/>
    </xf>
    <xf numFmtId="0" fontId="0" fillId="16" borderId="25" xfId="0" applyFill="1" applyBorder="1" applyProtection="1">
      <protection hidden="1"/>
    </xf>
    <xf numFmtId="0" fontId="7" fillId="17" borderId="1" xfId="0" applyFont="1" applyFill="1" applyBorder="1" applyAlignment="1" applyProtection="1">
      <alignment horizontal="left" indent="1"/>
      <protection locked="0"/>
    </xf>
    <xf numFmtId="0" fontId="7" fillId="17" borderId="12" xfId="0" applyFont="1" applyFill="1" applyBorder="1" applyAlignment="1" applyProtection="1">
      <alignment horizontal="left" indent="1"/>
      <protection locked="0"/>
    </xf>
    <xf numFmtId="165" fontId="8" fillId="17" borderId="32" xfId="0" applyNumberFormat="1" applyFont="1" applyFill="1" applyBorder="1" applyAlignment="1" applyProtection="1">
      <alignment horizontal="center" vertical="center"/>
      <protection locked="0"/>
    </xf>
    <xf numFmtId="165" fontId="8" fillId="0" borderId="32" xfId="0" applyNumberFormat="1" applyFont="1" applyBorder="1" applyAlignment="1" applyProtection="1">
      <alignment horizontal="center" vertical="center"/>
      <protection locked="0"/>
    </xf>
    <xf numFmtId="0" fontId="10" fillId="16" borderId="32" xfId="0" applyFont="1" applyFill="1" applyBorder="1" applyAlignment="1">
      <alignment horizontal="right" vertical="center"/>
    </xf>
    <xf numFmtId="165" fontId="3" fillId="17" borderId="5" xfId="0" applyNumberFormat="1" applyFont="1" applyFill="1" applyBorder="1" applyAlignment="1" applyProtection="1">
      <alignment horizontal="center"/>
      <protection locked="0"/>
    </xf>
    <xf numFmtId="37" fontId="210" fillId="16" borderId="3" xfId="0" applyNumberFormat="1" applyFont="1" applyFill="1" applyBorder="1" applyAlignment="1" applyProtection="1">
      <alignment horizontal="center" vertical="center"/>
      <protection hidden="1"/>
    </xf>
    <xf numFmtId="0" fontId="210" fillId="16" borderId="0" xfId="0" applyFont="1" applyFill="1" applyAlignment="1" applyProtection="1">
      <alignment horizontal="center" vertical="center"/>
      <protection hidden="1"/>
    </xf>
    <xf numFmtId="166" fontId="3" fillId="28" borderId="40" xfId="0" applyNumberFormat="1" applyFont="1" applyFill="1" applyBorder="1" applyAlignment="1" applyProtection="1">
      <alignment horizontal="center" vertical="center"/>
      <protection hidden="1"/>
    </xf>
    <xf numFmtId="166" fontId="3" fillId="28" borderId="26" xfId="0" applyNumberFormat="1" applyFont="1" applyFill="1" applyBorder="1" applyAlignment="1" applyProtection="1">
      <alignment horizontal="center" vertical="center"/>
      <protection hidden="1"/>
    </xf>
    <xf numFmtId="166" fontId="3" fillId="28" borderId="55" xfId="0" applyNumberFormat="1" applyFont="1" applyFill="1" applyBorder="1" applyAlignment="1" applyProtection="1">
      <alignment horizontal="center" vertical="center"/>
      <protection hidden="1"/>
    </xf>
    <xf numFmtId="0" fontId="3" fillId="28" borderId="40" xfId="0" applyFont="1" applyFill="1" applyBorder="1" applyAlignment="1" applyProtection="1">
      <alignment horizontal="center" vertical="center"/>
      <protection hidden="1"/>
    </xf>
    <xf numFmtId="0" fontId="3" fillId="28" borderId="26" xfId="0" applyFont="1" applyFill="1" applyBorder="1" applyAlignment="1" applyProtection="1">
      <alignment horizontal="center" vertical="center"/>
      <protection hidden="1"/>
    </xf>
    <xf numFmtId="0" fontId="3" fillId="28" borderId="55" xfId="0" applyFont="1" applyFill="1" applyBorder="1" applyAlignment="1" applyProtection="1">
      <alignment horizontal="center" vertical="center"/>
      <protection hidden="1"/>
    </xf>
    <xf numFmtId="166" fontId="3" fillId="28" borderId="205" xfId="0" applyNumberFormat="1" applyFont="1" applyFill="1" applyBorder="1" applyAlignment="1" applyProtection="1">
      <alignment horizontal="center" vertical="center"/>
      <protection hidden="1"/>
    </xf>
    <xf numFmtId="166" fontId="3" fillId="28" borderId="100" xfId="0" applyNumberFormat="1" applyFont="1" applyFill="1" applyBorder="1" applyAlignment="1" applyProtection="1">
      <alignment horizontal="center" vertical="center"/>
      <protection hidden="1"/>
    </xf>
    <xf numFmtId="166" fontId="3" fillId="28" borderId="212" xfId="0" applyNumberFormat="1" applyFont="1" applyFill="1" applyBorder="1" applyAlignment="1" applyProtection="1">
      <alignment horizontal="center" vertical="center"/>
      <protection hidden="1"/>
    </xf>
    <xf numFmtId="0" fontId="3" fillId="28" borderId="205" xfId="0" applyFont="1" applyFill="1" applyBorder="1" applyAlignment="1" applyProtection="1">
      <alignment horizontal="center" vertical="center"/>
      <protection hidden="1"/>
    </xf>
    <xf numFmtId="0" fontId="3" fillId="28" borderId="100" xfId="0" applyFont="1" applyFill="1" applyBorder="1" applyAlignment="1" applyProtection="1">
      <alignment horizontal="center" vertical="center"/>
      <protection hidden="1"/>
    </xf>
    <xf numFmtId="0" fontId="3" fillId="28" borderId="212" xfId="0" applyFont="1" applyFill="1" applyBorder="1" applyAlignment="1" applyProtection="1">
      <alignment horizontal="center" vertical="center"/>
      <protection hidden="1"/>
    </xf>
    <xf numFmtId="3" fontId="6" fillId="28" borderId="10" xfId="0" applyNumberFormat="1" applyFont="1" applyFill="1" applyBorder="1" applyProtection="1">
      <protection hidden="1"/>
    </xf>
    <xf numFmtId="0" fontId="0" fillId="0" borderId="1" xfId="0" applyBorder="1"/>
    <xf numFmtId="37" fontId="3" fillId="26" borderId="40" xfId="0" applyNumberFormat="1" applyFont="1" applyFill="1" applyBorder="1" applyProtection="1">
      <protection hidden="1"/>
    </xf>
    <xf numFmtId="0" fontId="5" fillId="26" borderId="26" xfId="0" applyFont="1" applyFill="1" applyBorder="1"/>
    <xf numFmtId="37" fontId="3" fillId="26" borderId="10" xfId="0" applyNumberFormat="1" applyFont="1" applyFill="1" applyBorder="1" applyProtection="1">
      <protection hidden="1"/>
    </xf>
    <xf numFmtId="37" fontId="3" fillId="26" borderId="1" xfId="0" applyNumberFormat="1" applyFont="1" applyFill="1" applyBorder="1" applyProtection="1">
      <protection hidden="1"/>
    </xf>
    <xf numFmtId="37" fontId="3" fillId="28" borderId="10" xfId="0" applyNumberFormat="1" applyFont="1" applyFill="1" applyBorder="1" applyAlignment="1" applyProtection="1">
      <alignment horizontal="right"/>
      <protection hidden="1"/>
    </xf>
    <xf numFmtId="37" fontId="5" fillId="28" borderId="1" xfId="0" applyNumberFormat="1" applyFont="1" applyFill="1" applyBorder="1" applyAlignment="1" applyProtection="1">
      <alignment horizontal="right"/>
      <protection hidden="1"/>
    </xf>
    <xf numFmtId="37" fontId="5" fillId="28" borderId="12" xfId="0" applyNumberFormat="1" applyFont="1" applyFill="1" applyBorder="1" applyAlignment="1" applyProtection="1">
      <alignment horizontal="right"/>
      <protection hidden="1"/>
    </xf>
    <xf numFmtId="37" fontId="3" fillId="26" borderId="40" xfId="0" applyNumberFormat="1" applyFont="1" applyFill="1" applyBorder="1" applyAlignment="1" applyProtection="1">
      <alignment horizontal="right"/>
      <protection hidden="1"/>
    </xf>
    <xf numFmtId="37" fontId="3" fillId="26" borderId="26" xfId="0" applyNumberFormat="1" applyFont="1" applyFill="1" applyBorder="1" applyAlignment="1" applyProtection="1">
      <alignment horizontal="right"/>
      <protection hidden="1"/>
    </xf>
    <xf numFmtId="37" fontId="3" fillId="28" borderId="40" xfId="0" applyNumberFormat="1" applyFont="1" applyFill="1" applyBorder="1" applyAlignment="1" applyProtection="1">
      <alignment horizontal="right"/>
      <protection hidden="1"/>
    </xf>
    <xf numFmtId="37" fontId="5" fillId="28" borderId="26" xfId="0" applyNumberFormat="1" applyFont="1" applyFill="1" applyBorder="1" applyAlignment="1" applyProtection="1">
      <alignment horizontal="right"/>
      <protection hidden="1"/>
    </xf>
    <xf numFmtId="37" fontId="5" fillId="28" borderId="55" xfId="0" applyNumberFormat="1" applyFont="1" applyFill="1" applyBorder="1" applyAlignment="1" applyProtection="1">
      <alignment horizontal="right"/>
      <protection hidden="1"/>
    </xf>
    <xf numFmtId="0" fontId="235" fillId="2" borderId="0" xfId="0" applyFont="1" applyFill="1" applyAlignment="1" applyProtection="1">
      <alignment horizontal="center" vertical="center" wrapText="1"/>
      <protection hidden="1"/>
    </xf>
    <xf numFmtId="37" fontId="3" fillId="26" borderId="26" xfId="0" applyNumberFormat="1" applyFont="1" applyFill="1" applyBorder="1" applyProtection="1">
      <protection hidden="1"/>
    </xf>
    <xf numFmtId="4" fontId="8" fillId="5" borderId="8" xfId="0" applyNumberFormat="1" applyFont="1" applyFill="1" applyBorder="1" applyAlignment="1" applyProtection="1">
      <alignment horizontal="center" vertical="center" textRotation="90"/>
      <protection hidden="1"/>
    </xf>
    <xf numFmtId="4" fontId="35" fillId="5" borderId="0" xfId="0" applyNumberFormat="1" applyFont="1" applyFill="1" applyAlignment="1" applyProtection="1">
      <alignment horizontal="center" vertical="center" textRotation="90"/>
      <protection hidden="1"/>
    </xf>
    <xf numFmtId="37" fontId="3" fillId="16" borderId="3" xfId="0" applyNumberFormat="1" applyFont="1" applyFill="1" applyBorder="1" applyProtection="1">
      <protection hidden="1"/>
    </xf>
    <xf numFmtId="37" fontId="3" fillId="16" borderId="0" xfId="0" applyNumberFormat="1" applyFont="1" applyFill="1" applyProtection="1">
      <protection hidden="1"/>
    </xf>
    <xf numFmtId="4" fontId="7" fillId="22" borderId="0" xfId="0" applyNumberFormat="1" applyFont="1" applyFill="1" applyAlignment="1" applyProtection="1">
      <alignment horizontal="center"/>
      <protection hidden="1"/>
    </xf>
    <xf numFmtId="0" fontId="7" fillId="22" borderId="0" xfId="0" applyFont="1" applyFill="1" applyAlignment="1" applyProtection="1">
      <alignment horizontal="center"/>
      <protection hidden="1"/>
    </xf>
    <xf numFmtId="0" fontId="7" fillId="22" borderId="25" xfId="0" applyFont="1" applyFill="1" applyBorder="1" applyAlignment="1" applyProtection="1">
      <alignment horizontal="center"/>
      <protection hidden="1"/>
    </xf>
    <xf numFmtId="37" fontId="3" fillId="26" borderId="53" xfId="0" applyNumberFormat="1" applyFont="1" applyFill="1" applyBorder="1" applyProtection="1">
      <protection hidden="1"/>
    </xf>
    <xf numFmtId="37" fontId="3" fillId="26" borderId="32" xfId="0" applyNumberFormat="1" applyFont="1" applyFill="1" applyBorder="1" applyProtection="1">
      <protection hidden="1"/>
    </xf>
    <xf numFmtId="37" fontId="3" fillId="26" borderId="74" xfId="0" applyNumberFormat="1" applyFont="1" applyFill="1" applyBorder="1" applyProtection="1">
      <protection hidden="1"/>
    </xf>
    <xf numFmtId="3" fontId="13" fillId="42" borderId="88" xfId="0" applyNumberFormat="1" applyFont="1" applyFill="1" applyBorder="1" applyAlignment="1" applyProtection="1">
      <alignment horizontal="center"/>
      <protection locked="0"/>
    </xf>
    <xf numFmtId="0" fontId="3" fillId="42" borderId="88" xfId="0" applyFont="1" applyFill="1" applyBorder="1"/>
    <xf numFmtId="4" fontId="210" fillId="2" borderId="0" xfId="0" applyNumberFormat="1" applyFont="1" applyFill="1" applyAlignment="1" applyProtection="1">
      <alignment horizontal="center" wrapText="1"/>
      <protection hidden="1"/>
    </xf>
    <xf numFmtId="0" fontId="12" fillId="17" borderId="1" xfId="0" applyFont="1" applyFill="1" applyBorder="1" applyAlignment="1" applyProtection="1">
      <alignment horizontal="left" vertical="center" indent="1"/>
      <protection locked="0"/>
    </xf>
    <xf numFmtId="0" fontId="16" fillId="17" borderId="1" xfId="0" applyFont="1" applyFill="1" applyBorder="1" applyAlignment="1" applyProtection="1">
      <alignment horizontal="left" indent="1"/>
      <protection locked="0"/>
    </xf>
    <xf numFmtId="0" fontId="0" fillId="0" borderId="1" xfId="0" applyBorder="1" applyAlignment="1" applyProtection="1">
      <alignment horizontal="left" indent="1"/>
      <protection locked="0"/>
    </xf>
    <xf numFmtId="0" fontId="0" fillId="0" borderId="12" xfId="0" applyBorder="1" applyAlignment="1" applyProtection="1">
      <alignment horizontal="left" indent="1"/>
      <protection locked="0"/>
    </xf>
    <xf numFmtId="0" fontId="12" fillId="17" borderId="0" xfId="0" applyFont="1" applyFill="1" applyAlignment="1" applyProtection="1">
      <alignment horizontal="left" indent="1"/>
      <protection locked="0"/>
    </xf>
    <xf numFmtId="0" fontId="12" fillId="17" borderId="1" xfId="0" applyFont="1" applyFill="1" applyBorder="1" applyAlignment="1" applyProtection="1">
      <alignment horizontal="left" indent="1"/>
      <protection locked="0"/>
    </xf>
    <xf numFmtId="0" fontId="12" fillId="17" borderId="10" xfId="0" applyFont="1" applyFill="1" applyBorder="1" applyAlignment="1" applyProtection="1">
      <alignment horizontal="left" wrapText="1" indent="1"/>
      <protection locked="0"/>
    </xf>
    <xf numFmtId="0" fontId="0" fillId="0" borderId="1" xfId="0" applyBorder="1" applyAlignment="1" applyProtection="1">
      <alignment horizontal="left" wrapText="1" indent="1"/>
      <protection locked="0"/>
    </xf>
    <xf numFmtId="0" fontId="0" fillId="0" borderId="12" xfId="0" applyBorder="1" applyAlignment="1" applyProtection="1">
      <alignment horizontal="left" wrapText="1" indent="1"/>
      <protection locked="0"/>
    </xf>
    <xf numFmtId="0" fontId="5" fillId="42" borderId="3" xfId="0" applyFont="1" applyFill="1" applyBorder="1" applyAlignment="1" applyProtection="1">
      <alignment horizontal="left" vertical="top" wrapText="1" indent="1"/>
      <protection hidden="1"/>
    </xf>
    <xf numFmtId="0" fontId="5" fillId="42" borderId="0" xfId="0" applyFont="1" applyFill="1" applyAlignment="1" applyProtection="1">
      <alignment horizontal="left" vertical="top" wrapText="1" indent="1"/>
      <protection hidden="1"/>
    </xf>
    <xf numFmtId="0" fontId="12" fillId="17" borderId="25" xfId="0" applyFont="1" applyFill="1" applyBorder="1" applyAlignment="1" applyProtection="1">
      <alignment horizontal="left" indent="1"/>
      <protection locked="0"/>
    </xf>
    <xf numFmtId="0" fontId="12" fillId="17" borderId="12" xfId="0" applyFont="1" applyFill="1" applyBorder="1" applyAlignment="1" applyProtection="1">
      <alignment horizontal="left" indent="1"/>
      <protection locked="0"/>
    </xf>
    <xf numFmtId="0" fontId="12" fillId="17" borderId="3" xfId="0" applyFont="1" applyFill="1" applyBorder="1" applyAlignment="1" applyProtection="1">
      <alignment horizontal="left" indent="1"/>
      <protection locked="0"/>
    </xf>
    <xf numFmtId="0" fontId="12" fillId="17" borderId="10" xfId="0" applyFont="1" applyFill="1" applyBorder="1" applyAlignment="1" applyProtection="1">
      <alignment horizontal="left" indent="1"/>
      <protection locked="0"/>
    </xf>
    <xf numFmtId="0" fontId="12" fillId="17" borderId="3" xfId="0" applyFont="1" applyFill="1" applyBorder="1" applyAlignment="1" applyProtection="1">
      <alignment horizontal="center"/>
      <protection locked="0"/>
    </xf>
    <xf numFmtId="0" fontId="12" fillId="17" borderId="0" xfId="0" applyFont="1" applyFill="1" applyAlignment="1" applyProtection="1">
      <alignment horizontal="center"/>
      <protection locked="0"/>
    </xf>
    <xf numFmtId="0" fontId="12" fillId="17" borderId="25" xfId="0" applyFont="1" applyFill="1" applyBorder="1" applyAlignment="1" applyProtection="1">
      <alignment horizontal="center"/>
      <protection locked="0"/>
    </xf>
    <xf numFmtId="0" fontId="12" fillId="17" borderId="10" xfId="0" applyFont="1" applyFill="1" applyBorder="1" applyAlignment="1" applyProtection="1">
      <alignment horizontal="center"/>
      <protection locked="0"/>
    </xf>
    <xf numFmtId="0" fontId="12" fillId="17" borderId="1" xfId="0" applyFont="1" applyFill="1" applyBorder="1" applyAlignment="1" applyProtection="1">
      <alignment horizontal="center"/>
      <protection locked="0"/>
    </xf>
    <xf numFmtId="0" fontId="12" fillId="17" borderId="12" xfId="0" applyFont="1" applyFill="1" applyBorder="1" applyAlignment="1" applyProtection="1">
      <alignment horizontal="center"/>
      <protection locked="0"/>
    </xf>
    <xf numFmtId="198" fontId="12" fillId="17" borderId="10" xfId="0" applyNumberFormat="1" applyFont="1" applyFill="1" applyBorder="1" applyAlignment="1" applyProtection="1">
      <alignment horizontal="left" indent="1"/>
      <protection locked="0"/>
    </xf>
    <xf numFmtId="198" fontId="12" fillId="17" borderId="1" xfId="0" applyNumberFormat="1" applyFont="1" applyFill="1" applyBorder="1" applyAlignment="1" applyProtection="1">
      <alignment horizontal="left" indent="1"/>
      <protection locked="0"/>
    </xf>
    <xf numFmtId="198" fontId="12" fillId="17" borderId="12" xfId="0" applyNumberFormat="1" applyFont="1" applyFill="1" applyBorder="1" applyAlignment="1" applyProtection="1">
      <alignment horizontal="left" indent="1"/>
      <protection locked="0"/>
    </xf>
    <xf numFmtId="0" fontId="7" fillId="2" borderId="31" xfId="0" applyFont="1" applyFill="1" applyBorder="1" applyAlignment="1" applyProtection="1">
      <alignment horizontal="left" indent="1"/>
      <protection hidden="1"/>
    </xf>
    <xf numFmtId="0" fontId="7" fillId="0" borderId="9" xfId="0" applyFont="1" applyBorder="1" applyAlignment="1">
      <alignment horizontal="left" indent="1"/>
    </xf>
    <xf numFmtId="0" fontId="7" fillId="0" borderId="15" xfId="0" applyFont="1" applyBorder="1" applyAlignment="1">
      <alignment horizontal="left" indent="1"/>
    </xf>
    <xf numFmtId="49" fontId="12" fillId="17" borderId="1" xfId="0" applyNumberFormat="1" applyFont="1" applyFill="1" applyBorder="1" applyAlignment="1" applyProtection="1">
      <alignment horizontal="left" indent="1"/>
      <protection locked="0"/>
    </xf>
    <xf numFmtId="49" fontId="0" fillId="0" borderId="1" xfId="0" applyNumberFormat="1" applyBorder="1" applyAlignment="1" applyProtection="1">
      <alignment horizontal="left" indent="1"/>
      <protection locked="0"/>
    </xf>
    <xf numFmtId="49" fontId="0" fillId="0" borderId="12" xfId="0" applyNumberFormat="1" applyBorder="1" applyAlignment="1" applyProtection="1">
      <alignment horizontal="left" indent="1"/>
      <protection locked="0"/>
    </xf>
    <xf numFmtId="0" fontId="8" fillId="42" borderId="0" xfId="0" applyFont="1" applyFill="1" applyAlignment="1" applyProtection="1">
      <alignment horizontal="left" vertical="center" wrapText="1"/>
      <protection hidden="1"/>
    </xf>
    <xf numFmtId="0" fontId="8" fillId="42" borderId="0" xfId="0" applyFont="1" applyFill="1" applyAlignment="1">
      <alignment horizontal="left" vertical="center" wrapText="1"/>
    </xf>
    <xf numFmtId="0" fontId="3" fillId="42" borderId="40" xfId="0" applyFont="1" applyFill="1" applyBorder="1" applyAlignment="1" applyProtection="1">
      <alignment horizontal="center"/>
      <protection hidden="1"/>
    </xf>
    <xf numFmtId="0" fontId="0" fillId="42" borderId="55" xfId="0" applyFill="1" applyBorder="1"/>
    <xf numFmtId="0" fontId="7" fillId="42" borderId="3" xfId="0" applyFont="1" applyFill="1" applyBorder="1" applyAlignment="1" applyProtection="1">
      <alignment horizontal="left" vertical="center" wrapText="1"/>
      <protection hidden="1"/>
    </xf>
    <xf numFmtId="0" fontId="7" fillId="42" borderId="0" xfId="0" applyFont="1" applyFill="1" applyAlignment="1" applyProtection="1">
      <alignment horizontal="left" vertical="center" wrapText="1"/>
      <protection hidden="1"/>
    </xf>
    <xf numFmtId="0" fontId="7" fillId="42" borderId="25" xfId="0" applyFont="1" applyFill="1" applyBorder="1" applyAlignment="1" applyProtection="1">
      <alignment horizontal="left" vertical="center" wrapText="1"/>
      <protection hidden="1"/>
    </xf>
    <xf numFmtId="0" fontId="7" fillId="42" borderId="1" xfId="0" applyFont="1" applyFill="1" applyBorder="1" applyAlignment="1">
      <alignment horizontal="left" wrapText="1"/>
    </xf>
    <xf numFmtId="0" fontId="7" fillId="42" borderId="12" xfId="0" applyFont="1" applyFill="1" applyBorder="1" applyAlignment="1">
      <alignment horizontal="left" wrapText="1"/>
    </xf>
    <xf numFmtId="0" fontId="12" fillId="16" borderId="9" xfId="0" applyFont="1" applyFill="1" applyBorder="1" applyAlignment="1">
      <alignment horizontal="left" vertical="center"/>
    </xf>
    <xf numFmtId="0" fontId="12" fillId="16" borderId="0" xfId="0" applyFont="1" applyFill="1" applyAlignment="1">
      <alignment horizontal="left" vertical="center"/>
    </xf>
    <xf numFmtId="166" fontId="12" fillId="17" borderId="10" xfId="0" applyNumberFormat="1" applyFont="1" applyFill="1" applyBorder="1" applyAlignment="1" applyProtection="1">
      <alignment horizontal="center"/>
      <protection locked="0"/>
    </xf>
    <xf numFmtId="166" fontId="16" fillId="17" borderId="1" xfId="0" applyNumberFormat="1" applyFont="1" applyFill="1" applyBorder="1" applyAlignment="1" applyProtection="1">
      <alignment horizontal="center"/>
      <protection locked="0"/>
    </xf>
    <xf numFmtId="49" fontId="15" fillId="17" borderId="1" xfId="0" applyNumberFormat="1" applyFont="1" applyFill="1" applyBorder="1" applyAlignment="1" applyProtection="1">
      <alignment horizontal="center"/>
      <protection locked="0"/>
    </xf>
    <xf numFmtId="0" fontId="15" fillId="17" borderId="12" xfId="0" applyFont="1" applyFill="1" applyBorder="1" applyAlignment="1" applyProtection="1">
      <alignment horizontal="center"/>
      <protection locked="0"/>
    </xf>
    <xf numFmtId="0" fontId="5" fillId="16" borderId="6" xfId="0" applyFont="1" applyFill="1" applyBorder="1" applyAlignment="1" applyProtection="1">
      <alignment horizontal="left" vertical="top" wrapText="1"/>
      <protection hidden="1"/>
    </xf>
    <xf numFmtId="0" fontId="0" fillId="0" borderId="0" xfId="0" applyAlignment="1">
      <alignment horizontal="left" vertical="top" wrapText="1"/>
    </xf>
    <xf numFmtId="0" fontId="0" fillId="0" borderId="25" xfId="0" applyBorder="1" applyAlignment="1">
      <alignment horizontal="left" vertical="top" wrapText="1"/>
    </xf>
    <xf numFmtId="0" fontId="0" fillId="0" borderId="6" xfId="0" applyBorder="1" applyAlignment="1">
      <alignment horizontal="left" vertical="top" wrapText="1"/>
    </xf>
    <xf numFmtId="0" fontId="0" fillId="0" borderId="27"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75" fillId="6" borderId="6" xfId="2" applyFill="1" applyBorder="1" applyAlignment="1" applyProtection="1">
      <alignment horizontal="center"/>
      <protection hidden="1"/>
    </xf>
    <xf numFmtId="0" fontId="0" fillId="0" borderId="0" xfId="0" applyAlignment="1">
      <alignment horizontal="center"/>
    </xf>
    <xf numFmtId="4" fontId="3" fillId="2" borderId="3" xfId="0" applyNumberFormat="1" applyFont="1" applyFill="1" applyBorder="1" applyAlignment="1" applyProtection="1">
      <alignment horizontal="left" indent="1"/>
      <protection hidden="1"/>
    </xf>
    <xf numFmtId="4" fontId="3" fillId="2" borderId="0" xfId="0" applyNumberFormat="1" applyFont="1" applyFill="1" applyAlignment="1" applyProtection="1">
      <alignment horizontal="left" indent="1"/>
      <protection hidden="1"/>
    </xf>
    <xf numFmtId="0" fontId="5" fillId="0" borderId="0" xfId="0" applyFont="1" applyAlignment="1">
      <alignment horizontal="left" indent="1"/>
    </xf>
    <xf numFmtId="0" fontId="3" fillId="42" borderId="31" xfId="0" applyFont="1" applyFill="1" applyBorder="1" applyAlignment="1" applyProtection="1">
      <alignment horizontal="center" vertical="center" wrapText="1"/>
      <protection hidden="1"/>
    </xf>
    <xf numFmtId="0" fontId="3" fillId="42" borderId="9" xfId="0" applyFont="1" applyFill="1" applyBorder="1" applyAlignment="1">
      <alignment horizontal="center" vertical="center" wrapText="1"/>
    </xf>
    <xf numFmtId="0" fontId="5" fillId="16" borderId="0" xfId="0" applyFont="1" applyFill="1" applyAlignment="1">
      <alignment horizontal="left" vertical="center" textRotation="90"/>
    </xf>
    <xf numFmtId="0" fontId="5" fillId="16" borderId="14" xfId="0" applyFont="1" applyFill="1" applyBorder="1" applyAlignment="1">
      <alignment horizontal="left" vertical="center"/>
    </xf>
    <xf numFmtId="49" fontId="297" fillId="16" borderId="0" xfId="0" applyNumberFormat="1" applyFont="1" applyFill="1" applyAlignment="1" applyProtection="1">
      <alignment horizontal="center" vertical="center" wrapText="1"/>
      <protection hidden="1"/>
    </xf>
    <xf numFmtId="49" fontId="297" fillId="16" borderId="14" xfId="0" applyNumberFormat="1" applyFont="1" applyFill="1" applyBorder="1" applyAlignment="1" applyProtection="1">
      <alignment horizontal="center" vertical="center" wrapText="1"/>
      <protection hidden="1"/>
    </xf>
    <xf numFmtId="0" fontId="192" fillId="42" borderId="6" xfId="0" applyFont="1" applyFill="1" applyBorder="1" applyAlignment="1" applyProtection="1">
      <alignment horizontal="center"/>
      <protection hidden="1"/>
    </xf>
    <xf numFmtId="0" fontId="192" fillId="42" borderId="0" xfId="0" applyFont="1" applyFill="1" applyAlignment="1">
      <alignment horizontal="center"/>
    </xf>
    <xf numFmtId="0" fontId="10" fillId="42" borderId="10" xfId="0" applyFont="1" applyFill="1" applyBorder="1" applyAlignment="1">
      <alignment horizontal="center" vertical="center" wrapText="1"/>
    </xf>
    <xf numFmtId="0" fontId="0" fillId="42" borderId="1" xfId="0" applyFill="1" applyBorder="1" applyAlignment="1">
      <alignment horizontal="center" vertical="center" wrapText="1"/>
    </xf>
    <xf numFmtId="0" fontId="19" fillId="42" borderId="210" xfId="0" applyFont="1" applyFill="1" applyBorder="1" applyAlignment="1" applyProtection="1">
      <alignment horizontal="center"/>
      <protection hidden="1"/>
    </xf>
    <xf numFmtId="0" fontId="19" fillId="42" borderId="14" xfId="0" applyFont="1" applyFill="1" applyBorder="1" applyAlignment="1">
      <alignment horizontal="center"/>
    </xf>
    <xf numFmtId="0" fontId="10" fillId="42" borderId="36" xfId="0" applyFont="1" applyFill="1" applyBorder="1" applyAlignment="1" applyProtection="1">
      <alignment horizontal="center" wrapText="1"/>
      <protection hidden="1"/>
    </xf>
    <xf numFmtId="0" fontId="10" fillId="42" borderId="14" xfId="0" applyFont="1" applyFill="1" applyBorder="1" applyAlignment="1" applyProtection="1">
      <alignment horizontal="center" wrapText="1"/>
      <protection hidden="1"/>
    </xf>
    <xf numFmtId="0" fontId="10" fillId="42" borderId="162" xfId="0" applyFont="1" applyFill="1" applyBorder="1" applyAlignment="1" applyProtection="1">
      <alignment horizontal="center" wrapText="1"/>
      <protection hidden="1"/>
    </xf>
    <xf numFmtId="1" fontId="297" fillId="42" borderId="3" xfId="0" applyNumberFormat="1" applyFont="1" applyFill="1" applyBorder="1" applyAlignment="1">
      <alignment horizontal="center" vertical="center"/>
    </xf>
    <xf numFmtId="1" fontId="297" fillId="42" borderId="0" xfId="0" applyNumberFormat="1" applyFont="1" applyFill="1" applyAlignment="1">
      <alignment horizontal="center" vertical="center"/>
    </xf>
    <xf numFmtId="1" fontId="297" fillId="42" borderId="25" xfId="0" applyNumberFormat="1" applyFont="1" applyFill="1" applyBorder="1" applyAlignment="1">
      <alignment horizontal="center" vertical="center"/>
    </xf>
    <xf numFmtId="1" fontId="297" fillId="42" borderId="36" xfId="0" applyNumberFormat="1" applyFont="1" applyFill="1" applyBorder="1" applyAlignment="1">
      <alignment horizontal="center" vertical="center"/>
    </xf>
    <xf numFmtId="1" fontId="297" fillId="42" borderId="14" xfId="0" applyNumberFormat="1" applyFont="1" applyFill="1" applyBorder="1" applyAlignment="1">
      <alignment horizontal="center" vertical="center"/>
    </xf>
    <xf numFmtId="1" fontId="297" fillId="42" borderId="18" xfId="0" applyNumberFormat="1" applyFont="1" applyFill="1" applyBorder="1" applyAlignment="1">
      <alignment horizontal="center" vertical="center"/>
    </xf>
    <xf numFmtId="0" fontId="87" fillId="2" borderId="6" xfId="0" applyFont="1" applyFill="1" applyBorder="1" applyAlignment="1" applyProtection="1">
      <alignment horizontal="left" vertical="top"/>
      <protection hidden="1"/>
    </xf>
    <xf numFmtId="0" fontId="19" fillId="0" borderId="0" xfId="0" applyFont="1"/>
    <xf numFmtId="0" fontId="50" fillId="42" borderId="3" xfId="0" applyFont="1" applyFill="1" applyBorder="1" applyAlignment="1" applyProtection="1">
      <alignment horizontal="center" vertical="center" wrapText="1"/>
      <protection hidden="1"/>
    </xf>
    <xf numFmtId="0" fontId="50" fillId="42" borderId="0" xfId="0" applyFont="1" applyFill="1" applyAlignment="1" applyProtection="1">
      <alignment horizontal="center" vertical="center" wrapText="1"/>
      <protection hidden="1"/>
    </xf>
    <xf numFmtId="0" fontId="50" fillId="42" borderId="21" xfId="0" applyFont="1" applyFill="1" applyBorder="1" applyAlignment="1" applyProtection="1">
      <alignment horizontal="center" vertical="center" wrapText="1"/>
      <protection hidden="1"/>
    </xf>
    <xf numFmtId="0" fontId="23" fillId="16" borderId="0" xfId="0" applyFont="1" applyFill="1" applyAlignment="1" applyProtection="1">
      <alignment horizontal="left" vertical="top" wrapText="1"/>
      <protection hidden="1"/>
    </xf>
    <xf numFmtId="4" fontId="3" fillId="2" borderId="31" xfId="0" applyNumberFormat="1" applyFont="1" applyFill="1" applyBorder="1" applyAlignment="1" applyProtection="1">
      <alignment horizontal="left" indent="1"/>
      <protection hidden="1"/>
    </xf>
    <xf numFmtId="4" fontId="3" fillId="2" borderId="9" xfId="0" applyNumberFormat="1" applyFont="1" applyFill="1" applyBorder="1" applyAlignment="1" applyProtection="1">
      <alignment horizontal="left" indent="1"/>
      <protection hidden="1"/>
    </xf>
    <xf numFmtId="0" fontId="5" fillId="0" borderId="9" xfId="0" applyFont="1" applyBorder="1" applyAlignment="1">
      <alignment horizontal="left" indent="1"/>
    </xf>
    <xf numFmtId="4" fontId="125" fillId="16" borderId="0" xfId="0" applyNumberFormat="1" applyFont="1" applyFill="1" applyAlignment="1" applyProtection="1">
      <alignment horizontal="right"/>
      <protection hidden="1"/>
    </xf>
    <xf numFmtId="0" fontId="0" fillId="0" borderId="0" xfId="0" applyAlignment="1" applyProtection="1">
      <alignment horizontal="right"/>
      <protection hidden="1"/>
    </xf>
    <xf numFmtId="37" fontId="3" fillId="26" borderId="10" xfId="0" applyNumberFormat="1" applyFont="1" applyFill="1" applyBorder="1" applyAlignment="1" applyProtection="1">
      <alignment horizontal="right"/>
      <protection hidden="1"/>
    </xf>
    <xf numFmtId="37" fontId="3" fillId="26" borderId="1" xfId="0" applyNumberFormat="1" applyFont="1" applyFill="1" applyBorder="1" applyAlignment="1" applyProtection="1">
      <alignment horizontal="right"/>
      <protection hidden="1"/>
    </xf>
    <xf numFmtId="3" fontId="18" fillId="28" borderId="32" xfId="0" applyNumberFormat="1" applyFont="1" applyFill="1" applyBorder="1" applyProtection="1">
      <protection hidden="1"/>
    </xf>
    <xf numFmtId="37" fontId="3" fillId="17" borderId="40" xfId="0" applyNumberFormat="1" applyFont="1" applyFill="1" applyBorder="1" applyAlignment="1" applyProtection="1">
      <alignment horizontal="right"/>
      <protection locked="0" hidden="1"/>
    </xf>
    <xf numFmtId="37" fontId="3" fillId="17" borderId="26" xfId="0" applyNumberFormat="1" applyFont="1" applyFill="1" applyBorder="1" applyAlignment="1" applyProtection="1">
      <alignment horizontal="right"/>
      <protection locked="0" hidden="1"/>
    </xf>
    <xf numFmtId="4" fontId="184" fillId="16" borderId="31" xfId="0" applyNumberFormat="1" applyFont="1" applyFill="1" applyBorder="1" applyAlignment="1" applyProtection="1">
      <alignment horizontal="center" vertical="center" wrapText="1"/>
      <protection hidden="1"/>
    </xf>
    <xf numFmtId="4" fontId="184" fillId="16" borderId="9" xfId="0" applyNumberFormat="1" applyFont="1" applyFill="1" applyBorder="1" applyAlignment="1" applyProtection="1">
      <alignment horizontal="center" vertical="center" wrapText="1"/>
      <protection hidden="1"/>
    </xf>
    <xf numFmtId="4" fontId="184" fillId="16" borderId="3" xfId="0" applyNumberFormat="1" applyFont="1" applyFill="1" applyBorder="1" applyAlignment="1" applyProtection="1">
      <alignment horizontal="center" vertical="center" wrapText="1"/>
      <protection hidden="1"/>
    </xf>
    <xf numFmtId="4" fontId="184" fillId="16" borderId="0" xfId="0" applyNumberFormat="1" applyFont="1" applyFill="1" applyAlignment="1" applyProtection="1">
      <alignment horizontal="center" vertical="center" wrapText="1"/>
      <protection hidden="1"/>
    </xf>
    <xf numFmtId="4" fontId="184" fillId="16" borderId="25" xfId="0" applyNumberFormat="1" applyFont="1" applyFill="1" applyBorder="1" applyAlignment="1" applyProtection="1">
      <alignment horizontal="center" vertical="center" wrapText="1"/>
      <protection hidden="1"/>
    </xf>
    <xf numFmtId="4" fontId="184" fillId="16" borderId="10" xfId="0" applyNumberFormat="1" applyFont="1" applyFill="1" applyBorder="1" applyAlignment="1" applyProtection="1">
      <alignment horizontal="center" vertical="center" wrapText="1"/>
      <protection hidden="1"/>
    </xf>
    <xf numFmtId="4" fontId="184" fillId="16" borderId="1" xfId="0" applyNumberFormat="1" applyFont="1" applyFill="1" applyBorder="1" applyAlignment="1" applyProtection="1">
      <alignment horizontal="center" vertical="center" wrapText="1"/>
      <protection hidden="1"/>
    </xf>
    <xf numFmtId="4" fontId="184" fillId="16" borderId="12" xfId="0" applyNumberFormat="1" applyFont="1" applyFill="1" applyBorder="1" applyAlignment="1" applyProtection="1">
      <alignment horizontal="center" vertical="center" wrapText="1"/>
      <protection hidden="1"/>
    </xf>
    <xf numFmtId="4" fontId="235" fillId="16" borderId="0" xfId="0" applyNumberFormat="1" applyFont="1" applyFill="1" applyAlignment="1" applyProtection="1">
      <alignment horizontal="center"/>
      <protection hidden="1"/>
    </xf>
    <xf numFmtId="0" fontId="234" fillId="0" borderId="0" xfId="0" applyFont="1" applyAlignment="1" applyProtection="1">
      <alignment horizontal="center"/>
      <protection hidden="1"/>
    </xf>
    <xf numFmtId="0" fontId="234" fillId="0" borderId="25" xfId="0" applyFont="1" applyBorder="1" applyAlignment="1" applyProtection="1">
      <alignment horizontal="center"/>
      <protection hidden="1"/>
    </xf>
    <xf numFmtId="4" fontId="13" fillId="16" borderId="0" xfId="0" applyNumberFormat="1" applyFont="1" applyFill="1" applyAlignment="1" applyProtection="1">
      <alignment vertical="center"/>
      <protection hidden="1"/>
    </xf>
    <xf numFmtId="0" fontId="3" fillId="0" borderId="0" xfId="0" applyFont="1" applyAlignment="1" applyProtection="1">
      <alignment vertical="center"/>
      <protection hidden="1"/>
    </xf>
    <xf numFmtId="4" fontId="234" fillId="2" borderId="0" xfId="0" applyNumberFormat="1" applyFont="1" applyFill="1" applyAlignment="1" applyProtection="1">
      <alignment horizontal="center"/>
      <protection hidden="1"/>
    </xf>
    <xf numFmtId="4" fontId="234" fillId="2" borderId="0" xfId="0" applyNumberFormat="1" applyFont="1" applyFill="1" applyAlignment="1" applyProtection="1">
      <alignment horizontal="left"/>
      <protection hidden="1"/>
    </xf>
    <xf numFmtId="4" fontId="234" fillId="2" borderId="25" xfId="0" applyNumberFormat="1" applyFont="1" applyFill="1" applyBorder="1" applyAlignment="1" applyProtection="1">
      <alignment horizontal="left"/>
      <protection hidden="1"/>
    </xf>
    <xf numFmtId="49" fontId="8" fillId="17" borderId="213" xfId="0" quotePrefix="1" applyNumberFormat="1" applyFont="1" applyFill="1" applyBorder="1" applyAlignment="1" applyProtection="1">
      <alignment horizontal="center" vertical="center"/>
      <protection locked="0"/>
    </xf>
    <xf numFmtId="49" fontId="8" fillId="17" borderId="88" xfId="0" quotePrefix="1" applyNumberFormat="1" applyFont="1" applyFill="1" applyBorder="1" applyAlignment="1" applyProtection="1">
      <alignment horizontal="center" vertical="center"/>
      <protection locked="0"/>
    </xf>
    <xf numFmtId="0" fontId="5" fillId="26" borderId="1" xfId="0" applyFont="1" applyFill="1" applyBorder="1"/>
    <xf numFmtId="0" fontId="23" fillId="42" borderId="8" xfId="0" applyFont="1" applyFill="1" applyBorder="1" applyAlignment="1">
      <alignment horizontal="right"/>
    </xf>
    <xf numFmtId="0" fontId="0" fillId="42" borderId="0" xfId="0" applyFill="1"/>
    <xf numFmtId="49" fontId="8" fillId="17" borderId="32" xfId="0" applyNumberFormat="1" applyFont="1" applyFill="1" applyBorder="1" applyAlignment="1" applyProtection="1">
      <alignment horizontal="left" indent="1"/>
      <protection locked="0"/>
    </xf>
    <xf numFmtId="49" fontId="8" fillId="17" borderId="74" xfId="0" applyNumberFormat="1" applyFont="1" applyFill="1" applyBorder="1" applyAlignment="1" applyProtection="1">
      <alignment horizontal="left" indent="1"/>
      <protection locked="0"/>
    </xf>
    <xf numFmtId="4" fontId="141" fillId="16" borderId="0" xfId="0" applyNumberFormat="1" applyFont="1" applyFill="1" applyProtection="1">
      <protection hidden="1"/>
    </xf>
    <xf numFmtId="0" fontId="141" fillId="0" borderId="0" xfId="0" applyFont="1" applyProtection="1">
      <protection hidden="1"/>
    </xf>
    <xf numFmtId="3" fontId="157" fillId="16" borderId="0" xfId="0" applyNumberFormat="1" applyFont="1" applyFill="1" applyAlignment="1" applyProtection="1">
      <alignment horizontal="center"/>
      <protection hidden="1"/>
    </xf>
    <xf numFmtId="3" fontId="129" fillId="0" borderId="0" xfId="0" applyNumberFormat="1" applyFont="1" applyAlignment="1" applyProtection="1">
      <alignment horizontal="center"/>
      <protection hidden="1"/>
    </xf>
    <xf numFmtId="37" fontId="12" fillId="17" borderId="1" xfId="0" applyNumberFormat="1" applyFont="1" applyFill="1" applyBorder="1" applyProtection="1">
      <protection locked="0"/>
    </xf>
    <xf numFmtId="37" fontId="12" fillId="0" borderId="1" xfId="0" applyNumberFormat="1" applyFont="1" applyBorder="1"/>
    <xf numFmtId="0" fontId="12" fillId="2" borderId="9" xfId="0" applyFont="1" applyFill="1" applyBorder="1" applyAlignment="1" applyProtection="1">
      <alignment horizontal="left" vertical="center" wrapText="1"/>
      <protection hidden="1"/>
    </xf>
    <xf numFmtId="0" fontId="12" fillId="2" borderId="5" xfId="0" applyFont="1" applyFill="1" applyBorder="1" applyAlignment="1" applyProtection="1">
      <alignment horizontal="left" vertical="center" wrapText="1"/>
      <protection hidden="1"/>
    </xf>
    <xf numFmtId="0" fontId="3" fillId="17" borderId="1" xfId="0" applyFont="1" applyFill="1" applyBorder="1" applyAlignment="1" applyProtection="1">
      <alignment horizontal="left" vertical="center" indent="1"/>
      <protection locked="0"/>
    </xf>
    <xf numFmtId="37" fontId="3" fillId="26" borderId="12" xfId="0" applyNumberFormat="1" applyFont="1" applyFill="1" applyBorder="1" applyProtection="1">
      <protection hidden="1"/>
    </xf>
    <xf numFmtId="6" fontId="10" fillId="2" borderId="70" xfId="0" applyNumberFormat="1" applyFont="1" applyFill="1" applyBorder="1" applyAlignment="1" applyProtection="1">
      <alignment horizontal="right"/>
      <protection hidden="1"/>
    </xf>
    <xf numFmtId="6" fontId="10" fillId="2" borderId="5" xfId="0" applyNumberFormat="1" applyFont="1" applyFill="1" applyBorder="1" applyAlignment="1" applyProtection="1">
      <alignment horizontal="right"/>
      <protection hidden="1"/>
    </xf>
    <xf numFmtId="6" fontId="10" fillId="2" borderId="71" xfId="0" applyNumberFormat="1" applyFont="1" applyFill="1" applyBorder="1" applyAlignment="1" applyProtection="1">
      <alignment horizontal="right"/>
      <protection hidden="1"/>
    </xf>
    <xf numFmtId="0" fontId="10" fillId="2" borderId="31" xfId="0" applyFont="1" applyFill="1" applyBorder="1" applyAlignment="1" applyProtection="1">
      <alignment horizontal="center" vertical="center" wrapText="1"/>
      <protection hidden="1"/>
    </xf>
    <xf numFmtId="0" fontId="10" fillId="2" borderId="9" xfId="0" applyFont="1" applyFill="1" applyBorder="1" applyAlignment="1" applyProtection="1">
      <alignment horizontal="center" vertical="center" wrapText="1"/>
      <protection hidden="1"/>
    </xf>
    <xf numFmtId="0" fontId="10" fillId="2" borderId="3" xfId="0" applyFont="1" applyFill="1" applyBorder="1" applyAlignment="1" applyProtection="1">
      <alignment horizontal="center" vertical="center" wrapText="1"/>
      <protection hidden="1"/>
    </xf>
    <xf numFmtId="0" fontId="10" fillId="2" borderId="0" xfId="0" applyFont="1" applyFill="1" applyAlignment="1" applyProtection="1">
      <alignment horizontal="center" vertical="center" wrapText="1"/>
      <protection hidden="1"/>
    </xf>
    <xf numFmtId="0" fontId="10" fillId="2" borderId="10" xfId="0" applyFont="1" applyFill="1" applyBorder="1" applyAlignment="1" applyProtection="1">
      <alignment horizontal="center" vertical="center" wrapText="1"/>
      <protection hidden="1"/>
    </xf>
    <xf numFmtId="0" fontId="10" fillId="2" borderId="1" xfId="0" applyFont="1" applyFill="1" applyBorder="1" applyAlignment="1" applyProtection="1">
      <alignment horizontal="center" vertical="center" wrapText="1"/>
      <protection hidden="1"/>
    </xf>
    <xf numFmtId="37" fontId="3" fillId="17" borderId="40" xfId="0" applyNumberFormat="1" applyFont="1" applyFill="1" applyBorder="1" applyAlignment="1" applyProtection="1">
      <alignment horizontal="right"/>
      <protection locked="0"/>
    </xf>
    <xf numFmtId="37" fontId="3" fillId="17" borderId="26" xfId="0" applyNumberFormat="1" applyFont="1" applyFill="1" applyBorder="1" applyAlignment="1" applyProtection="1">
      <alignment horizontal="right"/>
      <protection locked="0"/>
    </xf>
    <xf numFmtId="37" fontId="3" fillId="17" borderId="55" xfId="0" applyNumberFormat="1" applyFont="1" applyFill="1" applyBorder="1" applyAlignment="1" applyProtection="1">
      <alignment horizontal="right"/>
      <protection locked="0"/>
    </xf>
    <xf numFmtId="37" fontId="3" fillId="17" borderId="10" xfId="0" applyNumberFormat="1" applyFont="1" applyFill="1" applyBorder="1" applyAlignment="1" applyProtection="1">
      <alignment horizontal="right"/>
      <protection locked="0"/>
    </xf>
    <xf numFmtId="37" fontId="3" fillId="17" borderId="1" xfId="0" applyNumberFormat="1" applyFont="1" applyFill="1" applyBorder="1" applyAlignment="1" applyProtection="1">
      <alignment horizontal="right"/>
      <protection locked="0"/>
    </xf>
    <xf numFmtId="37" fontId="3" fillId="17" borderId="12" xfId="0" applyNumberFormat="1" applyFont="1" applyFill="1" applyBorder="1" applyAlignment="1" applyProtection="1">
      <alignment horizontal="right"/>
      <protection locked="0"/>
    </xf>
    <xf numFmtId="0" fontId="7" fillId="42" borderId="31" xfId="0" applyFont="1" applyFill="1" applyBorder="1" applyAlignment="1">
      <alignment horizontal="center" vertical="center" wrapText="1"/>
    </xf>
    <xf numFmtId="0" fontId="7" fillId="42" borderId="9" xfId="0" applyFont="1" applyFill="1" applyBorder="1" applyAlignment="1">
      <alignment horizontal="center" vertical="center"/>
    </xf>
    <xf numFmtId="0" fontId="7" fillId="42" borderId="15" xfId="0" applyFont="1" applyFill="1" applyBorder="1" applyAlignment="1">
      <alignment horizontal="center" vertical="center"/>
    </xf>
    <xf numFmtId="0" fontId="7" fillId="42" borderId="3" xfId="0" applyFont="1" applyFill="1" applyBorder="1" applyAlignment="1">
      <alignment horizontal="center" vertical="center"/>
    </xf>
    <xf numFmtId="0" fontId="7" fillId="42" borderId="0" xfId="0" applyFont="1" applyFill="1" applyAlignment="1">
      <alignment horizontal="center" vertical="center"/>
    </xf>
    <xf numFmtId="0" fontId="7" fillId="42" borderId="25" xfId="0" applyFont="1" applyFill="1" applyBorder="1" applyAlignment="1">
      <alignment horizontal="center" vertical="center"/>
    </xf>
    <xf numFmtId="0" fontId="7" fillId="42" borderId="10" xfId="0" applyFont="1" applyFill="1" applyBorder="1" applyAlignment="1">
      <alignment horizontal="center" vertical="center"/>
    </xf>
    <xf numFmtId="0" fontId="7" fillId="42" borderId="1" xfId="0" applyFont="1" applyFill="1" applyBorder="1" applyAlignment="1">
      <alignment horizontal="center" vertical="center"/>
    </xf>
    <xf numFmtId="0" fontId="7" fillId="42" borderId="12" xfId="0" applyFont="1" applyFill="1" applyBorder="1" applyAlignment="1">
      <alignment horizontal="center" vertical="center"/>
    </xf>
    <xf numFmtId="0" fontId="5" fillId="42" borderId="31" xfId="0" applyFont="1" applyFill="1" applyBorder="1" applyAlignment="1">
      <alignment horizontal="center" vertical="center" wrapText="1"/>
    </xf>
    <xf numFmtId="0" fontId="5" fillId="42" borderId="9" xfId="0" applyFont="1" applyFill="1" applyBorder="1" applyAlignment="1">
      <alignment horizontal="center" vertical="center"/>
    </xf>
    <xf numFmtId="0" fontId="5" fillId="42" borderId="15" xfId="0" applyFont="1" applyFill="1" applyBorder="1" applyAlignment="1">
      <alignment horizontal="center" vertical="center"/>
    </xf>
    <xf numFmtId="0" fontId="5" fillId="42" borderId="3" xfId="0" applyFont="1" applyFill="1" applyBorder="1" applyAlignment="1">
      <alignment horizontal="center" vertical="center"/>
    </xf>
    <xf numFmtId="0" fontId="5" fillId="42" borderId="0" xfId="0" applyFont="1" applyFill="1" applyAlignment="1">
      <alignment horizontal="center" vertical="center"/>
    </xf>
    <xf numFmtId="0" fontId="5" fillId="42" borderId="25" xfId="0" applyFont="1" applyFill="1" applyBorder="1" applyAlignment="1">
      <alignment horizontal="center" vertical="center"/>
    </xf>
    <xf numFmtId="0" fontId="5" fillId="42" borderId="10" xfId="0" applyFont="1" applyFill="1" applyBorder="1" applyAlignment="1">
      <alignment horizontal="center" vertical="center"/>
    </xf>
    <xf numFmtId="0" fontId="5" fillId="42" borderId="1" xfId="0" applyFont="1" applyFill="1" applyBorder="1" applyAlignment="1">
      <alignment horizontal="center" vertical="center"/>
    </xf>
    <xf numFmtId="0" fontId="5" fillId="42" borderId="12" xfId="0" applyFont="1" applyFill="1" applyBorder="1" applyAlignment="1">
      <alignment horizontal="center" vertical="center"/>
    </xf>
    <xf numFmtId="0" fontId="18" fillId="16" borderId="0" xfId="0" applyFont="1" applyFill="1" applyAlignment="1">
      <alignment horizontal="left" vertical="center"/>
    </xf>
    <xf numFmtId="0" fontId="5" fillId="16" borderId="0" xfId="0" applyFont="1" applyFill="1" applyAlignment="1" applyProtection="1">
      <alignment horizontal="left" vertical="center" wrapText="1"/>
      <protection locked="0"/>
    </xf>
    <xf numFmtId="0" fontId="3" fillId="42" borderId="3" xfId="0" applyFont="1" applyFill="1" applyBorder="1" applyAlignment="1" applyProtection="1">
      <alignment horizontal="center"/>
      <protection hidden="1"/>
    </xf>
    <xf numFmtId="0" fontId="0" fillId="42" borderId="25" xfId="0" applyFill="1" applyBorder="1"/>
    <xf numFmtId="0" fontId="3" fillId="42" borderId="0" xfId="0" applyFont="1" applyFill="1" applyAlignment="1" applyProtection="1">
      <alignment horizontal="center" vertical="center"/>
      <protection hidden="1"/>
    </xf>
    <xf numFmtId="0" fontId="0" fillId="42" borderId="25" xfId="0" applyFill="1" applyBorder="1" applyAlignment="1">
      <alignment horizontal="center" vertical="center"/>
    </xf>
    <xf numFmtId="0" fontId="5" fillId="26" borderId="32" xfId="0" applyFont="1" applyFill="1" applyBorder="1"/>
    <xf numFmtId="37" fontId="3" fillId="26" borderId="53" xfId="0" applyNumberFormat="1" applyFont="1" applyFill="1" applyBorder="1" applyAlignment="1" applyProtection="1">
      <alignment horizontal="right"/>
      <protection hidden="1"/>
    </xf>
    <xf numFmtId="37" fontId="3" fillId="26" borderId="32" xfId="0" applyNumberFormat="1" applyFont="1" applyFill="1" applyBorder="1" applyAlignment="1" applyProtection="1">
      <alignment horizontal="right"/>
      <protection hidden="1"/>
    </xf>
    <xf numFmtId="0" fontId="3" fillId="28" borderId="26" xfId="0" applyFont="1" applyFill="1" applyBorder="1" applyAlignment="1" applyProtection="1">
      <alignment horizontal="left" vertical="center"/>
      <protection hidden="1"/>
    </xf>
    <xf numFmtId="0" fontId="3" fillId="28" borderId="55" xfId="0" applyFont="1" applyFill="1" applyBorder="1" applyAlignment="1" applyProtection="1">
      <alignment horizontal="left" vertical="center"/>
      <protection hidden="1"/>
    </xf>
    <xf numFmtId="0" fontId="3" fillId="28" borderId="205" xfId="0" applyFont="1" applyFill="1" applyBorder="1" applyAlignment="1" applyProtection="1">
      <alignment horizontal="left" vertical="center"/>
      <protection hidden="1"/>
    </xf>
    <xf numFmtId="0" fontId="3" fillId="28" borderId="100" xfId="0" applyFont="1" applyFill="1" applyBorder="1" applyAlignment="1" applyProtection="1">
      <alignment horizontal="left" vertical="center"/>
      <protection hidden="1"/>
    </xf>
    <xf numFmtId="0" fontId="3" fillId="28" borderId="212" xfId="0" applyFont="1" applyFill="1" applyBorder="1" applyAlignment="1" applyProtection="1">
      <alignment horizontal="left" vertical="center"/>
      <protection hidden="1"/>
    </xf>
    <xf numFmtId="0" fontId="5" fillId="16" borderId="14" xfId="0" applyFont="1" applyFill="1" applyBorder="1" applyAlignment="1" applyProtection="1">
      <alignment horizontal="left" vertical="center" wrapText="1"/>
      <protection locked="0"/>
    </xf>
    <xf numFmtId="4" fontId="235" fillId="16" borderId="0" xfId="0" applyNumberFormat="1" applyFont="1" applyFill="1" applyAlignment="1" applyProtection="1">
      <alignment horizontal="left"/>
      <protection hidden="1"/>
    </xf>
    <xf numFmtId="0" fontId="234" fillId="0" borderId="0" xfId="0" applyFont="1" applyAlignment="1" applyProtection="1">
      <alignment horizontal="left"/>
      <protection hidden="1"/>
    </xf>
    <xf numFmtId="0" fontId="234" fillId="0" borderId="25" xfId="0" applyFont="1" applyBorder="1" applyAlignment="1" applyProtection="1">
      <alignment horizontal="left"/>
      <protection hidden="1"/>
    </xf>
    <xf numFmtId="4" fontId="85" fillId="2" borderId="0" xfId="0" applyNumberFormat="1" applyFont="1" applyFill="1" applyAlignment="1" applyProtection="1">
      <alignment vertical="center"/>
      <protection hidden="1"/>
    </xf>
    <xf numFmtId="0" fontId="10" fillId="0" borderId="0" xfId="0" applyFont="1" applyAlignment="1" applyProtection="1">
      <alignment vertical="center"/>
      <protection hidden="1"/>
    </xf>
    <xf numFmtId="4" fontId="189" fillId="16" borderId="31" xfId="0" applyNumberFormat="1" applyFont="1" applyFill="1" applyBorder="1" applyAlignment="1" applyProtection="1">
      <alignment horizontal="center" vertical="top" wrapText="1"/>
      <protection hidden="1"/>
    </xf>
    <xf numFmtId="4" fontId="189" fillId="16" borderId="9" xfId="0" applyNumberFormat="1" applyFont="1" applyFill="1" applyBorder="1" applyAlignment="1" applyProtection="1">
      <alignment horizontal="center" vertical="top" wrapText="1"/>
      <protection hidden="1"/>
    </xf>
    <xf numFmtId="4" fontId="189" fillId="16" borderId="15" xfId="0" applyNumberFormat="1" applyFont="1" applyFill="1" applyBorder="1" applyAlignment="1" applyProtection="1">
      <alignment horizontal="center" vertical="top" wrapText="1"/>
      <protection hidden="1"/>
    </xf>
    <xf numFmtId="4" fontId="189" fillId="16" borderId="3" xfId="0" applyNumberFormat="1" applyFont="1" applyFill="1" applyBorder="1" applyAlignment="1" applyProtection="1">
      <alignment horizontal="center" vertical="top" wrapText="1"/>
      <protection hidden="1"/>
    </xf>
    <xf numFmtId="4" fontId="189" fillId="16" borderId="0" xfId="0" applyNumberFormat="1" applyFont="1" applyFill="1" applyAlignment="1" applyProtection="1">
      <alignment horizontal="center" vertical="top" wrapText="1"/>
      <protection hidden="1"/>
    </xf>
    <xf numFmtId="4" fontId="189" fillId="16" borderId="25" xfId="0" applyNumberFormat="1" applyFont="1" applyFill="1" applyBorder="1" applyAlignment="1" applyProtection="1">
      <alignment horizontal="center" vertical="top" wrapText="1"/>
      <protection hidden="1"/>
    </xf>
    <xf numFmtId="4" fontId="189" fillId="16" borderId="10" xfId="0" applyNumberFormat="1" applyFont="1" applyFill="1" applyBorder="1" applyAlignment="1" applyProtection="1">
      <alignment horizontal="center" vertical="top" wrapText="1"/>
      <protection hidden="1"/>
    </xf>
    <xf numFmtId="4" fontId="189" fillId="16" borderId="1" xfId="0" applyNumberFormat="1" applyFont="1" applyFill="1" applyBorder="1" applyAlignment="1" applyProtection="1">
      <alignment horizontal="center" vertical="top" wrapText="1"/>
      <protection hidden="1"/>
    </xf>
    <xf numFmtId="4" fontId="189" fillId="16" borderId="12" xfId="0" applyNumberFormat="1" applyFont="1" applyFill="1" applyBorder="1" applyAlignment="1" applyProtection="1">
      <alignment horizontal="center" vertical="top" wrapText="1"/>
      <protection hidden="1"/>
    </xf>
    <xf numFmtId="37" fontId="3" fillId="26" borderId="57" xfId="0" applyNumberFormat="1" applyFont="1" applyFill="1" applyBorder="1" applyAlignment="1" applyProtection="1">
      <alignment horizontal="right"/>
      <protection hidden="1"/>
    </xf>
    <xf numFmtId="37" fontId="3" fillId="26" borderId="8" xfId="0" applyNumberFormat="1" applyFont="1" applyFill="1" applyBorder="1" applyAlignment="1" applyProtection="1">
      <alignment horizontal="right"/>
      <protection hidden="1"/>
    </xf>
    <xf numFmtId="0" fontId="234" fillId="0" borderId="0" xfId="0" applyFont="1" applyAlignment="1">
      <alignment wrapText="1"/>
    </xf>
    <xf numFmtId="0" fontId="234" fillId="0" borderId="25" xfId="0" applyFont="1" applyBorder="1" applyAlignment="1">
      <alignment wrapText="1"/>
    </xf>
    <xf numFmtId="0" fontId="125" fillId="42" borderId="31" xfId="0" applyFont="1" applyFill="1" applyBorder="1" applyAlignment="1" applyProtection="1">
      <alignment horizontal="center" vertical="center"/>
      <protection hidden="1"/>
    </xf>
    <xf numFmtId="0" fontId="125" fillId="42" borderId="9" xfId="0" applyFont="1" applyFill="1" applyBorder="1" applyAlignment="1" applyProtection="1">
      <alignment horizontal="center" vertical="center"/>
      <protection hidden="1"/>
    </xf>
    <xf numFmtId="0" fontId="125" fillId="42" borderId="15" xfId="0" applyFont="1" applyFill="1" applyBorder="1" applyAlignment="1" applyProtection="1">
      <alignment horizontal="center" vertical="center"/>
      <protection hidden="1"/>
    </xf>
    <xf numFmtId="0" fontId="3" fillId="0" borderId="0" xfId="0" applyFont="1" applyAlignment="1">
      <alignment horizontal="center" wrapText="1"/>
    </xf>
    <xf numFmtId="0" fontId="3" fillId="0" borderId="0" xfId="0" applyFont="1" applyAlignment="1">
      <alignment horizontal="center"/>
    </xf>
    <xf numFmtId="0" fontId="3" fillId="42" borderId="31" xfId="0" applyFont="1" applyFill="1" applyBorder="1" applyAlignment="1">
      <alignment horizontal="center" vertical="center" wrapText="1"/>
    </xf>
    <xf numFmtId="0" fontId="3" fillId="42" borderId="3" xfId="0" applyFont="1" applyFill="1" applyBorder="1" applyAlignment="1">
      <alignment horizontal="center" vertical="center" wrapText="1"/>
    </xf>
    <xf numFmtId="0" fontId="3" fillId="42" borderId="10" xfId="0" applyFont="1" applyFill="1" applyBorder="1" applyAlignment="1">
      <alignment horizontal="center" vertical="center" wrapText="1"/>
    </xf>
    <xf numFmtId="0" fontId="3" fillId="0" borderId="0" xfId="0" applyFont="1" applyAlignment="1">
      <alignment horizontal="center" textRotation="90"/>
    </xf>
    <xf numFmtId="182" fontId="3" fillId="17" borderId="40" xfId="0" applyNumberFormat="1" applyFont="1" applyFill="1" applyBorder="1" applyAlignment="1" applyProtection="1">
      <alignment horizontal="center" vertical="center"/>
      <protection locked="0"/>
    </xf>
    <xf numFmtId="182" fontId="3" fillId="0" borderId="26" xfId="0" applyNumberFormat="1" applyFont="1" applyBorder="1" applyAlignment="1" applyProtection="1">
      <alignment horizontal="center" vertical="center"/>
      <protection locked="0"/>
    </xf>
    <xf numFmtId="182" fontId="3" fillId="0" borderId="55" xfId="0" applyNumberFormat="1" applyFont="1" applyBorder="1" applyAlignment="1" applyProtection="1">
      <alignment horizontal="center" vertical="center"/>
      <protection locked="0"/>
    </xf>
    <xf numFmtId="182" fontId="3" fillId="17" borderId="205" xfId="0" applyNumberFormat="1" applyFont="1" applyFill="1" applyBorder="1" applyAlignment="1" applyProtection="1">
      <alignment horizontal="center" vertical="center"/>
      <protection locked="0"/>
    </xf>
    <xf numFmtId="182" fontId="3" fillId="0" borderId="100" xfId="0" applyNumberFormat="1" applyFont="1" applyBorder="1" applyAlignment="1" applyProtection="1">
      <alignment horizontal="center" vertical="center"/>
      <protection locked="0"/>
    </xf>
    <xf numFmtId="182" fontId="3" fillId="0" borderId="212" xfId="0" applyNumberFormat="1" applyFont="1" applyBorder="1" applyAlignment="1" applyProtection="1">
      <alignment horizontal="center" vertical="center"/>
      <protection locked="0"/>
    </xf>
    <xf numFmtId="0" fontId="168" fillId="24" borderId="0" xfId="0" applyFont="1" applyFill="1" applyAlignment="1">
      <alignment horizontal="center" vertical="center" wrapText="1"/>
    </xf>
    <xf numFmtId="0" fontId="168" fillId="24" borderId="1" xfId="0" applyFont="1" applyFill="1" applyBorder="1" applyAlignment="1">
      <alignment horizontal="center" vertical="center" wrapText="1"/>
    </xf>
    <xf numFmtId="0" fontId="3" fillId="17" borderId="205" xfId="0" applyFont="1" applyFill="1" applyBorder="1" applyAlignment="1" applyProtection="1">
      <alignment horizontal="left" vertical="center"/>
      <protection locked="0"/>
    </xf>
    <xf numFmtId="0" fontId="3" fillId="17" borderId="100" xfId="0" applyFont="1" applyFill="1" applyBorder="1" applyAlignment="1" applyProtection="1">
      <alignment horizontal="left" vertical="center"/>
      <protection locked="0"/>
    </xf>
    <xf numFmtId="0" fontId="3" fillId="17" borderId="212" xfId="0" applyFont="1" applyFill="1" applyBorder="1" applyAlignment="1" applyProtection="1">
      <alignment horizontal="left" vertical="center"/>
      <protection locked="0"/>
    </xf>
    <xf numFmtId="166" fontId="3" fillId="17" borderId="205" xfId="0" applyNumberFormat="1" applyFont="1" applyFill="1" applyBorder="1" applyAlignment="1" applyProtection="1">
      <alignment horizontal="center" vertical="center"/>
      <protection locked="0"/>
    </xf>
    <xf numFmtId="166" fontId="3" fillId="0" borderId="100" xfId="0" applyNumberFormat="1" applyFont="1" applyBorder="1" applyAlignment="1" applyProtection="1">
      <alignment horizontal="center" vertical="center"/>
      <protection locked="0"/>
    </xf>
    <xf numFmtId="166" fontId="3" fillId="0" borderId="212" xfId="0" applyNumberFormat="1" applyFont="1" applyBorder="1" applyAlignment="1" applyProtection="1">
      <alignment horizontal="center" vertical="center"/>
      <protection locked="0"/>
    </xf>
    <xf numFmtId="0" fontId="3" fillId="17" borderId="205" xfId="0" applyFont="1" applyFill="1" applyBorder="1" applyAlignment="1" applyProtection="1">
      <alignment horizontal="center" vertical="center"/>
      <protection locked="0"/>
    </xf>
    <xf numFmtId="0" fontId="3" fillId="0" borderId="100" xfId="0" applyFont="1" applyBorder="1" applyAlignment="1" applyProtection="1">
      <alignment horizontal="center" vertical="center"/>
      <protection locked="0"/>
    </xf>
    <xf numFmtId="0" fontId="3" fillId="0" borderId="212" xfId="0" applyFont="1" applyBorder="1" applyAlignment="1" applyProtection="1">
      <alignment horizontal="center" vertical="center"/>
      <protection locked="0"/>
    </xf>
    <xf numFmtId="0" fontId="3" fillId="17" borderId="26" xfId="0" applyFont="1" applyFill="1" applyBorder="1" applyAlignment="1" applyProtection="1">
      <alignment horizontal="left" vertical="center"/>
      <protection locked="0"/>
    </xf>
    <xf numFmtId="0" fontId="3" fillId="17" borderId="40" xfId="0" applyFont="1" applyFill="1" applyBorder="1" applyAlignment="1" applyProtection="1">
      <alignment horizontal="left" vertical="center"/>
      <protection locked="0"/>
    </xf>
    <xf numFmtId="0" fontId="3" fillId="17" borderId="55" xfId="0" applyFont="1" applyFill="1" applyBorder="1" applyAlignment="1" applyProtection="1">
      <alignment horizontal="left" vertical="center"/>
      <protection locked="0"/>
    </xf>
    <xf numFmtId="166" fontId="3" fillId="17" borderId="40" xfId="0" applyNumberFormat="1" applyFont="1" applyFill="1" applyBorder="1" applyAlignment="1" applyProtection="1">
      <alignment horizontal="center" vertical="center"/>
      <protection locked="0"/>
    </xf>
    <xf numFmtId="166" fontId="3" fillId="0" borderId="26" xfId="0" applyNumberFormat="1" applyFont="1" applyBorder="1" applyAlignment="1" applyProtection="1">
      <alignment horizontal="center" vertical="center"/>
      <protection locked="0"/>
    </xf>
    <xf numFmtId="166" fontId="3" fillId="0" borderId="55" xfId="0" applyNumberFormat="1" applyFont="1" applyBorder="1" applyAlignment="1" applyProtection="1">
      <alignment horizontal="center" vertical="center"/>
      <protection locked="0"/>
    </xf>
    <xf numFmtId="0" fontId="3" fillId="17" borderId="40" xfId="0" applyFont="1" applyFill="1" applyBorder="1" applyAlignment="1" applyProtection="1">
      <alignment horizontal="center" vertical="center"/>
      <protection locked="0"/>
    </xf>
    <xf numFmtId="0" fontId="3" fillId="0" borderId="26" xfId="0" applyFont="1" applyBorder="1" applyAlignment="1" applyProtection="1">
      <alignment horizontal="center" vertical="center"/>
      <protection locked="0"/>
    </xf>
    <xf numFmtId="0" fontId="3" fillId="0" borderId="55" xfId="0" applyFont="1" applyBorder="1" applyAlignment="1" applyProtection="1">
      <alignment horizontal="center" vertical="center"/>
      <protection locked="0"/>
    </xf>
    <xf numFmtId="0" fontId="7" fillId="42" borderId="10" xfId="0" applyFont="1" applyFill="1" applyBorder="1" applyAlignment="1">
      <alignment horizontal="left" wrapText="1"/>
    </xf>
    <xf numFmtId="0" fontId="12" fillId="16" borderId="9" xfId="0" applyFont="1" applyFill="1" applyBorder="1" applyAlignment="1">
      <alignment horizontal="left" vertical="center" wrapText="1"/>
    </xf>
    <xf numFmtId="0" fontId="8" fillId="24" borderId="0" xfId="0" applyFont="1" applyFill="1" applyAlignment="1">
      <alignment horizontal="center" vertical="center" wrapText="1"/>
    </xf>
    <xf numFmtId="0" fontId="8" fillId="24" borderId="1" xfId="0" applyFont="1" applyFill="1" applyBorder="1" applyAlignment="1">
      <alignment horizontal="center" vertical="center" wrapText="1"/>
    </xf>
    <xf numFmtId="0" fontId="3" fillId="24" borderId="0" xfId="0" applyFont="1" applyFill="1" applyAlignment="1">
      <alignment horizontal="left" vertical="center" wrapText="1"/>
    </xf>
    <xf numFmtId="0" fontId="3" fillId="16" borderId="208" xfId="0" applyFont="1" applyFill="1" applyBorder="1" applyAlignment="1" applyProtection="1">
      <alignment horizontal="center" wrapText="1"/>
      <protection hidden="1"/>
    </xf>
    <xf numFmtId="0" fontId="3" fillId="16" borderId="207" xfId="0" applyFont="1" applyFill="1" applyBorder="1" applyAlignment="1" applyProtection="1">
      <alignment horizontal="center" wrapText="1"/>
      <protection hidden="1"/>
    </xf>
    <xf numFmtId="0" fontId="3" fillId="16" borderId="209" xfId="0" applyFont="1" applyFill="1" applyBorder="1" applyAlignment="1" applyProtection="1">
      <alignment horizontal="center" wrapText="1"/>
      <protection hidden="1"/>
    </xf>
    <xf numFmtId="0" fontId="3" fillId="16" borderId="80" xfId="0" applyFont="1" applyFill="1" applyBorder="1" applyAlignment="1" applyProtection="1">
      <alignment horizontal="center" wrapText="1"/>
      <protection hidden="1"/>
    </xf>
    <xf numFmtId="1" fontId="3" fillId="16" borderId="5" xfId="0" applyNumberFormat="1" applyFont="1" applyFill="1" applyBorder="1" applyAlignment="1" applyProtection="1">
      <alignment horizontal="center"/>
      <protection hidden="1"/>
    </xf>
    <xf numFmtId="37" fontId="12" fillId="17" borderId="12" xfId="0" applyNumberFormat="1" applyFont="1" applyFill="1" applyBorder="1" applyProtection="1">
      <protection locked="0"/>
    </xf>
    <xf numFmtId="37" fontId="12" fillId="28" borderId="1" xfId="0" applyNumberFormat="1" applyFont="1" applyFill="1" applyBorder="1" applyProtection="1">
      <protection hidden="1"/>
    </xf>
    <xf numFmtId="37" fontId="12" fillId="28" borderId="12" xfId="0" applyNumberFormat="1" applyFont="1" applyFill="1" applyBorder="1" applyProtection="1">
      <protection hidden="1"/>
    </xf>
    <xf numFmtId="3" fontId="12" fillId="17" borderId="1" xfId="0" applyNumberFormat="1" applyFont="1" applyFill="1" applyBorder="1" applyProtection="1">
      <protection locked="0"/>
    </xf>
    <xf numFmtId="3" fontId="12" fillId="17" borderId="12" xfId="0" applyNumberFormat="1" applyFont="1" applyFill="1" applyBorder="1" applyProtection="1">
      <protection locked="0"/>
    </xf>
    <xf numFmtId="37" fontId="143" fillId="16" borderId="3" xfId="0" applyNumberFormat="1" applyFont="1" applyFill="1" applyBorder="1" applyProtection="1">
      <protection hidden="1"/>
    </xf>
    <xf numFmtId="0" fontId="143" fillId="16" borderId="0" xfId="0" applyFont="1" applyFill="1"/>
    <xf numFmtId="37" fontId="12" fillId="28" borderId="1" xfId="0" applyNumberFormat="1" applyFont="1" applyFill="1" applyBorder="1" applyAlignment="1" applyProtection="1">
      <alignment horizontal="right"/>
      <protection hidden="1"/>
    </xf>
    <xf numFmtId="3" fontId="12" fillId="16" borderId="31" xfId="0" applyNumberFormat="1" applyFont="1" applyFill="1" applyBorder="1" applyProtection="1">
      <protection locked="0"/>
    </xf>
    <xf numFmtId="3" fontId="12" fillId="16" borderId="9" xfId="0" applyNumberFormat="1" applyFont="1" applyFill="1" applyBorder="1" applyProtection="1">
      <protection locked="0"/>
    </xf>
    <xf numFmtId="3" fontId="12" fillId="16" borderId="15" xfId="0" applyNumberFormat="1" applyFont="1" applyFill="1" applyBorder="1" applyProtection="1">
      <protection locked="0"/>
    </xf>
    <xf numFmtId="3" fontId="12" fillId="16" borderId="3" xfId="0" applyNumberFormat="1" applyFont="1" applyFill="1" applyBorder="1" applyProtection="1">
      <protection locked="0"/>
    </xf>
    <xf numFmtId="3" fontId="12" fillId="16" borderId="0" xfId="0" applyNumberFormat="1" applyFont="1" applyFill="1" applyProtection="1">
      <protection locked="0"/>
    </xf>
    <xf numFmtId="3" fontId="12" fillId="16" borderId="25" xfId="0" applyNumberFormat="1" applyFont="1" applyFill="1" applyBorder="1" applyProtection="1">
      <protection locked="0"/>
    </xf>
    <xf numFmtId="37" fontId="12" fillId="17" borderId="10" xfId="0" applyNumberFormat="1" applyFont="1" applyFill="1" applyBorder="1" applyProtection="1">
      <protection locked="0"/>
    </xf>
    <xf numFmtId="37" fontId="145" fillId="16" borderId="3" xfId="0" applyNumberFormat="1" applyFont="1" applyFill="1" applyBorder="1" applyProtection="1">
      <protection hidden="1"/>
    </xf>
    <xf numFmtId="37" fontId="129" fillId="0" borderId="0" xfId="0" applyNumberFormat="1" applyFont="1"/>
    <xf numFmtId="37" fontId="12" fillId="26" borderId="40" xfId="0" applyNumberFormat="1" applyFont="1" applyFill="1" applyBorder="1" applyProtection="1">
      <protection hidden="1"/>
    </xf>
    <xf numFmtId="37" fontId="16" fillId="26" borderId="26" xfId="0" applyNumberFormat="1" applyFont="1" applyFill="1" applyBorder="1"/>
    <xf numFmtId="37" fontId="12" fillId="17" borderId="40" xfId="0" applyNumberFormat="1" applyFont="1" applyFill="1" applyBorder="1" applyProtection="1">
      <protection locked="0"/>
    </xf>
    <xf numFmtId="37" fontId="12" fillId="17" borderId="26" xfId="0" applyNumberFormat="1" applyFont="1" applyFill="1" applyBorder="1" applyProtection="1">
      <protection locked="0"/>
    </xf>
    <xf numFmtId="37" fontId="16" fillId="17" borderId="26" xfId="0" applyNumberFormat="1" applyFont="1" applyFill="1" applyBorder="1" applyProtection="1">
      <protection locked="0"/>
    </xf>
    <xf numFmtId="0" fontId="53" fillId="17" borderId="88" xfId="0" applyFont="1" applyFill="1" applyBorder="1" applyProtection="1">
      <protection locked="0"/>
    </xf>
    <xf numFmtId="0" fontId="0" fillId="17" borderId="88" xfId="0" applyFill="1" applyBorder="1" applyProtection="1">
      <protection locked="0"/>
    </xf>
    <xf numFmtId="0" fontId="5" fillId="17" borderId="88" xfId="0" applyFont="1" applyFill="1" applyBorder="1" applyProtection="1">
      <protection locked="0"/>
    </xf>
    <xf numFmtId="0" fontId="0" fillId="0" borderId="88" xfId="0" applyBorder="1" applyProtection="1">
      <protection locked="0"/>
    </xf>
    <xf numFmtId="0" fontId="18" fillId="28" borderId="88" xfId="0" applyFont="1" applyFill="1" applyBorder="1" applyAlignment="1" applyProtection="1">
      <alignment horizontal="center"/>
      <protection hidden="1"/>
    </xf>
    <xf numFmtId="0" fontId="3" fillId="28" borderId="88" xfId="0" applyFont="1" applyFill="1" applyBorder="1" applyAlignment="1" applyProtection="1">
      <alignment horizontal="center"/>
      <protection hidden="1"/>
    </xf>
    <xf numFmtId="37" fontId="12" fillId="28" borderId="10" xfId="0" applyNumberFormat="1" applyFont="1" applyFill="1" applyBorder="1" applyAlignment="1" applyProtection="1">
      <alignment horizontal="right"/>
      <protection hidden="1"/>
    </xf>
    <xf numFmtId="37" fontId="0" fillId="28" borderId="1" xfId="0" applyNumberFormat="1" applyFill="1" applyBorder="1" applyAlignment="1" applyProtection="1">
      <alignment horizontal="right"/>
      <protection hidden="1"/>
    </xf>
    <xf numFmtId="0" fontId="143" fillId="32" borderId="9" xfId="0" applyFont="1" applyFill="1" applyBorder="1" applyAlignment="1" applyProtection="1">
      <alignment horizontal="center" vertical="center"/>
      <protection hidden="1"/>
    </xf>
    <xf numFmtId="0" fontId="143" fillId="32" borderId="9" xfId="0" applyFont="1" applyFill="1" applyBorder="1" applyAlignment="1">
      <alignment horizontal="center" vertical="center"/>
    </xf>
    <xf numFmtId="0" fontId="16" fillId="0" borderId="9" xfId="0" applyFont="1" applyBorder="1" applyAlignment="1">
      <alignment horizontal="center" vertical="center"/>
    </xf>
    <xf numFmtId="0" fontId="0" fillId="16" borderId="31" xfId="0" applyFill="1" applyBorder="1" applyAlignment="1" applyProtection="1">
      <alignment wrapText="1"/>
      <protection hidden="1"/>
    </xf>
    <xf numFmtId="0" fontId="0" fillId="0" borderId="9" xfId="0" applyBorder="1" applyAlignment="1" applyProtection="1">
      <alignment wrapText="1"/>
      <protection hidden="1"/>
    </xf>
    <xf numFmtId="0" fontId="0" fillId="16" borderId="26" xfId="0" applyFill="1" applyBorder="1" applyAlignment="1" applyProtection="1">
      <alignment horizontal="center"/>
      <protection hidden="1"/>
    </xf>
    <xf numFmtId="0" fontId="75" fillId="0" borderId="24" xfId="2" applyBorder="1" applyAlignment="1" applyProtection="1">
      <alignment horizontal="center" vertical="center"/>
      <protection hidden="1"/>
    </xf>
    <xf numFmtId="0" fontId="75" fillId="0" borderId="8" xfId="2" applyBorder="1" applyAlignment="1" applyProtection="1">
      <alignment horizontal="center" vertical="center"/>
      <protection hidden="1"/>
    </xf>
    <xf numFmtId="0" fontId="75" fillId="0" borderId="20" xfId="2" applyBorder="1" applyAlignment="1" applyProtection="1">
      <alignment horizontal="center" vertical="center"/>
      <protection hidden="1"/>
    </xf>
    <xf numFmtId="0" fontId="75" fillId="0" borderId="6" xfId="2" applyBorder="1" applyAlignment="1" applyProtection="1">
      <alignment horizontal="center" vertical="center"/>
      <protection hidden="1"/>
    </xf>
    <xf numFmtId="0" fontId="75" fillId="0" borderId="0" xfId="2" applyAlignment="1" applyProtection="1">
      <alignment horizontal="center" vertical="center"/>
      <protection hidden="1"/>
    </xf>
    <xf numFmtId="0" fontId="75" fillId="0" borderId="21" xfId="2" applyBorder="1" applyAlignment="1" applyProtection="1">
      <alignment horizontal="center" vertical="center"/>
      <protection hidden="1"/>
    </xf>
    <xf numFmtId="0" fontId="75" fillId="0" borderId="22" xfId="2" applyBorder="1" applyAlignment="1" applyProtection="1">
      <alignment horizontal="center" vertical="center"/>
      <protection hidden="1"/>
    </xf>
    <xf numFmtId="0" fontId="75" fillId="0" borderId="5" xfId="2" applyBorder="1" applyAlignment="1" applyProtection="1">
      <alignment horizontal="center" vertical="center"/>
      <protection hidden="1"/>
    </xf>
    <xf numFmtId="0" fontId="75" fillId="0" borderId="23" xfId="2" applyBorder="1" applyAlignment="1" applyProtection="1">
      <alignment horizontal="center" vertical="center"/>
      <protection hidden="1"/>
    </xf>
    <xf numFmtId="37" fontId="143" fillId="16" borderId="40" xfId="0" applyNumberFormat="1" applyFont="1" applyFill="1" applyBorder="1" applyProtection="1">
      <protection hidden="1"/>
    </xf>
    <xf numFmtId="37" fontId="143" fillId="16" borderId="26" xfId="0" applyNumberFormat="1" applyFont="1" applyFill="1" applyBorder="1" applyProtection="1">
      <protection hidden="1"/>
    </xf>
    <xf numFmtId="37" fontId="225" fillId="16" borderId="26" xfId="0" applyNumberFormat="1" applyFont="1" applyFill="1" applyBorder="1" applyProtection="1">
      <protection hidden="1"/>
    </xf>
    <xf numFmtId="182" fontId="3" fillId="17" borderId="88" xfId="0" applyNumberFormat="1" applyFont="1" applyFill="1" applyBorder="1" applyAlignment="1" applyProtection="1">
      <alignment horizontal="center"/>
      <protection locked="0"/>
    </xf>
    <xf numFmtId="182" fontId="5" fillId="0" borderId="88" xfId="0" applyNumberFormat="1" applyFont="1" applyBorder="1" applyProtection="1">
      <protection locked="0"/>
    </xf>
    <xf numFmtId="166" fontId="3" fillId="17" borderId="158" xfId="0" applyNumberFormat="1" applyFont="1" applyFill="1" applyBorder="1" applyAlignment="1" applyProtection="1">
      <alignment horizontal="center"/>
      <protection locked="0"/>
    </xf>
    <xf numFmtId="0" fontId="5" fillId="0" borderId="158" xfId="0" applyFont="1" applyBorder="1" applyAlignment="1" applyProtection="1">
      <alignment horizontal="center"/>
      <protection locked="0"/>
    </xf>
    <xf numFmtId="0" fontId="12" fillId="16" borderId="7" xfId="0" applyFont="1" applyFill="1" applyBorder="1" applyAlignment="1" applyProtection="1">
      <alignment horizontal="center"/>
      <protection hidden="1"/>
    </xf>
    <xf numFmtId="0" fontId="12" fillId="16" borderId="29" xfId="0" applyFont="1" applyFill="1" applyBorder="1" applyAlignment="1" applyProtection="1">
      <alignment horizontal="center"/>
      <protection hidden="1"/>
    </xf>
    <xf numFmtId="37" fontId="12" fillId="26" borderId="3" xfId="0" applyNumberFormat="1" applyFont="1" applyFill="1" applyBorder="1" applyAlignment="1" applyProtection="1">
      <alignment horizontal="right"/>
      <protection hidden="1"/>
    </xf>
    <xf numFmtId="37" fontId="12" fillId="26" borderId="0" xfId="0" applyNumberFormat="1" applyFont="1" applyFill="1" applyAlignment="1" applyProtection="1">
      <alignment horizontal="right"/>
      <protection hidden="1"/>
    </xf>
    <xf numFmtId="37" fontId="12" fillId="26" borderId="70" xfId="0" applyNumberFormat="1" applyFont="1" applyFill="1" applyBorder="1" applyAlignment="1" applyProtection="1">
      <alignment horizontal="right"/>
      <protection hidden="1"/>
    </xf>
    <xf numFmtId="37" fontId="12" fillId="26" borderId="5" xfId="0" applyNumberFormat="1" applyFont="1" applyFill="1" applyBorder="1" applyAlignment="1" applyProtection="1">
      <alignment horizontal="right"/>
      <protection hidden="1"/>
    </xf>
    <xf numFmtId="0" fontId="0" fillId="28" borderId="1" xfId="0" applyFill="1" applyBorder="1" applyAlignment="1" applyProtection="1">
      <alignment horizontal="right"/>
      <protection hidden="1"/>
    </xf>
    <xf numFmtId="0" fontId="5" fillId="16" borderId="27" xfId="0" applyFont="1" applyFill="1" applyBorder="1" applyAlignment="1" applyProtection="1">
      <alignment horizontal="center" vertical="center"/>
      <protection hidden="1"/>
    </xf>
    <xf numFmtId="0" fontId="0" fillId="0" borderId="1" xfId="0" applyBorder="1" applyAlignment="1">
      <alignment horizontal="center" vertical="center"/>
    </xf>
    <xf numFmtId="166" fontId="23" fillId="28" borderId="3" xfId="0" applyNumberFormat="1" applyFont="1" applyFill="1" applyBorder="1" applyAlignment="1" applyProtection="1">
      <alignment horizontal="center" vertical="center"/>
      <protection hidden="1"/>
    </xf>
    <xf numFmtId="0" fontId="0" fillId="0" borderId="0" xfId="0" applyAlignment="1">
      <alignment horizontal="center" vertical="center"/>
    </xf>
    <xf numFmtId="0" fontId="0" fillId="0" borderId="10" xfId="0" applyBorder="1" applyAlignment="1">
      <alignment horizontal="center" vertical="center"/>
    </xf>
    <xf numFmtId="0" fontId="297" fillId="16" borderId="81" xfId="0" applyFont="1" applyFill="1" applyBorder="1" applyAlignment="1" applyProtection="1">
      <alignment horizontal="center" vertical="center"/>
      <protection hidden="1"/>
    </xf>
    <xf numFmtId="0" fontId="298" fillId="0" borderId="9" xfId="0" applyFont="1" applyBorder="1" applyAlignment="1">
      <alignment horizontal="center" vertical="center"/>
    </xf>
    <xf numFmtId="0" fontId="298" fillId="0" borderId="6" xfId="0" applyFont="1" applyBorder="1" applyAlignment="1">
      <alignment horizontal="center" vertical="center"/>
    </xf>
    <xf numFmtId="0" fontId="298" fillId="0" borderId="0" xfId="0" applyFont="1" applyAlignment="1">
      <alignment horizontal="center" vertical="center"/>
    </xf>
    <xf numFmtId="0" fontId="5" fillId="0" borderId="0" xfId="0" applyFont="1" applyAlignment="1" applyProtection="1">
      <alignment horizontal="left" vertical="center" wrapText="1"/>
      <protection hidden="1"/>
    </xf>
    <xf numFmtId="0" fontId="5" fillId="0" borderId="5" xfId="0" applyFont="1" applyBorder="1" applyAlignment="1" applyProtection="1">
      <alignment horizontal="left" vertical="center" wrapText="1"/>
      <protection hidden="1"/>
    </xf>
    <xf numFmtId="37" fontId="12" fillId="28" borderId="40" xfId="0" applyNumberFormat="1" applyFont="1" applyFill="1" applyBorder="1" applyProtection="1">
      <protection hidden="1"/>
    </xf>
    <xf numFmtId="37" fontId="12" fillId="28" borderId="26" xfId="0" applyNumberFormat="1" applyFont="1" applyFill="1" applyBorder="1" applyProtection="1">
      <protection hidden="1"/>
    </xf>
    <xf numFmtId="37" fontId="16" fillId="28" borderId="26" xfId="0" applyNumberFormat="1" applyFont="1" applyFill="1" applyBorder="1" applyProtection="1">
      <protection hidden="1"/>
    </xf>
    <xf numFmtId="0" fontId="18" fillId="16" borderId="0" xfId="0" applyFont="1" applyFill="1" applyAlignment="1" applyProtection="1">
      <alignment vertical="center" wrapText="1"/>
      <protection hidden="1"/>
    </xf>
    <xf numFmtId="0" fontId="53" fillId="0" borderId="0" xfId="0" applyFont="1"/>
    <xf numFmtId="0" fontId="53" fillId="0" borderId="21" xfId="0" applyFont="1" applyBorder="1"/>
    <xf numFmtId="0" fontId="233" fillId="16" borderId="0" xfId="0" applyFont="1" applyFill="1" applyAlignment="1" applyProtection="1">
      <alignment horizontal="left" vertical="center" wrapText="1"/>
      <protection hidden="1"/>
    </xf>
    <xf numFmtId="0" fontId="233" fillId="0" borderId="0" xfId="0" applyFont="1" applyAlignment="1">
      <alignment horizontal="left" vertical="center" wrapText="1"/>
    </xf>
    <xf numFmtId="0" fontId="233" fillId="0" borderId="21" xfId="0" applyFont="1" applyBorder="1" applyAlignment="1">
      <alignment horizontal="left" vertical="center" wrapText="1"/>
    </xf>
    <xf numFmtId="0" fontId="50" fillId="28" borderId="0" xfId="0" applyFont="1" applyFill="1" applyProtection="1">
      <protection hidden="1"/>
    </xf>
    <xf numFmtId="0" fontId="0" fillId="0" borderId="0" xfId="0"/>
    <xf numFmtId="0" fontId="0" fillId="0" borderId="25" xfId="0" applyBorder="1"/>
    <xf numFmtId="0" fontId="0" fillId="0" borderId="12" xfId="0" applyBorder="1"/>
    <xf numFmtId="0" fontId="10" fillId="0" borderId="5" xfId="0" applyFont="1" applyBorder="1" applyAlignment="1">
      <alignment horizontal="left" vertical="top" wrapText="1"/>
    </xf>
    <xf numFmtId="0" fontId="10" fillId="0" borderId="23" xfId="0" applyFont="1" applyBorder="1" applyAlignment="1">
      <alignment horizontal="left" vertical="top" wrapText="1"/>
    </xf>
    <xf numFmtId="0" fontId="10" fillId="16" borderId="0" xfId="0" applyFont="1" applyFill="1" applyAlignment="1" applyProtection="1">
      <alignment horizontal="left" wrapText="1"/>
      <protection hidden="1"/>
    </xf>
    <xf numFmtId="0" fontId="10" fillId="16" borderId="21" xfId="0" applyFont="1" applyFill="1" applyBorder="1" applyAlignment="1" applyProtection="1">
      <alignment horizontal="left" wrapText="1"/>
      <protection hidden="1"/>
    </xf>
    <xf numFmtId="37" fontId="12" fillId="26" borderId="10" xfId="0" applyNumberFormat="1" applyFont="1" applyFill="1" applyBorder="1" applyProtection="1">
      <protection hidden="1"/>
    </xf>
    <xf numFmtId="37" fontId="16" fillId="26" borderId="1" xfId="0" applyNumberFormat="1" applyFont="1" applyFill="1" applyBorder="1"/>
    <xf numFmtId="37" fontId="12" fillId="26" borderId="26" xfId="0" applyNumberFormat="1" applyFont="1" applyFill="1" applyBorder="1" applyProtection="1">
      <protection hidden="1"/>
    </xf>
    <xf numFmtId="0" fontId="131" fillId="16" borderId="0" xfId="0" applyFont="1" applyFill="1" applyAlignment="1" applyProtection="1">
      <alignment horizontal="center" vertical="top" wrapText="1"/>
      <protection hidden="1"/>
    </xf>
    <xf numFmtId="0" fontId="3" fillId="16" borderId="16" xfId="0" applyFont="1" applyFill="1" applyBorder="1" applyAlignment="1" applyProtection="1">
      <alignment horizontal="left" wrapText="1"/>
      <protection hidden="1"/>
    </xf>
    <xf numFmtId="0" fontId="0" fillId="0" borderId="7" xfId="0" applyBorder="1" applyAlignment="1">
      <alignment horizontal="left" wrapText="1"/>
    </xf>
    <xf numFmtId="0" fontId="0" fillId="0" borderId="11" xfId="0" applyBorder="1" applyAlignment="1">
      <alignment horizontal="left" wrapText="1"/>
    </xf>
    <xf numFmtId="37" fontId="12" fillId="26" borderId="36" xfId="0" applyNumberFormat="1" applyFont="1" applyFill="1" applyBorder="1" applyProtection="1">
      <protection hidden="1"/>
    </xf>
    <xf numFmtId="37" fontId="16" fillId="26" borderId="14" xfId="0" applyNumberFormat="1" applyFont="1" applyFill="1" applyBorder="1"/>
    <xf numFmtId="37" fontId="12" fillId="20" borderId="40" xfId="0" applyNumberFormat="1" applyFont="1" applyFill="1" applyBorder="1" applyProtection="1">
      <protection hidden="1"/>
    </xf>
    <xf numFmtId="37" fontId="12" fillId="20" borderId="26" xfId="0" applyNumberFormat="1" applyFont="1" applyFill="1" applyBorder="1" applyProtection="1">
      <protection hidden="1"/>
    </xf>
    <xf numFmtId="37" fontId="16" fillId="20" borderId="26" xfId="0" applyNumberFormat="1" applyFont="1" applyFill="1" applyBorder="1" applyProtection="1">
      <protection hidden="1"/>
    </xf>
    <xf numFmtId="37" fontId="16" fillId="17" borderId="1" xfId="0" applyNumberFormat="1" applyFont="1" applyFill="1" applyBorder="1" applyProtection="1">
      <protection locked="0"/>
    </xf>
    <xf numFmtId="37" fontId="143" fillId="16" borderId="31" xfId="0" applyNumberFormat="1" applyFont="1" applyFill="1" applyBorder="1" applyProtection="1">
      <protection hidden="1"/>
    </xf>
    <xf numFmtId="37" fontId="143" fillId="0" borderId="9" xfId="0" applyNumberFormat="1" applyFont="1" applyBorder="1" applyProtection="1">
      <protection hidden="1"/>
    </xf>
    <xf numFmtId="0" fontId="194" fillId="16" borderId="0" xfId="0" applyFont="1" applyFill="1" applyAlignment="1" applyProtection="1">
      <alignment horizontal="center"/>
      <protection hidden="1"/>
    </xf>
    <xf numFmtId="37" fontId="12" fillId="17" borderId="1" xfId="0" applyNumberFormat="1" applyFont="1" applyFill="1" applyBorder="1" applyAlignment="1" applyProtection="1">
      <alignment horizontal="right"/>
      <protection locked="0"/>
    </xf>
    <xf numFmtId="0" fontId="33" fillId="2" borderId="6" xfId="0" applyFont="1" applyFill="1" applyBorder="1" applyAlignment="1" applyProtection="1">
      <alignment horizontal="center" vertical="center"/>
      <protection hidden="1"/>
    </xf>
    <xf numFmtId="0" fontId="10" fillId="0" borderId="0" xfId="0" applyFont="1" applyAlignment="1">
      <alignment vertical="center"/>
    </xf>
    <xf numFmtId="164" fontId="6" fillId="2" borderId="0" xfId="0" applyNumberFormat="1" applyFont="1" applyFill="1" applyProtection="1">
      <protection hidden="1"/>
    </xf>
    <xf numFmtId="0" fontId="5" fillId="5" borderId="0" xfId="0" applyFont="1" applyFill="1" applyAlignment="1" applyProtection="1">
      <alignment horizontal="center"/>
      <protection hidden="1"/>
    </xf>
    <xf numFmtId="0" fontId="3" fillId="2" borderId="0" xfId="0" applyFont="1" applyFill="1" applyAlignment="1" applyProtection="1">
      <alignment horizontal="left"/>
      <protection hidden="1"/>
    </xf>
    <xf numFmtId="0" fontId="0" fillId="0" borderId="0" xfId="0" applyAlignment="1" applyProtection="1">
      <alignment horizontal="left"/>
      <protection hidden="1"/>
    </xf>
    <xf numFmtId="40" fontId="129" fillId="2" borderId="0" xfId="0" applyNumberFormat="1" applyFont="1" applyFill="1" applyProtection="1">
      <protection hidden="1"/>
    </xf>
    <xf numFmtId="0" fontId="129" fillId="0" borderId="0" xfId="0" applyFont="1"/>
    <xf numFmtId="38" fontId="129" fillId="2" borderId="9" xfId="0" applyNumberFormat="1" applyFont="1" applyFill="1" applyBorder="1" applyProtection="1">
      <protection hidden="1"/>
    </xf>
    <xf numFmtId="40" fontId="129" fillId="2" borderId="9" xfId="0" applyNumberFormat="1" applyFont="1" applyFill="1" applyBorder="1" applyAlignment="1" applyProtection="1">
      <alignment horizontal="right"/>
      <protection hidden="1"/>
    </xf>
    <xf numFmtId="0" fontId="129" fillId="0" borderId="9" xfId="0" applyFont="1" applyBorder="1" applyAlignment="1">
      <alignment horizontal="right"/>
    </xf>
    <xf numFmtId="0" fontId="77" fillId="2" borderId="9" xfId="0" applyFont="1" applyFill="1" applyBorder="1" applyProtection="1">
      <protection hidden="1"/>
    </xf>
    <xf numFmtId="0" fontId="0" fillId="0" borderId="9" xfId="0" applyBorder="1"/>
    <xf numFmtId="37" fontId="0" fillId="28" borderId="1" xfId="0" applyNumberFormat="1" applyFill="1" applyBorder="1" applyAlignment="1">
      <alignment horizontal="right"/>
    </xf>
    <xf numFmtId="0" fontId="129" fillId="0" borderId="21" xfId="0" applyFont="1" applyBorder="1"/>
    <xf numFmtId="40" fontId="0" fillId="2" borderId="0" xfId="0" applyNumberFormat="1" applyFill="1" applyAlignment="1" applyProtection="1">
      <alignment horizontal="center"/>
      <protection hidden="1"/>
    </xf>
    <xf numFmtId="37" fontId="0" fillId="28" borderId="1" xfId="0" applyNumberFormat="1" applyFill="1" applyBorder="1" applyProtection="1">
      <protection hidden="1"/>
    </xf>
    <xf numFmtId="37" fontId="0" fillId="17" borderId="1" xfId="0" applyNumberFormat="1" applyFill="1" applyBorder="1" applyProtection="1">
      <protection locked="0"/>
    </xf>
    <xf numFmtId="37" fontId="0" fillId="28" borderId="40" xfId="0" applyNumberFormat="1" applyFill="1" applyBorder="1" applyProtection="1">
      <protection hidden="1"/>
    </xf>
    <xf numFmtId="37" fontId="0" fillId="28" borderId="26" xfId="0" applyNumberFormat="1" applyFill="1" applyBorder="1" applyProtection="1">
      <protection hidden="1"/>
    </xf>
    <xf numFmtId="37" fontId="0" fillId="28" borderId="55" xfId="0" applyNumberFormat="1" applyFill="1" applyBorder="1" applyProtection="1">
      <protection hidden="1"/>
    </xf>
    <xf numFmtId="37" fontId="0" fillId="0" borderId="1" xfId="0" applyNumberFormat="1" applyBorder="1"/>
    <xf numFmtId="0" fontId="25" fillId="2" borderId="0" xfId="0" applyFont="1" applyFill="1" applyProtection="1">
      <protection hidden="1"/>
    </xf>
    <xf numFmtId="3" fontId="60" fillId="2" borderId="0" xfId="0" applyNumberFormat="1" applyFont="1" applyFill="1" applyProtection="1">
      <protection hidden="1"/>
    </xf>
    <xf numFmtId="3" fontId="25" fillId="0" borderId="0" xfId="0" applyNumberFormat="1" applyFont="1"/>
    <xf numFmtId="37" fontId="0" fillId="28" borderId="1" xfId="0" applyNumberFormat="1" applyFill="1" applyBorder="1"/>
    <xf numFmtId="0" fontId="3" fillId="16" borderId="11" xfId="0" applyFont="1" applyFill="1" applyBorder="1" applyAlignment="1" applyProtection="1">
      <alignment horizontal="left" wrapText="1"/>
      <protection hidden="1"/>
    </xf>
    <xf numFmtId="0" fontId="18" fillId="17" borderId="1" xfId="0" applyFont="1" applyFill="1" applyBorder="1" applyAlignment="1" applyProtection="1">
      <alignment horizontal="left"/>
      <protection locked="0"/>
    </xf>
    <xf numFmtId="37" fontId="12" fillId="28" borderId="70" xfId="0" applyNumberFormat="1" applyFont="1" applyFill="1" applyBorder="1" applyAlignment="1" applyProtection="1">
      <alignment horizontal="right"/>
      <protection hidden="1"/>
    </xf>
    <xf numFmtId="37" fontId="12" fillId="28" borderId="5" xfId="0" applyNumberFormat="1" applyFont="1" applyFill="1" applyBorder="1" applyAlignment="1" applyProtection="1">
      <alignment horizontal="right"/>
      <protection hidden="1"/>
    </xf>
    <xf numFmtId="37" fontId="12" fillId="28" borderId="10" xfId="0" applyNumberFormat="1" applyFont="1" applyFill="1" applyBorder="1" applyProtection="1">
      <protection hidden="1"/>
    </xf>
    <xf numFmtId="37" fontId="16" fillId="28" borderId="1" xfId="0" applyNumberFormat="1" applyFont="1" applyFill="1" applyBorder="1" applyProtection="1">
      <protection hidden="1"/>
    </xf>
    <xf numFmtId="0" fontId="16" fillId="17" borderId="1" xfId="0" applyFont="1" applyFill="1" applyBorder="1" applyProtection="1">
      <protection locked="0"/>
    </xf>
    <xf numFmtId="0" fontId="16" fillId="17" borderId="12" xfId="0" applyFont="1" applyFill="1" applyBorder="1" applyProtection="1">
      <protection locked="0"/>
    </xf>
    <xf numFmtId="37" fontId="8" fillId="16" borderId="3" xfId="0" applyNumberFormat="1" applyFont="1" applyFill="1" applyBorder="1" applyProtection="1">
      <protection hidden="1"/>
    </xf>
    <xf numFmtId="0" fontId="3" fillId="16" borderId="0" xfId="0" applyFont="1" applyFill="1" applyProtection="1">
      <protection hidden="1"/>
    </xf>
    <xf numFmtId="37" fontId="12" fillId="16" borderId="3" xfId="0" applyNumberFormat="1" applyFont="1" applyFill="1" applyBorder="1" applyProtection="1">
      <protection locked="0"/>
    </xf>
    <xf numFmtId="0" fontId="16" fillId="16" borderId="0" xfId="0" applyFont="1" applyFill="1" applyProtection="1">
      <protection locked="0"/>
    </xf>
    <xf numFmtId="0" fontId="16" fillId="16" borderId="25" xfId="0" applyFont="1" applyFill="1" applyBorder="1" applyProtection="1">
      <protection locked="0"/>
    </xf>
    <xf numFmtId="37" fontId="12" fillId="17" borderId="70" xfId="0" applyNumberFormat="1" applyFont="1" applyFill="1" applyBorder="1" applyProtection="1">
      <protection locked="0"/>
    </xf>
    <xf numFmtId="0" fontId="16" fillId="17" borderId="5" xfId="0" applyFont="1" applyFill="1" applyBorder="1" applyProtection="1">
      <protection locked="0"/>
    </xf>
    <xf numFmtId="0" fontId="16" fillId="17" borderId="71" xfId="0" applyFont="1" applyFill="1" applyBorder="1" applyProtection="1">
      <protection locked="0"/>
    </xf>
    <xf numFmtId="0" fontId="16" fillId="28" borderId="1" xfId="0" applyFont="1" applyFill="1" applyBorder="1" applyProtection="1">
      <protection hidden="1"/>
    </xf>
    <xf numFmtId="0" fontId="16" fillId="28" borderId="12" xfId="0" applyFont="1" applyFill="1" applyBorder="1" applyProtection="1">
      <protection hidden="1"/>
    </xf>
    <xf numFmtId="0" fontId="143" fillId="32" borderId="35" xfId="0" applyFont="1" applyFill="1" applyBorder="1" applyAlignment="1" applyProtection="1">
      <alignment horizontal="center" vertical="center"/>
      <protection hidden="1"/>
    </xf>
    <xf numFmtId="0" fontId="143" fillId="32" borderId="35" xfId="0" applyFont="1" applyFill="1" applyBorder="1" applyAlignment="1">
      <alignment horizontal="center" vertical="center"/>
    </xf>
    <xf numFmtId="0" fontId="16" fillId="0" borderId="35" xfId="0" applyFont="1" applyBorder="1" applyAlignment="1">
      <alignment horizontal="center" vertical="center"/>
    </xf>
    <xf numFmtId="0" fontId="16" fillId="28" borderId="26" xfId="0" applyFont="1" applyFill="1" applyBorder="1" applyProtection="1">
      <protection hidden="1"/>
    </xf>
    <xf numFmtId="37" fontId="12" fillId="17" borderId="10" xfId="0" applyNumberFormat="1" applyFont="1" applyFill="1" applyBorder="1" applyAlignment="1" applyProtection="1">
      <alignment horizontal="right"/>
      <protection locked="0"/>
    </xf>
    <xf numFmtId="0" fontId="12" fillId="26" borderId="26" xfId="0" applyFont="1" applyFill="1" applyBorder="1" applyProtection="1">
      <protection hidden="1"/>
    </xf>
    <xf numFmtId="0" fontId="253" fillId="32" borderId="9" xfId="0" applyFont="1" applyFill="1" applyBorder="1" applyAlignment="1" applyProtection="1">
      <alignment horizontal="center" vertical="center"/>
      <protection hidden="1"/>
    </xf>
    <xf numFmtId="0" fontId="253" fillId="32" borderId="9" xfId="0" applyFont="1" applyFill="1" applyBorder="1" applyAlignment="1">
      <alignment horizontal="center" vertical="center"/>
    </xf>
    <xf numFmtId="0" fontId="83" fillId="0" borderId="9" xfId="0" applyFont="1" applyBorder="1" applyAlignment="1">
      <alignment horizontal="center" vertical="center"/>
    </xf>
    <xf numFmtId="0" fontId="253" fillId="32" borderId="8" xfId="0" applyFont="1" applyFill="1" applyBorder="1" applyAlignment="1" applyProtection="1">
      <alignment horizontal="center" vertical="center"/>
      <protection hidden="1"/>
    </xf>
    <xf numFmtId="0" fontId="253" fillId="32" borderId="8" xfId="0" applyFont="1" applyFill="1" applyBorder="1" applyAlignment="1">
      <alignment horizontal="center" vertical="center"/>
    </xf>
    <xf numFmtId="0" fontId="83" fillId="0" borderId="8" xfId="0" applyFont="1" applyBorder="1" applyAlignment="1">
      <alignment horizontal="center" vertical="center"/>
    </xf>
    <xf numFmtId="37" fontId="12" fillId="16" borderId="31" xfId="0" applyNumberFormat="1" applyFont="1" applyFill="1" applyBorder="1" applyProtection="1">
      <protection hidden="1"/>
    </xf>
    <xf numFmtId="0" fontId="16" fillId="16" borderId="9" xfId="0" applyFont="1" applyFill="1" applyBorder="1" applyProtection="1">
      <protection hidden="1"/>
    </xf>
    <xf numFmtId="0" fontId="16" fillId="17" borderId="26" xfId="0" applyFont="1" applyFill="1" applyBorder="1" applyProtection="1">
      <protection locked="0"/>
    </xf>
    <xf numFmtId="0" fontId="81" fillId="16" borderId="81" xfId="0" applyFont="1" applyFill="1" applyBorder="1" applyAlignment="1" applyProtection="1">
      <alignment horizontal="center" vertical="center"/>
      <protection hidden="1"/>
    </xf>
    <xf numFmtId="0" fontId="0" fillId="0" borderId="9" xfId="0" applyBorder="1" applyAlignment="1">
      <alignment horizontal="center" vertical="center"/>
    </xf>
    <xf numFmtId="0" fontId="0" fillId="0" borderId="6" xfId="0" applyBorder="1" applyAlignment="1">
      <alignment horizontal="center" vertical="center"/>
    </xf>
    <xf numFmtId="0" fontId="193" fillId="16" borderId="0" xfId="0" applyFont="1" applyFill="1" applyAlignment="1" applyProtection="1">
      <alignment horizontal="center" vertical="center" wrapText="1"/>
      <protection hidden="1"/>
    </xf>
    <xf numFmtId="0" fontId="193" fillId="0" borderId="0" xfId="0" applyFont="1" applyAlignment="1">
      <alignment horizontal="center" vertical="center" wrapText="1"/>
    </xf>
    <xf numFmtId="0" fontId="193" fillId="0" borderId="21" xfId="0" applyFont="1" applyBorder="1" applyAlignment="1">
      <alignment horizontal="center" vertical="center" wrapText="1"/>
    </xf>
    <xf numFmtId="0" fontId="5" fillId="16" borderId="0" xfId="0" applyFont="1" applyFill="1" applyAlignment="1" applyProtection="1">
      <alignment horizontal="left" wrapText="1"/>
      <protection hidden="1"/>
    </xf>
    <xf numFmtId="0" fontId="0" fillId="16" borderId="0" xfId="0" applyFill="1" applyAlignment="1">
      <alignment horizontal="left" wrapText="1"/>
    </xf>
    <xf numFmtId="0" fontId="5" fillId="16" borderId="5" xfId="0" applyFont="1" applyFill="1" applyBorder="1" applyAlignment="1" applyProtection="1">
      <alignment horizontal="left" wrapText="1"/>
      <protection hidden="1"/>
    </xf>
    <xf numFmtId="0" fontId="0" fillId="16" borderId="5" xfId="0" applyFill="1" applyBorder="1" applyAlignment="1">
      <alignment horizontal="left" wrapText="1"/>
    </xf>
    <xf numFmtId="37" fontId="12" fillId="26" borderId="70" xfId="0" applyNumberFormat="1" applyFont="1" applyFill="1" applyBorder="1" applyProtection="1">
      <protection hidden="1"/>
    </xf>
    <xf numFmtId="0" fontId="16" fillId="26" borderId="5" xfId="0" applyFont="1" applyFill="1" applyBorder="1"/>
    <xf numFmtId="0" fontId="3" fillId="17" borderId="88" xfId="0" applyFont="1" applyFill="1" applyBorder="1" applyAlignment="1" applyProtection="1">
      <alignment horizontal="center"/>
      <protection locked="0"/>
    </xf>
    <xf numFmtId="37" fontId="143" fillId="16" borderId="3" xfId="0" applyNumberFormat="1" applyFont="1" applyFill="1" applyBorder="1" applyAlignment="1" applyProtection="1">
      <alignment horizontal="right" indent="1"/>
      <protection hidden="1"/>
    </xf>
    <xf numFmtId="37" fontId="143" fillId="16" borderId="0" xfId="0" applyNumberFormat="1" applyFont="1" applyFill="1" applyAlignment="1" applyProtection="1">
      <alignment horizontal="right" indent="1"/>
      <protection hidden="1"/>
    </xf>
    <xf numFmtId="37" fontId="16" fillId="26" borderId="26" xfId="0" applyNumberFormat="1" applyFont="1" applyFill="1" applyBorder="1" applyProtection="1">
      <protection hidden="1"/>
    </xf>
    <xf numFmtId="37" fontId="143" fillId="16" borderId="3" xfId="0" applyNumberFormat="1" applyFont="1" applyFill="1" applyBorder="1" applyAlignment="1" applyProtection="1">
      <alignment horizontal="right"/>
      <protection locked="0"/>
    </xf>
    <xf numFmtId="37" fontId="143" fillId="16" borderId="0" xfId="0" applyNumberFormat="1" applyFont="1" applyFill="1" applyAlignment="1" applyProtection="1">
      <alignment horizontal="right"/>
      <protection locked="0"/>
    </xf>
    <xf numFmtId="37" fontId="12" fillId="17" borderId="12" xfId="0" applyNumberFormat="1" applyFont="1" applyFill="1" applyBorder="1" applyAlignment="1" applyProtection="1">
      <alignment horizontal="right"/>
      <protection locked="0"/>
    </xf>
    <xf numFmtId="0" fontId="16" fillId="17" borderId="1" xfId="0" applyFont="1" applyFill="1" applyBorder="1" applyAlignment="1" applyProtection="1">
      <alignment horizontal="left"/>
      <protection locked="0"/>
    </xf>
    <xf numFmtId="37" fontId="12" fillId="20" borderId="40" xfId="0" applyNumberFormat="1" applyFont="1" applyFill="1" applyBorder="1" applyAlignment="1" applyProtection="1">
      <alignment horizontal="center"/>
      <protection hidden="1"/>
    </xf>
    <xf numFmtId="37" fontId="12" fillId="20" borderId="26" xfId="0" applyNumberFormat="1" applyFont="1" applyFill="1" applyBorder="1" applyAlignment="1" applyProtection="1">
      <alignment horizontal="center"/>
      <protection hidden="1"/>
    </xf>
    <xf numFmtId="37" fontId="12" fillId="20" borderId="55" xfId="0" applyNumberFormat="1" applyFont="1" applyFill="1" applyBorder="1" applyAlignment="1" applyProtection="1">
      <alignment horizontal="center"/>
      <protection hidden="1"/>
    </xf>
    <xf numFmtId="37" fontId="16" fillId="26" borderId="14" xfId="0" applyNumberFormat="1" applyFont="1" applyFill="1" applyBorder="1" applyProtection="1">
      <protection hidden="1"/>
    </xf>
    <xf numFmtId="0" fontId="75" fillId="0" borderId="0" xfId="2" applyBorder="1" applyAlignment="1" applyProtection="1">
      <alignment horizontal="center" vertical="center"/>
      <protection hidden="1"/>
    </xf>
    <xf numFmtId="37" fontId="12" fillId="16" borderId="31" xfId="0" applyNumberFormat="1" applyFont="1" applyFill="1" applyBorder="1" applyProtection="1">
      <protection locked="0"/>
    </xf>
    <xf numFmtId="37" fontId="12" fillId="16" borderId="9" xfId="0" applyNumberFormat="1" applyFont="1" applyFill="1" applyBorder="1" applyProtection="1">
      <protection locked="0"/>
    </xf>
    <xf numFmtId="37" fontId="16" fillId="26" borderId="5" xfId="0" applyNumberFormat="1" applyFont="1" applyFill="1" applyBorder="1" applyProtection="1">
      <protection hidden="1"/>
    </xf>
    <xf numFmtId="37" fontId="12" fillId="28" borderId="40" xfId="0" applyNumberFormat="1" applyFont="1" applyFill="1" applyBorder="1" applyAlignment="1" applyProtection="1">
      <alignment horizontal="right"/>
      <protection hidden="1"/>
    </xf>
    <xf numFmtId="37" fontId="12" fillId="28" borderId="26" xfId="0" applyNumberFormat="1" applyFont="1" applyFill="1" applyBorder="1" applyAlignment="1" applyProtection="1">
      <alignment horizontal="right"/>
      <protection hidden="1"/>
    </xf>
    <xf numFmtId="37" fontId="12" fillId="28" borderId="55" xfId="0" applyNumberFormat="1" applyFont="1" applyFill="1" applyBorder="1" applyAlignment="1" applyProtection="1">
      <alignment horizontal="right"/>
      <protection hidden="1"/>
    </xf>
    <xf numFmtId="0" fontId="0" fillId="16" borderId="3" xfId="0" applyFill="1" applyBorder="1" applyAlignment="1" applyProtection="1">
      <alignment horizontal="center"/>
      <protection hidden="1"/>
    </xf>
    <xf numFmtId="0" fontId="0" fillId="16" borderId="0" xfId="0" applyFill="1" applyAlignment="1" applyProtection="1">
      <alignment horizontal="center"/>
      <protection hidden="1"/>
    </xf>
    <xf numFmtId="0" fontId="0" fillId="16" borderId="25" xfId="0" applyFill="1" applyBorder="1" applyAlignment="1" applyProtection="1">
      <alignment horizontal="center"/>
      <protection hidden="1"/>
    </xf>
    <xf numFmtId="0" fontId="5" fillId="16" borderId="31" xfId="0" applyFont="1" applyFill="1" applyBorder="1" applyAlignment="1" applyProtection="1">
      <alignment horizontal="center"/>
      <protection hidden="1"/>
    </xf>
    <xf numFmtId="0" fontId="5" fillId="16" borderId="9" xfId="0" applyFont="1" applyFill="1" applyBorder="1" applyAlignment="1" applyProtection="1">
      <alignment horizontal="center"/>
      <protection hidden="1"/>
    </xf>
    <xf numFmtId="0" fontId="5" fillId="16" borderId="15" xfId="0" applyFont="1" applyFill="1" applyBorder="1" applyAlignment="1" applyProtection="1">
      <alignment horizontal="center"/>
      <protection hidden="1"/>
    </xf>
    <xf numFmtId="37" fontId="12" fillId="26" borderId="53" xfId="0" applyNumberFormat="1" applyFont="1" applyFill="1" applyBorder="1" applyProtection="1">
      <protection hidden="1"/>
    </xf>
    <xf numFmtId="37" fontId="16" fillId="26" borderId="32" xfId="0" applyNumberFormat="1" applyFont="1" applyFill="1" applyBorder="1" applyProtection="1">
      <protection hidden="1"/>
    </xf>
    <xf numFmtId="0" fontId="234" fillId="0" borderId="0" xfId="0" applyFont="1" applyAlignment="1" applyProtection="1">
      <alignment horizontal="center" vertical="center" wrapText="1"/>
      <protection hidden="1"/>
    </xf>
    <xf numFmtId="0" fontId="12" fillId="16" borderId="0" xfId="0" applyFont="1" applyFill="1" applyAlignment="1" applyProtection="1">
      <alignment vertical="center" wrapText="1"/>
      <protection hidden="1"/>
    </xf>
    <xf numFmtId="0" fontId="16" fillId="0" borderId="0" xfId="0" applyFont="1" applyAlignment="1">
      <alignment vertical="center"/>
    </xf>
    <xf numFmtId="0" fontId="16" fillId="0" borderId="21" xfId="0" applyFont="1" applyBorder="1" applyAlignment="1">
      <alignment vertical="center"/>
    </xf>
    <xf numFmtId="0" fontId="7" fillId="16" borderId="27" xfId="0" applyFont="1" applyFill="1" applyBorder="1" applyAlignment="1" applyProtection="1">
      <alignment horizontal="center" vertical="center"/>
      <protection hidden="1"/>
    </xf>
    <xf numFmtId="0" fontId="7" fillId="0" borderId="1" xfId="0" applyFont="1" applyBorder="1" applyAlignment="1">
      <alignment horizontal="center" vertical="center"/>
    </xf>
    <xf numFmtId="0" fontId="0" fillId="0" borderId="0" xfId="0" applyAlignment="1">
      <alignment horizontal="left" vertical="center" wrapText="1"/>
    </xf>
    <xf numFmtId="0" fontId="0" fillId="0" borderId="5" xfId="0" applyBorder="1" applyAlignment="1">
      <alignment horizontal="left" vertical="center" wrapText="1"/>
    </xf>
    <xf numFmtId="0" fontId="10" fillId="0" borderId="5" xfId="0" applyFont="1" applyBorder="1" applyAlignment="1">
      <alignment horizontal="left" vertical="center" wrapText="1"/>
    </xf>
    <xf numFmtId="0" fontId="10" fillId="0" borderId="23" xfId="0" applyFont="1" applyBorder="1" applyAlignment="1">
      <alignment horizontal="left" vertical="center" wrapText="1"/>
    </xf>
    <xf numFmtId="37" fontId="16" fillId="26" borderId="1" xfId="0" applyNumberFormat="1" applyFont="1" applyFill="1" applyBorder="1" applyProtection="1">
      <protection hidden="1"/>
    </xf>
    <xf numFmtId="0" fontId="253" fillId="32" borderId="26" xfId="0" applyFont="1" applyFill="1" applyBorder="1" applyAlignment="1" applyProtection="1">
      <alignment horizontal="center" vertical="center"/>
      <protection hidden="1"/>
    </xf>
    <xf numFmtId="0" fontId="253" fillId="32" borderId="26" xfId="0" applyFont="1" applyFill="1" applyBorder="1" applyAlignment="1">
      <alignment horizontal="center" vertical="center"/>
    </xf>
    <xf numFmtId="0" fontId="83" fillId="0" borderId="26" xfId="0" applyFont="1" applyBorder="1" applyAlignment="1">
      <alignment horizontal="center" vertical="center"/>
    </xf>
    <xf numFmtId="37" fontId="143" fillId="16" borderId="31" xfId="0" applyNumberFormat="1" applyFont="1" applyFill="1" applyBorder="1" applyAlignment="1" applyProtection="1">
      <alignment horizontal="right"/>
      <protection hidden="1"/>
    </xf>
    <xf numFmtId="37" fontId="143" fillId="16" borderId="9" xfId="0" applyNumberFormat="1" applyFont="1" applyFill="1" applyBorder="1" applyAlignment="1" applyProtection="1">
      <alignment horizontal="right"/>
      <protection hidden="1"/>
    </xf>
    <xf numFmtId="0" fontId="75" fillId="0" borderId="38" xfId="2" applyBorder="1" applyAlignment="1" applyProtection="1">
      <alignment horizontal="center" vertical="center"/>
      <protection hidden="1"/>
    </xf>
    <xf numFmtId="0" fontId="75" fillId="0" borderId="103" xfId="2" applyBorder="1" applyAlignment="1" applyProtection="1">
      <alignment horizontal="center" vertical="center"/>
      <protection hidden="1"/>
    </xf>
    <xf numFmtId="0" fontId="75" fillId="0" borderId="39" xfId="2" applyBorder="1" applyAlignment="1" applyProtection="1">
      <alignment horizontal="center" vertical="center"/>
      <protection hidden="1"/>
    </xf>
    <xf numFmtId="182" fontId="8" fillId="2" borderId="60" xfId="0" applyNumberFormat="1" applyFont="1" applyFill="1" applyBorder="1" applyAlignment="1" applyProtection="1">
      <alignment horizontal="center"/>
      <protection locked="0"/>
    </xf>
    <xf numFmtId="182" fontId="8" fillId="2" borderId="61" xfId="0" applyNumberFormat="1" applyFont="1" applyFill="1" applyBorder="1" applyAlignment="1" applyProtection="1">
      <alignment horizontal="center"/>
      <protection locked="0"/>
    </xf>
    <xf numFmtId="1" fontId="3" fillId="2" borderId="60" xfId="0" applyNumberFormat="1" applyFont="1" applyFill="1" applyBorder="1" applyAlignment="1" applyProtection="1">
      <alignment horizontal="center"/>
      <protection locked="0"/>
    </xf>
    <xf numFmtId="1" fontId="3" fillId="0" borderId="61" xfId="0" applyNumberFormat="1" applyFont="1" applyBorder="1" applyAlignment="1" applyProtection="1">
      <alignment horizontal="center"/>
      <protection locked="0"/>
    </xf>
    <xf numFmtId="0" fontId="128" fillId="2" borderId="0" xfId="0" applyFont="1" applyFill="1" applyProtection="1">
      <protection hidden="1"/>
    </xf>
    <xf numFmtId="0" fontId="128" fillId="0" borderId="0" xfId="0" applyFont="1"/>
    <xf numFmtId="169" fontId="21" fillId="2" borderId="0" xfId="0" applyNumberFormat="1" applyFont="1" applyFill="1" applyAlignment="1" applyProtection="1">
      <alignment horizontal="left"/>
      <protection hidden="1"/>
    </xf>
    <xf numFmtId="0" fontId="21" fillId="0" borderId="0" xfId="0" applyFont="1" applyAlignment="1" applyProtection="1">
      <alignment horizontal="left"/>
      <protection hidden="1"/>
    </xf>
    <xf numFmtId="0" fontId="141" fillId="2" borderId="8" xfId="0" applyFont="1" applyFill="1" applyBorder="1" applyProtection="1">
      <protection hidden="1"/>
    </xf>
    <xf numFmtId="0" fontId="141" fillId="0" borderId="8" xfId="0" applyFont="1" applyBorder="1"/>
    <xf numFmtId="0" fontId="10" fillId="2" borderId="6" xfId="0" applyFont="1" applyFill="1" applyBorder="1" applyAlignment="1" applyProtection="1">
      <alignment horizontal="center"/>
      <protection hidden="1"/>
    </xf>
    <xf numFmtId="0" fontId="0" fillId="0" borderId="0" xfId="0" applyAlignment="1" applyProtection="1">
      <alignment horizontal="center"/>
      <protection hidden="1"/>
    </xf>
    <xf numFmtId="0" fontId="0" fillId="0" borderId="21" xfId="0" applyBorder="1" applyAlignment="1" applyProtection="1">
      <alignment horizontal="center"/>
      <protection hidden="1"/>
    </xf>
    <xf numFmtId="0" fontId="141" fillId="2" borderId="0" xfId="0" applyFont="1" applyFill="1" applyAlignment="1" applyProtection="1">
      <alignment vertical="top" wrapText="1"/>
      <protection hidden="1"/>
    </xf>
    <xf numFmtId="0" fontId="141" fillId="0" borderId="0" xfId="0" applyFont="1" applyAlignment="1">
      <alignment vertical="top" wrapText="1"/>
    </xf>
    <xf numFmtId="0" fontId="0" fillId="0" borderId="0" xfId="0" applyAlignment="1">
      <alignment wrapText="1"/>
    </xf>
    <xf numFmtId="0" fontId="0" fillId="0" borderId="21" xfId="0" applyBorder="1" applyAlignment="1">
      <alignment horizontal="center"/>
    </xf>
    <xf numFmtId="37" fontId="21" fillId="28" borderId="1" xfId="0" applyNumberFormat="1" applyFont="1" applyFill="1" applyBorder="1" applyProtection="1">
      <protection hidden="1"/>
    </xf>
    <xf numFmtId="0" fontId="234" fillId="2" borderId="0" xfId="0" applyFont="1" applyFill="1" applyAlignment="1" applyProtection="1">
      <alignment horizontal="center" vertical="center" wrapText="1"/>
      <protection hidden="1"/>
    </xf>
    <xf numFmtId="0" fontId="0" fillId="16" borderId="24" xfId="0" applyFill="1" applyBorder="1" applyAlignment="1" applyProtection="1">
      <alignment horizontal="center"/>
      <protection hidden="1"/>
    </xf>
    <xf numFmtId="0" fontId="0" fillId="16" borderId="8" xfId="0" applyFill="1" applyBorder="1" applyAlignment="1">
      <alignment horizontal="center"/>
    </xf>
    <xf numFmtId="0" fontId="129" fillId="16" borderId="24" xfId="0" applyFont="1" applyFill="1" applyBorder="1" applyProtection="1">
      <protection hidden="1"/>
    </xf>
    <xf numFmtId="0" fontId="129" fillId="0" borderId="8" xfId="0" applyFont="1" applyBorder="1"/>
    <xf numFmtId="0" fontId="0" fillId="16" borderId="6" xfId="0" applyFill="1" applyBorder="1" applyAlignment="1" applyProtection="1">
      <alignment horizontal="center"/>
      <protection hidden="1"/>
    </xf>
    <xf numFmtId="37" fontId="0" fillId="17" borderId="1" xfId="0" applyNumberFormat="1" applyFill="1" applyBorder="1" applyAlignment="1" applyProtection="1">
      <alignment horizontal="right"/>
      <protection locked="0"/>
    </xf>
    <xf numFmtId="37" fontId="0" fillId="17" borderId="26" xfId="0" applyNumberFormat="1" applyFill="1" applyBorder="1" applyAlignment="1" applyProtection="1">
      <alignment horizontal="right"/>
      <protection locked="0"/>
    </xf>
    <xf numFmtId="0" fontId="5" fillId="16" borderId="24" xfId="0" applyFont="1" applyFill="1" applyBorder="1" applyAlignment="1" applyProtection="1">
      <alignment horizontal="center"/>
      <protection hidden="1"/>
    </xf>
    <xf numFmtId="0" fontId="5" fillId="16" borderId="20" xfId="0" applyFont="1" applyFill="1" applyBorder="1" applyAlignment="1" applyProtection="1">
      <alignment horizontal="center"/>
      <protection hidden="1"/>
    </xf>
    <xf numFmtId="37" fontId="0" fillId="16" borderId="9" xfId="0" applyNumberFormat="1" applyFill="1" applyBorder="1" applyAlignment="1" applyProtection="1">
      <alignment horizontal="right"/>
      <protection hidden="1"/>
    </xf>
    <xf numFmtId="1" fontId="36" fillId="2" borderId="40" xfId="0" applyNumberFormat="1" applyFont="1" applyFill="1" applyBorder="1" applyProtection="1">
      <protection locked="0"/>
    </xf>
    <xf numFmtId="0" fontId="0" fillId="0" borderId="26" xfId="0" applyBorder="1" applyProtection="1">
      <protection locked="0"/>
    </xf>
    <xf numFmtId="0" fontId="0" fillId="0" borderId="55" xfId="0" applyBorder="1" applyProtection="1">
      <protection locked="0"/>
    </xf>
    <xf numFmtId="39" fontId="5" fillId="25" borderId="24" xfId="0" applyNumberFormat="1" applyFont="1" applyFill="1" applyBorder="1" applyAlignment="1" applyProtection="1">
      <alignment horizontal="center"/>
      <protection locked="0"/>
    </xf>
    <xf numFmtId="39" fontId="5" fillId="25" borderId="20" xfId="0" applyNumberFormat="1" applyFont="1" applyFill="1" applyBorder="1" applyAlignment="1" applyProtection="1">
      <alignment horizontal="center"/>
      <protection locked="0"/>
    </xf>
    <xf numFmtId="37" fontId="0" fillId="16" borderId="9" xfId="0" applyNumberFormat="1" applyFill="1" applyBorder="1" applyAlignment="1" applyProtection="1">
      <alignment horizontal="right"/>
      <protection locked="0"/>
    </xf>
    <xf numFmtId="0" fontId="152" fillId="2" borderId="24" xfId="0" applyFont="1" applyFill="1" applyBorder="1" applyAlignment="1" applyProtection="1">
      <alignment horizontal="left" vertical="top" wrapText="1"/>
      <protection hidden="1"/>
    </xf>
    <xf numFmtId="0" fontId="152" fillId="2" borderId="8" xfId="0" applyFont="1" applyFill="1" applyBorder="1" applyAlignment="1" applyProtection="1">
      <alignment horizontal="left" vertical="top" wrapText="1"/>
      <protection hidden="1"/>
    </xf>
    <xf numFmtId="0" fontId="152" fillId="2" borderId="20" xfId="0" applyFont="1" applyFill="1" applyBorder="1" applyAlignment="1" applyProtection="1">
      <alignment horizontal="left" vertical="top" wrapText="1"/>
      <protection hidden="1"/>
    </xf>
    <xf numFmtId="0" fontId="152" fillId="2" borderId="6" xfId="0" applyFont="1" applyFill="1" applyBorder="1" applyAlignment="1" applyProtection="1">
      <alignment horizontal="left" vertical="top" wrapText="1"/>
      <protection hidden="1"/>
    </xf>
    <xf numFmtId="0" fontId="152" fillId="2" borderId="0" xfId="0" applyFont="1" applyFill="1" applyAlignment="1" applyProtection="1">
      <alignment horizontal="left" vertical="top" wrapText="1"/>
      <protection hidden="1"/>
    </xf>
    <xf numFmtId="0" fontId="152" fillId="2" borderId="21" xfId="0" applyFont="1" applyFill="1" applyBorder="1" applyAlignment="1" applyProtection="1">
      <alignment horizontal="left" vertical="top" wrapText="1"/>
      <protection hidden="1"/>
    </xf>
    <xf numFmtId="0" fontId="152" fillId="2" borderId="22" xfId="0" applyFont="1" applyFill="1" applyBorder="1" applyAlignment="1" applyProtection="1">
      <alignment horizontal="left" vertical="top" wrapText="1"/>
      <protection hidden="1"/>
    </xf>
    <xf numFmtId="0" fontId="152" fillId="2" borderId="5" xfId="0" applyFont="1" applyFill="1" applyBorder="1" applyAlignment="1" applyProtection="1">
      <alignment horizontal="left" vertical="top" wrapText="1"/>
      <protection hidden="1"/>
    </xf>
    <xf numFmtId="0" fontId="152" fillId="2" borderId="23" xfId="0" applyFont="1" applyFill="1" applyBorder="1" applyAlignment="1" applyProtection="1">
      <alignment horizontal="left" vertical="top" wrapText="1"/>
      <protection hidden="1"/>
    </xf>
    <xf numFmtId="3" fontId="0" fillId="17" borderId="1" xfId="0" applyNumberFormat="1" applyFill="1" applyBorder="1" applyAlignment="1" applyProtection="1">
      <alignment horizontal="right"/>
      <protection locked="0"/>
    </xf>
    <xf numFmtId="0" fontId="0" fillId="17" borderId="1" xfId="0" applyFill="1" applyBorder="1" applyAlignment="1" applyProtection="1">
      <alignment horizontal="right"/>
      <protection locked="0"/>
    </xf>
    <xf numFmtId="0" fontId="89" fillId="2" borderId="0" xfId="0" applyFont="1" applyFill="1" applyAlignment="1" applyProtection="1">
      <alignment horizontal="right"/>
      <protection hidden="1"/>
    </xf>
    <xf numFmtId="0" fontId="89" fillId="0" borderId="0" xfId="0" applyFont="1" applyAlignment="1" applyProtection="1">
      <alignment horizontal="right"/>
      <protection hidden="1"/>
    </xf>
    <xf numFmtId="0" fontId="189" fillId="2" borderId="5" xfId="0" applyFont="1" applyFill="1" applyBorder="1" applyAlignment="1" applyProtection="1">
      <alignment horizontal="center" vertical="center"/>
      <protection hidden="1"/>
    </xf>
    <xf numFmtId="0" fontId="18" fillId="2" borderId="0" xfId="0" applyFont="1" applyFill="1" applyAlignment="1" applyProtection="1">
      <alignment horizontal="center"/>
      <protection hidden="1"/>
    </xf>
    <xf numFmtId="0" fontId="3" fillId="20" borderId="24" xfId="0" applyFont="1" applyFill="1" applyBorder="1" applyAlignment="1" applyProtection="1">
      <alignment horizontal="center" wrapText="1"/>
      <protection hidden="1"/>
    </xf>
    <xf numFmtId="0" fontId="3" fillId="20" borderId="8" xfId="0" applyFont="1" applyFill="1" applyBorder="1" applyAlignment="1" applyProtection="1">
      <alignment horizontal="center" wrapText="1"/>
      <protection hidden="1"/>
    </xf>
    <xf numFmtId="0" fontId="3" fillId="20" borderId="20" xfId="0" applyFont="1" applyFill="1" applyBorder="1" applyAlignment="1" applyProtection="1">
      <alignment horizontal="center" wrapText="1"/>
      <protection hidden="1"/>
    </xf>
    <xf numFmtId="0" fontId="194" fillId="2" borderId="0" xfId="0" applyFont="1" applyFill="1" applyAlignment="1" applyProtection="1">
      <alignment horizontal="center"/>
      <protection hidden="1"/>
    </xf>
    <xf numFmtId="0" fontId="135" fillId="2" borderId="1" xfId="0" applyFont="1" applyFill="1" applyBorder="1" applyAlignment="1" applyProtection="1">
      <alignment horizontal="center"/>
      <protection hidden="1"/>
    </xf>
    <xf numFmtId="0" fontId="135" fillId="2" borderId="6" xfId="0" applyFont="1" applyFill="1" applyBorder="1" applyAlignment="1" applyProtection="1">
      <alignment horizontal="center" vertical="center"/>
      <protection hidden="1"/>
    </xf>
    <xf numFmtId="0" fontId="135" fillId="2" borderId="25" xfId="0" applyFont="1" applyFill="1" applyBorder="1" applyAlignment="1" applyProtection="1">
      <alignment horizontal="center" vertical="center"/>
      <protection hidden="1"/>
    </xf>
    <xf numFmtId="0" fontId="129" fillId="2" borderId="0" xfId="0" applyFont="1" applyFill="1" applyAlignment="1" applyProtection="1">
      <alignment horizontal="center"/>
      <protection hidden="1"/>
    </xf>
    <xf numFmtId="0" fontId="135" fillId="2" borderId="190" xfId="0" applyFont="1" applyFill="1" applyBorder="1" applyAlignment="1" applyProtection="1">
      <alignment horizontal="center" vertical="center"/>
      <protection hidden="1"/>
    </xf>
    <xf numFmtId="0" fontId="135" fillId="2" borderId="88" xfId="0" applyFont="1" applyFill="1" applyBorder="1" applyAlignment="1" applyProtection="1">
      <alignment horizontal="center" vertical="center"/>
      <protection hidden="1"/>
    </xf>
    <xf numFmtId="0" fontId="129" fillId="2" borderId="0" xfId="0" applyFont="1" applyFill="1" applyAlignment="1" applyProtection="1">
      <alignment horizontal="right"/>
      <protection hidden="1"/>
    </xf>
    <xf numFmtId="0" fontId="135" fillId="2" borderId="6" xfId="0" applyFont="1" applyFill="1" applyBorder="1" applyAlignment="1" applyProtection="1">
      <alignment horizontal="center"/>
      <protection hidden="1"/>
    </xf>
    <xf numFmtId="0" fontId="135" fillId="2" borderId="25" xfId="0" applyFont="1" applyFill="1" applyBorder="1" applyAlignment="1" applyProtection="1">
      <alignment horizontal="center"/>
      <protection hidden="1"/>
    </xf>
    <xf numFmtId="0" fontId="135" fillId="2" borderId="0" xfId="0" applyFont="1" applyFill="1" applyAlignment="1" applyProtection="1">
      <alignment horizontal="center" vertical="center"/>
      <protection hidden="1"/>
    </xf>
    <xf numFmtId="191" fontId="12" fillId="28" borderId="1" xfId="0" applyNumberFormat="1" applyFont="1" applyFill="1" applyBorder="1" applyAlignment="1" applyProtection="1">
      <alignment horizontal="right"/>
      <protection hidden="1"/>
    </xf>
    <xf numFmtId="0" fontId="3" fillId="25" borderId="222" xfId="0" applyFont="1" applyFill="1" applyBorder="1" applyAlignment="1" applyProtection="1">
      <alignment horizontal="center" vertical="center" textRotation="90" wrapText="1"/>
      <protection hidden="1"/>
    </xf>
    <xf numFmtId="0" fontId="3" fillId="25" borderId="79" xfId="0" applyFont="1" applyFill="1" applyBorder="1" applyAlignment="1" applyProtection="1">
      <alignment horizontal="center" vertical="center" textRotation="90" wrapText="1"/>
      <protection hidden="1"/>
    </xf>
    <xf numFmtId="0" fontId="3" fillId="25" borderId="78" xfId="0" applyFont="1" applyFill="1" applyBorder="1" applyAlignment="1" applyProtection="1">
      <alignment horizontal="center" vertical="center" textRotation="90" wrapText="1"/>
      <protection hidden="1"/>
    </xf>
    <xf numFmtId="0" fontId="184" fillId="20" borderId="6" xfId="0" applyFont="1" applyFill="1" applyBorder="1" applyAlignment="1" applyProtection="1">
      <alignment horizontal="center" vertical="center" wrapText="1"/>
      <protection hidden="1"/>
    </xf>
    <xf numFmtId="0" fontId="184" fillId="20" borderId="0" xfId="0" applyFont="1" applyFill="1" applyAlignment="1" applyProtection="1">
      <alignment horizontal="center" vertical="center" wrapText="1"/>
      <protection hidden="1"/>
    </xf>
    <xf numFmtId="37" fontId="12" fillId="2" borderId="140" xfId="0" applyNumberFormat="1" applyFont="1" applyFill="1" applyBorder="1" applyAlignment="1" applyProtection="1">
      <alignment horizontal="right"/>
      <protection hidden="1"/>
    </xf>
    <xf numFmtId="37" fontId="143" fillId="2" borderId="0" xfId="0" applyNumberFormat="1" applyFont="1" applyFill="1" applyAlignment="1" applyProtection="1">
      <alignment horizontal="right"/>
      <protection hidden="1"/>
    </xf>
    <xf numFmtId="37" fontId="143" fillId="16" borderId="0" xfId="0" applyNumberFormat="1" applyFont="1" applyFill="1" applyAlignment="1" applyProtection="1">
      <alignment horizontal="right"/>
      <protection hidden="1"/>
    </xf>
    <xf numFmtId="0" fontId="3" fillId="25" borderId="222" xfId="0" applyFont="1" applyFill="1" applyBorder="1" applyAlignment="1" applyProtection="1">
      <alignment horizontal="center" vertical="center" textRotation="90"/>
      <protection hidden="1"/>
    </xf>
    <xf numFmtId="0" fontId="3" fillId="25" borderId="79" xfId="0" applyFont="1" applyFill="1" applyBorder="1" applyAlignment="1" applyProtection="1">
      <alignment horizontal="center" vertical="center" textRotation="90"/>
      <protection hidden="1"/>
    </xf>
    <xf numFmtId="0" fontId="3" fillId="25" borderId="221" xfId="0" applyFont="1" applyFill="1" applyBorder="1" applyAlignment="1" applyProtection="1">
      <alignment horizontal="center" vertical="center" textRotation="90"/>
      <protection hidden="1"/>
    </xf>
    <xf numFmtId="0" fontId="3" fillId="25" borderId="221" xfId="0" applyFont="1" applyFill="1" applyBorder="1" applyAlignment="1" applyProtection="1">
      <alignment horizontal="center" vertical="center" textRotation="90" wrapText="1"/>
      <protection hidden="1"/>
    </xf>
    <xf numFmtId="0" fontId="3" fillId="25" borderId="209" xfId="0" applyFont="1" applyFill="1" applyBorder="1" applyAlignment="1" applyProtection="1">
      <alignment horizontal="center" vertical="center" textRotation="90"/>
      <protection hidden="1"/>
    </xf>
    <xf numFmtId="0" fontId="3" fillId="25" borderId="80" xfId="0" applyFont="1" applyFill="1" applyBorder="1" applyAlignment="1" applyProtection="1">
      <alignment horizontal="center" vertical="center" textRotation="90"/>
      <protection hidden="1"/>
    </xf>
    <xf numFmtId="0" fontId="3" fillId="20" borderId="6" xfId="0" applyFont="1" applyFill="1" applyBorder="1" applyAlignment="1" applyProtection="1">
      <alignment horizontal="center" wrapText="1"/>
      <protection hidden="1"/>
    </xf>
    <xf numFmtId="0" fontId="3" fillId="20" borderId="0" xfId="0" applyFont="1" applyFill="1" applyAlignment="1" applyProtection="1">
      <alignment horizontal="center" wrapText="1"/>
      <protection hidden="1"/>
    </xf>
    <xf numFmtId="0" fontId="3" fillId="20" borderId="21" xfId="0" applyFont="1" applyFill="1" applyBorder="1" applyAlignment="1" applyProtection="1">
      <alignment horizontal="center" wrapText="1"/>
      <protection hidden="1"/>
    </xf>
    <xf numFmtId="0" fontId="3" fillId="25" borderId="209" xfId="0" applyFont="1" applyFill="1" applyBorder="1" applyAlignment="1" applyProtection="1">
      <alignment horizontal="center" vertical="center" textRotation="90" wrapText="1"/>
      <protection hidden="1"/>
    </xf>
    <xf numFmtId="0" fontId="3" fillId="25" borderId="80" xfId="0" applyFont="1" applyFill="1" applyBorder="1" applyAlignment="1" applyProtection="1">
      <alignment horizontal="center" vertical="center" textRotation="90" wrapText="1"/>
      <protection hidden="1"/>
    </xf>
    <xf numFmtId="0" fontId="10" fillId="3" borderId="0" xfId="0" applyFont="1" applyFill="1" applyAlignment="1" applyProtection="1">
      <alignment horizontal="left" vertical="top" wrapText="1"/>
      <protection hidden="1"/>
    </xf>
    <xf numFmtId="0" fontId="10" fillId="2" borderId="27" xfId="0" applyFont="1" applyFill="1" applyBorder="1" applyAlignment="1" applyProtection="1">
      <alignment horizontal="center"/>
      <protection hidden="1"/>
    </xf>
    <xf numFmtId="0" fontId="0" fillId="0" borderId="1" xfId="0" applyBorder="1" applyAlignment="1">
      <alignment horizontal="center"/>
    </xf>
    <xf numFmtId="166" fontId="15" fillId="29" borderId="10" xfId="0" applyNumberFormat="1" applyFont="1" applyFill="1" applyBorder="1" applyAlignment="1" applyProtection="1">
      <alignment horizontal="center"/>
      <protection hidden="1"/>
    </xf>
    <xf numFmtId="0" fontId="16" fillId="26" borderId="1" xfId="0" applyFont="1" applyFill="1" applyBorder="1" applyAlignment="1" applyProtection="1">
      <alignment horizontal="center"/>
      <protection hidden="1"/>
    </xf>
    <xf numFmtId="0" fontId="13" fillId="3" borderId="3" xfId="0" applyFont="1" applyFill="1" applyBorder="1" applyAlignment="1" applyProtection="1">
      <alignment horizontal="left"/>
      <protection hidden="1"/>
    </xf>
    <xf numFmtId="0" fontId="3" fillId="0" borderId="0" xfId="0" applyFont="1"/>
    <xf numFmtId="1" fontId="95" fillId="3" borderId="81" xfId="0" applyNumberFormat="1" applyFont="1" applyFill="1" applyBorder="1" applyAlignment="1" applyProtection="1">
      <alignment horizontal="center" vertical="center" wrapText="1"/>
      <protection hidden="1"/>
    </xf>
    <xf numFmtId="0" fontId="0" fillId="0" borderId="9" xfId="0" applyBorder="1" applyAlignment="1">
      <alignment horizontal="center" vertical="center" wrapText="1"/>
    </xf>
    <xf numFmtId="0" fontId="8" fillId="3" borderId="6" xfId="0" applyFont="1" applyFill="1" applyBorder="1" applyAlignment="1" applyProtection="1">
      <alignment horizontal="center" vertical="center"/>
      <protection hidden="1"/>
    </xf>
    <xf numFmtId="0" fontId="8" fillId="3" borderId="0" xfId="0" applyFont="1" applyFill="1" applyAlignment="1" applyProtection="1">
      <alignment horizontal="center" vertical="center"/>
      <protection hidden="1"/>
    </xf>
    <xf numFmtId="0" fontId="8" fillId="3" borderId="21" xfId="0" applyFont="1" applyFill="1" applyBorder="1" applyAlignment="1" applyProtection="1">
      <alignment horizontal="center" vertical="center"/>
      <protection hidden="1"/>
    </xf>
    <xf numFmtId="0" fontId="3" fillId="3" borderId="6" xfId="0" applyFont="1" applyFill="1" applyBorder="1" applyAlignment="1" applyProtection="1">
      <alignment horizontal="center" vertical="center"/>
      <protection hidden="1"/>
    </xf>
    <xf numFmtId="0" fontId="3" fillId="3" borderId="0" xfId="0" applyFont="1" applyFill="1" applyAlignment="1" applyProtection="1">
      <alignment horizontal="center" vertical="center"/>
      <protection hidden="1"/>
    </xf>
    <xf numFmtId="0" fontId="3" fillId="3" borderId="21" xfId="0" applyFont="1" applyFill="1" applyBorder="1" applyAlignment="1" applyProtection="1">
      <alignment horizontal="center" vertical="center"/>
      <protection hidden="1"/>
    </xf>
    <xf numFmtId="0" fontId="7" fillId="3" borderId="22" xfId="0" applyFont="1" applyFill="1" applyBorder="1" applyAlignment="1" applyProtection="1">
      <alignment horizontal="center" vertical="center" wrapText="1"/>
      <protection hidden="1"/>
    </xf>
    <xf numFmtId="0" fontId="7" fillId="3" borderId="5" xfId="0" applyFont="1" applyFill="1" applyBorder="1" applyAlignment="1" applyProtection="1">
      <alignment horizontal="center" vertical="center" wrapText="1"/>
      <protection hidden="1"/>
    </xf>
    <xf numFmtId="0" fontId="7" fillId="3" borderId="23" xfId="0" applyFont="1" applyFill="1" applyBorder="1" applyAlignment="1" applyProtection="1">
      <alignment horizontal="center" vertical="center" wrapText="1"/>
      <protection hidden="1"/>
    </xf>
    <xf numFmtId="0" fontId="15" fillId="29" borderId="1" xfId="0" quotePrefix="1" applyFont="1" applyFill="1" applyBorder="1" applyAlignment="1" applyProtection="1">
      <alignment horizontal="left"/>
      <protection hidden="1"/>
    </xf>
    <xf numFmtId="0" fontId="15" fillId="29" borderId="12" xfId="0" quotePrefix="1" applyFont="1" applyFill="1" applyBorder="1" applyAlignment="1" applyProtection="1">
      <alignment horizontal="left"/>
      <protection hidden="1"/>
    </xf>
    <xf numFmtId="37" fontId="9" fillId="29" borderId="10" xfId="0" applyNumberFormat="1" applyFont="1" applyFill="1" applyBorder="1" applyAlignment="1" applyProtection="1">
      <alignment horizontal="right"/>
      <protection hidden="1"/>
    </xf>
    <xf numFmtId="37" fontId="9" fillId="29" borderId="12" xfId="0" applyNumberFormat="1" applyFont="1" applyFill="1" applyBorder="1" applyAlignment="1" applyProtection="1">
      <alignment horizontal="right"/>
      <protection hidden="1"/>
    </xf>
    <xf numFmtId="0" fontId="17" fillId="21" borderId="4" xfId="0" applyFont="1" applyFill="1" applyBorder="1" applyAlignment="1" applyProtection="1">
      <alignment horizontal="left"/>
      <protection locked="0"/>
    </xf>
    <xf numFmtId="0" fontId="17" fillId="21" borderId="158" xfId="0" applyFont="1" applyFill="1" applyBorder="1" applyAlignment="1" applyProtection="1">
      <alignment horizontal="left"/>
      <protection locked="0"/>
    </xf>
    <xf numFmtId="0" fontId="13" fillId="21" borderId="4" xfId="0" applyFont="1" applyFill="1" applyBorder="1" applyAlignment="1" applyProtection="1">
      <alignment horizontal="left"/>
      <protection locked="0"/>
    </xf>
    <xf numFmtId="0" fontId="10" fillId="3" borderId="0" xfId="0" applyFont="1" applyFill="1" applyAlignment="1" applyProtection="1">
      <alignment horizontal="left" vertical="center" wrapText="1"/>
      <protection hidden="1"/>
    </xf>
    <xf numFmtId="0" fontId="10" fillId="16" borderId="22" xfId="0" applyFont="1" applyFill="1" applyBorder="1" applyAlignment="1" applyProtection="1">
      <alignment horizontal="left" vertical="top" wrapText="1" indent="1"/>
      <protection hidden="1"/>
    </xf>
    <xf numFmtId="0" fontId="0" fillId="16" borderId="5" xfId="0" applyFill="1" applyBorder="1" applyAlignment="1" applyProtection="1">
      <alignment horizontal="left" wrapText="1" indent="1"/>
      <protection hidden="1"/>
    </xf>
    <xf numFmtId="0" fontId="75" fillId="0" borderId="63" xfId="2" applyBorder="1" applyAlignment="1" applyProtection="1">
      <alignment horizontal="center"/>
    </xf>
    <xf numFmtId="0" fontId="75" fillId="0" borderId="64" xfId="2" applyBorder="1" applyAlignment="1" applyProtection="1">
      <alignment horizontal="center"/>
    </xf>
    <xf numFmtId="0" fontId="13" fillId="27" borderId="88" xfId="0" applyFont="1" applyFill="1" applyBorder="1" applyAlignment="1" applyProtection="1">
      <alignment horizontal="center"/>
      <protection hidden="1"/>
    </xf>
    <xf numFmtId="0" fontId="13" fillId="27" borderId="92" xfId="0" applyFont="1" applyFill="1" applyBorder="1" applyAlignment="1" applyProtection="1">
      <alignment horizontal="center"/>
      <protection hidden="1"/>
    </xf>
    <xf numFmtId="0" fontId="13" fillId="21" borderId="140" xfId="0" applyFont="1" applyFill="1" applyBorder="1" applyAlignment="1" applyProtection="1">
      <alignment horizontal="center"/>
      <protection locked="0"/>
    </xf>
    <xf numFmtId="0" fontId="13" fillId="21" borderId="126" xfId="0" applyFont="1" applyFill="1" applyBorder="1" applyAlignment="1" applyProtection="1">
      <alignment horizontal="center"/>
      <protection locked="0"/>
    </xf>
    <xf numFmtId="0" fontId="10" fillId="21" borderId="88" xfId="0" applyFont="1" applyFill="1" applyBorder="1" applyAlignment="1" applyProtection="1">
      <alignment horizontal="left"/>
      <protection locked="0"/>
    </xf>
    <xf numFmtId="0" fontId="26" fillId="16" borderId="8" xfId="0" applyFont="1" applyFill="1" applyBorder="1" applyAlignment="1" applyProtection="1">
      <alignment horizontal="left"/>
      <protection hidden="1"/>
    </xf>
    <xf numFmtId="0" fontId="26" fillId="16" borderId="0" xfId="0" applyFont="1" applyFill="1" applyAlignment="1" applyProtection="1">
      <alignment horizontal="left"/>
      <protection hidden="1"/>
    </xf>
    <xf numFmtId="3" fontId="13" fillId="2" borderId="8" xfId="0" applyNumberFormat="1" applyFont="1" applyFill="1" applyBorder="1" applyAlignment="1" applyProtection="1">
      <alignment horizontal="center" vertical="top" wrapText="1"/>
      <protection hidden="1"/>
    </xf>
    <xf numFmtId="3" fontId="13" fillId="2" borderId="0" xfId="0" applyNumberFormat="1" applyFont="1" applyFill="1" applyAlignment="1" applyProtection="1">
      <alignment horizontal="center" vertical="top" wrapText="1"/>
      <protection hidden="1"/>
    </xf>
    <xf numFmtId="0" fontId="13" fillId="27" borderId="95" xfId="0" applyFont="1" applyFill="1" applyBorder="1" applyAlignment="1" applyProtection="1">
      <alignment horizontal="center"/>
      <protection hidden="1"/>
    </xf>
    <xf numFmtId="0" fontId="13" fillId="27" borderId="96" xfId="0" applyFont="1" applyFill="1" applyBorder="1" applyAlignment="1" applyProtection="1">
      <alignment horizontal="center"/>
      <protection hidden="1"/>
    </xf>
    <xf numFmtId="0" fontId="5" fillId="25" borderId="24" xfId="0" applyFont="1" applyFill="1" applyBorder="1" applyAlignment="1" applyProtection="1">
      <alignment horizontal="center" vertical="center" wrapText="1"/>
      <protection hidden="1"/>
    </xf>
    <xf numFmtId="0" fontId="5" fillId="25" borderId="8" xfId="0" applyFont="1" applyFill="1" applyBorder="1" applyAlignment="1" applyProtection="1">
      <alignment horizontal="center" vertical="center"/>
      <protection hidden="1"/>
    </xf>
    <xf numFmtId="0" fontId="5" fillId="25" borderId="20" xfId="0" applyFont="1" applyFill="1" applyBorder="1" applyAlignment="1" applyProtection="1">
      <alignment horizontal="center" vertical="center"/>
      <protection hidden="1"/>
    </xf>
    <xf numFmtId="0" fontId="5" fillId="25" borderId="27" xfId="0" applyFont="1" applyFill="1" applyBorder="1" applyAlignment="1" applyProtection="1">
      <alignment horizontal="center" vertical="center"/>
      <protection hidden="1"/>
    </xf>
    <xf numFmtId="0" fontId="5" fillId="25" borderId="1" xfId="0" applyFont="1" applyFill="1" applyBorder="1" applyAlignment="1" applyProtection="1">
      <alignment horizontal="center" vertical="center"/>
      <protection hidden="1"/>
    </xf>
    <xf numFmtId="0" fontId="5" fillId="25" borderId="30" xfId="0" applyFont="1" applyFill="1" applyBorder="1" applyAlignment="1" applyProtection="1">
      <alignment horizontal="center" vertical="center"/>
      <protection hidden="1"/>
    </xf>
    <xf numFmtId="0" fontId="201" fillId="21" borderId="4" xfId="0" applyFont="1" applyFill="1" applyBorder="1" applyAlignment="1" applyProtection="1">
      <alignment horizontal="left"/>
      <protection locked="0" hidden="1"/>
    </xf>
    <xf numFmtId="0" fontId="201" fillId="17" borderId="4" xfId="0" applyFont="1" applyFill="1" applyBorder="1" applyAlignment="1" applyProtection="1">
      <alignment horizontal="left"/>
      <protection locked="0" hidden="1"/>
    </xf>
    <xf numFmtId="0" fontId="201" fillId="17" borderId="85" xfId="0" applyFont="1" applyFill="1" applyBorder="1" applyAlignment="1" applyProtection="1">
      <alignment horizontal="left"/>
      <protection locked="0" hidden="1"/>
    </xf>
    <xf numFmtId="4" fontId="3" fillId="3" borderId="10" xfId="0" applyNumberFormat="1" applyFont="1" applyFill="1" applyBorder="1" applyAlignment="1" applyProtection="1">
      <alignment horizontal="center"/>
      <protection hidden="1"/>
    </xf>
    <xf numFmtId="4" fontId="3" fillId="3" borderId="1" xfId="0" applyNumberFormat="1" applyFont="1" applyFill="1" applyBorder="1" applyAlignment="1" applyProtection="1">
      <alignment horizontal="center"/>
      <protection hidden="1"/>
    </xf>
    <xf numFmtId="0" fontId="3" fillId="0" borderId="1" xfId="0" applyFont="1" applyBorder="1" applyAlignment="1" applyProtection="1">
      <alignment horizontal="center"/>
      <protection hidden="1"/>
    </xf>
    <xf numFmtId="0" fontId="23" fillId="2" borderId="6" xfId="0" applyFont="1" applyFill="1" applyBorder="1" applyAlignment="1" applyProtection="1">
      <alignment horizontal="center" vertical="center"/>
      <protection hidden="1"/>
    </xf>
    <xf numFmtId="0" fontId="23" fillId="2" borderId="0" xfId="0" applyFont="1" applyFill="1" applyAlignment="1" applyProtection="1">
      <alignment horizontal="center" vertical="center"/>
      <protection hidden="1"/>
    </xf>
    <xf numFmtId="0" fontId="23" fillId="2" borderId="21" xfId="0" applyFont="1" applyFill="1" applyBorder="1" applyAlignment="1" applyProtection="1">
      <alignment horizontal="center" vertical="center"/>
      <protection hidden="1"/>
    </xf>
    <xf numFmtId="39" fontId="5" fillId="21" borderId="40" xfId="0" applyNumberFormat="1" applyFont="1" applyFill="1" applyBorder="1" applyAlignment="1" applyProtection="1">
      <alignment horizontal="right"/>
      <protection locked="0" hidden="1"/>
    </xf>
    <xf numFmtId="39" fontId="5" fillId="21" borderId="26" xfId="0" applyNumberFormat="1" applyFont="1" applyFill="1" applyBorder="1" applyAlignment="1" applyProtection="1">
      <alignment horizontal="right"/>
      <protection locked="0" hidden="1"/>
    </xf>
    <xf numFmtId="39" fontId="5" fillId="17" borderId="26" xfId="0" applyNumberFormat="1" applyFont="1" applyFill="1" applyBorder="1" applyAlignment="1" applyProtection="1">
      <alignment horizontal="right"/>
      <protection locked="0" hidden="1"/>
    </xf>
    <xf numFmtId="0" fontId="8" fillId="3" borderId="6" xfId="0" applyFont="1" applyFill="1" applyBorder="1" applyAlignment="1" applyProtection="1">
      <alignment horizontal="center"/>
      <protection hidden="1"/>
    </xf>
    <xf numFmtId="0" fontId="8" fillId="3" borderId="0" xfId="0" applyFont="1" applyFill="1" applyAlignment="1" applyProtection="1">
      <alignment horizontal="center"/>
      <protection hidden="1"/>
    </xf>
    <xf numFmtId="0" fontId="8" fillId="3" borderId="21" xfId="0" applyFont="1" applyFill="1" applyBorder="1" applyAlignment="1" applyProtection="1">
      <alignment horizontal="center"/>
      <protection hidden="1"/>
    </xf>
    <xf numFmtId="0" fontId="19" fillId="3" borderId="57" xfId="0" applyFont="1" applyFill="1" applyBorder="1" applyAlignment="1" applyProtection="1">
      <alignment horizontal="left"/>
      <protection hidden="1"/>
    </xf>
    <xf numFmtId="0" fontId="19" fillId="0" borderId="8" xfId="0" applyFont="1" applyBorder="1" applyAlignment="1">
      <alignment horizontal="left"/>
    </xf>
    <xf numFmtId="166" fontId="12" fillId="27" borderId="10" xfId="0" applyNumberFormat="1" applyFont="1" applyFill="1" applyBorder="1" applyAlignment="1" applyProtection="1">
      <alignment horizontal="center"/>
      <protection hidden="1"/>
    </xf>
    <xf numFmtId="0" fontId="16" fillId="28" borderId="1" xfId="0" applyFont="1" applyFill="1" applyBorder="1" applyAlignment="1" applyProtection="1">
      <alignment horizontal="center"/>
      <protection hidden="1"/>
    </xf>
    <xf numFmtId="4" fontId="3" fillId="3" borderId="40" xfId="0" applyNumberFormat="1" applyFont="1" applyFill="1" applyBorder="1" applyAlignment="1" applyProtection="1">
      <alignment horizontal="center"/>
      <protection hidden="1"/>
    </xf>
    <xf numFmtId="4" fontId="3" fillId="3" borderId="26" xfId="0" applyNumberFormat="1" applyFont="1" applyFill="1" applyBorder="1" applyAlignment="1" applyProtection="1">
      <alignment horizontal="center"/>
      <protection hidden="1"/>
    </xf>
    <xf numFmtId="4" fontId="3" fillId="3" borderId="31" xfId="0" applyNumberFormat="1" applyFont="1" applyFill="1" applyBorder="1" applyAlignment="1" applyProtection="1">
      <alignment horizontal="center"/>
      <protection hidden="1"/>
    </xf>
    <xf numFmtId="4" fontId="3" fillId="3" borderId="9" xfId="0" applyNumberFormat="1" applyFont="1" applyFill="1" applyBorder="1" applyAlignment="1" applyProtection="1">
      <alignment horizontal="center"/>
      <protection hidden="1"/>
    </xf>
    <xf numFmtId="37" fontId="6" fillId="27" borderId="10" xfId="0" applyNumberFormat="1" applyFont="1" applyFill="1" applyBorder="1" applyProtection="1">
      <protection hidden="1"/>
    </xf>
    <xf numFmtId="37" fontId="6" fillId="27" borderId="1" xfId="0" applyNumberFormat="1" applyFont="1" applyFill="1" applyBorder="1" applyProtection="1">
      <protection hidden="1"/>
    </xf>
    <xf numFmtId="39" fontId="5" fillId="21" borderId="40" xfId="0" applyNumberFormat="1" applyFont="1" applyFill="1" applyBorder="1" applyAlignment="1" applyProtection="1">
      <alignment horizontal="right"/>
      <protection locked="0"/>
    </xf>
    <xf numFmtId="39" fontId="5" fillId="21" borderId="26" xfId="0" applyNumberFormat="1" applyFont="1" applyFill="1" applyBorder="1" applyAlignment="1" applyProtection="1">
      <alignment horizontal="right"/>
      <protection locked="0"/>
    </xf>
    <xf numFmtId="39" fontId="5" fillId="17" borderId="26" xfId="0" applyNumberFormat="1" applyFont="1" applyFill="1" applyBorder="1" applyAlignment="1" applyProtection="1">
      <alignment horizontal="right"/>
      <protection locked="0"/>
    </xf>
    <xf numFmtId="3" fontId="6" fillId="21" borderId="10" xfId="0" applyNumberFormat="1" applyFont="1" applyFill="1" applyBorder="1" applyAlignment="1" applyProtection="1">
      <alignment horizontal="right"/>
      <protection locked="0"/>
    </xf>
    <xf numFmtId="3" fontId="6" fillId="21" borderId="1" xfId="0" applyNumberFormat="1" applyFont="1" applyFill="1" applyBorder="1" applyAlignment="1" applyProtection="1">
      <alignment horizontal="right"/>
      <protection locked="0"/>
    </xf>
    <xf numFmtId="4" fontId="6" fillId="14" borderId="3"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0" fontId="0" fillId="0" borderId="25" xfId="0" applyBorder="1" applyAlignment="1" applyProtection="1">
      <alignment vertical="center"/>
      <protection hidden="1"/>
    </xf>
    <xf numFmtId="0" fontId="0" fillId="0" borderId="3" xfId="0" applyBorder="1" applyAlignment="1" applyProtection="1">
      <alignment vertical="center"/>
      <protection hidden="1"/>
    </xf>
    <xf numFmtId="37" fontId="6" fillId="27" borderId="40" xfId="0" applyNumberFormat="1" applyFont="1" applyFill="1" applyBorder="1" applyProtection="1">
      <protection hidden="1"/>
    </xf>
    <xf numFmtId="37" fontId="6" fillId="27" borderId="26" xfId="0" applyNumberFormat="1" applyFont="1" applyFill="1" applyBorder="1" applyProtection="1">
      <protection hidden="1"/>
    </xf>
    <xf numFmtId="0" fontId="75" fillId="11" borderId="63" xfId="2" applyFill="1" applyBorder="1" applyAlignment="1" applyProtection="1">
      <alignment horizontal="center"/>
    </xf>
    <xf numFmtId="0" fontId="75" fillId="11" borderId="64" xfId="2" applyFill="1" applyBorder="1" applyAlignment="1" applyProtection="1">
      <alignment horizontal="center"/>
    </xf>
    <xf numFmtId="0" fontId="6" fillId="3" borderId="0" xfId="0" applyFont="1" applyFill="1" applyAlignment="1" applyProtection="1">
      <alignment horizontal="left" vertical="top"/>
      <protection hidden="1"/>
    </xf>
    <xf numFmtId="0" fontId="5" fillId="0" borderId="0" xfId="0" applyFont="1" applyAlignment="1">
      <alignment vertical="top"/>
    </xf>
    <xf numFmtId="0" fontId="10" fillId="21" borderId="88" xfId="0" applyFont="1" applyFill="1" applyBorder="1" applyAlignment="1" applyProtection="1">
      <alignment horizontal="left" indent="1"/>
      <protection locked="0"/>
    </xf>
    <xf numFmtId="0" fontId="0" fillId="21" borderId="88" xfId="0" applyFill="1" applyBorder="1" applyAlignment="1" applyProtection="1">
      <alignment horizontal="left" indent="1"/>
      <protection locked="0"/>
    </xf>
    <xf numFmtId="0" fontId="0" fillId="21" borderId="92" xfId="0" applyFill="1" applyBorder="1" applyAlignment="1" applyProtection="1">
      <alignment horizontal="left" indent="1"/>
      <protection locked="0"/>
    </xf>
    <xf numFmtId="0" fontId="19" fillId="2" borderId="6"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9" fillId="2" borderId="27" xfId="0" applyFont="1" applyFill="1" applyBorder="1" applyAlignment="1" applyProtection="1">
      <alignment horizontal="center" vertical="center"/>
      <protection hidden="1"/>
    </xf>
    <xf numFmtId="0" fontId="19" fillId="2" borderId="1" xfId="0" applyFont="1" applyFill="1" applyBorder="1" applyAlignment="1" applyProtection="1">
      <alignment horizontal="center" vertical="center"/>
      <protection hidden="1"/>
    </xf>
    <xf numFmtId="0" fontId="24" fillId="2" borderId="81" xfId="0" applyFont="1" applyFill="1" applyBorder="1" applyAlignment="1" applyProtection="1">
      <alignment horizontal="center" vertical="center"/>
      <protection hidden="1"/>
    </xf>
    <xf numFmtId="0" fontId="5" fillId="0" borderId="9" xfId="0" applyFont="1" applyBorder="1" applyAlignment="1">
      <alignment horizontal="center" vertical="center"/>
    </xf>
    <xf numFmtId="0" fontId="5" fillId="0" borderId="6" xfId="0" applyFont="1" applyBorder="1" applyAlignment="1">
      <alignment horizontal="center" vertical="center"/>
    </xf>
    <xf numFmtId="0" fontId="5" fillId="0" borderId="0" xfId="0" applyFont="1" applyAlignment="1">
      <alignment horizontal="center" vertical="center"/>
    </xf>
    <xf numFmtId="0" fontId="18" fillId="3" borderId="0" xfId="0" applyFont="1" applyFill="1" applyAlignment="1" applyProtection="1">
      <alignment horizontal="left" vertical="top" wrapText="1"/>
      <protection hidden="1"/>
    </xf>
    <xf numFmtId="0" fontId="10" fillId="21" borderId="93" xfId="0" applyFont="1" applyFill="1" applyBorder="1" applyAlignment="1" applyProtection="1">
      <alignment horizontal="left"/>
      <protection locked="0"/>
    </xf>
    <xf numFmtId="0" fontId="21" fillId="17" borderId="93" xfId="0" applyFont="1" applyFill="1" applyBorder="1" applyAlignment="1" applyProtection="1">
      <alignment horizontal="left"/>
      <protection locked="0"/>
    </xf>
    <xf numFmtId="39" fontId="5" fillId="21" borderId="93" xfId="0" applyNumberFormat="1" applyFont="1" applyFill="1" applyBorder="1" applyAlignment="1" applyProtection="1">
      <alignment wrapText="1"/>
      <protection locked="0"/>
    </xf>
    <xf numFmtId="0" fontId="5" fillId="17" borderId="93" xfId="0" applyFont="1" applyFill="1" applyBorder="1" applyAlignment="1" applyProtection="1">
      <alignment wrapText="1"/>
      <protection locked="0"/>
    </xf>
    <xf numFmtId="0" fontId="5" fillId="17" borderId="94" xfId="0" applyFont="1" applyFill="1" applyBorder="1" applyAlignment="1" applyProtection="1">
      <alignment wrapText="1"/>
      <protection locked="0"/>
    </xf>
    <xf numFmtId="37" fontId="6" fillId="21" borderId="10" xfId="0" applyNumberFormat="1" applyFont="1" applyFill="1" applyBorder="1" applyAlignment="1" applyProtection="1">
      <alignment horizontal="right"/>
      <protection locked="0"/>
    </xf>
    <xf numFmtId="37" fontId="6" fillId="21" borderId="1" xfId="0" applyNumberFormat="1" applyFont="1" applyFill="1" applyBorder="1" applyAlignment="1" applyProtection="1">
      <alignment horizontal="right"/>
      <protection locked="0"/>
    </xf>
    <xf numFmtId="3" fontId="8" fillId="21" borderId="1" xfId="0" applyNumberFormat="1" applyFont="1" applyFill="1" applyBorder="1" applyAlignment="1" applyProtection="1">
      <alignment horizontal="center"/>
      <protection locked="0"/>
    </xf>
    <xf numFmtId="3" fontId="3" fillId="21" borderId="1" xfId="0" applyNumberFormat="1" applyFont="1" applyFill="1" applyBorder="1" applyAlignment="1" applyProtection="1">
      <alignment horizontal="center"/>
      <protection locked="0"/>
    </xf>
    <xf numFmtId="37" fontId="8" fillId="17" borderId="40" xfId="0" applyNumberFormat="1" applyFont="1" applyFill="1" applyBorder="1" applyAlignment="1" applyProtection="1">
      <alignment horizontal="right"/>
      <protection locked="0"/>
    </xf>
    <xf numFmtId="37" fontId="8" fillId="17" borderId="26" xfId="0" applyNumberFormat="1" applyFont="1" applyFill="1" applyBorder="1" applyAlignment="1" applyProtection="1">
      <alignment horizontal="right"/>
      <protection locked="0"/>
    </xf>
    <xf numFmtId="37" fontId="8" fillId="17" borderId="10" xfId="0" applyNumberFormat="1" applyFont="1" applyFill="1" applyBorder="1" applyAlignment="1" applyProtection="1">
      <alignment horizontal="right"/>
      <protection locked="0"/>
    </xf>
    <xf numFmtId="37" fontId="8" fillId="17" borderId="1" xfId="0" applyNumberFormat="1" applyFont="1" applyFill="1" applyBorder="1" applyAlignment="1" applyProtection="1">
      <alignment horizontal="right"/>
      <protection locked="0"/>
    </xf>
    <xf numFmtId="3" fontId="233" fillId="16" borderId="31" xfId="0" applyNumberFormat="1" applyFont="1" applyFill="1" applyBorder="1" applyAlignment="1" applyProtection="1">
      <alignment horizontal="center"/>
      <protection hidden="1"/>
    </xf>
    <xf numFmtId="3" fontId="233" fillId="16" borderId="9" xfId="0" applyNumberFormat="1" applyFont="1" applyFill="1" applyBorder="1" applyAlignment="1" applyProtection="1">
      <alignment horizontal="center"/>
      <protection hidden="1"/>
    </xf>
    <xf numFmtId="3" fontId="233" fillId="16" borderId="3" xfId="0" applyNumberFormat="1" applyFont="1" applyFill="1" applyBorder="1" applyAlignment="1" applyProtection="1">
      <alignment horizontal="center"/>
      <protection hidden="1"/>
    </xf>
    <xf numFmtId="3" fontId="233" fillId="16" borderId="0" xfId="0" applyNumberFormat="1" applyFont="1" applyFill="1" applyAlignment="1" applyProtection="1">
      <alignment horizontal="center"/>
      <protection hidden="1"/>
    </xf>
    <xf numFmtId="176" fontId="6" fillId="21" borderId="88" xfId="0" applyNumberFormat="1" applyFont="1" applyFill="1" applyBorder="1" applyAlignment="1" applyProtection="1">
      <alignment horizontal="center"/>
      <protection locked="0"/>
    </xf>
    <xf numFmtId="37" fontId="135" fillId="3" borderId="0" xfId="0" applyNumberFormat="1" applyFont="1" applyFill="1" applyAlignment="1" applyProtection="1">
      <alignment horizontal="center"/>
      <protection hidden="1"/>
    </xf>
    <xf numFmtId="37" fontId="135" fillId="3" borderId="25" xfId="0" applyNumberFormat="1" applyFont="1" applyFill="1" applyBorder="1" applyAlignment="1" applyProtection="1">
      <alignment horizontal="center"/>
      <protection hidden="1"/>
    </xf>
    <xf numFmtId="37" fontId="6" fillId="21" borderId="88" xfId="0" applyNumberFormat="1" applyFont="1" applyFill="1" applyBorder="1" applyAlignment="1" applyProtection="1">
      <alignment horizontal="center"/>
      <protection locked="0"/>
    </xf>
    <xf numFmtId="37" fontId="8" fillId="29" borderId="10" xfId="0" applyNumberFormat="1" applyFont="1" applyFill="1" applyBorder="1" applyAlignment="1" applyProtection="1">
      <alignment horizontal="right"/>
      <protection hidden="1"/>
    </xf>
    <xf numFmtId="37" fontId="8" fillId="29" borderId="1" xfId="0" applyNumberFormat="1" applyFont="1" applyFill="1" applyBorder="1" applyAlignment="1" applyProtection="1">
      <alignment horizontal="right"/>
      <protection hidden="1"/>
    </xf>
    <xf numFmtId="3" fontId="8" fillId="21" borderId="10" xfId="0" applyNumberFormat="1" applyFont="1" applyFill="1" applyBorder="1" applyAlignment="1" applyProtection="1">
      <alignment horizontal="right"/>
      <protection locked="0"/>
    </xf>
    <xf numFmtId="3" fontId="8" fillId="21" borderId="1" xfId="0" applyNumberFormat="1" applyFont="1" applyFill="1" applyBorder="1" applyAlignment="1" applyProtection="1">
      <alignment horizontal="right"/>
      <protection locked="0"/>
    </xf>
    <xf numFmtId="3" fontId="8" fillId="21" borderId="31" xfId="0" applyNumberFormat="1" applyFont="1" applyFill="1" applyBorder="1" applyAlignment="1" applyProtection="1">
      <alignment horizontal="right"/>
      <protection locked="0"/>
    </xf>
    <xf numFmtId="3" fontId="8" fillId="21" borderId="9" xfId="0" applyNumberFormat="1" applyFont="1" applyFill="1" applyBorder="1" applyAlignment="1" applyProtection="1">
      <alignment horizontal="right"/>
      <protection locked="0"/>
    </xf>
    <xf numFmtId="37" fontId="8" fillId="29" borderId="31" xfId="0" applyNumberFormat="1" applyFont="1" applyFill="1" applyBorder="1" applyAlignment="1" applyProtection="1">
      <alignment horizontal="right"/>
      <protection hidden="1"/>
    </xf>
    <xf numFmtId="37" fontId="7" fillId="29" borderId="9" xfId="0" applyNumberFormat="1" applyFont="1" applyFill="1" applyBorder="1" applyAlignment="1">
      <alignment horizontal="right"/>
    </xf>
    <xf numFmtId="37" fontId="7" fillId="29" borderId="10" xfId="0" applyNumberFormat="1" applyFont="1" applyFill="1" applyBorder="1" applyAlignment="1">
      <alignment horizontal="right"/>
    </xf>
    <xf numFmtId="37" fontId="7" fillId="29" borderId="1" xfId="0" applyNumberFormat="1" applyFont="1" applyFill="1" applyBorder="1" applyAlignment="1">
      <alignment horizontal="right"/>
    </xf>
    <xf numFmtId="37" fontId="8" fillId="21" borderId="10" xfId="0" applyNumberFormat="1" applyFont="1" applyFill="1" applyBorder="1" applyAlignment="1" applyProtection="1">
      <alignment horizontal="right"/>
      <protection locked="0"/>
    </xf>
    <xf numFmtId="0" fontId="17" fillId="21" borderId="95" xfId="0" applyFont="1" applyFill="1" applyBorder="1" applyAlignment="1" applyProtection="1">
      <alignment horizontal="left"/>
      <protection locked="0"/>
    </xf>
    <xf numFmtId="0" fontId="0" fillId="17" borderId="95" xfId="0" applyFill="1" applyBorder="1" applyAlignment="1" applyProtection="1">
      <alignment horizontal="left"/>
      <protection locked="0"/>
    </xf>
    <xf numFmtId="166" fontId="6" fillId="27" borderId="36" xfId="0" applyNumberFormat="1" applyFont="1" applyFill="1" applyBorder="1" applyAlignment="1" applyProtection="1">
      <alignment horizontal="center" vertical="center"/>
      <protection hidden="1"/>
    </xf>
    <xf numFmtId="166" fontId="6" fillId="27" borderId="14" xfId="0" applyNumberFormat="1" applyFont="1" applyFill="1" applyBorder="1" applyAlignment="1" applyProtection="1">
      <alignment horizontal="center" vertical="center"/>
      <protection hidden="1"/>
    </xf>
    <xf numFmtId="3" fontId="6" fillId="21" borderId="88" xfId="0" applyNumberFormat="1" applyFont="1" applyFill="1" applyBorder="1" applyAlignment="1" applyProtection="1">
      <alignment horizontal="center"/>
      <protection locked="0"/>
    </xf>
    <xf numFmtId="39" fontId="5" fillId="21" borderId="90" xfId="0" applyNumberFormat="1" applyFont="1" applyFill="1" applyBorder="1" applyAlignment="1" applyProtection="1">
      <alignment wrapText="1"/>
      <protection locked="0"/>
    </xf>
    <xf numFmtId="0" fontId="5" fillId="17" borderId="90" xfId="0" applyFont="1" applyFill="1" applyBorder="1" applyAlignment="1" applyProtection="1">
      <alignment wrapText="1"/>
      <protection locked="0"/>
    </xf>
    <xf numFmtId="0" fontId="5" fillId="17" borderId="91" xfId="0" applyFont="1" applyFill="1" applyBorder="1" applyAlignment="1" applyProtection="1">
      <alignment wrapText="1"/>
      <protection locked="0"/>
    </xf>
    <xf numFmtId="37" fontId="6" fillId="21" borderId="4" xfId="0" applyNumberFormat="1" applyFont="1" applyFill="1" applyBorder="1" applyAlignment="1" applyProtection="1">
      <alignment horizontal="center"/>
      <protection locked="0"/>
    </xf>
    <xf numFmtId="0" fontId="0" fillId="0" borderId="4" xfId="0" applyBorder="1" applyAlignment="1">
      <alignment horizontal="center"/>
    </xf>
    <xf numFmtId="39" fontId="7" fillId="3" borderId="0" xfId="0" applyNumberFormat="1" applyFont="1" applyFill="1" applyAlignment="1" applyProtection="1">
      <alignment horizontal="center"/>
      <protection hidden="1"/>
    </xf>
    <xf numFmtId="0" fontId="7" fillId="0" borderId="0" xfId="0" applyFont="1" applyAlignment="1">
      <alignment horizontal="center"/>
    </xf>
    <xf numFmtId="39" fontId="5" fillId="21" borderId="95" xfId="0" applyNumberFormat="1" applyFont="1" applyFill="1" applyBorder="1" applyAlignment="1" applyProtection="1">
      <alignment wrapText="1"/>
      <protection locked="0"/>
    </xf>
    <xf numFmtId="0" fontId="5" fillId="17" borderId="95" xfId="0" applyFont="1" applyFill="1" applyBorder="1" applyAlignment="1" applyProtection="1">
      <alignment wrapText="1"/>
      <protection locked="0"/>
    </xf>
    <xf numFmtId="0" fontId="5" fillId="17" borderId="96" xfId="0" applyFont="1" applyFill="1" applyBorder="1" applyAlignment="1" applyProtection="1">
      <alignment wrapText="1"/>
      <protection locked="0"/>
    </xf>
    <xf numFmtId="37" fontId="8" fillId="29" borderId="70" xfId="0" applyNumberFormat="1" applyFont="1" applyFill="1" applyBorder="1" applyAlignment="1" applyProtection="1">
      <alignment horizontal="right"/>
      <protection hidden="1"/>
    </xf>
    <xf numFmtId="37" fontId="7" fillId="29" borderId="5" xfId="0" applyNumberFormat="1" applyFont="1" applyFill="1" applyBorder="1" applyAlignment="1">
      <alignment horizontal="right"/>
    </xf>
    <xf numFmtId="1" fontId="234" fillId="37" borderId="0" xfId="0" applyNumberFormat="1" applyFont="1" applyFill="1" applyAlignment="1" applyProtection="1">
      <alignment horizontal="center" vertical="center" wrapText="1"/>
      <protection hidden="1"/>
    </xf>
    <xf numFmtId="37" fontId="8" fillId="28" borderId="10" xfId="0" applyNumberFormat="1" applyFont="1" applyFill="1" applyBorder="1" applyAlignment="1" applyProtection="1">
      <alignment horizontal="right"/>
      <protection hidden="1"/>
    </xf>
    <xf numFmtId="37" fontId="8" fillId="28" borderId="1" xfId="0" applyNumberFormat="1" applyFont="1" applyFill="1" applyBorder="1" applyAlignment="1" applyProtection="1">
      <alignment horizontal="right"/>
      <protection hidden="1"/>
    </xf>
    <xf numFmtId="3" fontId="8" fillId="29" borderId="10" xfId="0" applyNumberFormat="1" applyFont="1" applyFill="1" applyBorder="1" applyAlignment="1" applyProtection="1">
      <alignment horizontal="right"/>
      <protection hidden="1"/>
    </xf>
    <xf numFmtId="3" fontId="8" fillId="29" borderId="1" xfId="0" applyNumberFormat="1" applyFont="1" applyFill="1" applyBorder="1" applyAlignment="1" applyProtection="1">
      <alignment horizontal="right"/>
      <protection hidden="1"/>
    </xf>
    <xf numFmtId="3" fontId="8" fillId="20" borderId="53" xfId="0" applyNumberFormat="1" applyFont="1" applyFill="1" applyBorder="1" applyAlignment="1" applyProtection="1">
      <alignment horizontal="right"/>
      <protection hidden="1"/>
    </xf>
    <xf numFmtId="3" fontId="8" fillId="20" borderId="32" xfId="0" applyNumberFormat="1" applyFont="1" applyFill="1" applyBorder="1" applyAlignment="1" applyProtection="1">
      <alignment horizontal="right"/>
      <protection hidden="1"/>
    </xf>
    <xf numFmtId="39" fontId="17" fillId="21" borderId="90" xfId="0" applyNumberFormat="1" applyFont="1" applyFill="1" applyBorder="1" applyAlignment="1" applyProtection="1">
      <alignment horizontal="left"/>
      <protection locked="0"/>
    </xf>
    <xf numFmtId="0" fontId="0" fillId="17" borderId="90" xfId="0" applyFill="1" applyBorder="1" applyAlignment="1" applyProtection="1">
      <alignment horizontal="left"/>
      <protection locked="0"/>
    </xf>
    <xf numFmtId="0" fontId="0" fillId="17" borderId="65" xfId="0" applyFill="1" applyBorder="1" applyAlignment="1" applyProtection="1">
      <alignment horizontal="left"/>
      <protection locked="0"/>
    </xf>
    <xf numFmtId="4" fontId="8" fillId="21" borderId="88" xfId="0" applyNumberFormat="1" applyFont="1" applyFill="1" applyBorder="1" applyProtection="1">
      <protection locked="0"/>
    </xf>
    <xf numFmtId="0" fontId="10" fillId="3" borderId="6" xfId="0" applyFont="1" applyFill="1" applyBorder="1" applyAlignment="1" applyProtection="1">
      <alignment horizontal="center" wrapText="1"/>
      <protection hidden="1"/>
    </xf>
    <xf numFmtId="0" fontId="10" fillId="3" borderId="0" xfId="0" applyFont="1" applyFill="1" applyAlignment="1" applyProtection="1">
      <alignment horizontal="center" wrapText="1"/>
      <protection hidden="1"/>
    </xf>
    <xf numFmtId="0" fontId="10" fillId="3" borderId="27" xfId="0" applyFont="1" applyFill="1" applyBorder="1" applyAlignment="1" applyProtection="1">
      <alignment horizontal="center" wrapText="1"/>
      <protection hidden="1"/>
    </xf>
    <xf numFmtId="0" fontId="10" fillId="3" borderId="1" xfId="0" applyFont="1" applyFill="1" applyBorder="1" applyAlignment="1" applyProtection="1">
      <alignment horizontal="center" wrapText="1"/>
      <protection hidden="1"/>
    </xf>
    <xf numFmtId="0" fontId="23" fillId="3" borderId="0" xfId="0" quotePrefix="1" applyFont="1" applyFill="1" applyAlignment="1" applyProtection="1">
      <alignment horizontal="left" wrapText="1"/>
      <protection hidden="1"/>
    </xf>
    <xf numFmtId="0" fontId="23" fillId="3" borderId="1" xfId="0" applyFont="1" applyFill="1" applyBorder="1" applyAlignment="1" applyProtection="1">
      <alignment horizontal="left" wrapText="1"/>
      <protection hidden="1"/>
    </xf>
    <xf numFmtId="0" fontId="75" fillId="11" borderId="62" xfId="2" applyFill="1" applyBorder="1" applyAlignment="1" applyProtection="1">
      <alignment horizontal="center" vertical="center" wrapText="1"/>
    </xf>
    <xf numFmtId="0" fontId="75" fillId="11" borderId="63" xfId="2" applyFill="1" applyBorder="1" applyAlignment="1" applyProtection="1">
      <alignment horizontal="center" vertical="center" wrapText="1"/>
    </xf>
    <xf numFmtId="0" fontId="75" fillId="11" borderId="64" xfId="2" applyFill="1" applyBorder="1" applyAlignment="1" applyProtection="1">
      <alignment horizontal="center" vertical="center" wrapText="1"/>
    </xf>
    <xf numFmtId="0" fontId="75" fillId="11" borderId="62" xfId="2" applyFill="1" applyBorder="1" applyAlignment="1" applyProtection="1">
      <alignment horizontal="center" vertical="center"/>
    </xf>
    <xf numFmtId="0" fontId="75" fillId="11" borderId="63" xfId="2" applyFill="1" applyBorder="1" applyAlignment="1" applyProtection="1">
      <alignment horizontal="center" vertical="center"/>
    </xf>
    <xf numFmtId="0" fontId="75" fillId="11" borderId="64" xfId="2" applyFill="1" applyBorder="1" applyAlignment="1" applyProtection="1">
      <alignment horizontal="center" vertical="center"/>
    </xf>
    <xf numFmtId="0" fontId="7" fillId="3" borderId="27" xfId="0" applyFont="1" applyFill="1" applyBorder="1" applyAlignment="1" applyProtection="1">
      <alignment horizontal="center" vertical="center"/>
      <protection hidden="1"/>
    </xf>
    <xf numFmtId="0" fontId="65" fillId="3" borderId="81" xfId="0" applyFont="1" applyFill="1" applyBorder="1" applyAlignment="1" applyProtection="1">
      <alignment horizontal="center" vertical="center"/>
      <protection hidden="1"/>
    </xf>
    <xf numFmtId="0" fontId="103" fillId="0" borderId="9" xfId="0" applyFont="1" applyBorder="1" applyAlignment="1">
      <alignment horizontal="center" vertical="center"/>
    </xf>
    <xf numFmtId="0" fontId="65" fillId="3" borderId="9" xfId="0" applyFont="1" applyFill="1" applyBorder="1" applyAlignment="1" applyProtection="1">
      <alignment horizontal="center" vertical="center"/>
      <protection hidden="1"/>
    </xf>
    <xf numFmtId="0" fontId="19" fillId="3" borderId="0" xfId="0" applyFont="1" applyFill="1" applyAlignment="1" applyProtection="1">
      <alignment wrapText="1"/>
      <protection hidden="1"/>
    </xf>
    <xf numFmtId="0" fontId="19" fillId="0" borderId="25" xfId="0" applyFont="1" applyBorder="1" applyAlignment="1">
      <alignment wrapText="1"/>
    </xf>
    <xf numFmtId="0" fontId="19" fillId="0" borderId="1" xfId="0" applyFont="1" applyBorder="1" applyAlignment="1">
      <alignment wrapText="1"/>
    </xf>
    <xf numFmtId="0" fontId="19" fillId="0" borderId="12" xfId="0" applyFont="1" applyBorder="1" applyAlignment="1">
      <alignment wrapText="1"/>
    </xf>
    <xf numFmtId="0" fontId="3" fillId="3" borderId="3" xfId="0" applyFont="1" applyFill="1" applyBorder="1" applyAlignment="1" applyProtection="1">
      <alignment horizontal="center"/>
      <protection hidden="1"/>
    </xf>
    <xf numFmtId="0" fontId="5" fillId="0" borderId="0" xfId="0" applyFont="1"/>
    <xf numFmtId="0" fontId="5" fillId="0" borderId="21" xfId="0" applyFont="1" applyBorder="1"/>
    <xf numFmtId="0" fontId="8" fillId="3" borderId="10" xfId="0" applyFont="1" applyFill="1" applyBorder="1" applyAlignment="1" applyProtection="1">
      <alignment horizontal="center"/>
      <protection hidden="1"/>
    </xf>
    <xf numFmtId="0" fontId="7" fillId="0" borderId="1" xfId="0" applyFont="1" applyBorder="1" applyAlignment="1">
      <alignment horizontal="center"/>
    </xf>
    <xf numFmtId="0" fontId="7" fillId="0" borderId="30" xfId="0" applyFont="1" applyBorder="1"/>
    <xf numFmtId="0" fontId="3" fillId="21" borderId="1" xfId="0" applyFont="1" applyFill="1" applyBorder="1" applyAlignment="1" applyProtection="1">
      <alignment horizontal="center"/>
      <protection locked="0"/>
    </xf>
    <xf numFmtId="0" fontId="6" fillId="17" borderId="1" xfId="0" applyFont="1" applyFill="1" applyBorder="1" applyAlignment="1" applyProtection="1">
      <alignment horizontal="center"/>
      <protection locked="0"/>
    </xf>
    <xf numFmtId="0" fontId="6" fillId="17" borderId="12" xfId="0" applyFont="1" applyFill="1" applyBorder="1" applyAlignment="1" applyProtection="1">
      <alignment horizontal="center"/>
      <protection locked="0"/>
    </xf>
    <xf numFmtId="0" fontId="8" fillId="21" borderId="1" xfId="0" applyFont="1" applyFill="1" applyBorder="1" applyAlignment="1" applyProtection="1">
      <alignment horizontal="center"/>
      <protection locked="0"/>
    </xf>
    <xf numFmtId="0" fontId="8" fillId="17" borderId="1" xfId="0" applyFont="1" applyFill="1" applyBorder="1" applyAlignment="1" applyProtection="1">
      <alignment horizontal="center"/>
      <protection locked="0"/>
    </xf>
    <xf numFmtId="0" fontId="8" fillId="17" borderId="97" xfId="0" applyFont="1" applyFill="1" applyBorder="1" applyAlignment="1" applyProtection="1">
      <alignment horizontal="center"/>
      <protection locked="0"/>
    </xf>
    <xf numFmtId="3" fontId="8" fillId="29" borderId="70" xfId="0" applyNumberFormat="1" applyFont="1" applyFill="1" applyBorder="1" applyAlignment="1" applyProtection="1">
      <alignment horizontal="right"/>
      <protection hidden="1"/>
    </xf>
    <xf numFmtId="0" fontId="0" fillId="29" borderId="5" xfId="0" applyFill="1" applyBorder="1" applyAlignment="1" applyProtection="1">
      <alignment horizontal="right"/>
      <protection hidden="1"/>
    </xf>
    <xf numFmtId="39" fontId="7" fillId="3" borderId="0" xfId="0" applyNumberFormat="1" applyFont="1" applyFill="1" applyAlignment="1" applyProtection="1">
      <alignment horizontal="right" indent="1"/>
      <protection hidden="1"/>
    </xf>
    <xf numFmtId="0" fontId="7" fillId="0" borderId="0" xfId="0" applyFont="1" applyAlignment="1">
      <alignment horizontal="right" indent="1"/>
    </xf>
    <xf numFmtId="0" fontId="19" fillId="3" borderId="16" xfId="0" applyFont="1" applyFill="1" applyBorder="1" applyAlignment="1" applyProtection="1">
      <alignment horizontal="center" vertical="center" wrapText="1"/>
      <protection hidden="1"/>
    </xf>
    <xf numFmtId="0" fontId="19" fillId="3" borderId="7" xfId="0" applyFont="1" applyFill="1" applyBorder="1" applyAlignment="1" applyProtection="1">
      <alignment horizontal="center" vertical="center" wrapText="1"/>
      <protection hidden="1"/>
    </xf>
    <xf numFmtId="0" fontId="19" fillId="3" borderId="11" xfId="0" applyFont="1" applyFill="1" applyBorder="1" applyAlignment="1" applyProtection="1">
      <alignment horizontal="center" vertical="center" wrapText="1"/>
      <protection hidden="1"/>
    </xf>
    <xf numFmtId="0" fontId="35" fillId="9" borderId="0" xfId="0" applyFont="1" applyFill="1" applyAlignment="1" applyProtection="1">
      <alignment horizontal="center" vertical="center"/>
      <protection hidden="1"/>
    </xf>
    <xf numFmtId="0" fontId="0" fillId="0" borderId="0" xfId="0" applyAlignment="1">
      <alignment vertical="center"/>
    </xf>
    <xf numFmtId="37" fontId="8" fillId="29" borderId="12" xfId="0" applyNumberFormat="1" applyFont="1" applyFill="1" applyBorder="1" applyAlignment="1" applyProtection="1">
      <alignment horizontal="right"/>
      <protection hidden="1"/>
    </xf>
    <xf numFmtId="37" fontId="142" fillId="3" borderId="3" xfId="0" applyNumberFormat="1" applyFont="1" applyFill="1" applyBorder="1" applyAlignment="1" applyProtection="1">
      <alignment horizontal="right"/>
      <protection hidden="1"/>
    </xf>
    <xf numFmtId="37" fontId="142" fillId="0" borderId="0" xfId="0" applyNumberFormat="1" applyFont="1" applyAlignment="1" applyProtection="1">
      <alignment horizontal="right"/>
      <protection hidden="1"/>
    </xf>
    <xf numFmtId="37" fontId="8" fillId="3" borderId="31" xfId="0" applyNumberFormat="1" applyFont="1" applyFill="1" applyBorder="1" applyProtection="1">
      <protection hidden="1"/>
    </xf>
    <xf numFmtId="0" fontId="6" fillId="0" borderId="9" xfId="0" applyFont="1" applyBorder="1" applyProtection="1">
      <protection hidden="1"/>
    </xf>
    <xf numFmtId="37" fontId="3" fillId="3" borderId="31" xfId="0" applyNumberFormat="1" applyFont="1" applyFill="1" applyBorder="1" applyAlignment="1" applyProtection="1">
      <alignment horizontal="right"/>
      <protection hidden="1"/>
    </xf>
    <xf numFmtId="0" fontId="0" fillId="0" borderId="9" xfId="0" applyBorder="1" applyAlignment="1" applyProtection="1">
      <alignment horizontal="right"/>
      <protection hidden="1"/>
    </xf>
    <xf numFmtId="37" fontId="142" fillId="3" borderId="31" xfId="0" applyNumberFormat="1" applyFont="1" applyFill="1" applyBorder="1" applyAlignment="1" applyProtection="1">
      <alignment horizontal="right"/>
      <protection hidden="1"/>
    </xf>
    <xf numFmtId="37" fontId="142" fillId="0" borderId="9" xfId="0" applyNumberFormat="1" applyFont="1" applyBorder="1" applyAlignment="1" applyProtection="1">
      <alignment horizontal="right"/>
      <protection hidden="1"/>
    </xf>
    <xf numFmtId="4" fontId="7" fillId="3" borderId="9" xfId="0" applyNumberFormat="1" applyFont="1" applyFill="1" applyBorder="1" applyAlignment="1" applyProtection="1">
      <alignment horizontal="left" vertical="center" wrapText="1"/>
      <protection hidden="1"/>
    </xf>
    <xf numFmtId="0" fontId="0" fillId="0" borderId="9" xfId="0" applyBorder="1" applyAlignment="1" applyProtection="1">
      <alignment horizontal="left" vertical="center" wrapText="1"/>
      <protection hidden="1"/>
    </xf>
    <xf numFmtId="0" fontId="0" fillId="0" borderId="15" xfId="0" applyBorder="1" applyAlignment="1" applyProtection="1">
      <alignment horizontal="left" vertical="center" wrapText="1"/>
      <protection hidden="1"/>
    </xf>
    <xf numFmtId="0" fontId="0" fillId="0" borderId="1" xfId="0" applyBorder="1" applyAlignment="1">
      <alignment horizontal="left" vertical="center" wrapText="1"/>
    </xf>
    <xf numFmtId="0" fontId="0" fillId="0" borderId="12" xfId="0" applyBorder="1" applyAlignment="1">
      <alignment horizontal="left" vertical="center" wrapText="1"/>
    </xf>
    <xf numFmtId="0" fontId="3" fillId="3" borderId="0" xfId="0" applyFont="1" applyFill="1" applyAlignment="1" applyProtection="1">
      <alignment vertical="top" wrapText="1"/>
      <protection hidden="1"/>
    </xf>
    <xf numFmtId="0" fontId="5" fillId="0" borderId="0" xfId="0" applyFont="1" applyAlignment="1">
      <alignment vertical="top" wrapText="1"/>
    </xf>
    <xf numFmtId="0" fontId="5" fillId="0" borderId="25" xfId="0" applyFont="1" applyBorder="1"/>
    <xf numFmtId="0" fontId="5" fillId="0" borderId="5" xfId="0" applyFont="1" applyBorder="1" applyAlignment="1">
      <alignment vertical="top" wrapText="1"/>
    </xf>
    <xf numFmtId="0" fontId="5" fillId="0" borderId="71" xfId="0" applyFont="1" applyBorder="1"/>
    <xf numFmtId="37" fontId="142" fillId="0" borderId="15" xfId="0" applyNumberFormat="1" applyFont="1" applyBorder="1" applyAlignment="1" applyProtection="1">
      <alignment horizontal="right"/>
      <protection hidden="1"/>
    </xf>
    <xf numFmtId="0" fontId="129" fillId="0" borderId="15" xfId="0" applyFont="1" applyBorder="1" applyAlignment="1">
      <alignment horizontal="right"/>
    </xf>
    <xf numFmtId="37" fontId="8" fillId="23" borderId="10" xfId="0" applyNumberFormat="1" applyFont="1" applyFill="1" applyBorder="1" applyAlignment="1" applyProtection="1">
      <alignment horizontal="right"/>
      <protection hidden="1"/>
    </xf>
    <xf numFmtId="37" fontId="8" fillId="23" borderId="1" xfId="0" applyNumberFormat="1" applyFont="1" applyFill="1" applyBorder="1" applyAlignment="1" applyProtection="1">
      <alignment horizontal="right"/>
      <protection hidden="1"/>
    </xf>
    <xf numFmtId="37" fontId="8" fillId="23" borderId="12" xfId="0" applyNumberFormat="1" applyFont="1" applyFill="1" applyBorder="1" applyAlignment="1" applyProtection="1">
      <alignment horizontal="right"/>
      <protection hidden="1"/>
    </xf>
    <xf numFmtId="0" fontId="7" fillId="16" borderId="9" xfId="0" applyFont="1" applyFill="1" applyBorder="1" applyAlignment="1">
      <alignment wrapText="1"/>
    </xf>
    <xf numFmtId="0" fontId="0" fillId="0" borderId="9" xfId="0" applyBorder="1" applyAlignment="1">
      <alignment wrapText="1"/>
    </xf>
    <xf numFmtId="0" fontId="0" fillId="0" borderId="15" xfId="0" applyBorder="1" applyAlignment="1">
      <alignment wrapText="1"/>
    </xf>
    <xf numFmtId="0" fontId="0" fillId="0" borderId="1" xfId="0" applyBorder="1" applyAlignment="1">
      <alignment wrapText="1"/>
    </xf>
    <xf numFmtId="0" fontId="0" fillId="0" borderId="12" xfId="0" applyBorder="1" applyAlignment="1">
      <alignment wrapText="1"/>
    </xf>
    <xf numFmtId="0" fontId="5" fillId="3" borderId="9" xfId="0" applyFont="1" applyFill="1" applyBorder="1" applyAlignment="1" applyProtection="1">
      <alignment wrapText="1"/>
      <protection hidden="1"/>
    </xf>
    <xf numFmtId="0" fontId="5" fillId="0" borderId="9" xfId="0" applyFont="1" applyBorder="1" applyAlignment="1">
      <alignment wrapText="1"/>
    </xf>
    <xf numFmtId="0" fontId="5" fillId="0" borderId="15" xfId="0" applyFont="1" applyBorder="1" applyAlignment="1">
      <alignment wrapText="1"/>
    </xf>
    <xf numFmtId="0" fontId="5" fillId="0" borderId="0" xfId="0" applyFont="1" applyAlignment="1">
      <alignment wrapText="1"/>
    </xf>
    <xf numFmtId="0" fontId="5" fillId="0" borderId="25" xfId="0" applyFont="1" applyBorder="1" applyAlignment="1">
      <alignment wrapText="1"/>
    </xf>
    <xf numFmtId="37" fontId="0" fillId="26" borderId="1" xfId="0" applyNumberFormat="1" applyFill="1" applyBorder="1" applyAlignment="1" applyProtection="1">
      <alignment horizontal="right"/>
      <protection hidden="1"/>
    </xf>
    <xf numFmtId="37" fontId="0" fillId="0" borderId="1" xfId="0" applyNumberFormat="1" applyBorder="1" applyAlignment="1">
      <alignment horizontal="right"/>
    </xf>
    <xf numFmtId="0" fontId="7" fillId="0" borderId="21" xfId="0" applyFont="1" applyBorder="1" applyAlignment="1">
      <alignment horizontal="center"/>
    </xf>
    <xf numFmtId="0" fontId="7" fillId="3" borderId="9" xfId="0" applyFont="1" applyFill="1" applyBorder="1" applyAlignment="1" applyProtection="1">
      <alignment horizontal="left" vertical="top" wrapText="1"/>
      <protection hidden="1"/>
    </xf>
    <xf numFmtId="0" fontId="7" fillId="0" borderId="9" xfId="0" applyFont="1" applyBorder="1"/>
    <xf numFmtId="0" fontId="7" fillId="0" borderId="15" xfId="0" applyFont="1" applyBorder="1"/>
    <xf numFmtId="0" fontId="7" fillId="0" borderId="0" xfId="0" applyFont="1" applyAlignment="1">
      <alignment horizontal="left" vertical="top"/>
    </xf>
    <xf numFmtId="0" fontId="7" fillId="0" borderId="0" xfId="0" applyFont="1"/>
    <xf numFmtId="0" fontId="7" fillId="0" borderId="25" xfId="0" applyFont="1" applyBorder="1"/>
    <xf numFmtId="0" fontId="7" fillId="0" borderId="1" xfId="0" applyFont="1" applyBorder="1" applyAlignment="1">
      <alignment horizontal="left" vertical="top"/>
    </xf>
    <xf numFmtId="0" fontId="7" fillId="0" borderId="1" xfId="0" applyFont="1" applyBorder="1"/>
    <xf numFmtId="0" fontId="7" fillId="0" borderId="12" xfId="0" applyFont="1" applyBorder="1"/>
    <xf numFmtId="4" fontId="7" fillId="3" borderId="9" xfId="0" applyNumberFormat="1" applyFont="1" applyFill="1" applyBorder="1" applyAlignment="1" applyProtection="1">
      <alignment horizontal="left" wrapText="1"/>
      <protection hidden="1"/>
    </xf>
    <xf numFmtId="0" fontId="0" fillId="0" borderId="9" xfId="0" applyBorder="1" applyAlignment="1" applyProtection="1">
      <alignment horizontal="left" wrapText="1"/>
      <protection hidden="1"/>
    </xf>
    <xf numFmtId="0" fontId="0" fillId="0" borderId="15" xfId="0" applyBorder="1" applyAlignment="1" applyProtection="1">
      <alignment horizontal="left" wrapText="1"/>
      <protection hidden="1"/>
    </xf>
    <xf numFmtId="0" fontId="0" fillId="0" borderId="1" xfId="0" applyBorder="1" applyAlignment="1">
      <alignment horizontal="left" wrapText="1"/>
    </xf>
    <xf numFmtId="0" fontId="0" fillId="0" borderId="12" xfId="0" applyBorder="1" applyAlignment="1">
      <alignment horizontal="left" wrapText="1"/>
    </xf>
    <xf numFmtId="4" fontId="19" fillId="3" borderId="31" xfId="0" applyNumberFormat="1" applyFont="1" applyFill="1" applyBorder="1" applyAlignment="1" applyProtection="1">
      <alignment horizontal="center" vertical="center" wrapText="1"/>
      <protection hidden="1"/>
    </xf>
    <xf numFmtId="4" fontId="19" fillId="3" borderId="9" xfId="0" applyNumberFormat="1" applyFont="1" applyFill="1" applyBorder="1" applyAlignment="1" applyProtection="1">
      <alignment horizontal="center" vertical="center" wrapText="1"/>
      <protection hidden="1"/>
    </xf>
    <xf numFmtId="4" fontId="19" fillId="3" borderId="3" xfId="0" applyNumberFormat="1" applyFont="1" applyFill="1" applyBorder="1" applyAlignment="1" applyProtection="1">
      <alignment horizontal="center" vertical="center" wrapText="1"/>
      <protection hidden="1"/>
    </xf>
    <xf numFmtId="4" fontId="19" fillId="3" borderId="0" xfId="0" applyNumberFormat="1" applyFont="1" applyFill="1" applyAlignment="1" applyProtection="1">
      <alignment horizontal="center" vertical="center" wrapText="1"/>
      <protection hidden="1"/>
    </xf>
    <xf numFmtId="4" fontId="19" fillId="3" borderId="10" xfId="0" applyNumberFormat="1" applyFont="1" applyFill="1" applyBorder="1" applyAlignment="1" applyProtection="1">
      <alignment horizontal="center" vertical="center" wrapText="1"/>
      <protection hidden="1"/>
    </xf>
    <xf numFmtId="4" fontId="19" fillId="3" borderId="1" xfId="0" applyNumberFormat="1" applyFont="1" applyFill="1" applyBorder="1" applyAlignment="1" applyProtection="1">
      <alignment horizontal="center" vertical="center" wrapText="1"/>
      <protection hidden="1"/>
    </xf>
    <xf numFmtId="4" fontId="13" fillId="3" borderId="189" xfId="0" applyNumberFormat="1" applyFont="1" applyFill="1" applyBorder="1" applyAlignment="1" applyProtection="1">
      <alignment horizontal="center"/>
      <protection hidden="1"/>
    </xf>
    <xf numFmtId="4" fontId="13" fillId="3" borderId="17" xfId="0" applyNumberFormat="1" applyFont="1" applyFill="1" applyBorder="1" applyAlignment="1" applyProtection="1">
      <alignment horizontal="center"/>
      <protection hidden="1"/>
    </xf>
    <xf numFmtId="166" fontId="12" fillId="29" borderId="10" xfId="0" applyNumberFormat="1" applyFont="1" applyFill="1" applyBorder="1" applyAlignment="1" applyProtection="1">
      <alignment horizontal="center"/>
      <protection hidden="1"/>
    </xf>
    <xf numFmtId="166" fontId="12" fillId="29" borderId="1" xfId="0" applyNumberFormat="1" applyFont="1" applyFill="1" applyBorder="1" applyAlignment="1" applyProtection="1">
      <alignment horizontal="center"/>
      <protection hidden="1"/>
    </xf>
    <xf numFmtId="1" fontId="81" fillId="3" borderId="6" xfId="0" applyNumberFormat="1" applyFont="1" applyFill="1" applyBorder="1" applyAlignment="1" applyProtection="1">
      <alignment horizontal="center" vertical="center"/>
      <protection hidden="1"/>
    </xf>
    <xf numFmtId="1" fontId="81" fillId="3" borderId="0" xfId="0" applyNumberFormat="1" applyFont="1" applyFill="1" applyAlignment="1" applyProtection="1">
      <alignment horizontal="center" vertical="center"/>
      <protection hidden="1"/>
    </xf>
    <xf numFmtId="4" fontId="19" fillId="3" borderId="16" xfId="0" applyNumberFormat="1" applyFont="1" applyFill="1" applyBorder="1" applyAlignment="1" applyProtection="1">
      <alignment horizontal="center" vertical="center" wrapText="1"/>
      <protection hidden="1"/>
    </xf>
    <xf numFmtId="4" fontId="19" fillId="3" borderId="7" xfId="0" applyNumberFormat="1" applyFont="1" applyFill="1" applyBorder="1" applyAlignment="1" applyProtection="1">
      <alignment horizontal="center" vertical="center"/>
      <protection hidden="1"/>
    </xf>
    <xf numFmtId="4" fontId="19" fillId="3" borderId="11" xfId="0" applyNumberFormat="1" applyFont="1" applyFill="1" applyBorder="1" applyAlignment="1" applyProtection="1">
      <alignment horizontal="center" vertical="center"/>
      <protection hidden="1"/>
    </xf>
    <xf numFmtId="0" fontId="0" fillId="0" borderId="15" xfId="0"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0" fillId="0" borderId="25" xfId="0" applyBorder="1" applyAlignment="1">
      <alignment horizontal="center" vertical="center" wrapText="1"/>
    </xf>
    <xf numFmtId="0" fontId="5" fillId="0" borderId="10"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2" xfId="0" applyBorder="1" applyAlignment="1">
      <alignment horizontal="center" vertical="center" wrapText="1"/>
    </xf>
    <xf numFmtId="0" fontId="12" fillId="16" borderId="0" xfId="0" applyFont="1" applyFill="1" applyAlignment="1">
      <alignment horizontal="center"/>
    </xf>
    <xf numFmtId="0" fontId="13" fillId="0" borderId="1" xfId="0" quotePrefix="1" applyFont="1" applyBorder="1" applyAlignment="1" applyProtection="1">
      <alignment horizontal="center"/>
      <protection hidden="1"/>
    </xf>
    <xf numFmtId="4" fontId="19" fillId="0" borderId="16" xfId="0" applyNumberFormat="1" applyFont="1" applyBorder="1" applyAlignment="1">
      <alignment horizontal="center" vertical="center" wrapText="1"/>
    </xf>
    <xf numFmtId="4" fontId="19" fillId="0" borderId="7" xfId="0" applyNumberFormat="1" applyFont="1" applyBorder="1" applyAlignment="1">
      <alignment horizontal="center" vertical="center" wrapText="1"/>
    </xf>
    <xf numFmtId="4" fontId="19" fillId="0" borderId="11" xfId="0" applyNumberFormat="1" applyFont="1" applyBorder="1" applyAlignment="1">
      <alignment horizontal="center" vertical="center" wrapText="1"/>
    </xf>
    <xf numFmtId="4" fontId="19" fillId="3" borderId="7" xfId="0" applyNumberFormat="1" applyFont="1" applyFill="1" applyBorder="1" applyAlignment="1" applyProtection="1">
      <alignment horizontal="center" vertical="center" wrapText="1"/>
      <protection hidden="1"/>
    </xf>
    <xf numFmtId="4" fontId="19" fillId="3" borderId="11" xfId="0" applyNumberFormat="1" applyFont="1" applyFill="1" applyBorder="1" applyAlignment="1" applyProtection="1">
      <alignment horizontal="center" vertical="center" wrapText="1"/>
      <protection hidden="1"/>
    </xf>
    <xf numFmtId="0" fontId="0" fillId="0" borderId="9" xfId="0" applyBorder="1" applyAlignment="1">
      <alignment horizontal="right"/>
    </xf>
    <xf numFmtId="0" fontId="0" fillId="0" borderId="1" xfId="0" applyBorder="1" applyAlignment="1">
      <alignment horizontal="right"/>
    </xf>
    <xf numFmtId="37" fontId="8" fillId="3" borderId="31" xfId="0" applyNumberFormat="1" applyFont="1" applyFill="1" applyBorder="1" applyAlignment="1" applyProtection="1">
      <alignment horizontal="right"/>
      <protection hidden="1"/>
    </xf>
    <xf numFmtId="37" fontId="8" fillId="3" borderId="3" xfId="0" applyNumberFormat="1" applyFont="1" applyFill="1" applyBorder="1" applyAlignment="1" applyProtection="1">
      <alignment horizontal="right"/>
      <protection hidden="1"/>
    </xf>
    <xf numFmtId="0" fontId="55" fillId="9" borderId="26" xfId="0" applyFont="1" applyFill="1" applyBorder="1" applyAlignment="1" applyProtection="1">
      <alignment horizontal="left" vertical="center"/>
      <protection hidden="1"/>
    </xf>
    <xf numFmtId="0" fontId="57" fillId="9" borderId="28" xfId="0" applyFont="1" applyFill="1" applyBorder="1" applyAlignment="1" applyProtection="1">
      <alignment horizontal="left" vertical="center"/>
      <protection hidden="1"/>
    </xf>
    <xf numFmtId="0" fontId="5" fillId="0" borderId="0" xfId="0" applyFont="1" applyAlignment="1" applyProtection="1">
      <alignment vertical="top" wrapText="1"/>
      <protection hidden="1"/>
    </xf>
    <xf numFmtId="0" fontId="5" fillId="0" borderId="5" xfId="0" applyFont="1" applyBorder="1" applyAlignment="1" applyProtection="1">
      <alignment vertical="top" wrapText="1"/>
      <protection hidden="1"/>
    </xf>
    <xf numFmtId="0" fontId="210" fillId="0" borderId="0" xfId="0" applyFont="1" applyAlignment="1" applyProtection="1">
      <alignment horizontal="left" wrapText="1"/>
      <protection hidden="1"/>
    </xf>
    <xf numFmtId="0" fontId="0" fillId="0" borderId="1" xfId="0" applyBorder="1" applyAlignment="1" applyProtection="1">
      <alignment horizontal="right"/>
      <protection locked="0"/>
    </xf>
    <xf numFmtId="37" fontId="8" fillId="29" borderId="5" xfId="0" applyNumberFormat="1" applyFont="1" applyFill="1" applyBorder="1" applyAlignment="1" applyProtection="1">
      <alignment horizontal="right"/>
      <protection hidden="1"/>
    </xf>
    <xf numFmtId="0" fontId="0" fillId="0" borderId="5" xfId="0" applyBorder="1" applyAlignment="1">
      <alignment horizontal="right"/>
    </xf>
    <xf numFmtId="37" fontId="8" fillId="21" borderId="12" xfId="0" applyNumberFormat="1" applyFont="1" applyFill="1" applyBorder="1" applyAlignment="1" applyProtection="1">
      <alignment horizontal="right"/>
      <protection locked="0"/>
    </xf>
    <xf numFmtId="0" fontId="10" fillId="3" borderId="31" xfId="0" applyFont="1" applyFill="1" applyBorder="1" applyAlignment="1" applyProtection="1">
      <alignment horizontal="center" vertical="center" wrapText="1"/>
      <protection hidden="1"/>
    </xf>
    <xf numFmtId="0" fontId="10" fillId="0" borderId="15" xfId="0" applyFont="1" applyBorder="1" applyAlignment="1">
      <alignment horizontal="center" vertical="center"/>
    </xf>
    <xf numFmtId="0" fontId="10" fillId="0" borderId="3" xfId="0" applyFont="1" applyBorder="1" applyAlignment="1">
      <alignment horizontal="center" vertical="center"/>
    </xf>
    <xf numFmtId="0" fontId="10" fillId="0" borderId="25"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4" fontId="10" fillId="3" borderId="16" xfId="0" applyNumberFormat="1" applyFont="1" applyFill="1" applyBorder="1" applyAlignment="1" applyProtection="1">
      <alignment horizontal="center" vertical="center" wrapText="1"/>
      <protection hidden="1"/>
    </xf>
    <xf numFmtId="4" fontId="10" fillId="3" borderId="7" xfId="0" applyNumberFormat="1" applyFont="1" applyFill="1" applyBorder="1" applyAlignment="1" applyProtection="1">
      <alignment horizontal="center" vertical="center"/>
      <protection hidden="1"/>
    </xf>
    <xf numFmtId="4" fontId="10" fillId="3" borderId="11" xfId="0" applyNumberFormat="1" applyFont="1" applyFill="1" applyBorder="1" applyAlignment="1" applyProtection="1">
      <alignment horizontal="center" vertical="center"/>
      <protection hidden="1"/>
    </xf>
    <xf numFmtId="4" fontId="19" fillId="3" borderId="15" xfId="0" applyNumberFormat="1" applyFont="1" applyFill="1" applyBorder="1" applyAlignment="1" applyProtection="1">
      <alignment horizontal="center" vertical="center" wrapText="1"/>
      <protection hidden="1"/>
    </xf>
    <xf numFmtId="4" fontId="19" fillId="3" borderId="25" xfId="0" applyNumberFormat="1" applyFont="1" applyFill="1" applyBorder="1" applyAlignment="1" applyProtection="1">
      <alignment horizontal="center" vertical="center" wrapText="1"/>
      <protection hidden="1"/>
    </xf>
    <xf numFmtId="4" fontId="19" fillId="3" borderId="12" xfId="0" applyNumberFormat="1" applyFont="1" applyFill="1" applyBorder="1" applyAlignment="1" applyProtection="1">
      <alignment horizontal="center" vertical="center" wrapText="1"/>
      <protection hidden="1"/>
    </xf>
    <xf numFmtId="37" fontId="8" fillId="21" borderId="1" xfId="0" applyNumberFormat="1" applyFont="1" applyFill="1" applyBorder="1" applyAlignment="1" applyProtection="1">
      <alignment horizontal="right"/>
      <protection locked="0"/>
    </xf>
    <xf numFmtId="37" fontId="8" fillId="3" borderId="31" xfId="0" applyNumberFormat="1" applyFont="1" applyFill="1" applyBorder="1" applyAlignment="1" applyProtection="1">
      <alignment horizontal="right"/>
      <protection locked="0"/>
    </xf>
    <xf numFmtId="0" fontId="0" fillId="0" borderId="9" xfId="0" applyBorder="1" applyAlignment="1" applyProtection="1">
      <alignment horizontal="right"/>
      <protection locked="0"/>
    </xf>
    <xf numFmtId="37" fontId="0" fillId="0" borderId="1" xfId="0" applyNumberFormat="1" applyBorder="1" applyAlignment="1" applyProtection="1">
      <alignment horizontal="right"/>
      <protection locked="0"/>
    </xf>
    <xf numFmtId="4" fontId="19" fillId="3" borderId="27" xfId="0" applyNumberFormat="1" applyFont="1" applyFill="1" applyBorder="1" applyAlignment="1" applyProtection="1">
      <alignment horizontal="center" vertical="center"/>
      <protection hidden="1"/>
    </xf>
    <xf numFmtId="4" fontId="19" fillId="3" borderId="1" xfId="0" applyNumberFormat="1" applyFont="1" applyFill="1" applyBorder="1" applyAlignment="1" applyProtection="1">
      <alignment horizontal="center" vertical="center"/>
      <protection hidden="1"/>
    </xf>
    <xf numFmtId="0" fontId="19" fillId="3" borderId="31" xfId="0" applyFont="1" applyFill="1" applyBorder="1" applyAlignment="1" applyProtection="1">
      <alignment horizontal="center" vertical="center" wrapText="1"/>
      <protection hidden="1"/>
    </xf>
    <xf numFmtId="0" fontId="5" fillId="0" borderId="15" xfId="0" applyFont="1" applyBorder="1" applyAlignment="1">
      <alignment horizontal="center" vertical="center"/>
    </xf>
    <xf numFmtId="0" fontId="5" fillId="0" borderId="3" xfId="0" applyFont="1" applyBorder="1" applyAlignment="1">
      <alignment horizontal="center" vertical="center"/>
    </xf>
    <xf numFmtId="0" fontId="5" fillId="0" borderId="25" xfId="0" applyFont="1" applyBorder="1" applyAlignment="1">
      <alignment horizontal="center" vertical="center"/>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23" fillId="3" borderId="0" xfId="0" applyFont="1" applyFill="1" applyAlignment="1" applyProtection="1">
      <alignment horizontal="center" vertical="center"/>
      <protection hidden="1"/>
    </xf>
    <xf numFmtId="0" fontId="7" fillId="0" borderId="0" xfId="0" applyFont="1" applyAlignment="1">
      <alignment horizontal="center" vertical="center"/>
    </xf>
    <xf numFmtId="0" fontId="7" fillId="0" borderId="21" xfId="0" applyFont="1" applyBorder="1" applyAlignment="1">
      <alignment horizontal="center" vertical="center"/>
    </xf>
    <xf numFmtId="0" fontId="264" fillId="30" borderId="9" xfId="0" applyFont="1" applyFill="1" applyBorder="1" applyAlignment="1" applyProtection="1">
      <alignment horizontal="center" vertical="top" wrapText="1"/>
      <protection hidden="1"/>
    </xf>
    <xf numFmtId="0" fontId="264" fillId="30" borderId="0" xfId="0" applyFont="1" applyFill="1" applyAlignment="1" applyProtection="1">
      <alignment horizontal="center" vertical="top" wrapText="1"/>
      <protection hidden="1"/>
    </xf>
    <xf numFmtId="0" fontId="233" fillId="5" borderId="8" xfId="0" applyFont="1" applyFill="1" applyBorder="1" applyAlignment="1" applyProtection="1">
      <alignment horizontal="center" vertical="center" wrapText="1"/>
      <protection hidden="1"/>
    </xf>
    <xf numFmtId="0" fontId="233" fillId="5" borderId="0" xfId="0" applyFont="1" applyFill="1" applyAlignment="1" applyProtection="1">
      <alignment horizontal="center" vertical="center" wrapText="1"/>
      <protection hidden="1"/>
    </xf>
    <xf numFmtId="0" fontId="168" fillId="0" borderId="0" xfId="0" applyFont="1" applyAlignment="1">
      <alignment vertical="center" wrapText="1"/>
    </xf>
    <xf numFmtId="0" fontId="84" fillId="3" borderId="3" xfId="0" applyFont="1" applyFill="1" applyBorder="1" applyAlignment="1" applyProtection="1">
      <alignment horizontal="center" vertical="center"/>
      <protection hidden="1"/>
    </xf>
    <xf numFmtId="0" fontId="97" fillId="0" borderId="0" xfId="0" applyFont="1" applyAlignment="1">
      <alignment horizontal="center" vertical="center"/>
    </xf>
    <xf numFmtId="0" fontId="5" fillId="3" borderId="0" xfId="0" applyFont="1" applyFill="1" applyAlignment="1" applyProtection="1">
      <alignment horizontal="left" vertical="top" wrapText="1"/>
      <protection hidden="1"/>
    </xf>
    <xf numFmtId="0" fontId="0" fillId="0" borderId="0" xfId="0" applyAlignment="1">
      <alignment horizontal="left" wrapText="1"/>
    </xf>
    <xf numFmtId="0" fontId="233" fillId="5" borderId="0" xfId="0" applyFont="1" applyFill="1" applyAlignment="1" applyProtection="1">
      <alignment horizontal="center" vertical="top"/>
      <protection hidden="1"/>
    </xf>
    <xf numFmtId="0" fontId="18" fillId="16" borderId="0" xfId="0" applyFont="1" applyFill="1" applyAlignment="1" applyProtection="1">
      <alignment horizontal="center"/>
      <protection hidden="1"/>
    </xf>
    <xf numFmtId="0" fontId="18" fillId="16" borderId="53" xfId="0" applyFont="1" applyFill="1" applyBorder="1" applyAlignment="1" applyProtection="1">
      <alignment horizontal="center" vertical="center"/>
      <protection hidden="1"/>
    </xf>
    <xf numFmtId="0" fontId="18" fillId="16" borderId="74" xfId="0" applyFont="1" applyFill="1" applyBorder="1" applyAlignment="1">
      <alignment horizontal="center" vertical="center"/>
    </xf>
    <xf numFmtId="37" fontId="3" fillId="17" borderId="52" xfId="0" applyNumberFormat="1" applyFont="1" applyFill="1" applyBorder="1" applyAlignment="1" applyProtection="1">
      <alignment horizontal="right" indent="1"/>
      <protection locked="0"/>
    </xf>
    <xf numFmtId="0" fontId="0" fillId="0" borderId="52" xfId="0" applyBorder="1" applyAlignment="1" applyProtection="1">
      <alignment horizontal="right" indent="1"/>
      <protection locked="0"/>
    </xf>
    <xf numFmtId="0" fontId="18" fillId="16" borderId="9" xfId="0" applyFont="1" applyFill="1" applyBorder="1" applyAlignment="1" applyProtection="1">
      <alignment horizontal="center"/>
      <protection hidden="1"/>
    </xf>
    <xf numFmtId="0" fontId="12" fillId="16" borderId="40" xfId="0" applyFont="1" applyFill="1" applyBorder="1" applyAlignment="1" applyProtection="1">
      <alignment horizontal="center"/>
      <protection hidden="1"/>
    </xf>
    <xf numFmtId="0" fontId="0" fillId="0" borderId="55" xfId="0" applyBorder="1" applyAlignment="1">
      <alignment horizontal="center"/>
    </xf>
    <xf numFmtId="39" fontId="5" fillId="17" borderId="40" xfId="0" applyNumberFormat="1" applyFont="1" applyFill="1" applyBorder="1" applyProtection="1">
      <protection locked="0"/>
    </xf>
    <xf numFmtId="39" fontId="5" fillId="17" borderId="26" xfId="0" applyNumberFormat="1" applyFont="1" applyFill="1" applyBorder="1" applyProtection="1">
      <protection locked="0"/>
    </xf>
    <xf numFmtId="37" fontId="3" fillId="28" borderId="40" xfId="0" applyNumberFormat="1" applyFont="1" applyFill="1" applyBorder="1" applyProtection="1">
      <protection hidden="1"/>
    </xf>
    <xf numFmtId="37" fontId="3" fillId="28" borderId="26" xfId="0" applyNumberFormat="1" applyFont="1" applyFill="1" applyBorder="1" applyProtection="1">
      <protection hidden="1"/>
    </xf>
    <xf numFmtId="0" fontId="18" fillId="16" borderId="40" xfId="0" applyFont="1" applyFill="1" applyBorder="1" applyAlignment="1" applyProtection="1">
      <alignment horizontal="center" vertical="center"/>
      <protection hidden="1"/>
    </xf>
    <xf numFmtId="0" fontId="18" fillId="16" borderId="55" xfId="0" applyFont="1" applyFill="1" applyBorder="1" applyAlignment="1">
      <alignment horizontal="center" vertical="center"/>
    </xf>
    <xf numFmtId="37" fontId="3" fillId="17" borderId="13" xfId="0" applyNumberFormat="1" applyFont="1" applyFill="1" applyBorder="1" applyAlignment="1" applyProtection="1">
      <alignment horizontal="right" indent="1"/>
      <protection locked="0"/>
    </xf>
    <xf numFmtId="0" fontId="0" fillId="0" borderId="13" xfId="0" applyBorder="1" applyAlignment="1" applyProtection="1">
      <alignment horizontal="right" indent="1"/>
      <protection locked="0"/>
    </xf>
    <xf numFmtId="0" fontId="18" fillId="17" borderId="26" xfId="0" applyFont="1" applyFill="1" applyBorder="1" applyAlignment="1" applyProtection="1">
      <alignment horizontal="left"/>
      <protection locked="0"/>
    </xf>
    <xf numFmtId="0" fontId="3" fillId="17" borderId="26" xfId="0" applyFont="1" applyFill="1" applyBorder="1" applyAlignment="1" applyProtection="1">
      <alignment horizontal="left"/>
      <protection locked="0"/>
    </xf>
    <xf numFmtId="0" fontId="3" fillId="17" borderId="55" xfId="0" applyFont="1" applyFill="1" applyBorder="1" applyAlignment="1" applyProtection="1">
      <alignment horizontal="left"/>
      <protection locked="0"/>
    </xf>
    <xf numFmtId="0" fontId="3" fillId="17" borderId="40" xfId="0" applyFont="1" applyFill="1" applyBorder="1" applyAlignment="1" applyProtection="1">
      <alignment horizontal="center"/>
      <protection locked="0"/>
    </xf>
    <xf numFmtId="0" fontId="3" fillId="17" borderId="26" xfId="0" applyFont="1" applyFill="1" applyBorder="1" applyAlignment="1" applyProtection="1">
      <alignment horizontal="center"/>
      <protection locked="0"/>
    </xf>
    <xf numFmtId="0" fontId="3" fillId="17" borderId="55" xfId="0" applyFont="1" applyFill="1" applyBorder="1" applyAlignment="1" applyProtection="1">
      <alignment horizontal="center"/>
      <protection locked="0"/>
    </xf>
    <xf numFmtId="39" fontId="5" fillId="17" borderId="13" xfId="0" applyNumberFormat="1" applyFont="1" applyFill="1" applyBorder="1" applyAlignment="1" applyProtection="1">
      <alignment horizontal="right" wrapText="1" indent="1"/>
      <protection locked="0"/>
    </xf>
    <xf numFmtId="39" fontId="5" fillId="17" borderId="40" xfId="0" applyNumberFormat="1" applyFont="1" applyFill="1" applyBorder="1" applyAlignment="1" applyProtection="1">
      <alignment horizontal="right" wrapText="1" indent="1"/>
      <protection locked="0"/>
    </xf>
    <xf numFmtId="39" fontId="5" fillId="17" borderId="26" xfId="0" applyNumberFormat="1" applyFont="1" applyFill="1" applyBorder="1" applyAlignment="1" applyProtection="1">
      <alignment horizontal="right" wrapText="1" indent="1"/>
      <protection locked="0"/>
    </xf>
    <xf numFmtId="39" fontId="5" fillId="17" borderId="55" xfId="0" applyNumberFormat="1" applyFont="1" applyFill="1" applyBorder="1" applyAlignment="1" applyProtection="1">
      <alignment horizontal="right" wrapText="1" indent="1"/>
      <protection locked="0"/>
    </xf>
    <xf numFmtId="0" fontId="18" fillId="16" borderId="1" xfId="0" applyFont="1" applyFill="1" applyBorder="1" applyAlignment="1" applyProtection="1">
      <alignment horizontal="center"/>
      <protection hidden="1"/>
    </xf>
    <xf numFmtId="37" fontId="3" fillId="28" borderId="40" xfId="0" applyNumberFormat="1" applyFont="1" applyFill="1" applyBorder="1" applyAlignment="1" applyProtection="1">
      <alignment horizontal="right" indent="1"/>
      <protection hidden="1"/>
    </xf>
    <xf numFmtId="37" fontId="3" fillId="28" borderId="26" xfId="0" applyNumberFormat="1" applyFont="1" applyFill="1" applyBorder="1" applyAlignment="1" applyProtection="1">
      <alignment horizontal="right" indent="1"/>
      <protection hidden="1"/>
    </xf>
    <xf numFmtId="0" fontId="253" fillId="32" borderId="26" xfId="0" applyFont="1" applyFill="1" applyBorder="1" applyAlignment="1" applyProtection="1">
      <alignment horizontal="center"/>
      <protection hidden="1"/>
    </xf>
    <xf numFmtId="0" fontId="254" fillId="32" borderId="26" xfId="0" applyFont="1" applyFill="1" applyBorder="1" applyAlignment="1" applyProtection="1">
      <alignment horizontal="center"/>
      <protection hidden="1"/>
    </xf>
    <xf numFmtId="0" fontId="0" fillId="0" borderId="55" xfId="0" applyBorder="1" applyAlignment="1" applyProtection="1">
      <alignment horizontal="center"/>
      <protection hidden="1"/>
    </xf>
    <xf numFmtId="0" fontId="0" fillId="0" borderId="26" xfId="0" applyBorder="1"/>
    <xf numFmtId="37" fontId="3" fillId="28" borderId="40" xfId="0" applyNumberFormat="1" applyFont="1" applyFill="1" applyBorder="1" applyAlignment="1" applyProtection="1">
      <alignment horizontal="right" indent="2"/>
      <protection hidden="1"/>
    </xf>
    <xf numFmtId="37" fontId="3" fillId="28" borderId="26" xfId="0" applyNumberFormat="1" applyFont="1" applyFill="1" applyBorder="1" applyAlignment="1" applyProtection="1">
      <alignment horizontal="right" indent="2"/>
      <protection hidden="1"/>
    </xf>
    <xf numFmtId="0" fontId="7" fillId="16" borderId="9" xfId="0" applyFont="1" applyFill="1" applyBorder="1" applyAlignment="1">
      <alignment horizontal="center" vertical="center" wrapText="1"/>
    </xf>
    <xf numFmtId="0" fontId="0" fillId="16" borderId="9" xfId="0" applyFill="1" applyBorder="1" applyAlignment="1">
      <alignment horizontal="center" vertical="center" wrapText="1"/>
    </xf>
    <xf numFmtId="0" fontId="0" fillId="16" borderId="15" xfId="0" applyFill="1" applyBorder="1" applyAlignment="1">
      <alignment horizontal="center" vertical="center" wrapText="1"/>
    </xf>
    <xf numFmtId="0" fontId="0" fillId="16" borderId="0" xfId="0" applyFill="1" applyAlignment="1">
      <alignment horizontal="center" vertical="center" wrapText="1"/>
    </xf>
    <xf numFmtId="0" fontId="0" fillId="16" borderId="25" xfId="0" applyFill="1" applyBorder="1" applyAlignment="1">
      <alignment horizontal="center" vertical="center" wrapText="1"/>
    </xf>
    <xf numFmtId="0" fontId="0" fillId="16" borderId="1" xfId="0" applyFill="1" applyBorder="1" applyAlignment="1">
      <alignment horizontal="center" vertical="center" wrapText="1"/>
    </xf>
    <xf numFmtId="0" fontId="0" fillId="16" borderId="12" xfId="0" applyFill="1" applyBorder="1" applyAlignment="1">
      <alignment horizontal="center" vertical="center" wrapText="1"/>
    </xf>
    <xf numFmtId="0" fontId="7" fillId="16" borderId="16" xfId="0" applyFont="1" applyFill="1" applyBorder="1" applyAlignment="1" applyProtection="1">
      <alignment horizontal="center" vertical="center" wrapText="1"/>
      <protection hidden="1"/>
    </xf>
    <xf numFmtId="0" fontId="7" fillId="0" borderId="1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10" fillId="16" borderId="16" xfId="0" applyFont="1" applyFill="1" applyBorder="1" applyAlignment="1" applyProtection="1">
      <alignment horizontal="center" vertical="center" wrapText="1"/>
      <protection hidden="1"/>
    </xf>
    <xf numFmtId="0" fontId="10" fillId="0" borderId="1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1" xfId="0" applyFont="1" applyBorder="1" applyAlignment="1">
      <alignment horizontal="center" vertical="center" wrapText="1"/>
    </xf>
    <xf numFmtId="0" fontId="7" fillId="16" borderId="31" xfId="0" applyFont="1" applyFill="1" applyBorder="1" applyAlignment="1" applyProtection="1">
      <alignment horizontal="center" vertical="center" wrapText="1"/>
      <protection hidden="1"/>
    </xf>
    <xf numFmtId="0" fontId="7" fillId="0" borderId="9"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2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2" xfId="0" applyFont="1" applyBorder="1" applyAlignment="1">
      <alignment horizontal="center" vertical="center" wrapText="1"/>
    </xf>
    <xf numFmtId="0" fontId="12" fillId="16" borderId="0" xfId="0" applyFont="1" applyFill="1" applyAlignment="1" applyProtection="1">
      <alignment horizontal="center"/>
      <protection hidden="1"/>
    </xf>
    <xf numFmtId="37" fontId="3" fillId="28" borderId="40" xfId="0" applyNumberFormat="1" applyFont="1" applyFill="1" applyBorder="1" applyAlignment="1" applyProtection="1">
      <alignment horizontal="right" wrapText="1" indent="1"/>
      <protection hidden="1"/>
    </xf>
    <xf numFmtId="37" fontId="3" fillId="28" borderId="26" xfId="0" applyNumberFormat="1" applyFont="1" applyFill="1" applyBorder="1" applyAlignment="1" applyProtection="1">
      <alignment horizontal="right" wrapText="1" indent="1"/>
      <protection hidden="1"/>
    </xf>
    <xf numFmtId="37" fontId="3" fillId="28" borderId="69" xfId="0" applyNumberFormat="1" applyFont="1" applyFill="1" applyBorder="1" applyAlignment="1" applyProtection="1">
      <alignment horizontal="right" wrapText="1" indent="1"/>
      <protection hidden="1"/>
    </xf>
    <xf numFmtId="0" fontId="18" fillId="16" borderId="0" xfId="0" applyFont="1" applyFill="1" applyAlignment="1" applyProtection="1">
      <alignment horizontal="right" indent="1"/>
      <protection hidden="1"/>
    </xf>
    <xf numFmtId="0" fontId="3" fillId="0" borderId="26" xfId="0" applyFont="1" applyBorder="1" applyAlignment="1" applyProtection="1">
      <alignment horizontal="right" indent="1"/>
      <protection hidden="1"/>
    </xf>
    <xf numFmtId="0" fontId="3" fillId="0" borderId="55" xfId="0" applyFont="1" applyBorder="1" applyAlignment="1" applyProtection="1">
      <alignment horizontal="right" indent="1"/>
      <protection hidden="1"/>
    </xf>
    <xf numFmtId="0" fontId="5" fillId="16" borderId="9" xfId="0" applyFont="1" applyFill="1" applyBorder="1" applyAlignment="1" applyProtection="1">
      <alignment horizontal="center" vertical="center" wrapText="1"/>
      <protection hidden="1"/>
    </xf>
    <xf numFmtId="0" fontId="0" fillId="0" borderId="15" xfId="0" applyBorder="1" applyAlignment="1">
      <alignment horizontal="center" vertical="center"/>
    </xf>
    <xf numFmtId="0" fontId="0" fillId="0" borderId="25" xfId="0" applyBorder="1" applyAlignment="1">
      <alignment horizontal="center" vertical="center"/>
    </xf>
    <xf numFmtId="0" fontId="0" fillId="0" borderId="12" xfId="0" applyBorder="1" applyAlignment="1">
      <alignment horizontal="center" vertical="center"/>
    </xf>
    <xf numFmtId="0" fontId="5" fillId="16" borderId="31" xfId="0" applyFont="1" applyFill="1" applyBorder="1" applyAlignment="1" applyProtection="1">
      <alignment horizontal="center" vertical="center" wrapText="1"/>
      <protection hidden="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5" fillId="16" borderId="81" xfId="0" applyFont="1" applyFill="1" applyBorder="1" applyAlignment="1" applyProtection="1">
      <alignment horizontal="center" vertical="center" wrapText="1"/>
      <protection hidden="1"/>
    </xf>
    <xf numFmtId="0" fontId="0" fillId="0" borderId="27" xfId="0" applyBorder="1" applyAlignment="1">
      <alignment horizontal="center" vertical="center"/>
    </xf>
    <xf numFmtId="39" fontId="5" fillId="17" borderId="55" xfId="0" applyNumberFormat="1" applyFont="1" applyFill="1" applyBorder="1" applyProtection="1">
      <protection locked="0"/>
    </xf>
    <xf numFmtId="39" fontId="5" fillId="17" borderId="40" xfId="0" applyNumberFormat="1" applyFont="1" applyFill="1" applyBorder="1" applyAlignment="1" applyProtection="1">
      <alignment horizontal="right" indent="1"/>
      <protection locked="0"/>
    </xf>
    <xf numFmtId="39" fontId="5" fillId="17" borderId="26" xfId="0" applyNumberFormat="1" applyFont="1" applyFill="1" applyBorder="1" applyAlignment="1" applyProtection="1">
      <alignment horizontal="right" indent="1"/>
      <protection locked="0"/>
    </xf>
    <xf numFmtId="39" fontId="5" fillId="17" borderId="69" xfId="0" applyNumberFormat="1" applyFont="1" applyFill="1" applyBorder="1" applyAlignment="1" applyProtection="1">
      <alignment horizontal="right" indent="1"/>
      <protection locked="0"/>
    </xf>
    <xf numFmtId="39" fontId="5" fillId="17" borderId="47" xfId="0" applyNumberFormat="1" applyFont="1" applyFill="1" applyBorder="1" applyAlignment="1" applyProtection="1">
      <alignment horizontal="right" indent="1"/>
      <protection locked="0"/>
    </xf>
    <xf numFmtId="39" fontId="5" fillId="17" borderId="13" xfId="0" applyNumberFormat="1" applyFont="1" applyFill="1" applyBorder="1" applyAlignment="1" applyProtection="1">
      <alignment horizontal="right" indent="1"/>
      <protection locked="0"/>
    </xf>
    <xf numFmtId="0" fontId="253" fillId="32" borderId="1" xfId="0" applyFont="1" applyFill="1" applyBorder="1" applyAlignment="1" applyProtection="1">
      <alignment horizontal="center"/>
      <protection hidden="1"/>
    </xf>
    <xf numFmtId="0" fontId="254" fillId="32" borderId="1" xfId="0" applyFont="1" applyFill="1" applyBorder="1" applyAlignment="1" applyProtection="1">
      <alignment horizontal="center"/>
      <protection hidden="1"/>
    </xf>
    <xf numFmtId="0" fontId="7" fillId="0" borderId="9" xfId="0" applyFont="1" applyBorder="1" applyAlignment="1">
      <alignment horizontal="center" vertical="center"/>
    </xf>
    <xf numFmtId="0" fontId="7" fillId="0" borderId="3" xfId="0" applyFont="1" applyBorder="1" applyAlignment="1">
      <alignment horizontal="center" vertical="center"/>
    </xf>
    <xf numFmtId="0" fontId="7" fillId="0" borderId="10" xfId="0" applyFont="1" applyBorder="1" applyAlignment="1">
      <alignment horizontal="center" vertical="center"/>
    </xf>
    <xf numFmtId="37" fontId="3" fillId="17" borderId="40" xfId="0" applyNumberFormat="1" applyFont="1" applyFill="1" applyBorder="1" applyAlignment="1" applyProtection="1">
      <alignment horizontal="left" wrapText="1" indent="1"/>
      <protection locked="0"/>
    </xf>
    <xf numFmtId="37" fontId="3" fillId="17" borderId="26" xfId="0" applyNumberFormat="1" applyFont="1" applyFill="1" applyBorder="1" applyAlignment="1" applyProtection="1">
      <alignment horizontal="left" wrapText="1" indent="1"/>
      <protection locked="0"/>
    </xf>
    <xf numFmtId="0" fontId="0" fillId="0" borderId="26" xfId="0" applyBorder="1" applyAlignment="1" applyProtection="1">
      <alignment horizontal="left" wrapText="1" indent="1"/>
      <protection locked="0"/>
    </xf>
    <xf numFmtId="0" fontId="0" fillId="0" borderId="55" xfId="0" applyBorder="1" applyAlignment="1" applyProtection="1">
      <alignment horizontal="left" wrapText="1" indent="1"/>
      <protection locked="0"/>
    </xf>
    <xf numFmtId="37" fontId="3" fillId="17" borderId="40" xfId="0" applyNumberFormat="1" applyFont="1" applyFill="1" applyBorder="1" applyAlignment="1" applyProtection="1">
      <alignment horizontal="center" wrapText="1"/>
      <protection locked="0"/>
    </xf>
    <xf numFmtId="37" fontId="3" fillId="17" borderId="26" xfId="0" applyNumberFormat="1" applyFont="1" applyFill="1" applyBorder="1" applyAlignment="1" applyProtection="1">
      <alignment horizontal="center" wrapText="1"/>
      <protection locked="0"/>
    </xf>
    <xf numFmtId="0" fontId="18" fillId="16" borderId="26" xfId="0" applyFont="1" applyFill="1" applyBorder="1" applyAlignment="1" applyProtection="1">
      <alignment horizontal="center"/>
      <protection hidden="1"/>
    </xf>
    <xf numFmtId="0" fontId="0" fillId="0" borderId="69" xfId="0" applyBorder="1" applyAlignment="1">
      <alignment horizontal="center"/>
    </xf>
    <xf numFmtId="0" fontId="18" fillId="16" borderId="68" xfId="0" applyFont="1" applyFill="1" applyBorder="1" applyAlignment="1" applyProtection="1">
      <alignment horizontal="center"/>
      <protection hidden="1"/>
    </xf>
    <xf numFmtId="0" fontId="18" fillId="16" borderId="31" xfId="0" applyFont="1" applyFill="1" applyBorder="1" applyAlignment="1" applyProtection="1">
      <alignment horizontal="center" vertical="center"/>
      <protection hidden="1"/>
    </xf>
    <xf numFmtId="0" fontId="18" fillId="16" borderId="15" xfId="0" applyFont="1" applyFill="1" applyBorder="1" applyAlignment="1" applyProtection="1">
      <alignment horizontal="center" vertical="center"/>
      <protection hidden="1"/>
    </xf>
    <xf numFmtId="37" fontId="3" fillId="28" borderId="26" xfId="0" applyNumberFormat="1" applyFont="1" applyFill="1" applyBorder="1" applyAlignment="1">
      <alignment horizontal="right" indent="2"/>
    </xf>
    <xf numFmtId="37" fontId="3" fillId="28" borderId="9" xfId="0" applyNumberFormat="1" applyFont="1" applyFill="1" applyBorder="1" applyAlignment="1">
      <alignment horizontal="right"/>
    </xf>
    <xf numFmtId="0" fontId="18" fillId="16" borderId="5" xfId="0" applyFont="1" applyFill="1" applyBorder="1" applyAlignment="1" applyProtection="1">
      <alignment horizontal="center"/>
      <protection hidden="1"/>
    </xf>
    <xf numFmtId="0" fontId="18" fillId="16" borderId="182" xfId="0" applyFont="1" applyFill="1" applyBorder="1" applyAlignment="1" applyProtection="1">
      <alignment horizontal="center" vertical="center"/>
      <protection hidden="1"/>
    </xf>
    <xf numFmtId="0" fontId="18" fillId="16" borderId="183" xfId="0" applyFont="1" applyFill="1" applyBorder="1" applyAlignment="1" applyProtection="1">
      <alignment horizontal="center" vertical="center"/>
      <protection hidden="1"/>
    </xf>
    <xf numFmtId="37" fontId="3" fillId="28" borderId="182" xfId="0" applyNumberFormat="1" applyFont="1" applyFill="1" applyBorder="1" applyAlignment="1" applyProtection="1">
      <alignment horizontal="right" indent="2"/>
      <protection hidden="1"/>
    </xf>
    <xf numFmtId="37" fontId="3" fillId="28" borderId="75" xfId="0" applyNumberFormat="1" applyFont="1" applyFill="1" applyBorder="1" applyAlignment="1">
      <alignment horizontal="right" indent="2"/>
    </xf>
    <xf numFmtId="37" fontId="3" fillId="20" borderId="68" xfId="0" applyNumberFormat="1" applyFont="1" applyFill="1" applyBorder="1" applyAlignment="1" applyProtection="1">
      <alignment horizontal="right" wrapText="1" indent="1"/>
      <protection locked="0"/>
    </xf>
    <xf numFmtId="37" fontId="3" fillId="20" borderId="26" xfId="0" applyNumberFormat="1" applyFont="1" applyFill="1" applyBorder="1" applyAlignment="1" applyProtection="1">
      <alignment horizontal="right" wrapText="1" indent="1"/>
      <protection locked="0"/>
    </xf>
    <xf numFmtId="37" fontId="3" fillId="28" borderId="26" xfId="0" applyNumberFormat="1" applyFont="1" applyFill="1" applyBorder="1" applyAlignment="1">
      <alignment horizontal="right" indent="1"/>
    </xf>
    <xf numFmtId="37" fontId="3" fillId="28" borderId="55" xfId="0" applyNumberFormat="1" applyFont="1" applyFill="1" applyBorder="1" applyAlignment="1">
      <alignment horizontal="right" indent="1"/>
    </xf>
    <xf numFmtId="37" fontId="3" fillId="20" borderId="40" xfId="0" applyNumberFormat="1" applyFont="1" applyFill="1" applyBorder="1" applyAlignment="1" applyProtection="1">
      <alignment horizontal="right" wrapText="1" indent="1"/>
      <protection hidden="1"/>
    </xf>
    <xf numFmtId="37" fontId="3" fillId="20" borderId="26" xfId="0" applyNumberFormat="1" applyFont="1" applyFill="1" applyBorder="1" applyAlignment="1" applyProtection="1">
      <alignment horizontal="right" wrapText="1" indent="1"/>
      <protection hidden="1"/>
    </xf>
    <xf numFmtId="37" fontId="3" fillId="20" borderId="69" xfId="0" applyNumberFormat="1" applyFont="1" applyFill="1" applyBorder="1" applyAlignment="1" applyProtection="1">
      <alignment horizontal="right" wrapText="1" indent="1"/>
      <protection hidden="1"/>
    </xf>
    <xf numFmtId="37" fontId="3" fillId="28" borderId="68" xfId="0" applyNumberFormat="1" applyFont="1" applyFill="1" applyBorder="1" applyAlignment="1" applyProtection="1">
      <alignment horizontal="right" wrapText="1" indent="1"/>
      <protection hidden="1"/>
    </xf>
    <xf numFmtId="37" fontId="3" fillId="28" borderId="55" xfId="0" applyNumberFormat="1" applyFont="1" applyFill="1" applyBorder="1" applyAlignment="1" applyProtection="1">
      <alignment horizontal="right" wrapText="1" indent="1"/>
      <protection hidden="1"/>
    </xf>
    <xf numFmtId="37" fontId="3" fillId="28" borderId="13" xfId="0" applyNumberFormat="1" applyFont="1" applyFill="1" applyBorder="1" applyAlignment="1" applyProtection="1">
      <alignment horizontal="right" wrapText="1" indent="1"/>
      <protection hidden="1"/>
    </xf>
    <xf numFmtId="37" fontId="3" fillId="20" borderId="13" xfId="0" applyNumberFormat="1" applyFont="1" applyFill="1" applyBorder="1" applyAlignment="1" applyProtection="1">
      <alignment horizontal="right" indent="1"/>
      <protection hidden="1"/>
    </xf>
    <xf numFmtId="37" fontId="3" fillId="20" borderId="40" xfId="0" applyNumberFormat="1" applyFont="1" applyFill="1" applyBorder="1" applyAlignment="1" applyProtection="1">
      <alignment horizontal="right" indent="1"/>
      <protection hidden="1"/>
    </xf>
    <xf numFmtId="39" fontId="5" fillId="17" borderId="69" xfId="0" applyNumberFormat="1" applyFont="1" applyFill="1" applyBorder="1" applyAlignment="1" applyProtection="1">
      <alignment horizontal="right" wrapText="1" indent="1"/>
      <protection locked="0"/>
    </xf>
    <xf numFmtId="0" fontId="3" fillId="17" borderId="40" xfId="0" applyFont="1" applyFill="1" applyBorder="1" applyProtection="1">
      <protection locked="0"/>
    </xf>
    <xf numFmtId="0" fontId="3" fillId="17" borderId="26" xfId="0" applyFont="1" applyFill="1" applyBorder="1" applyProtection="1">
      <protection locked="0"/>
    </xf>
    <xf numFmtId="0" fontId="3" fillId="17" borderId="55" xfId="0" applyFont="1" applyFill="1" applyBorder="1" applyProtection="1">
      <protection locked="0"/>
    </xf>
    <xf numFmtId="0" fontId="3" fillId="17" borderId="26" xfId="0" applyFont="1" applyFill="1" applyBorder="1" applyAlignment="1" applyProtection="1">
      <alignment horizontal="center" vertical="center"/>
      <protection locked="0"/>
    </xf>
    <xf numFmtId="0" fontId="3" fillId="17" borderId="55" xfId="0" applyFont="1" applyFill="1" applyBorder="1" applyAlignment="1" applyProtection="1">
      <alignment horizontal="center" vertical="center"/>
      <protection locked="0"/>
    </xf>
    <xf numFmtId="0" fontId="18" fillId="0" borderId="9" xfId="0" applyFont="1" applyBorder="1" applyAlignment="1">
      <alignment horizontal="center"/>
    </xf>
    <xf numFmtId="0" fontId="18" fillId="0" borderId="26" xfId="0" applyFont="1" applyBorder="1" applyAlignment="1">
      <alignment horizontal="center"/>
    </xf>
    <xf numFmtId="0" fontId="7" fillId="16" borderId="9" xfId="0" applyFont="1" applyFill="1" applyBorder="1" applyAlignment="1" applyProtection="1">
      <alignment horizontal="center" vertical="center" wrapText="1"/>
      <protection hidden="1"/>
    </xf>
    <xf numFmtId="0" fontId="7" fillId="16" borderId="81" xfId="0" applyFont="1" applyFill="1" applyBorder="1" applyAlignment="1" applyProtection="1">
      <alignment horizontal="center" vertical="center" wrapText="1"/>
      <protection hidden="1"/>
    </xf>
    <xf numFmtId="0" fontId="7" fillId="0" borderId="6" xfId="0" applyFont="1" applyBorder="1" applyAlignment="1">
      <alignment horizontal="center" vertical="center" wrapText="1"/>
    </xf>
    <xf numFmtId="0" fontId="7" fillId="0" borderId="27" xfId="0" applyFont="1" applyBorder="1" applyAlignment="1">
      <alignment horizontal="center" vertical="center" wrapText="1"/>
    </xf>
    <xf numFmtId="0" fontId="12" fillId="17" borderId="1" xfId="0" applyFont="1" applyFill="1" applyBorder="1" applyProtection="1">
      <protection locked="0"/>
    </xf>
    <xf numFmtId="0" fontId="12" fillId="17" borderId="12" xfId="0" applyFont="1" applyFill="1" applyBorder="1" applyProtection="1">
      <protection locked="0"/>
    </xf>
    <xf numFmtId="166" fontId="12" fillId="17" borderId="1" xfId="0" applyNumberFormat="1" applyFont="1" applyFill="1" applyBorder="1" applyAlignment="1" applyProtection="1">
      <alignment horizontal="center"/>
      <protection locked="0"/>
    </xf>
    <xf numFmtId="0" fontId="10" fillId="16" borderId="31" xfId="0" applyFont="1" applyFill="1" applyBorder="1" applyAlignment="1" applyProtection="1">
      <alignment horizontal="center" vertical="center" wrapText="1"/>
      <protection hidden="1"/>
    </xf>
    <xf numFmtId="0" fontId="10" fillId="0" borderId="9"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2" xfId="0" applyFont="1" applyBorder="1" applyAlignment="1">
      <alignment horizontal="center" vertical="center" wrapText="1"/>
    </xf>
    <xf numFmtId="0" fontId="16" fillId="16" borderId="0" xfId="0" applyFont="1" applyFill="1" applyAlignment="1" applyProtection="1">
      <alignment horizontal="center" vertical="center" wrapText="1"/>
      <protection hidden="1"/>
    </xf>
    <xf numFmtId="0" fontId="12" fillId="16" borderId="40" xfId="0" applyFont="1" applyFill="1" applyBorder="1" applyAlignment="1" applyProtection="1">
      <alignment horizontal="center" vertical="center"/>
      <protection hidden="1"/>
    </xf>
    <xf numFmtId="0" fontId="12" fillId="0" borderId="55" xfId="0" applyFont="1" applyBorder="1" applyAlignment="1">
      <alignment horizontal="center" vertical="center"/>
    </xf>
    <xf numFmtId="37" fontId="18" fillId="28" borderId="26" xfId="0" applyNumberFormat="1" applyFont="1" applyFill="1" applyBorder="1" applyAlignment="1" applyProtection="1">
      <alignment horizontal="right" vertical="center"/>
      <protection hidden="1"/>
    </xf>
    <xf numFmtId="0" fontId="0" fillId="0" borderId="26" xfId="0" applyBorder="1" applyAlignment="1">
      <alignment horizontal="right" vertical="center"/>
    </xf>
    <xf numFmtId="0" fontId="12" fillId="16" borderId="70" xfId="0" applyFont="1" applyFill="1" applyBorder="1" applyAlignment="1" applyProtection="1">
      <alignment horizontal="center" vertical="center"/>
      <protection hidden="1"/>
    </xf>
    <xf numFmtId="0" fontId="12" fillId="0" borderId="71" xfId="0" applyFont="1" applyBorder="1" applyAlignment="1">
      <alignment horizontal="center" vertical="center"/>
    </xf>
    <xf numFmtId="37" fontId="18" fillId="28" borderId="70" xfId="0" applyNumberFormat="1" applyFont="1" applyFill="1" applyBorder="1" applyAlignment="1" applyProtection="1">
      <alignment horizontal="right" vertical="center" indent="2"/>
      <protection hidden="1"/>
    </xf>
    <xf numFmtId="37" fontId="18" fillId="28" borderId="5" xfId="0" applyNumberFormat="1" applyFont="1" applyFill="1" applyBorder="1" applyAlignment="1" applyProtection="1">
      <alignment horizontal="right" vertical="center" indent="2"/>
      <protection hidden="1"/>
    </xf>
    <xf numFmtId="0" fontId="8" fillId="16" borderId="31" xfId="0" applyFont="1" applyFill="1" applyBorder="1" applyProtection="1">
      <protection hidden="1"/>
    </xf>
    <xf numFmtId="0" fontId="8" fillId="16" borderId="9" xfId="0" applyFont="1" applyFill="1" applyBorder="1"/>
    <xf numFmtId="37" fontId="194" fillId="16" borderId="9" xfId="0" applyNumberFormat="1" applyFont="1" applyFill="1" applyBorder="1" applyAlignment="1" applyProtection="1">
      <alignment horizontal="right" vertical="center"/>
      <protection hidden="1"/>
    </xf>
    <xf numFmtId="0" fontId="16" fillId="16" borderId="0" xfId="0" applyFont="1" applyFill="1" applyAlignment="1" applyProtection="1">
      <alignment horizontal="right" vertical="center" wrapText="1" indent="1"/>
      <protection hidden="1"/>
    </xf>
    <xf numFmtId="0" fontId="0" fillId="0" borderId="0" xfId="0" applyAlignment="1">
      <alignment horizontal="right" vertical="center" wrapText="1" indent="1"/>
    </xf>
    <xf numFmtId="37" fontId="18" fillId="28" borderId="10" xfId="0" applyNumberFormat="1" applyFont="1" applyFill="1" applyBorder="1" applyAlignment="1" applyProtection="1">
      <alignment horizontal="right" vertical="center"/>
      <protection hidden="1"/>
    </xf>
    <xf numFmtId="37" fontId="18" fillId="28" borderId="1" xfId="0" applyNumberFormat="1" applyFont="1" applyFill="1" applyBorder="1" applyAlignment="1" applyProtection="1">
      <alignment horizontal="right" vertical="center"/>
      <protection hidden="1"/>
    </xf>
    <xf numFmtId="37" fontId="18" fillId="28" borderId="12" xfId="0" applyNumberFormat="1" applyFont="1" applyFill="1" applyBorder="1" applyAlignment="1" applyProtection="1">
      <alignment horizontal="right" vertical="center"/>
      <protection hidden="1"/>
    </xf>
    <xf numFmtId="0" fontId="12" fillId="16" borderId="10" xfId="0" applyFont="1" applyFill="1" applyBorder="1" applyAlignment="1" applyProtection="1">
      <alignment horizontal="center" vertical="center"/>
      <protection hidden="1"/>
    </xf>
    <xf numFmtId="0" fontId="12" fillId="0" borderId="12" xfId="0" applyFont="1" applyBorder="1" applyAlignment="1">
      <alignment horizontal="center" vertical="center"/>
    </xf>
    <xf numFmtId="37" fontId="18" fillId="28" borderId="40" xfId="0" applyNumberFormat="1" applyFont="1" applyFill="1" applyBorder="1" applyAlignment="1" applyProtection="1">
      <alignment horizontal="right" vertical="center" indent="2"/>
      <protection hidden="1"/>
    </xf>
    <xf numFmtId="37" fontId="18" fillId="28" borderId="26" xfId="0" applyNumberFormat="1" applyFont="1" applyFill="1" applyBorder="1" applyAlignment="1" applyProtection="1">
      <alignment horizontal="right" vertical="center" indent="2"/>
      <protection hidden="1"/>
    </xf>
    <xf numFmtId="0" fontId="12" fillId="16" borderId="3" xfId="0" applyFont="1" applyFill="1" applyBorder="1" applyAlignment="1" applyProtection="1">
      <alignment horizontal="center" vertical="center"/>
      <protection hidden="1"/>
    </xf>
    <xf numFmtId="0" fontId="12" fillId="0" borderId="25" xfId="0" applyFont="1" applyBorder="1" applyAlignment="1">
      <alignment horizontal="center" vertical="center"/>
    </xf>
    <xf numFmtId="3" fontId="18" fillId="16" borderId="3" xfId="0" applyNumberFormat="1" applyFont="1" applyFill="1" applyBorder="1" applyAlignment="1" applyProtection="1">
      <alignment horizontal="right" vertical="center"/>
      <protection hidden="1"/>
    </xf>
    <xf numFmtId="3" fontId="18" fillId="16" borderId="0" xfId="0" applyNumberFormat="1" applyFont="1" applyFill="1" applyAlignment="1" applyProtection="1">
      <alignment horizontal="right" vertical="center"/>
      <protection hidden="1"/>
    </xf>
    <xf numFmtId="3" fontId="18" fillId="16" borderId="25" xfId="0" applyNumberFormat="1" applyFont="1" applyFill="1" applyBorder="1" applyAlignment="1" applyProtection="1">
      <alignment horizontal="right" vertical="center"/>
      <protection hidden="1"/>
    </xf>
    <xf numFmtId="0" fontId="0" fillId="0" borderId="1" xfId="0" applyBorder="1" applyAlignment="1">
      <alignment horizontal="right" vertical="center"/>
    </xf>
    <xf numFmtId="0" fontId="53" fillId="0" borderId="40" xfId="0" applyFont="1" applyBorder="1" applyAlignment="1" applyProtection="1">
      <alignment horizontal="center" vertical="center"/>
      <protection hidden="1"/>
    </xf>
    <xf numFmtId="0" fontId="0" fillId="0" borderId="55" xfId="0" applyBorder="1" applyAlignment="1">
      <alignment horizontal="center" vertical="center"/>
    </xf>
    <xf numFmtId="37" fontId="18" fillId="28" borderId="40" xfId="0" applyNumberFormat="1" applyFont="1" applyFill="1" applyBorder="1" applyAlignment="1" applyProtection="1">
      <alignment horizontal="right" vertical="center"/>
      <protection hidden="1"/>
    </xf>
    <xf numFmtId="0" fontId="12" fillId="16" borderId="31" xfId="0" applyFont="1" applyFill="1" applyBorder="1" applyAlignment="1" applyProtection="1">
      <alignment horizontal="center" vertical="center"/>
      <protection hidden="1"/>
    </xf>
    <xf numFmtId="0" fontId="12" fillId="0" borderId="15" xfId="0" applyFont="1" applyBorder="1" applyAlignment="1">
      <alignment horizontal="center" vertical="center"/>
    </xf>
    <xf numFmtId="3" fontId="18" fillId="16" borderId="31" xfId="0" applyNumberFormat="1" applyFont="1" applyFill="1" applyBorder="1" applyAlignment="1" applyProtection="1">
      <alignment horizontal="right" vertical="center"/>
      <protection hidden="1"/>
    </xf>
    <xf numFmtId="3" fontId="18" fillId="16" borderId="9" xfId="0" applyNumberFormat="1" applyFont="1" applyFill="1" applyBorder="1" applyAlignment="1" applyProtection="1">
      <alignment horizontal="right" vertical="center"/>
      <protection hidden="1"/>
    </xf>
    <xf numFmtId="3" fontId="18" fillId="16" borderId="15" xfId="0" applyNumberFormat="1" applyFont="1" applyFill="1" applyBorder="1" applyAlignment="1" applyProtection="1">
      <alignment horizontal="right" vertical="center"/>
      <protection hidden="1"/>
    </xf>
    <xf numFmtId="39" fontId="53" fillId="17" borderId="1" xfId="0" applyNumberFormat="1" applyFont="1" applyFill="1" applyBorder="1" applyAlignment="1" applyProtection="1">
      <alignment horizontal="right" vertical="center"/>
      <protection locked="0"/>
    </xf>
    <xf numFmtId="39" fontId="53" fillId="17" borderId="12" xfId="0" applyNumberFormat="1" applyFont="1" applyFill="1" applyBorder="1" applyAlignment="1" applyProtection="1">
      <alignment horizontal="right" vertical="center"/>
      <protection locked="0"/>
    </xf>
    <xf numFmtId="39" fontId="53" fillId="17" borderId="10" xfId="0" applyNumberFormat="1" applyFont="1" applyFill="1" applyBorder="1" applyAlignment="1" applyProtection="1">
      <alignment horizontal="right" vertical="center"/>
      <protection locked="0"/>
    </xf>
    <xf numFmtId="0" fontId="18" fillId="16" borderId="0" xfId="0" applyFont="1" applyFill="1" applyAlignment="1">
      <alignment horizontal="center"/>
    </xf>
    <xf numFmtId="0" fontId="3" fillId="17" borderId="88" xfId="0" applyFont="1" applyFill="1" applyBorder="1" applyAlignment="1" applyProtection="1">
      <alignment horizontal="left" vertical="center"/>
      <protection locked="0"/>
    </xf>
    <xf numFmtId="0" fontId="16" fillId="16" borderId="26" xfId="0" applyFont="1" applyFill="1" applyBorder="1" applyAlignment="1" applyProtection="1">
      <alignment horizontal="center" vertical="center" wrapText="1"/>
      <protection hidden="1"/>
    </xf>
    <xf numFmtId="0" fontId="0" fillId="0" borderId="26" xfId="0" applyBorder="1" applyAlignment="1">
      <alignment horizontal="center" vertical="center" wrapText="1"/>
    </xf>
    <xf numFmtId="39" fontId="53" fillId="17" borderId="40" xfId="0" applyNumberFormat="1" applyFont="1" applyFill="1" applyBorder="1" applyAlignment="1" applyProtection="1">
      <alignment horizontal="right" vertical="center"/>
      <protection locked="0"/>
    </xf>
    <xf numFmtId="39" fontId="53" fillId="17" borderId="26" xfId="0" applyNumberFormat="1" applyFont="1" applyFill="1" applyBorder="1" applyAlignment="1" applyProtection="1">
      <alignment horizontal="right" vertical="center"/>
      <protection locked="0"/>
    </xf>
    <xf numFmtId="39" fontId="53" fillId="17" borderId="55" xfId="0" applyNumberFormat="1" applyFont="1" applyFill="1" applyBorder="1" applyAlignment="1" applyProtection="1">
      <alignment horizontal="right" vertical="center"/>
      <protection locked="0"/>
    </xf>
    <xf numFmtId="37" fontId="10" fillId="16" borderId="31" xfId="0" applyNumberFormat="1" applyFont="1" applyFill="1" applyBorder="1" applyAlignment="1" applyProtection="1">
      <alignment horizontal="center" vertical="center"/>
      <protection hidden="1"/>
    </xf>
    <xf numFmtId="0" fontId="10" fillId="0" borderId="9" xfId="0" applyFont="1" applyBorder="1" applyAlignment="1">
      <alignment horizontal="center" vertical="center"/>
    </xf>
    <xf numFmtId="0" fontId="12" fillId="16" borderId="26" xfId="0" applyFont="1" applyFill="1" applyBorder="1" applyAlignment="1" applyProtection="1">
      <alignment horizontal="center"/>
      <protection hidden="1"/>
    </xf>
    <xf numFmtId="0" fontId="18" fillId="17" borderId="40" xfId="0" applyFont="1" applyFill="1" applyBorder="1" applyAlignment="1" applyProtection="1">
      <alignment horizontal="center"/>
      <protection locked="0"/>
    </xf>
    <xf numFmtId="0" fontId="53" fillId="0" borderId="26" xfId="0" applyFont="1" applyBorder="1" applyAlignment="1" applyProtection="1">
      <alignment horizontal="center"/>
      <protection locked="0"/>
    </xf>
    <xf numFmtId="0" fontId="53" fillId="0" borderId="55" xfId="0" applyFont="1" applyBorder="1" applyAlignment="1" applyProtection="1">
      <alignment horizontal="center"/>
      <protection locked="0"/>
    </xf>
    <xf numFmtId="0" fontId="3" fillId="16" borderId="40" xfId="0" applyFont="1" applyFill="1" applyBorder="1" applyAlignment="1">
      <alignment horizontal="center"/>
    </xf>
    <xf numFmtId="0" fontId="3" fillId="16" borderId="26" xfId="0" applyFont="1" applyFill="1" applyBorder="1" applyAlignment="1">
      <alignment horizontal="center"/>
    </xf>
    <xf numFmtId="0" fontId="3" fillId="16" borderId="55" xfId="0" applyFont="1" applyFill="1" applyBorder="1" applyAlignment="1">
      <alignment horizontal="center"/>
    </xf>
    <xf numFmtId="0" fontId="12" fillId="0" borderId="26" xfId="0" applyFont="1" applyBorder="1" applyAlignment="1">
      <alignment horizontal="center" vertical="center"/>
    </xf>
    <xf numFmtId="0" fontId="12" fillId="16" borderId="40" xfId="0" applyFont="1" applyFill="1" applyBorder="1" applyAlignment="1" applyProtection="1">
      <alignment horizontal="center" vertical="center" wrapText="1"/>
      <protection hidden="1"/>
    </xf>
    <xf numFmtId="0" fontId="12" fillId="0" borderId="26" xfId="0" applyFont="1" applyBorder="1" applyAlignment="1">
      <alignment horizontal="center" vertical="center" wrapText="1"/>
    </xf>
    <xf numFmtId="0" fontId="12" fillId="0" borderId="55" xfId="0" applyFont="1" applyBorder="1" applyAlignment="1">
      <alignment horizontal="center" vertical="center" wrapText="1"/>
    </xf>
    <xf numFmtId="49" fontId="5" fillId="17" borderId="1" xfId="0" applyNumberFormat="1" applyFont="1" applyFill="1" applyBorder="1" applyAlignment="1" applyProtection="1">
      <alignment horizontal="center" vertical="center" wrapText="1"/>
      <protection locked="0"/>
    </xf>
    <xf numFmtId="49" fontId="0" fillId="17" borderId="1" xfId="0" applyNumberFormat="1" applyFill="1" applyBorder="1" applyAlignment="1" applyProtection="1">
      <alignment horizontal="center" vertical="center" wrapText="1"/>
      <protection locked="0"/>
    </xf>
    <xf numFmtId="0" fontId="12" fillId="16" borderId="9" xfId="0" applyFont="1" applyFill="1" applyBorder="1" applyAlignment="1" applyProtection="1">
      <alignment horizontal="center"/>
      <protection hidden="1"/>
    </xf>
    <xf numFmtId="0" fontId="3" fillId="0" borderId="15" xfId="0" applyFont="1" applyBorder="1" applyAlignment="1">
      <alignment horizontal="center"/>
    </xf>
    <xf numFmtId="0" fontId="5" fillId="16" borderId="9" xfId="0" applyFont="1" applyFill="1" applyBorder="1" applyAlignment="1">
      <alignment horizontal="center" vertical="center" wrapText="1"/>
    </xf>
    <xf numFmtId="0" fontId="5" fillId="16" borderId="15" xfId="0" applyFont="1" applyFill="1" applyBorder="1" applyAlignment="1">
      <alignment horizontal="center" vertical="center" wrapText="1"/>
    </xf>
    <xf numFmtId="0" fontId="5" fillId="16" borderId="10"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5" fillId="16" borderId="12" xfId="0" applyFont="1" applyFill="1" applyBorder="1" applyAlignment="1">
      <alignment horizontal="center" vertical="center" wrapText="1"/>
    </xf>
    <xf numFmtId="0" fontId="12" fillId="0" borderId="9" xfId="0" applyFont="1" applyBorder="1" applyAlignment="1">
      <alignment horizontal="center" vertical="center"/>
    </xf>
    <xf numFmtId="0" fontId="7" fillId="16" borderId="9" xfId="0" applyFont="1" applyFill="1" applyBorder="1" applyAlignment="1" applyProtection="1">
      <alignment horizontal="left" vertical="center" wrapText="1"/>
      <protection hidden="1"/>
    </xf>
    <xf numFmtId="0" fontId="3" fillId="16" borderId="31" xfId="0" applyFont="1" applyFill="1" applyBorder="1" applyAlignment="1" applyProtection="1">
      <alignment horizontal="center" vertical="center" wrapText="1"/>
      <protection hidden="1"/>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2" xfId="0" applyFont="1" applyBorder="1" applyAlignment="1">
      <alignment horizontal="center" vertical="center" wrapText="1"/>
    </xf>
    <xf numFmtId="0" fontId="5" fillId="0" borderId="9" xfId="0" applyFont="1" applyBorder="1" applyAlignment="1">
      <alignment horizontal="center"/>
    </xf>
    <xf numFmtId="0" fontId="12" fillId="16" borderId="1" xfId="0" applyFont="1" applyFill="1" applyBorder="1" applyAlignment="1" applyProtection="1">
      <alignment horizontal="center"/>
      <protection hidden="1"/>
    </xf>
    <xf numFmtId="0" fontId="5" fillId="0" borderId="1" xfId="0" applyFont="1" applyBorder="1" applyAlignment="1">
      <alignment horizontal="center"/>
    </xf>
    <xf numFmtId="0" fontId="3" fillId="0" borderId="55" xfId="0" applyFont="1" applyBorder="1" applyAlignment="1">
      <alignment horizontal="center"/>
    </xf>
    <xf numFmtId="0" fontId="3" fillId="17" borderId="40" xfId="0" applyFont="1" applyFill="1" applyBorder="1" applyAlignment="1" applyProtection="1">
      <alignment horizontal="left"/>
      <protection locked="0"/>
    </xf>
    <xf numFmtId="0" fontId="5" fillId="16" borderId="27" xfId="0" applyFont="1" applyFill="1" applyBorder="1" applyAlignment="1" applyProtection="1">
      <alignment horizontal="center" vertical="center" wrapText="1"/>
      <protection hidden="1"/>
    </xf>
    <xf numFmtId="0" fontId="0" fillId="0" borderId="1" xfId="0" applyBorder="1" applyAlignment="1" applyProtection="1">
      <alignment horizontal="center" vertical="center" wrapText="1"/>
      <protection hidden="1"/>
    </xf>
    <xf numFmtId="0" fontId="12" fillId="16" borderId="0" xfId="0" applyFont="1" applyFill="1" applyAlignment="1" applyProtection="1">
      <alignment vertical="top" wrapText="1"/>
      <protection hidden="1"/>
    </xf>
    <xf numFmtId="0" fontId="16" fillId="0" borderId="0" xfId="0" applyFont="1" applyAlignment="1">
      <alignment wrapText="1"/>
    </xf>
    <xf numFmtId="0" fontId="16" fillId="0" borderId="21" xfId="0" applyFont="1" applyBorder="1" applyAlignment="1">
      <alignment wrapText="1"/>
    </xf>
    <xf numFmtId="0" fontId="102" fillId="16" borderId="81" xfId="0" applyFont="1" applyFill="1" applyBorder="1" applyAlignment="1" applyProtection="1">
      <alignment horizontal="center" vertical="center" wrapText="1"/>
      <protection hidden="1"/>
    </xf>
    <xf numFmtId="0" fontId="102" fillId="16" borderId="9" xfId="0" applyFont="1" applyFill="1" applyBorder="1" applyAlignment="1" applyProtection="1">
      <alignment horizontal="center" vertical="center" wrapText="1"/>
      <protection hidden="1"/>
    </xf>
    <xf numFmtId="0" fontId="102" fillId="16" borderId="6" xfId="0" applyFont="1" applyFill="1" applyBorder="1" applyAlignment="1" applyProtection="1">
      <alignment horizontal="center" vertical="center" wrapText="1"/>
      <protection hidden="1"/>
    </xf>
    <xf numFmtId="0" fontId="102" fillId="16" borderId="0" xfId="0" applyFont="1" applyFill="1" applyAlignment="1" applyProtection="1">
      <alignment horizontal="center" vertical="center" wrapText="1"/>
      <protection hidden="1"/>
    </xf>
    <xf numFmtId="0" fontId="10" fillId="16" borderId="0" xfId="0" applyFont="1" applyFill="1" applyAlignment="1" applyProtection="1">
      <alignment horizontal="left" vertical="center" wrapText="1"/>
      <protection hidden="1"/>
    </xf>
    <xf numFmtId="0" fontId="0" fillId="0" borderId="21" xfId="0" applyBorder="1" applyAlignment="1">
      <alignment horizontal="left" vertical="center" wrapText="1"/>
    </xf>
    <xf numFmtId="0" fontId="0" fillId="0" borderId="23" xfId="0" applyBorder="1" applyAlignment="1">
      <alignment horizontal="left" vertical="center" wrapText="1"/>
    </xf>
    <xf numFmtId="0" fontId="5" fillId="0" borderId="0" xfId="0" applyFont="1" applyAlignment="1">
      <alignment horizontal="left" wrapText="1"/>
    </xf>
    <xf numFmtId="0" fontId="0" fillId="0" borderId="5" xfId="0" applyBorder="1" applyAlignment="1">
      <alignment horizontal="left" wrapText="1"/>
    </xf>
    <xf numFmtId="0" fontId="12" fillId="16" borderId="5" xfId="0" applyFont="1" applyFill="1" applyBorder="1" applyAlignment="1" applyProtection="1">
      <alignment horizontal="left" vertical="top"/>
      <protection hidden="1"/>
    </xf>
    <xf numFmtId="0" fontId="12" fillId="16" borderId="5" xfId="0" applyFont="1" applyFill="1" applyBorder="1" applyAlignment="1">
      <alignment horizontal="left" vertical="top"/>
    </xf>
    <xf numFmtId="0" fontId="8" fillId="16" borderId="57" xfId="0" applyFont="1" applyFill="1" applyBorder="1" applyAlignment="1" applyProtection="1">
      <alignment wrapText="1"/>
      <protection hidden="1"/>
    </xf>
    <xf numFmtId="0" fontId="8" fillId="0" borderId="8" xfId="0" applyFont="1" applyBorder="1" applyAlignment="1">
      <alignment wrapText="1"/>
    </xf>
    <xf numFmtId="166" fontId="50" fillId="28" borderId="3" xfId="0" applyNumberFormat="1" applyFont="1" applyFill="1" applyBorder="1" applyAlignment="1" applyProtection="1">
      <alignment horizontal="center"/>
      <protection hidden="1"/>
    </xf>
    <xf numFmtId="166" fontId="0" fillId="0" borderId="0" xfId="0" applyNumberFormat="1" applyAlignment="1" applyProtection="1">
      <alignment horizontal="center"/>
      <protection hidden="1"/>
    </xf>
    <xf numFmtId="166" fontId="0" fillId="0" borderId="10" xfId="0" applyNumberFormat="1" applyBorder="1" applyAlignment="1" applyProtection="1">
      <alignment horizontal="center"/>
      <protection hidden="1"/>
    </xf>
    <xf numFmtId="166" fontId="0" fillId="0" borderId="1" xfId="0" applyNumberFormat="1" applyBorder="1" applyAlignment="1" applyProtection="1">
      <alignment horizontal="center"/>
      <protection hidden="1"/>
    </xf>
    <xf numFmtId="0" fontId="23" fillId="16" borderId="0" xfId="0" applyFont="1" applyFill="1" applyAlignment="1" applyProtection="1">
      <alignment vertical="center" wrapText="1"/>
      <protection hidden="1"/>
    </xf>
    <xf numFmtId="0" fontId="83" fillId="0" borderId="0" xfId="0" applyFont="1" applyAlignment="1">
      <alignment vertical="center" wrapText="1"/>
    </xf>
    <xf numFmtId="0" fontId="83" fillId="0" borderId="21" xfId="0" applyFont="1" applyBorder="1" applyAlignment="1">
      <alignment vertical="center" wrapText="1"/>
    </xf>
    <xf numFmtId="0" fontId="23" fillId="16" borderId="5" xfId="0" applyFont="1" applyFill="1" applyBorder="1" applyAlignment="1" applyProtection="1">
      <alignment horizontal="left"/>
      <protection hidden="1"/>
    </xf>
    <xf numFmtId="0" fontId="23" fillId="16" borderId="5" xfId="0" applyFont="1" applyFill="1" applyBorder="1" applyAlignment="1">
      <alignment horizontal="left"/>
    </xf>
    <xf numFmtId="0" fontId="82" fillId="16" borderId="1" xfId="0" applyFont="1" applyFill="1" applyBorder="1" applyAlignment="1" applyProtection="1">
      <alignment horizontal="left"/>
      <protection hidden="1"/>
    </xf>
    <xf numFmtId="0" fontId="23" fillId="16" borderId="0" xfId="0" applyFont="1" applyFill="1" applyAlignment="1" applyProtection="1">
      <alignment horizontal="left" vertical="center" wrapText="1"/>
      <protection hidden="1"/>
    </xf>
    <xf numFmtId="0" fontId="83" fillId="0" borderId="0" xfId="0" applyFont="1" applyAlignment="1">
      <alignment horizontal="left" vertical="center" wrapText="1"/>
    </xf>
    <xf numFmtId="0" fontId="83" fillId="0" borderId="21" xfId="0" applyFont="1" applyBorder="1" applyAlignment="1">
      <alignment horizontal="left" vertical="center" wrapText="1"/>
    </xf>
    <xf numFmtId="37" fontId="8" fillId="27" borderId="10" xfId="0" applyNumberFormat="1" applyFont="1" applyFill="1" applyBorder="1" applyAlignment="1" applyProtection="1">
      <alignment horizontal="right"/>
      <protection hidden="1"/>
    </xf>
    <xf numFmtId="37" fontId="3" fillId="28" borderId="12" xfId="0" applyNumberFormat="1" applyFont="1" applyFill="1" applyBorder="1" applyAlignment="1" applyProtection="1">
      <alignment horizontal="right"/>
      <protection hidden="1"/>
    </xf>
    <xf numFmtId="37" fontId="8" fillId="27" borderId="40" xfId="0" applyNumberFormat="1" applyFont="1" applyFill="1" applyBorder="1" applyAlignment="1" applyProtection="1">
      <alignment horizontal="right"/>
      <protection hidden="1"/>
    </xf>
    <xf numFmtId="37" fontId="3" fillId="28" borderId="26" xfId="0" applyNumberFormat="1" applyFont="1" applyFill="1" applyBorder="1" applyAlignment="1" applyProtection="1">
      <alignment horizontal="right"/>
      <protection hidden="1"/>
    </xf>
    <xf numFmtId="37" fontId="3" fillId="0" borderId="12" xfId="0" applyNumberFormat="1" applyFont="1" applyBorder="1" applyAlignment="1" applyProtection="1">
      <alignment horizontal="right"/>
      <protection locked="0"/>
    </xf>
    <xf numFmtId="0" fontId="9" fillId="15" borderId="31" xfId="0" applyFont="1" applyFill="1" applyBorder="1" applyAlignment="1" applyProtection="1">
      <alignment horizontal="center"/>
      <protection hidden="1"/>
    </xf>
    <xf numFmtId="0" fontId="0" fillId="0" borderId="9" xfId="0" applyBorder="1" applyAlignment="1" applyProtection="1">
      <alignment horizontal="center"/>
      <protection hidden="1"/>
    </xf>
    <xf numFmtId="0" fontId="3" fillId="3" borderId="70" xfId="0" applyFont="1" applyFill="1" applyBorder="1" applyAlignment="1" applyProtection="1">
      <alignment horizontal="right" indent="1"/>
      <protection hidden="1"/>
    </xf>
    <xf numFmtId="0" fontId="5" fillId="0" borderId="5" xfId="0" applyFont="1" applyBorder="1" applyAlignment="1">
      <alignment horizontal="right" indent="1"/>
    </xf>
    <xf numFmtId="37" fontId="8" fillId="27" borderId="1" xfId="0" applyNumberFormat="1" applyFont="1" applyFill="1" applyBorder="1" applyAlignment="1" applyProtection="1">
      <alignment horizontal="right"/>
      <protection hidden="1"/>
    </xf>
    <xf numFmtId="39" fontId="7" fillId="3" borderId="0" xfId="0" applyNumberFormat="1" applyFont="1" applyFill="1" applyAlignment="1" applyProtection="1">
      <alignment horizontal="left"/>
      <protection hidden="1"/>
    </xf>
    <xf numFmtId="0" fontId="0" fillId="0" borderId="9" xfId="0" applyBorder="1" applyAlignment="1">
      <alignment horizontal="center"/>
    </xf>
    <xf numFmtId="0" fontId="7" fillId="3" borderId="0" xfId="0" applyFont="1" applyFill="1" applyProtection="1">
      <protection hidden="1"/>
    </xf>
    <xf numFmtId="49" fontId="3" fillId="21" borderId="7" xfId="0" applyNumberFormat="1" applyFont="1" applyFill="1" applyBorder="1" applyAlignment="1" applyProtection="1">
      <alignment horizontal="center" vertical="center"/>
      <protection locked="0"/>
    </xf>
    <xf numFmtId="0" fontId="0" fillId="0" borderId="11" xfId="0" applyBorder="1" applyAlignment="1" applyProtection="1">
      <alignment vertical="center"/>
      <protection locked="0"/>
    </xf>
    <xf numFmtId="39" fontId="7" fillId="15" borderId="0" xfId="0" applyNumberFormat="1" applyFont="1" applyFill="1" applyAlignment="1" applyProtection="1">
      <alignment horizontal="left"/>
      <protection hidden="1"/>
    </xf>
    <xf numFmtId="0" fontId="0" fillId="0" borderId="0" xfId="0" applyAlignment="1">
      <alignment horizontal="left"/>
    </xf>
    <xf numFmtId="0" fontId="0" fillId="0" borderId="25" xfId="0" applyBorder="1" applyAlignment="1">
      <alignment horizontal="left"/>
    </xf>
    <xf numFmtId="3" fontId="11" fillId="3" borderId="0" xfId="0" applyNumberFormat="1" applyFont="1" applyFill="1" applyAlignment="1" applyProtection="1">
      <alignment horizontal="center"/>
      <protection hidden="1"/>
    </xf>
    <xf numFmtId="0" fontId="3" fillId="3" borderId="16" xfId="0" applyFont="1" applyFill="1" applyBorder="1" applyAlignment="1" applyProtection="1">
      <alignment horizontal="center"/>
      <protection hidden="1"/>
    </xf>
    <xf numFmtId="0" fontId="5" fillId="0" borderId="11" xfId="0" applyFont="1" applyBorder="1" applyAlignment="1">
      <alignment horizontal="center"/>
    </xf>
    <xf numFmtId="0" fontId="10" fillId="3" borderId="0" xfId="0" applyFont="1" applyFill="1" applyProtection="1">
      <protection hidden="1"/>
    </xf>
    <xf numFmtId="0" fontId="154" fillId="3" borderId="31" xfId="0" applyFont="1" applyFill="1" applyBorder="1" applyProtection="1">
      <protection hidden="1"/>
    </xf>
    <xf numFmtId="0" fontId="129" fillId="0" borderId="9" xfId="0" applyFont="1" applyBorder="1"/>
    <xf numFmtId="0" fontId="55" fillId="9" borderId="35" xfId="0" applyFont="1" applyFill="1" applyBorder="1" applyAlignment="1" applyProtection="1">
      <alignment horizontal="center"/>
      <protection hidden="1"/>
    </xf>
    <xf numFmtId="0" fontId="53" fillId="0" borderId="35" xfId="0" applyFont="1" applyBorder="1" applyAlignment="1">
      <alignment horizontal="center"/>
    </xf>
    <xf numFmtId="37" fontId="8" fillId="21" borderId="53" xfId="0" applyNumberFormat="1" applyFont="1" applyFill="1" applyBorder="1" applyAlignment="1" applyProtection="1">
      <alignment horizontal="right"/>
      <protection locked="0"/>
    </xf>
    <xf numFmtId="37" fontId="8" fillId="21" borderId="32" xfId="0" applyNumberFormat="1" applyFont="1" applyFill="1" applyBorder="1" applyAlignment="1" applyProtection="1">
      <alignment horizontal="right"/>
      <protection locked="0"/>
    </xf>
    <xf numFmtId="37" fontId="0" fillId="0" borderId="32" xfId="0" applyNumberFormat="1" applyBorder="1" applyAlignment="1" applyProtection="1">
      <alignment horizontal="right"/>
      <protection locked="0"/>
    </xf>
    <xf numFmtId="37" fontId="8" fillId="27" borderId="48" xfId="0" applyNumberFormat="1" applyFont="1" applyFill="1" applyBorder="1" applyAlignment="1" applyProtection="1">
      <alignment horizontal="right"/>
      <protection hidden="1"/>
    </xf>
    <xf numFmtId="37" fontId="8" fillId="27" borderId="28" xfId="0" applyNumberFormat="1" applyFont="1" applyFill="1" applyBorder="1" applyAlignment="1" applyProtection="1">
      <alignment horizontal="right"/>
      <protection hidden="1"/>
    </xf>
    <xf numFmtId="37" fontId="0" fillId="28" borderId="28" xfId="0" applyNumberFormat="1" applyFill="1" applyBorder="1" applyAlignment="1" applyProtection="1">
      <alignment horizontal="right"/>
      <protection hidden="1"/>
    </xf>
    <xf numFmtId="0" fontId="3" fillId="3" borderId="3" xfId="0" applyFont="1" applyFill="1" applyBorder="1" applyAlignment="1" applyProtection="1">
      <alignment horizontal="right" indent="1"/>
      <protection hidden="1"/>
    </xf>
    <xf numFmtId="0" fontId="5" fillId="0" borderId="0" xfId="0" applyFont="1" applyAlignment="1">
      <alignment horizontal="right" indent="1"/>
    </xf>
    <xf numFmtId="0" fontId="8" fillId="21" borderId="0" xfId="0" applyFont="1" applyFill="1" applyAlignment="1" applyProtection="1">
      <alignment horizontal="center"/>
      <protection locked="0"/>
    </xf>
    <xf numFmtId="0" fontId="0" fillId="0" borderId="0" xfId="0" applyAlignment="1" applyProtection="1">
      <alignment horizontal="center"/>
      <protection locked="0"/>
    </xf>
    <xf numFmtId="0" fontId="0" fillId="0" borderId="1" xfId="0" applyBorder="1" applyAlignment="1" applyProtection="1">
      <alignment horizontal="center"/>
      <protection locked="0"/>
    </xf>
    <xf numFmtId="0" fontId="0" fillId="0" borderId="187" xfId="0" applyBorder="1" applyAlignment="1" applyProtection="1">
      <alignment horizontal="center" vertical="center"/>
      <protection locked="0"/>
    </xf>
    <xf numFmtId="49" fontId="3" fillId="21" borderId="186" xfId="0" applyNumberFormat="1" applyFont="1" applyFill="1" applyBorder="1" applyAlignment="1" applyProtection="1">
      <alignment horizontal="center" vertical="center"/>
      <protection locked="0"/>
    </xf>
    <xf numFmtId="0" fontId="0" fillId="0" borderId="188" xfId="0" applyBorder="1" applyAlignment="1" applyProtection="1">
      <alignment horizontal="center" vertical="center"/>
      <protection locked="0"/>
    </xf>
    <xf numFmtId="0" fontId="3" fillId="3" borderId="0" xfId="0" applyFont="1" applyFill="1" applyAlignment="1" applyProtection="1">
      <alignment horizontal="left" vertical="center" wrapText="1"/>
      <protection hidden="1"/>
    </xf>
    <xf numFmtId="0" fontId="5" fillId="0" borderId="21" xfId="0" applyFont="1" applyBorder="1" applyAlignment="1">
      <alignment horizontal="left" vertical="center"/>
    </xf>
    <xf numFmtId="0" fontId="5" fillId="0" borderId="0" xfId="0" applyFont="1" applyAlignment="1">
      <alignment horizontal="left" vertical="center"/>
    </xf>
    <xf numFmtId="49" fontId="3" fillId="21" borderId="104" xfId="0" applyNumberFormat="1" applyFont="1" applyFill="1" applyBorder="1" applyAlignment="1" applyProtection="1">
      <alignment horizontal="center" vertical="center"/>
      <protection locked="0"/>
    </xf>
    <xf numFmtId="0" fontId="0" fillId="0" borderId="19" xfId="0" applyBorder="1" applyAlignment="1" applyProtection="1">
      <alignment horizontal="center" vertical="center"/>
      <protection locked="0"/>
    </xf>
    <xf numFmtId="49" fontId="3" fillId="21" borderId="105" xfId="0" applyNumberFormat="1" applyFont="1" applyFill="1" applyBorder="1" applyAlignment="1" applyProtection="1">
      <alignment horizontal="center" vertical="center"/>
      <protection locked="0"/>
    </xf>
    <xf numFmtId="0" fontId="0" fillId="0" borderId="106" xfId="0" applyBorder="1" applyAlignment="1" applyProtection="1">
      <alignment horizontal="center" vertical="center"/>
      <protection locked="0"/>
    </xf>
    <xf numFmtId="0" fontId="13" fillId="21" borderId="88" xfId="0" applyFont="1" applyFill="1" applyBorder="1" applyAlignment="1" applyProtection="1">
      <alignment horizontal="left"/>
      <protection locked="0"/>
    </xf>
    <xf numFmtId="0" fontId="13" fillId="0" borderId="88" xfId="0" applyFont="1" applyBorder="1" applyAlignment="1" applyProtection="1">
      <alignment horizontal="left"/>
      <protection locked="0"/>
    </xf>
    <xf numFmtId="0" fontId="13" fillId="0" borderId="92" xfId="0" applyFont="1" applyBorder="1" applyAlignment="1" applyProtection="1">
      <alignment horizontal="left"/>
      <protection locked="0"/>
    </xf>
    <xf numFmtId="0" fontId="3" fillId="3" borderId="31" xfId="0" applyFont="1" applyFill="1" applyBorder="1" applyAlignment="1" applyProtection="1">
      <alignment horizontal="right" indent="1"/>
      <protection hidden="1"/>
    </xf>
    <xf numFmtId="0" fontId="5" fillId="0" borderId="9" xfId="0" applyFont="1" applyBorder="1" applyAlignment="1">
      <alignment horizontal="right" indent="1"/>
    </xf>
    <xf numFmtId="0" fontId="0" fillId="0" borderId="12" xfId="0" applyBorder="1" applyAlignment="1" applyProtection="1">
      <alignment horizontal="right"/>
      <protection locked="0"/>
    </xf>
    <xf numFmtId="0" fontId="9" fillId="3" borderId="31" xfId="0" applyFont="1" applyFill="1" applyBorder="1" applyAlignment="1" applyProtection="1">
      <alignment horizontal="center"/>
      <protection hidden="1"/>
    </xf>
    <xf numFmtId="0" fontId="0" fillId="0" borderId="15" xfId="0" applyBorder="1" applyAlignment="1">
      <alignment horizontal="center"/>
    </xf>
    <xf numFmtId="0" fontId="13" fillId="21" borderId="215" xfId="0" applyFont="1" applyFill="1" applyBorder="1" applyAlignment="1" applyProtection="1">
      <alignment horizontal="left"/>
      <protection locked="0"/>
    </xf>
    <xf numFmtId="0" fontId="13" fillId="0" borderId="215" xfId="0" applyFont="1" applyBorder="1" applyAlignment="1" applyProtection="1">
      <alignment horizontal="left"/>
      <protection locked="0"/>
    </xf>
    <xf numFmtId="0" fontId="13" fillId="0" borderId="216" xfId="0" applyFont="1" applyBorder="1" applyAlignment="1" applyProtection="1">
      <alignment horizontal="left"/>
      <protection locked="0"/>
    </xf>
    <xf numFmtId="37" fontId="0" fillId="0" borderId="12" xfId="0" applyNumberFormat="1" applyBorder="1" applyAlignment="1" applyProtection="1">
      <alignment horizontal="right"/>
      <protection locked="0"/>
    </xf>
    <xf numFmtId="1" fontId="3" fillId="16" borderId="0" xfId="0" applyNumberFormat="1" applyFont="1" applyFill="1" applyAlignment="1" applyProtection="1">
      <alignment horizontal="center" wrapText="1"/>
      <protection hidden="1"/>
    </xf>
    <xf numFmtId="0" fontId="19" fillId="3" borderId="0" xfId="0" applyFont="1" applyFill="1" applyAlignment="1" applyProtection="1">
      <alignment horizontal="left" wrapText="1"/>
      <protection hidden="1"/>
    </xf>
    <xf numFmtId="0" fontId="19" fillId="3" borderId="21" xfId="0" applyFont="1" applyFill="1" applyBorder="1" applyAlignment="1" applyProtection="1">
      <alignment horizontal="left" wrapText="1"/>
      <protection hidden="1"/>
    </xf>
    <xf numFmtId="0" fontId="19" fillId="3" borderId="1" xfId="0" applyFont="1" applyFill="1" applyBorder="1" applyAlignment="1" applyProtection="1">
      <alignment horizontal="left" wrapText="1"/>
      <protection hidden="1"/>
    </xf>
    <xf numFmtId="0" fontId="19" fillId="3" borderId="30" xfId="0" applyFont="1" applyFill="1" applyBorder="1" applyAlignment="1" applyProtection="1">
      <alignment horizontal="left" wrapText="1"/>
      <protection hidden="1"/>
    </xf>
    <xf numFmtId="0" fontId="13" fillId="15" borderId="6" xfId="0" applyFont="1" applyFill="1" applyBorder="1" applyAlignment="1" applyProtection="1">
      <alignment horizontal="center" vertical="center"/>
      <protection hidden="1"/>
    </xf>
    <xf numFmtId="0" fontId="13" fillId="15" borderId="0" xfId="0" applyFont="1" applyFill="1" applyAlignment="1" applyProtection="1">
      <alignment horizontal="center" vertical="center"/>
      <protection hidden="1"/>
    </xf>
    <xf numFmtId="0" fontId="13" fillId="15" borderId="21" xfId="0" applyFont="1" applyFill="1" applyBorder="1" applyAlignment="1" applyProtection="1">
      <alignment horizontal="center" vertical="center"/>
      <protection hidden="1"/>
    </xf>
    <xf numFmtId="0" fontId="13" fillId="15" borderId="27" xfId="0" applyFont="1" applyFill="1" applyBorder="1" applyAlignment="1" applyProtection="1">
      <alignment horizontal="center" vertical="center"/>
      <protection hidden="1"/>
    </xf>
    <xf numFmtId="0" fontId="13" fillId="15" borderId="1" xfId="0" applyFont="1" applyFill="1" applyBorder="1" applyAlignment="1" applyProtection="1">
      <alignment horizontal="center" vertical="center"/>
      <protection hidden="1"/>
    </xf>
    <xf numFmtId="0" fontId="13" fillId="15" borderId="30" xfId="0" applyFont="1" applyFill="1" applyBorder="1" applyAlignment="1" applyProtection="1">
      <alignment horizontal="center" vertical="center"/>
      <protection hidden="1"/>
    </xf>
    <xf numFmtId="0" fontId="23" fillId="3" borderId="6" xfId="0" applyFont="1" applyFill="1" applyBorder="1" applyAlignment="1" applyProtection="1">
      <alignment horizontal="center" vertical="center"/>
      <protection hidden="1"/>
    </xf>
    <xf numFmtId="0" fontId="23" fillId="3" borderId="21" xfId="0" applyFont="1" applyFill="1" applyBorder="1" applyAlignment="1" applyProtection="1">
      <alignment horizontal="center" vertical="center"/>
      <protection hidden="1"/>
    </xf>
    <xf numFmtId="0" fontId="55" fillId="9" borderId="26" xfId="0" applyFont="1" applyFill="1" applyBorder="1" applyAlignment="1" applyProtection="1">
      <alignment horizontal="center"/>
      <protection hidden="1"/>
    </xf>
    <xf numFmtId="0" fontId="53" fillId="0" borderId="26" xfId="0" applyFont="1" applyBorder="1" applyAlignment="1">
      <alignment horizontal="center"/>
    </xf>
    <xf numFmtId="37" fontId="8" fillId="21" borderId="40" xfId="0" applyNumberFormat="1" applyFont="1" applyFill="1" applyBorder="1" applyAlignment="1" applyProtection="1">
      <alignment horizontal="right"/>
      <protection locked="0"/>
    </xf>
    <xf numFmtId="37" fontId="3" fillId="0" borderId="26" xfId="0" applyNumberFormat="1" applyFont="1" applyBorder="1" applyAlignment="1" applyProtection="1">
      <alignment horizontal="right"/>
      <protection locked="0"/>
    </xf>
    <xf numFmtId="37" fontId="3" fillId="0" borderId="55" xfId="0" applyNumberFormat="1" applyFont="1" applyBorder="1" applyAlignment="1" applyProtection="1">
      <alignment horizontal="right"/>
      <protection locked="0"/>
    </xf>
    <xf numFmtId="0" fontId="123" fillId="3" borderId="81" xfId="0" applyFont="1" applyFill="1" applyBorder="1" applyAlignment="1" applyProtection="1">
      <alignment horizontal="center" vertical="center"/>
      <protection hidden="1"/>
    </xf>
    <xf numFmtId="0" fontId="153" fillId="0" borderId="9" xfId="0" applyFont="1" applyBorder="1"/>
    <xf numFmtId="0" fontId="10" fillId="3" borderId="6" xfId="0" applyFont="1" applyFill="1" applyBorder="1" applyAlignment="1" applyProtection="1">
      <alignment horizontal="left" vertical="center" wrapText="1" indent="1"/>
      <protection hidden="1"/>
    </xf>
    <xf numFmtId="0" fontId="0" fillId="0" borderId="0" xfId="0" applyAlignment="1">
      <alignment horizontal="left" wrapText="1" indent="1"/>
    </xf>
    <xf numFmtId="0" fontId="0" fillId="0" borderId="6" xfId="0" applyBorder="1" applyAlignment="1">
      <alignment horizontal="left" wrapText="1" indent="1"/>
    </xf>
    <xf numFmtId="0" fontId="0" fillId="0" borderId="27" xfId="0" applyBorder="1" applyAlignment="1">
      <alignment horizontal="left" wrapText="1" indent="1"/>
    </xf>
    <xf numFmtId="0" fontId="0" fillId="0" borderId="1" xfId="0" applyBorder="1" applyAlignment="1">
      <alignment horizontal="left" wrapText="1" indent="1"/>
    </xf>
    <xf numFmtId="0" fontId="6" fillId="21" borderId="1" xfId="0" applyFont="1" applyFill="1" applyBorder="1" applyAlignment="1" applyProtection="1">
      <alignment horizontal="center"/>
      <protection locked="0"/>
    </xf>
    <xf numFmtId="0" fontId="0" fillId="0" borderId="12" xfId="0" applyBorder="1" applyAlignment="1" applyProtection="1">
      <alignment horizontal="center"/>
      <protection locked="0"/>
    </xf>
    <xf numFmtId="166" fontId="6" fillId="27" borderId="10" xfId="0" applyNumberFormat="1" applyFont="1" applyFill="1" applyBorder="1" applyAlignment="1" applyProtection="1">
      <alignment horizontal="center" vertical="center"/>
      <protection hidden="1"/>
    </xf>
    <xf numFmtId="166" fontId="21" fillId="28" borderId="1" xfId="0" applyNumberFormat="1" applyFont="1" applyFill="1" applyBorder="1" applyAlignment="1" applyProtection="1">
      <alignment horizontal="center" vertical="center"/>
      <protection hidden="1"/>
    </xf>
    <xf numFmtId="0" fontId="0" fillId="28" borderId="1" xfId="0" applyFill="1" applyBorder="1" applyAlignment="1" applyProtection="1">
      <alignment horizontal="center" vertical="center"/>
      <protection hidden="1"/>
    </xf>
    <xf numFmtId="0" fontId="8" fillId="3" borderId="0" xfId="0" applyFont="1" applyFill="1" applyProtection="1">
      <protection hidden="1"/>
    </xf>
    <xf numFmtId="0" fontId="75" fillId="11" borderId="60" xfId="2" applyFill="1" applyBorder="1" applyAlignment="1" applyProtection="1">
      <alignment horizontal="center" vertical="center" wrapText="1"/>
    </xf>
    <xf numFmtId="0" fontId="75" fillId="11" borderId="75" xfId="2" applyFill="1" applyBorder="1" applyAlignment="1" applyProtection="1">
      <alignment horizontal="center" vertical="center" wrapText="1"/>
    </xf>
    <xf numFmtId="0" fontId="75" fillId="11" borderId="61" xfId="2" applyFill="1" applyBorder="1" applyAlignment="1" applyProtection="1">
      <alignment horizontal="center" vertical="center" wrapText="1"/>
    </xf>
    <xf numFmtId="0" fontId="75" fillId="11" borderId="60" xfId="2" applyFill="1" applyBorder="1" applyAlignment="1" applyProtection="1">
      <alignment horizontal="center" vertical="center"/>
    </xf>
    <xf numFmtId="0" fontId="75" fillId="11" borderId="75" xfId="2" applyFill="1" applyBorder="1" applyAlignment="1" applyProtection="1">
      <alignment horizontal="center" vertical="center"/>
    </xf>
    <xf numFmtId="0" fontId="75" fillId="11" borderId="61" xfId="2" applyFill="1" applyBorder="1" applyAlignment="1" applyProtection="1">
      <alignment horizontal="center" vertical="center"/>
    </xf>
    <xf numFmtId="37" fontId="142" fillId="15" borderId="31" xfId="0" applyNumberFormat="1" applyFont="1" applyFill="1" applyBorder="1" applyAlignment="1" applyProtection="1">
      <alignment horizontal="right"/>
      <protection hidden="1"/>
    </xf>
    <xf numFmtId="37" fontId="135" fillId="15" borderId="9" xfId="0" applyNumberFormat="1" applyFont="1" applyFill="1" applyBorder="1" applyAlignment="1" applyProtection="1">
      <alignment horizontal="right"/>
      <protection hidden="1"/>
    </xf>
    <xf numFmtId="0" fontId="129" fillId="16" borderId="9" xfId="0" applyFont="1" applyFill="1" applyBorder="1" applyAlignment="1" applyProtection="1">
      <alignment horizontal="right"/>
      <protection hidden="1"/>
    </xf>
    <xf numFmtId="0" fontId="129" fillId="16" borderId="15" xfId="0" applyFont="1" applyFill="1" applyBorder="1" applyAlignment="1" applyProtection="1">
      <alignment horizontal="right"/>
      <protection hidden="1"/>
    </xf>
    <xf numFmtId="37" fontId="131" fillId="3" borderId="31" xfId="0" applyNumberFormat="1" applyFont="1" applyFill="1" applyBorder="1" applyProtection="1">
      <protection hidden="1"/>
    </xf>
    <xf numFmtId="37" fontId="131" fillId="0" borderId="9" xfId="0" applyNumberFormat="1" applyFont="1" applyBorder="1"/>
    <xf numFmtId="37" fontId="8" fillId="27" borderId="70" xfId="0" applyNumberFormat="1" applyFont="1" applyFill="1" applyBorder="1" applyAlignment="1" applyProtection="1">
      <alignment horizontal="right"/>
      <protection hidden="1"/>
    </xf>
    <xf numFmtId="37" fontId="8" fillId="27" borderId="5" xfId="0" applyNumberFormat="1" applyFont="1" applyFill="1" applyBorder="1" applyAlignment="1" applyProtection="1">
      <alignment horizontal="right"/>
      <protection hidden="1"/>
    </xf>
    <xf numFmtId="37" fontId="0" fillId="28" borderId="5" xfId="0" applyNumberFormat="1" applyFill="1" applyBorder="1" applyAlignment="1" applyProtection="1">
      <alignment horizontal="right"/>
      <protection hidden="1"/>
    </xf>
    <xf numFmtId="37" fontId="10" fillId="22" borderId="0" xfId="0" applyNumberFormat="1" applyFont="1" applyFill="1" applyAlignment="1" applyProtection="1">
      <alignment horizontal="right" vertical="center"/>
      <protection locked="0"/>
    </xf>
    <xf numFmtId="37" fontId="10" fillId="39" borderId="0" xfId="0" applyNumberFormat="1" applyFont="1" applyFill="1" applyAlignment="1" applyProtection="1">
      <alignment horizontal="right" vertical="center"/>
      <protection locked="0"/>
    </xf>
    <xf numFmtId="0" fontId="249" fillId="5" borderId="0" xfId="0" applyFont="1" applyFill="1" applyAlignment="1" applyProtection="1">
      <alignment horizontal="center"/>
      <protection hidden="1"/>
    </xf>
    <xf numFmtId="0" fontId="10" fillId="22" borderId="0" xfId="0" applyFont="1" applyFill="1" applyAlignment="1" applyProtection="1">
      <alignment horizontal="center" vertical="center"/>
      <protection locked="0"/>
    </xf>
    <xf numFmtId="39" fontId="7" fillId="15" borderId="0" xfId="0" applyNumberFormat="1" applyFont="1" applyFill="1" applyAlignment="1" applyProtection="1">
      <alignment horizontal="center"/>
      <protection hidden="1"/>
    </xf>
    <xf numFmtId="39" fontId="7" fillId="15" borderId="0" xfId="0" applyNumberFormat="1" applyFont="1" applyFill="1" applyAlignment="1" applyProtection="1">
      <alignment horizontal="left" vertical="top"/>
      <protection hidden="1"/>
    </xf>
    <xf numFmtId="0" fontId="13" fillId="5" borderId="158" xfId="0" applyFont="1" applyFill="1" applyBorder="1" applyAlignment="1" applyProtection="1">
      <alignment horizontal="center"/>
      <protection hidden="1"/>
    </xf>
    <xf numFmtId="0" fontId="10" fillId="28" borderId="90" xfId="0" applyFont="1" applyFill="1" applyBorder="1" applyAlignment="1" applyProtection="1">
      <alignment horizontal="center"/>
      <protection hidden="1"/>
    </xf>
    <xf numFmtId="0" fontId="13" fillId="5" borderId="0" xfId="0" applyFont="1" applyFill="1" applyAlignment="1" applyProtection="1">
      <alignment horizontal="center"/>
      <protection hidden="1"/>
    </xf>
    <xf numFmtId="0" fontId="10" fillId="22" borderId="0" xfId="0" applyFont="1" applyFill="1" applyAlignment="1" applyProtection="1">
      <alignment horizontal="center"/>
      <protection hidden="1"/>
    </xf>
    <xf numFmtId="0" fontId="57" fillId="9" borderId="35" xfId="0" applyFont="1" applyFill="1" applyBorder="1" applyAlignment="1" applyProtection="1">
      <alignment horizontal="center" vertical="center"/>
      <protection hidden="1"/>
    </xf>
    <xf numFmtId="0" fontId="5" fillId="0" borderId="35" xfId="0" applyFont="1" applyBorder="1" applyAlignment="1">
      <alignment horizontal="center" vertical="center"/>
    </xf>
    <xf numFmtId="0" fontId="131" fillId="3" borderId="0" xfId="0" applyFont="1" applyFill="1" applyAlignment="1" applyProtection="1">
      <alignment horizontal="center"/>
      <protection hidden="1"/>
    </xf>
    <xf numFmtId="0" fontId="131" fillId="3" borderId="9" xfId="0" applyFont="1" applyFill="1" applyBorder="1" applyAlignment="1" applyProtection="1">
      <alignment horizontal="center"/>
      <protection hidden="1"/>
    </xf>
    <xf numFmtId="0" fontId="135" fillId="3" borderId="32" xfId="0" applyFont="1" applyFill="1" applyBorder="1" applyAlignment="1" applyProtection="1">
      <alignment horizontal="center"/>
      <protection hidden="1"/>
    </xf>
    <xf numFmtId="37" fontId="7" fillId="27" borderId="1" xfId="0" applyNumberFormat="1" applyFont="1" applyFill="1" applyBorder="1" applyAlignment="1" applyProtection="1">
      <alignment horizontal="right"/>
      <protection hidden="1"/>
    </xf>
    <xf numFmtId="0" fontId="57" fillId="9" borderId="35" xfId="0" applyFont="1" applyFill="1" applyBorder="1" applyAlignment="1" applyProtection="1">
      <alignment horizontal="center"/>
      <protection hidden="1"/>
    </xf>
    <xf numFmtId="0" fontId="5" fillId="0" borderId="35" xfId="0" applyFont="1" applyBorder="1" applyAlignment="1">
      <alignment horizontal="center"/>
    </xf>
    <xf numFmtId="5" fontId="11" fillId="3" borderId="0" xfId="0" applyNumberFormat="1" applyFont="1" applyFill="1" applyAlignment="1" applyProtection="1">
      <alignment horizontal="left"/>
      <protection hidden="1"/>
    </xf>
    <xf numFmtId="37" fontId="7" fillId="21" borderId="1" xfId="0" applyNumberFormat="1" applyFont="1" applyFill="1" applyBorder="1" applyAlignment="1" applyProtection="1">
      <alignment horizontal="right"/>
      <protection locked="0"/>
    </xf>
    <xf numFmtId="0" fontId="3" fillId="3" borderId="21" xfId="0" applyFont="1" applyFill="1" applyBorder="1" applyAlignment="1" applyProtection="1">
      <alignment horizontal="left" vertical="center" wrapText="1"/>
      <protection hidden="1"/>
    </xf>
    <xf numFmtId="0" fontId="3" fillId="3" borderId="103" xfId="0" applyFont="1" applyFill="1" applyBorder="1" applyAlignment="1" applyProtection="1">
      <alignment horizontal="left" vertical="center" wrapText="1"/>
      <protection hidden="1"/>
    </xf>
    <xf numFmtId="0" fontId="5" fillId="0" borderId="103" xfId="0" applyFont="1" applyBorder="1" applyAlignment="1">
      <alignment horizontal="left" vertical="center"/>
    </xf>
    <xf numFmtId="0" fontId="19" fillId="3" borderId="21" xfId="0" applyFont="1" applyFill="1" applyBorder="1" applyAlignment="1" applyProtection="1">
      <alignment wrapText="1"/>
      <protection hidden="1"/>
    </xf>
    <xf numFmtId="0" fontId="19" fillId="3" borderId="103" xfId="0" applyFont="1" applyFill="1" applyBorder="1" applyAlignment="1" applyProtection="1">
      <alignment wrapText="1"/>
      <protection hidden="1"/>
    </xf>
    <xf numFmtId="0" fontId="0" fillId="0" borderId="103" xfId="0" applyBorder="1" applyAlignment="1">
      <alignment wrapText="1"/>
    </xf>
    <xf numFmtId="0" fontId="0" fillId="0" borderId="30" xfId="0" applyBorder="1" applyAlignment="1">
      <alignment wrapText="1"/>
    </xf>
    <xf numFmtId="0" fontId="0" fillId="0" borderId="185" xfId="0" applyBorder="1" applyAlignment="1">
      <alignment wrapText="1"/>
    </xf>
    <xf numFmtId="0" fontId="6" fillId="27" borderId="1" xfId="0" applyFont="1" applyFill="1" applyBorder="1" applyAlignment="1" applyProtection="1">
      <alignment horizontal="left"/>
      <protection hidden="1"/>
    </xf>
    <xf numFmtId="0" fontId="0" fillId="28" borderId="1" xfId="0" applyFill="1" applyBorder="1" applyAlignment="1" applyProtection="1">
      <alignment horizontal="left"/>
      <protection hidden="1"/>
    </xf>
    <xf numFmtId="0" fontId="0" fillId="28" borderId="12" xfId="0" applyFill="1" applyBorder="1" applyAlignment="1" applyProtection="1">
      <alignment horizontal="left"/>
      <protection hidden="1"/>
    </xf>
    <xf numFmtId="0" fontId="3" fillId="5" borderId="0" xfId="0" applyFont="1" applyFill="1" applyAlignment="1">
      <alignment horizontal="center" vertical="center"/>
    </xf>
    <xf numFmtId="173" fontId="7" fillId="16" borderId="0" xfId="0" applyNumberFormat="1" applyFont="1" applyFill="1" applyAlignment="1" applyProtection="1">
      <alignment horizontal="right" vertical="center"/>
      <protection locked="0"/>
    </xf>
    <xf numFmtId="173" fontId="7" fillId="16" borderId="25" xfId="0" applyNumberFormat="1" applyFont="1" applyFill="1" applyBorder="1" applyAlignment="1" applyProtection="1">
      <alignment horizontal="right" vertical="center"/>
      <protection locked="0"/>
    </xf>
    <xf numFmtId="37" fontId="0" fillId="28" borderId="10" xfId="0" applyNumberFormat="1" applyFill="1" applyBorder="1" applyAlignment="1" applyProtection="1">
      <alignment vertical="center"/>
      <protection hidden="1"/>
    </xf>
    <xf numFmtId="37" fontId="0" fillId="28" borderId="1" xfId="0" applyNumberFormat="1" applyFill="1" applyBorder="1" applyAlignment="1" applyProtection="1">
      <alignment vertical="center"/>
      <protection hidden="1"/>
    </xf>
    <xf numFmtId="37" fontId="0" fillId="28" borderId="10" xfId="0" applyNumberFormat="1" applyFill="1" applyBorder="1" applyAlignment="1" applyProtection="1">
      <alignment horizontal="right" vertical="center"/>
      <protection hidden="1"/>
    </xf>
    <xf numFmtId="37" fontId="0" fillId="28" borderId="1" xfId="0" applyNumberFormat="1" applyFill="1" applyBorder="1" applyAlignment="1" applyProtection="1">
      <alignment horizontal="right" vertical="center"/>
      <protection hidden="1"/>
    </xf>
    <xf numFmtId="37" fontId="0" fillId="28" borderId="12" xfId="0" applyNumberFormat="1" applyFill="1" applyBorder="1" applyAlignment="1" applyProtection="1">
      <alignment horizontal="right" vertical="center"/>
      <protection hidden="1"/>
    </xf>
    <xf numFmtId="37" fontId="129" fillId="2" borderId="3" xfId="0" applyNumberFormat="1" applyFont="1" applyFill="1" applyBorder="1" applyAlignment="1" applyProtection="1">
      <alignment horizontal="right"/>
      <protection hidden="1"/>
    </xf>
    <xf numFmtId="37" fontId="129" fillId="2" borderId="0" xfId="0" applyNumberFormat="1" applyFont="1" applyFill="1" applyAlignment="1" applyProtection="1">
      <alignment horizontal="right"/>
      <protection hidden="1"/>
    </xf>
    <xf numFmtId="37" fontId="0" fillId="17" borderId="10" xfId="0" applyNumberFormat="1" applyFill="1" applyBorder="1" applyAlignment="1" applyProtection="1">
      <alignment horizontal="right" vertical="center"/>
      <protection locked="0"/>
    </xf>
    <xf numFmtId="37" fontId="0" fillId="17" borderId="1" xfId="0" applyNumberFormat="1" applyFill="1" applyBorder="1" applyAlignment="1" applyProtection="1">
      <alignment horizontal="right" vertical="center"/>
      <protection locked="0"/>
    </xf>
    <xf numFmtId="37" fontId="0" fillId="17" borderId="12" xfId="0" applyNumberFormat="1" applyFill="1" applyBorder="1" applyAlignment="1" applyProtection="1">
      <alignment horizontal="right" vertical="center"/>
      <protection locked="0"/>
    </xf>
    <xf numFmtId="0" fontId="10" fillId="2" borderId="0" xfId="0" applyFont="1" applyFill="1" applyAlignment="1">
      <alignment horizontal="left" vertical="top" wrapText="1"/>
    </xf>
    <xf numFmtId="0" fontId="10" fillId="2" borderId="25" xfId="0" applyFont="1" applyFill="1" applyBorder="1" applyAlignment="1">
      <alignment horizontal="left" vertical="top" wrapText="1"/>
    </xf>
    <xf numFmtId="0" fontId="10" fillId="2" borderId="5" xfId="0" applyFont="1" applyFill="1" applyBorder="1" applyAlignment="1">
      <alignment horizontal="left" vertical="top" wrapText="1"/>
    </xf>
    <xf numFmtId="0" fontId="10" fillId="2" borderId="71" xfId="0" applyFont="1" applyFill="1" applyBorder="1" applyAlignment="1">
      <alignment horizontal="left" vertical="top" wrapText="1"/>
    </xf>
    <xf numFmtId="0" fontId="227" fillId="2" borderId="0" xfId="0" applyFont="1" applyFill="1" applyAlignment="1" applyProtection="1">
      <alignment horizontal="center"/>
      <protection hidden="1"/>
    </xf>
    <xf numFmtId="0" fontId="227" fillId="2" borderId="25" xfId="0" applyFont="1" applyFill="1" applyBorder="1" applyAlignment="1" applyProtection="1">
      <alignment horizontal="center"/>
      <protection hidden="1"/>
    </xf>
    <xf numFmtId="37" fontId="0" fillId="28" borderId="70" xfId="0" applyNumberFormat="1" applyFill="1" applyBorder="1" applyAlignment="1" applyProtection="1">
      <alignment vertical="center"/>
      <protection hidden="1"/>
    </xf>
    <xf numFmtId="37" fontId="0" fillId="28" borderId="5" xfId="0" applyNumberFormat="1" applyFill="1" applyBorder="1" applyAlignment="1" applyProtection="1">
      <alignment vertical="center"/>
      <protection hidden="1"/>
    </xf>
    <xf numFmtId="0" fontId="0" fillId="5" borderId="31" xfId="0" applyFill="1" applyBorder="1" applyProtection="1">
      <protection hidden="1"/>
    </xf>
    <xf numFmtId="0" fontId="10" fillId="2" borderId="5" xfId="0" applyFont="1" applyFill="1" applyBorder="1" applyAlignment="1" applyProtection="1">
      <alignment horizontal="left" vertical="top" wrapText="1"/>
      <protection hidden="1"/>
    </xf>
    <xf numFmtId="0" fontId="10" fillId="2" borderId="0" xfId="0" applyFont="1" applyFill="1" applyAlignment="1" applyProtection="1">
      <alignment horizontal="left" wrapText="1"/>
      <protection hidden="1"/>
    </xf>
    <xf numFmtId="37" fontId="10" fillId="16" borderId="0" xfId="0" applyNumberFormat="1" applyFont="1" applyFill="1" applyAlignment="1" applyProtection="1">
      <alignment horizontal="center" vertical="center"/>
      <protection locked="0"/>
    </xf>
    <xf numFmtId="0" fontId="0" fillId="5" borderId="70" xfId="0" applyFill="1" applyBorder="1" applyProtection="1">
      <protection hidden="1"/>
    </xf>
    <xf numFmtId="0" fontId="0" fillId="0" borderId="5" xfId="0" applyBorder="1"/>
    <xf numFmtId="3" fontId="295" fillId="2" borderId="10" xfId="0" applyNumberFormat="1" applyFont="1" applyFill="1" applyBorder="1" applyAlignment="1" applyProtection="1">
      <alignment horizontal="right" vertical="center" indent="1"/>
      <protection hidden="1"/>
    </xf>
    <xf numFmtId="0" fontId="295" fillId="0" borderId="1" xfId="0" applyFont="1" applyBorder="1" applyAlignment="1" applyProtection="1">
      <alignment horizontal="right" vertical="center" indent="1"/>
      <protection hidden="1"/>
    </xf>
    <xf numFmtId="37" fontId="0" fillId="17" borderId="10" xfId="0" applyNumberFormat="1" applyFill="1" applyBorder="1" applyAlignment="1" applyProtection="1">
      <alignment vertical="center"/>
      <protection locked="0"/>
    </xf>
    <xf numFmtId="37" fontId="0" fillId="17" borderId="1" xfId="0" applyNumberFormat="1" applyFill="1" applyBorder="1" applyAlignment="1" applyProtection="1">
      <alignment vertical="center"/>
      <protection locked="0"/>
    </xf>
    <xf numFmtId="0" fontId="0" fillId="2" borderId="0" xfId="0" applyFill="1" applyAlignment="1" applyProtection="1">
      <alignment horizontal="center"/>
      <protection hidden="1"/>
    </xf>
    <xf numFmtId="173" fontId="135" fillId="16" borderId="0" xfId="0" applyNumberFormat="1" applyFont="1" applyFill="1" applyAlignment="1" applyProtection="1">
      <alignment horizontal="right" vertical="center"/>
      <protection locked="0"/>
    </xf>
    <xf numFmtId="3" fontId="0" fillId="28" borderId="10" xfId="0" applyNumberFormat="1" applyFill="1" applyBorder="1" applyAlignment="1" applyProtection="1">
      <alignment vertical="center"/>
      <protection hidden="1"/>
    </xf>
    <xf numFmtId="0" fontId="0" fillId="28" borderId="1" xfId="0" applyFill="1" applyBorder="1" applyAlignment="1" applyProtection="1">
      <alignment vertical="center"/>
      <protection hidden="1"/>
    </xf>
    <xf numFmtId="0" fontId="0" fillId="2" borderId="25" xfId="0" applyFill="1" applyBorder="1" applyAlignment="1" applyProtection="1">
      <alignment horizontal="center"/>
      <protection hidden="1"/>
    </xf>
    <xf numFmtId="0" fontId="129" fillId="2" borderId="25" xfId="0" applyFont="1" applyFill="1" applyBorder="1" applyAlignment="1" applyProtection="1">
      <alignment horizontal="center"/>
      <protection hidden="1"/>
    </xf>
    <xf numFmtId="37" fontId="0" fillId="28" borderId="70" xfId="0" applyNumberFormat="1" applyFill="1" applyBorder="1" applyAlignment="1" applyProtection="1">
      <alignment horizontal="right" vertical="center"/>
      <protection hidden="1"/>
    </xf>
    <xf numFmtId="37" fontId="0" fillId="28" borderId="5" xfId="0" applyNumberFormat="1" applyFill="1" applyBorder="1" applyAlignment="1" applyProtection="1">
      <alignment horizontal="right" vertical="center"/>
      <protection hidden="1"/>
    </xf>
    <xf numFmtId="37" fontId="0" fillId="28" borderId="71" xfId="0" applyNumberFormat="1" applyFill="1" applyBorder="1" applyAlignment="1" applyProtection="1">
      <alignment horizontal="right" vertical="center"/>
      <protection hidden="1"/>
    </xf>
    <xf numFmtId="0" fontId="10" fillId="11" borderId="9" xfId="0" applyFont="1" applyFill="1" applyBorder="1" applyAlignment="1" applyProtection="1">
      <alignment horizontal="center" wrapText="1"/>
      <protection hidden="1"/>
    </xf>
    <xf numFmtId="0" fontId="0" fillId="0" borderId="1" xfId="0" applyBorder="1" applyAlignment="1">
      <alignment horizontal="center" wrapText="1"/>
    </xf>
    <xf numFmtId="0" fontId="227" fillId="2" borderId="3" xfId="0" applyFont="1" applyFill="1" applyBorder="1" applyAlignment="1" applyProtection="1">
      <alignment horizontal="center" vertical="top"/>
      <protection hidden="1"/>
    </xf>
    <xf numFmtId="0" fontId="227" fillId="2" borderId="0" xfId="0" applyFont="1" applyFill="1" applyAlignment="1" applyProtection="1">
      <alignment horizontal="center" vertical="top"/>
      <protection hidden="1"/>
    </xf>
    <xf numFmtId="0" fontId="227" fillId="2" borderId="25" xfId="0" applyFont="1" applyFill="1" applyBorder="1" applyAlignment="1" applyProtection="1">
      <alignment horizontal="center" vertical="top"/>
      <protection hidden="1"/>
    </xf>
    <xf numFmtId="3" fontId="128" fillId="2" borderId="3" xfId="0" applyNumberFormat="1" applyFont="1" applyFill="1" applyBorder="1" applyAlignment="1" applyProtection="1">
      <alignment horizontal="center"/>
      <protection hidden="1"/>
    </xf>
    <xf numFmtId="3" fontId="128" fillId="2" borderId="0" xfId="0" applyNumberFormat="1" applyFont="1" applyFill="1" applyAlignment="1" applyProtection="1">
      <alignment horizontal="center"/>
      <protection hidden="1"/>
    </xf>
    <xf numFmtId="0" fontId="184" fillId="18" borderId="0" xfId="0" applyFont="1" applyFill="1" applyAlignment="1">
      <alignment horizontal="center" vertical="center" wrapText="1"/>
    </xf>
    <xf numFmtId="0" fontId="3" fillId="16" borderId="0" xfId="0" applyFont="1" applyFill="1" applyAlignment="1">
      <alignment horizontal="center"/>
    </xf>
    <xf numFmtId="0" fontId="3" fillId="16" borderId="5" xfId="0" applyFont="1" applyFill="1" applyBorder="1" applyAlignment="1">
      <alignment horizontal="center"/>
    </xf>
    <xf numFmtId="0" fontId="125" fillId="16" borderId="0" xfId="0" applyFont="1" applyFill="1" applyAlignment="1">
      <alignment horizontal="center" vertical="center" wrapText="1"/>
    </xf>
    <xf numFmtId="166" fontId="18" fillId="28" borderId="57" xfId="0" applyNumberFormat="1" applyFont="1" applyFill="1" applyBorder="1" applyAlignment="1" applyProtection="1">
      <alignment horizontal="center" vertical="center"/>
      <protection hidden="1"/>
    </xf>
    <xf numFmtId="166" fontId="18" fillId="28" borderId="8" xfId="0" applyNumberFormat="1" applyFont="1" applyFill="1" applyBorder="1" applyAlignment="1" applyProtection="1">
      <alignment horizontal="center" vertical="center"/>
      <protection hidden="1"/>
    </xf>
    <xf numFmtId="166" fontId="18" fillId="28" borderId="10" xfId="0" applyNumberFormat="1" applyFont="1" applyFill="1" applyBorder="1" applyAlignment="1" applyProtection="1">
      <alignment horizontal="center" vertical="center"/>
      <protection hidden="1"/>
    </xf>
    <xf numFmtId="166" fontId="18" fillId="28" borderId="1" xfId="0" applyNumberFormat="1" applyFont="1" applyFill="1" applyBorder="1" applyAlignment="1" applyProtection="1">
      <alignment horizontal="center" vertical="center"/>
      <protection hidden="1"/>
    </xf>
    <xf numFmtId="0" fontId="3" fillId="2" borderId="0" xfId="0" applyFont="1" applyFill="1" applyAlignment="1" applyProtection="1">
      <alignment horizontal="center" wrapText="1"/>
      <protection hidden="1"/>
    </xf>
    <xf numFmtId="0" fontId="253" fillId="32" borderId="1" xfId="0" applyFont="1" applyFill="1" applyBorder="1" applyAlignment="1" applyProtection="1">
      <alignment horizontal="center" vertical="center"/>
      <protection hidden="1"/>
    </xf>
    <xf numFmtId="0" fontId="235" fillId="8" borderId="0" xfId="0" applyFont="1" applyFill="1" applyAlignment="1" applyProtection="1">
      <alignment horizontal="center" vertical="center" wrapText="1"/>
      <protection hidden="1"/>
    </xf>
    <xf numFmtId="0" fontId="18" fillId="16" borderId="0" xfId="0" applyFont="1" applyFill="1" applyAlignment="1" applyProtection="1">
      <alignment horizontal="center" vertical="center"/>
      <protection hidden="1"/>
    </xf>
    <xf numFmtId="0" fontId="10" fillId="2" borderId="57" xfId="0" applyFont="1" applyFill="1" applyBorder="1" applyAlignment="1" applyProtection="1">
      <alignment horizontal="center" vertical="center" wrapText="1"/>
      <protection hidden="1"/>
    </xf>
    <xf numFmtId="0" fontId="10" fillId="2" borderId="8" xfId="0" applyFont="1" applyFill="1" applyBorder="1" applyAlignment="1" applyProtection="1">
      <alignment horizontal="center" vertical="center" wrapText="1"/>
      <protection hidden="1"/>
    </xf>
    <xf numFmtId="0" fontId="10" fillId="2" borderId="37" xfId="0" applyFont="1" applyFill="1" applyBorder="1" applyAlignment="1" applyProtection="1">
      <alignment horizontal="center" vertical="center" wrapText="1"/>
      <protection hidden="1"/>
    </xf>
    <xf numFmtId="0" fontId="10" fillId="2" borderId="12" xfId="0" applyFont="1" applyFill="1" applyBorder="1" applyAlignment="1" applyProtection="1">
      <alignment horizontal="center" vertical="center" wrapText="1"/>
      <protection hidden="1"/>
    </xf>
    <xf numFmtId="0" fontId="12" fillId="28" borderId="1" xfId="0" applyFont="1" applyFill="1" applyBorder="1" applyAlignment="1" applyProtection="1">
      <alignment horizontal="left"/>
      <protection hidden="1"/>
    </xf>
    <xf numFmtId="0" fontId="10" fillId="2" borderId="8" xfId="0" applyFont="1" applyFill="1" applyBorder="1" applyAlignment="1" applyProtection="1">
      <alignment horizontal="left"/>
      <protection hidden="1"/>
    </xf>
    <xf numFmtId="0" fontId="5" fillId="16" borderId="0" xfId="0" applyFont="1" applyFill="1" applyAlignment="1">
      <alignment horizontal="center" vertical="center" wrapText="1"/>
    </xf>
    <xf numFmtId="0" fontId="10" fillId="2" borderId="0" xfId="0" applyFont="1" applyFill="1" applyAlignment="1" applyProtection="1">
      <alignment horizontal="center"/>
      <protection hidden="1"/>
    </xf>
    <xf numFmtId="0" fontId="10" fillId="2" borderId="21" xfId="0" applyFont="1" applyFill="1" applyBorder="1" applyAlignment="1" applyProtection="1">
      <alignment horizontal="center"/>
      <protection hidden="1"/>
    </xf>
    <xf numFmtId="0" fontId="13" fillId="2" borderId="6" xfId="0" applyFont="1" applyFill="1" applyBorder="1" applyAlignment="1" applyProtection="1">
      <alignment horizontal="center"/>
      <protection hidden="1"/>
    </xf>
    <xf numFmtId="0" fontId="13" fillId="0" borderId="0" xfId="0" applyFont="1" applyAlignment="1">
      <alignment horizontal="center"/>
    </xf>
    <xf numFmtId="0" fontId="13" fillId="0" borderId="21" xfId="0" applyFont="1" applyBorder="1" applyAlignment="1">
      <alignment horizontal="center"/>
    </xf>
    <xf numFmtId="0" fontId="5" fillId="2" borderId="0" xfId="0" applyFont="1" applyFill="1" applyAlignment="1" applyProtection="1">
      <alignment horizontal="left" wrapText="1"/>
      <protection hidden="1"/>
    </xf>
    <xf numFmtId="0" fontId="5" fillId="2" borderId="5" xfId="0" applyFont="1" applyFill="1" applyBorder="1" applyAlignment="1" applyProtection="1">
      <alignment horizontal="left" wrapText="1"/>
      <protection hidden="1"/>
    </xf>
    <xf numFmtId="0" fontId="10" fillId="2" borderId="5" xfId="0" applyFont="1" applyFill="1" applyBorder="1" applyAlignment="1" applyProtection="1">
      <alignment horizontal="center" vertical="top"/>
      <protection hidden="1"/>
    </xf>
    <xf numFmtId="0" fontId="10" fillId="2" borderId="23" xfId="0" applyFont="1" applyFill="1" applyBorder="1" applyAlignment="1" applyProtection="1">
      <alignment horizontal="center" vertical="top"/>
      <protection hidden="1"/>
    </xf>
    <xf numFmtId="0" fontId="13" fillId="2" borderId="22" xfId="0" applyFont="1" applyFill="1" applyBorder="1" applyAlignment="1" applyProtection="1">
      <alignment horizontal="center"/>
      <protection hidden="1"/>
    </xf>
    <xf numFmtId="0" fontId="0" fillId="0" borderId="5" xfId="0" applyBorder="1" applyAlignment="1">
      <alignment horizontal="center"/>
    </xf>
    <xf numFmtId="0" fontId="0" fillId="0" borderId="23" xfId="0" applyBorder="1" applyAlignment="1">
      <alignment horizontal="center"/>
    </xf>
    <xf numFmtId="0" fontId="23" fillId="2" borderId="0" xfId="0" applyFont="1" applyFill="1" applyAlignment="1" applyProtection="1">
      <alignment horizontal="left"/>
      <protection hidden="1"/>
    </xf>
    <xf numFmtId="0" fontId="83" fillId="0" borderId="0" xfId="0" applyFont="1" applyAlignment="1">
      <alignment horizontal="left"/>
    </xf>
    <xf numFmtId="0" fontId="83" fillId="0" borderId="21" xfId="0" applyFont="1" applyBorder="1" applyAlignment="1">
      <alignment horizontal="left"/>
    </xf>
    <xf numFmtId="0" fontId="10" fillId="2" borderId="1" xfId="0" applyFont="1" applyFill="1" applyBorder="1" applyAlignment="1" applyProtection="1">
      <alignment horizontal="center"/>
      <protection hidden="1"/>
    </xf>
    <xf numFmtId="0" fontId="10" fillId="0" borderId="1" xfId="0" applyFont="1" applyBorder="1"/>
    <xf numFmtId="0" fontId="270" fillId="2" borderId="0" xfId="0" applyFont="1" applyFill="1" applyAlignment="1" applyProtection="1">
      <alignment horizontal="left" vertical="top"/>
      <protection hidden="1"/>
    </xf>
    <xf numFmtId="0" fontId="270" fillId="2" borderId="21" xfId="0" applyFont="1" applyFill="1" applyBorder="1" applyAlignment="1" applyProtection="1">
      <alignment horizontal="left" vertical="top"/>
      <protection hidden="1"/>
    </xf>
    <xf numFmtId="0" fontId="50" fillId="2" borderId="6" xfId="0" applyFont="1" applyFill="1" applyBorder="1" applyAlignment="1" applyProtection="1">
      <alignment horizontal="center" vertical="top"/>
      <protection hidden="1"/>
    </xf>
    <xf numFmtId="0" fontId="140" fillId="0" borderId="0" xfId="0" applyFont="1" applyAlignment="1">
      <alignment horizontal="center" vertical="top"/>
    </xf>
    <xf numFmtId="0" fontId="140" fillId="0" borderId="21" xfId="0" applyFont="1" applyBorder="1" applyAlignment="1">
      <alignment horizontal="center" vertical="top"/>
    </xf>
    <xf numFmtId="0" fontId="81" fillId="2" borderId="9" xfId="0" applyFont="1" applyFill="1" applyBorder="1" applyAlignment="1" applyProtection="1">
      <alignment horizontal="center" vertical="center"/>
      <protection hidden="1"/>
    </xf>
    <xf numFmtId="0" fontId="129" fillId="2" borderId="9" xfId="0" applyFont="1" applyFill="1" applyBorder="1" applyAlignment="1" applyProtection="1">
      <alignment horizontal="center"/>
      <protection hidden="1"/>
    </xf>
    <xf numFmtId="0" fontId="129" fillId="2" borderId="15" xfId="0" applyFont="1" applyFill="1" applyBorder="1" applyAlignment="1" applyProtection="1">
      <alignment horizontal="center"/>
      <protection hidden="1"/>
    </xf>
    <xf numFmtId="3" fontId="128" fillId="2" borderId="31" xfId="0" applyNumberFormat="1" applyFont="1" applyFill="1" applyBorder="1" applyAlignment="1" applyProtection="1">
      <alignment horizontal="center"/>
      <protection hidden="1"/>
    </xf>
    <xf numFmtId="3" fontId="128" fillId="2" borderId="9" xfId="0" applyNumberFormat="1" applyFont="1" applyFill="1" applyBorder="1" applyAlignment="1" applyProtection="1">
      <alignment horizontal="center"/>
      <protection hidden="1"/>
    </xf>
    <xf numFmtId="0" fontId="227" fillId="2" borderId="3" xfId="0" applyFont="1" applyFill="1" applyBorder="1" applyAlignment="1" applyProtection="1">
      <alignment horizontal="center" vertical="center"/>
      <protection hidden="1"/>
    </xf>
    <xf numFmtId="0" fontId="227" fillId="2" borderId="0" xfId="0" applyFont="1" applyFill="1" applyAlignment="1" applyProtection="1">
      <alignment horizontal="center" vertical="center"/>
      <protection hidden="1"/>
    </xf>
    <xf numFmtId="0" fontId="227" fillId="2" borderId="25" xfId="0" applyFont="1" applyFill="1" applyBorder="1" applyAlignment="1" applyProtection="1">
      <alignment horizontal="center" vertical="center"/>
      <protection hidden="1"/>
    </xf>
    <xf numFmtId="0" fontId="7" fillId="2" borderId="3" xfId="0" applyFont="1" applyFill="1" applyBorder="1" applyProtection="1">
      <protection hidden="1"/>
    </xf>
    <xf numFmtId="0" fontId="7" fillId="2" borderId="0" xfId="0" applyFont="1" applyFill="1" applyProtection="1">
      <protection hidden="1"/>
    </xf>
    <xf numFmtId="0" fontId="129" fillId="2" borderId="31" xfId="0" applyFont="1" applyFill="1" applyBorder="1" applyProtection="1">
      <protection hidden="1"/>
    </xf>
    <xf numFmtId="37" fontId="5" fillId="28" borderId="10" xfId="0" applyNumberFormat="1" applyFont="1" applyFill="1" applyBorder="1" applyAlignment="1" applyProtection="1">
      <alignment vertical="center"/>
      <protection hidden="1"/>
    </xf>
    <xf numFmtId="37" fontId="5" fillId="28" borderId="1" xfId="0" applyNumberFormat="1" applyFont="1" applyFill="1" applyBorder="1" applyAlignment="1" applyProtection="1">
      <alignment vertical="center"/>
      <protection hidden="1"/>
    </xf>
    <xf numFmtId="0" fontId="171" fillId="2" borderId="3" xfId="0" applyFont="1" applyFill="1" applyBorder="1" applyAlignment="1" applyProtection="1">
      <alignment horizontal="center"/>
      <protection hidden="1"/>
    </xf>
    <xf numFmtId="0" fontId="171" fillId="2" borderId="0" xfId="0" applyFont="1" applyFill="1" applyAlignment="1" applyProtection="1">
      <alignment horizontal="center"/>
      <protection hidden="1"/>
    </xf>
    <xf numFmtId="0" fontId="171" fillId="2" borderId="25" xfId="0" applyFont="1" applyFill="1" applyBorder="1" applyAlignment="1" applyProtection="1">
      <alignment horizontal="center"/>
      <protection hidden="1"/>
    </xf>
    <xf numFmtId="37" fontId="0" fillId="17" borderId="53" xfId="0" applyNumberFormat="1" applyFill="1" applyBorder="1" applyAlignment="1" applyProtection="1">
      <alignment horizontal="right" vertical="center"/>
      <protection locked="0"/>
    </xf>
    <xf numFmtId="37" fontId="0" fillId="17" borderId="32" xfId="0" applyNumberFormat="1" applyFill="1" applyBorder="1" applyAlignment="1" applyProtection="1">
      <alignment horizontal="right" vertical="center"/>
      <protection locked="0"/>
    </xf>
    <xf numFmtId="37" fontId="0" fillId="17" borderId="74" xfId="0" applyNumberFormat="1" applyFill="1" applyBorder="1" applyAlignment="1" applyProtection="1">
      <alignment horizontal="right" vertical="center"/>
      <protection locked="0"/>
    </xf>
    <xf numFmtId="0" fontId="235" fillId="8" borderId="8" xfId="0" applyFont="1" applyFill="1" applyBorder="1" applyAlignment="1" applyProtection="1">
      <alignment horizontal="center" vertical="center" wrapText="1"/>
      <protection hidden="1"/>
    </xf>
    <xf numFmtId="0" fontId="235" fillId="8" borderId="5" xfId="0" applyFont="1" applyFill="1" applyBorder="1" applyAlignment="1" applyProtection="1">
      <alignment horizontal="center" vertical="center" wrapText="1"/>
      <protection hidden="1"/>
    </xf>
    <xf numFmtId="0" fontId="75" fillId="11" borderId="62" xfId="2" applyFill="1" applyBorder="1" applyAlignment="1" applyProtection="1">
      <alignment horizontal="center" wrapText="1"/>
    </xf>
    <xf numFmtId="0" fontId="75" fillId="11" borderId="63" xfId="2" applyFill="1" applyBorder="1" applyAlignment="1" applyProtection="1">
      <alignment horizontal="center" wrapText="1"/>
    </xf>
    <xf numFmtId="0" fontId="0" fillId="0" borderId="63" xfId="0" applyBorder="1" applyAlignment="1">
      <alignment horizontal="center" wrapText="1"/>
    </xf>
    <xf numFmtId="0" fontId="0" fillId="0" borderId="64" xfId="0" applyBorder="1" applyAlignment="1">
      <alignment horizontal="center" wrapText="1"/>
    </xf>
    <xf numFmtId="0" fontId="0" fillId="2" borderId="3" xfId="0" applyFill="1" applyBorder="1" applyProtection="1">
      <protection hidden="1"/>
    </xf>
    <xf numFmtId="0" fontId="7" fillId="2" borderId="31" xfId="0" applyFont="1" applyFill="1" applyBorder="1" applyAlignment="1" applyProtection="1">
      <alignment vertical="center"/>
      <protection hidden="1"/>
    </xf>
    <xf numFmtId="0" fontId="7" fillId="2" borderId="9" xfId="0" applyFont="1" applyFill="1" applyBorder="1" applyAlignment="1" applyProtection="1">
      <alignment vertical="center"/>
      <protection hidden="1"/>
    </xf>
    <xf numFmtId="0" fontId="25" fillId="2" borderId="31" xfId="0" applyFont="1" applyFill="1" applyBorder="1" applyProtection="1">
      <protection hidden="1"/>
    </xf>
    <xf numFmtId="0" fontId="25" fillId="2" borderId="9" xfId="0" applyFont="1" applyFill="1" applyBorder="1" applyProtection="1">
      <protection hidden="1"/>
    </xf>
    <xf numFmtId="37" fontId="294" fillId="16" borderId="31" xfId="0" applyNumberFormat="1" applyFont="1" applyFill="1" applyBorder="1" applyAlignment="1" applyProtection="1">
      <alignment horizontal="right"/>
      <protection hidden="1"/>
    </xf>
    <xf numFmtId="37" fontId="294" fillId="16" borderId="9" xfId="0" applyNumberFormat="1" applyFont="1" applyFill="1" applyBorder="1" applyAlignment="1" applyProtection="1">
      <alignment horizontal="right"/>
      <protection hidden="1"/>
    </xf>
    <xf numFmtId="37" fontId="294" fillId="16" borderId="10" xfId="0" applyNumberFormat="1" applyFont="1" applyFill="1" applyBorder="1" applyAlignment="1" applyProtection="1">
      <alignment horizontal="right"/>
      <protection hidden="1"/>
    </xf>
    <xf numFmtId="37" fontId="294" fillId="16" borderId="1" xfId="0" applyNumberFormat="1" applyFont="1" applyFill="1" applyBorder="1" applyAlignment="1" applyProtection="1">
      <alignment horizontal="right"/>
      <protection hidden="1"/>
    </xf>
    <xf numFmtId="0" fontId="293" fillId="2" borderId="0" xfId="0" applyFont="1" applyFill="1" applyAlignment="1" applyProtection="1">
      <alignment horizontal="left" vertical="top"/>
      <protection hidden="1"/>
    </xf>
    <xf numFmtId="0" fontId="293" fillId="2" borderId="21" xfId="0" applyFont="1" applyFill="1" applyBorder="1" applyAlignment="1" applyProtection="1">
      <alignment horizontal="left" vertical="top"/>
      <protection hidden="1"/>
    </xf>
    <xf numFmtId="41" fontId="7" fillId="17" borderId="40" xfId="0" applyNumberFormat="1" applyFont="1" applyFill="1" applyBorder="1" applyAlignment="1" applyProtection="1">
      <alignment horizontal="center" vertical="center" wrapText="1"/>
      <protection locked="0"/>
    </xf>
    <xf numFmtId="41" fontId="7" fillId="17" borderId="26" xfId="0" applyNumberFormat="1" applyFont="1" applyFill="1" applyBorder="1" applyAlignment="1" applyProtection="1">
      <alignment horizontal="center" vertical="center" wrapText="1"/>
      <protection locked="0"/>
    </xf>
    <xf numFmtId="41" fontId="7" fillId="17" borderId="55" xfId="0" applyNumberFormat="1" applyFont="1" applyFill="1" applyBorder="1" applyAlignment="1" applyProtection="1">
      <alignment horizontal="center" vertical="center" wrapText="1"/>
      <protection locked="0"/>
    </xf>
    <xf numFmtId="41" fontId="7" fillId="0" borderId="26" xfId="0" applyNumberFormat="1" applyFont="1" applyBorder="1" applyAlignment="1" applyProtection="1">
      <alignment horizontal="center" vertical="center" wrapText="1"/>
      <protection locked="0"/>
    </xf>
    <xf numFmtId="41" fontId="7" fillId="0" borderId="55" xfId="0" applyNumberFormat="1" applyFont="1" applyBorder="1" applyAlignment="1" applyProtection="1">
      <alignment horizontal="center" vertical="center" wrapText="1"/>
      <protection locked="0"/>
    </xf>
    <xf numFmtId="14" fontId="3" fillId="17" borderId="40" xfId="0" applyNumberFormat="1" applyFont="1" applyFill="1" applyBorder="1" applyAlignment="1" applyProtection="1">
      <alignment horizontal="center" vertical="center" wrapText="1"/>
      <protection locked="0"/>
    </xf>
    <xf numFmtId="14" fontId="3" fillId="17" borderId="26" xfId="0" applyNumberFormat="1" applyFont="1" applyFill="1" applyBorder="1" applyAlignment="1" applyProtection="1">
      <alignment horizontal="center" vertical="center" wrapText="1"/>
      <protection locked="0"/>
    </xf>
    <xf numFmtId="14" fontId="0" fillId="0" borderId="26" xfId="0" applyNumberFormat="1" applyBorder="1" applyAlignment="1" applyProtection="1">
      <alignment horizontal="center" vertical="center" wrapText="1"/>
      <protection locked="0"/>
    </xf>
    <xf numFmtId="0" fontId="13" fillId="28" borderId="40" xfId="0" applyFont="1" applyFill="1" applyBorder="1" applyAlignment="1" applyProtection="1">
      <alignment horizontal="center" vertical="center"/>
      <protection hidden="1"/>
    </xf>
    <xf numFmtId="0" fontId="13" fillId="28" borderId="55" xfId="0" applyFont="1" applyFill="1" applyBorder="1" applyAlignment="1" applyProtection="1">
      <alignment horizontal="center" vertical="center"/>
      <protection hidden="1"/>
    </xf>
    <xf numFmtId="0" fontId="13" fillId="17" borderId="40" xfId="0" applyFont="1" applyFill="1" applyBorder="1" applyAlignment="1" applyProtection="1">
      <alignment horizontal="center" vertical="center"/>
      <protection locked="0" hidden="1"/>
    </xf>
    <xf numFmtId="0" fontId="13" fillId="17" borderId="55" xfId="0" applyFont="1" applyFill="1" applyBorder="1" applyAlignment="1" applyProtection="1">
      <alignment horizontal="center" vertical="center"/>
      <protection locked="0" hidden="1"/>
    </xf>
    <xf numFmtId="0" fontId="3" fillId="16" borderId="0" xfId="0" applyFont="1" applyFill="1" applyAlignment="1" applyProtection="1">
      <alignment horizontal="right" vertical="center" wrapText="1" indent="1"/>
      <protection hidden="1"/>
    </xf>
    <xf numFmtId="0" fontId="3" fillId="16" borderId="0" xfId="0" applyFont="1" applyFill="1" applyAlignment="1" applyProtection="1">
      <alignment horizontal="center" wrapText="1"/>
      <protection hidden="1"/>
    </xf>
    <xf numFmtId="0" fontId="3" fillId="16" borderId="0" xfId="0" applyFont="1" applyFill="1" applyAlignment="1" applyProtection="1">
      <alignment horizontal="right" vertical="top" wrapText="1"/>
      <protection hidden="1"/>
    </xf>
    <xf numFmtId="0" fontId="13" fillId="17" borderId="40" xfId="0" applyFont="1" applyFill="1" applyBorder="1" applyAlignment="1" applyProtection="1">
      <alignment horizontal="center" vertical="top" wrapText="1"/>
      <protection locked="0"/>
    </xf>
    <xf numFmtId="0" fontId="13" fillId="17" borderId="26" xfId="0" applyFont="1" applyFill="1" applyBorder="1" applyAlignment="1" applyProtection="1">
      <alignment horizontal="center" vertical="top" wrapText="1"/>
      <protection locked="0"/>
    </xf>
    <xf numFmtId="0" fontId="13" fillId="17" borderId="55" xfId="0" applyFont="1" applyFill="1" applyBorder="1" applyAlignment="1" applyProtection="1">
      <alignment horizontal="center" vertical="top" wrapText="1"/>
      <protection locked="0"/>
    </xf>
    <xf numFmtId="0" fontId="0" fillId="20" borderId="31" xfId="0" applyFill="1" applyBorder="1" applyAlignment="1" applyProtection="1">
      <alignment vertical="top" wrapText="1"/>
      <protection hidden="1"/>
    </xf>
    <xf numFmtId="0" fontId="0" fillId="0" borderId="9" xfId="0" applyBorder="1" applyAlignment="1">
      <alignment vertical="top" wrapText="1"/>
    </xf>
    <xf numFmtId="0" fontId="0" fillId="20" borderId="3" xfId="0" applyFill="1" applyBorder="1" applyAlignment="1" applyProtection="1">
      <alignment wrapText="1"/>
      <protection hidden="1"/>
    </xf>
    <xf numFmtId="0" fontId="8" fillId="17" borderId="158" xfId="0" applyFont="1" applyFill="1" applyBorder="1" applyAlignment="1" applyProtection="1">
      <alignment wrapText="1"/>
      <protection locked="0"/>
    </xf>
    <xf numFmtId="0" fontId="8" fillId="0" borderId="158" xfId="0" applyFont="1" applyBorder="1" applyAlignment="1" applyProtection="1">
      <alignment wrapText="1"/>
      <protection locked="0"/>
    </xf>
    <xf numFmtId="0" fontId="50" fillId="17" borderId="0" xfId="0" applyFont="1" applyFill="1" applyAlignment="1" applyProtection="1">
      <alignment wrapText="1"/>
      <protection locked="0"/>
    </xf>
    <xf numFmtId="0" fontId="18" fillId="16" borderId="0" xfId="0" applyFont="1" applyFill="1" applyAlignment="1" applyProtection="1">
      <alignment horizontal="center" wrapText="1"/>
      <protection hidden="1"/>
    </xf>
    <xf numFmtId="0" fontId="3" fillId="16" borderId="10" xfId="0" applyFont="1" applyFill="1" applyBorder="1" applyAlignment="1" applyProtection="1">
      <alignment horizontal="center"/>
      <protection hidden="1"/>
    </xf>
    <xf numFmtId="0" fontId="3" fillId="0" borderId="12" xfId="0" applyFont="1" applyBorder="1" applyAlignment="1" applyProtection="1">
      <alignment horizontal="center"/>
      <protection hidden="1"/>
    </xf>
    <xf numFmtId="0" fontId="0" fillId="16" borderId="3" xfId="0" applyFill="1" applyBorder="1" applyAlignment="1" applyProtection="1">
      <alignment wrapText="1"/>
      <protection hidden="1"/>
    </xf>
    <xf numFmtId="0" fontId="0" fillId="16" borderId="0" xfId="0" applyFill="1" applyAlignment="1" applyProtection="1">
      <alignment wrapText="1"/>
      <protection hidden="1"/>
    </xf>
    <xf numFmtId="0" fontId="0" fillId="20" borderId="3" xfId="0" applyFill="1" applyBorder="1" applyAlignment="1" applyProtection="1">
      <alignment vertical="top" wrapText="1"/>
      <protection hidden="1"/>
    </xf>
    <xf numFmtId="0" fontId="0" fillId="0" borderId="0" xfId="0" applyAlignment="1" applyProtection="1">
      <alignment vertical="top" wrapText="1"/>
      <protection hidden="1"/>
    </xf>
    <xf numFmtId="0" fontId="0" fillId="0" borderId="12" xfId="0" applyBorder="1" applyAlignment="1" applyProtection="1">
      <alignment horizontal="center"/>
      <protection hidden="1"/>
    </xf>
    <xf numFmtId="37" fontId="0" fillId="28" borderId="10" xfId="0" applyNumberFormat="1" applyFill="1" applyBorder="1" applyAlignment="1" applyProtection="1">
      <alignment wrapText="1"/>
      <protection hidden="1"/>
    </xf>
    <xf numFmtId="37" fontId="0" fillId="28" borderId="1" xfId="0" applyNumberFormat="1" applyFill="1" applyBorder="1" applyAlignment="1" applyProtection="1">
      <alignment wrapText="1"/>
      <protection hidden="1"/>
    </xf>
    <xf numFmtId="37" fontId="0" fillId="28" borderId="12" xfId="0" applyNumberFormat="1" applyFill="1" applyBorder="1" applyAlignment="1" applyProtection="1">
      <alignment wrapText="1"/>
      <protection hidden="1"/>
    </xf>
    <xf numFmtId="0" fontId="134" fillId="16" borderId="0" xfId="0" applyFont="1" applyFill="1" applyAlignment="1" applyProtection="1">
      <alignment horizontal="center"/>
      <protection hidden="1"/>
    </xf>
    <xf numFmtId="0" fontId="3" fillId="16" borderId="12" xfId="0" applyFont="1" applyFill="1" applyBorder="1" applyAlignment="1" applyProtection="1">
      <alignment horizontal="center"/>
      <protection hidden="1"/>
    </xf>
    <xf numFmtId="37" fontId="0" fillId="17" borderId="10" xfId="0" applyNumberFormat="1" applyFill="1" applyBorder="1" applyProtection="1">
      <protection locked="0"/>
    </xf>
    <xf numFmtId="37" fontId="0" fillId="28" borderId="10" xfId="0" applyNumberFormat="1" applyFill="1" applyBorder="1" applyProtection="1">
      <protection hidden="1"/>
    </xf>
    <xf numFmtId="0" fontId="50" fillId="16" borderId="6" xfId="0" applyFont="1" applyFill="1" applyBorder="1" applyAlignment="1" applyProtection="1">
      <alignment horizontal="center"/>
      <protection hidden="1"/>
    </xf>
    <xf numFmtId="0" fontId="50" fillId="16" borderId="0" xfId="0" applyFont="1" applyFill="1" applyAlignment="1" applyProtection="1">
      <alignment horizontal="center"/>
      <protection hidden="1"/>
    </xf>
    <xf numFmtId="0" fontId="50" fillId="16" borderId="21" xfId="0" applyFont="1" applyFill="1" applyBorder="1" applyAlignment="1" applyProtection="1">
      <alignment horizontal="center"/>
      <protection hidden="1"/>
    </xf>
    <xf numFmtId="166" fontId="23" fillId="28" borderId="3" xfId="0" applyNumberFormat="1" applyFont="1" applyFill="1" applyBorder="1" applyAlignment="1" applyProtection="1">
      <alignment horizontal="center" wrapText="1"/>
      <protection hidden="1"/>
    </xf>
    <xf numFmtId="0" fontId="83" fillId="0" borderId="0" xfId="0" applyFont="1" applyAlignment="1">
      <alignment wrapText="1"/>
    </xf>
    <xf numFmtId="0" fontId="83" fillId="0" borderId="10" xfId="0" applyFont="1" applyBorder="1" applyAlignment="1">
      <alignment wrapText="1"/>
    </xf>
    <xf numFmtId="0" fontId="83" fillId="0" borderId="1" xfId="0" applyFont="1" applyBorder="1" applyAlignment="1">
      <alignment wrapText="1"/>
    </xf>
    <xf numFmtId="0" fontId="18" fillId="17" borderId="26" xfId="0" applyFont="1" applyFill="1" applyBorder="1" applyAlignment="1" applyProtection="1">
      <alignment wrapText="1"/>
      <protection locked="0"/>
    </xf>
    <xf numFmtId="3" fontId="129" fillId="16" borderId="0" xfId="0" applyNumberFormat="1" applyFont="1" applyFill="1" applyAlignment="1" applyProtection="1">
      <alignment wrapText="1"/>
      <protection hidden="1"/>
    </xf>
    <xf numFmtId="41" fontId="0" fillId="17" borderId="1" xfId="0" applyNumberFormat="1" applyFill="1" applyBorder="1" applyAlignment="1" applyProtection="1">
      <alignment horizontal="right" wrapText="1"/>
      <protection locked="0"/>
    </xf>
    <xf numFmtId="41" fontId="0" fillId="0" borderId="1" xfId="0" applyNumberFormat="1" applyBorder="1" applyAlignment="1" applyProtection="1">
      <alignment horizontal="right" wrapText="1"/>
      <protection locked="0"/>
    </xf>
    <xf numFmtId="0" fontId="5" fillId="16" borderId="0" xfId="0" applyFont="1" applyFill="1" applyAlignment="1" applyProtection="1">
      <alignment wrapText="1"/>
      <protection hidden="1"/>
    </xf>
    <xf numFmtId="0" fontId="81" fillId="16" borderId="81" xfId="0" applyFont="1" applyFill="1" applyBorder="1" applyAlignment="1" applyProtection="1">
      <alignment horizontal="center" vertical="center" wrapText="1"/>
      <protection hidden="1"/>
    </xf>
    <xf numFmtId="0" fontId="81" fillId="0" borderId="9" xfId="0" applyFont="1" applyBorder="1" applyAlignment="1">
      <alignment horizontal="center" vertical="center" wrapText="1"/>
    </xf>
    <xf numFmtId="0" fontId="81" fillId="0" borderId="6" xfId="0" applyFont="1" applyBorder="1" applyAlignment="1">
      <alignment horizontal="center" vertical="center" wrapText="1"/>
    </xf>
    <xf numFmtId="0" fontId="81" fillId="0" borderId="0" xfId="0" applyFont="1" applyAlignment="1">
      <alignment horizontal="center" vertical="center" wrapText="1"/>
    </xf>
    <xf numFmtId="0" fontId="8" fillId="17" borderId="158" xfId="0" applyFont="1" applyFill="1" applyBorder="1" applyAlignment="1" applyProtection="1">
      <alignment horizontal="left" wrapText="1"/>
      <protection locked="0"/>
    </xf>
    <xf numFmtId="0" fontId="8" fillId="0" borderId="158" xfId="0" applyFont="1" applyBorder="1" applyAlignment="1" applyProtection="1">
      <alignment horizontal="left" wrapText="1"/>
      <protection locked="0"/>
    </xf>
    <xf numFmtId="0" fontId="8" fillId="17" borderId="93" xfId="0" applyFont="1" applyFill="1" applyBorder="1" applyAlignment="1" applyProtection="1">
      <alignment horizontal="left" wrapText="1"/>
      <protection locked="0"/>
    </xf>
    <xf numFmtId="0" fontId="8" fillId="0" borderId="93" xfId="0" applyFont="1" applyBorder="1" applyAlignment="1" applyProtection="1">
      <alignment horizontal="left" wrapText="1"/>
      <protection locked="0"/>
    </xf>
    <xf numFmtId="3" fontId="5" fillId="17" borderId="10" xfId="0" applyNumberFormat="1" applyFont="1" applyFill="1" applyBorder="1" applyAlignment="1" applyProtection="1">
      <alignment horizontal="right" wrapText="1"/>
      <protection locked="0"/>
    </xf>
    <xf numFmtId="3" fontId="5" fillId="17" borderId="1" xfId="0" applyNumberFormat="1" applyFont="1" applyFill="1" applyBorder="1" applyAlignment="1" applyProtection="1">
      <alignment horizontal="right" wrapText="1"/>
      <protection locked="0"/>
    </xf>
    <xf numFmtId="3" fontId="5" fillId="17" borderId="12" xfId="0" applyNumberFormat="1" applyFont="1" applyFill="1" applyBorder="1" applyAlignment="1" applyProtection="1">
      <alignment horizontal="right" wrapText="1"/>
      <protection locked="0"/>
    </xf>
    <xf numFmtId="0" fontId="3" fillId="16" borderId="0" xfId="0" applyFont="1" applyFill="1" applyAlignment="1" applyProtection="1">
      <alignment horizontal="left" vertical="center" wrapText="1" indent="1"/>
      <protection hidden="1"/>
    </xf>
    <xf numFmtId="37" fontId="0" fillId="17" borderId="10" xfId="0" applyNumberFormat="1" applyFill="1" applyBorder="1" applyAlignment="1" applyProtection="1">
      <alignment wrapText="1"/>
      <protection locked="0"/>
    </xf>
    <xf numFmtId="37" fontId="0" fillId="17" borderId="1" xfId="0" applyNumberFormat="1" applyFill="1" applyBorder="1" applyAlignment="1" applyProtection="1">
      <alignment wrapText="1"/>
      <protection locked="0"/>
    </xf>
    <xf numFmtId="37" fontId="0" fillId="17" borderId="12" xfId="0" applyNumberFormat="1" applyFill="1" applyBorder="1" applyAlignment="1" applyProtection="1">
      <alignment wrapText="1"/>
      <protection locked="0"/>
    </xf>
    <xf numFmtId="0" fontId="0" fillId="0" borderId="0" xfId="0" applyAlignment="1" applyProtection="1">
      <alignment wrapText="1"/>
      <protection hidden="1"/>
    </xf>
    <xf numFmtId="0" fontId="129" fillId="16" borderId="3" xfId="0" applyFont="1" applyFill="1" applyBorder="1" applyAlignment="1" applyProtection="1">
      <alignment horizontal="center"/>
      <protection hidden="1"/>
    </xf>
    <xf numFmtId="0" fontId="129" fillId="16" borderId="0" xfId="0" applyFont="1" applyFill="1" applyAlignment="1" applyProtection="1">
      <alignment horizontal="center"/>
      <protection hidden="1"/>
    </xf>
    <xf numFmtId="0" fontId="129" fillId="16" borderId="25" xfId="0" applyFont="1" applyFill="1" applyBorder="1" applyAlignment="1" applyProtection="1">
      <alignment horizontal="center"/>
      <protection hidden="1"/>
    </xf>
    <xf numFmtId="0" fontId="3" fillId="16" borderId="10" xfId="0" applyFont="1" applyFill="1" applyBorder="1" applyAlignment="1" applyProtection="1">
      <alignment horizontal="center" vertical="center" wrapText="1"/>
      <protection hidden="1"/>
    </xf>
    <xf numFmtId="3" fontId="5" fillId="28" borderId="1" xfId="0" applyNumberFormat="1" applyFont="1" applyFill="1" applyBorder="1" applyAlignment="1" applyProtection="1">
      <alignment wrapText="1"/>
      <protection hidden="1"/>
    </xf>
    <xf numFmtId="0" fontId="5" fillId="0" borderId="1" xfId="0" applyFont="1" applyBorder="1" applyAlignment="1">
      <alignment wrapText="1"/>
    </xf>
    <xf numFmtId="0" fontId="3" fillId="24" borderId="0" xfId="0" applyFont="1" applyFill="1" applyAlignment="1" applyProtection="1">
      <alignment horizontal="center"/>
      <protection hidden="1"/>
    </xf>
    <xf numFmtId="0" fontId="18" fillId="16" borderId="9" xfId="0" applyFont="1" applyFill="1" applyBorder="1" applyAlignment="1">
      <alignment horizontal="left" vertical="center" wrapText="1"/>
    </xf>
    <xf numFmtId="193" fontId="0" fillId="17" borderId="1" xfId="0" applyNumberFormat="1" applyFill="1" applyBorder="1" applyAlignment="1" applyProtection="1">
      <alignment horizontal="right" wrapText="1"/>
      <protection locked="0"/>
    </xf>
    <xf numFmtId="193" fontId="0" fillId="0" borderId="1" xfId="0" applyNumberFormat="1" applyBorder="1" applyAlignment="1" applyProtection="1">
      <alignment horizontal="right" wrapText="1"/>
      <protection locked="0"/>
    </xf>
    <xf numFmtId="3" fontId="129" fillId="16" borderId="0" xfId="0" applyNumberFormat="1" applyFont="1" applyFill="1" applyAlignment="1" applyProtection="1">
      <alignment horizontal="right" wrapText="1"/>
      <protection hidden="1"/>
    </xf>
    <xf numFmtId="3" fontId="129" fillId="16" borderId="0" xfId="0" applyNumberFormat="1" applyFont="1" applyFill="1" applyAlignment="1" applyProtection="1">
      <alignment horizontal="right"/>
      <protection hidden="1"/>
    </xf>
    <xf numFmtId="0" fontId="129" fillId="16" borderId="0" xfId="0" applyFont="1" applyFill="1" applyAlignment="1" applyProtection="1">
      <alignment wrapText="1"/>
      <protection hidden="1"/>
    </xf>
    <xf numFmtId="0" fontId="128" fillId="16" borderId="3" xfId="0" applyFont="1" applyFill="1" applyBorder="1" applyAlignment="1" applyProtection="1">
      <alignment horizontal="center"/>
      <protection hidden="1"/>
    </xf>
    <xf numFmtId="0" fontId="128" fillId="16" borderId="0" xfId="0" applyFont="1" applyFill="1" applyAlignment="1" applyProtection="1">
      <alignment horizontal="center"/>
      <protection hidden="1"/>
    </xf>
    <xf numFmtId="0" fontId="3" fillId="16" borderId="53" xfId="0" applyFont="1" applyFill="1" applyBorder="1" applyAlignment="1" applyProtection="1">
      <alignment horizontal="center"/>
      <protection hidden="1"/>
    </xf>
    <xf numFmtId="0" fontId="3" fillId="0" borderId="74" xfId="0" applyFont="1" applyBorder="1" applyAlignment="1" applyProtection="1">
      <alignment horizontal="center"/>
      <protection hidden="1"/>
    </xf>
    <xf numFmtId="37" fontId="0" fillId="17" borderId="53" xfId="0" applyNumberFormat="1" applyFill="1" applyBorder="1" applyAlignment="1" applyProtection="1">
      <alignment wrapText="1"/>
      <protection locked="0"/>
    </xf>
    <xf numFmtId="37" fontId="0" fillId="17" borderId="32" xfId="0" applyNumberFormat="1" applyFill="1" applyBorder="1" applyAlignment="1" applyProtection="1">
      <alignment wrapText="1"/>
      <protection locked="0"/>
    </xf>
    <xf numFmtId="37" fontId="0" fillId="17" borderId="74" xfId="0" applyNumberFormat="1" applyFill="1" applyBorder="1" applyAlignment="1" applyProtection="1">
      <alignment wrapText="1"/>
      <protection locked="0"/>
    </xf>
    <xf numFmtId="0" fontId="8" fillId="16" borderId="6" xfId="0" applyFont="1" applyFill="1" applyBorder="1" applyAlignment="1" applyProtection="1">
      <alignment horizontal="center" wrapText="1"/>
      <protection hidden="1"/>
    </xf>
    <xf numFmtId="0" fontId="8" fillId="0" borderId="0" xfId="0" applyFont="1" applyAlignment="1">
      <alignment horizontal="center" wrapText="1"/>
    </xf>
    <xf numFmtId="0" fontId="8" fillId="0" borderId="21" xfId="0" applyFont="1" applyBorder="1" applyAlignment="1">
      <alignment horizontal="center" wrapText="1"/>
    </xf>
    <xf numFmtId="0" fontId="143" fillId="32" borderId="26" xfId="0" applyFont="1" applyFill="1" applyBorder="1" applyAlignment="1" applyProtection="1">
      <alignment horizontal="center"/>
      <protection hidden="1"/>
    </xf>
    <xf numFmtId="0" fontId="129" fillId="32" borderId="26" xfId="0" applyFont="1" applyFill="1" applyBorder="1" applyAlignment="1" applyProtection="1">
      <alignment horizontal="center"/>
      <protection hidden="1"/>
    </xf>
    <xf numFmtId="0" fontId="53" fillId="16" borderId="0" xfId="0" applyFont="1" applyFill="1" applyAlignment="1" applyProtection="1">
      <alignment horizontal="right" vertical="center" wrapText="1" indent="1"/>
      <protection hidden="1"/>
    </xf>
    <xf numFmtId="0" fontId="3" fillId="16" borderId="40" xfId="0" applyFont="1" applyFill="1" applyBorder="1" applyAlignment="1" applyProtection="1">
      <alignment horizontal="center" wrapText="1"/>
      <protection hidden="1"/>
    </xf>
    <xf numFmtId="0" fontId="3" fillId="0" borderId="26" xfId="0" applyFont="1" applyBorder="1" applyAlignment="1">
      <alignment horizontal="center" wrapText="1"/>
    </xf>
    <xf numFmtId="0" fontId="3" fillId="0" borderId="55" xfId="0" applyFont="1" applyBorder="1" applyAlignment="1">
      <alignment horizontal="center" wrapText="1"/>
    </xf>
    <xf numFmtId="0" fontId="3" fillId="16" borderId="40" xfId="0" applyFont="1" applyFill="1" applyBorder="1" applyAlignment="1" applyProtection="1">
      <alignment horizontal="center" vertical="center" wrapText="1"/>
      <protection hidden="1"/>
    </xf>
    <xf numFmtId="0" fontId="3" fillId="0" borderId="26" xfId="0" applyFont="1" applyBorder="1" applyAlignment="1">
      <alignment horizontal="center" vertical="center" wrapText="1"/>
    </xf>
    <xf numFmtId="0" fontId="3" fillId="0" borderId="55" xfId="0" applyFont="1" applyBorder="1" applyAlignment="1">
      <alignment horizontal="center" vertical="center" wrapText="1"/>
    </xf>
    <xf numFmtId="0" fontId="18" fillId="16" borderId="5" xfId="0" applyFont="1" applyFill="1" applyBorder="1" applyAlignment="1" applyProtection="1">
      <alignment horizontal="center" wrapText="1"/>
      <protection hidden="1"/>
    </xf>
    <xf numFmtId="0" fontId="3" fillId="16" borderId="3" xfId="0" applyFont="1" applyFill="1" applyBorder="1" applyAlignment="1" applyProtection="1">
      <alignment horizontal="center"/>
      <protection hidden="1"/>
    </xf>
    <xf numFmtId="0" fontId="3" fillId="0" borderId="25" xfId="0" applyFont="1" applyBorder="1" applyAlignment="1" applyProtection="1">
      <alignment horizontal="center"/>
      <protection hidden="1"/>
    </xf>
    <xf numFmtId="0" fontId="0" fillId="20" borderId="25" xfId="0" applyFill="1" applyBorder="1" applyAlignment="1" applyProtection="1">
      <alignment wrapText="1"/>
      <protection hidden="1"/>
    </xf>
    <xf numFmtId="0" fontId="3" fillId="16" borderId="10" xfId="0" applyFont="1" applyFill="1" applyBorder="1" applyAlignment="1" applyProtection="1">
      <alignment horizontal="center" vertical="top"/>
      <protection hidden="1"/>
    </xf>
    <xf numFmtId="0" fontId="0" fillId="0" borderId="12" xfId="0" applyBorder="1" applyAlignment="1" applyProtection="1">
      <alignment horizontal="center" vertical="top"/>
      <protection hidden="1"/>
    </xf>
    <xf numFmtId="0" fontId="134" fillId="16" borderId="3" xfId="0" applyFont="1" applyFill="1" applyBorder="1" applyAlignment="1" applyProtection="1">
      <alignment horizontal="center"/>
      <protection hidden="1"/>
    </xf>
    <xf numFmtId="0" fontId="134" fillId="0" borderId="0" xfId="0" applyFont="1" applyAlignment="1">
      <alignment horizontal="center"/>
    </xf>
    <xf numFmtId="0" fontId="129" fillId="16" borderId="31" xfId="0" applyFont="1" applyFill="1" applyBorder="1" applyProtection="1">
      <protection hidden="1"/>
    </xf>
    <xf numFmtId="0" fontId="129" fillId="0" borderId="15" xfId="0" applyFont="1" applyBorder="1"/>
    <xf numFmtId="0" fontId="134" fillId="16" borderId="3" xfId="0" applyFont="1" applyFill="1" applyBorder="1" applyAlignment="1" applyProtection="1">
      <alignment horizontal="center" vertical="center"/>
      <protection hidden="1"/>
    </xf>
    <xf numFmtId="0" fontId="134" fillId="0" borderId="0" xfId="0" applyFont="1" applyAlignment="1">
      <alignment horizontal="center" vertical="center"/>
    </xf>
    <xf numFmtId="0" fontId="134" fillId="16" borderId="0" xfId="0" applyFont="1" applyFill="1" applyAlignment="1" applyProtection="1">
      <alignment horizontal="left"/>
      <protection hidden="1"/>
    </xf>
    <xf numFmtId="0" fontId="134" fillId="0" borderId="0" xfId="0" applyFont="1" applyAlignment="1">
      <alignment horizontal="left"/>
    </xf>
    <xf numFmtId="0" fontId="134" fillId="16" borderId="0" xfId="0" applyFont="1" applyFill="1" applyAlignment="1" applyProtection="1">
      <alignment horizontal="center" vertical="center"/>
      <protection hidden="1"/>
    </xf>
    <xf numFmtId="41" fontId="8" fillId="28" borderId="26" xfId="0" applyNumberFormat="1" applyFont="1" applyFill="1" applyBorder="1" applyAlignment="1" applyProtection="1">
      <alignment horizontal="center" vertical="center" wrapText="1"/>
      <protection hidden="1"/>
    </xf>
    <xf numFmtId="0" fontId="10" fillId="0" borderId="9" xfId="0" applyFont="1" applyBorder="1" applyAlignment="1">
      <alignment wrapText="1"/>
    </xf>
    <xf numFmtId="0" fontId="10" fillId="0" borderId="15" xfId="0" applyFont="1" applyBorder="1" applyAlignment="1">
      <alignment wrapText="1"/>
    </xf>
    <xf numFmtId="0" fontId="10" fillId="0" borderId="3" xfId="0" applyFont="1" applyBorder="1" applyAlignment="1">
      <alignment wrapText="1"/>
    </xf>
    <xf numFmtId="0" fontId="10" fillId="0" borderId="0" xfId="0" applyFont="1" applyAlignment="1">
      <alignment wrapText="1"/>
    </xf>
    <xf numFmtId="0" fontId="10" fillId="0" borderId="25" xfId="0" applyFont="1" applyBorder="1" applyAlignment="1">
      <alignment wrapText="1"/>
    </xf>
    <xf numFmtId="0" fontId="10" fillId="0" borderId="10" xfId="0" applyFont="1" applyBorder="1" applyAlignment="1">
      <alignment wrapText="1"/>
    </xf>
    <xf numFmtId="0" fontId="10" fillId="0" borderId="1" xfId="0" applyFont="1" applyBorder="1" applyAlignment="1">
      <alignment wrapText="1"/>
    </xf>
    <xf numFmtId="0" fontId="10" fillId="0" borderId="12" xfId="0" applyFont="1" applyBorder="1" applyAlignment="1">
      <alignment wrapText="1"/>
    </xf>
    <xf numFmtId="0" fontId="10" fillId="16" borderId="57" xfId="0" applyFont="1" applyFill="1" applyBorder="1" applyAlignment="1" applyProtection="1">
      <alignment wrapText="1"/>
      <protection hidden="1"/>
    </xf>
    <xf numFmtId="0" fontId="0" fillId="0" borderId="8" xfId="0" applyBorder="1" applyAlignment="1">
      <alignment wrapText="1"/>
    </xf>
    <xf numFmtId="0" fontId="3" fillId="16" borderId="6" xfId="0" applyFont="1" applyFill="1" applyBorder="1" applyAlignment="1" applyProtection="1">
      <alignment horizontal="center" wrapText="1"/>
      <protection hidden="1"/>
    </xf>
    <xf numFmtId="0" fontId="3" fillId="0" borderId="21" xfId="0" applyFont="1" applyBorder="1" applyAlignment="1">
      <alignment horizontal="center" wrapText="1"/>
    </xf>
    <xf numFmtId="0" fontId="3" fillId="16" borderId="25" xfId="0" applyFont="1" applyFill="1" applyBorder="1" applyAlignment="1" applyProtection="1">
      <alignment horizontal="center"/>
      <protection hidden="1"/>
    </xf>
    <xf numFmtId="0" fontId="18" fillId="16" borderId="26" xfId="0" applyFont="1" applyFill="1" applyBorder="1" applyAlignment="1" applyProtection="1">
      <alignment wrapText="1"/>
      <protection hidden="1"/>
    </xf>
    <xf numFmtId="0" fontId="18" fillId="0" borderId="26" xfId="0" applyFont="1" applyBorder="1" applyAlignment="1">
      <alignment wrapText="1"/>
    </xf>
    <xf numFmtId="0" fontId="23" fillId="0" borderId="0" xfId="0" applyFont="1" applyAlignment="1" applyProtection="1">
      <alignment horizontal="left" wrapText="1"/>
      <protection hidden="1"/>
    </xf>
    <xf numFmtId="0" fontId="23" fillId="0" borderId="5" xfId="0" applyFont="1" applyBorder="1" applyAlignment="1" applyProtection="1">
      <alignment horizontal="left" wrapText="1"/>
      <protection hidden="1"/>
    </xf>
    <xf numFmtId="0" fontId="10" fillId="16" borderId="6" xfId="0" applyFont="1" applyFill="1" applyBorder="1" applyAlignment="1" applyProtection="1">
      <alignment horizontal="right" vertical="center" wrapText="1"/>
      <protection hidden="1"/>
    </xf>
    <xf numFmtId="0" fontId="10" fillId="16" borderId="0" xfId="0" applyFont="1" applyFill="1" applyAlignment="1" applyProtection="1">
      <alignment horizontal="right" vertical="center" wrapText="1"/>
      <protection hidden="1"/>
    </xf>
    <xf numFmtId="0" fontId="10" fillId="16" borderId="22" xfId="0" applyFont="1" applyFill="1" applyBorder="1" applyAlignment="1" applyProtection="1">
      <alignment horizontal="right" vertical="center" wrapText="1"/>
      <protection hidden="1"/>
    </xf>
    <xf numFmtId="0" fontId="10" fillId="16" borderId="5" xfId="0" applyFont="1" applyFill="1" applyBorder="1" applyAlignment="1" applyProtection="1">
      <alignment horizontal="right" vertical="center" wrapText="1"/>
      <protection hidden="1"/>
    </xf>
    <xf numFmtId="0" fontId="3" fillId="16" borderId="26" xfId="0" applyFont="1" applyFill="1" applyBorder="1" applyAlignment="1" applyProtection="1">
      <alignment horizontal="left" vertical="center" wrapText="1" indent="1"/>
      <protection hidden="1"/>
    </xf>
    <xf numFmtId="0" fontId="0" fillId="0" borderId="55" xfId="0" applyBorder="1" applyAlignment="1">
      <alignment wrapText="1"/>
    </xf>
    <xf numFmtId="3" fontId="5" fillId="28" borderId="10" xfId="0" applyNumberFormat="1" applyFont="1" applyFill="1" applyBorder="1" applyAlignment="1" applyProtection="1">
      <alignment horizontal="right" wrapText="1"/>
      <protection hidden="1"/>
    </xf>
    <xf numFmtId="3" fontId="5" fillId="28" borderId="1" xfId="0" applyNumberFormat="1" applyFont="1" applyFill="1" applyBorder="1" applyAlignment="1" applyProtection="1">
      <alignment horizontal="right" wrapText="1"/>
      <protection hidden="1"/>
    </xf>
    <xf numFmtId="3" fontId="5" fillId="28" borderId="12" xfId="0" applyNumberFormat="1" applyFont="1" applyFill="1" applyBorder="1" applyAlignment="1" applyProtection="1">
      <alignment horizontal="right" wrapText="1"/>
      <protection hidden="1"/>
    </xf>
    <xf numFmtId="3" fontId="171" fillId="16" borderId="0" xfId="0" applyNumberFormat="1" applyFont="1" applyFill="1" applyAlignment="1" applyProtection="1">
      <alignment wrapText="1"/>
      <protection hidden="1"/>
    </xf>
    <xf numFmtId="0" fontId="171" fillId="16" borderId="0" xfId="0" applyFont="1" applyFill="1" applyAlignment="1" applyProtection="1">
      <alignment wrapText="1"/>
      <protection hidden="1"/>
    </xf>
    <xf numFmtId="41" fontId="3" fillId="17" borderId="1" xfId="0" applyNumberFormat="1" applyFont="1" applyFill="1" applyBorder="1" applyAlignment="1" applyProtection="1">
      <alignment horizontal="right" wrapText="1"/>
      <protection locked="0"/>
    </xf>
    <xf numFmtId="41" fontId="3" fillId="0" borderId="1" xfId="0" applyNumberFormat="1" applyFont="1" applyBorder="1" applyAlignment="1" applyProtection="1">
      <alignment horizontal="right" wrapText="1"/>
      <protection locked="0"/>
    </xf>
    <xf numFmtId="0" fontId="8" fillId="16" borderId="22" xfId="0" applyFont="1" applyFill="1" applyBorder="1" applyAlignment="1" applyProtection="1">
      <alignment horizontal="center" wrapText="1"/>
      <protection hidden="1"/>
    </xf>
    <xf numFmtId="0" fontId="8" fillId="0" borderId="5" xfId="0" applyFont="1" applyBorder="1" applyAlignment="1">
      <alignment horizontal="center" wrapText="1"/>
    </xf>
    <xf numFmtId="0" fontId="8" fillId="0" borderId="23" xfId="0" applyFont="1" applyBorder="1" applyAlignment="1">
      <alignment horizontal="center" wrapText="1"/>
    </xf>
    <xf numFmtId="41" fontId="0" fillId="17" borderId="53" xfId="0" applyNumberFormat="1" applyFill="1" applyBorder="1" applyAlignment="1" applyProtection="1">
      <alignment wrapText="1"/>
      <protection locked="0" hidden="1"/>
    </xf>
    <xf numFmtId="41" fontId="0" fillId="17" borderId="32" xfId="0" applyNumberFormat="1" applyFill="1" applyBorder="1" applyAlignment="1" applyProtection="1">
      <alignment wrapText="1"/>
      <protection locked="0" hidden="1"/>
    </xf>
    <xf numFmtId="0" fontId="143" fillId="32" borderId="28" xfId="0" applyFont="1" applyFill="1" applyBorder="1" applyAlignment="1" applyProtection="1">
      <alignment horizontal="center"/>
      <protection hidden="1"/>
    </xf>
    <xf numFmtId="0" fontId="129" fillId="32" borderId="28" xfId="0" applyFont="1" applyFill="1" applyBorder="1" applyAlignment="1" applyProtection="1">
      <alignment horizontal="center"/>
      <protection hidden="1"/>
    </xf>
    <xf numFmtId="0" fontId="18" fillId="16" borderId="0" xfId="0" applyFont="1" applyFill="1" applyAlignment="1" applyProtection="1">
      <alignment horizontal="center" vertical="center" wrapText="1"/>
      <protection hidden="1"/>
    </xf>
    <xf numFmtId="0" fontId="3" fillId="16" borderId="70" xfId="0" applyFont="1" applyFill="1" applyBorder="1" applyAlignment="1" applyProtection="1">
      <alignment horizontal="center"/>
      <protection hidden="1"/>
    </xf>
    <xf numFmtId="0" fontId="3" fillId="0" borderId="71" xfId="0" applyFont="1" applyBorder="1" applyAlignment="1" applyProtection="1">
      <alignment horizontal="center"/>
      <protection hidden="1"/>
    </xf>
    <xf numFmtId="37" fontId="0" fillId="28" borderId="70" xfId="0" applyNumberFormat="1" applyFill="1" applyBorder="1" applyProtection="1">
      <protection hidden="1"/>
    </xf>
    <xf numFmtId="37" fontId="0" fillId="28" borderId="5" xfId="0" applyNumberFormat="1" applyFill="1" applyBorder="1"/>
    <xf numFmtId="0" fontId="129" fillId="16" borderId="3" xfId="0" applyFont="1" applyFill="1" applyBorder="1" applyAlignment="1" applyProtection="1">
      <alignment horizontal="center" wrapText="1"/>
      <protection hidden="1"/>
    </xf>
    <xf numFmtId="0" fontId="129" fillId="0" borderId="0" xfId="0" applyFont="1" applyAlignment="1">
      <alignment horizontal="center" wrapText="1"/>
    </xf>
    <xf numFmtId="0" fontId="129" fillId="16" borderId="0" xfId="0" applyFont="1" applyFill="1" applyAlignment="1" applyProtection="1">
      <alignment horizontal="center" wrapText="1"/>
      <protection hidden="1"/>
    </xf>
    <xf numFmtId="0" fontId="135" fillId="16" borderId="26" xfId="0" applyFont="1" applyFill="1" applyBorder="1" applyAlignment="1" applyProtection="1">
      <alignment wrapText="1"/>
      <protection hidden="1"/>
    </xf>
    <xf numFmtId="0" fontId="135" fillId="0" borderId="26" xfId="0" applyFont="1" applyBorder="1" applyAlignment="1">
      <alignment wrapText="1"/>
    </xf>
    <xf numFmtId="0" fontId="0" fillId="20" borderId="31" xfId="0" applyFill="1" applyBorder="1" applyAlignment="1" applyProtection="1">
      <alignment wrapText="1"/>
      <protection hidden="1"/>
    </xf>
    <xf numFmtId="41" fontId="0" fillId="17" borderId="1" xfId="0" applyNumberFormat="1" applyFill="1" applyBorder="1" applyAlignment="1" applyProtection="1">
      <alignment horizontal="right" vertical="top" wrapText="1"/>
      <protection locked="0"/>
    </xf>
    <xf numFmtId="41" fontId="0" fillId="0" borderId="1" xfId="0" applyNumberFormat="1" applyBorder="1" applyAlignment="1" applyProtection="1">
      <alignment horizontal="right" vertical="top" wrapText="1"/>
      <protection locked="0"/>
    </xf>
    <xf numFmtId="191" fontId="0" fillId="28" borderId="10" xfId="0" applyNumberFormat="1" applyFill="1" applyBorder="1" applyProtection="1">
      <protection hidden="1"/>
    </xf>
    <xf numFmtId="191" fontId="0" fillId="28" borderId="1" xfId="0" applyNumberFormat="1" applyFill="1" applyBorder="1"/>
    <xf numFmtId="0" fontId="3" fillId="16" borderId="40" xfId="0" applyFont="1" applyFill="1" applyBorder="1" applyAlignment="1" applyProtection="1">
      <alignment horizontal="center"/>
      <protection hidden="1"/>
    </xf>
    <xf numFmtId="0" fontId="3" fillId="16" borderId="31" xfId="0" applyFont="1" applyFill="1" applyBorder="1" applyAlignment="1" applyProtection="1">
      <alignment horizontal="center"/>
      <protection hidden="1"/>
    </xf>
    <xf numFmtId="0" fontId="3" fillId="0" borderId="15" xfId="0" applyFont="1" applyBorder="1" applyAlignment="1" applyProtection="1">
      <alignment horizontal="center"/>
      <protection hidden="1"/>
    </xf>
    <xf numFmtId="37" fontId="0" fillId="17" borderId="70" xfId="0" applyNumberFormat="1" applyFill="1" applyBorder="1" applyAlignment="1" applyProtection="1">
      <alignment wrapText="1"/>
      <protection locked="0"/>
    </xf>
    <xf numFmtId="37" fontId="0" fillId="17" borderId="5" xfId="0" applyNumberFormat="1" applyFill="1" applyBorder="1" applyAlignment="1" applyProtection="1">
      <alignment wrapText="1"/>
      <protection locked="0"/>
    </xf>
    <xf numFmtId="37" fontId="0" fillId="17" borderId="71" xfId="0" applyNumberFormat="1" applyFill="1" applyBorder="1" applyAlignment="1" applyProtection="1">
      <alignment wrapText="1"/>
      <protection locked="0"/>
    </xf>
    <xf numFmtId="0" fontId="18" fillId="16" borderId="26" xfId="0" applyFont="1" applyFill="1" applyBorder="1" applyAlignment="1" applyProtection="1">
      <alignment horizontal="left" vertical="center" wrapText="1" indent="1"/>
      <protection hidden="1"/>
    </xf>
    <xf numFmtId="3" fontId="3" fillId="28" borderId="26" xfId="0" applyNumberFormat="1" applyFont="1" applyFill="1" applyBorder="1" applyAlignment="1" applyProtection="1">
      <alignment wrapText="1"/>
      <protection hidden="1"/>
    </xf>
    <xf numFmtId="0" fontId="0" fillId="0" borderId="26" xfId="0" applyBorder="1" applyAlignment="1">
      <alignment wrapText="1"/>
    </xf>
    <xf numFmtId="0" fontId="18" fillId="16" borderId="9" xfId="0" applyFont="1" applyFill="1" applyBorder="1" applyAlignment="1" applyProtection="1">
      <alignment horizontal="center" wrapText="1"/>
      <protection hidden="1"/>
    </xf>
    <xf numFmtId="0" fontId="23" fillId="16" borderId="26" xfId="0" applyFont="1" applyFill="1" applyBorder="1" applyAlignment="1" applyProtection="1">
      <alignment horizontal="left" wrapText="1" indent="1"/>
      <protection hidden="1"/>
    </xf>
    <xf numFmtId="0" fontId="23" fillId="0" borderId="26" xfId="0" applyFont="1" applyBorder="1" applyAlignment="1">
      <alignment horizontal="left" wrapText="1" indent="1"/>
    </xf>
    <xf numFmtId="0" fontId="12" fillId="16" borderId="15" xfId="0" applyFont="1" applyFill="1" applyBorder="1" applyAlignment="1" applyProtection="1">
      <alignment horizontal="center" vertical="center" textRotation="90"/>
      <protection hidden="1"/>
    </xf>
    <xf numFmtId="0" fontId="5" fillId="0" borderId="25" xfId="0" applyFont="1" applyBorder="1" applyAlignment="1">
      <alignment vertical="center" textRotation="90"/>
    </xf>
    <xf numFmtId="0" fontId="5" fillId="0" borderId="12" xfId="0" applyFont="1" applyBorder="1" applyAlignment="1">
      <alignment vertical="center" textRotation="90"/>
    </xf>
    <xf numFmtId="0" fontId="13" fillId="16" borderId="31" xfId="0" applyFont="1" applyFill="1" applyBorder="1" applyAlignment="1" applyProtection="1">
      <alignment horizontal="center" vertical="center" wrapText="1"/>
      <protection hidden="1"/>
    </xf>
    <xf numFmtId="0" fontId="8" fillId="16" borderId="31" xfId="0" applyFont="1" applyFill="1" applyBorder="1" applyAlignment="1" applyProtection="1">
      <alignment horizontal="center" vertical="center" wrapText="1"/>
      <protection hidden="1"/>
    </xf>
    <xf numFmtId="0" fontId="8" fillId="0" borderId="9" xfId="0" applyFont="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horizontal="center" vertical="center" wrapText="1"/>
    </xf>
    <xf numFmtId="0" fontId="8" fillId="0" borderId="10" xfId="0" applyFont="1" applyBorder="1" applyAlignment="1">
      <alignment horizontal="center" vertical="center" wrapText="1"/>
    </xf>
    <xf numFmtId="0" fontId="8" fillId="0" borderId="1" xfId="0" applyFont="1" applyBorder="1" applyAlignment="1">
      <alignment horizontal="center" vertical="center" wrapText="1"/>
    </xf>
    <xf numFmtId="0" fontId="7" fillId="16" borderId="10"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10" fillId="16" borderId="9"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10" fillId="16" borderId="0" xfId="0" applyFont="1" applyFill="1" applyAlignment="1">
      <alignment horizontal="center" vertical="center" wrapText="1"/>
    </xf>
    <xf numFmtId="0" fontId="10" fillId="16" borderId="10"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0" fillId="16" borderId="31" xfId="0" applyFont="1" applyFill="1" applyBorder="1" applyAlignment="1" applyProtection="1">
      <alignment horizontal="center" wrapText="1"/>
      <protection hidden="1"/>
    </xf>
    <xf numFmtId="0" fontId="10" fillId="0" borderId="9" xfId="0" applyFont="1" applyBorder="1"/>
    <xf numFmtId="0" fontId="10" fillId="0" borderId="15" xfId="0" applyFont="1" applyBorder="1"/>
    <xf numFmtId="0" fontId="10" fillId="0" borderId="3" xfId="0" applyFont="1" applyBorder="1"/>
    <xf numFmtId="0" fontId="10" fillId="0" borderId="0" xfId="0" applyFont="1"/>
    <xf numFmtId="0" fontId="10" fillId="0" borderId="25" xfId="0" applyFont="1" applyBorder="1"/>
    <xf numFmtId="0" fontId="10" fillId="16" borderId="3" xfId="0" applyFont="1" applyFill="1" applyBorder="1" applyAlignment="1" applyProtection="1">
      <alignment horizontal="center" vertical="top" wrapText="1"/>
      <protection hidden="1"/>
    </xf>
    <xf numFmtId="0" fontId="10" fillId="0" borderId="0" xfId="0" applyFont="1" applyAlignment="1">
      <alignment vertical="top" wrapText="1"/>
    </xf>
    <xf numFmtId="0" fontId="10" fillId="0" borderId="25" xfId="0" applyFont="1" applyBorder="1" applyAlignment="1">
      <alignment vertical="top" wrapText="1"/>
    </xf>
    <xf numFmtId="0" fontId="10" fillId="16" borderId="10" xfId="0" applyFont="1" applyFill="1" applyBorder="1" applyAlignment="1" applyProtection="1">
      <alignment horizontal="center" vertical="center" wrapText="1"/>
      <protection hidden="1"/>
    </xf>
    <xf numFmtId="191" fontId="5" fillId="28" borderId="10" xfId="0" applyNumberFormat="1" applyFont="1" applyFill="1" applyBorder="1" applyAlignment="1" applyProtection="1">
      <alignment horizontal="right" wrapText="1"/>
      <protection hidden="1"/>
    </xf>
    <xf numFmtId="191" fontId="5" fillId="28" borderId="1" xfId="0" applyNumberFormat="1" applyFont="1" applyFill="1" applyBorder="1" applyAlignment="1" applyProtection="1">
      <alignment horizontal="right" wrapText="1"/>
      <protection hidden="1"/>
    </xf>
    <xf numFmtId="191" fontId="5" fillId="28" borderId="12" xfId="0" applyNumberFormat="1" applyFont="1" applyFill="1" applyBorder="1" applyAlignment="1" applyProtection="1">
      <alignment horizontal="right" wrapText="1"/>
      <protection hidden="1"/>
    </xf>
    <xf numFmtId="192" fontId="5" fillId="28" borderId="10" xfId="0" applyNumberFormat="1" applyFont="1" applyFill="1" applyBorder="1" applyAlignment="1" applyProtection="1">
      <alignment horizontal="right" wrapText="1"/>
      <protection hidden="1"/>
    </xf>
    <xf numFmtId="192" fontId="5" fillId="28" borderId="1" xfId="0" applyNumberFormat="1" applyFont="1" applyFill="1" applyBorder="1" applyAlignment="1" applyProtection="1">
      <alignment horizontal="right" wrapText="1"/>
      <protection hidden="1"/>
    </xf>
    <xf numFmtId="192" fontId="5" fillId="28" borderId="12" xfId="0" applyNumberFormat="1" applyFont="1" applyFill="1" applyBorder="1" applyAlignment="1" applyProtection="1">
      <alignment horizontal="right" wrapText="1"/>
      <protection hidden="1"/>
    </xf>
    <xf numFmtId="3" fontId="5" fillId="28" borderId="40" xfId="0" applyNumberFormat="1" applyFont="1" applyFill="1" applyBorder="1" applyAlignment="1" applyProtection="1">
      <alignment horizontal="right" wrapText="1"/>
      <protection hidden="1"/>
    </xf>
    <xf numFmtId="3" fontId="5" fillId="28" borderId="26" xfId="0" applyNumberFormat="1" applyFont="1" applyFill="1" applyBorder="1" applyAlignment="1" applyProtection="1">
      <alignment horizontal="right" wrapText="1"/>
      <protection hidden="1"/>
    </xf>
    <xf numFmtId="3" fontId="5" fillId="28" borderId="55" xfId="0" applyNumberFormat="1" applyFont="1" applyFill="1" applyBorder="1" applyAlignment="1" applyProtection="1">
      <alignment horizontal="right" wrapText="1"/>
      <protection hidden="1"/>
    </xf>
    <xf numFmtId="0" fontId="10" fillId="0" borderId="0" xfId="0" applyFont="1" applyAlignment="1">
      <alignment horizontal="center" vertical="top" wrapText="1"/>
    </xf>
    <xf numFmtId="0" fontId="10" fillId="0" borderId="25" xfId="0" applyFont="1" applyBorder="1" applyAlignment="1">
      <alignment horizontal="center" vertical="top" wrapText="1"/>
    </xf>
    <xf numFmtId="0" fontId="12" fillId="16" borderId="26" xfId="0" applyFont="1" applyFill="1" applyBorder="1" applyAlignment="1" applyProtection="1">
      <alignment horizontal="left" wrapText="1" indent="1"/>
      <protection hidden="1"/>
    </xf>
    <xf numFmtId="0" fontId="12" fillId="0" borderId="26" xfId="0" applyFont="1" applyBorder="1" applyAlignment="1">
      <alignment horizontal="left" wrapText="1" indent="1"/>
    </xf>
    <xf numFmtId="0" fontId="13" fillId="16" borderId="31" xfId="0" applyFont="1" applyFill="1" applyBorder="1" applyAlignment="1" applyProtection="1">
      <alignment horizontal="center" wrapText="1"/>
      <protection hidden="1"/>
    </xf>
    <xf numFmtId="0" fontId="3" fillId="16" borderId="0" xfId="0" quotePrefix="1" applyFont="1" applyFill="1" applyAlignment="1" applyProtection="1">
      <alignment horizontal="left" vertical="center" wrapText="1" indent="1"/>
      <protection hidden="1"/>
    </xf>
    <xf numFmtId="0" fontId="3" fillId="16" borderId="0" xfId="0" quotePrefix="1" applyFont="1" applyFill="1" applyAlignment="1" applyProtection="1">
      <alignment horizontal="right" vertical="center" wrapText="1" indent="1"/>
      <protection hidden="1"/>
    </xf>
    <xf numFmtId="3" fontId="5" fillId="17" borderId="10" xfId="0" applyNumberFormat="1" applyFont="1" applyFill="1" applyBorder="1" applyAlignment="1" applyProtection="1">
      <alignment horizontal="right"/>
      <protection locked="0"/>
    </xf>
    <xf numFmtId="3" fontId="5" fillId="17" borderId="1" xfId="0" applyNumberFormat="1" applyFont="1" applyFill="1" applyBorder="1" applyAlignment="1" applyProtection="1">
      <alignment horizontal="right"/>
      <protection locked="0"/>
    </xf>
    <xf numFmtId="3" fontId="5" fillId="17" borderId="12" xfId="0" applyNumberFormat="1" applyFont="1" applyFill="1" applyBorder="1" applyAlignment="1" applyProtection="1">
      <alignment horizontal="right"/>
      <protection locked="0"/>
    </xf>
    <xf numFmtId="0" fontId="18" fillId="16" borderId="0" xfId="0" applyFont="1" applyFill="1" applyAlignment="1" applyProtection="1">
      <alignment horizontal="right" vertical="center" wrapText="1" indent="1"/>
      <protection hidden="1"/>
    </xf>
    <xf numFmtId="0" fontId="225" fillId="32" borderId="26" xfId="0" applyFont="1" applyFill="1" applyBorder="1" applyAlignment="1" applyProtection="1">
      <alignment horizontal="center"/>
      <protection hidden="1"/>
    </xf>
    <xf numFmtId="0" fontId="81" fillId="16" borderId="81" xfId="0" applyFont="1" applyFill="1" applyBorder="1" applyAlignment="1" applyProtection="1">
      <alignment horizontal="center" wrapText="1"/>
      <protection hidden="1"/>
    </xf>
    <xf numFmtId="0" fontId="81" fillId="0" borderId="9" xfId="0" applyFont="1" applyBorder="1" applyAlignment="1">
      <alignment horizontal="center" wrapText="1"/>
    </xf>
    <xf numFmtId="0" fontId="81" fillId="0" borderId="6" xfId="0" applyFont="1" applyBorder="1" applyAlignment="1">
      <alignment horizontal="center" wrapText="1"/>
    </xf>
    <xf numFmtId="0" fontId="81" fillId="0" borderId="0" xfId="0" applyFont="1" applyAlignment="1">
      <alignment horizontal="center" wrapText="1"/>
    </xf>
    <xf numFmtId="0" fontId="10" fillId="16" borderId="6" xfId="0" applyFont="1" applyFill="1" applyBorder="1" applyAlignment="1" applyProtection="1">
      <alignment horizontal="left" vertical="center" wrapText="1" indent="1"/>
      <protection hidden="1"/>
    </xf>
    <xf numFmtId="0" fontId="10" fillId="0" borderId="0" xfId="0" applyFont="1" applyAlignment="1">
      <alignment horizontal="left" vertical="center" wrapText="1" indent="1"/>
    </xf>
    <xf numFmtId="0" fontId="10" fillId="0" borderId="22" xfId="0" applyFont="1" applyBorder="1" applyAlignment="1">
      <alignment horizontal="left" vertical="center" wrapText="1" indent="1"/>
    </xf>
    <xf numFmtId="0" fontId="10" fillId="0" borderId="5" xfId="0" applyFont="1" applyBorder="1" applyAlignment="1">
      <alignment horizontal="left" vertical="center" wrapText="1" indent="1"/>
    </xf>
    <xf numFmtId="0" fontId="50" fillId="0" borderId="0" xfId="0" applyFont="1" applyAlignment="1" applyProtection="1">
      <alignment horizontal="left" wrapText="1"/>
      <protection hidden="1"/>
    </xf>
    <xf numFmtId="0" fontId="50" fillId="0" borderId="0" xfId="0" applyFont="1" applyAlignment="1">
      <alignment horizontal="left" wrapText="1"/>
    </xf>
    <xf numFmtId="0" fontId="50" fillId="0" borderId="5" xfId="0" applyFont="1" applyBorder="1" applyAlignment="1">
      <alignment horizontal="left" wrapText="1"/>
    </xf>
    <xf numFmtId="0" fontId="253" fillId="32" borderId="28" xfId="0" applyFont="1" applyFill="1" applyBorder="1" applyAlignment="1" applyProtection="1">
      <alignment horizontal="center"/>
      <protection hidden="1"/>
    </xf>
    <xf numFmtId="0" fontId="254" fillId="32" borderId="28" xfId="0" applyFont="1" applyFill="1" applyBorder="1" applyAlignment="1" applyProtection="1">
      <alignment horizontal="center"/>
      <protection hidden="1"/>
    </xf>
    <xf numFmtId="0" fontId="3" fillId="16" borderId="9" xfId="0" applyFont="1" applyFill="1" applyBorder="1" applyAlignment="1" applyProtection="1">
      <alignment horizontal="center" wrapText="1"/>
      <protection hidden="1"/>
    </xf>
    <xf numFmtId="0" fontId="18" fillId="16" borderId="0" xfId="0" applyFont="1" applyFill="1" applyAlignment="1" applyProtection="1">
      <alignment horizontal="left" vertical="center" wrapText="1" indent="1"/>
      <protection hidden="1"/>
    </xf>
    <xf numFmtId="0" fontId="18" fillId="16" borderId="0" xfId="0" applyFont="1" applyFill="1" applyAlignment="1" applyProtection="1">
      <alignment horizontal="right" vertical="top" wrapText="1"/>
      <protection hidden="1"/>
    </xf>
    <xf numFmtId="0" fontId="10" fillId="16" borderId="6" xfId="0" applyFont="1" applyFill="1" applyBorder="1" applyAlignment="1" applyProtection="1">
      <alignment horizontal="left" vertical="center" wrapText="1" indent="2"/>
      <protection hidden="1"/>
    </xf>
    <xf numFmtId="0" fontId="10" fillId="0" borderId="0" xfId="0" applyFont="1" applyAlignment="1">
      <alignment horizontal="left" vertical="center" wrapText="1" indent="2"/>
    </xf>
    <xf numFmtId="0" fontId="10" fillId="0" borderId="22" xfId="0" applyFont="1" applyBorder="1" applyAlignment="1">
      <alignment horizontal="left" vertical="center" wrapText="1" indent="2"/>
    </xf>
    <xf numFmtId="0" fontId="10" fillId="0" borderId="5" xfId="0" applyFont="1" applyBorder="1" applyAlignment="1">
      <alignment horizontal="left" vertical="center" wrapText="1" indent="2"/>
    </xf>
    <xf numFmtId="0" fontId="23" fillId="0" borderId="0" xfId="0" applyFont="1" applyAlignment="1">
      <alignment horizontal="left" wrapText="1"/>
    </xf>
    <xf numFmtId="0" fontId="23" fillId="0" borderId="5" xfId="0" applyFont="1" applyBorder="1" applyAlignment="1">
      <alignment horizontal="left" wrapText="1"/>
    </xf>
    <xf numFmtId="3" fontId="5" fillId="17" borderId="40" xfId="0" applyNumberFormat="1" applyFont="1" applyFill="1" applyBorder="1" applyAlignment="1" applyProtection="1">
      <alignment horizontal="right" wrapText="1"/>
      <protection locked="0"/>
    </xf>
    <xf numFmtId="3" fontId="5" fillId="17" borderId="26" xfId="0" applyNumberFormat="1" applyFont="1" applyFill="1" applyBorder="1" applyAlignment="1" applyProtection="1">
      <alignment horizontal="right" wrapText="1"/>
      <protection locked="0"/>
    </xf>
    <xf numFmtId="3" fontId="5" fillId="17" borderId="55" xfId="0" applyNumberFormat="1" applyFont="1" applyFill="1" applyBorder="1" applyAlignment="1" applyProtection="1">
      <alignment horizontal="right" wrapText="1"/>
      <protection locked="0"/>
    </xf>
    <xf numFmtId="14" fontId="5" fillId="17" borderId="40" xfId="0" applyNumberFormat="1" applyFont="1" applyFill="1" applyBorder="1" applyAlignment="1" applyProtection="1">
      <alignment horizontal="center" vertical="center" wrapText="1"/>
      <protection locked="0"/>
    </xf>
    <xf numFmtId="14" fontId="5" fillId="17" borderId="26" xfId="0" applyNumberFormat="1" applyFont="1" applyFill="1" applyBorder="1" applyAlignment="1" applyProtection="1">
      <alignment horizontal="center" vertical="center" wrapText="1"/>
      <protection locked="0"/>
    </xf>
    <xf numFmtId="14" fontId="5" fillId="0" borderId="26" xfId="0" applyNumberFormat="1" applyFont="1" applyBorder="1" applyAlignment="1" applyProtection="1">
      <alignment horizontal="center" vertical="center" wrapText="1"/>
      <protection locked="0"/>
    </xf>
    <xf numFmtId="0" fontId="3" fillId="16" borderId="57" xfId="0" applyFont="1" applyFill="1" applyBorder="1" applyAlignment="1" applyProtection="1">
      <alignment horizontal="center"/>
      <protection hidden="1"/>
    </xf>
    <xf numFmtId="0" fontId="3" fillId="0" borderId="37" xfId="0" applyFont="1" applyBorder="1" applyAlignment="1" applyProtection="1">
      <alignment horizontal="center"/>
      <protection hidden="1"/>
    </xf>
    <xf numFmtId="37" fontId="5" fillId="17" borderId="10" xfId="0" applyNumberFormat="1" applyFont="1" applyFill="1" applyBorder="1" applyAlignment="1" applyProtection="1">
      <alignment wrapText="1"/>
      <protection locked="0"/>
    </xf>
    <xf numFmtId="37" fontId="0" fillId="17" borderId="3" xfId="0" applyNumberFormat="1" applyFill="1" applyBorder="1" applyAlignment="1" applyProtection="1">
      <alignment wrapText="1"/>
      <protection locked="0"/>
    </xf>
    <xf numFmtId="37" fontId="0" fillId="17" borderId="0" xfId="0" applyNumberFormat="1" applyFill="1" applyAlignment="1" applyProtection="1">
      <alignment wrapText="1"/>
      <protection locked="0"/>
    </xf>
    <xf numFmtId="37" fontId="0" fillId="17" borderId="25" xfId="0" applyNumberFormat="1" applyFill="1" applyBorder="1" applyAlignment="1" applyProtection="1">
      <alignment wrapText="1"/>
      <protection locked="0"/>
    </xf>
    <xf numFmtId="37" fontId="5" fillId="28" borderId="40" xfId="0" applyNumberFormat="1" applyFont="1" applyFill="1" applyBorder="1" applyAlignment="1" applyProtection="1">
      <alignment horizontal="right" wrapText="1"/>
      <protection hidden="1"/>
    </xf>
    <xf numFmtId="37" fontId="5" fillId="28" borderId="26" xfId="0" applyNumberFormat="1" applyFont="1" applyFill="1" applyBorder="1" applyAlignment="1" applyProtection="1">
      <alignment horizontal="right" wrapText="1"/>
      <protection hidden="1"/>
    </xf>
    <xf numFmtId="37" fontId="5" fillId="28" borderId="55" xfId="0" applyNumberFormat="1" applyFont="1" applyFill="1" applyBorder="1" applyAlignment="1" applyProtection="1">
      <alignment horizontal="right" wrapText="1"/>
      <protection hidden="1"/>
    </xf>
    <xf numFmtId="191" fontId="5" fillId="28" borderId="40" xfId="0" applyNumberFormat="1" applyFont="1" applyFill="1" applyBorder="1" applyAlignment="1" applyProtection="1">
      <alignment horizontal="right" wrapText="1"/>
      <protection hidden="1"/>
    </xf>
    <xf numFmtId="191" fontId="5" fillId="28" borderId="26" xfId="0" applyNumberFormat="1" applyFont="1" applyFill="1" applyBorder="1" applyAlignment="1" applyProtection="1">
      <alignment horizontal="right" wrapText="1"/>
      <protection hidden="1"/>
    </xf>
    <xf numFmtId="191" fontId="5" fillId="28" borderId="55" xfId="0" applyNumberFormat="1" applyFont="1" applyFill="1" applyBorder="1" applyAlignment="1" applyProtection="1">
      <alignment horizontal="right" wrapText="1"/>
      <protection hidden="1"/>
    </xf>
    <xf numFmtId="192" fontId="5" fillId="28" borderId="40" xfId="0" applyNumberFormat="1" applyFont="1" applyFill="1" applyBorder="1" applyAlignment="1" applyProtection="1">
      <alignment horizontal="right" wrapText="1"/>
      <protection hidden="1"/>
    </xf>
    <xf numFmtId="192" fontId="5" fillId="28" borderId="26" xfId="0" applyNumberFormat="1" applyFont="1" applyFill="1" applyBorder="1" applyAlignment="1" applyProtection="1">
      <alignment horizontal="right" wrapText="1"/>
      <protection hidden="1"/>
    </xf>
    <xf numFmtId="192" fontId="5" fillId="28" borderId="55" xfId="0" applyNumberFormat="1" applyFont="1" applyFill="1" applyBorder="1" applyAlignment="1" applyProtection="1">
      <alignment horizontal="right" wrapText="1"/>
      <protection hidden="1"/>
    </xf>
    <xf numFmtId="37" fontId="3" fillId="28" borderId="26" xfId="0" applyNumberFormat="1" applyFont="1" applyFill="1" applyBorder="1" applyAlignment="1" applyProtection="1">
      <alignment wrapText="1"/>
      <protection hidden="1"/>
    </xf>
    <xf numFmtId="37" fontId="0" fillId="0" borderId="26" xfId="0" applyNumberFormat="1" applyBorder="1" applyAlignment="1">
      <alignment wrapText="1"/>
    </xf>
    <xf numFmtId="37" fontId="5" fillId="28" borderId="1" xfId="0" applyNumberFormat="1" applyFont="1" applyFill="1" applyBorder="1" applyAlignment="1" applyProtection="1">
      <alignment wrapText="1"/>
      <protection hidden="1"/>
    </xf>
    <xf numFmtId="37" fontId="5" fillId="0" borderId="1" xfId="0" applyNumberFormat="1" applyFont="1" applyBorder="1" applyAlignment="1">
      <alignment wrapText="1"/>
    </xf>
    <xf numFmtId="14" fontId="3" fillId="16" borderId="24" xfId="0" applyNumberFormat="1" applyFont="1" applyFill="1" applyBorder="1" applyAlignment="1" applyProtection="1">
      <alignment horizontal="left" vertical="center" indent="1"/>
      <protection hidden="1"/>
    </xf>
    <xf numFmtId="14" fontId="3" fillId="16" borderId="8" xfId="0" applyNumberFormat="1" applyFont="1" applyFill="1" applyBorder="1" applyAlignment="1" applyProtection="1">
      <alignment horizontal="left" vertical="center" indent="1"/>
      <protection hidden="1"/>
    </xf>
    <xf numFmtId="14" fontId="3" fillId="16" borderId="27" xfId="0" applyNumberFormat="1" applyFont="1" applyFill="1" applyBorder="1" applyAlignment="1" applyProtection="1">
      <alignment horizontal="left" vertical="center" indent="1"/>
      <protection hidden="1"/>
    </xf>
    <xf numFmtId="14" fontId="3" fillId="16" borderId="1" xfId="0" applyNumberFormat="1" applyFont="1" applyFill="1" applyBorder="1" applyAlignment="1" applyProtection="1">
      <alignment horizontal="left" vertical="center" indent="1"/>
      <protection hidden="1"/>
    </xf>
    <xf numFmtId="37" fontId="4" fillId="16" borderId="8" xfId="0" applyNumberFormat="1" applyFont="1" applyFill="1" applyBorder="1" applyAlignment="1" applyProtection="1">
      <alignment horizontal="right" vertical="center"/>
      <protection hidden="1"/>
    </xf>
    <xf numFmtId="37" fontId="4" fillId="16" borderId="1" xfId="0" applyNumberFormat="1" applyFont="1" applyFill="1" applyBorder="1" applyAlignment="1" applyProtection="1">
      <alignment horizontal="right" vertical="center"/>
      <protection hidden="1"/>
    </xf>
    <xf numFmtId="0" fontId="128" fillId="16" borderId="0" xfId="0" applyFont="1" applyFill="1" applyAlignment="1" applyProtection="1">
      <alignment horizontal="left"/>
      <protection hidden="1"/>
    </xf>
    <xf numFmtId="0" fontId="141" fillId="16" borderId="0" xfId="0" applyFont="1" applyFill="1" applyAlignment="1" applyProtection="1">
      <alignment horizontal="left"/>
      <protection hidden="1"/>
    </xf>
    <xf numFmtId="0" fontId="141" fillId="16" borderId="0" xfId="0" applyFont="1" applyFill="1" applyAlignment="1" applyProtection="1">
      <alignment horizontal="left" vertical="center"/>
      <protection hidden="1"/>
    </xf>
    <xf numFmtId="0" fontId="141" fillId="16" borderId="0" xfId="0" applyFont="1" applyFill="1" applyAlignment="1" applyProtection="1">
      <alignment horizontal="left" vertical="top"/>
      <protection hidden="1"/>
    </xf>
    <xf numFmtId="0" fontId="131" fillId="2" borderId="125" xfId="0" applyFont="1" applyFill="1" applyBorder="1" applyProtection="1">
      <protection hidden="1"/>
    </xf>
    <xf numFmtId="0" fontId="131" fillId="0" borderId="125" xfId="0" applyFont="1" applyBorder="1"/>
    <xf numFmtId="0" fontId="5" fillId="2" borderId="31" xfId="0" applyFont="1" applyFill="1" applyBorder="1" applyAlignment="1" applyProtection="1">
      <alignment horizontal="left" vertical="center" wrapText="1" indent="1"/>
      <protection hidden="1"/>
    </xf>
    <xf numFmtId="0" fontId="5" fillId="0" borderId="9" xfId="0" applyFont="1" applyBorder="1" applyAlignment="1">
      <alignment horizontal="left" vertical="center" wrapText="1" indent="1"/>
    </xf>
    <xf numFmtId="0" fontId="5" fillId="0" borderId="15" xfId="0" applyFont="1" applyBorder="1" applyAlignment="1">
      <alignment horizontal="left" vertical="center" wrapText="1" indent="1"/>
    </xf>
    <xf numFmtId="0" fontId="5" fillId="0" borderId="3" xfId="0" applyFont="1" applyBorder="1" applyAlignment="1">
      <alignment horizontal="left" vertical="center" wrapText="1" indent="1"/>
    </xf>
    <xf numFmtId="0" fontId="5" fillId="0" borderId="0" xfId="0" applyFont="1" applyAlignment="1">
      <alignment horizontal="left" vertical="center" wrapText="1" indent="1"/>
    </xf>
    <xf numFmtId="0" fontId="5" fillId="0" borderId="25" xfId="0" applyFont="1" applyBorder="1" applyAlignment="1">
      <alignment horizontal="left" vertical="center" wrapText="1" indent="1"/>
    </xf>
    <xf numFmtId="0" fontId="5" fillId="0" borderId="10"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0" borderId="12" xfId="0" applyFont="1" applyBorder="1" applyAlignment="1">
      <alignment horizontal="left" vertical="center" wrapText="1" indent="1"/>
    </xf>
    <xf numFmtId="0" fontId="6" fillId="2" borderId="3" xfId="0" applyFont="1" applyFill="1" applyBorder="1" applyAlignment="1" applyProtection="1">
      <alignment horizontal="center" vertical="center"/>
      <protection hidden="1"/>
    </xf>
    <xf numFmtId="3" fontId="5" fillId="28" borderId="10" xfId="0" applyNumberFormat="1" applyFont="1" applyFill="1" applyBorder="1" applyAlignment="1" applyProtection="1">
      <alignment wrapText="1"/>
      <protection hidden="1"/>
    </xf>
    <xf numFmtId="3" fontId="5" fillId="28" borderId="12" xfId="0" applyNumberFormat="1" applyFont="1" applyFill="1" applyBorder="1" applyAlignment="1" applyProtection="1">
      <alignment wrapText="1"/>
      <protection hidden="1"/>
    </xf>
    <xf numFmtId="3" fontId="5" fillId="28" borderId="40" xfId="0" applyNumberFormat="1" applyFont="1" applyFill="1" applyBorder="1" applyAlignment="1" applyProtection="1">
      <alignment wrapText="1"/>
      <protection hidden="1"/>
    </xf>
    <xf numFmtId="3" fontId="5" fillId="28" borderId="55" xfId="0" applyNumberFormat="1" applyFont="1" applyFill="1" applyBorder="1" applyAlignment="1" applyProtection="1">
      <alignment wrapText="1"/>
      <protection hidden="1"/>
    </xf>
    <xf numFmtId="0" fontId="7" fillId="2" borderId="31" xfId="0" applyFont="1" applyFill="1" applyBorder="1" applyAlignment="1" applyProtection="1">
      <alignment horizontal="left" vertical="center" wrapText="1" indent="1"/>
      <protection hidden="1"/>
    </xf>
    <xf numFmtId="0" fontId="7" fillId="0" borderId="9" xfId="0" applyFont="1" applyBorder="1" applyAlignment="1">
      <alignment horizontal="left" vertical="center" wrapText="1" indent="1"/>
    </xf>
    <xf numFmtId="0" fontId="7" fillId="0" borderId="15"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0" xfId="0" applyFont="1" applyAlignment="1">
      <alignment horizontal="left" vertical="center" wrapText="1" indent="1"/>
    </xf>
    <xf numFmtId="0" fontId="7" fillId="0" borderId="25" xfId="0" applyFont="1" applyBorder="1" applyAlignment="1">
      <alignment horizontal="left" vertical="center" wrapText="1" indent="1"/>
    </xf>
    <xf numFmtId="0" fontId="7" fillId="0" borderId="10" xfId="0" applyFont="1" applyBorder="1" applyAlignment="1">
      <alignment horizontal="left" vertical="center" wrapText="1" indent="1"/>
    </xf>
    <xf numFmtId="0" fontId="7" fillId="0" borderId="1" xfId="0" applyFont="1" applyBorder="1" applyAlignment="1">
      <alignment horizontal="left" vertical="center" wrapText="1" indent="1"/>
    </xf>
    <xf numFmtId="0" fontId="7" fillId="0" borderId="12" xfId="0" applyFont="1" applyBorder="1" applyAlignment="1">
      <alignment horizontal="left" vertical="center" wrapText="1" indent="1"/>
    </xf>
    <xf numFmtId="0" fontId="6" fillId="2" borderId="3" xfId="0" applyFont="1" applyFill="1" applyBorder="1" applyAlignment="1" applyProtection="1">
      <alignment horizontal="center" wrapText="1"/>
      <protection hidden="1"/>
    </xf>
    <xf numFmtId="0" fontId="0" fillId="0" borderId="0" xfId="0" applyAlignment="1">
      <alignment horizontal="center" wrapText="1"/>
    </xf>
    <xf numFmtId="0" fontId="0" fillId="0" borderId="25" xfId="0" applyBorder="1" applyAlignment="1">
      <alignment horizontal="center" wrapText="1"/>
    </xf>
    <xf numFmtId="0" fontId="0" fillId="0" borderId="3" xfId="0" applyBorder="1" applyAlignment="1">
      <alignment horizontal="center" wrapText="1"/>
    </xf>
    <xf numFmtId="0" fontId="5" fillId="2" borderId="31" xfId="0" applyFont="1" applyFill="1" applyBorder="1" applyAlignment="1" applyProtection="1">
      <alignment horizontal="left" vertical="center" wrapText="1"/>
      <protection hidden="1"/>
    </xf>
    <xf numFmtId="0" fontId="5" fillId="2" borderId="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left" vertical="center" wrapText="1"/>
      <protection hidden="1"/>
    </xf>
    <xf numFmtId="0" fontId="5" fillId="2" borderId="3" xfId="0" applyFont="1" applyFill="1" applyBorder="1" applyAlignment="1" applyProtection="1">
      <alignment horizontal="left" vertical="center" wrapText="1"/>
      <protection hidden="1"/>
    </xf>
    <xf numFmtId="0" fontId="5" fillId="2" borderId="0" xfId="0" applyFont="1" applyFill="1" applyAlignment="1" applyProtection="1">
      <alignment horizontal="left" vertical="center" wrapText="1"/>
      <protection hidden="1"/>
    </xf>
    <xf numFmtId="0" fontId="5" fillId="2" borderId="25" xfId="0" applyFont="1" applyFill="1" applyBorder="1" applyAlignment="1" applyProtection="1">
      <alignment horizontal="left" vertical="center" wrapText="1"/>
      <protection hidden="1"/>
    </xf>
    <xf numFmtId="0" fontId="5" fillId="2" borderId="10" xfId="0" applyFont="1" applyFill="1" applyBorder="1" applyAlignment="1" applyProtection="1">
      <alignment horizontal="left" vertical="center" wrapText="1"/>
      <protection hidden="1"/>
    </xf>
    <xf numFmtId="0" fontId="5" fillId="2" borderId="1"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left" vertical="center" wrapText="1"/>
      <protection hidden="1"/>
    </xf>
    <xf numFmtId="0" fontId="5" fillId="2" borderId="40" xfId="0" applyFont="1" applyFill="1" applyBorder="1" applyAlignment="1" applyProtection="1">
      <alignment horizontal="center" vertical="center" wrapText="1"/>
      <protection hidden="1"/>
    </xf>
    <xf numFmtId="0" fontId="5" fillId="2" borderId="26" xfId="0" applyFont="1" applyFill="1" applyBorder="1" applyAlignment="1" applyProtection="1">
      <alignment horizontal="center" vertical="center" wrapText="1"/>
      <protection hidden="1"/>
    </xf>
    <xf numFmtId="0" fontId="5" fillId="2" borderId="55" xfId="0" applyFont="1" applyFill="1" applyBorder="1" applyAlignment="1" applyProtection="1">
      <alignment horizontal="center" vertical="center" wrapText="1"/>
      <protection hidden="1"/>
    </xf>
    <xf numFmtId="0" fontId="8" fillId="2" borderId="0" xfId="0" applyFont="1" applyFill="1" applyAlignment="1" applyProtection="1">
      <alignment horizontal="left" vertical="top" wrapText="1"/>
      <protection hidden="1"/>
    </xf>
    <xf numFmtId="0" fontId="8" fillId="2" borderId="9" xfId="0" applyFont="1" applyFill="1" applyBorder="1" applyAlignment="1" applyProtection="1">
      <alignment horizontal="right" vertical="top" wrapText="1"/>
      <protection hidden="1"/>
    </xf>
    <xf numFmtId="0" fontId="0" fillId="0" borderId="9" xfId="0" applyBorder="1" applyAlignment="1">
      <alignment horizontal="right" vertical="top" wrapText="1"/>
    </xf>
    <xf numFmtId="0" fontId="0" fillId="0" borderId="0" xfId="0" applyAlignment="1">
      <alignment horizontal="right" vertical="top" wrapText="1"/>
    </xf>
    <xf numFmtId="0" fontId="3" fillId="2" borderId="31" xfId="0" applyFont="1" applyFill="1" applyBorder="1" applyAlignment="1" applyProtection="1">
      <alignment horizontal="center" wrapText="1"/>
      <protection hidden="1"/>
    </xf>
    <xf numFmtId="0" fontId="0" fillId="0" borderId="15" xfId="0" applyBorder="1" applyAlignment="1">
      <alignment horizontal="center" wrapText="1"/>
    </xf>
    <xf numFmtId="0" fontId="12" fillId="2" borderId="40" xfId="0" applyFont="1" applyFill="1" applyBorder="1" applyAlignment="1" applyProtection="1">
      <alignment horizontal="center" vertical="center" wrapText="1"/>
      <protection hidden="1"/>
    </xf>
    <xf numFmtId="0" fontId="12" fillId="2" borderId="26" xfId="0" applyFont="1" applyFill="1" applyBorder="1" applyAlignment="1" applyProtection="1">
      <alignment horizontal="center" vertical="center" wrapText="1"/>
      <protection hidden="1"/>
    </xf>
    <xf numFmtId="185" fontId="207" fillId="2" borderId="31" xfId="0" applyNumberFormat="1" applyFont="1" applyFill="1" applyBorder="1" applyAlignment="1" applyProtection="1">
      <alignment horizontal="center"/>
      <protection hidden="1"/>
    </xf>
    <xf numFmtId="185" fontId="207" fillId="0" borderId="15" xfId="0" applyNumberFormat="1" applyFont="1" applyBorder="1" applyAlignment="1">
      <alignment horizontal="center"/>
    </xf>
    <xf numFmtId="0" fontId="131" fillId="2" borderId="3" xfId="0" applyFont="1" applyFill="1" applyBorder="1" applyAlignment="1" applyProtection="1">
      <alignment horizontal="center"/>
      <protection hidden="1"/>
    </xf>
    <xf numFmtId="0" fontId="131" fillId="2" borderId="25" xfId="0" applyFont="1" applyFill="1" applyBorder="1" applyAlignment="1" applyProtection="1">
      <alignment horizontal="center"/>
      <protection hidden="1"/>
    </xf>
    <xf numFmtId="0" fontId="5" fillId="16" borderId="6" xfId="0" quotePrefix="1" applyFont="1" applyFill="1" applyBorder="1" applyAlignment="1" applyProtection="1">
      <alignment horizontal="left" vertical="top" wrapText="1"/>
      <protection hidden="1"/>
    </xf>
    <xf numFmtId="0" fontId="5" fillId="16" borderId="0" xfId="0" quotePrefix="1" applyFont="1" applyFill="1" applyAlignment="1" applyProtection="1">
      <alignment horizontal="left" vertical="top" wrapText="1"/>
      <protection hidden="1"/>
    </xf>
    <xf numFmtId="0" fontId="5" fillId="16" borderId="21" xfId="0" quotePrefix="1" applyFont="1" applyFill="1" applyBorder="1" applyAlignment="1" applyProtection="1">
      <alignment horizontal="left" vertical="top" wrapText="1"/>
      <protection hidden="1"/>
    </xf>
    <xf numFmtId="0" fontId="5" fillId="16" borderId="192" xfId="0" applyFont="1" applyFill="1" applyBorder="1" applyAlignment="1">
      <alignment horizontal="left" vertical="center" wrapText="1"/>
    </xf>
    <xf numFmtId="0" fontId="5" fillId="16" borderId="107" xfId="0" applyFont="1" applyFill="1" applyBorder="1" applyAlignment="1">
      <alignment horizontal="left" vertical="center" wrapText="1"/>
    </xf>
    <xf numFmtId="0" fontId="5" fillId="16" borderId="193" xfId="0" applyFont="1" applyFill="1" applyBorder="1" applyAlignment="1">
      <alignment horizontal="left" vertical="center" wrapText="1"/>
    </xf>
    <xf numFmtId="0" fontId="5" fillId="16" borderId="6" xfId="0" applyFont="1" applyFill="1" applyBorder="1" applyAlignment="1">
      <alignment horizontal="left" vertical="center" wrapText="1"/>
    </xf>
    <xf numFmtId="0" fontId="5" fillId="16" borderId="0" xfId="0" applyFont="1" applyFill="1" applyAlignment="1">
      <alignment horizontal="left" vertical="center" wrapText="1"/>
    </xf>
    <xf numFmtId="0" fontId="5" fillId="16" borderId="21" xfId="0" applyFont="1" applyFill="1" applyBorder="1" applyAlignment="1">
      <alignment horizontal="left" vertical="center" wrapText="1"/>
    </xf>
    <xf numFmtId="0" fontId="18" fillId="16" borderId="194" xfId="0" applyFont="1" applyFill="1" applyBorder="1" applyAlignment="1">
      <alignment horizontal="left" wrapText="1"/>
    </xf>
    <xf numFmtId="0" fontId="18" fillId="16" borderId="165" xfId="0" applyFont="1" applyFill="1" applyBorder="1" applyAlignment="1">
      <alignment horizontal="left" wrapText="1"/>
    </xf>
    <xf numFmtId="0" fontId="18" fillId="16" borderId="41" xfId="0" applyFont="1" applyFill="1" applyBorder="1" applyAlignment="1">
      <alignment horizontal="left" wrapText="1"/>
    </xf>
    <xf numFmtId="0" fontId="10" fillId="16" borderId="81" xfId="0" applyFont="1" applyFill="1" applyBorder="1" applyAlignment="1">
      <alignment horizontal="left" vertical="top" wrapText="1"/>
    </xf>
    <xf numFmtId="0" fontId="10" fillId="16" borderId="9" xfId="0" applyFont="1" applyFill="1" applyBorder="1" applyAlignment="1">
      <alignment horizontal="left" vertical="top" wrapText="1"/>
    </xf>
    <xf numFmtId="0" fontId="10" fillId="16" borderId="89" xfId="0" applyFont="1" applyFill="1" applyBorder="1" applyAlignment="1">
      <alignment horizontal="left" vertical="top" wrapText="1"/>
    </xf>
    <xf numFmtId="0" fontId="10" fillId="16" borderId="6" xfId="0" applyFont="1" applyFill="1" applyBorder="1" applyAlignment="1">
      <alignment horizontal="left" vertical="top" wrapText="1"/>
    </xf>
    <xf numFmtId="0" fontId="10" fillId="16" borderId="0" xfId="0" applyFont="1" applyFill="1" applyAlignment="1">
      <alignment horizontal="left" vertical="top" wrapText="1"/>
    </xf>
    <xf numFmtId="0" fontId="10" fillId="16" borderId="21" xfId="0" applyFont="1" applyFill="1" applyBorder="1" applyAlignment="1">
      <alignment horizontal="left" vertical="top" wrapText="1"/>
    </xf>
    <xf numFmtId="0" fontId="10" fillId="16" borderId="22" xfId="0" applyFont="1" applyFill="1" applyBorder="1" applyAlignment="1">
      <alignment horizontal="left" vertical="top" wrapText="1"/>
    </xf>
    <xf numFmtId="0" fontId="10" fillId="16" borderId="5" xfId="0" applyFont="1" applyFill="1" applyBorder="1" applyAlignment="1">
      <alignment horizontal="left" vertical="top" wrapText="1"/>
    </xf>
    <xf numFmtId="0" fontId="10" fillId="16" borderId="23" xfId="0" applyFont="1" applyFill="1" applyBorder="1" applyAlignment="1">
      <alignment horizontal="left" vertical="top" wrapText="1"/>
    </xf>
    <xf numFmtId="0" fontId="141" fillId="8" borderId="21" xfId="0" applyFont="1" applyFill="1" applyBorder="1" applyAlignment="1" applyProtection="1">
      <alignment horizontal="center" wrapText="1"/>
      <protection hidden="1"/>
    </xf>
    <xf numFmtId="0" fontId="0" fillId="2" borderId="6" xfId="0" applyFill="1" applyBorder="1" applyAlignment="1" applyProtection="1">
      <alignment horizontal="center" wrapText="1"/>
      <protection hidden="1"/>
    </xf>
    <xf numFmtId="0" fontId="5" fillId="2" borderId="22" xfId="0" applyFont="1" applyFill="1" applyBorder="1" applyAlignment="1" applyProtection="1">
      <alignment horizontal="center" vertical="center" wrapText="1"/>
      <protection hidden="1"/>
    </xf>
    <xf numFmtId="0" fontId="0" fillId="0" borderId="5" xfId="0" applyBorder="1" applyAlignment="1">
      <alignment vertical="center" wrapText="1"/>
    </xf>
    <xf numFmtId="0" fontId="0" fillId="0" borderId="5" xfId="0" applyBorder="1" applyAlignment="1">
      <alignment wrapText="1"/>
    </xf>
    <xf numFmtId="0" fontId="0" fillId="0" borderId="23" xfId="0" applyBorder="1" applyAlignment="1">
      <alignment wrapText="1"/>
    </xf>
    <xf numFmtId="0" fontId="5" fillId="16" borderId="0" xfId="0" applyFont="1" applyFill="1" applyAlignment="1">
      <alignment wrapText="1"/>
    </xf>
    <xf numFmtId="0" fontId="0" fillId="0" borderId="21" xfId="0" applyBorder="1" applyAlignment="1">
      <alignment wrapText="1"/>
    </xf>
    <xf numFmtId="0" fontId="0" fillId="16" borderId="0" xfId="0" applyFill="1" applyAlignment="1">
      <alignment wrapText="1"/>
    </xf>
    <xf numFmtId="0" fontId="0" fillId="0" borderId="25" xfId="0" applyBorder="1" applyAlignment="1">
      <alignment wrapText="1"/>
    </xf>
    <xf numFmtId="0" fontId="18" fillId="16" borderId="194" xfId="0" applyFont="1" applyFill="1" applyBorder="1" applyAlignment="1" applyProtection="1">
      <alignment horizontal="left" wrapText="1"/>
      <protection hidden="1"/>
    </xf>
    <xf numFmtId="0" fontId="53" fillId="16" borderId="165" xfId="0" applyFont="1" applyFill="1" applyBorder="1" applyAlignment="1">
      <alignment horizontal="left" wrapText="1"/>
    </xf>
    <xf numFmtId="0" fontId="53" fillId="16" borderId="165" xfId="0" applyFont="1" applyFill="1" applyBorder="1" applyAlignment="1">
      <alignment wrapText="1"/>
    </xf>
    <xf numFmtId="0" fontId="53" fillId="16" borderId="41" xfId="0" applyFont="1" applyFill="1" applyBorder="1" applyAlignment="1">
      <alignment wrapText="1"/>
    </xf>
    <xf numFmtId="0" fontId="141" fillId="8" borderId="21" xfId="0" applyFont="1" applyFill="1" applyBorder="1" applyAlignment="1" applyProtection="1">
      <alignment horizontal="center" vertical="center" wrapText="1"/>
      <protection hidden="1"/>
    </xf>
    <xf numFmtId="0" fontId="53" fillId="2" borderId="31" xfId="0" applyFont="1" applyFill="1" applyBorder="1" applyAlignment="1" applyProtection="1">
      <alignment horizontal="left" vertical="center" wrapText="1" indent="1"/>
      <protection hidden="1"/>
    </xf>
    <xf numFmtId="0" fontId="53" fillId="0" borderId="9" xfId="0" applyFont="1" applyBorder="1" applyAlignment="1">
      <alignment horizontal="left" vertical="center" wrapText="1" indent="1"/>
    </xf>
    <xf numFmtId="0" fontId="53" fillId="0" borderId="15" xfId="0" applyFont="1" applyBorder="1" applyAlignment="1">
      <alignment horizontal="left" vertical="center" wrapText="1" indent="1"/>
    </xf>
    <xf numFmtId="0" fontId="53" fillId="0" borderId="3" xfId="0" applyFont="1" applyBorder="1" applyAlignment="1">
      <alignment horizontal="left" vertical="center" wrapText="1" indent="1"/>
    </xf>
    <xf numFmtId="0" fontId="53" fillId="0" borderId="0" xfId="0" applyFont="1" applyAlignment="1">
      <alignment horizontal="left" vertical="center" wrapText="1" indent="1"/>
    </xf>
    <xf numFmtId="0" fontId="53" fillId="0" borderId="25" xfId="0" applyFont="1" applyBorder="1" applyAlignment="1">
      <alignment horizontal="left" vertical="center" wrapText="1" indent="1"/>
    </xf>
    <xf numFmtId="0" fontId="53" fillId="0" borderId="10" xfId="0" applyFont="1" applyBorder="1" applyAlignment="1">
      <alignment horizontal="left" vertical="center" wrapText="1" indent="1"/>
    </xf>
    <xf numFmtId="0" fontId="53" fillId="0" borderId="1" xfId="0" applyFont="1" applyBorder="1" applyAlignment="1">
      <alignment horizontal="left" vertical="center" wrapText="1" indent="1"/>
    </xf>
    <xf numFmtId="0" fontId="53" fillId="0" borderId="12" xfId="0" applyFont="1" applyBorder="1" applyAlignment="1">
      <alignment horizontal="left" vertical="center" wrapText="1" indent="1"/>
    </xf>
    <xf numFmtId="0" fontId="18" fillId="16" borderId="6" xfId="0" quotePrefix="1" applyFont="1" applyFill="1" applyBorder="1" applyAlignment="1">
      <alignment horizontal="right"/>
    </xf>
    <xf numFmtId="0" fontId="8" fillId="2" borderId="9" xfId="0" applyFont="1" applyFill="1" applyBorder="1" applyAlignment="1" applyProtection="1">
      <alignment horizontal="center" vertical="top" wrapText="1"/>
      <protection hidden="1"/>
    </xf>
    <xf numFmtId="0" fontId="5" fillId="0" borderId="1" xfId="0" applyFont="1" applyBorder="1" applyAlignment="1">
      <alignment horizontal="center" vertical="top" wrapText="1"/>
    </xf>
    <xf numFmtId="0" fontId="5" fillId="0" borderId="0" xfId="0" applyFont="1" applyAlignment="1">
      <alignment horizontal="center" vertical="top" wrapText="1"/>
    </xf>
    <xf numFmtId="0" fontId="3" fillId="28" borderId="1" xfId="0" applyFont="1" applyFill="1" applyBorder="1" applyAlignment="1" applyProtection="1">
      <alignment horizontal="left" vertical="center"/>
      <protection hidden="1"/>
    </xf>
    <xf numFmtId="0" fontId="5" fillId="0" borderId="1" xfId="0" applyFont="1" applyBorder="1" applyAlignment="1">
      <alignment vertical="center"/>
    </xf>
    <xf numFmtId="0" fontId="5" fillId="0" borderId="12" xfId="0" applyFont="1" applyBorder="1" applyAlignment="1">
      <alignment vertical="center"/>
    </xf>
    <xf numFmtId="0" fontId="0" fillId="16" borderId="192" xfId="0" applyFill="1" applyBorder="1" applyAlignment="1">
      <alignment horizontal="left" wrapText="1"/>
    </xf>
    <xf numFmtId="0" fontId="0" fillId="16" borderId="107" xfId="0" applyFill="1" applyBorder="1" applyAlignment="1">
      <alignment horizontal="left" wrapText="1"/>
    </xf>
    <xf numFmtId="0" fontId="0" fillId="16" borderId="193" xfId="0" applyFill="1" applyBorder="1" applyAlignment="1">
      <alignment horizontal="left" wrapText="1"/>
    </xf>
    <xf numFmtId="9" fontId="0" fillId="16" borderId="60" xfId="0" applyNumberFormat="1" applyFill="1" applyBorder="1" applyAlignment="1" applyProtection="1">
      <alignment horizontal="center"/>
      <protection locked="0"/>
    </xf>
    <xf numFmtId="0" fontId="0" fillId="16" borderId="61" xfId="0" applyFill="1" applyBorder="1" applyAlignment="1" applyProtection="1">
      <alignment horizontal="center"/>
      <protection locked="0"/>
    </xf>
    <xf numFmtId="0" fontId="129" fillId="2" borderId="3" xfId="0" applyFont="1" applyFill="1" applyBorder="1" applyAlignment="1" applyProtection="1">
      <alignment horizontal="center"/>
      <protection hidden="1"/>
    </xf>
    <xf numFmtId="0" fontId="200" fillId="2" borderId="0" xfId="0" applyFont="1" applyFill="1" applyAlignment="1" applyProtection="1">
      <alignment horizontal="center"/>
      <protection hidden="1"/>
    </xf>
    <xf numFmtId="0" fontId="102" fillId="2" borderId="0" xfId="0" applyFont="1" applyFill="1" applyAlignment="1" applyProtection="1">
      <alignment horizontal="center" vertical="center" wrapText="1"/>
      <protection hidden="1"/>
    </xf>
    <xf numFmtId="0" fontId="102" fillId="0" borderId="21" xfId="0" applyFont="1" applyBorder="1" applyAlignment="1">
      <alignment horizontal="center" vertical="center" wrapText="1"/>
    </xf>
    <xf numFmtId="0" fontId="102" fillId="0" borderId="0" xfId="0" applyFont="1" applyAlignment="1">
      <alignment horizontal="center" vertical="center" wrapText="1"/>
    </xf>
    <xf numFmtId="0" fontId="5" fillId="2" borderId="0" xfId="0" applyFont="1" applyFill="1" applyAlignment="1" applyProtection="1">
      <alignment horizontal="right" vertical="center" wrapText="1"/>
      <protection hidden="1"/>
    </xf>
    <xf numFmtId="0" fontId="0" fillId="0" borderId="0" xfId="0" applyAlignment="1">
      <alignment horizontal="right" vertical="center" wrapText="1"/>
    </xf>
    <xf numFmtId="0" fontId="197" fillId="2" borderId="0" xfId="0" applyFont="1" applyFill="1" applyAlignment="1" applyProtection="1">
      <alignment horizontal="right" vertical="center" wrapText="1"/>
      <protection hidden="1"/>
    </xf>
    <xf numFmtId="0" fontId="197" fillId="0" borderId="0" xfId="0" applyFont="1" applyAlignment="1">
      <alignment horizontal="right" vertical="center" wrapText="1"/>
    </xf>
    <xf numFmtId="0" fontId="13" fillId="2" borderId="5" xfId="0" applyFont="1" applyFill="1" applyBorder="1" applyAlignment="1" applyProtection="1">
      <alignment horizontal="center"/>
      <protection hidden="1"/>
    </xf>
    <xf numFmtId="0" fontId="53" fillId="2" borderId="31" xfId="0" applyFont="1" applyFill="1" applyBorder="1" applyAlignment="1" applyProtection="1">
      <alignment horizontal="left" vertical="center" wrapText="1"/>
      <protection hidden="1"/>
    </xf>
    <xf numFmtId="0" fontId="53" fillId="2" borderId="9" xfId="0" applyFont="1" applyFill="1" applyBorder="1" applyAlignment="1" applyProtection="1">
      <alignment horizontal="left" vertical="center" wrapText="1"/>
      <protection hidden="1"/>
    </xf>
    <xf numFmtId="0" fontId="53" fillId="2" borderId="15" xfId="0" applyFont="1" applyFill="1" applyBorder="1" applyAlignment="1" applyProtection="1">
      <alignment horizontal="left" vertical="center" wrapText="1"/>
      <protection hidden="1"/>
    </xf>
    <xf numFmtId="0" fontId="53" fillId="2" borderId="3" xfId="0" applyFont="1" applyFill="1" applyBorder="1" applyAlignment="1" applyProtection="1">
      <alignment horizontal="left" vertical="center" wrapText="1"/>
      <protection hidden="1"/>
    </xf>
    <xf numFmtId="0" fontId="53" fillId="2" borderId="0" xfId="0" applyFont="1" applyFill="1" applyAlignment="1" applyProtection="1">
      <alignment horizontal="left" vertical="center" wrapText="1"/>
      <protection hidden="1"/>
    </xf>
    <xf numFmtId="0" fontId="53" fillId="2" borderId="25" xfId="0" applyFont="1" applyFill="1" applyBorder="1" applyAlignment="1" applyProtection="1">
      <alignment horizontal="left" vertical="center" wrapText="1"/>
      <protection hidden="1"/>
    </xf>
    <xf numFmtId="0" fontId="53" fillId="2" borderId="10" xfId="0" applyFont="1" applyFill="1" applyBorder="1" applyAlignment="1" applyProtection="1">
      <alignment horizontal="left" vertical="center" wrapText="1"/>
      <protection hidden="1"/>
    </xf>
    <xf numFmtId="0" fontId="53" fillId="2" borderId="1" xfId="0" applyFont="1" applyFill="1" applyBorder="1" applyAlignment="1" applyProtection="1">
      <alignment horizontal="left" vertical="center" wrapText="1"/>
      <protection hidden="1"/>
    </xf>
    <xf numFmtId="0" fontId="53" fillId="2" borderId="12" xfId="0" applyFont="1" applyFill="1" applyBorder="1" applyAlignment="1" applyProtection="1">
      <alignment horizontal="left" vertical="center" wrapText="1"/>
      <protection hidden="1"/>
    </xf>
    <xf numFmtId="0" fontId="131" fillId="2" borderId="31" xfId="0" applyFont="1" applyFill="1" applyBorder="1" applyAlignment="1" applyProtection="1">
      <alignment horizontal="right"/>
      <protection hidden="1"/>
    </xf>
    <xf numFmtId="0" fontId="131" fillId="2" borderId="9" xfId="0" applyFont="1" applyFill="1" applyBorder="1" applyAlignment="1" applyProtection="1">
      <alignment horizontal="right"/>
      <protection hidden="1"/>
    </xf>
    <xf numFmtId="37" fontId="0" fillId="28" borderId="40" xfId="0" applyNumberFormat="1" applyFill="1" applyBorder="1" applyAlignment="1" applyProtection="1">
      <alignment vertical="center"/>
      <protection hidden="1"/>
    </xf>
    <xf numFmtId="37" fontId="0" fillId="28" borderId="26" xfId="0" applyNumberFormat="1" applyFill="1" applyBorder="1" applyAlignment="1" applyProtection="1">
      <alignment vertical="center"/>
      <protection hidden="1"/>
    </xf>
    <xf numFmtId="37" fontId="129" fillId="2" borderId="31" xfId="0" applyNumberFormat="1" applyFont="1" applyFill="1" applyBorder="1" applyProtection="1">
      <protection hidden="1"/>
    </xf>
    <xf numFmtId="0" fontId="50" fillId="16" borderId="0" xfId="0" applyFont="1" applyFill="1" applyAlignment="1">
      <alignment horizontal="center" vertical="center"/>
    </xf>
    <xf numFmtId="0" fontId="140" fillId="0" borderId="0" xfId="0" applyFont="1" applyAlignment="1">
      <alignment vertical="center"/>
    </xf>
    <xf numFmtId="0" fontId="5" fillId="2" borderId="1" xfId="0" applyFont="1" applyFill="1" applyBorder="1" applyAlignment="1" applyProtection="1">
      <alignment horizontal="center"/>
      <protection hidden="1"/>
    </xf>
    <xf numFmtId="0" fontId="5" fillId="0" borderId="1" xfId="0" applyFont="1" applyBorder="1"/>
    <xf numFmtId="0" fontId="3" fillId="16" borderId="0" xfId="0" applyFont="1" applyFill="1" applyAlignment="1">
      <alignment horizontal="center" wrapText="1"/>
    </xf>
    <xf numFmtId="0" fontId="7" fillId="2" borderId="57" xfId="0" applyFont="1" applyFill="1" applyBorder="1" applyAlignment="1" applyProtection="1">
      <alignment horizontal="left" indent="1"/>
      <protection hidden="1"/>
    </xf>
    <xf numFmtId="0" fontId="7" fillId="2" borderId="8" xfId="0" applyFont="1" applyFill="1" applyBorder="1" applyAlignment="1" applyProtection="1">
      <alignment horizontal="left" indent="1"/>
      <protection hidden="1"/>
    </xf>
    <xf numFmtId="0" fontId="50" fillId="16" borderId="8" xfId="0" applyFont="1" applyFill="1" applyBorder="1" applyAlignment="1">
      <alignment horizontal="center" wrapText="1"/>
    </xf>
    <xf numFmtId="0" fontId="23" fillId="16" borderId="0" xfId="0" applyFont="1" applyFill="1" applyAlignment="1">
      <alignment horizontal="center" vertical="center" wrapText="1"/>
    </xf>
    <xf numFmtId="0" fontId="18" fillId="16" borderId="0" xfId="0" applyFont="1" applyFill="1" applyAlignment="1">
      <alignment horizontal="center" vertical="center" wrapText="1"/>
    </xf>
    <xf numFmtId="0" fontId="18" fillId="16" borderId="5" xfId="0" applyFont="1" applyFill="1" applyBorder="1" applyAlignment="1">
      <alignment horizontal="center" vertical="center" wrapText="1"/>
    </xf>
    <xf numFmtId="0" fontId="23" fillId="2" borderId="6" xfId="0" applyFont="1" applyFill="1" applyBorder="1" applyAlignment="1" applyProtection="1">
      <alignment horizontal="center" vertical="center" wrapText="1"/>
      <protection hidden="1"/>
    </xf>
    <xf numFmtId="0" fontId="23" fillId="2" borderId="0" xfId="0" applyFont="1" applyFill="1" applyAlignment="1" applyProtection="1">
      <alignment horizontal="center" vertical="center" wrapText="1"/>
      <protection hidden="1"/>
    </xf>
    <xf numFmtId="0" fontId="23" fillId="2" borderId="21" xfId="0" applyFont="1" applyFill="1" applyBorder="1" applyAlignment="1" applyProtection="1">
      <alignment horizontal="center" vertical="center" wrapText="1"/>
      <protection hidden="1"/>
    </xf>
    <xf numFmtId="0" fontId="13" fillId="2" borderId="0" xfId="0" applyFont="1" applyFill="1" applyAlignment="1" applyProtection="1">
      <alignment horizontal="center"/>
      <protection hidden="1"/>
    </xf>
    <xf numFmtId="37" fontId="12" fillId="17" borderId="24" xfId="0" applyNumberFormat="1" applyFont="1" applyFill="1" applyBorder="1" applyAlignment="1" applyProtection="1">
      <alignment horizontal="right" vertical="center" wrapText="1" indent="1"/>
      <protection locked="0"/>
    </xf>
    <xf numFmtId="37" fontId="12" fillId="17" borderId="8" xfId="0" applyNumberFormat="1" applyFont="1" applyFill="1" applyBorder="1" applyAlignment="1" applyProtection="1">
      <alignment horizontal="right" vertical="center" wrapText="1" indent="1"/>
      <protection locked="0"/>
    </xf>
    <xf numFmtId="37" fontId="12" fillId="17" borderId="20" xfId="0" applyNumberFormat="1" applyFont="1" applyFill="1" applyBorder="1" applyAlignment="1" applyProtection="1">
      <alignment horizontal="right" vertical="center" wrapText="1" indent="1"/>
      <protection locked="0"/>
    </xf>
    <xf numFmtId="37" fontId="12" fillId="17" borderId="22" xfId="0" applyNumberFormat="1" applyFont="1" applyFill="1" applyBorder="1" applyAlignment="1" applyProtection="1">
      <alignment horizontal="right" vertical="center" wrapText="1" indent="1"/>
      <protection locked="0"/>
    </xf>
    <xf numFmtId="37" fontId="12" fillId="17" borderId="5" xfId="0" applyNumberFormat="1" applyFont="1" applyFill="1" applyBorder="1" applyAlignment="1" applyProtection="1">
      <alignment horizontal="right" vertical="center" wrapText="1" indent="1"/>
      <protection locked="0"/>
    </xf>
    <xf numFmtId="37" fontId="12" fillId="17" borderId="23" xfId="0" applyNumberFormat="1" applyFont="1" applyFill="1" applyBorder="1" applyAlignment="1" applyProtection="1">
      <alignment horizontal="right" vertical="center" wrapText="1" indent="1"/>
      <protection locked="0"/>
    </xf>
    <xf numFmtId="0" fontId="18" fillId="16" borderId="0" xfId="0" applyFont="1" applyFill="1" applyAlignment="1">
      <alignment horizontal="center" wrapText="1"/>
    </xf>
    <xf numFmtId="3" fontId="131" fillId="16" borderId="6" xfId="0" applyNumberFormat="1" applyFont="1" applyFill="1" applyBorder="1" applyAlignment="1">
      <alignment horizontal="center" wrapText="1"/>
    </xf>
    <xf numFmtId="3" fontId="131" fillId="16" borderId="0" xfId="0" applyNumberFormat="1" applyFont="1" applyFill="1" applyAlignment="1">
      <alignment horizontal="center" wrapText="1"/>
    </xf>
    <xf numFmtId="3" fontId="131" fillId="16" borderId="6" xfId="0" applyNumberFormat="1" applyFont="1" applyFill="1" applyBorder="1" applyAlignment="1">
      <alignment horizontal="center" vertical="center" wrapText="1"/>
    </xf>
    <xf numFmtId="3" fontId="131" fillId="16" borderId="0" xfId="0" applyNumberFormat="1" applyFont="1" applyFill="1" applyAlignment="1">
      <alignment horizontal="center" vertical="center" wrapText="1"/>
    </xf>
    <xf numFmtId="37" fontId="18" fillId="17" borderId="24" xfId="0" applyNumberFormat="1" applyFont="1" applyFill="1" applyBorder="1" applyAlignment="1" applyProtection="1">
      <alignment horizontal="right" vertical="center" wrapText="1" indent="1"/>
      <protection locked="0"/>
    </xf>
    <xf numFmtId="37" fontId="18" fillId="17" borderId="8" xfId="0" applyNumberFormat="1" applyFont="1" applyFill="1" applyBorder="1" applyAlignment="1" applyProtection="1">
      <alignment horizontal="right" vertical="center" wrapText="1" indent="1"/>
      <protection locked="0"/>
    </xf>
    <xf numFmtId="37" fontId="18" fillId="17" borderId="20" xfId="0" applyNumberFormat="1" applyFont="1" applyFill="1" applyBorder="1" applyAlignment="1" applyProtection="1">
      <alignment horizontal="right" vertical="center" wrapText="1" indent="1"/>
      <protection locked="0"/>
    </xf>
    <xf numFmtId="37" fontId="18" fillId="17" borderId="22" xfId="0" applyNumberFormat="1" applyFont="1" applyFill="1" applyBorder="1" applyAlignment="1" applyProtection="1">
      <alignment horizontal="right" vertical="center" wrapText="1" indent="1"/>
      <protection locked="0"/>
    </xf>
    <xf numFmtId="37" fontId="18" fillId="17" borderId="5" xfId="0" applyNumberFormat="1" applyFont="1" applyFill="1" applyBorder="1" applyAlignment="1" applyProtection="1">
      <alignment horizontal="right" vertical="center" wrapText="1" indent="1"/>
      <protection locked="0"/>
    </xf>
    <xf numFmtId="37" fontId="18" fillId="17" borderId="23" xfId="0" applyNumberFormat="1" applyFont="1" applyFill="1" applyBorder="1" applyAlignment="1" applyProtection="1">
      <alignment horizontal="right" vertical="center" wrapText="1" indent="1"/>
      <protection locked="0"/>
    </xf>
    <xf numFmtId="0" fontId="18" fillId="0" borderId="194" xfId="0" applyFont="1" applyBorder="1" applyAlignment="1">
      <alignment horizontal="left" vertical="center" wrapText="1"/>
    </xf>
    <xf numFmtId="0" fontId="18" fillId="0" borderId="165" xfId="0" applyFont="1" applyBorder="1" applyAlignment="1">
      <alignment horizontal="left" vertical="center" wrapText="1"/>
    </xf>
    <xf numFmtId="0" fontId="18" fillId="0" borderId="41" xfId="0" applyFont="1" applyBorder="1" applyAlignment="1">
      <alignment horizontal="left" vertical="center" wrapText="1"/>
    </xf>
    <xf numFmtId="0" fontId="7" fillId="0" borderId="192" xfId="0" applyFont="1" applyBorder="1" applyAlignment="1">
      <alignment horizontal="left" vertical="top" wrapText="1"/>
    </xf>
    <xf numFmtId="0" fontId="7" fillId="0" borderId="107" xfId="0" applyFont="1" applyBorder="1" applyAlignment="1">
      <alignment horizontal="left" vertical="top" wrapText="1"/>
    </xf>
    <xf numFmtId="0" fontId="7" fillId="0" borderId="6" xfId="0" applyFont="1" applyBorder="1" applyAlignment="1">
      <alignment horizontal="left" vertical="top" wrapText="1"/>
    </xf>
    <xf numFmtId="0" fontId="7" fillId="0" borderId="0" xfId="0" applyFont="1" applyAlignment="1">
      <alignment horizontal="left" vertical="top" wrapText="1"/>
    </xf>
    <xf numFmtId="0" fontId="7" fillId="0" borderId="193" xfId="0" applyFont="1" applyBorder="1" applyAlignment="1">
      <alignment horizontal="left" vertical="top" wrapText="1"/>
    </xf>
    <xf numFmtId="0" fontId="7" fillId="0" borderId="21" xfId="0" applyFont="1" applyBorder="1" applyAlignment="1">
      <alignment horizontal="left" vertical="top" wrapText="1"/>
    </xf>
    <xf numFmtId="0" fontId="5" fillId="0" borderId="6" xfId="0" applyFont="1" applyBorder="1" applyAlignment="1">
      <alignment horizontal="left" vertical="center" wrapText="1"/>
    </xf>
    <xf numFmtId="0" fontId="5" fillId="0" borderId="0" xfId="0" applyFont="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5" xfId="0" applyFont="1" applyBorder="1" applyAlignment="1">
      <alignment horizontal="left" vertical="center" wrapText="1"/>
    </xf>
    <xf numFmtId="0" fontId="5" fillId="0" borderId="23" xfId="0" applyFont="1" applyBorder="1" applyAlignment="1">
      <alignment horizontal="left" vertical="center" wrapText="1"/>
    </xf>
    <xf numFmtId="0" fontId="5" fillId="16" borderId="0" xfId="0" applyFont="1" applyFill="1" applyAlignment="1">
      <alignment vertical="top" wrapText="1"/>
    </xf>
    <xf numFmtId="0" fontId="0" fillId="0" borderId="0" xfId="0" applyAlignment="1">
      <alignment vertical="top" wrapText="1"/>
    </xf>
    <xf numFmtId="0" fontId="0" fillId="0" borderId="21" xfId="0" applyBorder="1" applyAlignment="1">
      <alignment vertical="top" wrapText="1"/>
    </xf>
    <xf numFmtId="0" fontId="0" fillId="0" borderId="1" xfId="0" applyBorder="1" applyAlignment="1">
      <alignment vertical="top" wrapText="1"/>
    </xf>
    <xf numFmtId="0" fontId="0" fillId="0" borderId="30" xfId="0" applyBorder="1" applyAlignment="1">
      <alignment vertical="top" wrapText="1"/>
    </xf>
    <xf numFmtId="0" fontId="3" fillId="0" borderId="81" xfId="0" applyFont="1" applyBorder="1" applyAlignment="1">
      <alignment horizontal="left" vertical="center" wrapText="1"/>
    </xf>
    <xf numFmtId="0" fontId="3" fillId="0" borderId="9" xfId="0" applyFont="1" applyBorder="1" applyAlignment="1">
      <alignment horizontal="left" vertical="center" wrapText="1"/>
    </xf>
    <xf numFmtId="0" fontId="0" fillId="0" borderId="9" xfId="0" applyBorder="1" applyAlignment="1">
      <alignment vertical="center" wrapText="1"/>
    </xf>
    <xf numFmtId="0" fontId="0" fillId="0" borderId="89" xfId="0" applyBorder="1" applyAlignment="1">
      <alignment vertical="center" wrapText="1"/>
    </xf>
    <xf numFmtId="0" fontId="3" fillId="0" borderId="190" xfId="0" applyFont="1" applyBorder="1" applyAlignment="1">
      <alignment horizontal="left" vertical="center" wrapText="1"/>
    </xf>
    <xf numFmtId="0" fontId="3" fillId="0" borderId="88" xfId="0" applyFont="1" applyBorder="1" applyAlignment="1">
      <alignment horizontal="left" vertical="center" wrapText="1"/>
    </xf>
    <xf numFmtId="0" fontId="0" fillId="0" borderId="88" xfId="0" applyBorder="1" applyAlignment="1">
      <alignment vertical="center" wrapText="1"/>
    </xf>
    <xf numFmtId="0" fontId="0" fillId="0" borderId="191" xfId="0" applyBorder="1" applyAlignment="1">
      <alignment vertical="center" wrapText="1"/>
    </xf>
    <xf numFmtId="0" fontId="5" fillId="16" borderId="6" xfId="0" applyFont="1" applyFill="1" applyBorder="1" applyAlignment="1">
      <alignment horizontal="left" vertical="top" wrapText="1"/>
    </xf>
    <xf numFmtId="0" fontId="0" fillId="0" borderId="27" xfId="0" applyBorder="1" applyAlignment="1">
      <alignment horizontal="left" wrapText="1"/>
    </xf>
    <xf numFmtId="37" fontId="12" fillId="17" borderId="60" xfId="0" applyNumberFormat="1" applyFont="1" applyFill="1" applyBorder="1" applyAlignment="1" applyProtection="1">
      <alignment horizontal="right" vertical="center" wrapText="1" indent="1"/>
      <protection locked="0"/>
    </xf>
    <xf numFmtId="37" fontId="12" fillId="17" borderId="75" xfId="0" applyNumberFormat="1" applyFont="1" applyFill="1" applyBorder="1" applyAlignment="1" applyProtection="1">
      <alignment horizontal="right" vertical="center" wrapText="1" indent="1"/>
      <protection locked="0"/>
    </xf>
    <xf numFmtId="37" fontId="12" fillId="17" borderId="61" xfId="0" applyNumberFormat="1" applyFont="1" applyFill="1" applyBorder="1" applyAlignment="1" applyProtection="1">
      <alignment horizontal="right" vertical="center" wrapText="1" indent="1"/>
      <protection locked="0"/>
    </xf>
    <xf numFmtId="166" fontId="6" fillId="28" borderId="10" xfId="0" applyNumberFormat="1" applyFont="1" applyFill="1" applyBorder="1" applyAlignment="1" applyProtection="1">
      <alignment horizontal="center" vertical="center"/>
      <protection hidden="1"/>
    </xf>
    <xf numFmtId="166" fontId="6" fillId="28" borderId="1" xfId="0" applyNumberFormat="1" applyFont="1" applyFill="1" applyBorder="1" applyAlignment="1" applyProtection="1">
      <alignment horizontal="center" vertical="center"/>
      <protection hidden="1"/>
    </xf>
    <xf numFmtId="0" fontId="50" fillId="2" borderId="9" xfId="0" applyFont="1" applyFill="1" applyBorder="1" applyAlignment="1" applyProtection="1">
      <alignment horizontal="center" vertical="center"/>
      <protection hidden="1"/>
    </xf>
    <xf numFmtId="0" fontId="5" fillId="2" borderId="31" xfId="0" applyFont="1" applyFill="1" applyBorder="1" applyAlignment="1" applyProtection="1">
      <alignment horizontal="left" vertical="center"/>
      <protection hidden="1"/>
    </xf>
    <xf numFmtId="0" fontId="5" fillId="2" borderId="9" xfId="0" applyFont="1" applyFill="1" applyBorder="1" applyAlignment="1" applyProtection="1">
      <alignment horizontal="left" vertical="center"/>
      <protection hidden="1"/>
    </xf>
    <xf numFmtId="0" fontId="5" fillId="2" borderId="15" xfId="0" applyFont="1" applyFill="1" applyBorder="1" applyAlignment="1" applyProtection="1">
      <alignment horizontal="left" vertical="center"/>
      <protection hidden="1"/>
    </xf>
    <xf numFmtId="0" fontId="5" fillId="2" borderId="10" xfId="0" applyFont="1" applyFill="1" applyBorder="1" applyAlignment="1" applyProtection="1">
      <alignment horizontal="left" vertical="center"/>
      <protection hidden="1"/>
    </xf>
    <xf numFmtId="0" fontId="5" fillId="2" borderId="1" xfId="0" applyFont="1" applyFill="1" applyBorder="1" applyAlignment="1" applyProtection="1">
      <alignment horizontal="left" vertical="center"/>
      <protection hidden="1"/>
    </xf>
    <xf numFmtId="0" fontId="5" fillId="2" borderId="12" xfId="0" applyFont="1" applyFill="1" applyBorder="1" applyAlignment="1" applyProtection="1">
      <alignment horizontal="left" vertical="center"/>
      <protection hidden="1"/>
    </xf>
    <xf numFmtId="37" fontId="5" fillId="28" borderId="10" xfId="0" applyNumberFormat="1" applyFont="1" applyFill="1" applyBorder="1" applyAlignment="1" applyProtection="1">
      <alignment horizontal="right" vertical="center"/>
      <protection hidden="1"/>
    </xf>
    <xf numFmtId="37" fontId="5" fillId="28" borderId="1" xfId="0" applyNumberFormat="1" applyFont="1" applyFill="1" applyBorder="1" applyAlignment="1" applyProtection="1">
      <alignment horizontal="right" vertical="center"/>
      <protection hidden="1"/>
    </xf>
    <xf numFmtId="0" fontId="10" fillId="2" borderId="0" xfId="0" applyFont="1" applyFill="1" applyAlignment="1" applyProtection="1">
      <alignment horizontal="center" vertical="center"/>
      <protection hidden="1"/>
    </xf>
    <xf numFmtId="0" fontId="10" fillId="0" borderId="0" xfId="0" applyFont="1" applyAlignment="1">
      <alignment horizontal="center" vertical="center"/>
    </xf>
    <xf numFmtId="0" fontId="5" fillId="0" borderId="9" xfId="0" applyFont="1" applyBorder="1" applyAlignment="1">
      <alignment horizontal="left" vertical="center" wrapText="1"/>
    </xf>
    <xf numFmtId="0" fontId="5" fillId="0" borderId="15" xfId="0" applyFont="1" applyBorder="1" applyAlignment="1">
      <alignment horizontal="left" vertical="center" wrapText="1"/>
    </xf>
    <xf numFmtId="0" fontId="5" fillId="0" borderId="10" xfId="0" applyFont="1" applyBorder="1" applyAlignment="1">
      <alignment horizontal="left" vertical="center" wrapText="1"/>
    </xf>
    <xf numFmtId="0" fontId="5" fillId="0" borderId="1" xfId="0" applyFont="1" applyBorder="1" applyAlignment="1">
      <alignment horizontal="left" vertical="center" wrapText="1"/>
    </xf>
    <xf numFmtId="0" fontId="5" fillId="0" borderId="12" xfId="0" applyFont="1" applyBorder="1" applyAlignment="1">
      <alignment horizontal="left" vertical="center" wrapText="1"/>
    </xf>
    <xf numFmtId="0" fontId="23" fillId="16" borderId="0" xfId="0" applyFont="1" applyFill="1" applyAlignment="1">
      <alignment horizontal="center"/>
    </xf>
    <xf numFmtId="0" fontId="129" fillId="16" borderId="5" xfId="0" applyFont="1" applyFill="1" applyBorder="1" applyAlignment="1">
      <alignment wrapText="1"/>
    </xf>
    <xf numFmtId="0" fontId="129" fillId="0" borderId="5" xfId="0" applyFont="1" applyBorder="1" applyAlignment="1">
      <alignment wrapText="1"/>
    </xf>
    <xf numFmtId="0" fontId="0" fillId="0" borderId="1" xfId="0" applyBorder="1" applyAlignment="1">
      <alignment vertical="center"/>
    </xf>
    <xf numFmtId="0" fontId="0" fillId="2" borderId="31" xfId="0" applyFill="1" applyBorder="1" applyProtection="1">
      <protection hidden="1"/>
    </xf>
    <xf numFmtId="181" fontId="195" fillId="16" borderId="40" xfId="0" applyNumberFormat="1" applyFont="1" applyFill="1" applyBorder="1" applyAlignment="1" applyProtection="1">
      <alignment horizontal="center" wrapText="1"/>
      <protection locked="0"/>
    </xf>
    <xf numFmtId="181" fontId="195" fillId="16" borderId="55" xfId="0" applyNumberFormat="1" applyFont="1" applyFill="1" applyBorder="1" applyAlignment="1" applyProtection="1">
      <alignment horizontal="center" wrapText="1"/>
      <protection locked="0"/>
    </xf>
    <xf numFmtId="3" fontId="5" fillId="17" borderId="10" xfId="0" applyNumberFormat="1" applyFont="1" applyFill="1" applyBorder="1" applyAlignment="1" applyProtection="1">
      <alignment wrapText="1"/>
      <protection locked="0"/>
    </xf>
    <xf numFmtId="3" fontId="5" fillId="17" borderId="12" xfId="0" applyNumberFormat="1" applyFont="1" applyFill="1" applyBorder="1" applyAlignment="1" applyProtection="1">
      <alignment wrapText="1"/>
      <protection locked="0"/>
    </xf>
    <xf numFmtId="3" fontId="0" fillId="28" borderId="159" xfId="0" applyNumberFormat="1" applyFill="1" applyBorder="1" applyAlignment="1" applyProtection="1">
      <alignment horizontal="right" vertical="center"/>
      <protection hidden="1"/>
    </xf>
    <xf numFmtId="3" fontId="0" fillId="28" borderId="125" xfId="0" applyNumberFormat="1" applyFill="1" applyBorder="1" applyAlignment="1" applyProtection="1">
      <alignment horizontal="right" vertical="center"/>
      <protection hidden="1"/>
    </xf>
    <xf numFmtId="0" fontId="0" fillId="0" borderId="9" xfId="0" applyBorder="1" applyAlignment="1">
      <alignment horizontal="center" wrapText="1"/>
    </xf>
    <xf numFmtId="3" fontId="5" fillId="28" borderId="3" xfId="0" applyNumberFormat="1" applyFont="1" applyFill="1" applyBorder="1" applyAlignment="1" applyProtection="1">
      <alignment wrapText="1"/>
      <protection hidden="1"/>
    </xf>
    <xf numFmtId="3" fontId="5" fillId="28" borderId="25" xfId="0" applyNumberFormat="1" applyFont="1" applyFill="1" applyBorder="1" applyAlignment="1" applyProtection="1">
      <alignment wrapText="1"/>
      <protection hidden="1"/>
    </xf>
    <xf numFmtId="0" fontId="5" fillId="2" borderId="15" xfId="0" applyFont="1" applyFill="1" applyBorder="1" applyAlignment="1" applyProtection="1">
      <alignment horizontal="center" wrapText="1"/>
      <protection hidden="1"/>
    </xf>
    <xf numFmtId="3" fontId="5" fillId="2" borderId="3" xfId="0" applyNumberFormat="1" applyFont="1" applyFill="1" applyBorder="1" applyAlignment="1" applyProtection="1">
      <alignment horizontal="center" vertical="center"/>
      <protection locked="0"/>
    </xf>
    <xf numFmtId="3" fontId="5" fillId="2" borderId="0" xfId="0" applyNumberFormat="1" applyFont="1" applyFill="1" applyAlignment="1" applyProtection="1">
      <alignment horizontal="center" vertical="center"/>
      <protection locked="0"/>
    </xf>
    <xf numFmtId="188" fontId="5" fillId="2" borderId="10" xfId="0" applyNumberFormat="1" applyFont="1" applyFill="1" applyBorder="1" applyAlignment="1" applyProtection="1">
      <alignment horizontal="center" wrapText="1"/>
      <protection hidden="1"/>
    </xf>
    <xf numFmtId="188" fontId="0" fillId="0" borderId="12" xfId="0" applyNumberFormat="1" applyBorder="1" applyAlignment="1">
      <alignment horizontal="center" wrapText="1"/>
    </xf>
    <xf numFmtId="3" fontId="5" fillId="28" borderId="3" xfId="0" applyNumberFormat="1" applyFont="1" applyFill="1" applyBorder="1" applyAlignment="1" applyProtection="1">
      <alignment vertical="center" wrapText="1"/>
      <protection hidden="1"/>
    </xf>
    <xf numFmtId="3" fontId="5" fillId="28" borderId="0" xfId="0" applyNumberFormat="1" applyFont="1" applyFill="1" applyAlignment="1" applyProtection="1">
      <alignment vertical="center" wrapText="1"/>
      <protection hidden="1"/>
    </xf>
    <xf numFmtId="188" fontId="0" fillId="0" borderId="1" xfId="0" applyNumberFormat="1" applyBorder="1" applyAlignment="1">
      <alignment horizontal="center" wrapText="1"/>
    </xf>
    <xf numFmtId="185" fontId="207" fillId="0" borderId="9" xfId="0" applyNumberFormat="1" applyFont="1" applyBorder="1" applyAlignment="1">
      <alignment horizontal="center"/>
    </xf>
    <xf numFmtId="3" fontId="5" fillId="28" borderId="25" xfId="0" applyNumberFormat="1" applyFont="1" applyFill="1" applyBorder="1" applyAlignment="1" applyProtection="1">
      <alignment vertical="center" wrapText="1"/>
      <protection hidden="1"/>
    </xf>
    <xf numFmtId="0" fontId="75" fillId="0" borderId="63" xfId="2" applyBorder="1" applyAlignment="1" applyProtection="1">
      <alignment horizontal="center" wrapText="1"/>
    </xf>
    <xf numFmtId="0" fontId="75" fillId="0" borderId="64" xfId="2" applyBorder="1" applyAlignment="1" applyProtection="1">
      <alignment horizontal="center" wrapText="1"/>
    </xf>
    <xf numFmtId="0" fontId="75" fillId="0" borderId="63" xfId="2" applyBorder="1" applyAlignment="1" applyProtection="1">
      <alignment horizontal="center" vertical="center" wrapText="1"/>
    </xf>
    <xf numFmtId="0" fontId="75" fillId="0" borderId="64" xfId="2" applyBorder="1" applyAlignment="1" applyProtection="1">
      <alignment horizontal="center" vertical="center" wrapText="1"/>
    </xf>
    <xf numFmtId="0" fontId="7" fillId="16" borderId="0" xfId="0" applyFont="1" applyFill="1" applyAlignment="1" applyProtection="1">
      <alignment horizontal="left" vertical="center" wrapText="1"/>
      <protection hidden="1"/>
    </xf>
    <xf numFmtId="0" fontId="7" fillId="0" borderId="0" xfId="0" applyFont="1" applyAlignment="1">
      <alignment horizontal="left" vertical="center" wrapText="1"/>
    </xf>
    <xf numFmtId="0" fontId="7" fillId="0" borderId="25" xfId="0" applyFont="1" applyBorder="1" applyAlignment="1">
      <alignment horizontal="left" vertical="center" wrapText="1"/>
    </xf>
    <xf numFmtId="14" fontId="5" fillId="8" borderId="40" xfId="0" applyNumberFormat="1" applyFont="1" applyFill="1" applyBorder="1" applyAlignment="1" applyProtection="1">
      <alignment horizontal="center" vertical="center" wrapText="1"/>
      <protection hidden="1"/>
    </xf>
    <xf numFmtId="0" fontId="5" fillId="8" borderId="55" xfId="0" applyFont="1" applyFill="1" applyBorder="1" applyAlignment="1" applyProtection="1">
      <alignment horizontal="center" vertical="center" wrapText="1"/>
      <protection hidden="1"/>
    </xf>
    <xf numFmtId="0" fontId="7" fillId="0" borderId="9" xfId="0" applyFont="1" applyBorder="1" applyAlignment="1">
      <alignment horizontal="left" vertical="center" wrapText="1"/>
    </xf>
    <xf numFmtId="0" fontId="7" fillId="0" borderId="15" xfId="0" applyFont="1" applyBorder="1" applyAlignment="1">
      <alignment horizontal="left" vertical="center" wrapText="1"/>
    </xf>
    <xf numFmtId="0" fontId="7" fillId="0" borderId="1" xfId="0" applyFont="1" applyBorder="1" applyAlignment="1">
      <alignment horizontal="left" vertical="center" wrapText="1"/>
    </xf>
    <xf numFmtId="0" fontId="7" fillId="0" borderId="12" xfId="0" applyFont="1" applyBorder="1" applyAlignment="1">
      <alignment horizontal="left" vertical="center" wrapText="1"/>
    </xf>
    <xf numFmtId="188" fontId="5" fillId="2" borderId="40" xfId="0" applyNumberFormat="1" applyFont="1" applyFill="1" applyBorder="1" applyAlignment="1" applyProtection="1">
      <alignment horizontal="center" vertical="center" wrapText="1"/>
      <protection hidden="1"/>
    </xf>
    <xf numFmtId="188" fontId="5" fillId="2" borderId="55" xfId="0" applyNumberFormat="1" applyFont="1" applyFill="1" applyBorder="1" applyAlignment="1" applyProtection="1">
      <alignment horizontal="center" vertical="center" wrapText="1"/>
      <protection hidden="1"/>
    </xf>
    <xf numFmtId="0" fontId="10" fillId="2" borderId="31" xfId="0" applyFont="1" applyFill="1" applyBorder="1" applyAlignment="1" applyProtection="1">
      <alignment horizontal="left" vertical="center" wrapText="1"/>
      <protection hidden="1"/>
    </xf>
    <xf numFmtId="0" fontId="0" fillId="0" borderId="15" xfId="0" applyBorder="1" applyAlignment="1">
      <alignment horizontal="left" vertical="center" wrapText="1"/>
    </xf>
    <xf numFmtId="189" fontId="3" fillId="2" borderId="10" xfId="0" applyNumberFormat="1" applyFont="1" applyFill="1" applyBorder="1" applyAlignment="1" applyProtection="1">
      <alignment horizontal="center" vertical="center" wrapText="1"/>
      <protection hidden="1"/>
    </xf>
    <xf numFmtId="189" fontId="3" fillId="2" borderId="12" xfId="0" applyNumberFormat="1" applyFont="1" applyFill="1" applyBorder="1" applyAlignment="1" applyProtection="1">
      <alignment horizontal="center" vertical="center" wrapText="1"/>
      <protection hidden="1"/>
    </xf>
    <xf numFmtId="188" fontId="135" fillId="16" borderId="0" xfId="0" applyNumberFormat="1" applyFont="1" applyFill="1" applyAlignment="1" applyProtection="1">
      <alignment horizontal="center" vertical="center" wrapText="1"/>
      <protection hidden="1"/>
    </xf>
    <xf numFmtId="188" fontId="135" fillId="0" borderId="0" xfId="0" applyNumberFormat="1" applyFont="1" applyAlignment="1">
      <alignment horizontal="center" vertical="center" wrapText="1"/>
    </xf>
    <xf numFmtId="188" fontId="135" fillId="0" borderId="25" xfId="0" applyNumberFormat="1" applyFont="1" applyBorder="1" applyAlignment="1">
      <alignment horizontal="center" vertical="center" wrapText="1"/>
    </xf>
    <xf numFmtId="3" fontId="10" fillId="16" borderId="10" xfId="0" applyNumberFormat="1" applyFont="1" applyFill="1" applyBorder="1" applyAlignment="1" applyProtection="1">
      <alignment horizontal="center"/>
      <protection locked="0"/>
    </xf>
    <xf numFmtId="0" fontId="10" fillId="16" borderId="12" xfId="0" applyFont="1" applyFill="1" applyBorder="1" applyAlignment="1">
      <alignment horizontal="center"/>
    </xf>
    <xf numFmtId="181" fontId="195" fillId="16" borderId="10" xfId="0" applyNumberFormat="1" applyFont="1" applyFill="1" applyBorder="1" applyAlignment="1" applyProtection="1">
      <alignment horizontal="center" wrapText="1"/>
      <protection locked="0"/>
    </xf>
    <xf numFmtId="181" fontId="195" fillId="16" borderId="12" xfId="0" applyNumberFormat="1" applyFont="1" applyFill="1" applyBorder="1" applyAlignment="1" applyProtection="1">
      <alignment horizontal="center" wrapText="1"/>
      <protection locked="0"/>
    </xf>
    <xf numFmtId="0" fontId="0" fillId="28" borderId="55" xfId="0" applyFill="1" applyBorder="1" applyAlignment="1" applyProtection="1">
      <alignment wrapText="1"/>
      <protection hidden="1"/>
    </xf>
    <xf numFmtId="188" fontId="129" fillId="2" borderId="28" xfId="0" applyNumberFormat="1" applyFont="1" applyFill="1" applyBorder="1" applyAlignment="1" applyProtection="1">
      <alignment horizontal="center" vertical="center"/>
      <protection hidden="1"/>
    </xf>
    <xf numFmtId="188" fontId="129" fillId="0" borderId="28" xfId="0" applyNumberFormat="1" applyFont="1" applyBorder="1" applyAlignment="1">
      <alignment horizontal="center" vertical="center"/>
    </xf>
    <xf numFmtId="3" fontId="129" fillId="2" borderId="31" xfId="0" applyNumberFormat="1" applyFont="1" applyFill="1" applyBorder="1" applyProtection="1">
      <protection hidden="1"/>
    </xf>
    <xf numFmtId="3" fontId="129" fillId="0" borderId="15" xfId="0" applyNumberFormat="1" applyFont="1" applyBorder="1"/>
    <xf numFmtId="0" fontId="135" fillId="16" borderId="0" xfId="0" applyFont="1" applyFill="1" applyProtection="1">
      <protection hidden="1"/>
    </xf>
    <xf numFmtId="0" fontId="135" fillId="16" borderId="0" xfId="0" applyFont="1" applyFill="1"/>
    <xf numFmtId="0" fontId="135" fillId="16" borderId="25" xfId="0" applyFont="1" applyFill="1" applyBorder="1"/>
    <xf numFmtId="0" fontId="12" fillId="16" borderId="9" xfId="0" applyFont="1" applyFill="1" applyBorder="1" applyAlignment="1" applyProtection="1">
      <alignment horizontal="left" vertical="center" wrapText="1"/>
      <protection hidden="1"/>
    </xf>
    <xf numFmtId="0" fontId="16" fillId="0" borderId="9" xfId="0" applyFont="1" applyBorder="1" applyAlignment="1">
      <alignment horizontal="left" vertical="center" wrapText="1"/>
    </xf>
    <xf numFmtId="0" fontId="16" fillId="0" borderId="15" xfId="0" applyFont="1" applyBorder="1" applyAlignment="1">
      <alignment horizontal="left" vertical="center" wrapText="1"/>
    </xf>
    <xf numFmtId="0" fontId="16" fillId="0" borderId="0" xfId="0" applyFont="1" applyAlignment="1">
      <alignment horizontal="left" vertical="center" wrapText="1"/>
    </xf>
    <xf numFmtId="0" fontId="16" fillId="0" borderId="25" xfId="0" applyFont="1" applyBorder="1" applyAlignment="1">
      <alignment horizontal="left" vertical="center" wrapText="1"/>
    </xf>
    <xf numFmtId="0" fontId="16" fillId="0" borderId="1" xfId="0" applyFont="1" applyBorder="1" applyAlignment="1">
      <alignment horizontal="left" vertical="center" wrapText="1"/>
    </xf>
    <xf numFmtId="0" fontId="16" fillId="0" borderId="12" xfId="0" applyFont="1" applyBorder="1" applyAlignment="1">
      <alignment horizontal="left" vertical="center" wrapText="1"/>
    </xf>
    <xf numFmtId="3" fontId="5" fillId="16" borderId="31" xfId="0" applyNumberFormat="1" applyFont="1" applyFill="1" applyBorder="1" applyAlignment="1" applyProtection="1">
      <alignment wrapText="1"/>
      <protection locked="0"/>
    </xf>
    <xf numFmtId="0" fontId="0" fillId="16" borderId="15" xfId="0" applyFill="1" applyBorder="1" applyAlignment="1" applyProtection="1">
      <alignment wrapText="1"/>
      <protection locked="0"/>
    </xf>
    <xf numFmtId="3" fontId="10" fillId="16" borderId="70" xfId="0" applyNumberFormat="1" applyFont="1" applyFill="1" applyBorder="1" applyAlignment="1" applyProtection="1">
      <alignment horizontal="center"/>
      <protection locked="0"/>
    </xf>
    <xf numFmtId="0" fontId="10" fillId="16" borderId="5" xfId="0" applyFont="1" applyFill="1" applyBorder="1" applyAlignment="1">
      <alignment horizontal="center"/>
    </xf>
    <xf numFmtId="3" fontId="5" fillId="28" borderId="26" xfId="0" applyNumberFormat="1" applyFont="1" applyFill="1" applyBorder="1" applyAlignment="1" applyProtection="1">
      <alignment wrapText="1"/>
      <protection hidden="1"/>
    </xf>
    <xf numFmtId="1" fontId="195" fillId="16" borderId="40" xfId="0" applyNumberFormat="1" applyFont="1" applyFill="1" applyBorder="1" applyAlignment="1" applyProtection="1">
      <alignment horizontal="center" wrapText="1"/>
      <protection locked="0"/>
    </xf>
    <xf numFmtId="1" fontId="195" fillId="16" borderId="26" xfId="0" applyNumberFormat="1" applyFont="1" applyFill="1" applyBorder="1" applyAlignment="1" applyProtection="1">
      <alignment horizontal="center" wrapText="1"/>
      <protection locked="0"/>
    </xf>
    <xf numFmtId="3" fontId="129" fillId="2" borderId="3" xfId="0" applyNumberFormat="1" applyFont="1" applyFill="1" applyBorder="1" applyProtection="1">
      <protection hidden="1"/>
    </xf>
    <xf numFmtId="3" fontId="129" fillId="0" borderId="25" xfId="0" applyNumberFormat="1" applyFont="1" applyBorder="1"/>
    <xf numFmtId="9" fontId="195" fillId="16" borderId="40" xfId="0" applyNumberFormat="1" applyFont="1" applyFill="1" applyBorder="1" applyAlignment="1" applyProtection="1">
      <alignment horizontal="center" vertical="center" wrapText="1"/>
      <protection locked="0"/>
    </xf>
    <xf numFmtId="9" fontId="195" fillId="16" borderId="55" xfId="0" applyNumberFormat="1" applyFont="1" applyFill="1" applyBorder="1" applyAlignment="1" applyProtection="1">
      <alignment horizontal="center" vertical="center" wrapText="1"/>
      <protection locked="0"/>
    </xf>
    <xf numFmtId="171" fontId="195" fillId="16" borderId="40" xfId="0" applyNumberFormat="1" applyFont="1" applyFill="1" applyBorder="1" applyAlignment="1" applyProtection="1">
      <alignment horizontal="center" vertical="center" wrapText="1"/>
      <protection locked="0"/>
    </xf>
    <xf numFmtId="171" fontId="195" fillId="16" borderId="55" xfId="0" applyNumberFormat="1" applyFont="1" applyFill="1" applyBorder="1" applyAlignment="1" applyProtection="1">
      <alignment horizontal="center" vertical="center" wrapText="1"/>
      <protection locked="0"/>
    </xf>
    <xf numFmtId="0" fontId="199" fillId="16" borderId="31" xfId="0" applyFont="1" applyFill="1" applyBorder="1" applyAlignment="1" applyProtection="1">
      <alignment horizontal="left" vertical="center" wrapText="1" indent="1"/>
      <protection hidden="1"/>
    </xf>
    <xf numFmtId="0" fontId="171" fillId="0" borderId="9" xfId="0" applyFont="1" applyBorder="1" applyAlignment="1">
      <alignment horizontal="left" vertical="center" wrapText="1" indent="1"/>
    </xf>
    <xf numFmtId="0" fontId="171" fillId="0" borderId="15" xfId="0" applyFont="1" applyBorder="1" applyAlignment="1">
      <alignment horizontal="left" vertical="center" wrapText="1" indent="1"/>
    </xf>
    <xf numFmtId="0" fontId="171" fillId="0" borderId="3" xfId="0" applyFont="1" applyBorder="1" applyAlignment="1">
      <alignment horizontal="left" vertical="center" wrapText="1" indent="1"/>
    </xf>
    <xf numFmtId="0" fontId="171" fillId="0" borderId="0" xfId="0" applyFont="1" applyAlignment="1">
      <alignment horizontal="left" vertical="center" wrapText="1" indent="1"/>
    </xf>
    <xf numFmtId="0" fontId="171" fillId="0" borderId="25" xfId="0" applyFont="1" applyBorder="1" applyAlignment="1">
      <alignment horizontal="left" vertical="center" wrapText="1" indent="1"/>
    </xf>
    <xf numFmtId="188" fontId="5" fillId="0" borderId="12" xfId="0" applyNumberFormat="1" applyFont="1" applyBorder="1" applyAlignment="1">
      <alignment horizontal="center" wrapText="1"/>
    </xf>
    <xf numFmtId="177" fontId="195" fillId="16" borderId="40" xfId="0" applyNumberFormat="1" applyFont="1" applyFill="1" applyBorder="1" applyAlignment="1" applyProtection="1">
      <alignment horizontal="center" vertical="center" wrapText="1"/>
      <protection locked="0"/>
    </xf>
    <xf numFmtId="177" fontId="195" fillId="16" borderId="55" xfId="0" applyNumberFormat="1" applyFont="1" applyFill="1" applyBorder="1" applyAlignment="1" applyProtection="1">
      <alignment horizontal="center" vertical="center" wrapText="1"/>
      <protection locked="0"/>
    </xf>
    <xf numFmtId="180" fontId="195" fillId="16" borderId="40" xfId="0" applyNumberFormat="1" applyFont="1" applyFill="1" applyBorder="1" applyAlignment="1" applyProtection="1">
      <alignment horizontal="center" vertical="center" wrapText="1"/>
      <protection locked="0"/>
    </xf>
    <xf numFmtId="180" fontId="195" fillId="16" borderId="55" xfId="0" applyNumberFormat="1" applyFont="1" applyFill="1" applyBorder="1" applyAlignment="1" applyProtection="1">
      <alignment horizontal="center" vertical="center" wrapText="1"/>
      <protection locked="0"/>
    </xf>
    <xf numFmtId="3" fontId="5" fillId="28" borderId="10" xfId="0" applyNumberFormat="1" applyFont="1" applyFill="1" applyBorder="1" applyAlignment="1" applyProtection="1">
      <alignment vertical="center" wrapText="1"/>
      <protection hidden="1"/>
    </xf>
    <xf numFmtId="3" fontId="5" fillId="28" borderId="12" xfId="0" applyNumberFormat="1" applyFont="1" applyFill="1" applyBorder="1" applyAlignment="1" applyProtection="1">
      <alignment vertical="center" wrapText="1"/>
      <protection hidden="1"/>
    </xf>
    <xf numFmtId="0" fontId="257" fillId="2" borderId="9" xfId="0" applyFont="1" applyFill="1" applyBorder="1" applyAlignment="1" applyProtection="1">
      <alignment horizontal="left" vertical="center"/>
      <protection hidden="1"/>
    </xf>
    <xf numFmtId="0" fontId="257" fillId="2" borderId="1" xfId="0" applyFont="1" applyFill="1" applyBorder="1" applyAlignment="1" applyProtection="1">
      <alignment horizontal="left" vertical="center"/>
      <protection hidden="1"/>
    </xf>
    <xf numFmtId="3" fontId="5" fillId="17" borderId="1" xfId="0" applyNumberFormat="1" applyFont="1" applyFill="1" applyBorder="1" applyAlignment="1" applyProtection="1">
      <alignment wrapText="1"/>
      <protection locked="0"/>
    </xf>
    <xf numFmtId="3" fontId="5" fillId="28" borderId="70" xfId="0" applyNumberFormat="1" applyFont="1" applyFill="1" applyBorder="1" applyAlignment="1" applyProtection="1">
      <alignment wrapText="1"/>
      <protection hidden="1"/>
    </xf>
    <xf numFmtId="3" fontId="5" fillId="28" borderId="5" xfId="0" applyNumberFormat="1" applyFont="1" applyFill="1" applyBorder="1" applyAlignment="1" applyProtection="1">
      <alignment wrapText="1"/>
      <protection hidden="1"/>
    </xf>
    <xf numFmtId="1" fontId="195" fillId="16" borderId="10" xfId="0" applyNumberFormat="1" applyFont="1" applyFill="1" applyBorder="1" applyAlignment="1" applyProtection="1">
      <alignment horizontal="center" wrapText="1"/>
      <protection locked="0"/>
    </xf>
    <xf numFmtId="1" fontId="195" fillId="16" borderId="12" xfId="0" applyNumberFormat="1" applyFont="1" applyFill="1" applyBorder="1" applyAlignment="1" applyProtection="1">
      <alignment horizontal="center" wrapText="1"/>
      <protection locked="0"/>
    </xf>
    <xf numFmtId="1" fontId="5" fillId="2" borderId="10" xfId="0" applyNumberFormat="1" applyFont="1" applyFill="1" applyBorder="1" applyAlignment="1" applyProtection="1">
      <alignment horizontal="center" vertical="center" wrapText="1"/>
      <protection hidden="1"/>
    </xf>
    <xf numFmtId="1" fontId="5" fillId="0" borderId="12" xfId="0" applyNumberFormat="1" applyFont="1" applyBorder="1" applyAlignment="1">
      <alignment horizontal="center" vertical="center" wrapText="1"/>
    </xf>
    <xf numFmtId="3" fontId="135" fillId="2" borderId="0" xfId="0" applyNumberFormat="1" applyFont="1" applyFill="1" applyAlignment="1" applyProtection="1">
      <alignment horizontal="center" vertical="center" wrapText="1"/>
      <protection hidden="1"/>
    </xf>
    <xf numFmtId="188" fontId="7" fillId="2" borderId="0" xfId="0" applyNumberFormat="1" applyFont="1" applyFill="1" applyAlignment="1" applyProtection="1">
      <alignment horizontal="center" vertical="center" wrapText="1"/>
      <protection hidden="1"/>
    </xf>
    <xf numFmtId="3" fontId="135" fillId="2" borderId="3" xfId="0" applyNumberFormat="1" applyFont="1" applyFill="1" applyBorder="1" applyAlignment="1" applyProtection="1">
      <alignment horizontal="center" vertical="center" wrapText="1"/>
      <protection hidden="1"/>
    </xf>
    <xf numFmtId="168" fontId="7" fillId="2" borderId="13" xfId="0" applyNumberFormat="1" applyFont="1" applyFill="1" applyBorder="1" applyAlignment="1" applyProtection="1">
      <alignment horizontal="center" vertical="center" wrapText="1"/>
      <protection locked="0"/>
    </xf>
    <xf numFmtId="168" fontId="196" fillId="16" borderId="10" xfId="0" applyNumberFormat="1" applyFont="1" applyFill="1" applyBorder="1" applyAlignment="1" applyProtection="1">
      <alignment horizontal="center" vertical="center" wrapText="1"/>
      <protection hidden="1"/>
    </xf>
    <xf numFmtId="168" fontId="196" fillId="16" borderId="12" xfId="0" applyNumberFormat="1" applyFont="1" applyFill="1" applyBorder="1" applyAlignment="1" applyProtection="1">
      <alignment horizontal="center" vertical="center" wrapText="1"/>
      <protection hidden="1"/>
    </xf>
    <xf numFmtId="37" fontId="227" fillId="2" borderId="3" xfId="0" applyNumberFormat="1" applyFont="1" applyFill="1" applyBorder="1" applyAlignment="1" applyProtection="1">
      <alignment horizontal="right" vertical="center"/>
      <protection hidden="1"/>
    </xf>
    <xf numFmtId="37" fontId="227" fillId="2" borderId="0" xfId="0" applyNumberFormat="1" applyFont="1" applyFill="1" applyAlignment="1" applyProtection="1">
      <alignment horizontal="right" vertical="center"/>
      <protection hidden="1"/>
    </xf>
    <xf numFmtId="0" fontId="3" fillId="2" borderId="40" xfId="0" applyFont="1" applyFill="1" applyBorder="1" applyAlignment="1" applyProtection="1">
      <alignment horizontal="center" vertical="center" wrapText="1"/>
      <protection hidden="1"/>
    </xf>
    <xf numFmtId="0" fontId="3" fillId="2" borderId="26" xfId="0" applyFont="1" applyFill="1" applyBorder="1" applyAlignment="1" applyProtection="1">
      <alignment horizontal="center" vertical="center" wrapText="1"/>
      <protection hidden="1"/>
    </xf>
    <xf numFmtId="177" fontId="195" fillId="16" borderId="26" xfId="0" applyNumberFormat="1" applyFont="1" applyFill="1" applyBorder="1" applyAlignment="1" applyProtection="1">
      <alignment horizontal="center" vertical="center" wrapText="1"/>
      <protection locked="0"/>
    </xf>
    <xf numFmtId="3" fontId="5" fillId="28" borderId="159" xfId="0" applyNumberFormat="1" applyFont="1" applyFill="1" applyBorder="1" applyAlignment="1" applyProtection="1">
      <alignment wrapText="1"/>
      <protection hidden="1"/>
    </xf>
    <xf numFmtId="3" fontId="5" fillId="28" borderId="125" xfId="0" applyNumberFormat="1" applyFont="1" applyFill="1" applyBorder="1" applyAlignment="1" applyProtection="1">
      <alignment wrapText="1"/>
      <protection hidden="1"/>
    </xf>
    <xf numFmtId="188" fontId="135" fillId="2" borderId="31" xfId="0" applyNumberFormat="1" applyFont="1" applyFill="1" applyBorder="1" applyAlignment="1" applyProtection="1">
      <alignment horizontal="center" vertical="center" wrapText="1"/>
      <protection hidden="1"/>
    </xf>
    <xf numFmtId="188" fontId="135" fillId="2" borderId="9" xfId="0" applyNumberFormat="1" applyFont="1" applyFill="1" applyBorder="1" applyAlignment="1" applyProtection="1">
      <alignment horizontal="center" vertical="center" wrapText="1"/>
      <protection hidden="1"/>
    </xf>
    <xf numFmtId="3" fontId="5" fillId="28" borderId="40" xfId="0" applyNumberFormat="1" applyFont="1" applyFill="1" applyBorder="1" applyAlignment="1" applyProtection="1">
      <alignment horizontal="center" vertical="center" wrapText="1"/>
      <protection hidden="1"/>
    </xf>
    <xf numFmtId="0" fontId="5" fillId="28" borderId="55" xfId="0" applyFont="1" applyFill="1" applyBorder="1" applyAlignment="1" applyProtection="1">
      <alignment horizontal="center" vertical="center" wrapText="1"/>
      <protection hidden="1"/>
    </xf>
    <xf numFmtId="168" fontId="135" fillId="2" borderId="0" xfId="0" applyNumberFormat="1" applyFont="1" applyFill="1" applyAlignment="1" applyProtection="1">
      <alignment horizontal="center" vertical="center" wrapText="1"/>
      <protection hidden="1"/>
    </xf>
    <xf numFmtId="0" fontId="5" fillId="28" borderId="26" xfId="0" applyFont="1" applyFill="1" applyBorder="1" applyAlignment="1" applyProtection="1">
      <alignment horizontal="center" vertical="center" wrapText="1"/>
      <protection hidden="1"/>
    </xf>
    <xf numFmtId="3" fontId="5" fillId="28" borderId="40" xfId="0" applyNumberFormat="1" applyFont="1" applyFill="1" applyBorder="1" applyAlignment="1" applyProtection="1">
      <alignment vertical="center" wrapText="1"/>
      <protection hidden="1"/>
    </xf>
    <xf numFmtId="3" fontId="5" fillId="28" borderId="26" xfId="0" applyNumberFormat="1" applyFont="1" applyFill="1" applyBorder="1" applyAlignment="1" applyProtection="1">
      <alignment vertical="center" wrapText="1"/>
      <protection hidden="1"/>
    </xf>
    <xf numFmtId="0" fontId="0" fillId="28" borderId="26" xfId="0" applyFill="1" applyBorder="1" applyAlignment="1" applyProtection="1">
      <alignment wrapText="1"/>
      <protection hidden="1"/>
    </xf>
    <xf numFmtId="0" fontId="0" fillId="16" borderId="9" xfId="0" applyFill="1" applyBorder="1" applyAlignment="1" applyProtection="1">
      <alignment wrapText="1"/>
      <protection locked="0"/>
    </xf>
    <xf numFmtId="168" fontId="196" fillId="16" borderId="40" xfId="0" applyNumberFormat="1" applyFont="1" applyFill="1" applyBorder="1" applyAlignment="1" applyProtection="1">
      <alignment horizontal="center" vertical="center" wrapText="1"/>
      <protection hidden="1"/>
    </xf>
    <xf numFmtId="168" fontId="196" fillId="16" borderId="26" xfId="0" applyNumberFormat="1" applyFont="1" applyFill="1" applyBorder="1" applyAlignment="1" applyProtection="1">
      <alignment horizontal="center" vertical="center" wrapText="1"/>
      <protection hidden="1"/>
    </xf>
    <xf numFmtId="168" fontId="196" fillId="16" borderId="55" xfId="0" applyNumberFormat="1" applyFont="1" applyFill="1" applyBorder="1" applyAlignment="1" applyProtection="1">
      <alignment horizontal="center" vertical="center" wrapText="1"/>
      <protection hidden="1"/>
    </xf>
    <xf numFmtId="168" fontId="7" fillId="2" borderId="40" xfId="0" applyNumberFormat="1" applyFont="1" applyFill="1" applyBorder="1" applyAlignment="1" applyProtection="1">
      <alignment horizontal="center" vertical="center" wrapText="1"/>
      <protection locked="0"/>
    </xf>
    <xf numFmtId="0" fontId="7" fillId="16" borderId="0" xfId="0" applyFont="1" applyFill="1" applyAlignment="1" applyProtection="1">
      <alignment horizontal="center" wrapText="1"/>
      <protection hidden="1"/>
    </xf>
    <xf numFmtId="0" fontId="7" fillId="16" borderId="21" xfId="0" applyFont="1" applyFill="1" applyBorder="1" applyAlignment="1" applyProtection="1">
      <alignment horizontal="center"/>
      <protection hidden="1"/>
    </xf>
    <xf numFmtId="0" fontId="7" fillId="16" borderId="0" xfId="0" applyFont="1" applyFill="1" applyAlignment="1" applyProtection="1">
      <alignment horizontal="center"/>
      <protection hidden="1"/>
    </xf>
    <xf numFmtId="0" fontId="0" fillId="0" borderId="9" xfId="0" applyBorder="1" applyAlignment="1">
      <alignment horizontal="left" vertical="center" wrapText="1"/>
    </xf>
    <xf numFmtId="188" fontId="5" fillId="2" borderId="26" xfId="0" applyNumberFormat="1" applyFont="1" applyFill="1" applyBorder="1" applyAlignment="1" applyProtection="1">
      <alignment horizontal="center" vertical="center" wrapText="1"/>
      <protection hidden="1"/>
    </xf>
    <xf numFmtId="0" fontId="3" fillId="2" borderId="15" xfId="0" applyFont="1" applyFill="1" applyBorder="1" applyAlignment="1" applyProtection="1">
      <alignment horizontal="center" wrapText="1"/>
      <protection hidden="1"/>
    </xf>
    <xf numFmtId="3" fontId="10" fillId="16" borderId="12" xfId="0" applyNumberFormat="1" applyFont="1" applyFill="1" applyBorder="1" applyAlignment="1" applyProtection="1">
      <alignment horizontal="center"/>
      <protection locked="0"/>
    </xf>
    <xf numFmtId="9" fontId="195" fillId="16" borderId="26" xfId="0" applyNumberFormat="1" applyFont="1" applyFill="1" applyBorder="1" applyAlignment="1" applyProtection="1">
      <alignment horizontal="center" vertical="center" wrapText="1"/>
      <protection locked="0"/>
    </xf>
    <xf numFmtId="3" fontId="5" fillId="28" borderId="31" xfId="0" applyNumberFormat="1" applyFont="1" applyFill="1" applyBorder="1" applyAlignment="1" applyProtection="1">
      <alignment wrapText="1"/>
      <protection hidden="1"/>
    </xf>
    <xf numFmtId="3" fontId="5" fillId="28" borderId="9" xfId="0" applyNumberFormat="1" applyFont="1" applyFill="1" applyBorder="1" applyAlignment="1" applyProtection="1">
      <alignment wrapText="1"/>
      <protection hidden="1"/>
    </xf>
    <xf numFmtId="189" fontId="3" fillId="2" borderId="3" xfId="0" applyNumberFormat="1" applyFont="1" applyFill="1" applyBorder="1" applyAlignment="1" applyProtection="1">
      <alignment horizontal="center" vertical="center" wrapText="1"/>
      <protection hidden="1"/>
    </xf>
    <xf numFmtId="189" fontId="3" fillId="2" borderId="0" xfId="0" applyNumberFormat="1" applyFont="1" applyFill="1" applyAlignment="1" applyProtection="1">
      <alignment horizontal="center" vertical="center" wrapText="1"/>
      <protection hidden="1"/>
    </xf>
    <xf numFmtId="0" fontId="5" fillId="16" borderId="6" xfId="0" applyFont="1" applyFill="1" applyBorder="1" applyAlignment="1" applyProtection="1">
      <alignment horizontal="left" wrapText="1" indent="1"/>
      <protection hidden="1"/>
    </xf>
    <xf numFmtId="0" fontId="0" fillId="16" borderId="0" xfId="0" applyFill="1" applyAlignment="1" applyProtection="1">
      <alignment horizontal="left" wrapText="1" indent="1"/>
      <protection hidden="1"/>
    </xf>
    <xf numFmtId="0" fontId="0" fillId="0" borderId="0" xfId="0" applyAlignment="1">
      <alignment horizontal="left" indent="1"/>
    </xf>
    <xf numFmtId="0" fontId="0" fillId="0" borderId="21" xfId="0" applyBorder="1" applyAlignment="1">
      <alignment horizontal="left" indent="1"/>
    </xf>
    <xf numFmtId="0" fontId="5" fillId="16" borderId="6" xfId="0" applyFont="1" applyFill="1" applyBorder="1" applyAlignment="1" applyProtection="1">
      <alignment horizontal="left" vertical="center" wrapText="1" indent="1"/>
      <protection hidden="1"/>
    </xf>
    <xf numFmtId="0" fontId="5" fillId="16" borderId="0" xfId="0" applyFont="1" applyFill="1" applyAlignment="1" applyProtection="1">
      <alignment horizontal="left" vertical="center" wrapText="1" indent="1"/>
      <protection hidden="1"/>
    </xf>
    <xf numFmtId="0" fontId="5" fillId="16" borderId="21" xfId="0" applyFont="1" applyFill="1" applyBorder="1" applyAlignment="1" applyProtection="1">
      <alignment horizontal="left" vertical="center" wrapText="1" indent="1"/>
      <protection hidden="1"/>
    </xf>
    <xf numFmtId="0" fontId="5" fillId="16" borderId="22" xfId="0" applyFont="1" applyFill="1" applyBorder="1" applyAlignment="1" applyProtection="1">
      <alignment horizontal="left" wrapText="1" indent="1"/>
      <protection hidden="1"/>
    </xf>
    <xf numFmtId="0" fontId="0" fillId="0" borderId="5" xfId="0" applyBorder="1" applyAlignment="1">
      <alignment horizontal="left" indent="1"/>
    </xf>
    <xf numFmtId="0" fontId="0" fillId="0" borderId="23" xfId="0" applyBorder="1" applyAlignment="1">
      <alignment horizontal="left" indent="1"/>
    </xf>
    <xf numFmtId="0" fontId="5" fillId="16" borderId="24" xfId="0" applyFont="1" applyFill="1" applyBorder="1" applyAlignment="1" applyProtection="1">
      <alignment horizontal="left" wrapText="1" indent="1"/>
      <protection hidden="1"/>
    </xf>
    <xf numFmtId="0" fontId="5" fillId="16" borderId="8" xfId="0" applyFont="1" applyFill="1" applyBorder="1" applyAlignment="1" applyProtection="1">
      <alignment horizontal="left" wrapText="1" indent="1"/>
      <protection hidden="1"/>
    </xf>
    <xf numFmtId="0" fontId="5" fillId="16" borderId="20" xfId="0" applyFont="1" applyFill="1" applyBorder="1" applyAlignment="1" applyProtection="1">
      <alignment horizontal="left" wrapText="1" indent="1"/>
      <protection hidden="1"/>
    </xf>
    <xf numFmtId="0" fontId="0" fillId="16" borderId="0" xfId="0" applyFill="1" applyAlignment="1">
      <alignment horizontal="left" wrapText="1" indent="1"/>
    </xf>
    <xf numFmtId="0" fontId="0" fillId="16" borderId="21" xfId="0" applyFill="1" applyBorder="1" applyAlignment="1">
      <alignment horizontal="left" wrapText="1" indent="1"/>
    </xf>
    <xf numFmtId="0" fontId="0" fillId="16" borderId="0" xfId="0" applyFill="1" applyAlignment="1">
      <alignment horizontal="left" indent="1"/>
    </xf>
    <xf numFmtId="0" fontId="0" fillId="16" borderId="21" xfId="0" applyFill="1" applyBorder="1" applyAlignment="1">
      <alignment horizontal="left" indent="1"/>
    </xf>
    <xf numFmtId="0" fontId="0" fillId="0" borderId="21" xfId="0" applyBorder="1" applyAlignment="1">
      <alignment horizontal="left" wrapText="1" indent="1"/>
    </xf>
    <xf numFmtId="49" fontId="12" fillId="17" borderId="16" xfId="0" applyNumberFormat="1" applyFont="1" applyFill="1" applyBorder="1" applyAlignment="1" applyProtection="1">
      <alignment horizontal="center" vertical="center" wrapText="1"/>
      <protection locked="0"/>
    </xf>
    <xf numFmtId="49" fontId="12" fillId="17" borderId="11" xfId="0" applyNumberFormat="1" applyFont="1" applyFill="1" applyBorder="1" applyAlignment="1" applyProtection="1">
      <alignment horizontal="center" vertical="center" wrapText="1"/>
      <protection locked="0"/>
    </xf>
    <xf numFmtId="37" fontId="5" fillId="21" borderId="31" xfId="0" applyNumberFormat="1" applyFont="1" applyFill="1" applyBorder="1" applyAlignment="1" applyProtection="1">
      <alignment horizontal="right" wrapText="1"/>
      <protection locked="0"/>
    </xf>
    <xf numFmtId="37" fontId="5" fillId="21" borderId="9" xfId="0" applyNumberFormat="1" applyFont="1" applyFill="1" applyBorder="1" applyAlignment="1" applyProtection="1">
      <alignment horizontal="right" wrapText="1"/>
      <protection locked="0"/>
    </xf>
    <xf numFmtId="37" fontId="5" fillId="21" borderId="10" xfId="0" applyNumberFormat="1" applyFont="1" applyFill="1" applyBorder="1" applyAlignment="1" applyProtection="1">
      <alignment horizontal="right" wrapText="1"/>
      <protection locked="0"/>
    </xf>
    <xf numFmtId="37" fontId="5" fillId="21" borderId="1" xfId="0" applyNumberFormat="1" applyFont="1" applyFill="1" applyBorder="1" applyAlignment="1" applyProtection="1">
      <alignment horizontal="right" wrapText="1"/>
      <protection locked="0"/>
    </xf>
    <xf numFmtId="0" fontId="12" fillId="2" borderId="24" xfId="0" applyFont="1" applyFill="1" applyBorder="1" applyAlignment="1">
      <alignment horizontal="left"/>
    </xf>
    <xf numFmtId="0" fontId="12" fillId="2" borderId="8" xfId="0" applyFont="1" applyFill="1" applyBorder="1" applyAlignment="1">
      <alignment horizontal="left"/>
    </xf>
    <xf numFmtId="0" fontId="12" fillId="2" borderId="20" xfId="0" applyFont="1" applyFill="1" applyBorder="1" applyAlignment="1">
      <alignment horizontal="left"/>
    </xf>
    <xf numFmtId="0" fontId="23" fillId="3" borderId="22" xfId="0" applyFont="1" applyFill="1" applyBorder="1" applyAlignment="1" applyProtection="1">
      <alignment horizontal="left" vertical="top"/>
      <protection hidden="1"/>
    </xf>
    <xf numFmtId="0" fontId="23" fillId="3" borderId="5" xfId="0" applyFont="1" applyFill="1" applyBorder="1" applyAlignment="1" applyProtection="1">
      <alignment horizontal="left" vertical="top"/>
      <protection hidden="1"/>
    </xf>
    <xf numFmtId="0" fontId="23" fillId="3" borderId="23" xfId="0" applyFont="1" applyFill="1" applyBorder="1" applyAlignment="1" applyProtection="1">
      <alignment horizontal="left" vertical="top"/>
      <protection hidden="1"/>
    </xf>
    <xf numFmtId="0" fontId="10" fillId="21" borderId="99" xfId="0" applyFont="1" applyFill="1" applyBorder="1" applyAlignment="1" applyProtection="1">
      <alignment horizontal="left"/>
      <protection locked="0"/>
    </xf>
    <xf numFmtId="0" fontId="10" fillId="21" borderId="90" xfId="0" applyFont="1" applyFill="1" applyBorder="1" applyAlignment="1" applyProtection="1">
      <alignment horizontal="left"/>
      <protection locked="0"/>
    </xf>
    <xf numFmtId="0" fontId="5" fillId="17" borderId="90" xfId="0" applyFont="1" applyFill="1" applyBorder="1" applyAlignment="1" applyProtection="1">
      <alignment horizontal="left"/>
      <protection locked="0"/>
    </xf>
    <xf numFmtId="0" fontId="5" fillId="17" borderId="91" xfId="0" applyFont="1" applyFill="1" applyBorder="1" applyAlignment="1" applyProtection="1">
      <alignment horizontal="left"/>
      <protection locked="0"/>
    </xf>
    <xf numFmtId="37" fontId="5" fillId="27" borderId="10" xfId="0" applyNumberFormat="1" applyFont="1" applyFill="1" applyBorder="1" applyAlignment="1" applyProtection="1">
      <alignment horizontal="right"/>
      <protection hidden="1"/>
    </xf>
    <xf numFmtId="37" fontId="5" fillId="27" borderId="70" xfId="0" applyNumberFormat="1" applyFont="1" applyFill="1" applyBorder="1" applyAlignment="1" applyProtection="1">
      <alignment horizontal="right"/>
      <protection hidden="1"/>
    </xf>
    <xf numFmtId="37" fontId="0" fillId="0" borderId="5" xfId="0" applyNumberFormat="1" applyBorder="1" applyAlignment="1">
      <alignment horizontal="right"/>
    </xf>
    <xf numFmtId="0" fontId="166" fillId="3" borderId="24" xfId="0" applyFont="1" applyFill="1" applyBorder="1" applyAlignment="1" applyProtection="1">
      <alignment horizontal="center" vertical="center"/>
      <protection hidden="1"/>
    </xf>
    <xf numFmtId="0" fontId="166" fillId="3" borderId="20" xfId="0" applyFont="1" applyFill="1" applyBorder="1" applyAlignment="1" applyProtection="1">
      <alignment horizontal="center" vertical="center"/>
      <protection hidden="1"/>
    </xf>
    <xf numFmtId="0" fontId="166" fillId="3" borderId="22" xfId="0" applyFont="1" applyFill="1" applyBorder="1" applyAlignment="1" applyProtection="1">
      <alignment horizontal="center" vertical="center"/>
      <protection hidden="1"/>
    </xf>
    <xf numFmtId="0" fontId="166" fillId="3" borderId="23" xfId="0" applyFont="1" applyFill="1" applyBorder="1" applyAlignment="1" applyProtection="1">
      <alignment horizontal="center" vertical="center"/>
      <protection hidden="1"/>
    </xf>
    <xf numFmtId="0" fontId="129" fillId="0" borderId="0" xfId="0" applyFont="1" applyAlignment="1">
      <alignment horizontal="center"/>
    </xf>
    <xf numFmtId="0" fontId="129" fillId="0" borderId="25" xfId="0" applyFont="1" applyBorder="1" applyAlignment="1">
      <alignment horizontal="center"/>
    </xf>
    <xf numFmtId="37" fontId="5" fillId="27" borderId="1" xfId="0" applyNumberFormat="1" applyFont="1" applyFill="1" applyBorder="1" applyAlignment="1" applyProtection="1">
      <alignment horizontal="right"/>
      <protection hidden="1"/>
    </xf>
    <xf numFmtId="37" fontId="5" fillId="27" borderId="40" xfId="0" applyNumberFormat="1" applyFont="1" applyFill="1" applyBorder="1" applyAlignment="1" applyProtection="1">
      <alignment horizontal="right"/>
      <protection hidden="1"/>
    </xf>
    <xf numFmtId="37" fontId="0" fillId="0" borderId="26" xfId="0" applyNumberFormat="1" applyBorder="1" applyAlignment="1">
      <alignment horizontal="right"/>
    </xf>
    <xf numFmtId="0" fontId="129" fillId="0" borderId="0" xfId="0" quotePrefix="1" applyFont="1" applyAlignment="1">
      <alignment horizontal="center"/>
    </xf>
    <xf numFmtId="4" fontId="129" fillId="3" borderId="3" xfId="0" applyNumberFormat="1" applyFont="1" applyFill="1" applyBorder="1" applyAlignment="1" applyProtection="1">
      <alignment horizontal="center"/>
      <protection hidden="1"/>
    </xf>
    <xf numFmtId="4" fontId="129" fillId="3" borderId="0" xfId="0" applyNumberFormat="1" applyFont="1" applyFill="1" applyAlignment="1" applyProtection="1">
      <alignment horizontal="center"/>
      <protection hidden="1"/>
    </xf>
    <xf numFmtId="37" fontId="129" fillId="3" borderId="3" xfId="0" applyNumberFormat="1" applyFont="1" applyFill="1" applyBorder="1" applyAlignment="1" applyProtection="1">
      <alignment horizontal="right"/>
      <protection hidden="1"/>
    </xf>
    <xf numFmtId="37" fontId="129" fillId="3" borderId="0" xfId="0" applyNumberFormat="1" applyFont="1" applyFill="1" applyAlignment="1" applyProtection="1">
      <alignment horizontal="right"/>
      <protection hidden="1"/>
    </xf>
    <xf numFmtId="37" fontId="3" fillId="17" borderId="40" xfId="0" applyNumberFormat="1" applyFont="1" applyFill="1" applyBorder="1" applyAlignment="1" applyProtection="1">
      <alignment horizontal="right" vertical="center"/>
      <protection locked="0"/>
    </xf>
    <xf numFmtId="37" fontId="3" fillId="17" borderId="26" xfId="0" applyNumberFormat="1" applyFont="1" applyFill="1" applyBorder="1" applyAlignment="1" applyProtection="1">
      <alignment horizontal="right" vertical="center"/>
      <protection locked="0"/>
    </xf>
    <xf numFmtId="37" fontId="129" fillId="3" borderId="31" xfId="0" applyNumberFormat="1" applyFont="1" applyFill="1" applyBorder="1" applyAlignment="1" applyProtection="1">
      <alignment horizontal="right"/>
      <protection hidden="1"/>
    </xf>
    <xf numFmtId="37" fontId="129" fillId="3" borderId="9" xfId="0" applyNumberFormat="1" applyFont="1" applyFill="1" applyBorder="1" applyAlignment="1" applyProtection="1">
      <alignment horizontal="right"/>
      <protection hidden="1"/>
    </xf>
    <xf numFmtId="4" fontId="129" fillId="3" borderId="3" xfId="0" applyNumberFormat="1" applyFont="1" applyFill="1" applyBorder="1" applyAlignment="1" applyProtection="1">
      <alignment horizontal="center" vertical="center"/>
      <protection hidden="1"/>
    </xf>
    <xf numFmtId="4" fontId="129" fillId="3" borderId="0" xfId="0" applyNumberFormat="1" applyFont="1" applyFill="1" applyAlignment="1" applyProtection="1">
      <alignment horizontal="center" vertical="center"/>
      <protection hidden="1"/>
    </xf>
    <xf numFmtId="37" fontId="5" fillId="27" borderId="5" xfId="0" applyNumberFormat="1" applyFont="1" applyFill="1" applyBorder="1" applyAlignment="1" applyProtection="1">
      <alignment horizontal="right"/>
      <protection hidden="1"/>
    </xf>
    <xf numFmtId="37" fontId="5" fillId="15" borderId="31" xfId="0" applyNumberFormat="1" applyFont="1" applyFill="1" applyBorder="1" applyProtection="1">
      <protection locked="0"/>
    </xf>
    <xf numFmtId="37" fontId="0" fillId="16" borderId="9" xfId="0" applyNumberFormat="1" applyFill="1" applyBorder="1" applyProtection="1">
      <protection locked="0"/>
    </xf>
    <xf numFmtId="37" fontId="5" fillId="27" borderId="10" xfId="0" applyNumberFormat="1" applyFont="1" applyFill="1" applyBorder="1" applyProtection="1">
      <protection hidden="1"/>
    </xf>
    <xf numFmtId="0" fontId="10" fillId="21" borderId="9" xfId="0" applyFont="1" applyFill="1" applyBorder="1" applyAlignment="1" applyProtection="1">
      <alignment horizontal="center" vertical="center" wrapText="1"/>
      <protection locked="0"/>
    </xf>
    <xf numFmtId="0" fontId="5" fillId="17" borderId="9" xfId="0" applyFont="1" applyFill="1" applyBorder="1" applyAlignment="1" applyProtection="1">
      <alignment horizontal="center" vertical="center" wrapText="1"/>
      <protection locked="0"/>
    </xf>
    <xf numFmtId="0" fontId="5" fillId="17" borderId="15" xfId="0" applyFont="1" applyFill="1" applyBorder="1" applyAlignment="1" applyProtection="1">
      <alignment horizontal="center" vertical="center" wrapText="1"/>
      <protection locked="0"/>
    </xf>
    <xf numFmtId="0" fontId="5" fillId="17" borderId="1" xfId="0" applyFont="1" applyFill="1" applyBorder="1" applyAlignment="1" applyProtection="1">
      <alignment horizontal="center" vertical="center" wrapText="1"/>
      <protection locked="0"/>
    </xf>
    <xf numFmtId="0" fontId="5" fillId="17" borderId="12" xfId="0" applyFont="1" applyFill="1" applyBorder="1" applyAlignment="1" applyProtection="1">
      <alignment horizontal="center" vertical="center" wrapText="1"/>
      <protection locked="0"/>
    </xf>
    <xf numFmtId="0" fontId="10" fillId="21" borderId="98" xfId="0" applyFont="1" applyFill="1" applyBorder="1" applyAlignment="1" applyProtection="1">
      <alignment horizontal="left"/>
      <protection locked="0"/>
    </xf>
    <xf numFmtId="0" fontId="10" fillId="21" borderId="95" xfId="0" applyFont="1" applyFill="1" applyBorder="1" applyAlignment="1" applyProtection="1">
      <alignment horizontal="left"/>
      <protection locked="0"/>
    </xf>
    <xf numFmtId="0" fontId="5" fillId="17" borderId="95" xfId="0" applyFont="1" applyFill="1" applyBorder="1" applyAlignment="1" applyProtection="1">
      <alignment horizontal="left"/>
      <protection locked="0"/>
    </xf>
    <xf numFmtId="0" fontId="5" fillId="17" borderId="96" xfId="0" applyFont="1" applyFill="1" applyBorder="1" applyAlignment="1" applyProtection="1">
      <alignment horizontal="left"/>
      <protection locked="0"/>
    </xf>
    <xf numFmtId="0" fontId="81" fillId="3" borderId="8" xfId="0" applyFont="1" applyFill="1" applyBorder="1" applyAlignment="1" applyProtection="1">
      <alignment horizontal="left" vertical="center"/>
      <protection hidden="1"/>
    </xf>
    <xf numFmtId="0" fontId="144" fillId="0" borderId="8" xfId="0" applyFont="1" applyBorder="1"/>
    <xf numFmtId="0" fontId="144" fillId="0" borderId="5" xfId="0" applyFont="1" applyBorder="1"/>
    <xf numFmtId="0" fontId="7" fillId="3" borderId="72" xfId="0" applyFont="1" applyFill="1" applyBorder="1" applyAlignment="1" applyProtection="1">
      <alignment horizontal="center"/>
      <protection hidden="1"/>
    </xf>
    <xf numFmtId="0" fontId="0" fillId="0" borderId="17" xfId="0" applyBorder="1"/>
    <xf numFmtId="0" fontId="0" fillId="0" borderId="33" xfId="0" applyBorder="1"/>
    <xf numFmtId="0" fontId="0" fillId="0" borderId="101" xfId="0" applyBorder="1"/>
    <xf numFmtId="0" fontId="0" fillId="0" borderId="76" xfId="0" applyBorder="1"/>
    <xf numFmtId="0" fontId="18" fillId="21" borderId="26" xfId="0" applyFont="1" applyFill="1" applyBorder="1" applyAlignment="1" applyProtection="1">
      <alignment horizontal="left" vertical="center" indent="1"/>
      <protection locked="0"/>
    </xf>
    <xf numFmtId="0" fontId="18" fillId="17" borderId="26" xfId="0" applyFont="1" applyFill="1" applyBorder="1" applyAlignment="1" applyProtection="1">
      <alignment horizontal="left" vertical="center" indent="1"/>
      <protection locked="0"/>
    </xf>
    <xf numFmtId="0" fontId="18" fillId="17" borderId="55" xfId="0" applyFont="1" applyFill="1" applyBorder="1" applyAlignment="1" applyProtection="1">
      <alignment horizontal="left" vertical="center" indent="1"/>
      <protection locked="0"/>
    </xf>
    <xf numFmtId="0" fontId="3" fillId="3" borderId="101" xfId="0" applyFont="1" applyFill="1" applyBorder="1" applyAlignment="1" applyProtection="1">
      <alignment horizontal="center"/>
      <protection hidden="1"/>
    </xf>
    <xf numFmtId="0" fontId="0" fillId="0" borderId="76" xfId="0" applyBorder="1" applyAlignment="1">
      <alignment horizontal="center"/>
    </xf>
    <xf numFmtId="0" fontId="167" fillId="11" borderId="62" xfId="5" applyFill="1" applyBorder="1" applyAlignment="1" applyProtection="1">
      <alignment horizontal="center"/>
    </xf>
    <xf numFmtId="0" fontId="167" fillId="11" borderId="63" xfId="5" applyFill="1" applyBorder="1" applyAlignment="1" applyProtection="1">
      <alignment horizontal="center"/>
    </xf>
    <xf numFmtId="0" fontId="167" fillId="11" borderId="64" xfId="5" applyFill="1" applyBorder="1" applyAlignment="1" applyProtection="1">
      <alignment horizontal="center"/>
    </xf>
    <xf numFmtId="0" fontId="165" fillId="3" borderId="0" xfId="0" applyFont="1" applyFill="1" applyAlignment="1" applyProtection="1">
      <alignment horizontal="center" vertical="center"/>
      <protection hidden="1"/>
    </xf>
    <xf numFmtId="0" fontId="165" fillId="3" borderId="1" xfId="0" applyFont="1" applyFill="1" applyBorder="1" applyAlignment="1" applyProtection="1">
      <alignment horizontal="center" vertical="center"/>
      <protection hidden="1"/>
    </xf>
    <xf numFmtId="0" fontId="5" fillId="3" borderId="9" xfId="0" applyFont="1" applyFill="1" applyBorder="1" applyAlignment="1" applyProtection="1">
      <alignment horizontal="left" vertical="center"/>
      <protection hidden="1"/>
    </xf>
    <xf numFmtId="0" fontId="5" fillId="3" borderId="1" xfId="0" applyFont="1" applyFill="1" applyBorder="1" applyAlignment="1" applyProtection="1">
      <alignment horizontal="left" vertical="center"/>
      <protection hidden="1"/>
    </xf>
    <xf numFmtId="0" fontId="164" fillId="3" borderId="31" xfId="0" applyFont="1" applyFill="1" applyBorder="1" applyAlignment="1" applyProtection="1">
      <alignment horizontal="center"/>
      <protection hidden="1"/>
    </xf>
    <xf numFmtId="0" fontId="164" fillId="3" borderId="9" xfId="0" applyFont="1" applyFill="1" applyBorder="1" applyAlignment="1" applyProtection="1">
      <alignment horizontal="center"/>
      <protection hidden="1"/>
    </xf>
    <xf numFmtId="0" fontId="164" fillId="3" borderId="15" xfId="0" applyFont="1" applyFill="1" applyBorder="1" applyAlignment="1" applyProtection="1">
      <alignment horizontal="center"/>
      <protection hidden="1"/>
    </xf>
    <xf numFmtId="0" fontId="10" fillId="3" borderId="10" xfId="0" applyFont="1" applyFill="1" applyBorder="1" applyAlignment="1" applyProtection="1">
      <alignment horizontal="center" vertical="top"/>
      <protection hidden="1"/>
    </xf>
    <xf numFmtId="0" fontId="10" fillId="3" borderId="1" xfId="0" applyFont="1" applyFill="1" applyBorder="1" applyAlignment="1" applyProtection="1">
      <alignment horizontal="center" vertical="top"/>
      <protection hidden="1"/>
    </xf>
    <xf numFmtId="0" fontId="10" fillId="3" borderId="12" xfId="0" applyFont="1" applyFill="1" applyBorder="1" applyAlignment="1" applyProtection="1">
      <alignment horizontal="center" vertical="top"/>
      <protection hidden="1"/>
    </xf>
    <xf numFmtId="0" fontId="5" fillId="16" borderId="3" xfId="0" applyFont="1" applyFill="1" applyBorder="1" applyAlignment="1">
      <alignment horizontal="left" vertical="top" wrapText="1"/>
    </xf>
    <xf numFmtId="0" fontId="0" fillId="0" borderId="0" xfId="0" applyAlignment="1">
      <alignment horizontal="left" vertical="top"/>
    </xf>
    <xf numFmtId="0" fontId="0" fillId="0" borderId="25" xfId="0" applyBorder="1" applyAlignment="1">
      <alignment horizontal="left" vertical="top"/>
    </xf>
    <xf numFmtId="0" fontId="0" fillId="0" borderId="3" xfId="0" applyBorder="1" applyAlignment="1">
      <alignment horizontal="left" vertical="top"/>
    </xf>
    <xf numFmtId="0" fontId="5" fillId="16" borderId="31" xfId="0" applyFont="1" applyFill="1" applyBorder="1" applyAlignment="1">
      <alignment vertical="top" wrapText="1"/>
    </xf>
    <xf numFmtId="0" fontId="0" fillId="0" borderId="15" xfId="0" applyBorder="1" applyAlignment="1">
      <alignment vertical="top" wrapText="1"/>
    </xf>
    <xf numFmtId="0" fontId="0" fillId="0" borderId="3" xfId="0" applyBorder="1" applyAlignment="1">
      <alignment vertical="top" wrapText="1"/>
    </xf>
    <xf numFmtId="0" fontId="0" fillId="0" borderId="25" xfId="0" applyBorder="1" applyAlignment="1">
      <alignment vertical="top" wrapText="1"/>
    </xf>
    <xf numFmtId="0" fontId="0" fillId="0" borderId="10" xfId="0" applyBorder="1" applyAlignment="1">
      <alignment vertical="top" wrapText="1"/>
    </xf>
    <xf numFmtId="0" fontId="0" fillId="0" borderId="12" xfId="0" applyBorder="1" applyAlignment="1">
      <alignment vertical="top" wrapText="1"/>
    </xf>
    <xf numFmtId="0" fontId="47" fillId="3" borderId="6" xfId="0" applyFont="1" applyFill="1" applyBorder="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8" fillId="3" borderId="210" xfId="0" applyFont="1" applyFill="1" applyBorder="1" applyAlignment="1" applyProtection="1">
      <alignment horizontal="center" vertical="top"/>
      <protection hidden="1"/>
    </xf>
    <xf numFmtId="0" fontId="8" fillId="3" borderId="14" xfId="0" applyFont="1" applyFill="1" applyBorder="1" applyAlignment="1" applyProtection="1">
      <alignment horizontal="center" vertical="top"/>
      <protection hidden="1"/>
    </xf>
    <xf numFmtId="0" fontId="64" fillId="3" borderId="0" xfId="0" applyFont="1" applyFill="1" applyAlignment="1" applyProtection="1">
      <alignment horizontal="right"/>
      <protection hidden="1"/>
    </xf>
    <xf numFmtId="0" fontId="0" fillId="0" borderId="0" xfId="0" applyAlignment="1">
      <alignment horizontal="right"/>
    </xf>
    <xf numFmtId="0" fontId="81" fillId="15" borderId="0" xfId="0" applyFont="1" applyFill="1" applyAlignment="1" applyProtection="1">
      <alignment horizontal="left"/>
      <protection hidden="1"/>
    </xf>
    <xf numFmtId="0" fontId="144" fillId="16" borderId="0" xfId="0" applyFont="1" applyFill="1" applyAlignment="1">
      <alignment horizontal="left"/>
    </xf>
    <xf numFmtId="0" fontId="144" fillId="16" borderId="21" xfId="0" applyFont="1" applyFill="1" applyBorder="1" applyAlignment="1">
      <alignment horizontal="left"/>
    </xf>
    <xf numFmtId="0" fontId="10" fillId="3" borderId="27" xfId="0" applyFont="1" applyFill="1" applyBorder="1" applyAlignment="1" applyProtection="1">
      <alignment horizontal="center"/>
      <protection hidden="1"/>
    </xf>
    <xf numFmtId="0" fontId="10" fillId="3" borderId="1" xfId="0" applyFont="1" applyFill="1" applyBorder="1" applyAlignment="1" applyProtection="1">
      <alignment horizontal="center"/>
      <protection hidden="1"/>
    </xf>
    <xf numFmtId="0" fontId="81" fillId="3" borderId="6" xfId="0" applyFont="1" applyFill="1" applyBorder="1" applyAlignment="1" applyProtection="1">
      <alignment horizontal="center"/>
      <protection hidden="1"/>
    </xf>
    <xf numFmtId="0" fontId="81" fillId="3" borderId="0" xfId="0" applyFont="1" applyFill="1" applyAlignment="1" applyProtection="1">
      <alignment horizontal="center"/>
      <protection hidden="1"/>
    </xf>
    <xf numFmtId="0" fontId="10" fillId="3" borderId="6" xfId="0" applyFont="1" applyFill="1" applyBorder="1" applyAlignment="1" applyProtection="1">
      <alignment horizontal="left"/>
      <protection hidden="1"/>
    </xf>
    <xf numFmtId="0" fontId="10" fillId="3" borderId="0" xfId="0" applyFont="1" applyFill="1" applyAlignment="1" applyProtection="1">
      <alignment horizontal="left"/>
      <protection hidden="1"/>
    </xf>
    <xf numFmtId="0" fontId="10" fillId="3" borderId="6" xfId="0" applyFont="1" applyFill="1" applyBorder="1" applyAlignment="1" applyProtection="1">
      <alignment horizontal="center"/>
      <protection hidden="1"/>
    </xf>
    <xf numFmtId="0" fontId="10" fillId="3" borderId="0" xfId="0" applyFont="1" applyFill="1" applyAlignment="1" applyProtection="1">
      <alignment horizontal="center"/>
      <protection hidden="1"/>
    </xf>
    <xf numFmtId="0" fontId="7" fillId="3" borderId="0" xfId="0" applyFont="1" applyFill="1" applyAlignment="1" applyProtection="1">
      <alignment horizontal="right"/>
      <protection hidden="1"/>
    </xf>
    <xf numFmtId="0" fontId="13" fillId="3" borderId="31" xfId="0" applyFont="1" applyFill="1" applyBorder="1" applyAlignment="1" applyProtection="1">
      <alignment horizontal="left"/>
      <protection hidden="1"/>
    </xf>
    <xf numFmtId="0" fontId="164" fillId="3" borderId="9" xfId="0" applyFont="1" applyFill="1" applyBorder="1" applyAlignment="1" applyProtection="1">
      <alignment horizontal="left"/>
      <protection hidden="1"/>
    </xf>
    <xf numFmtId="166" fontId="3" fillId="21" borderId="40" xfId="0" applyNumberFormat="1" applyFont="1" applyFill="1" applyBorder="1" applyAlignment="1" applyProtection="1">
      <alignment horizontal="center" vertical="center"/>
      <protection locked="0"/>
    </xf>
    <xf numFmtId="166" fontId="3" fillId="21" borderId="26" xfId="0" applyNumberFormat="1" applyFont="1" applyFill="1" applyBorder="1" applyAlignment="1" applyProtection="1">
      <alignment horizontal="center" vertical="center"/>
      <protection locked="0"/>
    </xf>
    <xf numFmtId="166" fontId="3" fillId="21" borderId="55" xfId="0" applyNumberFormat="1" applyFont="1" applyFill="1" applyBorder="1" applyAlignment="1" applyProtection="1">
      <alignment horizontal="center" vertical="center"/>
      <protection locked="0"/>
    </xf>
    <xf numFmtId="0" fontId="19" fillId="3" borderId="9" xfId="0" applyFont="1" applyFill="1" applyBorder="1" applyAlignment="1" applyProtection="1">
      <alignment horizontal="center" vertical="center" wrapText="1"/>
      <protection hidden="1"/>
    </xf>
    <xf numFmtId="0" fontId="19" fillId="3" borderId="15" xfId="0" applyFont="1" applyFill="1" applyBorder="1" applyAlignment="1" applyProtection="1">
      <alignment horizontal="center" vertical="center" wrapText="1"/>
      <protection hidden="1"/>
    </xf>
    <xf numFmtId="0" fontId="19" fillId="3" borderId="10" xfId="0" applyFont="1" applyFill="1" applyBorder="1" applyAlignment="1" applyProtection="1">
      <alignment horizontal="center" vertical="center" wrapText="1"/>
      <protection hidden="1"/>
    </xf>
    <xf numFmtId="0" fontId="19" fillId="3" borderId="1" xfId="0" applyFont="1" applyFill="1" applyBorder="1" applyAlignment="1" applyProtection="1">
      <alignment horizontal="center" vertical="center" wrapText="1"/>
      <protection hidden="1"/>
    </xf>
    <xf numFmtId="0" fontId="19" fillId="3" borderId="12" xfId="0" applyFont="1" applyFill="1" applyBorder="1" applyAlignment="1" applyProtection="1">
      <alignment horizontal="center" vertical="center" wrapText="1"/>
      <protection hidden="1"/>
    </xf>
    <xf numFmtId="0" fontId="10" fillId="3" borderId="31" xfId="0" applyFont="1" applyFill="1" applyBorder="1" applyAlignment="1" applyProtection="1">
      <alignment horizontal="center"/>
      <protection hidden="1"/>
    </xf>
    <xf numFmtId="0" fontId="10" fillId="3" borderId="9" xfId="0" applyFont="1" applyFill="1" applyBorder="1" applyAlignment="1" applyProtection="1">
      <alignment horizontal="center"/>
      <protection hidden="1"/>
    </xf>
    <xf numFmtId="0" fontId="10" fillId="3" borderId="15" xfId="0" applyFont="1" applyFill="1" applyBorder="1" applyAlignment="1" applyProtection="1">
      <alignment horizontal="center"/>
      <protection hidden="1"/>
    </xf>
    <xf numFmtId="0" fontId="10" fillId="3" borderId="3" xfId="0" applyFont="1" applyFill="1" applyBorder="1" applyAlignment="1" applyProtection="1">
      <alignment horizontal="center" vertical="center" wrapText="1"/>
      <protection hidden="1"/>
    </xf>
    <xf numFmtId="0" fontId="10" fillId="3" borderId="0" xfId="0" applyFont="1" applyFill="1" applyAlignment="1" applyProtection="1">
      <alignment horizontal="center" vertical="center" wrapText="1"/>
      <protection hidden="1"/>
    </xf>
    <xf numFmtId="0" fontId="10" fillId="3" borderId="25" xfId="0" applyFont="1" applyFill="1" applyBorder="1" applyAlignment="1" applyProtection="1">
      <alignment horizontal="center" vertical="center" wrapText="1"/>
      <protection hidden="1"/>
    </xf>
    <xf numFmtId="0" fontId="10" fillId="3" borderId="10" xfId="0" applyFont="1" applyFill="1" applyBorder="1" applyAlignment="1" applyProtection="1">
      <alignment horizontal="center" vertical="center" wrapText="1"/>
      <protection hidden="1"/>
    </xf>
    <xf numFmtId="0" fontId="10" fillId="3" borderId="1" xfId="0" applyFont="1" applyFill="1" applyBorder="1" applyAlignment="1" applyProtection="1">
      <alignment horizontal="center" vertical="center" wrapText="1"/>
      <protection hidden="1"/>
    </xf>
    <xf numFmtId="0" fontId="10" fillId="3" borderId="12" xfId="0" applyFont="1" applyFill="1" applyBorder="1" applyAlignment="1" applyProtection="1">
      <alignment horizontal="center" vertical="center" wrapText="1"/>
      <protection hidden="1"/>
    </xf>
    <xf numFmtId="0" fontId="22" fillId="3" borderId="3" xfId="0" applyFont="1" applyFill="1" applyBorder="1" applyAlignment="1" applyProtection="1">
      <alignment horizontal="center"/>
      <protection hidden="1"/>
    </xf>
    <xf numFmtId="0" fontId="22" fillId="3" borderId="0" xfId="0" applyFont="1" applyFill="1" applyAlignment="1" applyProtection="1">
      <alignment horizontal="center"/>
      <protection hidden="1"/>
    </xf>
    <xf numFmtId="0" fontId="19" fillId="3" borderId="3" xfId="0" applyFont="1" applyFill="1" applyBorder="1" applyAlignment="1" applyProtection="1">
      <alignment horizontal="center" vertical="center"/>
      <protection hidden="1"/>
    </xf>
    <xf numFmtId="0" fontId="19" fillId="3" borderId="0" xfId="0" applyFont="1" applyFill="1" applyAlignment="1" applyProtection="1">
      <alignment horizontal="center" vertical="center"/>
      <protection hidden="1"/>
    </xf>
    <xf numFmtId="0" fontId="19" fillId="3" borderId="10" xfId="0" applyFont="1" applyFill="1" applyBorder="1" applyAlignment="1" applyProtection="1">
      <alignment horizontal="center" vertical="top"/>
      <protection hidden="1"/>
    </xf>
    <xf numFmtId="0" fontId="19" fillId="3" borderId="1" xfId="0" applyFont="1" applyFill="1" applyBorder="1" applyAlignment="1" applyProtection="1">
      <alignment horizontal="center" vertical="top"/>
      <protection hidden="1"/>
    </xf>
    <xf numFmtId="166" fontId="18" fillId="27" borderId="70" xfId="0" applyNumberFormat="1" applyFont="1" applyFill="1" applyBorder="1" applyAlignment="1" applyProtection="1">
      <alignment horizontal="center"/>
      <protection hidden="1"/>
    </xf>
    <xf numFmtId="166" fontId="18" fillId="27" borderId="5" xfId="0" applyNumberFormat="1" applyFont="1" applyFill="1" applyBorder="1" applyAlignment="1" applyProtection="1">
      <alignment horizontal="center"/>
      <protection hidden="1"/>
    </xf>
    <xf numFmtId="49" fontId="5" fillId="17" borderId="10" xfId="0" applyNumberFormat="1" applyFont="1" applyFill="1" applyBorder="1" applyAlignment="1" applyProtection="1">
      <alignment horizontal="center" vertical="center" wrapText="1"/>
      <protection locked="0"/>
    </xf>
    <xf numFmtId="49" fontId="5" fillId="17" borderId="12" xfId="0" applyNumberFormat="1" applyFont="1" applyFill="1" applyBorder="1" applyAlignment="1" applyProtection="1">
      <alignment horizontal="center" vertical="center" wrapText="1"/>
      <protection locked="0"/>
    </xf>
    <xf numFmtId="37" fontId="5" fillId="27" borderId="10" xfId="0" applyNumberFormat="1" applyFont="1" applyFill="1" applyBorder="1" applyAlignment="1" applyProtection="1">
      <alignment horizontal="center"/>
      <protection hidden="1"/>
    </xf>
    <xf numFmtId="37" fontId="5" fillId="27" borderId="1" xfId="0" applyNumberFormat="1" applyFont="1" applyFill="1" applyBorder="1" applyAlignment="1" applyProtection="1">
      <alignment horizontal="center"/>
      <protection hidden="1"/>
    </xf>
    <xf numFmtId="37" fontId="5" fillId="27" borderId="12" xfId="0" applyNumberFormat="1" applyFont="1" applyFill="1" applyBorder="1" applyAlignment="1" applyProtection="1">
      <alignment horizontal="center"/>
      <protection hidden="1"/>
    </xf>
    <xf numFmtId="37" fontId="5" fillId="27" borderId="12" xfId="0" applyNumberFormat="1" applyFont="1" applyFill="1" applyBorder="1" applyAlignment="1" applyProtection="1">
      <alignment horizontal="right"/>
      <protection hidden="1"/>
    </xf>
    <xf numFmtId="0" fontId="5" fillId="17" borderId="1" xfId="0" applyFont="1" applyFill="1" applyBorder="1" applyAlignment="1" applyProtection="1">
      <alignment horizontal="left"/>
      <protection locked="0"/>
    </xf>
    <xf numFmtId="3" fontId="129" fillId="16" borderId="0" xfId="0" applyNumberFormat="1" applyFont="1" applyFill="1" applyAlignment="1">
      <alignment horizontal="center"/>
    </xf>
    <xf numFmtId="166" fontId="18" fillId="29" borderId="10" xfId="0" applyNumberFormat="1" applyFont="1" applyFill="1" applyBorder="1" applyAlignment="1" applyProtection="1">
      <alignment horizontal="center"/>
      <protection hidden="1"/>
    </xf>
    <xf numFmtId="166" fontId="18" fillId="29" borderId="1" xfId="0" applyNumberFormat="1" applyFont="1" applyFill="1" applyBorder="1" applyAlignment="1" applyProtection="1">
      <alignment horizontal="center"/>
      <protection hidden="1"/>
    </xf>
    <xf numFmtId="37" fontId="5" fillId="21" borderId="10" xfId="0" applyNumberFormat="1" applyFont="1" applyFill="1" applyBorder="1" applyProtection="1">
      <protection locked="0"/>
    </xf>
    <xf numFmtId="37" fontId="0" fillId="0" borderId="1" xfId="0" applyNumberFormat="1" applyBorder="1" applyProtection="1">
      <protection locked="0"/>
    </xf>
    <xf numFmtId="37" fontId="5" fillId="21" borderId="3" xfId="0" applyNumberFormat="1" applyFont="1" applyFill="1" applyBorder="1" applyAlignment="1" applyProtection="1">
      <alignment horizontal="right"/>
      <protection locked="0"/>
    </xf>
    <xf numFmtId="37" fontId="5" fillId="21" borderId="0" xfId="0" applyNumberFormat="1" applyFont="1" applyFill="1" applyAlignment="1" applyProtection="1">
      <alignment horizontal="right"/>
      <protection locked="0"/>
    </xf>
    <xf numFmtId="37" fontId="5" fillId="21" borderId="25" xfId="0" applyNumberFormat="1" applyFont="1" applyFill="1" applyBorder="1" applyAlignment="1" applyProtection="1">
      <alignment horizontal="right"/>
      <protection locked="0"/>
    </xf>
    <xf numFmtId="37" fontId="5" fillId="27" borderId="26" xfId="0" applyNumberFormat="1" applyFont="1" applyFill="1" applyBorder="1" applyAlignment="1" applyProtection="1">
      <alignment horizontal="right"/>
      <protection hidden="1"/>
    </xf>
    <xf numFmtId="37" fontId="5" fillId="27" borderId="55" xfId="0" applyNumberFormat="1" applyFont="1" applyFill="1" applyBorder="1" applyAlignment="1" applyProtection="1">
      <alignment horizontal="right"/>
      <protection hidden="1"/>
    </xf>
    <xf numFmtId="0" fontId="5" fillId="16" borderId="31" xfId="0" applyFont="1" applyFill="1" applyBorder="1" applyAlignment="1">
      <alignment horizontal="left" wrapText="1"/>
    </xf>
    <xf numFmtId="0" fontId="5" fillId="16" borderId="9" xfId="0" applyFont="1" applyFill="1" applyBorder="1" applyAlignment="1">
      <alignment horizontal="left" wrapText="1"/>
    </xf>
    <xf numFmtId="0" fontId="5" fillId="16" borderId="15" xfId="0" applyFont="1" applyFill="1" applyBorder="1" applyAlignment="1">
      <alignment horizontal="left" wrapText="1"/>
    </xf>
    <xf numFmtId="0" fontId="5" fillId="16" borderId="3" xfId="0" applyFont="1" applyFill="1" applyBorder="1" applyAlignment="1">
      <alignment horizontal="left" wrapText="1"/>
    </xf>
    <xf numFmtId="0" fontId="5" fillId="16" borderId="0" xfId="0" applyFont="1" applyFill="1" applyAlignment="1">
      <alignment horizontal="left" wrapText="1"/>
    </xf>
    <xf numFmtId="0" fontId="5" fillId="16" borderId="25" xfId="0" applyFont="1" applyFill="1" applyBorder="1" applyAlignment="1">
      <alignment horizontal="left" wrapText="1"/>
    </xf>
    <xf numFmtId="0" fontId="5" fillId="16" borderId="10" xfId="0" applyFont="1" applyFill="1" applyBorder="1" applyAlignment="1">
      <alignment horizontal="left" wrapText="1"/>
    </xf>
    <xf numFmtId="0" fontId="5" fillId="16" borderId="1" xfId="0" applyFont="1" applyFill="1" applyBorder="1" applyAlignment="1">
      <alignment horizontal="left" wrapText="1"/>
    </xf>
    <xf numFmtId="0" fontId="5" fillId="16" borderId="12" xfId="0" applyFont="1" applyFill="1" applyBorder="1" applyAlignment="1">
      <alignment horizontal="left" wrapText="1"/>
    </xf>
    <xf numFmtId="0" fontId="5" fillId="16" borderId="3" xfId="0" applyFont="1" applyFill="1" applyBorder="1" applyAlignment="1">
      <alignment horizontal="left"/>
    </xf>
    <xf numFmtId="0" fontId="5" fillId="16" borderId="0" xfId="0" applyFont="1" applyFill="1" applyAlignment="1">
      <alignment horizontal="left"/>
    </xf>
    <xf numFmtId="0" fontId="5" fillId="16" borderId="25" xfId="0" applyFont="1" applyFill="1" applyBorder="1" applyAlignment="1">
      <alignment horizontal="left"/>
    </xf>
    <xf numFmtId="0" fontId="143" fillId="32" borderId="26" xfId="0" applyFont="1" applyFill="1" applyBorder="1" applyAlignment="1" applyProtection="1">
      <alignment horizontal="center" vertical="center"/>
      <protection hidden="1"/>
    </xf>
    <xf numFmtId="0" fontId="3" fillId="21" borderId="88" xfId="0" quotePrefix="1" applyFont="1" applyFill="1" applyBorder="1" applyAlignment="1" applyProtection="1">
      <alignment vertical="center"/>
      <protection locked="0"/>
    </xf>
    <xf numFmtId="0" fontId="3" fillId="0" borderId="88" xfId="0" applyFont="1" applyBorder="1" applyAlignment="1">
      <alignment vertical="center"/>
    </xf>
    <xf numFmtId="3" fontId="3" fillId="28" borderId="1" xfId="0" applyNumberFormat="1" applyFont="1" applyFill="1" applyBorder="1" applyAlignment="1" applyProtection="1">
      <alignment horizontal="right" indent="1"/>
      <protection hidden="1"/>
    </xf>
    <xf numFmtId="0" fontId="18" fillId="16" borderId="10" xfId="0" applyFont="1" applyFill="1" applyBorder="1" applyAlignment="1" applyProtection="1">
      <alignment horizontal="center"/>
      <protection hidden="1"/>
    </xf>
    <xf numFmtId="0" fontId="53" fillId="0" borderId="12" xfId="0" applyFont="1" applyBorder="1" applyAlignment="1">
      <alignment horizontal="center"/>
    </xf>
    <xf numFmtId="3" fontId="3" fillId="17" borderId="1" xfId="0" applyNumberFormat="1" applyFont="1" applyFill="1" applyBorder="1" applyAlignment="1" applyProtection="1">
      <alignment horizontal="right" indent="1"/>
      <protection locked="0"/>
    </xf>
    <xf numFmtId="0" fontId="3" fillId="24" borderId="31" xfId="0" applyFont="1" applyFill="1" applyBorder="1" applyAlignment="1" applyProtection="1">
      <alignment horizontal="center"/>
      <protection hidden="1"/>
    </xf>
    <xf numFmtId="0" fontId="3" fillId="24" borderId="15" xfId="0" applyFont="1" applyFill="1" applyBorder="1" applyAlignment="1" applyProtection="1">
      <alignment horizontal="center"/>
      <protection hidden="1"/>
    </xf>
    <xf numFmtId="0" fontId="3" fillId="16" borderId="9" xfId="0" applyFont="1" applyFill="1" applyBorder="1" applyAlignment="1" applyProtection="1">
      <alignment horizontal="center"/>
      <protection hidden="1"/>
    </xf>
    <xf numFmtId="0" fontId="3" fillId="16" borderId="0" xfId="0" applyFont="1" applyFill="1" applyAlignment="1" applyProtection="1">
      <alignment horizontal="center"/>
      <protection hidden="1"/>
    </xf>
    <xf numFmtId="0" fontId="18" fillId="16" borderId="3" xfId="0" applyFont="1" applyFill="1" applyBorder="1" applyAlignment="1" applyProtection="1">
      <alignment horizontal="center"/>
      <protection hidden="1"/>
    </xf>
    <xf numFmtId="0" fontId="53" fillId="0" borderId="25" xfId="0" applyFont="1" applyBorder="1" applyAlignment="1">
      <alignment horizontal="center"/>
    </xf>
    <xf numFmtId="0" fontId="18" fillId="21" borderId="88" xfId="0" quotePrefix="1" applyFont="1" applyFill="1" applyBorder="1" applyAlignment="1" applyProtection="1">
      <alignment vertical="center"/>
      <protection locked="0"/>
    </xf>
    <xf numFmtId="0" fontId="0" fillId="0" borderId="88" xfId="0" applyBorder="1" applyAlignment="1">
      <alignment vertical="center"/>
    </xf>
    <xf numFmtId="0" fontId="3" fillId="0" borderId="0" xfId="0" applyFont="1" applyAlignment="1">
      <alignment vertical="center"/>
    </xf>
    <xf numFmtId="0" fontId="5" fillId="0" borderId="88" xfId="0" applyFont="1" applyBorder="1" applyAlignment="1">
      <alignment vertical="center"/>
    </xf>
    <xf numFmtId="175" fontId="3" fillId="28" borderId="1" xfId="0" applyNumberFormat="1" applyFont="1" applyFill="1" applyBorder="1" applyAlignment="1" applyProtection="1">
      <alignment horizontal="right" indent="1"/>
      <protection hidden="1"/>
    </xf>
    <xf numFmtId="0" fontId="0" fillId="28" borderId="1" xfId="0" applyFill="1" applyBorder="1" applyAlignment="1" applyProtection="1">
      <alignment horizontal="right" indent="1"/>
      <protection hidden="1"/>
    </xf>
    <xf numFmtId="0" fontId="3" fillId="16" borderId="1" xfId="0" applyFont="1" applyFill="1" applyBorder="1" applyAlignment="1" applyProtection="1">
      <alignment horizontal="center"/>
      <protection hidden="1"/>
    </xf>
    <xf numFmtId="0" fontId="3" fillId="16" borderId="15" xfId="0" applyFont="1" applyFill="1" applyBorder="1" applyAlignment="1" applyProtection="1">
      <alignment horizontal="center"/>
      <protection hidden="1"/>
    </xf>
    <xf numFmtId="0" fontId="3" fillId="21" borderId="88" xfId="0" quotePrefix="1" applyFont="1" applyFill="1" applyBorder="1" applyAlignment="1" applyProtection="1">
      <alignment horizontal="center" vertical="center"/>
      <protection locked="0"/>
    </xf>
    <xf numFmtId="0" fontId="3" fillId="0" borderId="88" xfId="0" applyFont="1" applyBorder="1" applyAlignment="1">
      <alignment horizontal="center" vertical="center"/>
    </xf>
    <xf numFmtId="3" fontId="129" fillId="16" borderId="3" xfId="0" applyNumberFormat="1" applyFont="1" applyFill="1" applyBorder="1" applyProtection="1">
      <protection hidden="1"/>
    </xf>
    <xf numFmtId="3" fontId="129" fillId="0" borderId="0" xfId="0" applyNumberFormat="1" applyFont="1"/>
    <xf numFmtId="0" fontId="3" fillId="24" borderId="3" xfId="0" applyFont="1" applyFill="1" applyBorder="1" applyAlignment="1" applyProtection="1">
      <alignment horizontal="center"/>
      <protection hidden="1"/>
    </xf>
    <xf numFmtId="0" fontId="3" fillId="24" borderId="25" xfId="0" applyFont="1" applyFill="1" applyBorder="1" applyAlignment="1" applyProtection="1">
      <alignment horizontal="center"/>
      <protection hidden="1"/>
    </xf>
    <xf numFmtId="0" fontId="145" fillId="16" borderId="3" xfId="0" applyFont="1" applyFill="1" applyBorder="1" applyAlignment="1" applyProtection="1">
      <alignment horizontal="center"/>
      <protection hidden="1"/>
    </xf>
    <xf numFmtId="0" fontId="145" fillId="16" borderId="0" xfId="0" applyFont="1" applyFill="1" applyAlignment="1" applyProtection="1">
      <alignment horizontal="center"/>
      <protection hidden="1"/>
    </xf>
    <xf numFmtId="0" fontId="145" fillId="16" borderId="0" xfId="0" applyFont="1" applyFill="1" applyAlignment="1">
      <alignment horizontal="center"/>
    </xf>
    <xf numFmtId="0" fontId="12" fillId="16" borderId="9" xfId="0" applyFont="1" applyFill="1" applyBorder="1" applyAlignment="1" applyProtection="1">
      <alignment horizontal="left" vertical="center" wrapText="1" indent="1"/>
      <protection hidden="1"/>
    </xf>
    <xf numFmtId="0" fontId="16" fillId="0" borderId="9" xfId="0" applyFont="1" applyBorder="1" applyAlignment="1">
      <alignment horizontal="left" vertical="center" indent="1"/>
    </xf>
    <xf numFmtId="0" fontId="16" fillId="0" borderId="0" xfId="0" applyFont="1" applyAlignment="1">
      <alignment horizontal="left" vertical="center" indent="1"/>
    </xf>
    <xf numFmtId="0" fontId="16" fillId="0" borderId="1" xfId="0" applyFont="1" applyBorder="1" applyAlignment="1">
      <alignment horizontal="left" vertical="center" indent="1"/>
    </xf>
    <xf numFmtId="168" fontId="26" fillId="28" borderId="1" xfId="0" applyNumberFormat="1" applyFont="1" applyFill="1" applyBorder="1" applyAlignment="1" applyProtection="1">
      <alignment horizontal="right" indent="1"/>
      <protection hidden="1"/>
    </xf>
    <xf numFmtId="3" fontId="3" fillId="28" borderId="0" xfId="0" applyNumberFormat="1" applyFont="1" applyFill="1" applyAlignment="1" applyProtection="1">
      <alignment horizontal="right" indent="1"/>
      <protection hidden="1"/>
    </xf>
    <xf numFmtId="0" fontId="139" fillId="16" borderId="28" xfId="0" applyFont="1" applyFill="1" applyBorder="1" applyAlignment="1" applyProtection="1">
      <alignment horizontal="center" vertical="center"/>
      <protection hidden="1"/>
    </xf>
    <xf numFmtId="0" fontId="141" fillId="0" borderId="28" xfId="0" applyFont="1" applyBorder="1" applyAlignment="1">
      <alignment horizontal="center" vertical="center"/>
    </xf>
    <xf numFmtId="0" fontId="129" fillId="16" borderId="9" xfId="0" applyFont="1" applyFill="1" applyBorder="1" applyProtection="1">
      <protection hidden="1"/>
    </xf>
    <xf numFmtId="37" fontId="129" fillId="16" borderId="31" xfId="0" applyNumberFormat="1" applyFont="1" applyFill="1" applyBorder="1" applyProtection="1">
      <protection hidden="1"/>
    </xf>
    <xf numFmtId="37" fontId="129" fillId="0" borderId="9" xfId="0" applyNumberFormat="1" applyFont="1" applyBorder="1"/>
    <xf numFmtId="37" fontId="3" fillId="28" borderId="1" xfId="0" applyNumberFormat="1" applyFont="1" applyFill="1" applyBorder="1" applyAlignment="1" applyProtection="1">
      <alignment horizontal="right" indent="1"/>
      <protection hidden="1"/>
    </xf>
    <xf numFmtId="3" fontId="3" fillId="28" borderId="10" xfId="0" applyNumberFormat="1" applyFont="1" applyFill="1" applyBorder="1" applyAlignment="1" applyProtection="1">
      <alignment horizontal="center"/>
      <protection hidden="1"/>
    </xf>
    <xf numFmtId="0" fontId="0" fillId="28" borderId="1" xfId="0" applyFill="1" applyBorder="1" applyAlignment="1" applyProtection="1">
      <alignment horizontal="center"/>
      <protection hidden="1"/>
    </xf>
    <xf numFmtId="0" fontId="18" fillId="16" borderId="31" xfId="0" applyFont="1" applyFill="1" applyBorder="1" applyAlignment="1" applyProtection="1">
      <alignment horizontal="center"/>
      <protection hidden="1"/>
    </xf>
    <xf numFmtId="0" fontId="18" fillId="16" borderId="15" xfId="0" applyFont="1" applyFill="1" applyBorder="1" applyAlignment="1" applyProtection="1">
      <alignment horizontal="center"/>
      <protection hidden="1"/>
    </xf>
    <xf numFmtId="3" fontId="3" fillId="17" borderId="10" xfId="0" applyNumberFormat="1" applyFont="1" applyFill="1" applyBorder="1" applyAlignment="1" applyProtection="1">
      <alignment horizontal="right" indent="1"/>
      <protection locked="0"/>
    </xf>
    <xf numFmtId="3" fontId="3" fillId="17" borderId="12" xfId="0" applyNumberFormat="1" applyFont="1" applyFill="1" applyBorder="1" applyAlignment="1" applyProtection="1">
      <alignment horizontal="right" indent="1"/>
      <protection locked="0"/>
    </xf>
    <xf numFmtId="0" fontId="3" fillId="20" borderId="31" xfId="0" applyFont="1" applyFill="1" applyBorder="1" applyAlignment="1" applyProtection="1">
      <alignment horizontal="center"/>
      <protection hidden="1"/>
    </xf>
    <xf numFmtId="0" fontId="0" fillId="20" borderId="15" xfId="0" applyFill="1" applyBorder="1" applyAlignment="1">
      <alignment horizontal="center"/>
    </xf>
    <xf numFmtId="0" fontId="3" fillId="20" borderId="3" xfId="0" applyFont="1" applyFill="1" applyBorder="1" applyAlignment="1" applyProtection="1">
      <alignment horizontal="center"/>
      <protection hidden="1"/>
    </xf>
    <xf numFmtId="0" fontId="3" fillId="20" borderId="25" xfId="0" applyFont="1" applyFill="1" applyBorder="1" applyAlignment="1" applyProtection="1">
      <alignment horizontal="center"/>
      <protection hidden="1"/>
    </xf>
    <xf numFmtId="0" fontId="23" fillId="16" borderId="26" xfId="0" applyFont="1" applyFill="1" applyBorder="1" applyAlignment="1" applyProtection="1">
      <alignment horizontal="center" vertical="center" wrapText="1"/>
      <protection hidden="1"/>
    </xf>
    <xf numFmtId="0" fontId="23" fillId="0" borderId="26" xfId="0" applyFont="1" applyBorder="1" applyAlignment="1">
      <alignment horizontal="center" vertical="center" wrapText="1"/>
    </xf>
    <xf numFmtId="0" fontId="83" fillId="0" borderId="26" xfId="0" applyFont="1" applyBorder="1" applyAlignment="1">
      <alignment horizontal="center" vertical="center" wrapText="1"/>
    </xf>
    <xf numFmtId="0" fontId="83" fillId="0" borderId="55" xfId="0" applyFont="1" applyBorder="1" applyAlignment="1">
      <alignment horizontal="center" vertical="center" wrapText="1"/>
    </xf>
    <xf numFmtId="0" fontId="53" fillId="0" borderId="15" xfId="0" applyFont="1" applyBorder="1" applyAlignment="1">
      <alignment horizontal="center"/>
    </xf>
    <xf numFmtId="3" fontId="3" fillId="17" borderId="9" xfId="0" applyNumberFormat="1" applyFont="1" applyFill="1" applyBorder="1" applyAlignment="1" applyProtection="1">
      <alignment horizontal="right" indent="1"/>
      <protection locked="0"/>
    </xf>
    <xf numFmtId="182" fontId="3" fillId="21" borderId="26" xfId="0" quotePrefix="1" applyNumberFormat="1" applyFont="1" applyFill="1" applyBorder="1" applyAlignment="1" applyProtection="1">
      <alignment horizontal="left" vertical="center" indent="1"/>
      <protection locked="0"/>
    </xf>
    <xf numFmtId="0" fontId="0" fillId="0" borderId="26" xfId="0" applyBorder="1" applyAlignment="1" applyProtection="1">
      <alignment horizontal="left" vertical="center" indent="1"/>
      <protection locked="0"/>
    </xf>
    <xf numFmtId="0" fontId="0" fillId="0" borderId="55" xfId="0" applyBorder="1" applyAlignment="1" applyProtection="1">
      <alignment horizontal="left" vertical="center" indent="1"/>
      <protection locked="0"/>
    </xf>
    <xf numFmtId="182" fontId="3" fillId="21" borderId="40" xfId="0" quotePrefix="1" applyNumberFormat="1" applyFont="1" applyFill="1" applyBorder="1" applyAlignment="1" applyProtection="1">
      <alignment horizontal="center" vertical="center"/>
      <protection locked="0"/>
    </xf>
    <xf numFmtId="182" fontId="5" fillId="0" borderId="26" xfId="0" applyNumberFormat="1" applyFont="1" applyBorder="1" applyAlignment="1" applyProtection="1">
      <alignment horizontal="center" vertical="center"/>
      <protection locked="0"/>
    </xf>
    <xf numFmtId="0" fontId="0" fillId="0" borderId="55" xfId="0" applyBorder="1" applyAlignment="1" applyProtection="1">
      <alignment horizontal="center" vertical="center"/>
      <protection locked="0"/>
    </xf>
    <xf numFmtId="0" fontId="3" fillId="27" borderId="40" xfId="0" quotePrefix="1" applyFont="1" applyFill="1" applyBorder="1" applyAlignment="1" applyProtection="1">
      <alignment horizontal="center" vertical="center"/>
      <protection hidden="1"/>
    </xf>
    <xf numFmtId="0" fontId="5" fillId="28" borderId="26" xfId="0" applyFont="1" applyFill="1" applyBorder="1" applyAlignment="1" applyProtection="1">
      <alignment horizontal="center" vertical="center"/>
      <protection hidden="1"/>
    </xf>
    <xf numFmtId="0" fontId="5" fillId="28" borderId="55" xfId="0" applyFont="1" applyFill="1" applyBorder="1" applyAlignment="1" applyProtection="1">
      <alignment horizontal="center" vertical="center"/>
      <protection hidden="1"/>
    </xf>
    <xf numFmtId="1" fontId="3" fillId="21" borderId="40" xfId="0" quotePrefix="1" applyNumberFormat="1" applyFont="1" applyFill="1" applyBorder="1" applyAlignment="1" applyProtection="1">
      <alignment horizontal="center" vertical="center"/>
      <protection locked="0"/>
    </xf>
    <xf numFmtId="1" fontId="0" fillId="0" borderId="26" xfId="0" applyNumberFormat="1" applyBorder="1" applyAlignment="1" applyProtection="1">
      <alignment horizontal="center" vertical="center"/>
      <protection locked="0"/>
    </xf>
    <xf numFmtId="1" fontId="0" fillId="0" borderId="55" xfId="0" applyNumberFormat="1" applyBorder="1" applyAlignment="1" applyProtection="1">
      <alignment horizontal="center" vertical="center"/>
      <protection locked="0"/>
    </xf>
    <xf numFmtId="3" fontId="3" fillId="21" borderId="40" xfId="0" quotePrefix="1" applyNumberFormat="1" applyFont="1" applyFill="1" applyBorder="1" applyAlignment="1" applyProtection="1">
      <alignment horizontal="right" vertical="center" indent="1"/>
      <protection locked="0"/>
    </xf>
    <xf numFmtId="0" fontId="0" fillId="0" borderId="26" xfId="0" applyBorder="1" applyAlignment="1" applyProtection="1">
      <alignment horizontal="right" vertical="center" indent="1"/>
      <protection locked="0"/>
    </xf>
    <xf numFmtId="0" fontId="10" fillId="0" borderId="40" xfId="0" applyFont="1" applyBorder="1" applyAlignment="1">
      <alignment horizontal="center" vertical="center" wrapText="1"/>
    </xf>
    <xf numFmtId="0" fontId="0" fillId="0" borderId="55" xfId="0" applyBorder="1" applyAlignment="1">
      <alignment horizontal="center" vertical="center" wrapText="1"/>
    </xf>
    <xf numFmtId="0" fontId="13" fillId="16" borderId="26" xfId="0" applyFont="1" applyFill="1" applyBorder="1" applyAlignment="1" applyProtection="1">
      <alignment horizontal="center" vertical="center" wrapText="1"/>
      <protection hidden="1"/>
    </xf>
    <xf numFmtId="3" fontId="5" fillId="0" borderId="26" xfId="0" applyNumberFormat="1" applyFont="1" applyBorder="1" applyAlignment="1" applyProtection="1">
      <alignment horizontal="right" vertical="center" indent="1"/>
      <protection locked="0"/>
    </xf>
    <xf numFmtId="182" fontId="3" fillId="21" borderId="26" xfId="0" quotePrefix="1" applyNumberFormat="1" applyFont="1" applyFill="1" applyBorder="1" applyAlignment="1" applyProtection="1">
      <alignment horizontal="center" vertical="center"/>
      <protection locked="0"/>
    </xf>
    <xf numFmtId="182" fontId="5" fillId="0" borderId="55" xfId="0" applyNumberFormat="1" applyFont="1" applyBorder="1" applyAlignment="1" applyProtection="1">
      <alignment horizontal="center" vertical="center"/>
      <protection locked="0"/>
    </xf>
    <xf numFmtId="3" fontId="5" fillId="0" borderId="69" xfId="0" applyNumberFormat="1" applyFont="1" applyBorder="1" applyAlignment="1" applyProtection="1">
      <alignment horizontal="right" vertical="center" indent="1"/>
      <protection locked="0"/>
    </xf>
    <xf numFmtId="182" fontId="3" fillId="21" borderId="50" xfId="0" quotePrefix="1" applyNumberFormat="1" applyFont="1" applyFill="1" applyBorder="1" applyAlignment="1" applyProtection="1">
      <alignment horizontal="center" vertical="center"/>
      <protection locked="0"/>
    </xf>
    <xf numFmtId="182" fontId="5" fillId="0" borderId="50" xfId="0" applyNumberFormat="1" applyFont="1" applyBorder="1" applyAlignment="1" applyProtection="1">
      <alignment horizontal="center" vertical="center"/>
      <protection locked="0"/>
    </xf>
    <xf numFmtId="182" fontId="5" fillId="0" borderId="47" xfId="0" applyNumberFormat="1" applyFont="1" applyBorder="1" applyAlignment="1" applyProtection="1">
      <alignment horizontal="center" vertical="center"/>
      <protection locked="0"/>
    </xf>
    <xf numFmtId="0" fontId="10" fillId="16" borderId="40" xfId="0" applyFont="1" applyFill="1" applyBorder="1" applyAlignment="1" applyProtection="1">
      <alignment horizontal="center" vertical="center" wrapText="1"/>
      <protection hidden="1"/>
    </xf>
    <xf numFmtId="0" fontId="10" fillId="0" borderId="26" xfId="0" applyFont="1" applyBorder="1" applyAlignment="1">
      <alignment horizontal="center" vertical="center" wrapText="1"/>
    </xf>
    <xf numFmtId="0" fontId="5" fillId="16" borderId="0" xfId="0" applyFont="1" applyFill="1" applyAlignment="1" applyProtection="1">
      <alignment vertical="center" wrapText="1"/>
      <protection hidden="1"/>
    </xf>
    <xf numFmtId="182" fontId="12" fillId="21" borderId="88" xfId="0" quotePrefix="1" applyNumberFormat="1" applyFont="1" applyFill="1" applyBorder="1" applyAlignment="1" applyProtection="1">
      <alignment horizontal="center" vertical="center"/>
      <protection locked="0"/>
    </xf>
    <xf numFmtId="182" fontId="0" fillId="0" borderId="88" xfId="0" applyNumberFormat="1" applyBorder="1" applyAlignment="1" applyProtection="1">
      <alignment horizontal="center" vertical="center"/>
      <protection locked="0"/>
    </xf>
    <xf numFmtId="0" fontId="0" fillId="0" borderId="88" xfId="0" applyBorder="1" applyAlignment="1" applyProtection="1">
      <alignment horizontal="center" vertical="center"/>
      <protection locked="0"/>
    </xf>
    <xf numFmtId="0" fontId="3" fillId="21" borderId="114" xfId="0" quotePrefix="1" applyFont="1" applyFill="1" applyBorder="1" applyAlignment="1" applyProtection="1">
      <alignment vertical="center"/>
      <protection locked="0"/>
    </xf>
    <xf numFmtId="0" fontId="3" fillId="0" borderId="114" xfId="0" applyFont="1" applyBorder="1" applyAlignment="1">
      <alignment vertical="center"/>
    </xf>
    <xf numFmtId="0" fontId="3" fillId="21" borderId="1" xfId="0" quotePrefix="1" applyFont="1" applyFill="1" applyBorder="1" applyAlignment="1" applyProtection="1">
      <alignment vertical="center"/>
      <protection locked="0"/>
    </xf>
    <xf numFmtId="0" fontId="3" fillId="0" borderId="1" xfId="0" applyFont="1" applyBorder="1" applyAlignment="1">
      <alignment vertical="center"/>
    </xf>
    <xf numFmtId="0" fontId="10" fillId="16" borderId="26" xfId="0" applyFont="1" applyFill="1" applyBorder="1" applyAlignment="1" applyProtection="1">
      <alignment horizontal="center" vertical="center" wrapText="1"/>
      <protection hidden="1"/>
    </xf>
    <xf numFmtId="0" fontId="10" fillId="0" borderId="55" xfId="0" applyFont="1" applyBorder="1" applyAlignment="1">
      <alignment horizontal="center" vertical="center" wrapText="1"/>
    </xf>
    <xf numFmtId="0" fontId="10" fillId="0" borderId="69"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55" xfId="0" applyFont="1" applyBorder="1" applyAlignment="1">
      <alignment horizontal="center" vertical="center" wrapText="1"/>
    </xf>
    <xf numFmtId="0" fontId="16" fillId="16" borderId="0" xfId="0" applyFont="1" applyFill="1" applyAlignment="1" applyProtection="1">
      <alignment horizontal="left" vertical="center"/>
      <protection hidden="1"/>
    </xf>
    <xf numFmtId="0" fontId="23" fillId="16" borderId="0" xfId="0" applyFont="1" applyFill="1" applyAlignment="1" applyProtection="1">
      <alignment horizontal="center"/>
      <protection hidden="1"/>
    </xf>
    <xf numFmtId="0" fontId="102" fillId="16" borderId="0" xfId="0" quotePrefix="1" applyFont="1" applyFill="1" applyProtection="1">
      <protection hidden="1"/>
    </xf>
    <xf numFmtId="0" fontId="0" fillId="0" borderId="0" xfId="0" applyProtection="1">
      <protection hidden="1"/>
    </xf>
    <xf numFmtId="0" fontId="95" fillId="16" borderId="6" xfId="0" applyFont="1" applyFill="1" applyBorder="1" applyAlignment="1" applyProtection="1">
      <alignment horizontal="center"/>
      <protection hidden="1"/>
    </xf>
    <xf numFmtId="0" fontId="0" fillId="0" borderId="6" xfId="0" applyBorder="1" applyAlignment="1" applyProtection="1">
      <alignment horizontal="center"/>
      <protection hidden="1"/>
    </xf>
    <xf numFmtId="0" fontId="5" fillId="16" borderId="27" xfId="0" applyFont="1" applyFill="1" applyBorder="1" applyAlignment="1" applyProtection="1">
      <alignment horizontal="center"/>
      <protection hidden="1"/>
    </xf>
    <xf numFmtId="0" fontId="0" fillId="0" borderId="1" xfId="0" applyBorder="1" applyAlignment="1" applyProtection="1">
      <alignment horizontal="center"/>
      <protection hidden="1"/>
    </xf>
    <xf numFmtId="0" fontId="0" fillId="16" borderId="0" xfId="0" applyFill="1" applyAlignment="1" applyProtection="1">
      <alignment horizontal="right"/>
      <protection hidden="1"/>
    </xf>
    <xf numFmtId="0" fontId="172" fillId="16" borderId="81" xfId="0" applyFont="1" applyFill="1" applyBorder="1" applyAlignment="1" applyProtection="1">
      <alignment horizontal="center" vertical="center"/>
      <protection hidden="1"/>
    </xf>
    <xf numFmtId="0" fontId="173" fillId="0" borderId="9" xfId="0" applyFont="1" applyBorder="1" applyAlignment="1" applyProtection="1">
      <alignment horizontal="center" vertical="center"/>
      <protection hidden="1"/>
    </xf>
    <xf numFmtId="0" fontId="173" fillId="0" borderId="6" xfId="0" applyFont="1" applyBorder="1" applyAlignment="1" applyProtection="1">
      <alignment horizontal="center" vertical="center"/>
      <protection hidden="1"/>
    </xf>
    <xf numFmtId="0" fontId="173" fillId="0" borderId="0" xfId="0" applyFont="1" applyAlignment="1" applyProtection="1">
      <alignment horizontal="center" vertical="center"/>
      <protection hidden="1"/>
    </xf>
    <xf numFmtId="0" fontId="3" fillId="16" borderId="6" xfId="0" applyFont="1" applyFill="1" applyBorder="1" applyAlignment="1" applyProtection="1">
      <alignment horizontal="center"/>
      <protection hidden="1"/>
    </xf>
    <xf numFmtId="0" fontId="53" fillId="16" borderId="0" xfId="0" applyFont="1" applyFill="1" applyAlignment="1" applyProtection="1">
      <alignment horizontal="right"/>
      <protection hidden="1"/>
    </xf>
    <xf numFmtId="0" fontId="53" fillId="0" borderId="0" xfId="0" applyFont="1" applyAlignment="1" applyProtection="1">
      <alignment horizontal="right"/>
      <protection hidden="1"/>
    </xf>
    <xf numFmtId="0" fontId="50" fillId="16" borderId="0" xfId="0" applyFont="1" applyFill="1" applyAlignment="1" applyProtection="1">
      <alignment horizontal="left"/>
      <protection hidden="1"/>
    </xf>
    <xf numFmtId="0" fontId="50" fillId="16" borderId="5" xfId="0" applyFont="1" applyFill="1" applyBorder="1" applyAlignment="1" applyProtection="1">
      <alignment horizontal="left"/>
      <protection hidden="1"/>
    </xf>
    <xf numFmtId="0" fontId="8" fillId="16" borderId="22" xfId="0" applyFont="1" applyFill="1" applyBorder="1" applyAlignment="1" applyProtection="1">
      <alignment horizontal="center"/>
      <protection hidden="1"/>
    </xf>
    <xf numFmtId="0" fontId="8" fillId="0" borderId="5" xfId="0" applyFont="1" applyBorder="1" applyAlignment="1" applyProtection="1">
      <alignment horizontal="center"/>
      <protection hidden="1"/>
    </xf>
    <xf numFmtId="0" fontId="8" fillId="0" borderId="23" xfId="0" applyFont="1" applyBorder="1" applyAlignment="1" applyProtection="1">
      <alignment horizontal="center"/>
      <protection hidden="1"/>
    </xf>
    <xf numFmtId="0" fontId="12" fillId="21" borderId="1" xfId="0" quotePrefix="1" applyFont="1" applyFill="1" applyBorder="1" applyAlignment="1" applyProtection="1">
      <alignment vertical="center"/>
      <protection locked="0"/>
    </xf>
    <xf numFmtId="0" fontId="5" fillId="17" borderId="1" xfId="0" applyFont="1" applyFill="1" applyBorder="1" applyAlignment="1" applyProtection="1">
      <alignment vertical="center"/>
      <protection locked="0"/>
    </xf>
    <xf numFmtId="0" fontId="5" fillId="17" borderId="12" xfId="0" applyFont="1" applyFill="1" applyBorder="1" applyAlignment="1" applyProtection="1">
      <alignment vertical="center"/>
      <protection locked="0"/>
    </xf>
    <xf numFmtId="0" fontId="12" fillId="21" borderId="10" xfId="0" quotePrefix="1" applyFont="1" applyFill="1" applyBorder="1" applyAlignment="1" applyProtection="1">
      <alignment vertical="center"/>
      <protection locked="0"/>
    </xf>
    <xf numFmtId="0" fontId="0" fillId="17" borderId="1" xfId="0" applyFill="1" applyBorder="1" applyAlignment="1" applyProtection="1">
      <alignment vertical="center"/>
      <protection locked="0"/>
    </xf>
    <xf numFmtId="0" fontId="3" fillId="21" borderId="86" xfId="0" quotePrefix="1" applyFont="1" applyFill="1" applyBorder="1" applyAlignment="1" applyProtection="1">
      <alignment vertical="center"/>
      <protection locked="0"/>
    </xf>
    <xf numFmtId="0" fontId="5" fillId="17" borderId="86" xfId="0" applyFont="1" applyFill="1" applyBorder="1" applyAlignment="1" applyProtection="1">
      <alignment vertical="center"/>
      <protection locked="0"/>
    </xf>
    <xf numFmtId="0" fontId="5" fillId="17" borderId="9" xfId="0" applyFont="1" applyFill="1" applyBorder="1" applyAlignment="1" applyProtection="1">
      <alignment vertical="center"/>
      <protection locked="0"/>
    </xf>
    <xf numFmtId="0" fontId="5" fillId="0" borderId="9" xfId="0" applyFont="1" applyBorder="1"/>
    <xf numFmtId="0" fontId="5" fillId="0" borderId="114" xfId="0" applyFont="1" applyBorder="1" applyAlignment="1">
      <alignment vertical="center"/>
    </xf>
    <xf numFmtId="182" fontId="3" fillId="21" borderId="86" xfId="0" quotePrefix="1" applyNumberFormat="1" applyFont="1" applyFill="1" applyBorder="1" applyAlignment="1" applyProtection="1">
      <alignment horizontal="center" vertical="center"/>
      <protection locked="0"/>
    </xf>
    <xf numFmtId="182" fontId="5" fillId="0" borderId="86" xfId="0" applyNumberFormat="1" applyFont="1" applyBorder="1" applyAlignment="1">
      <alignment horizontal="center" vertical="center"/>
    </xf>
    <xf numFmtId="0" fontId="0" fillId="0" borderId="86" xfId="0" applyBorder="1" applyAlignment="1">
      <alignment horizontal="center" vertical="center"/>
    </xf>
    <xf numFmtId="0" fontId="53" fillId="16" borderId="5" xfId="0" applyFont="1" applyFill="1" applyBorder="1" applyAlignment="1" applyProtection="1">
      <alignment horizontal="right"/>
      <protection hidden="1"/>
    </xf>
    <xf numFmtId="0" fontId="53" fillId="0" borderId="5" xfId="0" applyFont="1" applyBorder="1" applyAlignment="1" applyProtection="1">
      <alignment horizontal="right"/>
      <protection hidden="1"/>
    </xf>
    <xf numFmtId="0" fontId="12" fillId="29" borderId="0" xfId="0" quotePrefix="1" applyFont="1" applyFill="1" applyAlignment="1" applyProtection="1">
      <alignment vertical="center"/>
      <protection hidden="1"/>
    </xf>
    <xf numFmtId="0" fontId="0" fillId="26" borderId="0" xfId="0" applyFill="1" applyAlignment="1" applyProtection="1">
      <alignment vertical="center"/>
      <protection hidden="1"/>
    </xf>
    <xf numFmtId="0" fontId="0" fillId="0" borderId="25" xfId="0" applyBorder="1" applyAlignment="1">
      <alignment vertical="center"/>
    </xf>
    <xf numFmtId="0" fontId="0" fillId="0" borderId="1" xfId="0" applyBorder="1" applyAlignment="1" applyProtection="1">
      <alignment vertical="center"/>
      <protection hidden="1"/>
    </xf>
    <xf numFmtId="0" fontId="0" fillId="0" borderId="12" xfId="0" applyBorder="1" applyAlignment="1">
      <alignment vertical="center"/>
    </xf>
    <xf numFmtId="166" fontId="12" fillId="29" borderId="3" xfId="0" quotePrefix="1" applyNumberFormat="1" applyFont="1" applyFill="1" applyBorder="1" applyAlignment="1" applyProtection="1">
      <alignment horizontal="center" vertical="center"/>
      <protection hidden="1"/>
    </xf>
    <xf numFmtId="0" fontId="3" fillId="21" borderId="88" xfId="0" quotePrefix="1" applyFont="1" applyFill="1" applyBorder="1" applyAlignment="1" applyProtection="1">
      <alignment horizontal="left" vertical="center"/>
      <protection locked="0"/>
    </xf>
    <xf numFmtId="0" fontId="3" fillId="28" borderId="1" xfId="0" applyFont="1" applyFill="1" applyBorder="1" applyAlignment="1" applyProtection="1">
      <alignment horizontal="center"/>
      <protection hidden="1"/>
    </xf>
    <xf numFmtId="0" fontId="3" fillId="21" borderId="86" xfId="0" quotePrefix="1" applyFont="1" applyFill="1" applyBorder="1" applyAlignment="1" applyProtection="1">
      <alignment horizontal="right" vertical="center"/>
      <protection locked="0"/>
    </xf>
    <xf numFmtId="0" fontId="18" fillId="16" borderId="9" xfId="0" quotePrefix="1" applyFont="1" applyFill="1" applyBorder="1" applyAlignment="1" applyProtection="1">
      <alignment horizontal="center" vertical="center"/>
      <protection hidden="1"/>
    </xf>
    <xf numFmtId="0" fontId="18" fillId="16" borderId="0" xfId="0" quotePrefix="1" applyFont="1" applyFill="1" applyAlignment="1" applyProtection="1">
      <alignment horizontal="center" vertical="center"/>
      <protection hidden="1"/>
    </xf>
    <xf numFmtId="0" fontId="83" fillId="0" borderId="26" xfId="0" applyFont="1" applyBorder="1" applyAlignment="1">
      <alignment horizontal="center"/>
    </xf>
    <xf numFmtId="37" fontId="18" fillId="0" borderId="40" xfId="0" applyNumberFormat="1" applyFont="1" applyBorder="1" applyAlignment="1" applyProtection="1">
      <alignment wrapText="1"/>
      <protection locked="0"/>
    </xf>
    <xf numFmtId="37" fontId="3" fillId="0" borderId="26" xfId="0" applyNumberFormat="1" applyFont="1" applyBorder="1" applyAlignment="1" applyProtection="1">
      <alignment wrapText="1"/>
      <protection locked="0"/>
    </xf>
    <xf numFmtId="37" fontId="3" fillId="0" borderId="55" xfId="0" applyNumberFormat="1" applyFont="1" applyBorder="1" applyAlignment="1" applyProtection="1">
      <alignment wrapText="1"/>
      <protection locked="0"/>
    </xf>
    <xf numFmtId="0" fontId="3" fillId="0" borderId="40" xfId="0" applyFont="1" applyBorder="1" applyAlignment="1" applyProtection="1">
      <alignment wrapText="1"/>
      <protection locked="0"/>
    </xf>
    <xf numFmtId="0" fontId="3" fillId="0" borderId="26" xfId="0" applyFont="1" applyBorder="1" applyAlignment="1" applyProtection="1">
      <alignment wrapText="1"/>
      <protection locked="0"/>
    </xf>
    <xf numFmtId="0" fontId="3" fillId="0" borderId="55" xfId="0" applyFont="1" applyBorder="1" applyAlignment="1" applyProtection="1">
      <alignment wrapText="1"/>
      <protection locked="0"/>
    </xf>
    <xf numFmtId="15" fontId="18" fillId="0" borderId="40" xfId="0" applyNumberFormat="1" applyFont="1" applyBorder="1" applyAlignment="1" applyProtection="1">
      <alignment horizontal="center"/>
      <protection locked="0"/>
    </xf>
    <xf numFmtId="0" fontId="18" fillId="0" borderId="26" xfId="0" applyFont="1" applyBorder="1" applyAlignment="1" applyProtection="1">
      <alignment horizontal="center"/>
      <protection locked="0"/>
    </xf>
    <xf numFmtId="0" fontId="18" fillId="0" borderId="55" xfId="0" applyFont="1" applyBorder="1" applyAlignment="1" applyProtection="1">
      <alignment horizontal="center"/>
      <protection locked="0"/>
    </xf>
    <xf numFmtId="37" fontId="18" fillId="0" borderId="40" xfId="0" applyNumberFormat="1" applyFont="1" applyBorder="1" applyAlignment="1" applyProtection="1">
      <alignment horizontal="right"/>
      <protection locked="0"/>
    </xf>
    <xf numFmtId="37" fontId="18" fillId="0" borderId="26" xfId="0" applyNumberFormat="1" applyFont="1" applyBorder="1" applyAlignment="1" applyProtection="1">
      <alignment horizontal="right"/>
      <protection locked="0"/>
    </xf>
    <xf numFmtId="37" fontId="18" fillId="0" borderId="55" xfId="0" applyNumberFormat="1" applyFont="1" applyBorder="1" applyAlignment="1" applyProtection="1">
      <alignment horizontal="right"/>
      <protection locked="0"/>
    </xf>
    <xf numFmtId="171" fontId="18" fillId="0" borderId="40" xfId="0" applyNumberFormat="1" applyFont="1" applyBorder="1" applyAlignment="1" applyProtection="1">
      <alignment horizontal="center"/>
      <protection locked="0"/>
    </xf>
    <xf numFmtId="171" fontId="18" fillId="0" borderId="26" xfId="0" applyNumberFormat="1" applyFont="1" applyBorder="1" applyAlignment="1" applyProtection="1">
      <alignment horizontal="center"/>
      <protection locked="0"/>
    </xf>
    <xf numFmtId="171" fontId="18" fillId="0" borderId="55" xfId="0" applyNumberFormat="1" applyFont="1" applyBorder="1" applyAlignment="1" applyProtection="1">
      <alignment horizontal="center"/>
      <protection locked="0"/>
    </xf>
    <xf numFmtId="37" fontId="18" fillId="0" borderId="40" xfId="0" applyNumberFormat="1" applyFont="1" applyBorder="1" applyAlignment="1" applyProtection="1">
      <alignment horizontal="center"/>
      <protection locked="0"/>
    </xf>
    <xf numFmtId="37" fontId="18" fillId="0" borderId="26" xfId="0" applyNumberFormat="1" applyFont="1" applyBorder="1" applyAlignment="1" applyProtection="1">
      <alignment horizontal="center"/>
      <protection locked="0"/>
    </xf>
    <xf numFmtId="37" fontId="18" fillId="0" borderId="55" xfId="0" applyNumberFormat="1" applyFont="1" applyBorder="1" applyAlignment="1" applyProtection="1">
      <alignment horizontal="center"/>
      <protection locked="0"/>
    </xf>
    <xf numFmtId="0" fontId="18" fillId="0" borderId="40" xfId="0" applyFont="1" applyBorder="1" applyAlignment="1" applyProtection="1">
      <alignment horizontal="center"/>
      <protection locked="0"/>
    </xf>
    <xf numFmtId="0" fontId="12" fillId="16" borderId="13" xfId="0" applyFont="1" applyFill="1" applyBorder="1" applyAlignment="1" applyProtection="1">
      <alignment horizontal="center"/>
      <protection hidden="1"/>
    </xf>
    <xf numFmtId="0" fontId="12" fillId="0" borderId="13" xfId="0" applyFont="1" applyBorder="1" applyAlignment="1" applyProtection="1">
      <alignment horizontal="center"/>
      <protection hidden="1"/>
    </xf>
    <xf numFmtId="37" fontId="12" fillId="17" borderId="40" xfId="0" applyNumberFormat="1" applyFont="1" applyFill="1" applyBorder="1" applyAlignment="1" applyProtection="1">
      <alignment horizontal="right" vertical="center" wrapText="1"/>
      <protection locked="0"/>
    </xf>
    <xf numFmtId="37" fontId="12" fillId="17" borderId="26" xfId="0" applyNumberFormat="1" applyFont="1" applyFill="1" applyBorder="1" applyAlignment="1" applyProtection="1">
      <alignment horizontal="right" vertical="center" wrapText="1"/>
      <protection locked="0"/>
    </xf>
    <xf numFmtId="37" fontId="12" fillId="28" borderId="40" xfId="0" applyNumberFormat="1" applyFont="1" applyFill="1" applyBorder="1" applyAlignment="1" applyProtection="1">
      <alignment horizontal="right" vertical="center" wrapText="1"/>
      <protection hidden="1"/>
    </xf>
    <xf numFmtId="37" fontId="12" fillId="28" borderId="26" xfId="0" applyNumberFormat="1" applyFont="1" applyFill="1" applyBorder="1" applyAlignment="1" applyProtection="1">
      <alignment horizontal="right" vertical="center" wrapText="1"/>
      <protection hidden="1"/>
    </xf>
    <xf numFmtId="0" fontId="10" fillId="0" borderId="31" xfId="0" applyFont="1" applyBorder="1" applyAlignment="1" applyProtection="1">
      <alignment horizontal="center" vertical="center"/>
      <protection hidden="1"/>
    </xf>
    <xf numFmtId="0" fontId="10" fillId="0" borderId="9" xfId="0" applyFont="1" applyBorder="1" applyAlignment="1" applyProtection="1">
      <alignment horizontal="center" vertical="center"/>
      <protection hidden="1"/>
    </xf>
    <xf numFmtId="0" fontId="10" fillId="0" borderId="15" xfId="0" applyFont="1" applyBorder="1" applyAlignment="1" applyProtection="1">
      <alignment horizontal="center" vertical="center"/>
      <protection hidden="1"/>
    </xf>
    <xf numFmtId="0" fontId="10" fillId="0" borderId="3" xfId="0" applyFont="1" applyBorder="1" applyAlignment="1" applyProtection="1">
      <alignment horizontal="center" vertical="center"/>
      <protection hidden="1"/>
    </xf>
    <xf numFmtId="0" fontId="10" fillId="0" borderId="0" xfId="0" applyFont="1" applyAlignment="1" applyProtection="1">
      <alignment horizontal="center" vertical="center"/>
      <protection hidden="1"/>
    </xf>
    <xf numFmtId="0" fontId="10" fillId="0" borderId="25" xfId="0" applyFont="1" applyBorder="1" applyAlignment="1" applyProtection="1">
      <alignment horizontal="center" vertical="center"/>
      <protection hidden="1"/>
    </xf>
    <xf numFmtId="0" fontId="10" fillId="0" borderId="10" xfId="0" applyFont="1" applyBorder="1" applyAlignment="1" applyProtection="1">
      <alignment horizontal="center" vertical="center"/>
      <protection hidden="1"/>
    </xf>
    <xf numFmtId="0" fontId="10" fillId="0" borderId="1" xfId="0" applyFont="1" applyBorder="1" applyAlignment="1" applyProtection="1">
      <alignment horizontal="center" vertical="center"/>
      <protection hidden="1"/>
    </xf>
    <xf numFmtId="0" fontId="10" fillId="0" borderId="12" xfId="0" applyFont="1" applyBorder="1" applyAlignment="1" applyProtection="1">
      <alignment horizontal="center" vertical="center"/>
      <protection hidden="1"/>
    </xf>
    <xf numFmtId="0" fontId="10" fillId="0" borderId="31" xfId="0" applyFont="1" applyBorder="1" applyAlignment="1" applyProtection="1">
      <alignment horizontal="center" vertical="center" wrapText="1"/>
      <protection hidden="1"/>
    </xf>
    <xf numFmtId="0" fontId="10" fillId="0" borderId="9" xfId="0" applyFont="1" applyBorder="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0" borderId="3" xfId="0" applyFont="1" applyBorder="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25" xfId="0" applyFont="1" applyBorder="1" applyAlignment="1" applyProtection="1">
      <alignment horizontal="center" vertical="center" wrapText="1"/>
      <protection hidden="1"/>
    </xf>
    <xf numFmtId="0" fontId="10" fillId="0" borderId="10"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wrapText="1"/>
      <protection hidden="1"/>
    </xf>
    <xf numFmtId="0" fontId="10" fillId="0" borderId="12" xfId="0" applyFont="1" applyBorder="1" applyAlignment="1" applyProtection="1">
      <alignment horizontal="center" vertical="center" wrapText="1"/>
      <protection hidden="1"/>
    </xf>
    <xf numFmtId="0" fontId="12" fillId="17" borderId="26" xfId="0" quotePrefix="1" applyFont="1" applyFill="1" applyBorder="1" applyAlignment="1" applyProtection="1">
      <alignment horizontal="left" vertical="center" wrapText="1"/>
      <protection locked="0"/>
    </xf>
    <xf numFmtId="0" fontId="12" fillId="17" borderId="26" xfId="0" quotePrefix="1" applyFont="1" applyFill="1" applyBorder="1" applyAlignment="1" applyProtection="1">
      <alignment horizontal="left" vertical="center"/>
      <protection locked="0"/>
    </xf>
    <xf numFmtId="0" fontId="12" fillId="17" borderId="55" xfId="0" quotePrefix="1" applyFont="1" applyFill="1" applyBorder="1" applyAlignment="1" applyProtection="1">
      <alignment horizontal="left" vertical="center"/>
      <protection locked="0"/>
    </xf>
    <xf numFmtId="15" fontId="12" fillId="17" borderId="40" xfId="0" applyNumberFormat="1" applyFont="1" applyFill="1" applyBorder="1" applyAlignment="1" applyProtection="1">
      <alignment horizontal="center" vertical="center" wrapText="1"/>
      <protection locked="0"/>
    </xf>
    <xf numFmtId="0" fontId="12" fillId="17" borderId="26" xfId="0" applyFont="1" applyFill="1" applyBorder="1" applyAlignment="1" applyProtection="1">
      <alignment horizontal="center" vertical="center"/>
      <protection locked="0"/>
    </xf>
    <xf numFmtId="0" fontId="12" fillId="17" borderId="55" xfId="0" applyFont="1" applyFill="1" applyBorder="1" applyAlignment="1" applyProtection="1">
      <alignment horizontal="center" vertical="center"/>
      <protection locked="0"/>
    </xf>
    <xf numFmtId="37" fontId="12" fillId="17" borderId="26" xfId="0" applyNumberFormat="1" applyFont="1" applyFill="1" applyBorder="1" applyAlignment="1" applyProtection="1">
      <alignment horizontal="right" vertical="center"/>
      <protection locked="0"/>
    </xf>
    <xf numFmtId="37" fontId="12" fillId="17" borderId="55" xfId="0" applyNumberFormat="1" applyFont="1" applyFill="1" applyBorder="1" applyAlignment="1" applyProtection="1">
      <alignment horizontal="right" vertical="center"/>
      <protection locked="0"/>
    </xf>
    <xf numFmtId="0" fontId="12" fillId="17" borderId="40" xfId="0" applyFont="1" applyFill="1" applyBorder="1" applyAlignment="1" applyProtection="1">
      <alignment horizontal="center" vertical="center" wrapText="1"/>
      <protection locked="0"/>
    </xf>
    <xf numFmtId="0" fontId="12" fillId="17" borderId="26" xfId="0" applyFont="1" applyFill="1" applyBorder="1" applyAlignment="1" applyProtection="1">
      <alignment horizontal="center" vertical="center" wrapText="1"/>
      <protection locked="0"/>
    </xf>
    <xf numFmtId="0" fontId="12" fillId="17" borderId="55" xfId="0" applyFont="1" applyFill="1" applyBorder="1" applyAlignment="1" applyProtection="1">
      <alignment horizontal="center" vertical="center" wrapText="1"/>
      <protection locked="0"/>
    </xf>
    <xf numFmtId="0" fontId="12" fillId="17" borderId="40" xfId="0" applyFont="1" applyFill="1" applyBorder="1" applyAlignment="1" applyProtection="1">
      <alignment horizontal="center" wrapText="1"/>
      <protection locked="0"/>
    </xf>
    <xf numFmtId="0" fontId="12" fillId="17" borderId="26" xfId="0" applyFont="1" applyFill="1" applyBorder="1" applyAlignment="1" applyProtection="1">
      <alignment horizontal="center"/>
      <protection locked="0"/>
    </xf>
    <xf numFmtId="0" fontId="12" fillId="17" borderId="55" xfId="0" applyFont="1" applyFill="1" applyBorder="1" applyAlignment="1" applyProtection="1">
      <alignment horizontal="center"/>
      <protection locked="0"/>
    </xf>
    <xf numFmtId="9" fontId="12" fillId="17" borderId="40" xfId="0" applyNumberFormat="1" applyFont="1" applyFill="1" applyBorder="1" applyAlignment="1" applyProtection="1">
      <alignment horizontal="center" wrapText="1"/>
      <protection locked="0"/>
    </xf>
    <xf numFmtId="0" fontId="3" fillId="17" borderId="26" xfId="0" applyFont="1" applyFill="1" applyBorder="1" applyAlignment="1" applyProtection="1">
      <alignment horizontal="center" vertical="center" wrapText="1"/>
      <protection locked="0"/>
    </xf>
    <xf numFmtId="0" fontId="3" fillId="0" borderId="26" xfId="0" applyFont="1" applyBorder="1" applyAlignment="1" applyProtection="1">
      <alignment horizontal="center" vertical="center"/>
      <protection hidden="1"/>
    </xf>
    <xf numFmtId="0" fontId="53" fillId="16" borderId="26" xfId="0" quotePrefix="1" applyFont="1" applyFill="1" applyBorder="1" applyAlignment="1" applyProtection="1">
      <alignment horizontal="center" vertical="center" wrapText="1"/>
      <protection hidden="1"/>
    </xf>
    <xf numFmtId="0" fontId="53" fillId="16" borderId="26" xfId="0" quotePrefix="1" applyFont="1" applyFill="1" applyBorder="1" applyAlignment="1" applyProtection="1">
      <alignment horizontal="center" vertical="center"/>
      <protection hidden="1"/>
    </xf>
    <xf numFmtId="0" fontId="53" fillId="16" borderId="55" xfId="0" quotePrefix="1" applyFont="1" applyFill="1" applyBorder="1" applyAlignment="1" applyProtection="1">
      <alignment horizontal="center" vertical="center"/>
      <protection hidden="1"/>
    </xf>
    <xf numFmtId="0" fontId="53" fillId="16" borderId="40" xfId="0" applyFont="1" applyFill="1" applyBorder="1" applyAlignment="1" applyProtection="1">
      <alignment horizontal="center" vertical="center" wrapText="1"/>
      <protection hidden="1"/>
    </xf>
    <xf numFmtId="0" fontId="53" fillId="16" borderId="26" xfId="0" applyFont="1" applyFill="1" applyBorder="1" applyAlignment="1" applyProtection="1">
      <alignment horizontal="center" vertical="center"/>
      <protection hidden="1"/>
    </xf>
    <xf numFmtId="0" fontId="53" fillId="16" borderId="55" xfId="0" applyFont="1" applyFill="1" applyBorder="1" applyAlignment="1" applyProtection="1">
      <alignment horizontal="center" vertical="center"/>
      <protection hidden="1"/>
    </xf>
    <xf numFmtId="0" fontId="53" fillId="16" borderId="40" xfId="0" applyFont="1" applyFill="1" applyBorder="1" applyAlignment="1" applyProtection="1">
      <alignment horizontal="center" wrapText="1"/>
      <protection hidden="1"/>
    </xf>
    <xf numFmtId="0" fontId="53" fillId="16" borderId="26" xfId="0" applyFont="1" applyFill="1" applyBorder="1" applyAlignment="1" applyProtection="1">
      <alignment horizontal="center"/>
      <protection hidden="1"/>
    </xf>
    <xf numFmtId="0" fontId="53" fillId="16" borderId="55" xfId="0" applyFont="1" applyFill="1" applyBorder="1" applyAlignment="1" applyProtection="1">
      <alignment horizontal="center"/>
      <protection hidden="1"/>
    </xf>
    <xf numFmtId="0" fontId="53" fillId="16" borderId="26" xfId="0" applyFont="1" applyFill="1" applyBorder="1" applyAlignment="1" applyProtection="1">
      <alignment horizontal="center" vertical="center" wrapText="1"/>
      <protection hidden="1"/>
    </xf>
    <xf numFmtId="0" fontId="12" fillId="17" borderId="16" xfId="0" applyFont="1" applyFill="1" applyBorder="1" applyAlignment="1" applyProtection="1">
      <alignment horizontal="center" vertical="center" wrapText="1"/>
      <protection locked="0"/>
    </xf>
    <xf numFmtId="0" fontId="3" fillId="17" borderId="16" xfId="0" applyFont="1" applyFill="1" applyBorder="1" applyAlignment="1" applyProtection="1">
      <alignment horizontal="center" vertical="center" wrapText="1"/>
      <protection locked="0"/>
    </xf>
    <xf numFmtId="0" fontId="0" fillId="0" borderId="11" xfId="0" applyBorder="1" applyAlignment="1" applyProtection="1">
      <alignment wrapText="1"/>
      <protection locked="0"/>
    </xf>
    <xf numFmtId="0" fontId="3" fillId="17" borderId="31" xfId="0" applyFont="1" applyFill="1" applyBorder="1" applyAlignment="1" applyProtection="1">
      <alignment horizontal="center" vertical="center" wrapText="1"/>
      <protection locked="0"/>
    </xf>
    <xf numFmtId="0" fontId="0" fillId="0" borderId="11"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12" fillId="17" borderId="31" xfId="0" applyFont="1" applyFill="1" applyBorder="1" applyAlignment="1" applyProtection="1">
      <alignment horizontal="center" vertical="center" wrapText="1"/>
      <protection locked="0"/>
    </xf>
    <xf numFmtId="0" fontId="12" fillId="17" borderId="15"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center" wrapText="1"/>
      <protection locked="0"/>
    </xf>
    <xf numFmtId="0" fontId="12" fillId="17" borderId="12" xfId="0" applyFont="1" applyFill="1" applyBorder="1" applyAlignment="1" applyProtection="1">
      <alignment horizontal="center" vertical="center" wrapText="1"/>
      <protection locked="0"/>
    </xf>
    <xf numFmtId="0" fontId="12" fillId="17" borderId="9" xfId="0" applyFont="1" applyFill="1" applyBorder="1" applyAlignment="1" applyProtection="1">
      <alignment horizontal="center" vertical="center" wrapText="1"/>
      <protection locked="0"/>
    </xf>
    <xf numFmtId="0" fontId="12" fillId="17" borderId="1" xfId="0" applyFont="1" applyFill="1" applyBorder="1" applyAlignment="1" applyProtection="1">
      <alignment horizontal="center" vertical="center" wrapText="1"/>
      <protection locked="0"/>
    </xf>
    <xf numFmtId="0" fontId="18" fillId="17" borderId="40" xfId="0" applyFont="1" applyFill="1" applyBorder="1" applyAlignment="1" applyProtection="1">
      <alignment horizontal="center" vertical="center" wrapText="1"/>
      <protection locked="0"/>
    </xf>
    <xf numFmtId="0" fontId="18" fillId="17" borderId="55" xfId="0" applyFont="1" applyFill="1" applyBorder="1" applyAlignment="1" applyProtection="1">
      <alignment horizontal="center" vertical="center" wrapText="1"/>
      <protection locked="0"/>
    </xf>
    <xf numFmtId="0" fontId="18" fillId="17" borderId="26" xfId="0" applyFont="1" applyFill="1" applyBorder="1" applyAlignment="1" applyProtection="1">
      <alignment horizontal="center" vertical="center" wrapText="1"/>
      <protection locked="0"/>
    </xf>
    <xf numFmtId="0" fontId="3" fillId="16" borderId="26" xfId="0" applyFont="1" applyFill="1" applyBorder="1" applyAlignment="1" applyProtection="1">
      <alignment horizontal="center" vertical="center" wrapText="1"/>
      <protection hidden="1"/>
    </xf>
    <xf numFmtId="0" fontId="5" fillId="16" borderId="0" xfId="0" applyFont="1" applyFill="1" applyAlignment="1" applyProtection="1">
      <alignment vertical="top" wrapText="1"/>
      <protection hidden="1"/>
    </xf>
    <xf numFmtId="0" fontId="18" fillId="16" borderId="40" xfId="0" applyFont="1" applyFill="1" applyBorder="1" applyAlignment="1" applyProtection="1">
      <alignment horizontal="center" vertical="center" wrapText="1"/>
      <protection hidden="1"/>
    </xf>
    <xf numFmtId="0" fontId="18" fillId="0" borderId="55" xfId="0" applyFont="1" applyBorder="1" applyAlignment="1">
      <alignment horizontal="center" vertical="center" wrapText="1"/>
    </xf>
    <xf numFmtId="0" fontId="18" fillId="0" borderId="26" xfId="0" applyFont="1" applyBorder="1" applyAlignment="1">
      <alignment horizontal="center" vertical="center" wrapText="1"/>
    </xf>
    <xf numFmtId="37" fontId="3" fillId="28" borderId="10" xfId="0" applyNumberFormat="1" applyFont="1" applyFill="1" applyBorder="1" applyAlignment="1" applyProtection="1">
      <alignment horizontal="center" wrapText="1"/>
      <protection hidden="1"/>
    </xf>
    <xf numFmtId="37" fontId="3" fillId="28" borderId="1" xfId="0" applyNumberFormat="1" applyFont="1" applyFill="1" applyBorder="1" applyAlignment="1" applyProtection="1">
      <alignment horizontal="center" wrapText="1"/>
      <protection hidden="1"/>
    </xf>
    <xf numFmtId="37" fontId="3" fillId="28" borderId="12" xfId="0" applyNumberFormat="1" applyFont="1" applyFill="1" applyBorder="1" applyAlignment="1" applyProtection="1">
      <alignment horizontal="center" wrapText="1"/>
      <protection hidden="1"/>
    </xf>
    <xf numFmtId="37" fontId="3" fillId="17" borderId="10" xfId="0" applyNumberFormat="1" applyFont="1" applyFill="1" applyBorder="1" applyAlignment="1" applyProtection="1">
      <alignment horizontal="center" wrapText="1"/>
      <protection locked="0"/>
    </xf>
    <xf numFmtId="37" fontId="3" fillId="17" borderId="1" xfId="0" applyNumberFormat="1" applyFont="1" applyFill="1" applyBorder="1" applyAlignment="1" applyProtection="1">
      <alignment horizontal="center" wrapText="1"/>
      <protection locked="0"/>
    </xf>
    <xf numFmtId="37" fontId="3" fillId="17" borderId="12" xfId="0" applyNumberFormat="1" applyFont="1" applyFill="1" applyBorder="1" applyAlignment="1" applyProtection="1">
      <alignment horizontal="center" wrapText="1"/>
      <protection locked="0"/>
    </xf>
    <xf numFmtId="37" fontId="3" fillId="17" borderId="55" xfId="0" applyNumberFormat="1" applyFont="1" applyFill="1" applyBorder="1" applyAlignment="1" applyProtection="1">
      <alignment horizontal="center" wrapText="1"/>
      <protection locked="0"/>
    </xf>
    <xf numFmtId="0" fontId="5" fillId="16" borderId="40" xfId="0" applyFont="1" applyFill="1" applyBorder="1" applyAlignment="1" applyProtection="1">
      <alignment horizontal="center" vertical="center" wrapText="1"/>
      <protection hidden="1"/>
    </xf>
    <xf numFmtId="0" fontId="0" fillId="0" borderId="26" xfId="0" applyBorder="1" applyAlignment="1">
      <alignment horizontal="center" vertical="center"/>
    </xf>
    <xf numFmtId="37" fontId="0" fillId="28" borderId="26" xfId="0" applyNumberFormat="1" applyFill="1" applyBorder="1" applyAlignment="1" applyProtection="1">
      <alignment horizontal="right"/>
      <protection hidden="1"/>
    </xf>
    <xf numFmtId="37" fontId="0" fillId="28" borderId="55" xfId="0" applyNumberFormat="1" applyFill="1" applyBorder="1" applyAlignment="1" applyProtection="1">
      <alignment horizontal="right"/>
      <protection hidden="1"/>
    </xf>
    <xf numFmtId="0" fontId="12" fillId="16" borderId="9" xfId="0" applyFont="1" applyFill="1" applyBorder="1" applyAlignment="1" applyProtection="1">
      <alignment horizontal="center" vertical="center" wrapText="1"/>
      <protection hidden="1"/>
    </xf>
    <xf numFmtId="0" fontId="12" fillId="16" borderId="0" xfId="0" applyFont="1" applyFill="1" applyAlignment="1" applyProtection="1">
      <alignment horizontal="center" vertical="center"/>
      <protection hidden="1"/>
    </xf>
    <xf numFmtId="0" fontId="5" fillId="16" borderId="9" xfId="0" applyFont="1" applyFill="1" applyBorder="1" applyAlignment="1" applyProtection="1">
      <alignment wrapText="1"/>
      <protection hidden="1"/>
    </xf>
    <xf numFmtId="17" fontId="12" fillId="17" borderId="40" xfId="0" applyNumberFormat="1" applyFont="1" applyFill="1" applyBorder="1" applyAlignment="1" applyProtection="1">
      <alignment horizontal="center" vertical="center" wrapText="1"/>
      <protection locked="0"/>
    </xf>
    <xf numFmtId="37" fontId="12" fillId="17" borderId="40" xfId="0" applyNumberFormat="1" applyFont="1" applyFill="1" applyBorder="1" applyAlignment="1" applyProtection="1">
      <alignment horizontal="center" vertical="center" wrapText="1"/>
      <protection locked="0"/>
    </xf>
    <xf numFmtId="37" fontId="12" fillId="17" borderId="26" xfId="0" applyNumberFormat="1" applyFont="1" applyFill="1" applyBorder="1" applyAlignment="1" applyProtection="1">
      <alignment horizontal="center" vertical="center" wrapText="1"/>
      <protection locked="0"/>
    </xf>
    <xf numFmtId="37" fontId="12" fillId="17" borderId="55" xfId="0" applyNumberFormat="1" applyFont="1" applyFill="1" applyBorder="1" applyAlignment="1" applyProtection="1">
      <alignment horizontal="right" vertical="center" wrapText="1"/>
      <protection locked="0"/>
    </xf>
    <xf numFmtId="0" fontId="0" fillId="0" borderId="55" xfId="0" applyBorder="1" applyAlignment="1" applyProtection="1">
      <alignment horizontal="center" vertical="center" wrapText="1"/>
      <protection locked="0"/>
    </xf>
    <xf numFmtId="0" fontId="12" fillId="16" borderId="31" xfId="0" applyFont="1" applyFill="1" applyBorder="1" applyAlignment="1" applyProtection="1">
      <alignment horizontal="center"/>
      <protection hidden="1"/>
    </xf>
    <xf numFmtId="0" fontId="0" fillId="0" borderId="15" xfId="0" applyBorder="1"/>
    <xf numFmtId="0" fontId="12" fillId="16" borderId="70" xfId="0" applyFont="1" applyFill="1" applyBorder="1" applyAlignment="1" applyProtection="1">
      <alignment horizontal="center"/>
      <protection hidden="1"/>
    </xf>
    <xf numFmtId="0" fontId="0" fillId="0" borderId="71" xfId="0" applyBorder="1" applyAlignment="1">
      <alignment horizontal="center"/>
    </xf>
    <xf numFmtId="37" fontId="12" fillId="17" borderId="70" xfId="0" applyNumberFormat="1" applyFont="1" applyFill="1" applyBorder="1" applyAlignment="1" applyProtection="1">
      <alignment horizontal="right"/>
      <protection locked="0"/>
    </xf>
    <xf numFmtId="37" fontId="0" fillId="17" borderId="5" xfId="0" applyNumberFormat="1" applyFill="1" applyBorder="1" applyAlignment="1" applyProtection="1">
      <alignment horizontal="right"/>
      <protection locked="0"/>
    </xf>
    <xf numFmtId="37" fontId="0" fillId="17" borderId="71" xfId="0" applyNumberFormat="1" applyFill="1" applyBorder="1" applyAlignment="1" applyProtection="1">
      <alignment horizontal="right"/>
      <protection locked="0"/>
    </xf>
    <xf numFmtId="0" fontId="12" fillId="16" borderId="15" xfId="0" applyFont="1" applyFill="1" applyBorder="1" applyAlignment="1" applyProtection="1">
      <alignment horizontal="center"/>
      <protection hidden="1"/>
    </xf>
    <xf numFmtId="37" fontId="12" fillId="17" borderId="5" xfId="0" applyNumberFormat="1" applyFont="1" applyFill="1" applyBorder="1" applyAlignment="1" applyProtection="1">
      <alignment horizontal="right"/>
      <protection locked="0"/>
    </xf>
    <xf numFmtId="37" fontId="12" fillId="17" borderId="71" xfId="0" applyNumberFormat="1" applyFont="1" applyFill="1" applyBorder="1" applyAlignment="1" applyProtection="1">
      <alignment horizontal="right"/>
      <protection locked="0"/>
    </xf>
    <xf numFmtId="0" fontId="12" fillId="0" borderId="9" xfId="0" applyFont="1" applyBorder="1" applyAlignment="1" applyProtection="1">
      <alignment horizontal="center" vertical="center"/>
      <protection hidden="1"/>
    </xf>
    <xf numFmtId="0" fontId="7" fillId="16" borderId="26" xfId="0" applyFont="1" applyFill="1" applyBorder="1" applyAlignment="1" applyProtection="1">
      <alignment horizontal="center" vertical="center" wrapText="1"/>
      <protection hidden="1"/>
    </xf>
    <xf numFmtId="0" fontId="7" fillId="0" borderId="26" xfId="0" applyFont="1" applyBorder="1" applyAlignment="1">
      <alignment horizontal="center" vertical="center" wrapText="1"/>
    </xf>
    <xf numFmtId="0" fontId="7" fillId="0" borderId="55" xfId="0" applyFont="1" applyBorder="1" applyAlignment="1">
      <alignment horizontal="center" vertical="center" wrapText="1"/>
    </xf>
    <xf numFmtId="0" fontId="7" fillId="0" borderId="40" xfId="0" applyFont="1" applyBorder="1" applyAlignment="1">
      <alignment horizontal="center" vertical="center" wrapText="1"/>
    </xf>
    <xf numFmtId="0" fontId="5" fillId="0" borderId="40" xfId="0" applyFont="1" applyBorder="1" applyAlignment="1">
      <alignment horizontal="center" vertical="center" wrapText="1"/>
    </xf>
    <xf numFmtId="37" fontId="12" fillId="17" borderId="53" xfId="0" applyNumberFormat="1" applyFont="1" applyFill="1" applyBorder="1" applyProtection="1">
      <protection locked="0"/>
    </xf>
    <xf numFmtId="37" fontId="12" fillId="17" borderId="32" xfId="0" applyNumberFormat="1" applyFont="1" applyFill="1" applyBorder="1" applyProtection="1">
      <protection locked="0"/>
    </xf>
    <xf numFmtId="37" fontId="12" fillId="28" borderId="13" xfId="0" applyNumberFormat="1" applyFont="1" applyFill="1" applyBorder="1" applyProtection="1">
      <protection hidden="1"/>
    </xf>
    <xf numFmtId="0" fontId="12" fillId="0" borderId="15" xfId="0" applyFont="1" applyBorder="1" applyAlignment="1" applyProtection="1">
      <alignment horizontal="center"/>
      <protection hidden="1"/>
    </xf>
    <xf numFmtId="0" fontId="12" fillId="16" borderId="10" xfId="0" applyFont="1" applyFill="1" applyBorder="1" applyAlignment="1" applyProtection="1">
      <alignment horizontal="center"/>
      <protection hidden="1"/>
    </xf>
    <xf numFmtId="0" fontId="12" fillId="0" borderId="12" xfId="0" applyFont="1" applyBorder="1" applyAlignment="1" applyProtection="1">
      <alignment horizontal="center"/>
      <protection hidden="1"/>
    </xf>
    <xf numFmtId="37" fontId="12" fillId="28" borderId="11" xfId="0" applyNumberFormat="1" applyFont="1" applyFill="1" applyBorder="1" applyProtection="1">
      <protection hidden="1"/>
    </xf>
    <xf numFmtId="0" fontId="16" fillId="16" borderId="32" xfId="0" applyFont="1" applyFill="1" applyBorder="1" applyAlignment="1" applyProtection="1">
      <alignment horizontal="left" vertical="center" indent="1"/>
      <protection hidden="1"/>
    </xf>
    <xf numFmtId="0" fontId="16" fillId="16" borderId="74" xfId="0" applyFont="1" applyFill="1" applyBorder="1" applyAlignment="1" applyProtection="1">
      <alignment horizontal="left" vertical="center" indent="1"/>
      <protection hidden="1"/>
    </xf>
    <xf numFmtId="199" fontId="12" fillId="17" borderId="53" xfId="0" applyNumberFormat="1" applyFont="1" applyFill="1" applyBorder="1" applyAlignment="1" applyProtection="1">
      <alignment horizontal="center" vertical="center" wrapText="1"/>
      <protection locked="0"/>
    </xf>
    <xf numFmtId="199" fontId="12" fillId="17" borderId="32" xfId="0" applyNumberFormat="1" applyFont="1" applyFill="1" applyBorder="1" applyAlignment="1" applyProtection="1">
      <alignment horizontal="center" vertical="center" wrapText="1"/>
      <protection locked="0"/>
    </xf>
    <xf numFmtId="199" fontId="12" fillId="17" borderId="74" xfId="0" applyNumberFormat="1" applyFont="1" applyFill="1" applyBorder="1" applyAlignment="1" applyProtection="1">
      <alignment horizontal="center" vertical="center" wrapText="1"/>
      <protection locked="0"/>
    </xf>
    <xf numFmtId="37" fontId="12" fillId="17" borderId="53" xfId="0" applyNumberFormat="1" applyFont="1" applyFill="1" applyBorder="1" applyAlignment="1" applyProtection="1">
      <alignment horizontal="right" vertical="center"/>
      <protection locked="0"/>
    </xf>
    <xf numFmtId="37" fontId="12" fillId="17" borderId="32" xfId="0" applyNumberFormat="1" applyFont="1" applyFill="1" applyBorder="1" applyAlignment="1" applyProtection="1">
      <alignment horizontal="right" vertical="center"/>
      <protection locked="0"/>
    </xf>
    <xf numFmtId="37" fontId="12" fillId="17" borderId="74" xfId="0" applyNumberFormat="1" applyFont="1" applyFill="1" applyBorder="1" applyAlignment="1" applyProtection="1">
      <alignment horizontal="right" vertical="center"/>
      <protection locked="0"/>
    </xf>
    <xf numFmtId="37" fontId="287" fillId="16" borderId="53" xfId="0" applyNumberFormat="1" applyFont="1" applyFill="1" applyBorder="1" applyAlignment="1" applyProtection="1">
      <alignment horizontal="center" vertical="center"/>
      <protection hidden="1"/>
    </xf>
    <xf numFmtId="37" fontId="287" fillId="16" borderId="32" xfId="0" applyNumberFormat="1" applyFont="1" applyFill="1" applyBorder="1" applyAlignment="1" applyProtection="1">
      <alignment horizontal="center" vertical="center"/>
      <protection hidden="1"/>
    </xf>
    <xf numFmtId="37" fontId="287" fillId="16" borderId="74" xfId="0" applyNumberFormat="1" applyFont="1" applyFill="1" applyBorder="1" applyAlignment="1" applyProtection="1">
      <alignment horizontal="center" vertical="center"/>
      <protection hidden="1"/>
    </xf>
    <xf numFmtId="0" fontId="287" fillId="16" borderId="53" xfId="0" applyFont="1" applyFill="1" applyBorder="1" applyAlignment="1" applyProtection="1">
      <alignment horizontal="center" vertical="center" wrapText="1"/>
      <protection hidden="1"/>
    </xf>
    <xf numFmtId="0" fontId="287" fillId="16" borderId="32" xfId="0" applyFont="1" applyFill="1" applyBorder="1" applyAlignment="1" applyProtection="1">
      <alignment horizontal="center" vertical="center" wrapText="1"/>
      <protection hidden="1"/>
    </xf>
    <xf numFmtId="0" fontId="287" fillId="16" borderId="74" xfId="0" applyFont="1" applyFill="1" applyBorder="1" applyAlignment="1" applyProtection="1">
      <alignment horizontal="center" vertical="center" wrapText="1"/>
      <protection hidden="1"/>
    </xf>
    <xf numFmtId="0" fontId="16" fillId="16" borderId="26" xfId="0" applyFont="1" applyFill="1" applyBorder="1" applyAlignment="1" applyProtection="1">
      <alignment horizontal="left" vertical="center" indent="1"/>
      <protection hidden="1"/>
    </xf>
    <xf numFmtId="0" fontId="16" fillId="16" borderId="55" xfId="0" applyFont="1" applyFill="1" applyBorder="1" applyAlignment="1" applyProtection="1">
      <alignment horizontal="left" vertical="center" indent="1"/>
      <protection hidden="1"/>
    </xf>
    <xf numFmtId="199" fontId="12" fillId="17" borderId="40" xfId="0" applyNumberFormat="1" applyFont="1" applyFill="1" applyBorder="1" applyAlignment="1" applyProtection="1">
      <alignment horizontal="center" vertical="center" wrapText="1"/>
      <protection locked="0"/>
    </xf>
    <xf numFmtId="199" fontId="12" fillId="17" borderId="26" xfId="0" applyNumberFormat="1" applyFont="1" applyFill="1" applyBorder="1" applyAlignment="1" applyProtection="1">
      <alignment horizontal="center" vertical="center" wrapText="1"/>
      <protection locked="0"/>
    </xf>
    <xf numFmtId="199" fontId="12" fillId="17" borderId="55" xfId="0" applyNumberFormat="1" applyFont="1" applyFill="1" applyBorder="1" applyAlignment="1" applyProtection="1">
      <alignment horizontal="center" vertical="center" wrapText="1"/>
      <protection locked="0"/>
    </xf>
    <xf numFmtId="37" fontId="12" fillId="17" borderId="40" xfId="0" applyNumberFormat="1" applyFont="1" applyFill="1" applyBorder="1" applyAlignment="1" applyProtection="1">
      <alignment horizontal="right" vertical="center"/>
      <protection locked="0"/>
    </xf>
    <xf numFmtId="37" fontId="287" fillId="16" borderId="40" xfId="0" applyNumberFormat="1" applyFont="1" applyFill="1" applyBorder="1" applyAlignment="1" applyProtection="1">
      <alignment horizontal="center" vertical="center"/>
      <protection hidden="1"/>
    </xf>
    <xf numFmtId="37" fontId="287" fillId="16" borderId="26" xfId="0" applyNumberFormat="1" applyFont="1" applyFill="1" applyBorder="1" applyAlignment="1" applyProtection="1">
      <alignment horizontal="center" vertical="center"/>
      <protection hidden="1"/>
    </xf>
    <xf numFmtId="0" fontId="287" fillId="16" borderId="40" xfId="0" applyFont="1" applyFill="1" applyBorder="1" applyAlignment="1" applyProtection="1">
      <alignment horizontal="center" vertical="center" wrapText="1"/>
      <protection hidden="1"/>
    </xf>
    <xf numFmtId="0" fontId="287" fillId="16" borderId="26" xfId="0" applyFont="1" applyFill="1" applyBorder="1" applyAlignment="1" applyProtection="1">
      <alignment horizontal="center" vertical="center" wrapText="1"/>
      <protection hidden="1"/>
    </xf>
    <xf numFmtId="0" fontId="287" fillId="16" borderId="55" xfId="0" applyFont="1" applyFill="1" applyBorder="1" applyAlignment="1" applyProtection="1">
      <alignment horizontal="center" vertical="center" wrapText="1"/>
      <protection hidden="1"/>
    </xf>
    <xf numFmtId="17" fontId="12" fillId="20" borderId="40" xfId="0" applyNumberFormat="1" applyFont="1" applyFill="1" applyBorder="1" applyAlignment="1" applyProtection="1">
      <alignment horizontal="center" vertical="center" wrapText="1"/>
      <protection hidden="1"/>
    </xf>
    <xf numFmtId="0" fontId="285" fillId="17" borderId="40" xfId="0" applyFont="1" applyFill="1" applyBorder="1" applyAlignment="1" applyProtection="1">
      <alignment horizontal="center" vertical="center" wrapText="1"/>
      <protection locked="0"/>
    </xf>
    <xf numFmtId="0" fontId="285" fillId="17" borderId="26" xfId="0" applyFont="1" applyFill="1" applyBorder="1" applyAlignment="1" applyProtection="1">
      <alignment horizontal="center" vertical="center" wrapText="1"/>
      <protection locked="0"/>
    </xf>
    <xf numFmtId="0" fontId="285" fillId="17" borderId="55" xfId="0" applyFont="1" applyFill="1" applyBorder="1" applyAlignment="1" applyProtection="1">
      <alignment horizontal="center" vertical="center" wrapText="1"/>
      <protection locked="0"/>
    </xf>
    <xf numFmtId="0" fontId="285" fillId="17" borderId="40" xfId="0" applyFont="1" applyFill="1" applyBorder="1" applyAlignment="1" applyProtection="1">
      <alignment horizontal="center" vertical="center"/>
      <protection locked="0"/>
    </xf>
    <xf numFmtId="0" fontId="285" fillId="17" borderId="26" xfId="0" applyFont="1" applyFill="1" applyBorder="1" applyAlignment="1" applyProtection="1">
      <alignment horizontal="center" vertical="center"/>
      <protection locked="0"/>
    </xf>
    <xf numFmtId="0" fontId="285" fillId="17" borderId="55" xfId="0" applyFont="1" applyFill="1" applyBorder="1" applyAlignment="1" applyProtection="1">
      <alignment horizontal="center" vertical="center"/>
      <protection locked="0"/>
    </xf>
    <xf numFmtId="0" fontId="16" fillId="16" borderId="1" xfId="0" applyFont="1" applyFill="1" applyBorder="1" applyAlignment="1" applyProtection="1">
      <alignment horizontal="left" vertical="center"/>
      <protection hidden="1"/>
    </xf>
    <xf numFmtId="0" fontId="16" fillId="16" borderId="12" xfId="0" applyFont="1" applyFill="1" applyBorder="1" applyAlignment="1" applyProtection="1">
      <alignment horizontal="left" vertical="center"/>
      <protection hidden="1"/>
    </xf>
    <xf numFmtId="0" fontId="16" fillId="16" borderId="9" xfId="0" applyFont="1" applyFill="1" applyBorder="1" applyAlignment="1" applyProtection="1">
      <alignment horizontal="left" vertical="center"/>
      <protection hidden="1"/>
    </xf>
    <xf numFmtId="0" fontId="16" fillId="16" borderId="15" xfId="0" applyFont="1" applyFill="1" applyBorder="1" applyAlignment="1" applyProtection="1">
      <alignment horizontal="left" vertical="center"/>
      <protection hidden="1"/>
    </xf>
    <xf numFmtId="0" fontId="287" fillId="16" borderId="40" xfId="0" applyFont="1" applyFill="1" applyBorder="1" applyAlignment="1" applyProtection="1">
      <alignment horizontal="center" vertical="center"/>
      <protection hidden="1"/>
    </xf>
    <xf numFmtId="0" fontId="287" fillId="16" borderId="26" xfId="0" applyFont="1" applyFill="1" applyBorder="1" applyAlignment="1" applyProtection="1">
      <alignment horizontal="center" vertical="center"/>
      <protection hidden="1"/>
    </xf>
    <xf numFmtId="0" fontId="287" fillId="16" borderId="55" xfId="0" applyFont="1" applyFill="1" applyBorder="1" applyAlignment="1" applyProtection="1">
      <alignment horizontal="center" vertical="center"/>
      <protection hidden="1"/>
    </xf>
    <xf numFmtId="0" fontId="16" fillId="16" borderId="26" xfId="0" applyFont="1" applyFill="1" applyBorder="1" applyAlignment="1" applyProtection="1">
      <alignment horizontal="right" vertical="center" indent="1"/>
      <protection hidden="1"/>
    </xf>
    <xf numFmtId="0" fontId="16" fillId="16" borderId="55" xfId="0" applyFont="1" applyFill="1" applyBorder="1" applyAlignment="1" applyProtection="1">
      <alignment horizontal="right" vertical="center" indent="1"/>
      <protection hidden="1"/>
    </xf>
    <xf numFmtId="0" fontId="286" fillId="17" borderId="40" xfId="0" applyFont="1" applyFill="1" applyBorder="1" applyAlignment="1" applyProtection="1">
      <alignment horizontal="center" vertical="center" wrapText="1"/>
      <protection locked="0"/>
    </xf>
    <xf numFmtId="0" fontId="23" fillId="0" borderId="26" xfId="0" applyFont="1" applyBorder="1" applyAlignment="1" applyProtection="1">
      <alignment horizontal="center" vertical="center" wrapText="1"/>
      <protection locked="0"/>
    </xf>
    <xf numFmtId="0" fontId="23" fillId="0" borderId="55" xfId="0" applyFont="1" applyBorder="1" applyAlignment="1" applyProtection="1">
      <alignment horizontal="center" vertical="center" wrapText="1"/>
      <protection locked="0"/>
    </xf>
    <xf numFmtId="37" fontId="12" fillId="17" borderId="13" xfId="0" applyNumberFormat="1" applyFont="1" applyFill="1" applyBorder="1" applyProtection="1">
      <protection locked="0"/>
    </xf>
    <xf numFmtId="0" fontId="5" fillId="16" borderId="26" xfId="0" applyFont="1" applyFill="1" applyBorder="1" applyAlignment="1" applyProtection="1">
      <alignment horizontal="center" vertical="center" wrapText="1"/>
      <protection hidden="1"/>
    </xf>
    <xf numFmtId="0" fontId="5" fillId="0" borderId="26" xfId="0" applyFont="1" applyBorder="1" applyAlignment="1">
      <alignment horizontal="center" vertical="center" wrapText="1"/>
    </xf>
    <xf numFmtId="0" fontId="5" fillId="0" borderId="55" xfId="0" applyFont="1" applyBorder="1" applyAlignment="1">
      <alignment horizontal="center" vertical="center" wrapText="1"/>
    </xf>
    <xf numFmtId="0" fontId="7" fillId="16" borderId="40" xfId="0" applyFont="1" applyFill="1" applyBorder="1" applyAlignment="1" applyProtection="1">
      <alignment horizontal="center" vertical="center" wrapText="1"/>
      <protection hidden="1"/>
    </xf>
    <xf numFmtId="0" fontId="5" fillId="16" borderId="55" xfId="0" applyFont="1" applyFill="1" applyBorder="1" applyAlignment="1" applyProtection="1">
      <alignment horizontal="center" vertical="center" wrapText="1"/>
      <protection hidden="1"/>
    </xf>
    <xf numFmtId="0" fontId="12" fillId="28" borderId="13" xfId="0" applyFont="1" applyFill="1" applyBorder="1" applyProtection="1">
      <protection hidden="1"/>
    </xf>
    <xf numFmtId="0" fontId="12" fillId="28" borderId="40" xfId="0" applyFont="1" applyFill="1" applyBorder="1" applyProtection="1">
      <protection hidden="1"/>
    </xf>
    <xf numFmtId="37" fontId="12" fillId="28" borderId="31" xfId="0" applyNumberFormat="1" applyFont="1" applyFill="1" applyBorder="1" applyAlignment="1" applyProtection="1">
      <alignment horizontal="right"/>
      <protection hidden="1"/>
    </xf>
    <xf numFmtId="37" fontId="12" fillId="28" borderId="9" xfId="0" applyNumberFormat="1" applyFont="1" applyFill="1" applyBorder="1" applyProtection="1">
      <protection hidden="1"/>
    </xf>
    <xf numFmtId="37" fontId="12" fillId="28" borderId="15" xfId="0" applyNumberFormat="1" applyFont="1" applyFill="1" applyBorder="1" applyProtection="1">
      <protection hidden="1"/>
    </xf>
    <xf numFmtId="37" fontId="12" fillId="28" borderId="55" xfId="0" applyNumberFormat="1" applyFont="1" applyFill="1" applyBorder="1" applyProtection="1">
      <protection hidden="1"/>
    </xf>
    <xf numFmtId="37" fontId="12" fillId="17" borderId="55" xfId="0" applyNumberFormat="1" applyFont="1" applyFill="1" applyBorder="1" applyProtection="1">
      <protection locked="0"/>
    </xf>
    <xf numFmtId="37" fontId="12" fillId="17" borderId="40" xfId="0" applyNumberFormat="1" applyFont="1" applyFill="1" applyBorder="1" applyAlignment="1" applyProtection="1">
      <alignment horizontal="right"/>
      <protection locked="0"/>
    </xf>
    <xf numFmtId="0" fontId="5" fillId="16" borderId="26" xfId="0" quotePrefix="1" applyFont="1" applyFill="1" applyBorder="1" applyAlignment="1" applyProtection="1">
      <alignment horizontal="center"/>
      <protection hidden="1"/>
    </xf>
    <xf numFmtId="0" fontId="5" fillId="0" borderId="26" xfId="0" applyFont="1" applyBorder="1" applyAlignment="1" applyProtection="1">
      <alignment horizontal="center"/>
      <protection hidden="1"/>
    </xf>
    <xf numFmtId="0" fontId="5" fillId="0" borderId="55" xfId="0" applyFont="1" applyBorder="1" applyAlignment="1" applyProtection="1">
      <alignment horizontal="center"/>
      <protection hidden="1"/>
    </xf>
    <xf numFmtId="0" fontId="7" fillId="16" borderId="40" xfId="0" applyFont="1" applyFill="1" applyBorder="1" applyProtection="1">
      <protection hidden="1"/>
    </xf>
    <xf numFmtId="0" fontId="7" fillId="0" borderId="26" xfId="0" applyFont="1" applyBorder="1" applyProtection="1">
      <protection hidden="1"/>
    </xf>
    <xf numFmtId="0" fontId="7" fillId="0" borderId="55" xfId="0" applyFont="1" applyBorder="1" applyProtection="1">
      <protection hidden="1"/>
    </xf>
    <xf numFmtId="0" fontId="5" fillId="16" borderId="40" xfId="0" applyFont="1" applyFill="1" applyBorder="1" applyAlignment="1" applyProtection="1">
      <alignment horizontal="center"/>
      <protection hidden="1"/>
    </xf>
    <xf numFmtId="0" fontId="0" fillId="0" borderId="26" xfId="0" applyBorder="1" applyAlignment="1" applyProtection="1">
      <alignment horizontal="center"/>
      <protection hidden="1"/>
    </xf>
    <xf numFmtId="0" fontId="3" fillId="0" borderId="9" xfId="0" applyFont="1" applyBorder="1" applyAlignment="1" applyProtection="1">
      <alignment horizontal="center" vertical="center"/>
      <protection hidden="1"/>
    </xf>
    <xf numFmtId="0" fontId="5" fillId="0" borderId="204" xfId="0" applyFont="1" applyBorder="1" applyAlignment="1" applyProtection="1">
      <alignment horizontal="center" vertical="center" wrapText="1"/>
      <protection hidden="1"/>
    </xf>
    <xf numFmtId="0" fontId="0" fillId="0" borderId="7" xfId="0" applyBorder="1" applyAlignment="1">
      <alignment horizontal="center" vertical="center" wrapText="1"/>
    </xf>
    <xf numFmtId="0" fontId="0" fillId="0" borderId="11" xfId="0" applyBorder="1" applyAlignment="1">
      <alignment wrapText="1"/>
    </xf>
    <xf numFmtId="0" fontId="5" fillId="0" borderId="57" xfId="0" applyFont="1" applyBorder="1" applyAlignment="1" applyProtection="1">
      <alignment horizontal="center" vertical="center" wrapText="1"/>
      <protection hidden="1"/>
    </xf>
    <xf numFmtId="0" fontId="0" fillId="0" borderId="10" xfId="0" applyBorder="1" applyAlignment="1">
      <alignment wrapText="1"/>
    </xf>
    <xf numFmtId="0" fontId="3" fillId="16" borderId="22" xfId="0" applyFont="1" applyFill="1" applyBorder="1" applyAlignment="1" applyProtection="1">
      <alignment horizontal="center"/>
      <protection hidden="1"/>
    </xf>
    <xf numFmtId="0" fontId="3" fillId="0" borderId="5" xfId="0" applyFont="1" applyBorder="1" applyAlignment="1" applyProtection="1">
      <alignment horizontal="center"/>
      <protection hidden="1"/>
    </xf>
    <xf numFmtId="0" fontId="3" fillId="0" borderId="23" xfId="0" applyFont="1" applyBorder="1" applyAlignment="1" applyProtection="1">
      <alignment horizontal="center"/>
      <protection hidden="1"/>
    </xf>
    <xf numFmtId="0" fontId="5" fillId="16" borderId="5" xfId="0" applyFont="1" applyFill="1" applyBorder="1" applyAlignment="1" applyProtection="1">
      <alignment horizontal="center"/>
      <protection hidden="1"/>
    </xf>
    <xf numFmtId="0" fontId="0" fillId="0" borderId="5" xfId="0" applyBorder="1" applyAlignment="1" applyProtection="1">
      <alignment horizontal="center"/>
      <protection hidden="1"/>
    </xf>
    <xf numFmtId="0" fontId="18" fillId="28" borderId="1" xfId="0" applyFont="1" applyFill="1" applyBorder="1" applyAlignment="1" applyProtection="1">
      <alignment horizontal="left"/>
      <protection hidden="1"/>
    </xf>
    <xf numFmtId="0" fontId="18" fillId="28" borderId="12" xfId="0" applyFont="1" applyFill="1" applyBorder="1" applyAlignment="1" applyProtection="1">
      <alignment horizontal="left"/>
      <protection hidden="1"/>
    </xf>
    <xf numFmtId="0" fontId="18" fillId="17" borderId="10" xfId="0" applyFont="1" applyFill="1" applyBorder="1" applyAlignment="1" applyProtection="1">
      <alignment horizontal="left" vertical="center"/>
      <protection locked="0"/>
    </xf>
    <xf numFmtId="0" fontId="18" fillId="17" borderId="1" xfId="0" applyFont="1" applyFill="1" applyBorder="1" applyAlignment="1" applyProtection="1">
      <alignment horizontal="left" vertical="center"/>
      <protection locked="0"/>
    </xf>
    <xf numFmtId="0" fontId="18" fillId="17" borderId="12" xfId="0" applyFont="1" applyFill="1" applyBorder="1" applyAlignment="1" applyProtection="1">
      <alignment horizontal="left" vertical="center"/>
      <protection locked="0"/>
    </xf>
    <xf numFmtId="0" fontId="12" fillId="17" borderId="10" xfId="0" applyFont="1" applyFill="1" applyBorder="1" applyAlignment="1" applyProtection="1">
      <alignment horizontal="center" vertical="center"/>
      <protection locked="0"/>
    </xf>
    <xf numFmtId="0" fontId="12" fillId="17" borderId="1" xfId="0" applyFont="1" applyFill="1" applyBorder="1" applyAlignment="1" applyProtection="1">
      <alignment horizontal="center" vertical="center"/>
      <protection locked="0"/>
    </xf>
    <xf numFmtId="0" fontId="5" fillId="0" borderId="37" xfId="0" applyFont="1" applyBorder="1" applyAlignment="1" applyProtection="1">
      <alignment horizontal="center" vertical="center" wrapText="1"/>
      <protection hidden="1"/>
    </xf>
    <xf numFmtId="0" fontId="7" fillId="0" borderId="204" xfId="0" applyFont="1" applyBorder="1" applyAlignment="1" applyProtection="1">
      <alignment horizontal="center" vertical="center" wrapText="1"/>
      <protection hidden="1"/>
    </xf>
    <xf numFmtId="0" fontId="7" fillId="0" borderId="11" xfId="0" applyFont="1" applyBorder="1" applyAlignment="1">
      <alignment wrapText="1"/>
    </xf>
    <xf numFmtId="0" fontId="283" fillId="16" borderId="0" xfId="0" quotePrefix="1" applyFont="1" applyFill="1" applyProtection="1">
      <protection hidden="1"/>
    </xf>
    <xf numFmtId="0" fontId="284" fillId="0" borderId="0" xfId="0" applyFont="1" applyProtection="1">
      <protection hidden="1"/>
    </xf>
    <xf numFmtId="0" fontId="23" fillId="16" borderId="6" xfId="0" applyFont="1" applyFill="1" applyBorder="1" applyAlignment="1" applyProtection="1">
      <alignment horizontal="center" wrapText="1"/>
      <protection hidden="1"/>
    </xf>
    <xf numFmtId="0" fontId="3" fillId="16" borderId="6" xfId="0" applyFont="1" applyFill="1" applyBorder="1" applyAlignment="1" applyProtection="1">
      <alignment horizontal="center" vertical="top"/>
      <protection hidden="1"/>
    </xf>
    <xf numFmtId="0" fontId="3" fillId="0" borderId="0" xfId="0" applyFont="1" applyAlignment="1" applyProtection="1">
      <alignment horizontal="center" vertical="top"/>
      <protection hidden="1"/>
    </xf>
    <xf numFmtId="0" fontId="3" fillId="0" borderId="21" xfId="0" applyFont="1" applyBorder="1" applyAlignment="1" applyProtection="1">
      <alignment horizontal="center" vertical="top"/>
      <protection hidden="1"/>
    </xf>
    <xf numFmtId="0" fontId="5" fillId="16" borderId="0" xfId="0" applyFont="1" applyFill="1" applyAlignment="1" applyProtection="1">
      <alignment horizontal="left"/>
      <protection hidden="1"/>
    </xf>
    <xf numFmtId="0" fontId="50" fillId="16" borderId="5" xfId="0" applyFont="1" applyFill="1" applyBorder="1" applyAlignment="1" applyProtection="1">
      <alignment horizontal="center"/>
      <protection hidden="1"/>
    </xf>
    <xf numFmtId="0" fontId="7" fillId="3" borderId="0" xfId="0" applyFont="1" applyFill="1" applyAlignment="1" applyProtection="1">
      <alignment horizontal="center"/>
      <protection hidden="1"/>
    </xf>
    <xf numFmtId="0" fontId="138" fillId="25" borderId="22" xfId="0" applyFont="1" applyFill="1" applyBorder="1" applyAlignment="1" applyProtection="1">
      <alignment horizontal="center"/>
      <protection hidden="1"/>
    </xf>
    <xf numFmtId="0" fontId="138" fillId="25" borderId="5" xfId="0" applyFont="1" applyFill="1" applyBorder="1" applyAlignment="1" applyProtection="1">
      <alignment horizontal="center"/>
      <protection hidden="1"/>
    </xf>
    <xf numFmtId="0" fontId="138" fillId="25" borderId="23" xfId="0" applyFont="1" applyFill="1" applyBorder="1" applyAlignment="1" applyProtection="1">
      <alignment horizontal="center"/>
      <protection hidden="1"/>
    </xf>
    <xf numFmtId="0" fontId="5" fillId="25" borderId="0" xfId="0" applyFont="1" applyFill="1" applyAlignment="1" applyProtection="1">
      <alignment vertical="center"/>
      <protection hidden="1"/>
    </xf>
    <xf numFmtId="0" fontId="5" fillId="25" borderId="0" xfId="0" applyFont="1" applyFill="1"/>
    <xf numFmtId="0" fontId="123" fillId="3" borderId="0" xfId="0" applyFont="1" applyFill="1" applyAlignment="1" applyProtection="1">
      <alignment horizontal="left"/>
      <protection hidden="1"/>
    </xf>
    <xf numFmtId="0" fontId="153" fillId="0" borderId="21" xfId="0" applyFont="1" applyBorder="1" applyAlignment="1">
      <alignment horizontal="left"/>
    </xf>
    <xf numFmtId="0" fontId="153" fillId="0" borderId="0" xfId="0" applyFont="1"/>
    <xf numFmtId="0" fontId="153" fillId="0" borderId="21" xfId="0" applyFont="1" applyBorder="1"/>
    <xf numFmtId="0" fontId="12" fillId="29" borderId="1" xfId="0" quotePrefix="1" applyFont="1" applyFill="1" applyBorder="1" applyProtection="1">
      <protection hidden="1"/>
    </xf>
    <xf numFmtId="0" fontId="0" fillId="26" borderId="1" xfId="0" applyFill="1" applyBorder="1" applyProtection="1">
      <protection hidden="1"/>
    </xf>
    <xf numFmtId="0" fontId="0" fillId="26" borderId="12" xfId="0" applyFill="1" applyBorder="1" applyProtection="1">
      <protection hidden="1"/>
    </xf>
    <xf numFmtId="0" fontId="5" fillId="25" borderId="6" xfId="0" applyFont="1" applyFill="1" applyBorder="1" applyAlignment="1" applyProtection="1">
      <alignment horizontal="left"/>
      <protection hidden="1"/>
    </xf>
    <xf numFmtId="0" fontId="5" fillId="25" borderId="0" xfId="0" applyFont="1" applyFill="1" applyAlignment="1" applyProtection="1">
      <alignment horizontal="left"/>
      <protection hidden="1"/>
    </xf>
    <xf numFmtId="0" fontId="5" fillId="25" borderId="21" xfId="0" applyFont="1" applyFill="1" applyBorder="1" applyAlignment="1" applyProtection="1">
      <alignment horizontal="left"/>
      <protection hidden="1"/>
    </xf>
    <xf numFmtId="0" fontId="5" fillId="25" borderId="6" xfId="0" applyFont="1" applyFill="1" applyBorder="1" applyAlignment="1" applyProtection="1">
      <alignment horizontal="left" vertical="top"/>
      <protection hidden="1"/>
    </xf>
    <xf numFmtId="0" fontId="5" fillId="25" borderId="0" xfId="0" applyFont="1" applyFill="1" applyAlignment="1" applyProtection="1">
      <alignment horizontal="left" vertical="top"/>
      <protection hidden="1"/>
    </xf>
    <xf numFmtId="0" fontId="5" fillId="25" borderId="21" xfId="0" applyFont="1" applyFill="1" applyBorder="1" applyAlignment="1" applyProtection="1">
      <alignment horizontal="left" vertical="top"/>
      <protection hidden="1"/>
    </xf>
    <xf numFmtId="0" fontId="0" fillId="0" borderId="0" xfId="0" applyAlignment="1" applyProtection="1">
      <alignment horizontal="left" vertical="top" wrapText="1"/>
      <protection hidden="1"/>
    </xf>
    <xf numFmtId="0" fontId="0" fillId="0" borderId="21" xfId="0" applyBorder="1" applyAlignment="1">
      <alignment horizontal="left" vertical="top" wrapText="1"/>
    </xf>
    <xf numFmtId="0" fontId="0" fillId="0" borderId="5" xfId="0" applyBorder="1" applyAlignment="1">
      <alignment horizontal="left" vertical="top" wrapText="1"/>
    </xf>
    <xf numFmtId="0" fontId="0" fillId="0" borderId="23" xfId="0" applyBorder="1" applyAlignment="1">
      <alignment horizontal="left" vertical="top" wrapText="1"/>
    </xf>
    <xf numFmtId="0" fontId="3" fillId="25" borderId="24" xfId="0" applyFont="1" applyFill="1" applyBorder="1" applyAlignment="1" applyProtection="1">
      <alignment horizontal="left" vertical="center" wrapText="1"/>
      <protection hidden="1"/>
    </xf>
    <xf numFmtId="0" fontId="0" fillId="0" borderId="8" xfId="0" applyBorder="1" applyAlignment="1">
      <alignment horizontal="left" vertical="center" wrapText="1"/>
    </xf>
    <xf numFmtId="0" fontId="0" fillId="0" borderId="6" xfId="0" applyBorder="1" applyAlignment="1">
      <alignment horizontal="left" vertical="center" wrapText="1"/>
    </xf>
    <xf numFmtId="0" fontId="0" fillId="0" borderId="22" xfId="0" applyBorder="1" applyAlignment="1">
      <alignment horizontal="left" vertical="center" wrapText="1"/>
    </xf>
    <xf numFmtId="0" fontId="141" fillId="25" borderId="8" xfId="0" applyFont="1" applyFill="1" applyBorder="1" applyAlignment="1">
      <alignment horizontal="center" vertical="center" wrapText="1"/>
    </xf>
    <xf numFmtId="0" fontId="128" fillId="25" borderId="0" xfId="0" applyFont="1" applyFill="1" applyAlignment="1">
      <alignment horizontal="center" vertical="center" wrapText="1"/>
    </xf>
    <xf numFmtId="0" fontId="128" fillId="0" borderId="0" xfId="0" applyFont="1" applyAlignment="1">
      <alignment horizontal="center" wrapText="1"/>
    </xf>
    <xf numFmtId="0" fontId="128" fillId="0" borderId="5" xfId="0" applyFont="1" applyBorder="1" applyAlignment="1">
      <alignment horizontal="center" wrapText="1"/>
    </xf>
    <xf numFmtId="0" fontId="75" fillId="11" borderId="62" xfId="2" applyFill="1" applyBorder="1" applyAlignment="1" applyProtection="1">
      <alignment horizontal="center"/>
      <protection hidden="1"/>
    </xf>
    <xf numFmtId="0" fontId="75" fillId="11" borderId="63" xfId="2" applyFill="1" applyBorder="1" applyAlignment="1" applyProtection="1">
      <alignment horizontal="center"/>
      <protection hidden="1"/>
    </xf>
    <xf numFmtId="0" fontId="75" fillId="11" borderId="64" xfId="2" applyFill="1" applyBorder="1" applyAlignment="1" applyProtection="1">
      <alignment horizontal="center"/>
      <protection hidden="1"/>
    </xf>
    <xf numFmtId="4" fontId="10" fillId="3" borderId="22" xfId="0" applyNumberFormat="1" applyFont="1" applyFill="1" applyBorder="1" applyAlignment="1" applyProtection="1">
      <alignment horizontal="left" vertical="center" indent="2"/>
      <protection hidden="1"/>
    </xf>
    <xf numFmtId="0" fontId="0" fillId="0" borderId="5" xfId="0" applyBorder="1" applyAlignment="1" applyProtection="1">
      <alignment horizontal="left" vertical="center" indent="2"/>
      <protection hidden="1"/>
    </xf>
    <xf numFmtId="4" fontId="19" fillId="3" borderId="27" xfId="0" applyNumberFormat="1" applyFont="1" applyFill="1" applyBorder="1" applyAlignment="1" applyProtection="1">
      <alignment horizontal="center"/>
      <protection hidden="1"/>
    </xf>
    <xf numFmtId="0" fontId="103" fillId="0" borderId="9" xfId="0" applyFont="1" applyBorder="1" applyAlignment="1" applyProtection="1">
      <alignment horizontal="center"/>
      <protection hidden="1"/>
    </xf>
    <xf numFmtId="0" fontId="103" fillId="0" borderId="6" xfId="0" applyFont="1" applyBorder="1" applyAlignment="1" applyProtection="1">
      <alignment horizontal="center"/>
      <protection hidden="1"/>
    </xf>
    <xf numFmtId="0" fontId="103" fillId="0" borderId="0" xfId="0" applyFont="1" applyAlignment="1" applyProtection="1">
      <alignment horizontal="center"/>
      <protection hidden="1"/>
    </xf>
    <xf numFmtId="0" fontId="12" fillId="3" borderId="26" xfId="0" applyFont="1" applyFill="1" applyBorder="1" applyProtection="1">
      <protection hidden="1"/>
    </xf>
    <xf numFmtId="0" fontId="16" fillId="0" borderId="26" xfId="0" applyFont="1" applyBorder="1" applyProtection="1">
      <protection hidden="1"/>
    </xf>
    <xf numFmtId="0" fontId="10" fillId="3" borderId="6" xfId="0" applyFont="1" applyFill="1" applyBorder="1" applyAlignment="1" applyProtection="1">
      <alignment horizontal="left" indent="2"/>
      <protection hidden="1"/>
    </xf>
    <xf numFmtId="0" fontId="0" fillId="0" borderId="0" xfId="0" applyAlignment="1">
      <alignment horizontal="left" indent="2"/>
    </xf>
    <xf numFmtId="0" fontId="8" fillId="3" borderId="22" xfId="0" applyFont="1" applyFill="1" applyBorder="1" applyAlignment="1" applyProtection="1">
      <alignment horizontal="center" vertical="center"/>
      <protection hidden="1"/>
    </xf>
    <xf numFmtId="0" fontId="11" fillId="0" borderId="5" xfId="0" applyFont="1" applyBorder="1" applyAlignment="1" applyProtection="1">
      <alignment horizontal="center" vertical="center"/>
      <protection hidden="1"/>
    </xf>
    <xf numFmtId="0" fontId="11" fillId="0" borderId="23" xfId="0" applyFont="1" applyBorder="1" applyAlignment="1" applyProtection="1">
      <alignment horizontal="center" vertical="center"/>
      <protection hidden="1"/>
    </xf>
    <xf numFmtId="0" fontId="8" fillId="3" borderId="6" xfId="0" applyFont="1" applyFill="1" applyBorder="1" applyAlignment="1" applyProtection="1">
      <alignment horizontal="center" vertical="top"/>
      <protection hidden="1"/>
    </xf>
    <xf numFmtId="0" fontId="11" fillId="0" borderId="0" xfId="0" applyFont="1" applyAlignment="1" applyProtection="1">
      <alignment horizontal="center" vertical="top"/>
      <protection hidden="1"/>
    </xf>
    <xf numFmtId="0" fontId="11" fillId="0" borderId="21" xfId="0" applyFont="1" applyBorder="1" applyAlignment="1" applyProtection="1">
      <alignment horizontal="center" vertical="top"/>
      <protection hidden="1"/>
    </xf>
    <xf numFmtId="0" fontId="23" fillId="3" borderId="0" xfId="0" applyFont="1" applyFill="1" applyAlignment="1" applyProtection="1">
      <alignment horizontal="center"/>
      <protection hidden="1"/>
    </xf>
    <xf numFmtId="0" fontId="53" fillId="3" borderId="0" xfId="0" applyFont="1" applyFill="1" applyAlignment="1" applyProtection="1">
      <alignment horizontal="center"/>
      <protection hidden="1"/>
    </xf>
    <xf numFmtId="0" fontId="53" fillId="0" borderId="0" xfId="0" applyFont="1" applyAlignment="1" applyProtection="1">
      <alignment horizontal="center"/>
      <protection hidden="1"/>
    </xf>
    <xf numFmtId="0" fontId="53" fillId="0" borderId="21" xfId="0" applyFont="1" applyBorder="1" applyAlignment="1" applyProtection="1">
      <alignment horizontal="center"/>
      <protection hidden="1"/>
    </xf>
    <xf numFmtId="0" fontId="16" fillId="26" borderId="1" xfId="0" applyFont="1" applyFill="1" applyBorder="1" applyProtection="1">
      <protection hidden="1"/>
    </xf>
    <xf numFmtId="0" fontId="12" fillId="3" borderId="26" xfId="0" applyFont="1" applyFill="1" applyBorder="1" applyAlignment="1" applyProtection="1">
      <alignment vertical="center"/>
      <protection hidden="1"/>
    </xf>
    <xf numFmtId="0" fontId="15" fillId="3" borderId="26" xfId="0" applyFont="1" applyFill="1" applyBorder="1" applyAlignment="1" applyProtection="1">
      <alignment vertical="center"/>
      <protection hidden="1"/>
    </xf>
    <xf numFmtId="0" fontId="16" fillId="0" borderId="26" xfId="0" applyFont="1" applyBorder="1" applyAlignment="1" applyProtection="1">
      <alignment vertical="center"/>
      <protection hidden="1"/>
    </xf>
    <xf numFmtId="4" fontId="13" fillId="3" borderId="3" xfId="0" applyNumberFormat="1" applyFont="1" applyFill="1" applyBorder="1" applyAlignment="1" applyProtection="1">
      <alignment horizontal="center"/>
      <protection hidden="1"/>
    </xf>
    <xf numFmtId="0" fontId="0" fillId="0" borderId="8" xfId="0" applyBorder="1" applyAlignment="1">
      <alignment horizontal="center"/>
    </xf>
    <xf numFmtId="49" fontId="23" fillId="17" borderId="10" xfId="0" applyNumberFormat="1" applyFont="1" applyFill="1" applyBorder="1" applyAlignment="1" applyProtection="1">
      <alignment horizontal="center" vertical="center"/>
      <protection locked="0"/>
    </xf>
    <xf numFmtId="49" fontId="23" fillId="17" borderId="1" xfId="0" applyNumberFormat="1" applyFont="1" applyFill="1" applyBorder="1" applyAlignment="1" applyProtection="1">
      <alignment horizontal="center" vertical="center"/>
      <protection locked="0"/>
    </xf>
    <xf numFmtId="0" fontId="50" fillId="17" borderId="1" xfId="0" applyFont="1" applyFill="1" applyBorder="1" applyProtection="1">
      <protection locked="0"/>
    </xf>
    <xf numFmtId="0" fontId="0" fillId="0" borderId="12" xfId="0" applyBorder="1" applyProtection="1">
      <protection locked="0"/>
    </xf>
    <xf numFmtId="0" fontId="0" fillId="17" borderId="1" xfId="0" applyFill="1" applyBorder="1" applyAlignment="1" applyProtection="1">
      <alignment horizontal="center"/>
      <protection locked="0"/>
    </xf>
    <xf numFmtId="182" fontId="0" fillId="17" borderId="26" xfId="0" applyNumberFormat="1" applyFill="1" applyBorder="1" applyAlignment="1" applyProtection="1">
      <alignment horizontal="center" vertical="center"/>
      <protection locked="0"/>
    </xf>
    <xf numFmtId="0" fontId="0" fillId="16" borderId="1" xfId="0" applyFill="1" applyBorder="1" applyAlignment="1" applyProtection="1">
      <alignment horizontal="left" wrapText="1"/>
      <protection hidden="1"/>
    </xf>
    <xf numFmtId="0" fontId="18" fillId="16" borderId="5" xfId="0" applyFont="1" applyFill="1" applyBorder="1" applyAlignment="1" applyProtection="1">
      <alignment horizontal="right" vertical="center" wrapText="1" indent="1"/>
      <protection hidden="1"/>
    </xf>
    <xf numFmtId="0" fontId="18" fillId="17" borderId="10" xfId="0" applyFont="1" applyFill="1" applyBorder="1" applyAlignment="1" applyProtection="1">
      <alignment horizontal="center" vertical="center" wrapText="1"/>
      <protection locked="0"/>
    </xf>
    <xf numFmtId="0" fontId="18" fillId="17" borderId="12" xfId="0" applyFont="1" applyFill="1" applyBorder="1" applyAlignment="1" applyProtection="1">
      <alignment horizontal="center" vertical="center" wrapText="1"/>
      <protection locked="0"/>
    </xf>
    <xf numFmtId="0" fontId="18" fillId="17" borderId="1" xfId="0" applyFont="1" applyFill="1" applyBorder="1" applyAlignment="1" applyProtection="1">
      <alignment horizontal="center" vertical="center" wrapText="1"/>
      <protection locked="0"/>
    </xf>
    <xf numFmtId="0" fontId="18" fillId="17" borderId="53" xfId="0" applyFont="1" applyFill="1" applyBorder="1" applyAlignment="1" applyProtection="1">
      <alignment horizontal="center" vertical="center" wrapText="1"/>
      <protection locked="0"/>
    </xf>
    <xf numFmtId="0" fontId="18" fillId="17" borderId="74" xfId="0" applyFont="1" applyFill="1" applyBorder="1" applyAlignment="1" applyProtection="1">
      <alignment horizontal="center" vertical="center" wrapText="1"/>
      <protection locked="0"/>
    </xf>
    <xf numFmtId="0" fontId="10" fillId="16" borderId="0" xfId="0" applyFont="1" applyFill="1" applyAlignment="1" applyProtection="1">
      <alignment horizontal="left" wrapText="1" indent="1"/>
      <protection hidden="1"/>
    </xf>
    <xf numFmtId="0" fontId="10" fillId="0" borderId="0" xfId="0" applyFont="1" applyAlignment="1">
      <alignment horizontal="left" wrapText="1" indent="1"/>
    </xf>
    <xf numFmtId="14" fontId="3" fillId="17" borderId="1" xfId="0" applyNumberFormat="1" applyFont="1" applyFill="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143" fillId="32" borderId="9" xfId="0" applyFont="1" applyFill="1" applyBorder="1" applyAlignment="1" applyProtection="1">
      <alignment horizontal="center"/>
      <protection hidden="1"/>
    </xf>
    <xf numFmtId="0" fontId="129" fillId="32" borderId="9" xfId="0" applyFont="1" applyFill="1" applyBorder="1" applyAlignment="1" applyProtection="1">
      <alignment horizontal="center"/>
      <protection hidden="1"/>
    </xf>
    <xf numFmtId="0" fontId="50" fillId="17" borderId="1" xfId="0" applyFont="1" applyFill="1" applyBorder="1" applyAlignment="1" applyProtection="1">
      <alignment wrapText="1"/>
      <protection locked="0"/>
    </xf>
    <xf numFmtId="0" fontId="0" fillId="0" borderId="1" xfId="0" applyBorder="1" applyAlignment="1" applyProtection="1">
      <alignment wrapText="1"/>
      <protection locked="0"/>
    </xf>
    <xf numFmtId="49" fontId="8" fillId="16" borderId="1" xfId="0" applyNumberFormat="1" applyFont="1" applyFill="1" applyBorder="1" applyAlignment="1" applyProtection="1">
      <alignment horizontal="left" wrapText="1"/>
      <protection locked="0"/>
    </xf>
    <xf numFmtId="49" fontId="8" fillId="16" borderId="12" xfId="0" applyNumberFormat="1" applyFont="1" applyFill="1" applyBorder="1" applyAlignment="1" applyProtection="1">
      <alignment horizontal="left" wrapText="1"/>
      <protection locked="0"/>
    </xf>
    <xf numFmtId="49" fontId="8" fillId="17" borderId="10" xfId="0" applyNumberFormat="1" applyFont="1" applyFill="1" applyBorder="1" applyAlignment="1" applyProtection="1">
      <alignment wrapText="1"/>
      <protection locked="0"/>
    </xf>
    <xf numFmtId="49" fontId="0" fillId="0" borderId="1" xfId="0" applyNumberFormat="1" applyBorder="1" applyAlignment="1" applyProtection="1">
      <alignment wrapText="1"/>
      <protection locked="0"/>
    </xf>
    <xf numFmtId="49" fontId="0" fillId="0" borderId="12" xfId="0" applyNumberFormat="1" applyBorder="1" applyAlignment="1" applyProtection="1">
      <alignment wrapText="1"/>
      <protection locked="0"/>
    </xf>
    <xf numFmtId="14" fontId="8" fillId="16" borderId="10" xfId="0" applyNumberFormat="1" applyFont="1" applyFill="1" applyBorder="1" applyAlignment="1" applyProtection="1">
      <alignment horizontal="center" wrapText="1"/>
      <protection locked="0"/>
    </xf>
    <xf numFmtId="14" fontId="0" fillId="16" borderId="1" xfId="0" applyNumberFormat="1" applyFill="1" applyBorder="1" applyAlignment="1" applyProtection="1">
      <alignment horizontal="center" wrapText="1"/>
      <protection locked="0"/>
    </xf>
    <xf numFmtId="182" fontId="18" fillId="17" borderId="1" xfId="0" applyNumberFormat="1" applyFont="1" applyFill="1" applyBorder="1" applyAlignment="1" applyProtection="1">
      <alignment horizontal="center" wrapText="1"/>
      <protection locked="0"/>
    </xf>
    <xf numFmtId="49" fontId="8" fillId="17" borderId="1" xfId="0" applyNumberFormat="1" applyFont="1" applyFill="1" applyBorder="1" applyAlignment="1" applyProtection="1">
      <alignment wrapText="1"/>
      <protection locked="0"/>
    </xf>
    <xf numFmtId="49" fontId="8" fillId="17" borderId="12" xfId="0" applyNumberFormat="1" applyFont="1" applyFill="1" applyBorder="1" applyAlignment="1" applyProtection="1">
      <alignment wrapText="1"/>
      <protection locked="0"/>
    </xf>
    <xf numFmtId="168" fontId="3" fillId="17" borderId="40" xfId="0" applyNumberFormat="1" applyFont="1" applyFill="1" applyBorder="1" applyAlignment="1" applyProtection="1">
      <alignment horizontal="center" vertical="center" wrapText="1"/>
      <protection locked="0"/>
    </xf>
    <xf numFmtId="168" fontId="3" fillId="17" borderId="26" xfId="0" applyNumberFormat="1" applyFont="1" applyFill="1" applyBorder="1" applyAlignment="1" applyProtection="1">
      <alignment horizontal="center" vertical="center" wrapText="1"/>
      <protection locked="0"/>
    </xf>
    <xf numFmtId="168" fontId="5" fillId="0" borderId="26" xfId="0" applyNumberFormat="1" applyFont="1" applyBorder="1" applyAlignment="1" applyProtection="1">
      <alignment horizontal="center" vertical="center" wrapText="1"/>
      <protection locked="0"/>
    </xf>
    <xf numFmtId="168" fontId="5" fillId="0" borderId="26" xfId="0" applyNumberFormat="1" applyFont="1" applyBorder="1" applyAlignment="1" applyProtection="1">
      <alignment wrapText="1"/>
      <protection locked="0"/>
    </xf>
    <xf numFmtId="168" fontId="5" fillId="0" borderId="55" xfId="0" applyNumberFormat="1" applyFont="1" applyBorder="1" applyAlignment="1" applyProtection="1">
      <alignment wrapText="1"/>
      <protection locked="0"/>
    </xf>
    <xf numFmtId="0" fontId="18" fillId="16" borderId="9" xfId="0" applyFont="1" applyFill="1" applyBorder="1" applyAlignment="1" applyProtection="1">
      <alignment horizontal="right" vertical="center" wrapText="1" indent="1"/>
      <protection hidden="1"/>
    </xf>
    <xf numFmtId="0" fontId="18" fillId="16" borderId="9" xfId="0" applyFont="1" applyFill="1" applyBorder="1" applyAlignment="1">
      <alignment horizontal="right" vertical="center" wrapText="1" indent="1"/>
    </xf>
    <xf numFmtId="3" fontId="3" fillId="17" borderId="1" xfId="0" applyNumberFormat="1" applyFont="1" applyFill="1" applyBorder="1" applyAlignment="1" applyProtection="1">
      <alignment horizontal="center" vertical="center" wrapText="1"/>
      <protection locked="0"/>
    </xf>
    <xf numFmtId="3" fontId="3" fillId="17" borderId="26" xfId="0" applyNumberFormat="1" applyFont="1" applyFill="1" applyBorder="1" applyAlignment="1" applyProtection="1">
      <alignment horizontal="center" vertical="center" wrapText="1"/>
      <protection locked="0"/>
    </xf>
    <xf numFmtId="0" fontId="18" fillId="17" borderId="1" xfId="0" applyFont="1" applyFill="1" applyBorder="1" applyAlignment="1" applyProtection="1">
      <alignment horizontal="left" wrapText="1"/>
      <protection locked="0"/>
    </xf>
    <xf numFmtId="0" fontId="18" fillId="0" borderId="1" xfId="0" applyFont="1" applyBorder="1" applyAlignment="1" applyProtection="1">
      <alignment horizontal="left" wrapText="1"/>
      <protection locked="0"/>
    </xf>
    <xf numFmtId="14" fontId="10" fillId="17" borderId="40" xfId="0" applyNumberFormat="1" applyFont="1" applyFill="1" applyBorder="1" applyAlignment="1" applyProtection="1">
      <alignment horizontal="center" vertical="center" wrapText="1"/>
      <protection locked="0"/>
    </xf>
    <xf numFmtId="14" fontId="10" fillId="17" borderId="26" xfId="0" applyNumberFormat="1" applyFont="1" applyFill="1" applyBorder="1" applyAlignment="1" applyProtection="1">
      <alignment horizontal="center" vertical="center" wrapText="1"/>
      <protection locked="0"/>
    </xf>
    <xf numFmtId="0" fontId="10" fillId="0" borderId="26" xfId="0" applyFont="1" applyBorder="1" applyAlignment="1" applyProtection="1">
      <alignment horizontal="center" vertical="center" wrapText="1"/>
      <protection locked="0"/>
    </xf>
    <xf numFmtId="0" fontId="10" fillId="0" borderId="26" xfId="0" applyFont="1" applyBorder="1" applyAlignment="1" applyProtection="1">
      <alignment wrapText="1"/>
      <protection locked="0"/>
    </xf>
    <xf numFmtId="0" fontId="10" fillId="0" borderId="55" xfId="0" applyFont="1" applyBorder="1" applyAlignment="1" applyProtection="1">
      <alignment wrapText="1"/>
      <protection locked="0"/>
    </xf>
    <xf numFmtId="168" fontId="0" fillId="0" borderId="26" xfId="0" applyNumberFormat="1" applyBorder="1" applyAlignment="1" applyProtection="1">
      <alignment wrapText="1"/>
      <protection locked="0"/>
    </xf>
    <xf numFmtId="168" fontId="0" fillId="0" borderId="55" xfId="0" applyNumberFormat="1" applyBorder="1" applyAlignment="1" applyProtection="1">
      <alignment wrapText="1"/>
      <protection locked="0"/>
    </xf>
    <xf numFmtId="0" fontId="50" fillId="28" borderId="21" xfId="0" applyFont="1" applyFill="1" applyBorder="1" applyProtection="1">
      <protection hidden="1"/>
    </xf>
    <xf numFmtId="0" fontId="50" fillId="28" borderId="1" xfId="0" applyFont="1" applyFill="1" applyBorder="1" applyProtection="1">
      <protection hidden="1"/>
    </xf>
    <xf numFmtId="0" fontId="50" fillId="28" borderId="30" xfId="0" applyFont="1" applyFill="1" applyBorder="1" applyProtection="1">
      <protection hidden="1"/>
    </xf>
    <xf numFmtId="49" fontId="23" fillId="17" borderId="6" xfId="0" applyNumberFormat="1" applyFont="1" applyFill="1" applyBorder="1" applyAlignment="1" applyProtection="1">
      <alignment horizontal="center" vertical="center"/>
      <protection locked="0"/>
    </xf>
    <xf numFmtId="49" fontId="23" fillId="17" borderId="0" xfId="0" applyNumberFormat="1" applyFont="1" applyFill="1" applyAlignment="1" applyProtection="1">
      <alignment horizontal="center" vertical="center"/>
      <protection locked="0"/>
    </xf>
    <xf numFmtId="49" fontId="23" fillId="17" borderId="27" xfId="0" applyNumberFormat="1" applyFont="1" applyFill="1" applyBorder="1" applyAlignment="1" applyProtection="1">
      <alignment horizontal="center" vertical="center"/>
      <protection locked="0"/>
    </xf>
    <xf numFmtId="0" fontId="18" fillId="17" borderId="26" xfId="0" applyFont="1" applyFill="1" applyBorder="1" applyAlignment="1" applyProtection="1">
      <alignment horizontal="left" wrapText="1"/>
      <protection locked="0"/>
    </xf>
    <xf numFmtId="0" fontId="18" fillId="17" borderId="12" xfId="0" applyFont="1" applyFill="1" applyBorder="1" applyAlignment="1" applyProtection="1">
      <alignment horizontal="left" wrapText="1"/>
      <protection locked="0"/>
    </xf>
    <xf numFmtId="0" fontId="18" fillId="16" borderId="25" xfId="0" applyFont="1" applyFill="1" applyBorder="1" applyAlignment="1" applyProtection="1">
      <alignment horizontal="left" wrapText="1"/>
      <protection hidden="1"/>
    </xf>
    <xf numFmtId="0" fontId="18" fillId="16" borderId="7" xfId="0" applyFont="1" applyFill="1" applyBorder="1" applyAlignment="1" applyProtection="1">
      <alignment horizontal="left" wrapText="1"/>
      <protection hidden="1"/>
    </xf>
    <xf numFmtId="0" fontId="18" fillId="16" borderId="12" xfId="0" applyFont="1" applyFill="1" applyBorder="1" applyAlignment="1" applyProtection="1">
      <alignment horizontal="left" wrapText="1"/>
      <protection hidden="1"/>
    </xf>
    <xf numFmtId="0" fontId="18" fillId="16" borderId="11" xfId="0" applyFont="1" applyFill="1" applyBorder="1" applyAlignment="1" applyProtection="1">
      <alignment horizontal="left" wrapText="1"/>
      <protection hidden="1"/>
    </xf>
    <xf numFmtId="0" fontId="3" fillId="17" borderId="1" xfId="0" applyFont="1" applyFill="1" applyBorder="1" applyAlignment="1" applyProtection="1">
      <alignment horizontal="left" vertical="center" wrapText="1"/>
      <protection locked="0"/>
    </xf>
    <xf numFmtId="0" fontId="18" fillId="16" borderId="40" xfId="0" applyFont="1" applyFill="1" applyBorder="1" applyAlignment="1" applyProtection="1">
      <alignment horizontal="center" wrapText="1"/>
      <protection hidden="1"/>
    </xf>
    <xf numFmtId="0" fontId="18" fillId="16" borderId="55" xfId="0" applyFont="1" applyFill="1" applyBorder="1" applyAlignment="1">
      <alignment horizontal="center" wrapText="1"/>
    </xf>
    <xf numFmtId="0" fontId="18" fillId="17" borderId="32" xfId="0" applyFont="1" applyFill="1" applyBorder="1" applyAlignment="1" applyProtection="1">
      <alignment horizontal="center" vertical="center" wrapText="1"/>
      <protection locked="0"/>
    </xf>
    <xf numFmtId="0" fontId="18" fillId="16" borderId="26" xfId="0" applyFont="1" applyFill="1" applyBorder="1" applyAlignment="1">
      <alignment horizontal="center" wrapText="1"/>
    </xf>
    <xf numFmtId="0" fontId="5" fillId="16" borderId="81" xfId="0" applyFont="1" applyFill="1" applyBorder="1" applyAlignment="1" applyProtection="1">
      <alignment horizontal="left" vertical="center" wrapText="1" indent="2"/>
      <protection hidden="1"/>
    </xf>
    <xf numFmtId="0" fontId="0" fillId="0" borderId="9" xfId="0" applyBorder="1" applyAlignment="1" applyProtection="1">
      <alignment horizontal="left" vertical="center" wrapText="1" indent="2"/>
      <protection hidden="1"/>
    </xf>
    <xf numFmtId="0" fontId="0" fillId="0" borderId="6" xfId="0" applyBorder="1" applyAlignment="1" applyProtection="1">
      <alignment horizontal="left" vertical="center" wrapText="1" indent="2"/>
      <protection hidden="1"/>
    </xf>
    <xf numFmtId="0" fontId="0" fillId="0" borderId="0" xfId="0" applyAlignment="1" applyProtection="1">
      <alignment horizontal="left" vertical="center" wrapText="1" indent="2"/>
      <protection hidden="1"/>
    </xf>
    <xf numFmtId="0" fontId="0" fillId="0" borderId="22" xfId="0" applyBorder="1" applyAlignment="1" applyProtection="1">
      <alignment horizontal="left" vertical="center" wrapText="1" indent="2"/>
      <protection hidden="1"/>
    </xf>
    <xf numFmtId="0" fontId="0" fillId="0" borderId="5" xfId="0" applyBorder="1" applyAlignment="1" applyProtection="1">
      <alignment horizontal="left" vertical="center" wrapText="1" indent="2"/>
      <protection hidden="1"/>
    </xf>
    <xf numFmtId="0" fontId="23" fillId="0" borderId="9" xfId="0" applyFont="1" applyBorder="1" applyAlignment="1" applyProtection="1">
      <alignment horizontal="left" vertical="center" wrapText="1"/>
      <protection hidden="1"/>
    </xf>
    <xf numFmtId="0" fontId="23" fillId="0" borderId="0" xfId="0" applyFont="1" applyAlignment="1" applyProtection="1">
      <alignment horizontal="left" vertical="center" wrapText="1"/>
      <protection hidden="1"/>
    </xf>
    <xf numFmtId="0" fontId="23" fillId="0" borderId="5" xfId="0" applyFont="1" applyBorder="1" applyAlignment="1" applyProtection="1">
      <alignment horizontal="left" vertical="center" wrapText="1"/>
      <protection hidden="1"/>
    </xf>
    <xf numFmtId="0" fontId="13" fillId="17" borderId="31" xfId="0" applyFont="1" applyFill="1" applyBorder="1" applyAlignment="1" applyProtection="1">
      <alignment horizontal="center" vertical="center" wrapText="1"/>
      <protection locked="0"/>
    </xf>
    <xf numFmtId="0" fontId="10" fillId="17" borderId="9" xfId="0" applyFont="1" applyFill="1" applyBorder="1" applyAlignment="1" applyProtection="1">
      <alignment wrapText="1"/>
      <protection locked="0"/>
    </xf>
    <xf numFmtId="0" fontId="10" fillId="17" borderId="15" xfId="0" applyFont="1" applyFill="1" applyBorder="1" applyAlignment="1" applyProtection="1">
      <alignment wrapText="1"/>
      <protection locked="0"/>
    </xf>
    <xf numFmtId="0" fontId="10" fillId="17" borderId="3" xfId="0" applyFont="1" applyFill="1" applyBorder="1" applyAlignment="1" applyProtection="1">
      <alignment wrapText="1"/>
      <protection locked="0"/>
    </xf>
    <xf numFmtId="0" fontId="10" fillId="17" borderId="0" xfId="0" applyFont="1" applyFill="1" applyAlignment="1" applyProtection="1">
      <alignment wrapText="1"/>
      <protection locked="0"/>
    </xf>
    <xf numFmtId="0" fontId="10" fillId="17" borderId="25" xfId="0" applyFont="1" applyFill="1" applyBorder="1" applyAlignment="1" applyProtection="1">
      <alignment wrapText="1"/>
      <protection locked="0"/>
    </xf>
    <xf numFmtId="0" fontId="10" fillId="17" borderId="10" xfId="0" applyFont="1" applyFill="1" applyBorder="1" applyAlignment="1" applyProtection="1">
      <alignment wrapText="1"/>
      <protection locked="0"/>
    </xf>
    <xf numFmtId="0" fontId="10" fillId="17" borderId="1" xfId="0" applyFont="1" applyFill="1" applyBorder="1" applyAlignment="1" applyProtection="1">
      <alignment wrapText="1"/>
      <protection locked="0"/>
    </xf>
    <xf numFmtId="0" fontId="13" fillId="17" borderId="9" xfId="0" applyFont="1" applyFill="1" applyBorder="1" applyAlignment="1" applyProtection="1">
      <alignment horizontal="center" vertical="center" wrapText="1"/>
      <protection locked="0"/>
    </xf>
    <xf numFmtId="0" fontId="13" fillId="17" borderId="3" xfId="0" applyFont="1" applyFill="1" applyBorder="1" applyAlignment="1" applyProtection="1">
      <alignment horizontal="center" vertical="center" wrapText="1"/>
      <protection locked="0"/>
    </xf>
    <xf numFmtId="0" fontId="13" fillId="17" borderId="0" xfId="0" applyFont="1" applyFill="1" applyAlignment="1" applyProtection="1">
      <alignment horizontal="center" vertical="center" wrapText="1"/>
      <protection locked="0"/>
    </xf>
    <xf numFmtId="0" fontId="13" fillId="17" borderId="1" xfId="0" applyFont="1" applyFill="1" applyBorder="1" applyAlignment="1" applyProtection="1">
      <alignment horizontal="center" vertical="center" wrapText="1"/>
      <protection locked="0"/>
    </xf>
    <xf numFmtId="0" fontId="0" fillId="16" borderId="9" xfId="0" applyFill="1" applyBorder="1" applyAlignment="1" applyProtection="1">
      <alignment horizontal="center" vertical="center" wrapText="1"/>
      <protection hidden="1"/>
    </xf>
    <xf numFmtId="0" fontId="0" fillId="16" borderId="15" xfId="0" applyFill="1" applyBorder="1" applyAlignment="1" applyProtection="1">
      <alignment horizontal="center" vertical="center" wrapText="1"/>
      <protection hidden="1"/>
    </xf>
    <xf numFmtId="0" fontId="0" fillId="16" borderId="0" xfId="0" applyFill="1" applyAlignment="1" applyProtection="1">
      <alignment horizontal="center" vertical="center" wrapText="1"/>
      <protection hidden="1"/>
    </xf>
    <xf numFmtId="0" fontId="0" fillId="16" borderId="25" xfId="0" applyFill="1" applyBorder="1" applyAlignment="1" applyProtection="1">
      <alignment horizontal="center" vertical="center" wrapText="1"/>
      <protection hidden="1"/>
    </xf>
    <xf numFmtId="0" fontId="0" fillId="16" borderId="1" xfId="0" applyFill="1" applyBorder="1" applyAlignment="1" applyProtection="1">
      <alignment horizontal="center" vertical="center" wrapText="1"/>
      <protection hidden="1"/>
    </xf>
    <xf numFmtId="0" fontId="0" fillId="16" borderId="12" xfId="0" applyFill="1" applyBorder="1" applyAlignment="1" applyProtection="1">
      <alignment horizontal="center" vertical="center" wrapText="1"/>
      <protection hidden="1"/>
    </xf>
    <xf numFmtId="0" fontId="12" fillId="16" borderId="0" xfId="0" applyFont="1" applyFill="1" applyAlignment="1" applyProtection="1">
      <alignment horizontal="center" vertical="center" wrapText="1"/>
      <protection hidden="1"/>
    </xf>
    <xf numFmtId="0" fontId="12" fillId="16" borderId="1" xfId="0" applyFont="1" applyFill="1" applyBorder="1" applyAlignment="1" applyProtection="1">
      <alignment horizontal="center" vertical="center" wrapText="1"/>
      <protection hidden="1"/>
    </xf>
    <xf numFmtId="0" fontId="0" fillId="16" borderId="3" xfId="0" applyFill="1" applyBorder="1" applyAlignment="1" applyProtection="1">
      <alignment horizontal="center" vertical="center" wrapText="1"/>
      <protection hidden="1"/>
    </xf>
    <xf numFmtId="0" fontId="0" fillId="16" borderId="10" xfId="0" applyFill="1" applyBorder="1" applyAlignment="1" applyProtection="1">
      <alignment horizontal="center" vertical="center" wrapText="1"/>
      <protection hidden="1"/>
    </xf>
    <xf numFmtId="1" fontId="12" fillId="16" borderId="9" xfId="0" applyNumberFormat="1" applyFont="1" applyFill="1" applyBorder="1" applyAlignment="1" applyProtection="1">
      <alignment horizontal="center" vertical="center" wrapText="1"/>
      <protection hidden="1"/>
    </xf>
    <xf numFmtId="0" fontId="5" fillId="16" borderId="6" xfId="0" applyFont="1" applyFill="1" applyBorder="1" applyAlignment="1" applyProtection="1">
      <alignment horizontal="center"/>
      <protection hidden="1"/>
    </xf>
    <xf numFmtId="0" fontId="10" fillId="17" borderId="12" xfId="0" applyFont="1" applyFill="1" applyBorder="1" applyAlignment="1" applyProtection="1">
      <alignment wrapText="1"/>
      <protection locked="0"/>
    </xf>
    <xf numFmtId="0" fontId="13" fillId="17" borderId="10" xfId="0" applyFont="1" applyFill="1" applyBorder="1" applyAlignment="1" applyProtection="1">
      <alignment horizontal="center" vertical="center" wrapText="1"/>
      <protection locked="0"/>
    </xf>
    <xf numFmtId="168" fontId="3" fillId="17" borderId="55" xfId="0" applyNumberFormat="1" applyFont="1" applyFill="1" applyBorder="1" applyAlignment="1" applyProtection="1">
      <alignment horizontal="center" vertical="center" wrapText="1"/>
      <protection locked="0"/>
    </xf>
    <xf numFmtId="0" fontId="3" fillId="17" borderId="40" xfId="0" applyFont="1" applyFill="1" applyBorder="1" applyAlignment="1" applyProtection="1">
      <alignment horizontal="center" vertical="center" wrapText="1"/>
      <protection locked="0"/>
    </xf>
    <xf numFmtId="0" fontId="10" fillId="16" borderId="9" xfId="0" applyFont="1" applyFill="1" applyBorder="1" applyAlignment="1" applyProtection="1">
      <alignment horizontal="center" vertical="center" wrapText="1"/>
      <protection hidden="1"/>
    </xf>
    <xf numFmtId="0" fontId="10" fillId="16" borderId="15" xfId="0" applyFont="1" applyFill="1" applyBorder="1" applyAlignment="1" applyProtection="1">
      <alignment horizontal="center" vertical="center" wrapText="1"/>
      <protection hidden="1"/>
    </xf>
    <xf numFmtId="0" fontId="10" fillId="16" borderId="1" xfId="0" applyFont="1" applyFill="1" applyBorder="1" applyAlignment="1" applyProtection="1">
      <alignment horizontal="center" vertical="center" wrapText="1"/>
      <protection hidden="1"/>
    </xf>
    <xf numFmtId="0" fontId="10" fillId="16" borderId="12" xfId="0" applyFont="1" applyFill="1" applyBorder="1" applyAlignment="1" applyProtection="1">
      <alignment horizontal="center" vertical="center" wrapText="1"/>
      <protection hidden="1"/>
    </xf>
    <xf numFmtId="0" fontId="10" fillId="16" borderId="15" xfId="0" applyFont="1" applyFill="1" applyBorder="1" applyAlignment="1">
      <alignment horizontal="center" vertical="center" wrapText="1"/>
    </xf>
    <xf numFmtId="0" fontId="10" fillId="16" borderId="12" xfId="0" applyFont="1" applyFill="1" applyBorder="1" applyAlignment="1">
      <alignment horizontal="center" vertical="center" wrapText="1"/>
    </xf>
    <xf numFmtId="0" fontId="0" fillId="16" borderId="10" xfId="0" applyFill="1" applyBorder="1" applyAlignment="1">
      <alignment horizontal="center" vertical="center" wrapText="1"/>
    </xf>
    <xf numFmtId="1" fontId="12" fillId="16" borderId="26" xfId="0" applyNumberFormat="1" applyFont="1" applyFill="1" applyBorder="1" applyAlignment="1" applyProtection="1">
      <alignment horizontal="center" vertical="center" wrapText="1"/>
      <protection hidden="1"/>
    </xf>
    <xf numFmtId="1" fontId="12" fillId="16" borderId="55" xfId="0" applyNumberFormat="1" applyFont="1" applyFill="1" applyBorder="1" applyAlignment="1" applyProtection="1">
      <alignment horizontal="center" vertical="center" wrapText="1"/>
      <protection hidden="1"/>
    </xf>
    <xf numFmtId="14" fontId="3" fillId="17" borderId="55" xfId="0" applyNumberFormat="1" applyFont="1" applyFill="1" applyBorder="1" applyAlignment="1" applyProtection="1">
      <alignment horizontal="center" vertical="center" wrapText="1"/>
      <protection locked="0"/>
    </xf>
    <xf numFmtId="190" fontId="3" fillId="17" borderId="40" xfId="0" applyNumberFormat="1" applyFont="1" applyFill="1" applyBorder="1" applyAlignment="1" applyProtection="1">
      <alignment horizontal="center" vertical="center" wrapText="1"/>
      <protection locked="0"/>
    </xf>
    <xf numFmtId="190" fontId="3" fillId="17" borderId="26" xfId="0" applyNumberFormat="1" applyFont="1" applyFill="1" applyBorder="1" applyAlignment="1" applyProtection="1">
      <alignment horizontal="center" vertical="center" wrapText="1"/>
      <protection locked="0"/>
    </xf>
    <xf numFmtId="190" fontId="3" fillId="17" borderId="55" xfId="0" applyNumberFormat="1" applyFont="1" applyFill="1" applyBorder="1" applyAlignment="1" applyProtection="1">
      <alignment horizontal="center" vertical="center" wrapText="1"/>
      <protection locked="0"/>
    </xf>
    <xf numFmtId="0" fontId="3" fillId="17" borderId="55" xfId="0" applyFont="1" applyFill="1" applyBorder="1" applyAlignment="1" applyProtection="1">
      <alignment horizontal="center" vertical="center" wrapText="1"/>
      <protection locked="0"/>
    </xf>
    <xf numFmtId="0" fontId="0" fillId="16" borderId="15" xfId="0" applyFill="1" applyBorder="1" applyAlignment="1" applyProtection="1">
      <alignment wrapText="1"/>
      <protection hidden="1"/>
    </xf>
    <xf numFmtId="0" fontId="0" fillId="16" borderId="12" xfId="0" applyFill="1" applyBorder="1" applyAlignment="1" applyProtection="1">
      <alignment wrapText="1"/>
      <protection hidden="1"/>
    </xf>
    <xf numFmtId="0" fontId="18" fillId="16" borderId="0" xfId="0" applyFont="1" applyFill="1" applyAlignment="1">
      <alignment horizontal="right" vertical="center" wrapText="1" indent="1"/>
    </xf>
    <xf numFmtId="0" fontId="129" fillId="32" borderId="26" xfId="0" applyFont="1" applyFill="1" applyBorder="1" applyAlignment="1" applyProtection="1">
      <alignment horizontal="center" vertical="center"/>
      <protection hidden="1"/>
    </xf>
    <xf numFmtId="168" fontId="3" fillId="17" borderId="53" xfId="0" applyNumberFormat="1" applyFont="1" applyFill="1" applyBorder="1" applyAlignment="1" applyProtection="1">
      <alignment horizontal="center" vertical="center" wrapText="1"/>
      <protection locked="0"/>
    </xf>
    <xf numFmtId="168" fontId="3" fillId="17" borderId="32" xfId="0" applyNumberFormat="1" applyFont="1" applyFill="1" applyBorder="1" applyAlignment="1" applyProtection="1">
      <alignment horizontal="center" vertical="center" wrapText="1"/>
      <protection locked="0"/>
    </xf>
    <xf numFmtId="168" fontId="3" fillId="17" borderId="74" xfId="0" applyNumberFormat="1" applyFont="1" applyFill="1" applyBorder="1" applyAlignment="1" applyProtection="1">
      <alignment horizontal="center" vertical="center" wrapText="1"/>
      <protection locked="0"/>
    </xf>
    <xf numFmtId="168" fontId="0" fillId="0" borderId="26" xfId="0" applyNumberFormat="1" applyBorder="1" applyAlignment="1" applyProtection="1">
      <alignment horizontal="center" vertical="center" wrapText="1"/>
      <protection locked="0"/>
    </xf>
    <xf numFmtId="0" fontId="8" fillId="17" borderId="40" xfId="0" applyFont="1" applyFill="1" applyBorder="1" applyAlignment="1" applyProtection="1">
      <alignment horizontal="center" vertical="center" wrapText="1"/>
      <protection locked="0"/>
    </xf>
    <xf numFmtId="0" fontId="7" fillId="0" borderId="26" xfId="0" applyFont="1" applyBorder="1" applyAlignment="1" applyProtection="1">
      <alignment horizontal="center" vertical="center" wrapText="1"/>
      <protection locked="0"/>
    </xf>
    <xf numFmtId="0" fontId="7" fillId="0" borderId="55" xfId="0" applyFont="1" applyBorder="1" applyAlignment="1" applyProtection="1">
      <alignment horizontal="center" vertical="center" wrapText="1"/>
      <protection locked="0"/>
    </xf>
    <xf numFmtId="0" fontId="0" fillId="0" borderId="10" xfId="0" applyBorder="1" applyAlignment="1">
      <alignment vertical="center" wrapText="1"/>
    </xf>
    <xf numFmtId="0" fontId="0" fillId="0" borderId="1" xfId="0" applyBorder="1" applyAlignment="1">
      <alignment vertical="center" wrapText="1"/>
    </xf>
    <xf numFmtId="0" fontId="3" fillId="17" borderId="53" xfId="0" applyFont="1" applyFill="1" applyBorder="1" applyAlignment="1" applyProtection="1">
      <alignment horizontal="center" vertical="center" wrapText="1"/>
      <protection locked="0"/>
    </xf>
    <xf numFmtId="0" fontId="3" fillId="17" borderId="32" xfId="0" applyFont="1" applyFill="1" applyBorder="1" applyAlignment="1" applyProtection="1">
      <alignment horizontal="center" vertical="center" wrapText="1"/>
      <protection locked="0"/>
    </xf>
    <xf numFmtId="14" fontId="13" fillId="17" borderId="40" xfId="0" applyNumberFormat="1" applyFont="1" applyFill="1" applyBorder="1" applyAlignment="1" applyProtection="1">
      <alignment horizontal="center" vertical="center" wrapText="1"/>
      <protection locked="0"/>
    </xf>
    <xf numFmtId="0" fontId="13" fillId="0" borderId="26" xfId="0" applyFont="1" applyBorder="1" applyAlignment="1" applyProtection="1">
      <alignment horizontal="center" vertical="center" wrapText="1"/>
      <protection locked="0"/>
    </xf>
    <xf numFmtId="0" fontId="3" fillId="0" borderId="55" xfId="0" applyFont="1" applyBorder="1" applyAlignment="1" applyProtection="1">
      <alignment horizontal="center" vertical="center" wrapText="1"/>
      <protection locked="0"/>
    </xf>
    <xf numFmtId="0" fontId="7" fillId="0" borderId="31" xfId="0" applyFont="1" applyBorder="1" applyAlignment="1">
      <alignment horizontal="center" vertical="center" wrapText="1"/>
    </xf>
    <xf numFmtId="0" fontId="0" fillId="0" borderId="15" xfId="0" applyBorder="1" applyAlignment="1">
      <alignment vertical="center" wrapText="1"/>
    </xf>
    <xf numFmtId="0" fontId="0" fillId="0" borderId="12" xfId="0" applyBorder="1" applyAlignment="1">
      <alignment vertical="center" wrapText="1"/>
    </xf>
    <xf numFmtId="1" fontId="12" fillId="16" borderId="32" xfId="0" applyNumberFormat="1" applyFont="1" applyFill="1" applyBorder="1" applyAlignment="1" applyProtection="1">
      <alignment horizontal="center" vertical="center" wrapText="1"/>
      <protection hidden="1"/>
    </xf>
    <xf numFmtId="1" fontId="12" fillId="16" borderId="74" xfId="0" applyNumberFormat="1" applyFont="1" applyFill="1" applyBorder="1" applyAlignment="1" applyProtection="1">
      <alignment horizontal="center" vertical="center" wrapText="1"/>
      <protection hidden="1"/>
    </xf>
    <xf numFmtId="14" fontId="3" fillId="17" borderId="53" xfId="0" applyNumberFormat="1" applyFont="1" applyFill="1" applyBorder="1" applyAlignment="1" applyProtection="1">
      <alignment horizontal="center" vertical="center" wrapText="1"/>
      <protection locked="0"/>
    </xf>
    <xf numFmtId="14" fontId="3" fillId="17" borderId="32" xfId="0" applyNumberFormat="1" applyFont="1" applyFill="1" applyBorder="1" applyAlignment="1" applyProtection="1">
      <alignment horizontal="center" vertical="center" wrapText="1"/>
      <protection locked="0"/>
    </xf>
    <xf numFmtId="14" fontId="3" fillId="17" borderId="74" xfId="0" applyNumberFormat="1" applyFont="1" applyFill="1" applyBorder="1" applyAlignment="1" applyProtection="1">
      <alignment horizontal="center" vertical="center" wrapText="1"/>
      <protection locked="0"/>
    </xf>
    <xf numFmtId="190" fontId="3" fillId="17" borderId="53" xfId="0" applyNumberFormat="1" applyFont="1" applyFill="1" applyBorder="1" applyAlignment="1" applyProtection="1">
      <alignment horizontal="center" vertical="center" wrapText="1"/>
      <protection locked="0"/>
    </xf>
    <xf numFmtId="190" fontId="3" fillId="17" borderId="32" xfId="0" applyNumberFormat="1" applyFont="1" applyFill="1" applyBorder="1" applyAlignment="1" applyProtection="1">
      <alignment horizontal="center" vertical="center" wrapText="1"/>
      <protection locked="0"/>
    </xf>
    <xf numFmtId="190" fontId="3" fillId="17" borderId="74" xfId="0" applyNumberFormat="1" applyFont="1" applyFill="1" applyBorder="1" applyAlignment="1" applyProtection="1">
      <alignment horizontal="center" vertical="center" wrapText="1"/>
      <protection locked="0"/>
    </xf>
    <xf numFmtId="0" fontId="3" fillId="17" borderId="74" xfId="0" applyFont="1" applyFill="1" applyBorder="1" applyAlignment="1" applyProtection="1">
      <alignment horizontal="center" vertical="center" wrapText="1"/>
      <protection locked="0"/>
    </xf>
    <xf numFmtId="0" fontId="5" fillId="16" borderId="31" xfId="0" applyFont="1" applyFill="1" applyBorder="1" applyAlignment="1">
      <alignment horizontal="left" vertical="center" indent="1"/>
    </xf>
    <xf numFmtId="0" fontId="5" fillId="16" borderId="9" xfId="0" applyFont="1" applyFill="1" applyBorder="1" applyAlignment="1">
      <alignment horizontal="left" vertical="center" indent="1"/>
    </xf>
    <xf numFmtId="0" fontId="168" fillId="16" borderId="0" xfId="0" applyFont="1" applyFill="1" applyAlignment="1" applyProtection="1">
      <alignment horizontal="center"/>
      <protection hidden="1"/>
    </xf>
    <xf numFmtId="37" fontId="53" fillId="16" borderId="57" xfId="0" applyNumberFormat="1" applyFont="1" applyFill="1" applyBorder="1" applyAlignment="1" applyProtection="1">
      <alignment horizontal="right"/>
      <protection hidden="1"/>
    </xf>
    <xf numFmtId="37" fontId="53" fillId="16" borderId="8" xfId="0" applyNumberFormat="1" applyFont="1" applyFill="1" applyBorder="1" applyAlignment="1" applyProtection="1">
      <alignment horizontal="right"/>
      <protection hidden="1"/>
    </xf>
    <xf numFmtId="37" fontId="154" fillId="16" borderId="31" xfId="0" applyNumberFormat="1" applyFont="1" applyFill="1" applyBorder="1" applyAlignment="1" applyProtection="1">
      <alignment horizontal="right"/>
      <protection hidden="1"/>
    </xf>
    <xf numFmtId="37" fontId="154" fillId="16" borderId="9" xfId="0" applyNumberFormat="1" applyFont="1" applyFill="1" applyBorder="1" applyAlignment="1" applyProtection="1">
      <alignment horizontal="right"/>
      <protection hidden="1"/>
    </xf>
    <xf numFmtId="0" fontId="168" fillId="16" borderId="0" xfId="0" applyFont="1" applyFill="1" applyAlignment="1" applyProtection="1">
      <alignment horizontal="center" vertical="center"/>
      <protection hidden="1"/>
    </xf>
    <xf numFmtId="37" fontId="18" fillId="21" borderId="10" xfId="0" applyNumberFormat="1" applyFont="1" applyFill="1" applyBorder="1" applyAlignment="1" applyProtection="1">
      <alignment horizontal="right"/>
      <protection locked="0"/>
    </xf>
    <xf numFmtId="0" fontId="18" fillId="21" borderId="1" xfId="0" applyFont="1" applyFill="1" applyBorder="1" applyAlignment="1" applyProtection="1">
      <alignment horizontal="right"/>
      <protection locked="0"/>
    </xf>
    <xf numFmtId="187" fontId="129" fillId="16" borderId="3" xfId="0" applyNumberFormat="1" applyFont="1" applyFill="1" applyBorder="1" applyAlignment="1" applyProtection="1">
      <alignment horizontal="center"/>
      <protection hidden="1"/>
    </xf>
    <xf numFmtId="187" fontId="129" fillId="16" borderId="0" xfId="0" applyNumberFormat="1" applyFont="1" applyFill="1" applyAlignment="1" applyProtection="1">
      <alignment horizontal="center"/>
      <protection hidden="1"/>
    </xf>
    <xf numFmtId="37" fontId="18" fillId="27" borderId="10" xfId="0" applyNumberFormat="1" applyFont="1" applyFill="1" applyBorder="1" applyAlignment="1" applyProtection="1">
      <alignment horizontal="right"/>
      <protection hidden="1"/>
    </xf>
    <xf numFmtId="0" fontId="18" fillId="27" borderId="1" xfId="0" applyFont="1" applyFill="1" applyBorder="1" applyAlignment="1" applyProtection="1">
      <alignment horizontal="right"/>
      <protection hidden="1"/>
    </xf>
    <xf numFmtId="37" fontId="0" fillId="16" borderId="31" xfId="0" applyNumberFormat="1" applyFill="1" applyBorder="1" applyAlignment="1" applyProtection="1">
      <alignment horizontal="center"/>
      <protection hidden="1"/>
    </xf>
    <xf numFmtId="37" fontId="0" fillId="16" borderId="9" xfId="0" applyNumberFormat="1" applyFill="1" applyBorder="1" applyAlignment="1" applyProtection="1">
      <alignment horizontal="center"/>
      <protection hidden="1"/>
    </xf>
    <xf numFmtId="37" fontId="18" fillId="27" borderId="70" xfId="0" applyNumberFormat="1" applyFont="1" applyFill="1" applyBorder="1" applyAlignment="1" applyProtection="1">
      <alignment horizontal="right"/>
      <protection hidden="1"/>
    </xf>
    <xf numFmtId="0" fontId="18" fillId="27" borderId="5" xfId="0" applyFont="1" applyFill="1" applyBorder="1" applyAlignment="1" applyProtection="1">
      <alignment horizontal="right"/>
      <protection hidden="1"/>
    </xf>
    <xf numFmtId="0" fontId="12" fillId="16" borderId="9" xfId="0" applyFont="1" applyFill="1" applyBorder="1" applyAlignment="1" applyProtection="1">
      <alignment horizontal="left" vertical="center"/>
      <protection hidden="1"/>
    </xf>
    <xf numFmtId="37" fontId="18" fillId="21" borderId="1" xfId="0" applyNumberFormat="1" applyFont="1" applyFill="1" applyBorder="1" applyAlignment="1" applyProtection="1">
      <alignment horizontal="right"/>
      <protection locked="0"/>
    </xf>
    <xf numFmtId="37" fontId="18" fillId="17" borderId="1" xfId="0" applyNumberFormat="1" applyFont="1" applyFill="1" applyBorder="1" applyAlignment="1" applyProtection="1">
      <alignment horizontal="right"/>
      <protection locked="0"/>
    </xf>
    <xf numFmtId="2" fontId="129" fillId="16" borderId="31" xfId="0" applyNumberFormat="1" applyFont="1" applyFill="1" applyBorder="1" applyAlignment="1" applyProtection="1">
      <alignment horizontal="center"/>
      <protection hidden="1"/>
    </xf>
    <xf numFmtId="2" fontId="129" fillId="16" borderId="9" xfId="0" applyNumberFormat="1" applyFont="1" applyFill="1" applyBorder="1" applyAlignment="1" applyProtection="1">
      <alignment horizontal="center"/>
      <protection hidden="1"/>
    </xf>
    <xf numFmtId="37" fontId="18" fillId="29" borderId="1" xfId="0" applyNumberFormat="1" applyFont="1" applyFill="1" applyBorder="1" applyAlignment="1" applyProtection="1">
      <alignment horizontal="right"/>
      <protection hidden="1"/>
    </xf>
    <xf numFmtId="37" fontId="18" fillId="0" borderId="1" xfId="0" applyNumberFormat="1" applyFont="1" applyBorder="1" applyAlignment="1" applyProtection="1">
      <alignment horizontal="right"/>
      <protection hidden="1"/>
    </xf>
    <xf numFmtId="0" fontId="18" fillId="16" borderId="6" xfId="0" applyFont="1" applyFill="1" applyBorder="1" applyAlignment="1" applyProtection="1">
      <alignment horizontal="left" vertical="top"/>
      <protection hidden="1"/>
    </xf>
    <xf numFmtId="0" fontId="18" fillId="16" borderId="0" xfId="0" applyFont="1" applyFill="1" applyAlignment="1" applyProtection="1">
      <alignment horizontal="left" vertical="top"/>
      <protection hidden="1"/>
    </xf>
    <xf numFmtId="0" fontId="18" fillId="16" borderId="21" xfId="0" applyFont="1" applyFill="1" applyBorder="1" applyAlignment="1" applyProtection="1">
      <alignment horizontal="left" vertical="top"/>
      <protection hidden="1"/>
    </xf>
    <xf numFmtId="0" fontId="18" fillId="16" borderId="22" xfId="0" applyFont="1" applyFill="1" applyBorder="1" applyAlignment="1" applyProtection="1">
      <alignment horizontal="left" vertical="top"/>
      <protection hidden="1"/>
    </xf>
    <xf numFmtId="0" fontId="18" fillId="16" borderId="5" xfId="0" applyFont="1" applyFill="1" applyBorder="1" applyAlignment="1" applyProtection="1">
      <alignment horizontal="left" vertical="top"/>
      <protection hidden="1"/>
    </xf>
    <xf numFmtId="0" fontId="18" fillId="16" borderId="23" xfId="0" applyFont="1" applyFill="1" applyBorder="1" applyAlignment="1" applyProtection="1">
      <alignment horizontal="left" vertical="top"/>
      <protection hidden="1"/>
    </xf>
    <xf numFmtId="0" fontId="53" fillId="16" borderId="0" xfId="0" applyFont="1" applyFill="1" applyAlignment="1" applyProtection="1">
      <alignment horizontal="left" vertical="center" indent="1"/>
      <protection hidden="1"/>
    </xf>
    <xf numFmtId="0" fontId="53" fillId="16" borderId="25" xfId="0" applyFont="1" applyFill="1" applyBorder="1" applyAlignment="1" applyProtection="1">
      <alignment horizontal="left" vertical="center" indent="1"/>
      <protection hidden="1"/>
    </xf>
    <xf numFmtId="0" fontId="18" fillId="27" borderId="12" xfId="0" applyFont="1" applyFill="1" applyBorder="1" applyAlignment="1" applyProtection="1">
      <alignment horizontal="right"/>
      <protection hidden="1"/>
    </xf>
    <xf numFmtId="0" fontId="129" fillId="16" borderId="31" xfId="0" applyFont="1" applyFill="1" applyBorder="1" applyAlignment="1" applyProtection="1">
      <alignment horizontal="center"/>
      <protection hidden="1"/>
    </xf>
    <xf numFmtId="0" fontId="129" fillId="16" borderId="9" xfId="0" applyFont="1" applyFill="1" applyBorder="1" applyAlignment="1" applyProtection="1">
      <alignment horizontal="center"/>
      <protection hidden="1"/>
    </xf>
    <xf numFmtId="0" fontId="129" fillId="16" borderId="15" xfId="0" applyFont="1" applyFill="1" applyBorder="1" applyAlignment="1" applyProtection="1">
      <alignment horizontal="center"/>
      <protection hidden="1"/>
    </xf>
    <xf numFmtId="197" fontId="12" fillId="27" borderId="1" xfId="0" applyNumberFormat="1" applyFont="1" applyFill="1" applyBorder="1" applyAlignment="1" applyProtection="1">
      <alignment horizontal="center"/>
      <protection hidden="1"/>
    </xf>
    <xf numFmtId="197" fontId="12" fillId="27" borderId="12" xfId="0" applyNumberFormat="1" applyFont="1" applyFill="1" applyBorder="1" applyAlignment="1" applyProtection="1">
      <alignment horizontal="center"/>
      <protection hidden="1"/>
    </xf>
    <xf numFmtId="0" fontId="50" fillId="16" borderId="9" xfId="0" applyFont="1" applyFill="1" applyBorder="1" applyAlignment="1" applyProtection="1">
      <alignment horizontal="left" vertical="center" wrapText="1"/>
      <protection hidden="1"/>
    </xf>
    <xf numFmtId="0" fontId="50" fillId="16" borderId="15" xfId="0" applyFont="1" applyFill="1" applyBorder="1" applyAlignment="1" applyProtection="1">
      <alignment horizontal="left" vertical="center" wrapText="1"/>
      <protection hidden="1"/>
    </xf>
    <xf numFmtId="0" fontId="50" fillId="16" borderId="0" xfId="0" applyFont="1" applyFill="1" applyAlignment="1" applyProtection="1">
      <alignment horizontal="left" vertical="center" wrapText="1"/>
      <protection hidden="1"/>
    </xf>
    <xf numFmtId="0" fontId="50" fillId="16" borderId="25" xfId="0" applyFont="1" applyFill="1" applyBorder="1" applyAlignment="1" applyProtection="1">
      <alignment horizontal="left" vertical="center" wrapText="1"/>
      <protection hidden="1"/>
    </xf>
    <xf numFmtId="0" fontId="50" fillId="16" borderId="14" xfId="0" applyFont="1" applyFill="1" applyBorder="1" applyAlignment="1" applyProtection="1">
      <alignment horizontal="left" vertical="center" wrapText="1"/>
      <protection hidden="1"/>
    </xf>
    <xf numFmtId="0" fontId="50" fillId="16" borderId="18" xfId="0" applyFont="1" applyFill="1" applyBorder="1" applyAlignment="1" applyProtection="1">
      <alignment horizontal="left" vertical="center" wrapText="1"/>
      <protection hidden="1"/>
    </xf>
    <xf numFmtId="0" fontId="3" fillId="17" borderId="3" xfId="0" applyFont="1" applyFill="1" applyBorder="1" applyAlignment="1" applyProtection="1">
      <alignment horizontal="left" vertical="center" indent="1"/>
      <protection locked="0"/>
    </xf>
    <xf numFmtId="0" fontId="3" fillId="17" borderId="0" xfId="0" applyFont="1" applyFill="1" applyAlignment="1" applyProtection="1">
      <alignment horizontal="left" vertical="center" indent="1"/>
      <protection locked="0"/>
    </xf>
    <xf numFmtId="0" fontId="3" fillId="17" borderId="25" xfId="0" applyFont="1" applyFill="1" applyBorder="1" applyAlignment="1" applyProtection="1">
      <alignment horizontal="left" vertical="center" indent="1"/>
      <protection locked="0"/>
    </xf>
    <xf numFmtId="0" fontId="3" fillId="17" borderId="10" xfId="0" applyFont="1" applyFill="1" applyBorder="1" applyAlignment="1" applyProtection="1">
      <alignment horizontal="left" vertical="center" indent="1"/>
      <protection locked="0"/>
    </xf>
    <xf numFmtId="0" fontId="3" fillId="17" borderId="12" xfId="0" applyFont="1" applyFill="1" applyBorder="1" applyAlignment="1" applyProtection="1">
      <alignment horizontal="left" vertical="center" indent="1"/>
      <protection locked="0"/>
    </xf>
    <xf numFmtId="182" fontId="3" fillId="17" borderId="3" xfId="0" applyNumberFormat="1" applyFont="1" applyFill="1" applyBorder="1" applyAlignment="1" applyProtection="1">
      <alignment horizontal="center" vertical="center" wrapText="1"/>
      <protection locked="0"/>
    </xf>
    <xf numFmtId="182" fontId="3" fillId="17" borderId="0" xfId="0" applyNumberFormat="1" applyFont="1" applyFill="1" applyAlignment="1" applyProtection="1">
      <alignment horizontal="center" vertical="center" wrapText="1"/>
      <protection locked="0"/>
    </xf>
    <xf numFmtId="182" fontId="3" fillId="17" borderId="25" xfId="0" applyNumberFormat="1" applyFont="1" applyFill="1" applyBorder="1" applyAlignment="1" applyProtection="1">
      <alignment horizontal="center" vertical="center" wrapText="1"/>
      <protection locked="0"/>
    </xf>
    <xf numFmtId="182" fontId="3" fillId="17" borderId="10" xfId="0" applyNumberFormat="1" applyFont="1" applyFill="1" applyBorder="1" applyAlignment="1" applyProtection="1">
      <alignment horizontal="center" vertical="center" wrapText="1"/>
      <protection locked="0"/>
    </xf>
    <xf numFmtId="182" fontId="3" fillId="17" borderId="1" xfId="0" applyNumberFormat="1" applyFont="1" applyFill="1" applyBorder="1" applyAlignment="1" applyProtection="1">
      <alignment horizontal="center" vertical="center" wrapText="1"/>
      <protection locked="0"/>
    </xf>
    <xf numFmtId="182" fontId="3" fillId="17" borderId="12" xfId="0" applyNumberFormat="1" applyFont="1" applyFill="1" applyBorder="1" applyAlignment="1" applyProtection="1">
      <alignment horizontal="center" vertical="center" wrapText="1"/>
      <protection locked="0"/>
    </xf>
    <xf numFmtId="0" fontId="3" fillId="17" borderId="3" xfId="0" applyFont="1" applyFill="1" applyBorder="1" applyAlignment="1" applyProtection="1">
      <alignment horizontal="center" vertical="center"/>
      <protection locked="0"/>
    </xf>
    <xf numFmtId="0" fontId="3" fillId="17" borderId="0" xfId="0" applyFont="1" applyFill="1" applyAlignment="1" applyProtection="1">
      <alignment horizontal="center" vertical="center"/>
      <protection locked="0"/>
    </xf>
    <xf numFmtId="0" fontId="3" fillId="17" borderId="10" xfId="0" applyFont="1" applyFill="1" applyBorder="1" applyAlignment="1" applyProtection="1">
      <alignment horizontal="center" vertical="center"/>
      <protection locked="0"/>
    </xf>
    <xf numFmtId="0" fontId="3" fillId="17" borderId="1" xfId="0" applyFont="1" applyFill="1" applyBorder="1" applyAlignment="1" applyProtection="1">
      <alignment horizontal="center" vertical="center"/>
      <protection locked="0"/>
    </xf>
    <xf numFmtId="0" fontId="3" fillId="17" borderId="26" xfId="0" applyFont="1" applyFill="1" applyBorder="1" applyAlignment="1" applyProtection="1">
      <alignment horizontal="left" indent="1"/>
      <protection locked="0"/>
    </xf>
    <xf numFmtId="0" fontId="3" fillId="17" borderId="100" xfId="0" applyFont="1" applyFill="1" applyBorder="1" applyAlignment="1" applyProtection="1">
      <alignment horizontal="left" indent="1"/>
      <protection locked="0"/>
    </xf>
    <xf numFmtId="165" fontId="8" fillId="17" borderId="100" xfId="0" applyNumberFormat="1" applyFont="1" applyFill="1" applyBorder="1" applyAlignment="1" applyProtection="1">
      <alignment horizontal="center" vertical="center"/>
      <protection locked="0"/>
    </xf>
    <xf numFmtId="0" fontId="143" fillId="32" borderId="17" xfId="0" applyFont="1" applyFill="1" applyBorder="1" applyAlignment="1" applyProtection="1">
      <alignment horizontal="center" vertical="center"/>
      <protection hidden="1"/>
    </xf>
    <xf numFmtId="37" fontId="18" fillId="27" borderId="40" xfId="0" applyNumberFormat="1" applyFont="1" applyFill="1" applyBorder="1" applyAlignment="1" applyProtection="1">
      <alignment horizontal="right"/>
      <protection hidden="1"/>
    </xf>
    <xf numFmtId="0" fontId="18" fillId="27" borderId="26" xfId="0" applyFont="1" applyFill="1" applyBorder="1" applyAlignment="1" applyProtection="1">
      <alignment horizontal="right"/>
      <protection hidden="1"/>
    </xf>
    <xf numFmtId="37" fontId="18" fillId="21" borderId="40" xfId="0" applyNumberFormat="1" applyFont="1" applyFill="1" applyBorder="1" applyAlignment="1" applyProtection="1">
      <alignment horizontal="right"/>
      <protection locked="0"/>
    </xf>
    <xf numFmtId="0" fontId="18" fillId="21" borderId="26" xfId="0" applyFont="1" applyFill="1" applyBorder="1" applyAlignment="1" applyProtection="1">
      <alignment horizontal="right"/>
      <protection locked="0"/>
    </xf>
    <xf numFmtId="37" fontId="129" fillId="16" borderId="31" xfId="0" applyNumberFormat="1" applyFont="1" applyFill="1" applyBorder="1" applyAlignment="1" applyProtection="1">
      <alignment horizontal="center"/>
      <protection hidden="1"/>
    </xf>
    <xf numFmtId="37" fontId="129" fillId="16" borderId="9" xfId="0" applyNumberFormat="1" applyFont="1" applyFill="1" applyBorder="1" applyAlignment="1" applyProtection="1">
      <alignment horizontal="center"/>
      <protection hidden="1"/>
    </xf>
    <xf numFmtId="0" fontId="12" fillId="16" borderId="8" xfId="0" applyFont="1" applyFill="1" applyBorder="1" applyAlignment="1" applyProtection="1">
      <alignment horizontal="left"/>
      <protection hidden="1"/>
    </xf>
    <xf numFmtId="0" fontId="12" fillId="16" borderId="37" xfId="0" applyFont="1" applyFill="1" applyBorder="1" applyAlignment="1" applyProtection="1">
      <alignment horizontal="left"/>
      <protection hidden="1"/>
    </xf>
    <xf numFmtId="0" fontId="12" fillId="16" borderId="0" xfId="0" applyFont="1" applyFill="1" applyAlignment="1" applyProtection="1">
      <alignment horizontal="left"/>
      <protection hidden="1"/>
    </xf>
    <xf numFmtId="0" fontId="12" fillId="16" borderId="25" xfId="0" applyFont="1" applyFill="1" applyBorder="1" applyAlignment="1" applyProtection="1">
      <alignment horizontal="left"/>
      <protection hidden="1"/>
    </xf>
    <xf numFmtId="0" fontId="303" fillId="16" borderId="0" xfId="0" quotePrefix="1" applyFont="1" applyFill="1" applyProtection="1">
      <protection hidden="1"/>
    </xf>
    <xf numFmtId="0" fontId="304" fillId="0" borderId="0" xfId="0" applyFont="1" applyProtection="1">
      <protection hidden="1"/>
    </xf>
    <xf numFmtId="0" fontId="95" fillId="16" borderId="101" xfId="0" applyFont="1" applyFill="1" applyBorder="1" applyAlignment="1" applyProtection="1">
      <alignment horizontal="center" wrapText="1"/>
      <protection hidden="1"/>
    </xf>
    <xf numFmtId="0" fontId="0" fillId="0" borderId="101" xfId="0" applyBorder="1" applyAlignment="1">
      <alignment horizontal="center"/>
    </xf>
    <xf numFmtId="0" fontId="0" fillId="16" borderId="1" xfId="0" applyFill="1" applyBorder="1" applyAlignment="1" applyProtection="1">
      <alignment horizontal="center"/>
      <protection hidden="1"/>
    </xf>
    <xf numFmtId="0" fontId="172" fillId="16" borderId="9" xfId="0" applyFont="1" applyFill="1" applyBorder="1" applyAlignment="1" applyProtection="1">
      <alignment horizontal="center" vertical="center"/>
      <protection hidden="1"/>
    </xf>
    <xf numFmtId="0" fontId="23" fillId="17" borderId="10" xfId="0" applyFont="1" applyFill="1" applyBorder="1" applyAlignment="1" applyProtection="1">
      <alignment horizontal="left" vertical="center" indent="1"/>
      <protection locked="0"/>
    </xf>
    <xf numFmtId="0" fontId="23" fillId="17" borderId="1" xfId="0" applyFont="1" applyFill="1" applyBorder="1" applyAlignment="1" applyProtection="1">
      <alignment horizontal="left" vertical="center" indent="1"/>
      <protection locked="0"/>
    </xf>
    <xf numFmtId="0" fontId="23" fillId="17" borderId="12" xfId="0" applyFont="1" applyFill="1" applyBorder="1" applyAlignment="1" applyProtection="1">
      <alignment horizontal="left" vertical="center" indent="1"/>
      <protection locked="0"/>
    </xf>
    <xf numFmtId="0" fontId="7" fillId="16" borderId="31" xfId="0" applyFont="1" applyFill="1" applyBorder="1" applyAlignment="1" applyProtection="1">
      <alignment horizontal="left"/>
      <protection hidden="1"/>
    </xf>
    <xf numFmtId="0" fontId="7" fillId="16" borderId="9" xfId="0" applyFont="1" applyFill="1" applyBorder="1" applyAlignment="1" applyProtection="1">
      <alignment horizontal="left"/>
      <protection hidden="1"/>
    </xf>
    <xf numFmtId="166" fontId="23" fillId="29" borderId="10" xfId="0" quotePrefix="1" applyNumberFormat="1" applyFont="1" applyFill="1" applyBorder="1" applyAlignment="1" applyProtection="1">
      <alignment horizontal="left" vertical="center" indent="2"/>
      <protection hidden="1"/>
    </xf>
    <xf numFmtId="166" fontId="23" fillId="29" borderId="1" xfId="0" quotePrefix="1" applyNumberFormat="1" applyFont="1" applyFill="1" applyBorder="1" applyAlignment="1" applyProtection="1">
      <alignment horizontal="left" vertical="center" indent="2"/>
      <protection hidden="1"/>
    </xf>
    <xf numFmtId="0" fontId="23" fillId="16" borderId="9" xfId="0" applyFont="1" applyFill="1" applyBorder="1" applyAlignment="1" applyProtection="1">
      <alignment horizontal="left" vertical="center" wrapText="1"/>
      <protection hidden="1"/>
    </xf>
    <xf numFmtId="0" fontId="23" fillId="16" borderId="15" xfId="0" applyFont="1" applyFill="1" applyBorder="1" applyAlignment="1" applyProtection="1">
      <alignment horizontal="left" vertical="center" wrapText="1"/>
      <protection hidden="1"/>
    </xf>
    <xf numFmtId="0" fontId="23" fillId="16" borderId="25" xfId="0" applyFont="1" applyFill="1" applyBorder="1" applyAlignment="1" applyProtection="1">
      <alignment horizontal="left" vertical="center" wrapText="1"/>
      <protection hidden="1"/>
    </xf>
    <xf numFmtId="0" fontId="23" fillId="16" borderId="1" xfId="0" applyFont="1" applyFill="1" applyBorder="1" applyAlignment="1" applyProtection="1">
      <alignment horizontal="left" vertical="center" wrapText="1"/>
      <protection hidden="1"/>
    </xf>
    <xf numFmtId="0" fontId="23" fillId="16" borderId="12" xfId="0" applyFont="1" applyFill="1" applyBorder="1" applyAlignment="1" applyProtection="1">
      <alignment horizontal="left" vertical="center" wrapText="1"/>
      <protection hidden="1"/>
    </xf>
    <xf numFmtId="0" fontId="23" fillId="29" borderId="1" xfId="0" quotePrefix="1" applyFont="1" applyFill="1" applyBorder="1" applyAlignment="1" applyProtection="1">
      <alignment horizontal="left" vertical="center" indent="1"/>
      <protection hidden="1"/>
    </xf>
    <xf numFmtId="0" fontId="23" fillId="29" borderId="12" xfId="0" quotePrefix="1" applyFont="1" applyFill="1" applyBorder="1" applyAlignment="1" applyProtection="1">
      <alignment horizontal="left" vertical="center" indent="1"/>
      <protection hidden="1"/>
    </xf>
    <xf numFmtId="0" fontId="95" fillId="16" borderId="223" xfId="0" applyFont="1" applyFill="1" applyBorder="1" applyAlignment="1" applyProtection="1">
      <alignment horizontal="center" wrapText="1"/>
      <protection hidden="1"/>
    </xf>
    <xf numFmtId="0" fontId="0" fillId="0" borderId="223" xfId="0" applyBorder="1" applyAlignment="1">
      <alignment horizontal="center"/>
    </xf>
    <xf numFmtId="0" fontId="3" fillId="16" borderId="225" xfId="0" applyFont="1" applyFill="1" applyBorder="1" applyAlignment="1" applyProtection="1">
      <alignment horizontal="center" vertical="top"/>
      <protection hidden="1"/>
    </xf>
    <xf numFmtId="0" fontId="3" fillId="0" borderId="225" xfId="0" applyFont="1" applyBorder="1" applyAlignment="1" applyProtection="1">
      <alignment horizontal="center" vertical="top"/>
      <protection hidden="1"/>
    </xf>
    <xf numFmtId="0" fontId="5" fillId="16" borderId="31" xfId="0" applyFont="1" applyFill="1" applyBorder="1" applyAlignment="1" applyProtection="1">
      <alignment horizontal="left"/>
      <protection hidden="1"/>
    </xf>
    <xf numFmtId="0" fontId="5" fillId="16" borderId="9" xfId="0" applyFont="1" applyFill="1" applyBorder="1" applyAlignment="1" applyProtection="1">
      <alignment horizontal="left"/>
      <protection hidden="1"/>
    </xf>
    <xf numFmtId="0" fontId="5" fillId="16" borderId="15" xfId="0" applyFont="1" applyFill="1" applyBorder="1" applyAlignment="1" applyProtection="1">
      <alignment horizontal="left"/>
      <protection hidden="1"/>
    </xf>
    <xf numFmtId="0" fontId="3" fillId="16" borderId="223" xfId="0" applyFont="1" applyFill="1" applyBorder="1" applyAlignment="1" applyProtection="1">
      <alignment horizontal="center" vertical="center"/>
      <protection hidden="1"/>
    </xf>
    <xf numFmtId="0" fontId="3" fillId="16" borderId="101" xfId="0" applyFont="1" applyFill="1" applyBorder="1" applyAlignment="1" applyProtection="1">
      <alignment horizontal="center" vertical="center"/>
      <protection hidden="1"/>
    </xf>
    <xf numFmtId="0" fontId="3" fillId="16" borderId="0" xfId="0" applyFont="1" applyFill="1" applyAlignment="1" applyProtection="1">
      <alignment horizontal="center" vertical="center"/>
      <protection hidden="1"/>
    </xf>
    <xf numFmtId="0" fontId="3" fillId="16" borderId="76" xfId="0" applyFont="1" applyFill="1" applyBorder="1" applyAlignment="1" applyProtection="1">
      <alignment horizontal="center" vertical="center"/>
      <protection hidden="1"/>
    </xf>
    <xf numFmtId="0" fontId="143" fillId="32" borderId="8" xfId="0" applyFont="1" applyFill="1" applyBorder="1" applyAlignment="1" applyProtection="1">
      <alignment horizontal="center" vertical="center"/>
      <protection hidden="1"/>
    </xf>
    <xf numFmtId="0" fontId="3" fillId="16" borderId="184" xfId="0" applyFont="1" applyFill="1" applyBorder="1" applyAlignment="1" applyProtection="1">
      <alignment horizontal="center" vertical="top"/>
      <protection hidden="1"/>
    </xf>
    <xf numFmtId="0" fontId="3" fillId="0" borderId="5" xfId="0" applyFont="1" applyBorder="1" applyAlignment="1" applyProtection="1">
      <alignment horizontal="center" vertical="top"/>
      <protection hidden="1"/>
    </xf>
    <xf numFmtId="0" fontId="3" fillId="0" borderId="224" xfId="0" applyFont="1" applyBorder="1" applyAlignment="1" applyProtection="1">
      <alignment horizontal="center" vertical="top"/>
      <protection hidden="1"/>
    </xf>
    <xf numFmtId="177" fontId="129" fillId="16" borderId="3" xfId="0" applyNumberFormat="1" applyFont="1" applyFill="1" applyBorder="1" applyAlignment="1" applyProtection="1">
      <alignment horizontal="center"/>
      <protection hidden="1"/>
    </xf>
    <xf numFmtId="177" fontId="129" fillId="16" borderId="0" xfId="0" applyNumberFormat="1" applyFont="1" applyFill="1" applyAlignment="1" applyProtection="1">
      <alignment horizontal="center"/>
      <protection hidden="1"/>
    </xf>
    <xf numFmtId="37" fontId="7" fillId="17" borderId="1" xfId="0" applyNumberFormat="1" applyFont="1" applyFill="1" applyBorder="1" applyAlignment="1" applyProtection="1">
      <alignment horizontal="right"/>
      <protection locked="0"/>
    </xf>
    <xf numFmtId="37" fontId="7" fillId="16" borderId="0" xfId="0" applyNumberFormat="1" applyFont="1" applyFill="1" applyAlignment="1" applyProtection="1">
      <alignment horizontal="center" vertical="center"/>
      <protection hidden="1"/>
    </xf>
    <xf numFmtId="37" fontId="7" fillId="28" borderId="40" xfId="0" applyNumberFormat="1" applyFont="1" applyFill="1" applyBorder="1" applyProtection="1">
      <protection hidden="1"/>
    </xf>
    <xf numFmtId="37" fontId="7" fillId="28" borderId="26" xfId="0" applyNumberFormat="1" applyFont="1" applyFill="1" applyBorder="1" applyProtection="1">
      <protection hidden="1"/>
    </xf>
    <xf numFmtId="37" fontId="7" fillId="28" borderId="55" xfId="0" applyNumberFormat="1" applyFont="1" applyFill="1" applyBorder="1" applyProtection="1">
      <protection hidden="1"/>
    </xf>
    <xf numFmtId="37" fontId="5" fillId="28" borderId="40" xfId="0" applyNumberFormat="1" applyFont="1" applyFill="1" applyBorder="1" applyProtection="1">
      <protection hidden="1"/>
    </xf>
    <xf numFmtId="37" fontId="5" fillId="28" borderId="26" xfId="0" applyNumberFormat="1" applyFont="1" applyFill="1" applyBorder="1" applyProtection="1">
      <protection hidden="1"/>
    </xf>
    <xf numFmtId="37" fontId="5" fillId="28" borderId="55" xfId="0" applyNumberFormat="1" applyFont="1" applyFill="1" applyBorder="1" applyProtection="1">
      <protection hidden="1"/>
    </xf>
    <xf numFmtId="0" fontId="8" fillId="16" borderId="31" xfId="0" quotePrefix="1" applyFont="1" applyFill="1" applyBorder="1" applyAlignment="1" applyProtection="1">
      <alignment horizontal="center" vertical="center"/>
      <protection hidden="1"/>
    </xf>
    <xf numFmtId="0" fontId="8" fillId="16" borderId="10" xfId="0" quotePrefix="1" applyFont="1" applyFill="1" applyBorder="1" applyAlignment="1" applyProtection="1">
      <alignment horizontal="center" vertical="center"/>
      <protection hidden="1"/>
    </xf>
    <xf numFmtId="37" fontId="5" fillId="28" borderId="9" xfId="0" applyNumberFormat="1" applyFont="1" applyFill="1" applyBorder="1" applyAlignment="1" applyProtection="1">
      <alignment horizontal="right"/>
      <protection hidden="1"/>
    </xf>
    <xf numFmtId="37" fontId="5" fillId="28" borderId="15" xfId="0" applyNumberFormat="1" applyFont="1" applyFill="1" applyBorder="1" applyAlignment="1" applyProtection="1">
      <alignment horizontal="right"/>
      <protection hidden="1"/>
    </xf>
    <xf numFmtId="0" fontId="135" fillId="16" borderId="0" xfId="0" applyFont="1" applyFill="1" applyAlignment="1" applyProtection="1">
      <alignment horizontal="center"/>
      <protection hidden="1"/>
    </xf>
    <xf numFmtId="0" fontId="8" fillId="16" borderId="219" xfId="0" quotePrefix="1" applyFont="1" applyFill="1" applyBorder="1" applyAlignment="1" applyProtection="1">
      <alignment horizontal="center" vertical="center"/>
      <protection hidden="1"/>
    </xf>
    <xf numFmtId="0" fontId="8" fillId="16" borderId="220" xfId="0" quotePrefix="1" applyFont="1" applyFill="1" applyBorder="1" applyAlignment="1" applyProtection="1">
      <alignment horizontal="center" vertical="center"/>
      <protection hidden="1"/>
    </xf>
    <xf numFmtId="37" fontId="5" fillId="28" borderId="219" xfId="0" applyNumberFormat="1" applyFont="1" applyFill="1" applyBorder="1" applyAlignment="1" applyProtection="1">
      <alignment horizontal="right"/>
      <protection hidden="1"/>
    </xf>
    <xf numFmtId="37" fontId="5" fillId="28" borderId="220" xfId="0" applyNumberFormat="1" applyFont="1" applyFill="1" applyBorder="1" applyAlignment="1" applyProtection="1">
      <alignment horizontal="right"/>
      <protection hidden="1"/>
    </xf>
    <xf numFmtId="37" fontId="7" fillId="28" borderId="1" xfId="0" applyNumberFormat="1" applyFont="1" applyFill="1" applyBorder="1" applyAlignment="1" applyProtection="1">
      <alignment horizontal="right"/>
      <protection hidden="1"/>
    </xf>
    <xf numFmtId="0" fontId="0" fillId="16" borderId="26" xfId="0" applyFill="1" applyBorder="1" applyAlignment="1" applyProtection="1">
      <alignment horizontal="center" vertical="center"/>
      <protection hidden="1"/>
    </xf>
    <xf numFmtId="0" fontId="129" fillId="16" borderId="26" xfId="0" applyFont="1" applyFill="1" applyBorder="1" applyAlignment="1" applyProtection="1">
      <alignment horizontal="center"/>
      <protection hidden="1"/>
    </xf>
    <xf numFmtId="0" fontId="129" fillId="16" borderId="28" xfId="0" applyFont="1" applyFill="1" applyBorder="1" applyAlignment="1" applyProtection="1">
      <alignment horizontal="center"/>
      <protection hidden="1"/>
    </xf>
    <xf numFmtId="0" fontId="16" fillId="16" borderId="35" xfId="0" applyFont="1" applyFill="1" applyBorder="1" applyAlignment="1" applyProtection="1">
      <alignment horizontal="center"/>
      <protection hidden="1"/>
    </xf>
    <xf numFmtId="37" fontId="5" fillId="28" borderId="1" xfId="0" applyNumberFormat="1" applyFont="1" applyFill="1" applyBorder="1" applyProtection="1">
      <protection hidden="1"/>
    </xf>
    <xf numFmtId="0" fontId="3" fillId="16" borderId="52" xfId="0" applyFont="1" applyFill="1" applyBorder="1" applyAlignment="1" applyProtection="1">
      <alignment horizontal="center" vertical="center"/>
      <protection hidden="1"/>
    </xf>
    <xf numFmtId="0" fontId="0" fillId="0" borderId="52" xfId="0" applyBorder="1" applyAlignment="1">
      <alignment horizontal="center" vertical="center"/>
    </xf>
    <xf numFmtId="3" fontId="3" fillId="26" borderId="52" xfId="0" applyNumberFormat="1" applyFont="1" applyFill="1" applyBorder="1" applyAlignment="1" applyProtection="1">
      <alignment horizontal="right" vertical="center" wrapText="1" indent="1"/>
      <protection hidden="1"/>
    </xf>
    <xf numFmtId="3" fontId="0" fillId="26" borderId="52" xfId="0" applyNumberFormat="1" applyFill="1" applyBorder="1" applyAlignment="1" applyProtection="1">
      <alignment horizontal="right" vertical="center" wrapText="1" indent="1"/>
      <protection hidden="1"/>
    </xf>
    <xf numFmtId="3" fontId="0" fillId="26" borderId="53" xfId="0" applyNumberFormat="1" applyFill="1" applyBorder="1" applyAlignment="1" applyProtection="1">
      <alignment horizontal="right" vertical="center" wrapText="1" indent="1"/>
      <protection hidden="1"/>
    </xf>
    <xf numFmtId="0" fontId="3" fillId="16" borderId="44" xfId="0" applyFont="1" applyFill="1" applyBorder="1" applyAlignment="1" applyProtection="1">
      <alignment horizontal="center" vertical="center"/>
      <protection hidden="1"/>
    </xf>
    <xf numFmtId="0" fontId="0" fillId="0" borderId="44" xfId="0" applyBorder="1" applyAlignment="1">
      <alignment horizontal="center" vertical="center"/>
    </xf>
    <xf numFmtId="3" fontId="3" fillId="26" borderId="44" xfId="0" applyNumberFormat="1" applyFont="1" applyFill="1" applyBorder="1" applyAlignment="1" applyProtection="1">
      <alignment horizontal="right" vertical="center" wrapText="1" indent="1"/>
      <protection hidden="1"/>
    </xf>
    <xf numFmtId="3" fontId="0" fillId="26" borderId="44" xfId="0" applyNumberFormat="1" applyFill="1" applyBorder="1" applyAlignment="1" applyProtection="1">
      <alignment horizontal="right" vertical="center" wrapText="1" indent="1"/>
      <protection hidden="1"/>
    </xf>
    <xf numFmtId="3" fontId="0" fillId="26" borderId="48" xfId="0" applyNumberFormat="1" applyFill="1" applyBorder="1" applyAlignment="1" applyProtection="1">
      <alignment horizontal="right" vertical="center" wrapText="1" indent="1"/>
      <protection hidden="1"/>
    </xf>
    <xf numFmtId="0" fontId="3" fillId="16" borderId="31" xfId="0" applyFont="1" applyFill="1" applyBorder="1" applyAlignment="1" applyProtection="1">
      <alignment horizontal="center" vertical="center"/>
      <protection hidden="1"/>
    </xf>
    <xf numFmtId="0" fontId="0" fillId="16" borderId="15" xfId="0" applyFill="1" applyBorder="1" applyAlignment="1">
      <alignment horizontal="center" vertical="center"/>
    </xf>
    <xf numFmtId="3" fontId="3" fillId="16" borderId="31" xfId="0" applyNumberFormat="1" applyFont="1" applyFill="1" applyBorder="1" applyAlignment="1" applyProtection="1">
      <alignment horizontal="right" vertical="center" wrapText="1" indent="1"/>
      <protection hidden="1"/>
    </xf>
    <xf numFmtId="3" fontId="0" fillId="16" borderId="9" xfId="0" applyNumberFormat="1" applyFill="1" applyBorder="1" applyAlignment="1" applyProtection="1">
      <alignment horizontal="right" vertical="center" wrapText="1" indent="1"/>
      <protection hidden="1"/>
    </xf>
    <xf numFmtId="0" fontId="3" fillId="16" borderId="29" xfId="0" applyFont="1" applyFill="1" applyBorder="1" applyAlignment="1" applyProtection="1">
      <alignment horizontal="center" vertical="center"/>
      <protection hidden="1"/>
    </xf>
    <xf numFmtId="0" fontId="0" fillId="0" borderId="29" xfId="0" applyBorder="1" applyAlignment="1">
      <alignment horizontal="center" vertical="center"/>
    </xf>
    <xf numFmtId="3" fontId="3" fillId="26" borderId="11" xfId="0" applyNumberFormat="1" applyFont="1" applyFill="1" applyBorder="1" applyAlignment="1" applyProtection="1">
      <alignment horizontal="right" vertical="center" wrapText="1" indent="1"/>
      <protection hidden="1"/>
    </xf>
    <xf numFmtId="3" fontId="0" fillId="26" borderId="11" xfId="0" applyNumberFormat="1" applyFill="1" applyBorder="1" applyAlignment="1" applyProtection="1">
      <alignment horizontal="right" vertical="center" wrapText="1" indent="1"/>
      <protection hidden="1"/>
    </xf>
    <xf numFmtId="3" fontId="0" fillId="26" borderId="10" xfId="0" applyNumberFormat="1" applyFill="1" applyBorder="1" applyAlignment="1" applyProtection="1">
      <alignment horizontal="right" vertical="center" wrapText="1" indent="1"/>
      <protection hidden="1"/>
    </xf>
    <xf numFmtId="0" fontId="8" fillId="16" borderId="0" xfId="0" applyFont="1" applyFill="1" applyAlignment="1" applyProtection="1">
      <alignment horizontal="center" vertical="center"/>
      <protection hidden="1"/>
    </xf>
    <xf numFmtId="0" fontId="8" fillId="16" borderId="8" xfId="0" applyFont="1" applyFill="1" applyBorder="1" applyAlignment="1" applyProtection="1">
      <alignment horizontal="center" vertical="center"/>
      <protection hidden="1"/>
    </xf>
    <xf numFmtId="0" fontId="3" fillId="16" borderId="13" xfId="0" applyFont="1" applyFill="1" applyBorder="1" applyAlignment="1" applyProtection="1">
      <alignment horizontal="center" vertical="center"/>
      <protection hidden="1"/>
    </xf>
    <xf numFmtId="0" fontId="0" fillId="0" borderId="13" xfId="0" applyBorder="1" applyAlignment="1">
      <alignment horizontal="center" vertical="center"/>
    </xf>
    <xf numFmtId="3" fontId="3" fillId="26" borderId="13" xfId="0" applyNumberFormat="1" applyFont="1" applyFill="1" applyBorder="1" applyAlignment="1" applyProtection="1">
      <alignment horizontal="right" vertical="center" wrapText="1" indent="1"/>
      <protection hidden="1"/>
    </xf>
    <xf numFmtId="3" fontId="0" fillId="26" borderId="13" xfId="0" applyNumberFormat="1" applyFill="1" applyBorder="1" applyAlignment="1" applyProtection="1">
      <alignment horizontal="right" vertical="center" wrapText="1" indent="1"/>
      <protection hidden="1"/>
    </xf>
    <xf numFmtId="3" fontId="0" fillId="26" borderId="40" xfId="0" applyNumberFormat="1" applyFill="1" applyBorder="1" applyAlignment="1" applyProtection="1">
      <alignment horizontal="right" vertical="center" wrapText="1" indent="1"/>
      <protection hidden="1"/>
    </xf>
    <xf numFmtId="0" fontId="3" fillId="16" borderId="11" xfId="0" applyFont="1" applyFill="1" applyBorder="1" applyAlignment="1" applyProtection="1">
      <alignment horizontal="center" vertical="center"/>
      <protection hidden="1"/>
    </xf>
    <xf numFmtId="0" fontId="0" fillId="0" borderId="11" xfId="0" applyBorder="1" applyAlignment="1">
      <alignment horizontal="center" vertical="center"/>
    </xf>
    <xf numFmtId="37" fontId="3" fillId="26" borderId="13" xfId="0" applyNumberFormat="1" applyFont="1" applyFill="1" applyBorder="1" applyAlignment="1" applyProtection="1">
      <alignment horizontal="right" vertical="center" wrapText="1" indent="1"/>
      <protection hidden="1"/>
    </xf>
    <xf numFmtId="37" fontId="0" fillId="26" borderId="13" xfId="0" applyNumberFormat="1" applyFill="1" applyBorder="1" applyAlignment="1" applyProtection="1">
      <alignment horizontal="right" vertical="center" wrapText="1" indent="1"/>
      <protection hidden="1"/>
    </xf>
    <xf numFmtId="37" fontId="0" fillId="26" borderId="40" xfId="0" applyNumberFormat="1" applyFill="1" applyBorder="1" applyAlignment="1" applyProtection="1">
      <alignment horizontal="right" vertical="center" wrapText="1" indent="1"/>
      <protection hidden="1"/>
    </xf>
    <xf numFmtId="37" fontId="7" fillId="28" borderId="1" xfId="0" applyNumberFormat="1" applyFont="1" applyFill="1" applyBorder="1" applyProtection="1">
      <protection hidden="1"/>
    </xf>
    <xf numFmtId="0" fontId="8" fillId="16" borderId="14" xfId="0" applyFont="1" applyFill="1" applyBorder="1" applyAlignment="1" applyProtection="1">
      <alignment horizontal="center" vertical="center"/>
      <protection hidden="1"/>
    </xf>
    <xf numFmtId="0" fontId="81" fillId="16" borderId="9" xfId="0" applyFont="1" applyFill="1" applyBorder="1" applyAlignment="1" applyProtection="1">
      <alignment horizontal="center" vertical="center" wrapText="1"/>
      <protection hidden="1"/>
    </xf>
    <xf numFmtId="0" fontId="81" fillId="16" borderId="6" xfId="0" applyFont="1" applyFill="1" applyBorder="1" applyAlignment="1" applyProtection="1">
      <alignment horizontal="center" vertical="center" wrapText="1"/>
      <protection hidden="1"/>
    </xf>
    <xf numFmtId="0" fontId="81" fillId="16" borderId="0" xfId="0" applyFont="1" applyFill="1" applyAlignment="1" applyProtection="1">
      <alignment horizontal="center" vertical="center" wrapText="1"/>
      <protection hidden="1"/>
    </xf>
    <xf numFmtId="0" fontId="3" fillId="16" borderId="9" xfId="0" applyFont="1" applyFill="1" applyBorder="1" applyAlignment="1" applyProtection="1">
      <alignment horizontal="left" vertical="center" wrapText="1"/>
      <protection hidden="1"/>
    </xf>
    <xf numFmtId="0" fontId="129" fillId="16" borderId="26" xfId="0" applyFont="1" applyFill="1" applyBorder="1" applyAlignment="1" applyProtection="1">
      <alignment horizontal="center" vertical="center"/>
      <protection hidden="1"/>
    </xf>
    <xf numFmtId="0" fontId="129" fillId="16" borderId="35" xfId="0" applyFont="1" applyFill="1" applyBorder="1" applyAlignment="1" applyProtection="1">
      <alignment horizontal="center"/>
      <protection hidden="1"/>
    </xf>
    <xf numFmtId="0" fontId="139" fillId="16" borderId="0" xfId="0" applyFont="1" applyFill="1" applyAlignment="1" applyProtection="1">
      <alignment horizontal="center" wrapText="1"/>
      <protection locked="0"/>
    </xf>
    <xf numFmtId="0" fontId="139" fillId="16" borderId="0" xfId="0" applyFont="1" applyFill="1" applyAlignment="1" applyProtection="1">
      <alignment horizontal="center"/>
      <protection locked="0"/>
    </xf>
    <xf numFmtId="0" fontId="139" fillId="16" borderId="21" xfId="0" applyFont="1" applyFill="1" applyBorder="1" applyAlignment="1" applyProtection="1">
      <alignment horizontal="center"/>
      <protection locked="0"/>
    </xf>
    <xf numFmtId="0" fontId="141" fillId="16" borderId="17" xfId="0" applyFont="1" applyFill="1" applyBorder="1" applyAlignment="1" applyProtection="1">
      <alignment horizontal="center"/>
      <protection hidden="1"/>
    </xf>
    <xf numFmtId="0" fontId="3" fillId="16" borderId="11" xfId="0" quotePrefix="1" applyFont="1" applyFill="1" applyBorder="1" applyAlignment="1" applyProtection="1">
      <alignment horizontal="center" vertical="center"/>
      <protection hidden="1"/>
    </xf>
    <xf numFmtId="6" fontId="299" fillId="16" borderId="0" xfId="0" applyNumberFormat="1" applyFont="1" applyFill="1" applyAlignment="1" applyProtection="1">
      <alignment horizontal="left"/>
      <protection hidden="1"/>
    </xf>
    <xf numFmtId="0" fontId="3" fillId="16" borderId="10" xfId="0" quotePrefix="1" applyFont="1" applyFill="1" applyBorder="1" applyAlignment="1" applyProtection="1">
      <alignment horizontal="center" vertical="center"/>
      <protection hidden="1"/>
    </xf>
    <xf numFmtId="0" fontId="3" fillId="16" borderId="0" xfId="0" applyFont="1" applyFill="1" applyAlignment="1" applyProtection="1">
      <alignment horizontal="right"/>
      <protection hidden="1"/>
    </xf>
    <xf numFmtId="0" fontId="3" fillId="16" borderId="25" xfId="0" applyFont="1" applyFill="1" applyBorder="1" applyAlignment="1" applyProtection="1">
      <alignment horizontal="right"/>
      <protection hidden="1"/>
    </xf>
    <xf numFmtId="0" fontId="129" fillId="16" borderId="0" xfId="0" applyFont="1" applyFill="1" applyAlignment="1" applyProtection="1">
      <alignment horizontal="center" vertical="center"/>
      <protection hidden="1"/>
    </xf>
    <xf numFmtId="0" fontId="129" fillId="16" borderId="25" xfId="0" applyFont="1" applyFill="1" applyBorder="1" applyAlignment="1" applyProtection="1">
      <alignment horizontal="center" vertical="center"/>
      <protection hidden="1"/>
    </xf>
    <xf numFmtId="0" fontId="135" fillId="16" borderId="0" xfId="0" applyFont="1" applyFill="1" applyAlignment="1" applyProtection="1">
      <alignment horizontal="center" vertical="center"/>
      <protection hidden="1"/>
    </xf>
    <xf numFmtId="0" fontId="135" fillId="16" borderId="25" xfId="0" applyFont="1" applyFill="1" applyBorder="1" applyAlignment="1" applyProtection="1">
      <alignment horizontal="center" vertical="center"/>
      <protection hidden="1"/>
    </xf>
    <xf numFmtId="37" fontId="129" fillId="16" borderId="3" xfId="0" applyNumberFormat="1" applyFont="1" applyFill="1" applyBorder="1" applyAlignment="1" applyProtection="1">
      <alignment horizontal="center" vertical="center"/>
      <protection hidden="1"/>
    </xf>
    <xf numFmtId="37" fontId="129" fillId="16" borderId="0" xfId="0" applyNumberFormat="1" applyFont="1" applyFill="1" applyAlignment="1" applyProtection="1">
      <alignment horizontal="center" vertical="center"/>
      <protection hidden="1"/>
    </xf>
    <xf numFmtId="37" fontId="129" fillId="16" borderId="25" xfId="0" applyNumberFormat="1" applyFont="1" applyFill="1" applyBorder="1" applyAlignment="1" applyProtection="1">
      <alignment horizontal="center" vertical="center"/>
      <protection hidden="1"/>
    </xf>
    <xf numFmtId="0" fontId="129" fillId="16" borderId="3" xfId="0" applyFont="1" applyFill="1" applyBorder="1" applyAlignment="1" applyProtection="1">
      <alignment horizontal="center" vertical="center"/>
      <protection hidden="1"/>
    </xf>
    <xf numFmtId="37" fontId="3" fillId="26" borderId="11" xfId="0" applyNumberFormat="1" applyFont="1" applyFill="1" applyBorder="1" applyAlignment="1" applyProtection="1">
      <alignment horizontal="right" vertical="center" wrapText="1" indent="1"/>
      <protection hidden="1"/>
    </xf>
    <xf numFmtId="37" fontId="0" fillId="26" borderId="11" xfId="0" applyNumberFormat="1" applyFill="1" applyBorder="1" applyAlignment="1" applyProtection="1">
      <alignment horizontal="right" vertical="center" wrapText="1" indent="1"/>
      <protection hidden="1"/>
    </xf>
    <xf numFmtId="37" fontId="0" fillId="26" borderId="10" xfId="0" applyNumberFormat="1" applyFill="1" applyBorder="1" applyAlignment="1" applyProtection="1">
      <alignment horizontal="right" vertical="center" wrapText="1" indent="1"/>
      <protection hidden="1"/>
    </xf>
    <xf numFmtId="3" fontId="3" fillId="17" borderId="11" xfId="0" applyNumberFormat="1" applyFont="1" applyFill="1" applyBorder="1" applyAlignment="1" applyProtection="1">
      <alignment horizontal="right" vertical="center" wrapText="1" indent="1"/>
      <protection locked="0"/>
    </xf>
    <xf numFmtId="3" fontId="0" fillId="17" borderId="11" xfId="0" applyNumberFormat="1" applyFill="1" applyBorder="1" applyAlignment="1" applyProtection="1">
      <alignment horizontal="right" vertical="center" wrapText="1" indent="1"/>
      <protection locked="0"/>
    </xf>
    <xf numFmtId="3" fontId="0" fillId="17" borderId="10" xfId="0" applyNumberFormat="1" applyFill="1" applyBorder="1" applyAlignment="1" applyProtection="1">
      <alignment horizontal="right" vertical="center" wrapText="1" indent="1"/>
      <protection locked="0"/>
    </xf>
    <xf numFmtId="0" fontId="129" fillId="16" borderId="31" xfId="0" applyFont="1" applyFill="1" applyBorder="1" applyAlignment="1" applyProtection="1">
      <alignment horizontal="center" vertical="center"/>
      <protection hidden="1"/>
    </xf>
    <xf numFmtId="0" fontId="129" fillId="16" borderId="9" xfId="0" applyFont="1" applyFill="1" applyBorder="1" applyAlignment="1" applyProtection="1">
      <alignment horizontal="center" vertical="center"/>
      <protection hidden="1"/>
    </xf>
    <xf numFmtId="37" fontId="129" fillId="16" borderId="3" xfId="0" applyNumberFormat="1" applyFont="1" applyFill="1" applyBorder="1" applyAlignment="1" applyProtection="1">
      <alignment horizontal="right" vertical="center" indent="1"/>
      <protection hidden="1"/>
    </xf>
    <xf numFmtId="37" fontId="129" fillId="16" borderId="0" xfId="0" applyNumberFormat="1" applyFont="1" applyFill="1" applyAlignment="1" applyProtection="1">
      <alignment horizontal="right" vertical="center" indent="1"/>
      <protection hidden="1"/>
    </xf>
    <xf numFmtId="0" fontId="3" fillId="16" borderId="10" xfId="0" applyFont="1" applyFill="1" applyBorder="1" applyAlignment="1" applyProtection="1">
      <alignment horizontal="center" vertical="center"/>
      <protection hidden="1"/>
    </xf>
    <xf numFmtId="37" fontId="3" fillId="28" borderId="10" xfId="0" applyNumberFormat="1" applyFont="1" applyFill="1" applyBorder="1" applyAlignment="1" applyProtection="1">
      <alignment horizontal="right" vertical="center" wrapText="1" indent="1"/>
      <protection hidden="1"/>
    </xf>
    <xf numFmtId="37" fontId="3" fillId="28" borderId="1" xfId="0" applyNumberFormat="1" applyFont="1" applyFill="1" applyBorder="1" applyAlignment="1" applyProtection="1">
      <alignment horizontal="right" vertical="center" wrapText="1" indent="1"/>
      <protection hidden="1"/>
    </xf>
    <xf numFmtId="37" fontId="3" fillId="28" borderId="12" xfId="0" applyNumberFormat="1" applyFont="1" applyFill="1" applyBorder="1" applyAlignment="1" applyProtection="1">
      <alignment horizontal="right" vertical="center" wrapText="1" indent="1"/>
      <protection hidden="1"/>
    </xf>
    <xf numFmtId="37" fontId="135" fillId="16" borderId="9" xfId="0" applyNumberFormat="1" applyFont="1" applyFill="1" applyBorder="1" applyProtection="1">
      <protection hidden="1"/>
    </xf>
    <xf numFmtId="37" fontId="129" fillId="16" borderId="9" xfId="0" applyNumberFormat="1" applyFont="1" applyFill="1" applyBorder="1" applyProtection="1">
      <protection hidden="1"/>
    </xf>
    <xf numFmtId="0" fontId="135" fillId="16" borderId="9" xfId="0" applyFont="1" applyFill="1" applyBorder="1" applyAlignment="1" applyProtection="1">
      <alignment horizontal="right"/>
      <protection hidden="1"/>
    </xf>
    <xf numFmtId="3" fontId="135" fillId="16" borderId="0" xfId="0" applyNumberFormat="1" applyFont="1" applyFill="1" applyAlignment="1" applyProtection="1">
      <alignment horizontal="right"/>
      <protection hidden="1"/>
    </xf>
    <xf numFmtId="0" fontId="135" fillId="16" borderId="0" xfId="0" applyFont="1" applyFill="1" applyAlignment="1" applyProtection="1">
      <alignment horizontal="right"/>
      <protection hidden="1"/>
    </xf>
    <xf numFmtId="0" fontId="143" fillId="32" borderId="35" xfId="0" applyFont="1" applyFill="1" applyBorder="1" applyAlignment="1" applyProtection="1">
      <alignment horizontal="center"/>
      <protection hidden="1"/>
    </xf>
    <xf numFmtId="0" fontId="129" fillId="32" borderId="35" xfId="0" applyFont="1" applyFill="1" applyBorder="1" applyAlignment="1" applyProtection="1">
      <alignment horizontal="center"/>
      <protection hidden="1"/>
    </xf>
    <xf numFmtId="0" fontId="3" fillId="16" borderId="0" xfId="0" quotePrefix="1" applyFont="1" applyFill="1" applyAlignment="1" applyProtection="1">
      <alignment horizontal="center" vertical="center"/>
      <protection hidden="1"/>
    </xf>
    <xf numFmtId="37" fontId="8" fillId="17" borderId="1" xfId="0" applyNumberFormat="1" applyFont="1" applyFill="1" applyBorder="1" applyAlignment="1" applyProtection="1">
      <alignment horizontal="right" vertical="center" wrapText="1"/>
      <protection locked="0"/>
    </xf>
    <xf numFmtId="37" fontId="8" fillId="28" borderId="1" xfId="0" applyNumberFormat="1" applyFont="1" applyFill="1" applyBorder="1" applyAlignment="1" applyProtection="1">
      <alignment horizontal="right" vertical="center" wrapText="1"/>
      <protection hidden="1"/>
    </xf>
    <xf numFmtId="0" fontId="143" fillId="32" borderId="1" xfId="0" applyFont="1" applyFill="1" applyBorder="1" applyAlignment="1" applyProtection="1">
      <alignment horizontal="center"/>
      <protection hidden="1"/>
    </xf>
    <xf numFmtId="0" fontId="129" fillId="32" borderId="1" xfId="0" applyFont="1" applyFill="1" applyBorder="1" applyAlignment="1" applyProtection="1">
      <alignment horizontal="center"/>
      <protection hidden="1"/>
    </xf>
    <xf numFmtId="176" fontId="3" fillId="28" borderId="1" xfId="0" applyNumberFormat="1" applyFont="1" applyFill="1" applyBorder="1" applyAlignment="1" applyProtection="1">
      <alignment horizontal="center" vertical="center"/>
      <protection hidden="1"/>
    </xf>
    <xf numFmtId="6" fontId="299" fillId="16" borderId="0" xfId="0" applyNumberFormat="1" applyFont="1" applyFill="1" applyAlignment="1" applyProtection="1">
      <alignment horizontal="center" vertical="center"/>
      <protection hidden="1"/>
    </xf>
    <xf numFmtId="0" fontId="299" fillId="16" borderId="0" xfId="0" applyFont="1" applyFill="1" applyAlignment="1" applyProtection="1">
      <alignment horizontal="center" vertical="center"/>
      <protection hidden="1"/>
    </xf>
    <xf numFmtId="0" fontId="3" fillId="16" borderId="53" xfId="0" applyFont="1" applyFill="1" applyBorder="1" applyAlignment="1" applyProtection="1">
      <alignment horizontal="center" vertical="center"/>
      <protection hidden="1"/>
    </xf>
    <xf numFmtId="0" fontId="0" fillId="0" borderId="74" xfId="0" applyBorder="1" applyAlignment="1">
      <alignment horizontal="center" vertical="center"/>
    </xf>
    <xf numFmtId="3" fontId="3" fillId="26" borderId="53" xfId="0" applyNumberFormat="1" applyFont="1" applyFill="1" applyBorder="1" applyAlignment="1" applyProtection="1">
      <alignment horizontal="right" vertical="center" wrapText="1" indent="1"/>
      <protection hidden="1"/>
    </xf>
    <xf numFmtId="3" fontId="0" fillId="26" borderId="32" xfId="0" applyNumberFormat="1" applyFill="1" applyBorder="1" applyAlignment="1" applyProtection="1">
      <alignment horizontal="right" vertical="center" wrapText="1" indent="1"/>
      <protection hidden="1"/>
    </xf>
    <xf numFmtId="3" fontId="3" fillId="26" borderId="10" xfId="0" applyNumberFormat="1" applyFont="1" applyFill="1" applyBorder="1" applyAlignment="1" applyProtection="1">
      <alignment horizontal="right" vertical="center" wrapText="1" indent="1"/>
      <protection hidden="1"/>
    </xf>
    <xf numFmtId="3" fontId="0" fillId="26" borderId="1" xfId="0" applyNumberFormat="1" applyFill="1" applyBorder="1" applyAlignment="1" applyProtection="1">
      <alignment horizontal="right" vertical="center" wrapText="1" indent="1"/>
      <protection hidden="1"/>
    </xf>
    <xf numFmtId="3" fontId="3" fillId="26" borderId="70" xfId="0" applyNumberFormat="1" applyFont="1" applyFill="1" applyBorder="1" applyAlignment="1" applyProtection="1">
      <alignment horizontal="right" vertical="center" wrapText="1" indent="1"/>
      <protection hidden="1"/>
    </xf>
    <xf numFmtId="3" fontId="0" fillId="26" borderId="5" xfId="0" applyNumberFormat="1" applyFill="1" applyBorder="1" applyAlignment="1" applyProtection="1">
      <alignment horizontal="right" vertical="center" wrapText="1" indent="1"/>
      <protection hidden="1"/>
    </xf>
    <xf numFmtId="0" fontId="3" fillId="16" borderId="70" xfId="0" applyFont="1" applyFill="1" applyBorder="1" applyAlignment="1" applyProtection="1">
      <alignment horizontal="center" vertical="center"/>
      <protection hidden="1"/>
    </xf>
    <xf numFmtId="0" fontId="0" fillId="0" borderId="71" xfId="0" applyBorder="1" applyAlignment="1">
      <alignment horizontal="center" vertical="center"/>
    </xf>
    <xf numFmtId="3" fontId="3" fillId="17" borderId="70" xfId="0" applyNumberFormat="1" applyFont="1" applyFill="1" applyBorder="1" applyAlignment="1" applyProtection="1">
      <alignment horizontal="right" vertical="center" wrapText="1" indent="1"/>
      <protection locked="0"/>
    </xf>
    <xf numFmtId="3" fontId="0" fillId="17" borderId="5" xfId="0" applyNumberFormat="1" applyFill="1" applyBorder="1" applyAlignment="1" applyProtection="1">
      <alignment horizontal="right" vertical="center" wrapText="1" indent="1"/>
      <protection locked="0"/>
    </xf>
    <xf numFmtId="37" fontId="3" fillId="26" borderId="10" xfId="0" applyNumberFormat="1" applyFont="1" applyFill="1" applyBorder="1" applyAlignment="1" applyProtection="1">
      <alignment horizontal="right" vertical="center" wrapText="1" indent="1"/>
      <protection hidden="1"/>
    </xf>
    <xf numFmtId="37" fontId="0" fillId="26" borderId="1" xfId="0" applyNumberFormat="1" applyFill="1" applyBorder="1" applyAlignment="1" applyProtection="1">
      <alignment horizontal="right" vertical="center" wrapText="1" indent="1"/>
      <protection hidden="1"/>
    </xf>
    <xf numFmtId="0" fontId="8" fillId="16" borderId="17" xfId="0" applyFont="1" applyFill="1" applyBorder="1" applyAlignment="1" applyProtection="1">
      <alignment horizontal="center" vertical="center"/>
      <protection hidden="1"/>
    </xf>
    <xf numFmtId="3" fontId="3" fillId="26" borderId="29" xfId="0" applyNumberFormat="1" applyFont="1" applyFill="1" applyBorder="1" applyAlignment="1" applyProtection="1">
      <alignment horizontal="right" vertical="center" wrapText="1" indent="1"/>
      <protection hidden="1"/>
    </xf>
    <xf numFmtId="3" fontId="0" fillId="26" borderId="29" xfId="0" applyNumberFormat="1" applyFill="1" applyBorder="1" applyAlignment="1" applyProtection="1">
      <alignment horizontal="right" vertical="center" wrapText="1" indent="1"/>
      <protection hidden="1"/>
    </xf>
    <xf numFmtId="3" fontId="0" fillId="26" borderId="70" xfId="0" applyNumberFormat="1" applyFill="1" applyBorder="1" applyAlignment="1" applyProtection="1">
      <alignment horizontal="right" vertical="center" wrapText="1" indent="1"/>
      <protection hidden="1"/>
    </xf>
    <xf numFmtId="0" fontId="0" fillId="0" borderId="14" xfId="0" applyBorder="1" applyAlignment="1">
      <alignment horizontal="left" vertical="center" wrapText="1"/>
    </xf>
    <xf numFmtId="0" fontId="0" fillId="0" borderId="162" xfId="0" applyBorder="1" applyAlignment="1">
      <alignment horizontal="left" vertical="center" wrapText="1"/>
    </xf>
    <xf numFmtId="166" fontId="23" fillId="28" borderId="6" xfId="0" applyNumberFormat="1" applyFont="1" applyFill="1" applyBorder="1" applyAlignment="1" applyProtection="1">
      <alignment horizontal="center" vertical="center"/>
      <protection hidden="1"/>
    </xf>
    <xf numFmtId="166" fontId="23" fillId="28" borderId="0" xfId="0" applyNumberFormat="1" applyFont="1" applyFill="1" applyAlignment="1" applyProtection="1">
      <alignment horizontal="center" vertical="center"/>
      <protection hidden="1"/>
    </xf>
    <xf numFmtId="166" fontId="23" fillId="28" borderId="27" xfId="0" applyNumberFormat="1" applyFont="1" applyFill="1" applyBorder="1" applyAlignment="1" applyProtection="1">
      <alignment horizontal="center" vertical="center"/>
      <protection hidden="1"/>
    </xf>
    <xf numFmtId="166" fontId="23" fillId="28" borderId="1" xfId="0" applyNumberFormat="1" applyFont="1" applyFill="1" applyBorder="1" applyAlignment="1" applyProtection="1">
      <alignment horizontal="center" vertical="center"/>
      <protection hidden="1"/>
    </xf>
    <xf numFmtId="0" fontId="18" fillId="16" borderId="0" xfId="0" applyFont="1" applyFill="1" applyAlignment="1" applyProtection="1">
      <alignment wrapText="1"/>
      <protection hidden="1"/>
    </xf>
    <xf numFmtId="0" fontId="18" fillId="0" borderId="0" xfId="0" applyFont="1" applyAlignment="1">
      <alignment wrapText="1"/>
    </xf>
    <xf numFmtId="0" fontId="18" fillId="0" borderId="21" xfId="0" applyFont="1" applyBorder="1" applyAlignment="1">
      <alignment wrapText="1"/>
    </xf>
    <xf numFmtId="0" fontId="3" fillId="16" borderId="0" xfId="0" applyFont="1" applyFill="1" applyAlignment="1" applyProtection="1">
      <alignment wrapText="1"/>
      <protection hidden="1"/>
    </xf>
    <xf numFmtId="0" fontId="3" fillId="0" borderId="0" xfId="0" applyFont="1" applyAlignment="1">
      <alignment wrapText="1"/>
    </xf>
    <xf numFmtId="0" fontId="3" fillId="0" borderId="21" xfId="0" applyFont="1" applyBorder="1" applyAlignment="1">
      <alignment wrapText="1"/>
    </xf>
    <xf numFmtId="0" fontId="18" fillId="16" borderId="0" xfId="0" applyFont="1" applyFill="1" applyAlignment="1" applyProtection="1">
      <alignment horizontal="left" wrapText="1"/>
      <protection hidden="1"/>
    </xf>
    <xf numFmtId="0" fontId="0" fillId="0" borderId="14" xfId="0" applyBorder="1" applyAlignment="1">
      <alignment horizontal="left" wrapText="1"/>
    </xf>
    <xf numFmtId="0" fontId="23" fillId="16" borderId="0" xfId="0" applyFont="1" applyFill="1" applyAlignment="1" applyProtection="1">
      <alignment horizontal="center" wrapText="1"/>
      <protection hidden="1"/>
    </xf>
    <xf numFmtId="0" fontId="83" fillId="0" borderId="14" xfId="0" applyFont="1" applyBorder="1" applyAlignment="1">
      <alignment horizontal="center" wrapText="1"/>
    </xf>
    <xf numFmtId="0" fontId="50" fillId="16" borderId="0" xfId="0" applyFont="1" applyFill="1" applyAlignment="1" applyProtection="1">
      <alignment horizontal="center" wrapText="1"/>
      <protection hidden="1"/>
    </xf>
    <xf numFmtId="0" fontId="299" fillId="16" borderId="0" xfId="0" applyFont="1" applyFill="1" applyAlignment="1" applyProtection="1">
      <alignment horizontal="left" vertical="center"/>
      <protection hidden="1"/>
    </xf>
    <xf numFmtId="0" fontId="3" fillId="16" borderId="10" xfId="0" quotePrefix="1" applyFont="1" applyFill="1" applyBorder="1" applyAlignment="1">
      <alignment horizontal="center" vertical="center"/>
    </xf>
    <xf numFmtId="0" fontId="3" fillId="16" borderId="12" xfId="0" applyFont="1" applyFill="1" applyBorder="1" applyAlignment="1">
      <alignment horizontal="center" vertical="center"/>
    </xf>
    <xf numFmtId="3" fontId="5" fillId="26" borderId="1" xfId="0" applyNumberFormat="1" applyFont="1" applyFill="1" applyBorder="1" applyAlignment="1" applyProtection="1">
      <alignment horizontal="right" vertical="center" wrapText="1" indent="1"/>
      <protection hidden="1"/>
    </xf>
    <xf numFmtId="3" fontId="3" fillId="17" borderId="10" xfId="0" applyNumberFormat="1" applyFont="1" applyFill="1" applyBorder="1" applyAlignment="1" applyProtection="1">
      <alignment horizontal="right" vertical="center" wrapText="1" indent="1"/>
      <protection locked="0"/>
    </xf>
    <xf numFmtId="3" fontId="0" fillId="17" borderId="1" xfId="0" applyNumberFormat="1" applyFill="1" applyBorder="1" applyAlignment="1" applyProtection="1">
      <alignment horizontal="right" vertical="center" wrapText="1" indent="1"/>
      <protection locked="0"/>
    </xf>
    <xf numFmtId="37" fontId="3" fillId="26" borderId="70" xfId="0" applyNumberFormat="1" applyFont="1" applyFill="1" applyBorder="1" applyAlignment="1" applyProtection="1">
      <alignment horizontal="right" vertical="center" wrapText="1" indent="1"/>
      <protection hidden="1"/>
    </xf>
    <xf numFmtId="37" fontId="0" fillId="26" borderId="5" xfId="0" applyNumberFormat="1" applyFill="1" applyBorder="1" applyAlignment="1" applyProtection="1">
      <alignment horizontal="right" vertical="center" wrapText="1" indent="1"/>
      <protection hidden="1"/>
    </xf>
    <xf numFmtId="0" fontId="3" fillId="16" borderId="48" xfId="0" applyFont="1" applyFill="1" applyBorder="1" applyAlignment="1" applyProtection="1">
      <alignment horizontal="center" vertical="center"/>
      <protection hidden="1"/>
    </xf>
    <xf numFmtId="0" fontId="3" fillId="16" borderId="218" xfId="0" applyFont="1" applyFill="1" applyBorder="1" applyAlignment="1" applyProtection="1">
      <alignment horizontal="center" vertical="center"/>
      <protection hidden="1"/>
    </xf>
    <xf numFmtId="3" fontId="3" fillId="28" borderId="48" xfId="0" applyNumberFormat="1" applyFont="1" applyFill="1" applyBorder="1" applyAlignment="1" applyProtection="1">
      <alignment horizontal="center" vertical="center" wrapText="1"/>
      <protection hidden="1"/>
    </xf>
    <xf numFmtId="3" fontId="3" fillId="28" borderId="28" xfId="0" applyNumberFormat="1" applyFont="1" applyFill="1" applyBorder="1" applyAlignment="1" applyProtection="1">
      <alignment horizontal="center" vertical="center" wrapText="1"/>
      <protection hidden="1"/>
    </xf>
    <xf numFmtId="3" fontId="3" fillId="28" borderId="218" xfId="0" applyNumberFormat="1" applyFont="1" applyFill="1" applyBorder="1" applyAlignment="1" applyProtection="1">
      <alignment horizontal="center" vertical="center" wrapText="1"/>
      <protection hidden="1"/>
    </xf>
    <xf numFmtId="0" fontId="3" fillId="16" borderId="12" xfId="0" applyFont="1" applyFill="1" applyBorder="1" applyAlignment="1" applyProtection="1">
      <alignment horizontal="center" vertical="center"/>
      <protection hidden="1"/>
    </xf>
    <xf numFmtId="3" fontId="3" fillId="28" borderId="10" xfId="0" applyNumberFormat="1" applyFont="1" applyFill="1" applyBorder="1" applyAlignment="1" applyProtection="1">
      <alignment horizontal="center" vertical="center" wrapText="1"/>
      <protection hidden="1"/>
    </xf>
    <xf numFmtId="3" fontId="3" fillId="28" borderId="1" xfId="0" applyNumberFormat="1" applyFont="1" applyFill="1" applyBorder="1" applyAlignment="1" applyProtection="1">
      <alignment horizontal="center" vertical="center" wrapText="1"/>
      <protection hidden="1"/>
    </xf>
    <xf numFmtId="3" fontId="3" fillId="28" borderId="12" xfId="0" applyNumberFormat="1" applyFont="1" applyFill="1" applyBorder="1" applyAlignment="1" applyProtection="1">
      <alignment horizontal="center" vertical="center" wrapText="1"/>
      <protection hidden="1"/>
    </xf>
    <xf numFmtId="0" fontId="3" fillId="16" borderId="74" xfId="0" applyFont="1" applyFill="1" applyBorder="1" applyAlignment="1" applyProtection="1">
      <alignment horizontal="center" vertical="center"/>
      <protection hidden="1"/>
    </xf>
    <xf numFmtId="3" fontId="3" fillId="28" borderId="53" xfId="0" applyNumberFormat="1" applyFont="1" applyFill="1" applyBorder="1" applyAlignment="1" applyProtection="1">
      <alignment horizontal="center" vertical="center" wrapText="1"/>
      <protection hidden="1"/>
    </xf>
    <xf numFmtId="3" fontId="3" fillId="28" borderId="32" xfId="0" applyNumberFormat="1" applyFont="1" applyFill="1" applyBorder="1" applyAlignment="1" applyProtection="1">
      <alignment horizontal="center" vertical="center" wrapText="1"/>
      <protection hidden="1"/>
    </xf>
    <xf numFmtId="3" fontId="3" fillId="28" borderId="74" xfId="0" applyNumberFormat="1" applyFont="1" applyFill="1" applyBorder="1" applyAlignment="1" applyProtection="1">
      <alignment horizontal="center" vertical="center" wrapText="1"/>
      <protection hidden="1"/>
    </xf>
    <xf numFmtId="3" fontId="129" fillId="16" borderId="3" xfId="0" applyNumberFormat="1" applyFont="1" applyFill="1" applyBorder="1" applyAlignment="1" applyProtection="1">
      <alignment horizontal="right" vertical="center" wrapText="1" indent="1"/>
      <protection hidden="1"/>
    </xf>
    <xf numFmtId="0" fontId="129" fillId="0" borderId="0" xfId="0" applyFont="1" applyAlignment="1">
      <alignment horizontal="right" vertical="center" wrapText="1" indent="1"/>
    </xf>
    <xf numFmtId="3" fontId="129" fillId="16" borderId="31" xfId="0" applyNumberFormat="1" applyFont="1" applyFill="1" applyBorder="1" applyAlignment="1" applyProtection="1">
      <alignment horizontal="right" vertical="center" wrapText="1" indent="1"/>
      <protection hidden="1"/>
    </xf>
    <xf numFmtId="0" fontId="129" fillId="0" borderId="9" xfId="0" applyFont="1" applyBorder="1" applyAlignment="1">
      <alignment horizontal="right" vertical="center" wrapText="1" indent="1"/>
    </xf>
    <xf numFmtId="0" fontId="3" fillId="20" borderId="31" xfId="0" applyFont="1" applyFill="1" applyBorder="1" applyAlignment="1" applyProtection="1">
      <alignment horizontal="center" vertical="center"/>
      <protection hidden="1"/>
    </xf>
    <xf numFmtId="0" fontId="3" fillId="20" borderId="15" xfId="0" applyFont="1" applyFill="1" applyBorder="1" applyAlignment="1" applyProtection="1">
      <alignment horizontal="center" vertical="center"/>
      <protection hidden="1"/>
    </xf>
    <xf numFmtId="0" fontId="3" fillId="20" borderId="3" xfId="0" applyFont="1" applyFill="1" applyBorder="1" applyAlignment="1" applyProtection="1">
      <alignment horizontal="center" vertical="center"/>
      <protection hidden="1"/>
    </xf>
    <xf numFmtId="0" fontId="3" fillId="20" borderId="25" xfId="0" applyFont="1" applyFill="1" applyBorder="1" applyAlignment="1" applyProtection="1">
      <alignment horizontal="center" vertical="center"/>
      <protection hidden="1"/>
    </xf>
    <xf numFmtId="3" fontId="3" fillId="16" borderId="3" xfId="0" applyNumberFormat="1" applyFont="1" applyFill="1" applyBorder="1" applyAlignment="1" applyProtection="1">
      <alignment horizontal="center" vertical="center" wrapText="1"/>
      <protection hidden="1"/>
    </xf>
    <xf numFmtId="3" fontId="3" fillId="16" borderId="0" xfId="0" applyNumberFormat="1" applyFont="1" applyFill="1" applyAlignment="1" applyProtection="1">
      <alignment horizontal="center" vertical="center" wrapText="1"/>
      <protection hidden="1"/>
    </xf>
    <xf numFmtId="0" fontId="129" fillId="16" borderId="3" xfId="0" applyFont="1" applyFill="1" applyBorder="1" applyAlignment="1">
      <alignment horizontal="center" vertical="center"/>
    </xf>
    <xf numFmtId="0" fontId="129" fillId="16" borderId="0" xfId="0" applyFont="1" applyFill="1" applyAlignment="1">
      <alignment horizontal="center" vertical="center"/>
    </xf>
    <xf numFmtId="0" fontId="129" fillId="16" borderId="3" xfId="0" applyFont="1" applyFill="1" applyBorder="1" applyAlignment="1" applyProtection="1">
      <alignment horizontal="center" vertical="center" wrapText="1"/>
      <protection hidden="1"/>
    </xf>
    <xf numFmtId="0" fontId="129" fillId="16" borderId="0" xfId="0" applyFont="1" applyFill="1" applyAlignment="1" applyProtection="1">
      <alignment horizontal="center" vertical="center" wrapText="1"/>
      <protection hidden="1"/>
    </xf>
    <xf numFmtId="37" fontId="129" fillId="16" borderId="3" xfId="0" applyNumberFormat="1" applyFont="1" applyFill="1" applyBorder="1" applyAlignment="1" applyProtection="1">
      <alignment horizontal="right" vertical="center" wrapText="1"/>
      <protection hidden="1"/>
    </xf>
    <xf numFmtId="37" fontId="129" fillId="16" borderId="0" xfId="0" applyNumberFormat="1" applyFont="1" applyFill="1" applyAlignment="1" applyProtection="1">
      <alignment horizontal="right" vertical="center" wrapText="1"/>
      <protection hidden="1"/>
    </xf>
    <xf numFmtId="3" fontId="5" fillId="16" borderId="31" xfId="0" applyNumberFormat="1" applyFont="1" applyFill="1" applyBorder="1" applyAlignment="1" applyProtection="1">
      <alignment horizontal="center" vertical="center" wrapText="1"/>
      <protection hidden="1"/>
    </xf>
    <xf numFmtId="5" fontId="7" fillId="16" borderId="0" xfId="0" applyNumberFormat="1" applyFont="1" applyFill="1" applyAlignment="1" applyProtection="1">
      <alignment horizontal="left"/>
      <protection hidden="1"/>
    </xf>
    <xf numFmtId="0" fontId="129" fillId="0" borderId="0" xfId="0" applyFont="1" applyAlignment="1">
      <alignment horizontal="center" vertical="center"/>
    </xf>
    <xf numFmtId="0" fontId="131" fillId="16" borderId="0" xfId="0" applyFont="1" applyFill="1" applyAlignment="1" applyProtection="1">
      <alignment horizontal="center" vertical="center"/>
      <protection hidden="1"/>
    </xf>
    <xf numFmtId="0" fontId="131" fillId="0" borderId="0" xfId="0" applyFont="1" applyAlignment="1">
      <alignment horizontal="center" vertical="center"/>
    </xf>
    <xf numFmtId="0" fontId="129" fillId="0" borderId="25" xfId="0" applyFont="1" applyBorder="1" applyAlignment="1">
      <alignment horizontal="center" vertical="center"/>
    </xf>
    <xf numFmtId="37" fontId="3" fillId="17" borderId="10" xfId="0" applyNumberFormat="1" applyFont="1" applyFill="1" applyBorder="1" applyAlignment="1" applyProtection="1">
      <alignment horizontal="right" vertical="center" wrapText="1" indent="1"/>
      <protection locked="0"/>
    </xf>
    <xf numFmtId="37" fontId="3" fillId="17" borderId="1" xfId="0" applyNumberFormat="1" applyFont="1" applyFill="1" applyBorder="1" applyAlignment="1" applyProtection="1">
      <alignment horizontal="right" vertical="center" wrapText="1" indent="1"/>
      <protection locked="0"/>
    </xf>
    <xf numFmtId="37" fontId="3" fillId="17" borderId="12" xfId="0" applyNumberFormat="1" applyFont="1" applyFill="1" applyBorder="1" applyAlignment="1" applyProtection="1">
      <alignment horizontal="right" vertical="center" wrapText="1" indent="1"/>
      <protection locked="0"/>
    </xf>
    <xf numFmtId="0" fontId="3" fillId="16" borderId="7" xfId="0" applyFont="1" applyFill="1" applyBorder="1" applyAlignment="1" applyProtection="1">
      <alignment horizontal="center" vertical="center"/>
      <protection hidden="1"/>
    </xf>
    <xf numFmtId="0" fontId="0" fillId="0" borderId="7" xfId="0" applyBorder="1" applyAlignment="1">
      <alignment horizontal="center" vertical="center"/>
    </xf>
    <xf numFmtId="175" fontId="3" fillId="26" borderId="11" xfId="0" applyNumberFormat="1" applyFont="1" applyFill="1" applyBorder="1" applyAlignment="1" applyProtection="1">
      <alignment horizontal="right" vertical="center" wrapText="1" indent="1"/>
      <protection hidden="1"/>
    </xf>
    <xf numFmtId="175" fontId="0" fillId="26" borderId="11" xfId="0" applyNumberFormat="1" applyFill="1" applyBorder="1" applyAlignment="1" applyProtection="1">
      <alignment horizontal="right" vertical="center" wrapText="1" indent="1"/>
      <protection hidden="1"/>
    </xf>
    <xf numFmtId="175" fontId="0" fillId="26" borderId="10" xfId="0" applyNumberFormat="1" applyFill="1" applyBorder="1" applyAlignment="1" applyProtection="1">
      <alignment horizontal="right" vertical="center" wrapText="1" indent="1"/>
      <protection hidden="1"/>
    </xf>
    <xf numFmtId="176" fontId="3" fillId="17" borderId="11" xfId="0" applyNumberFormat="1" applyFont="1" applyFill="1" applyBorder="1" applyAlignment="1" applyProtection="1">
      <alignment horizontal="right" vertical="center" wrapText="1" indent="1"/>
      <protection locked="0"/>
    </xf>
    <xf numFmtId="176" fontId="0" fillId="17" borderId="11" xfId="0" applyNumberFormat="1" applyFill="1" applyBorder="1" applyAlignment="1" applyProtection="1">
      <alignment horizontal="right" vertical="center" wrapText="1" indent="1"/>
      <protection locked="0"/>
    </xf>
    <xf numFmtId="176" fontId="0" fillId="17" borderId="10" xfId="0" applyNumberFormat="1" applyFill="1" applyBorder="1" applyAlignment="1" applyProtection="1">
      <alignment horizontal="right" vertical="center" wrapText="1" indent="1"/>
      <protection locked="0"/>
    </xf>
    <xf numFmtId="0" fontId="301" fillId="16" borderId="0" xfId="0" applyFont="1" applyFill="1" applyAlignment="1" applyProtection="1">
      <alignment horizontal="center" vertical="center"/>
      <protection hidden="1"/>
    </xf>
    <xf numFmtId="42" fontId="299" fillId="16" borderId="0" xfId="0" applyNumberFormat="1" applyFont="1" applyFill="1" applyAlignment="1" applyProtection="1">
      <alignment horizontal="left" vertical="center"/>
      <protection hidden="1"/>
    </xf>
    <xf numFmtId="0" fontId="135" fillId="16" borderId="0" xfId="0" quotePrefix="1" applyFont="1" applyFill="1" applyAlignment="1" applyProtection="1">
      <alignment horizontal="center"/>
      <protection hidden="1"/>
    </xf>
    <xf numFmtId="37" fontId="8" fillId="17" borderId="13" xfId="0" applyNumberFormat="1" applyFont="1" applyFill="1" applyBorder="1" applyAlignment="1" applyProtection="1">
      <alignment horizontal="right" vertical="center" wrapText="1"/>
      <protection locked="0"/>
    </xf>
    <xf numFmtId="37" fontId="135" fillId="16" borderId="0" xfId="0" applyNumberFormat="1" applyFont="1" applyFill="1" applyAlignment="1" applyProtection="1">
      <alignment horizontal="right"/>
      <protection hidden="1"/>
    </xf>
    <xf numFmtId="0" fontId="3" fillId="24" borderId="0" xfId="0" applyFont="1" applyFill="1" applyAlignment="1" applyProtection="1">
      <alignment horizontal="center" wrapText="1"/>
      <protection hidden="1"/>
    </xf>
    <xf numFmtId="3" fontId="0" fillId="16" borderId="0" xfId="0" applyNumberFormat="1" applyFill="1" applyAlignment="1" applyProtection="1">
      <alignment horizontal="center"/>
      <protection locked="0"/>
    </xf>
    <xf numFmtId="3" fontId="0" fillId="16" borderId="1" xfId="0" applyNumberFormat="1" applyFill="1" applyBorder="1" applyAlignment="1" applyProtection="1">
      <alignment horizontal="center"/>
      <protection locked="0"/>
    </xf>
    <xf numFmtId="0" fontId="142" fillId="16" borderId="0" xfId="0" quotePrefix="1" applyFont="1" applyFill="1" applyAlignment="1" applyProtection="1">
      <alignment horizontal="center"/>
      <protection hidden="1"/>
    </xf>
    <xf numFmtId="0" fontId="10" fillId="16" borderId="3" xfId="0" applyFont="1" applyFill="1" applyBorder="1" applyAlignment="1" applyProtection="1">
      <alignment horizontal="center" vertical="center" wrapText="1"/>
      <protection hidden="1"/>
    </xf>
    <xf numFmtId="0" fontId="10" fillId="16" borderId="0" xfId="0" applyFont="1" applyFill="1" applyAlignment="1" applyProtection="1">
      <alignment horizontal="center" vertical="center" wrapText="1"/>
      <protection hidden="1"/>
    </xf>
    <xf numFmtId="5" fontId="7" fillId="16" borderId="0" xfId="0" applyNumberFormat="1" applyFont="1" applyFill="1" applyAlignment="1" applyProtection="1">
      <alignment horizontal="center"/>
      <protection hidden="1"/>
    </xf>
    <xf numFmtId="37" fontId="53" fillId="28" borderId="1" xfId="0" applyNumberFormat="1" applyFont="1" applyFill="1" applyBorder="1" applyAlignment="1" applyProtection="1">
      <alignment horizontal="center"/>
      <protection hidden="1"/>
    </xf>
    <xf numFmtId="37" fontId="135" fillId="16" borderId="0" xfId="0" applyNumberFormat="1" applyFont="1" applyFill="1" applyAlignment="1" applyProtection="1">
      <alignment horizontal="center" vertical="center"/>
      <protection hidden="1"/>
    </xf>
    <xf numFmtId="0" fontId="5" fillId="16" borderId="31" xfId="0" applyFont="1" applyFill="1" applyBorder="1" applyAlignment="1" applyProtection="1">
      <alignment horizontal="center" vertical="center"/>
      <protection hidden="1"/>
    </xf>
    <xf numFmtId="0" fontId="5" fillId="16" borderId="9" xfId="0" applyFont="1" applyFill="1" applyBorder="1" applyAlignment="1" applyProtection="1">
      <alignment horizontal="center" vertical="center"/>
      <protection hidden="1"/>
    </xf>
    <xf numFmtId="0" fontId="129" fillId="16" borderId="15" xfId="0" applyFont="1" applyFill="1" applyBorder="1" applyAlignment="1" applyProtection="1">
      <alignment horizontal="center" vertical="center"/>
      <protection hidden="1"/>
    </xf>
    <xf numFmtId="37" fontId="135" fillId="16" borderId="9" xfId="0" applyNumberFormat="1" applyFont="1" applyFill="1" applyBorder="1" applyAlignment="1" applyProtection="1">
      <alignment horizontal="center" vertical="center"/>
      <protection hidden="1"/>
    </xf>
    <xf numFmtId="0" fontId="129" fillId="16" borderId="5" xfId="0" applyFont="1" applyFill="1" applyBorder="1" applyAlignment="1" applyProtection="1">
      <alignment horizontal="center" vertical="center"/>
      <protection hidden="1"/>
    </xf>
    <xf numFmtId="0" fontId="129" fillId="16" borderId="71" xfId="0" applyFont="1" applyFill="1" applyBorder="1" applyAlignment="1" applyProtection="1">
      <alignment horizontal="center" vertical="center"/>
      <protection hidden="1"/>
    </xf>
    <xf numFmtId="0" fontId="5" fillId="16" borderId="6" xfId="0" applyFont="1" applyFill="1" applyBorder="1" applyAlignment="1" applyProtection="1">
      <alignment horizontal="center" vertical="top"/>
      <protection hidden="1"/>
    </xf>
    <xf numFmtId="0" fontId="0" fillId="0" borderId="0" xfId="0" applyAlignment="1" applyProtection="1">
      <alignment horizontal="center" vertical="top"/>
      <protection hidden="1"/>
    </xf>
    <xf numFmtId="0" fontId="0" fillId="0" borderId="21" xfId="0" applyBorder="1" applyAlignment="1" applyProtection="1">
      <alignment horizontal="center" vertical="top"/>
      <protection hidden="1"/>
    </xf>
    <xf numFmtId="173" fontId="18" fillId="21" borderId="40" xfId="0" applyNumberFormat="1" applyFont="1" applyFill="1" applyBorder="1" applyAlignment="1" applyProtection="1">
      <alignment horizontal="right"/>
      <protection locked="0"/>
    </xf>
    <xf numFmtId="173" fontId="18" fillId="21" borderId="26" xfId="0" applyNumberFormat="1" applyFont="1" applyFill="1" applyBorder="1" applyAlignment="1" applyProtection="1">
      <alignment horizontal="right"/>
      <protection locked="0"/>
    </xf>
    <xf numFmtId="0" fontId="0" fillId="16" borderId="27" xfId="0" applyFill="1" applyBorder="1" applyAlignment="1" applyProtection="1">
      <alignment horizontal="center"/>
      <protection hidden="1"/>
    </xf>
    <xf numFmtId="37" fontId="18" fillId="27" borderId="13" xfId="0" applyNumberFormat="1" applyFont="1" applyFill="1" applyBorder="1" applyAlignment="1" applyProtection="1">
      <alignment horizontal="right"/>
      <protection hidden="1"/>
    </xf>
    <xf numFmtId="37" fontId="18" fillId="28" borderId="13" xfId="0" applyNumberFormat="1" applyFont="1" applyFill="1" applyBorder="1" applyAlignment="1" applyProtection="1">
      <alignment horizontal="right"/>
      <protection hidden="1"/>
    </xf>
    <xf numFmtId="37" fontId="18" fillId="21" borderId="13" xfId="0" applyNumberFormat="1" applyFont="1" applyFill="1" applyBorder="1" applyAlignment="1" applyProtection="1">
      <alignment horizontal="right"/>
      <protection locked="0"/>
    </xf>
    <xf numFmtId="37" fontId="18" fillId="17" borderId="13" xfId="0" applyNumberFormat="1" applyFont="1" applyFill="1" applyBorder="1" applyAlignment="1" applyProtection="1">
      <alignment horizontal="right"/>
      <protection locked="0"/>
    </xf>
    <xf numFmtId="0" fontId="18" fillId="0" borderId="1" xfId="0" applyFont="1" applyBorder="1" applyAlignment="1" applyProtection="1">
      <alignment horizontal="right"/>
      <protection hidden="1"/>
    </xf>
    <xf numFmtId="39" fontId="18" fillId="29" borderId="70" xfId="0" applyNumberFormat="1" applyFont="1" applyFill="1" applyBorder="1" applyAlignment="1" applyProtection="1">
      <alignment horizontal="right"/>
      <protection hidden="1"/>
    </xf>
    <xf numFmtId="39" fontId="18" fillId="29" borderId="5" xfId="0" applyNumberFormat="1" applyFont="1" applyFill="1" applyBorder="1" applyAlignment="1" applyProtection="1">
      <alignment horizontal="right"/>
      <protection hidden="1"/>
    </xf>
    <xf numFmtId="0" fontId="95" fillId="16" borderId="0" xfId="0" applyFont="1" applyFill="1" applyAlignment="1" applyProtection="1">
      <alignment horizontal="center"/>
      <protection hidden="1"/>
    </xf>
    <xf numFmtId="0" fontId="95" fillId="16" borderId="21" xfId="0" applyFont="1" applyFill="1" applyBorder="1" applyAlignment="1" applyProtection="1">
      <alignment horizontal="center"/>
      <protection hidden="1"/>
    </xf>
    <xf numFmtId="0" fontId="18" fillId="17" borderId="1" xfId="0" applyFont="1" applyFill="1" applyBorder="1" applyAlignment="1" applyProtection="1">
      <alignment horizontal="right"/>
      <protection locked="0"/>
    </xf>
    <xf numFmtId="0" fontId="18" fillId="17" borderId="12" xfId="0" applyFont="1" applyFill="1" applyBorder="1" applyAlignment="1" applyProtection="1">
      <alignment horizontal="right"/>
      <protection locked="0"/>
    </xf>
    <xf numFmtId="0" fontId="5" fillId="16" borderId="22" xfId="0" applyFont="1" applyFill="1" applyBorder="1" applyAlignment="1" applyProtection="1">
      <alignment horizontal="center"/>
      <protection hidden="1"/>
    </xf>
    <xf numFmtId="0" fontId="5" fillId="0" borderId="5" xfId="0" applyFont="1" applyBorder="1" applyAlignment="1" applyProtection="1">
      <alignment horizontal="center"/>
      <protection hidden="1"/>
    </xf>
    <xf numFmtId="0" fontId="5" fillId="0" borderId="23" xfId="0" applyFont="1" applyBorder="1" applyAlignment="1" applyProtection="1">
      <alignment horizontal="center"/>
      <protection hidden="1"/>
    </xf>
    <xf numFmtId="37" fontId="8" fillId="15" borderId="40" xfId="0" applyNumberFormat="1" applyFont="1" applyFill="1" applyBorder="1" applyAlignment="1" applyProtection="1">
      <alignment horizontal="center"/>
      <protection hidden="1"/>
    </xf>
    <xf numFmtId="0" fontId="3" fillId="16" borderId="26" xfId="0" applyFont="1" applyFill="1" applyBorder="1" applyAlignment="1" applyProtection="1">
      <alignment horizontal="center"/>
      <protection hidden="1"/>
    </xf>
    <xf numFmtId="0" fontId="3" fillId="16" borderId="55" xfId="0" applyFont="1" applyFill="1" applyBorder="1" applyAlignment="1" applyProtection="1">
      <alignment horizontal="center"/>
      <protection hidden="1"/>
    </xf>
    <xf numFmtId="37" fontId="18" fillId="29" borderId="70" xfId="0" applyNumberFormat="1" applyFont="1" applyFill="1" applyBorder="1" applyAlignment="1" applyProtection="1">
      <alignment horizontal="right"/>
      <protection hidden="1"/>
    </xf>
    <xf numFmtId="37" fontId="18" fillId="29" borderId="5" xfId="0" applyNumberFormat="1" applyFont="1" applyFill="1" applyBorder="1" applyAlignment="1" applyProtection="1">
      <alignment horizontal="right"/>
      <protection hidden="1"/>
    </xf>
    <xf numFmtId="0" fontId="75" fillId="0" borderId="0" xfId="2" applyBorder="1" applyAlignment="1" applyProtection="1">
      <alignment horizontal="center" vertical="center"/>
    </xf>
    <xf numFmtId="39" fontId="18" fillId="27" borderId="40" xfId="0" applyNumberFormat="1" applyFont="1" applyFill="1" applyBorder="1" applyAlignment="1" applyProtection="1">
      <alignment horizontal="right"/>
      <protection hidden="1"/>
    </xf>
    <xf numFmtId="39" fontId="18" fillId="27" borderId="26" xfId="0" applyNumberFormat="1" applyFont="1" applyFill="1" applyBorder="1" applyAlignment="1" applyProtection="1">
      <alignment horizontal="right"/>
      <protection hidden="1"/>
    </xf>
    <xf numFmtId="37" fontId="18" fillId="21" borderId="70" xfId="0" applyNumberFormat="1" applyFont="1" applyFill="1" applyBorder="1" applyAlignment="1" applyProtection="1">
      <alignment horizontal="right"/>
      <protection locked="0"/>
    </xf>
    <xf numFmtId="0" fontId="18" fillId="17" borderId="5" xfId="0" applyFont="1" applyFill="1" applyBorder="1" applyAlignment="1" applyProtection="1">
      <alignment horizontal="right"/>
      <protection locked="0"/>
    </xf>
    <xf numFmtId="0" fontId="18" fillId="17" borderId="71" xfId="0" applyFont="1" applyFill="1" applyBorder="1" applyAlignment="1" applyProtection="1">
      <alignment horizontal="right"/>
      <protection locked="0"/>
    </xf>
    <xf numFmtId="37" fontId="194" fillId="15" borderId="9" xfId="0" applyNumberFormat="1" applyFont="1" applyFill="1" applyBorder="1" applyAlignment="1" applyProtection="1">
      <alignment horizontal="center"/>
      <protection hidden="1"/>
    </xf>
    <xf numFmtId="37" fontId="194" fillId="15" borderId="15" xfId="0" applyNumberFormat="1" applyFont="1" applyFill="1" applyBorder="1" applyAlignment="1" applyProtection="1">
      <alignment horizontal="center"/>
      <protection hidden="1"/>
    </xf>
    <xf numFmtId="177" fontId="18" fillId="27" borderId="48" xfId="0" applyNumberFormat="1" applyFont="1" applyFill="1" applyBorder="1" applyAlignment="1" applyProtection="1">
      <alignment horizontal="right"/>
      <protection hidden="1"/>
    </xf>
    <xf numFmtId="177" fontId="18" fillId="28" borderId="28" xfId="0" applyNumberFormat="1" applyFont="1" applyFill="1" applyBorder="1" applyAlignment="1" applyProtection="1">
      <alignment horizontal="right"/>
      <protection hidden="1"/>
    </xf>
    <xf numFmtId="177" fontId="18" fillId="28" borderId="218" xfId="0" applyNumberFormat="1" applyFont="1" applyFill="1" applyBorder="1" applyAlignment="1" applyProtection="1">
      <alignment horizontal="right"/>
      <protection hidden="1"/>
    </xf>
    <xf numFmtId="0" fontId="3" fillId="17" borderId="1" xfId="0" applyFont="1" applyFill="1" applyBorder="1" applyAlignment="1" applyProtection="1">
      <alignment horizontal="right"/>
      <protection locked="0"/>
    </xf>
    <xf numFmtId="37" fontId="145" fillId="16" borderId="3" xfId="0" applyNumberFormat="1" applyFont="1" applyFill="1" applyBorder="1" applyAlignment="1" applyProtection="1">
      <alignment horizontal="right"/>
      <protection hidden="1"/>
    </xf>
    <xf numFmtId="37" fontId="145" fillId="16" borderId="0" xfId="0" applyNumberFormat="1" applyFont="1" applyFill="1" applyAlignment="1" applyProtection="1">
      <alignment horizontal="right"/>
      <protection hidden="1"/>
    </xf>
    <xf numFmtId="37" fontId="18" fillId="29" borderId="0" xfId="0" applyNumberFormat="1" applyFont="1" applyFill="1" applyAlignment="1" applyProtection="1">
      <alignment horizontal="right"/>
      <protection hidden="1"/>
    </xf>
    <xf numFmtId="0" fontId="18" fillId="0" borderId="0" xfId="0" applyFont="1" applyAlignment="1" applyProtection="1">
      <alignment horizontal="right"/>
      <protection hidden="1"/>
    </xf>
    <xf numFmtId="0" fontId="253" fillId="32" borderId="28" xfId="0" applyFont="1" applyFill="1" applyBorder="1" applyAlignment="1" applyProtection="1">
      <alignment horizontal="center" vertical="center"/>
      <protection hidden="1"/>
    </xf>
    <xf numFmtId="37" fontId="18" fillId="29" borderId="14" xfId="0" applyNumberFormat="1" applyFont="1" applyFill="1" applyBorder="1" applyAlignment="1" applyProtection="1">
      <alignment horizontal="right"/>
      <protection hidden="1"/>
    </xf>
    <xf numFmtId="0" fontId="18" fillId="0" borderId="14" xfId="0" applyFont="1" applyBorder="1" applyAlignment="1" applyProtection="1">
      <alignment horizontal="right"/>
      <protection hidden="1"/>
    </xf>
    <xf numFmtId="0" fontId="12" fillId="17" borderId="1" xfId="0" applyFont="1" applyFill="1" applyBorder="1" applyAlignment="1" applyProtection="1">
      <alignment horizontal="left"/>
      <protection locked="0"/>
    </xf>
    <xf numFmtId="0" fontId="12" fillId="17" borderId="12" xfId="0" applyFont="1" applyFill="1" applyBorder="1" applyAlignment="1" applyProtection="1">
      <alignment horizontal="left"/>
      <protection locked="0"/>
    </xf>
    <xf numFmtId="0" fontId="18" fillId="26" borderId="1" xfId="0" applyFont="1" applyFill="1" applyBorder="1" applyAlignment="1" applyProtection="1">
      <alignment horizontal="right"/>
      <protection hidden="1"/>
    </xf>
    <xf numFmtId="196" fontId="18" fillId="29" borderId="1" xfId="0" applyNumberFormat="1" applyFont="1" applyFill="1" applyBorder="1" applyAlignment="1" applyProtection="1">
      <alignment horizontal="right"/>
      <protection hidden="1"/>
    </xf>
    <xf numFmtId="196" fontId="18" fillId="26" borderId="1" xfId="0" applyNumberFormat="1" applyFont="1" applyFill="1" applyBorder="1" applyAlignment="1" applyProtection="1">
      <alignment horizontal="right"/>
      <protection hidden="1"/>
    </xf>
    <xf numFmtId="37" fontId="18" fillId="27" borderId="0" xfId="0" applyNumberFormat="1" applyFont="1" applyFill="1" applyAlignment="1" applyProtection="1">
      <alignment horizontal="right"/>
      <protection hidden="1"/>
    </xf>
    <xf numFmtId="37" fontId="18" fillId="28" borderId="0" xfId="0" applyNumberFormat="1" applyFont="1" applyFill="1" applyAlignment="1" applyProtection="1">
      <alignment horizontal="right"/>
      <protection hidden="1"/>
    </xf>
    <xf numFmtId="37" fontId="18" fillId="28" borderId="5" xfId="0" applyNumberFormat="1" applyFont="1" applyFill="1" applyBorder="1" applyAlignment="1" applyProtection="1">
      <alignment horizontal="right"/>
      <protection hidden="1"/>
    </xf>
    <xf numFmtId="0" fontId="53" fillId="16" borderId="9" xfId="0" applyFont="1" applyFill="1" applyBorder="1" applyAlignment="1" applyProtection="1">
      <alignment horizontal="left" vertical="center" wrapText="1"/>
      <protection hidden="1"/>
    </xf>
    <xf numFmtId="0" fontId="53" fillId="16" borderId="0" xfId="0" applyFont="1" applyFill="1" applyAlignment="1" applyProtection="1">
      <alignment horizontal="left" vertical="center" wrapText="1"/>
      <protection hidden="1"/>
    </xf>
    <xf numFmtId="0" fontId="53" fillId="16" borderId="1" xfId="0" applyFont="1" applyFill="1" applyBorder="1" applyAlignment="1" applyProtection="1">
      <alignment horizontal="left" vertical="center" wrapText="1"/>
      <protection hidden="1"/>
    </xf>
    <xf numFmtId="37" fontId="18" fillId="0" borderId="5" xfId="0" applyNumberFormat="1" applyFont="1" applyBorder="1" applyAlignment="1" applyProtection="1">
      <alignment horizontal="right"/>
      <protection hidden="1"/>
    </xf>
    <xf numFmtId="37" fontId="129" fillId="16" borderId="3" xfId="0" applyNumberFormat="1" applyFont="1" applyFill="1" applyBorder="1" applyAlignment="1" applyProtection="1">
      <alignment horizontal="center"/>
      <protection hidden="1"/>
    </xf>
    <xf numFmtId="37" fontId="129" fillId="16" borderId="0" xfId="0" applyNumberFormat="1" applyFont="1" applyFill="1" applyAlignment="1" applyProtection="1">
      <alignment horizontal="center"/>
      <protection hidden="1"/>
    </xf>
    <xf numFmtId="39" fontId="39" fillId="16" borderId="24" xfId="0" applyNumberFormat="1" applyFont="1" applyFill="1" applyBorder="1" applyAlignment="1" applyProtection="1">
      <alignment horizontal="center"/>
      <protection hidden="1"/>
    </xf>
    <xf numFmtId="39" fontId="39" fillId="16" borderId="8" xfId="0" applyNumberFormat="1" applyFont="1" applyFill="1" applyBorder="1" applyAlignment="1" applyProtection="1">
      <alignment horizontal="center"/>
      <protection hidden="1"/>
    </xf>
    <xf numFmtId="39" fontId="39" fillId="16" borderId="20" xfId="0" applyNumberFormat="1" applyFont="1" applyFill="1" applyBorder="1" applyAlignment="1" applyProtection="1">
      <alignment horizontal="center"/>
      <protection hidden="1"/>
    </xf>
    <xf numFmtId="0" fontId="23" fillId="29" borderId="0" xfId="0" quotePrefix="1" applyFont="1" applyFill="1" applyAlignment="1" applyProtection="1">
      <alignment vertical="center"/>
      <protection hidden="1"/>
    </xf>
    <xf numFmtId="0" fontId="83" fillId="26" borderId="0" xfId="0" applyFont="1" applyFill="1" applyAlignment="1" applyProtection="1">
      <alignment vertical="center"/>
      <protection hidden="1"/>
    </xf>
    <xf numFmtId="0" fontId="83" fillId="0" borderId="0" xfId="0" applyFont="1" applyAlignment="1" applyProtection="1">
      <alignment vertical="center"/>
      <protection hidden="1"/>
    </xf>
    <xf numFmtId="0" fontId="83" fillId="0" borderId="0" xfId="0" applyFont="1" applyAlignment="1">
      <alignment vertical="center"/>
    </xf>
    <xf numFmtId="0" fontId="83" fillId="0" borderId="25" xfId="0" applyFont="1" applyBorder="1" applyAlignment="1">
      <alignment vertical="center"/>
    </xf>
    <xf numFmtId="0" fontId="83" fillId="0" borderId="1" xfId="0" applyFont="1" applyBorder="1" applyAlignment="1" applyProtection="1">
      <alignment vertical="center"/>
      <protection hidden="1"/>
    </xf>
    <xf numFmtId="0" fontId="83" fillId="0" borderId="1" xfId="0" applyFont="1" applyBorder="1" applyAlignment="1">
      <alignment vertical="center"/>
    </xf>
    <xf numFmtId="0" fontId="83" fillId="0" borderId="12" xfId="0" applyFont="1" applyBorder="1" applyAlignment="1">
      <alignment vertical="center"/>
    </xf>
    <xf numFmtId="166" fontId="23" fillId="29" borderId="3" xfId="0" quotePrefix="1" applyNumberFormat="1" applyFont="1" applyFill="1" applyBorder="1" applyAlignment="1" applyProtection="1">
      <alignment horizontal="center" vertical="center"/>
      <protection hidden="1"/>
    </xf>
    <xf numFmtId="0" fontId="83" fillId="0" borderId="0" xfId="0" applyFont="1" applyAlignment="1">
      <alignment horizontal="center" vertical="center"/>
    </xf>
    <xf numFmtId="0" fontId="83" fillId="0" borderId="10" xfId="0" applyFont="1" applyBorder="1" applyAlignment="1">
      <alignment horizontal="center" vertical="center"/>
    </xf>
    <xf numFmtId="0" fontId="83" fillId="0" borderId="1" xfId="0" applyFont="1" applyBorder="1" applyAlignment="1">
      <alignment horizontal="center" vertical="center"/>
    </xf>
    <xf numFmtId="0" fontId="3" fillId="16" borderId="0" xfId="0" applyFont="1" applyFill="1" applyAlignment="1" applyProtection="1">
      <alignment horizontal="center" textRotation="90"/>
      <protection hidden="1"/>
    </xf>
    <xf numFmtId="0" fontId="0" fillId="0" borderId="6" xfId="0" applyBorder="1" applyAlignment="1">
      <alignment horizontal="center"/>
    </xf>
    <xf numFmtId="37" fontId="0" fillId="16" borderId="3" xfId="0" applyNumberFormat="1" applyFill="1" applyBorder="1" applyAlignment="1" applyProtection="1">
      <alignment horizontal="center"/>
      <protection hidden="1"/>
    </xf>
    <xf numFmtId="37" fontId="0" fillId="16" borderId="0" xfId="0" applyNumberFormat="1" applyFill="1" applyAlignment="1" applyProtection="1">
      <alignment horizontal="center"/>
      <protection hidden="1"/>
    </xf>
    <xf numFmtId="37" fontId="0" fillId="16" borderId="25" xfId="0" applyNumberFormat="1" applyFill="1" applyBorder="1" applyAlignment="1" applyProtection="1">
      <alignment horizontal="center"/>
      <protection hidden="1"/>
    </xf>
    <xf numFmtId="0" fontId="0" fillId="16" borderId="31" xfId="0" applyFill="1" applyBorder="1" applyAlignment="1" applyProtection="1">
      <alignment horizontal="center"/>
      <protection hidden="1"/>
    </xf>
    <xf numFmtId="0" fontId="0" fillId="16" borderId="9" xfId="0" applyFill="1" applyBorder="1" applyAlignment="1" applyProtection="1">
      <alignment horizontal="center"/>
      <protection hidden="1"/>
    </xf>
    <xf numFmtId="0" fontId="0" fillId="16" borderId="15" xfId="0" applyFill="1" applyBorder="1" applyAlignment="1" applyProtection="1">
      <alignment horizontal="center"/>
      <protection hidden="1"/>
    </xf>
    <xf numFmtId="0" fontId="3" fillId="16" borderId="203" xfId="0" applyFont="1" applyFill="1" applyBorder="1" applyAlignment="1" applyProtection="1">
      <alignment horizontal="center"/>
      <protection hidden="1"/>
    </xf>
    <xf numFmtId="0" fontId="0" fillId="0" borderId="35" xfId="0" applyBorder="1" applyAlignment="1">
      <alignment horizontal="center"/>
    </xf>
    <xf numFmtId="166" fontId="23" fillId="28" borderId="40" xfId="0" applyNumberFormat="1" applyFont="1" applyFill="1" applyBorder="1" applyAlignment="1" applyProtection="1">
      <alignment horizontal="center" vertical="center"/>
      <protection hidden="1"/>
    </xf>
    <xf numFmtId="166" fontId="23" fillId="28" borderId="26" xfId="0" applyNumberFormat="1" applyFont="1" applyFill="1" applyBorder="1" applyAlignment="1" applyProtection="1">
      <alignment horizontal="center" vertical="center"/>
      <protection hidden="1"/>
    </xf>
    <xf numFmtId="0" fontId="23" fillId="28" borderId="26" xfId="0" quotePrefix="1" applyFont="1" applyFill="1" applyBorder="1" applyAlignment="1" applyProtection="1">
      <alignment horizontal="left" vertical="center"/>
      <protection hidden="1"/>
    </xf>
    <xf numFmtId="0" fontId="83" fillId="28" borderId="26" xfId="0" applyFont="1" applyFill="1" applyBorder="1" applyAlignment="1" applyProtection="1">
      <alignment horizontal="left" vertical="center"/>
      <protection hidden="1"/>
    </xf>
    <xf numFmtId="0" fontId="83" fillId="28" borderId="55" xfId="0" applyFont="1" applyFill="1" applyBorder="1" applyAlignment="1" applyProtection="1">
      <alignment horizontal="left" vertical="center"/>
      <protection hidden="1"/>
    </xf>
    <xf numFmtId="0" fontId="143" fillId="32" borderId="28" xfId="0" applyFont="1" applyFill="1" applyBorder="1" applyAlignment="1" applyProtection="1">
      <alignment horizontal="center" vertical="center"/>
      <protection hidden="1"/>
    </xf>
    <xf numFmtId="0" fontId="53" fillId="16" borderId="15" xfId="0" applyFont="1" applyFill="1" applyBorder="1" applyAlignment="1" applyProtection="1">
      <alignment horizontal="left" vertical="center" wrapText="1"/>
      <protection hidden="1"/>
    </xf>
    <xf numFmtId="0" fontId="53" fillId="16" borderId="25" xfId="0" applyFont="1" applyFill="1" applyBorder="1" applyAlignment="1" applyProtection="1">
      <alignment horizontal="left" vertical="center" wrapText="1"/>
      <protection hidden="1"/>
    </xf>
    <xf numFmtId="0" fontId="23" fillId="17" borderId="1" xfId="0" applyFont="1" applyFill="1" applyBorder="1" applyAlignment="1" applyProtection="1">
      <alignment horizontal="left"/>
      <protection locked="0"/>
    </xf>
    <xf numFmtId="0" fontId="23" fillId="17" borderId="12" xfId="0" applyFont="1" applyFill="1" applyBorder="1" applyAlignment="1" applyProtection="1">
      <alignment horizontal="left"/>
      <protection locked="0"/>
    </xf>
    <xf numFmtId="49" fontId="50" fillId="17" borderId="0" xfId="0" applyNumberFormat="1" applyFont="1" applyFill="1" applyAlignment="1" applyProtection="1">
      <alignment horizontal="left"/>
      <protection locked="0"/>
    </xf>
    <xf numFmtId="49" fontId="50" fillId="17" borderId="25" xfId="0" applyNumberFormat="1" applyFont="1" applyFill="1" applyBorder="1" applyAlignment="1" applyProtection="1">
      <alignment horizontal="left"/>
      <protection locked="0"/>
    </xf>
    <xf numFmtId="49" fontId="50" fillId="17" borderId="1" xfId="0" applyNumberFormat="1" applyFont="1" applyFill="1" applyBorder="1" applyAlignment="1" applyProtection="1">
      <alignment horizontal="left"/>
      <protection locked="0"/>
    </xf>
    <xf numFmtId="49" fontId="50" fillId="17" borderId="12" xfId="0" applyNumberFormat="1" applyFont="1" applyFill="1" applyBorder="1" applyAlignment="1" applyProtection="1">
      <alignment horizontal="left"/>
      <protection locked="0"/>
    </xf>
    <xf numFmtId="166" fontId="23" fillId="17" borderId="1" xfId="0" applyNumberFormat="1" applyFont="1" applyFill="1" applyBorder="1" applyAlignment="1" applyProtection="1">
      <alignment horizontal="center"/>
      <protection locked="0"/>
    </xf>
    <xf numFmtId="0" fontId="23" fillId="17" borderId="10" xfId="0" applyFont="1" applyFill="1" applyBorder="1" applyAlignment="1" applyProtection="1">
      <alignment horizontal="left" indent="1"/>
      <protection locked="0"/>
    </xf>
    <xf numFmtId="0" fontId="23" fillId="17" borderId="1" xfId="0" applyFont="1" applyFill="1" applyBorder="1" applyAlignment="1" applyProtection="1">
      <alignment horizontal="left" indent="1"/>
      <protection locked="0"/>
    </xf>
    <xf numFmtId="37" fontId="18" fillId="27" borderId="1" xfId="0" applyNumberFormat="1" applyFont="1" applyFill="1" applyBorder="1" applyAlignment="1" applyProtection="1">
      <alignment horizontal="right"/>
      <protection hidden="1"/>
    </xf>
    <xf numFmtId="37" fontId="18" fillId="28" borderId="1" xfId="0" applyNumberFormat="1" applyFont="1" applyFill="1" applyBorder="1" applyAlignment="1" applyProtection="1">
      <alignment horizontal="right"/>
      <protection hidden="1"/>
    </xf>
    <xf numFmtId="0" fontId="184" fillId="16" borderId="0" xfId="0" applyFont="1" applyFill="1" applyAlignment="1" applyProtection="1">
      <alignment horizontal="left" vertical="center" wrapText="1"/>
      <protection hidden="1"/>
    </xf>
    <xf numFmtId="37" fontId="12" fillId="21" borderId="11" xfId="0" applyNumberFormat="1" applyFont="1" applyFill="1" applyBorder="1" applyAlignment="1" applyProtection="1">
      <alignment horizontal="right"/>
      <protection locked="0"/>
    </xf>
    <xf numFmtId="37" fontId="12" fillId="17" borderId="11" xfId="0" applyNumberFormat="1" applyFont="1" applyFill="1" applyBorder="1" applyAlignment="1" applyProtection="1">
      <alignment horizontal="right"/>
      <protection locked="0"/>
    </xf>
    <xf numFmtId="0" fontId="135" fillId="16" borderId="0" xfId="0" applyFont="1" applyFill="1" applyAlignment="1">
      <alignment horizontal="center" vertical="center"/>
    </xf>
    <xf numFmtId="0" fontId="135" fillId="16" borderId="5" xfId="0" applyFont="1" applyFill="1" applyBorder="1" applyAlignment="1">
      <alignment horizontal="center" vertical="center"/>
    </xf>
    <xf numFmtId="0" fontId="18" fillId="16" borderId="48" xfId="0" applyFont="1" applyFill="1" applyBorder="1" applyAlignment="1" applyProtection="1">
      <alignment horizontal="center" vertical="center"/>
      <protection hidden="1"/>
    </xf>
    <xf numFmtId="0" fontId="18" fillId="0" borderId="28" xfId="0" applyFont="1" applyBorder="1" applyAlignment="1">
      <alignment horizontal="center" vertical="center"/>
    </xf>
    <xf numFmtId="0" fontId="18" fillId="0" borderId="218" xfId="0" applyFont="1" applyBorder="1" applyAlignment="1">
      <alignment horizontal="center" vertical="center"/>
    </xf>
    <xf numFmtId="0" fontId="18" fillId="16" borderId="28" xfId="0" applyFont="1" applyFill="1" applyBorder="1" applyAlignment="1" applyProtection="1">
      <alignment horizontal="center" vertical="center"/>
      <protection hidden="1"/>
    </xf>
    <xf numFmtId="37" fontId="12" fillId="21" borderId="29" xfId="0" applyNumberFormat="1" applyFont="1" applyFill="1" applyBorder="1" applyAlignment="1" applyProtection="1">
      <alignment horizontal="right"/>
      <protection locked="0"/>
    </xf>
    <xf numFmtId="37" fontId="12" fillId="17" borderId="29" xfId="0" applyNumberFormat="1" applyFont="1" applyFill="1" applyBorder="1" applyAlignment="1" applyProtection="1">
      <alignment horizontal="right"/>
      <protection locked="0"/>
    </xf>
    <xf numFmtId="37" fontId="12" fillId="27" borderId="44" xfId="0" applyNumberFormat="1" applyFont="1" applyFill="1" applyBorder="1" applyAlignment="1" applyProtection="1">
      <alignment horizontal="right"/>
      <protection hidden="1"/>
    </xf>
    <xf numFmtId="37" fontId="12" fillId="28" borderId="44" xfId="0" applyNumberFormat="1" applyFont="1" applyFill="1" applyBorder="1" applyAlignment="1" applyProtection="1">
      <alignment horizontal="right"/>
      <protection hidden="1"/>
    </xf>
    <xf numFmtId="6" fontId="135" fillId="16" borderId="0" xfId="0" applyNumberFormat="1" applyFont="1" applyFill="1" applyAlignment="1">
      <alignment horizontal="center" vertical="center"/>
    </xf>
    <xf numFmtId="205" fontId="16" fillId="16" borderId="26" xfId="0" applyNumberFormat="1" applyFont="1" applyFill="1" applyBorder="1" applyAlignment="1" applyProtection="1">
      <alignment horizontal="center"/>
      <protection hidden="1"/>
    </xf>
    <xf numFmtId="205" fontId="16" fillId="16" borderId="55" xfId="0" applyNumberFormat="1" applyFont="1" applyFill="1" applyBorder="1" applyAlignment="1" applyProtection="1">
      <alignment horizontal="center"/>
      <protection hidden="1"/>
    </xf>
    <xf numFmtId="37" fontId="16" fillId="27" borderId="1" xfId="0" applyNumberFormat="1" applyFont="1" applyFill="1" applyBorder="1" applyAlignment="1" applyProtection="1">
      <alignment horizontal="left"/>
      <protection hidden="1"/>
    </xf>
    <xf numFmtId="0" fontId="23" fillId="16" borderId="6" xfId="0" applyFont="1" applyFill="1" applyBorder="1" applyAlignment="1" applyProtection="1">
      <alignment horizontal="center" vertical="center"/>
      <protection hidden="1"/>
    </xf>
    <xf numFmtId="0" fontId="23" fillId="16" borderId="0" xfId="0" applyFont="1" applyFill="1" applyAlignment="1" applyProtection="1">
      <alignment horizontal="center" vertical="center"/>
      <protection hidden="1"/>
    </xf>
    <xf numFmtId="0" fontId="23" fillId="16" borderId="21" xfId="0" applyFont="1" applyFill="1" applyBorder="1" applyAlignment="1" applyProtection="1">
      <alignment horizontal="center" vertical="center"/>
      <protection hidden="1"/>
    </xf>
    <xf numFmtId="37" fontId="12" fillId="28" borderId="48" xfId="0" applyNumberFormat="1" applyFont="1" applyFill="1" applyBorder="1" applyAlignment="1" applyProtection="1">
      <alignment horizontal="right"/>
      <protection hidden="1"/>
    </xf>
    <xf numFmtId="37" fontId="12" fillId="28" borderId="28" xfId="0" applyNumberFormat="1" applyFont="1" applyFill="1" applyBorder="1" applyAlignment="1" applyProtection="1">
      <alignment horizontal="right"/>
      <protection hidden="1"/>
    </xf>
    <xf numFmtId="37" fontId="12" fillId="28" borderId="218" xfId="0" applyNumberFormat="1" applyFont="1" applyFill="1" applyBorder="1" applyAlignment="1" applyProtection="1">
      <alignment horizontal="right"/>
      <protection hidden="1"/>
    </xf>
    <xf numFmtId="37" fontId="12" fillId="28" borderId="53" xfId="0" applyNumberFormat="1" applyFont="1" applyFill="1" applyBorder="1" applyAlignment="1" applyProtection="1">
      <alignment horizontal="right"/>
      <protection hidden="1"/>
    </xf>
    <xf numFmtId="37" fontId="12" fillId="28" borderId="32" xfId="0" applyNumberFormat="1" applyFont="1" applyFill="1" applyBorder="1" applyAlignment="1" applyProtection="1">
      <alignment horizontal="right"/>
      <protection hidden="1"/>
    </xf>
    <xf numFmtId="37" fontId="12" fillId="28" borderId="74" xfId="0" applyNumberFormat="1" applyFont="1" applyFill="1" applyBorder="1" applyAlignment="1" applyProtection="1">
      <alignment horizontal="right"/>
      <protection hidden="1"/>
    </xf>
    <xf numFmtId="37" fontId="18" fillId="27" borderId="11" xfId="0" applyNumberFormat="1" applyFont="1" applyFill="1" applyBorder="1" applyAlignment="1" applyProtection="1">
      <alignment horizontal="right"/>
      <protection hidden="1"/>
    </xf>
    <xf numFmtId="0" fontId="18" fillId="28" borderId="11" xfId="0" applyFont="1" applyFill="1" applyBorder="1" applyAlignment="1" applyProtection="1">
      <alignment horizontal="right"/>
      <protection hidden="1"/>
    </xf>
    <xf numFmtId="0" fontId="18" fillId="28" borderId="10" xfId="0" applyFont="1" applyFill="1" applyBorder="1" applyAlignment="1" applyProtection="1">
      <alignment horizontal="right"/>
      <protection hidden="1"/>
    </xf>
    <xf numFmtId="37" fontId="18" fillId="27" borderId="44" xfId="0" applyNumberFormat="1" applyFont="1" applyFill="1" applyBorder="1" applyAlignment="1" applyProtection="1">
      <alignment horizontal="right"/>
      <protection hidden="1"/>
    </xf>
    <xf numFmtId="0" fontId="18" fillId="28" borderId="44" xfId="0" applyFont="1" applyFill="1" applyBorder="1" applyAlignment="1" applyProtection="1">
      <alignment horizontal="right"/>
      <protection hidden="1"/>
    </xf>
    <xf numFmtId="0" fontId="18" fillId="28" borderId="48" xfId="0" applyFont="1" applyFill="1" applyBorder="1" applyAlignment="1" applyProtection="1">
      <alignment horizontal="right"/>
      <protection hidden="1"/>
    </xf>
    <xf numFmtId="0" fontId="53" fillId="16" borderId="31" xfId="0" applyFont="1" applyFill="1" applyBorder="1" applyAlignment="1" applyProtection="1">
      <alignment horizontal="center" vertical="center" wrapText="1"/>
      <protection hidden="1"/>
    </xf>
    <xf numFmtId="0" fontId="53" fillId="16" borderId="9" xfId="0" applyFont="1" applyFill="1" applyBorder="1" applyAlignment="1" applyProtection="1">
      <alignment horizontal="center" vertical="center" wrapText="1"/>
      <protection hidden="1"/>
    </xf>
    <xf numFmtId="0" fontId="53" fillId="16" borderId="15" xfId="0" applyFont="1" applyFill="1" applyBorder="1" applyAlignment="1" applyProtection="1">
      <alignment horizontal="center" vertical="center" wrapText="1"/>
      <protection hidden="1"/>
    </xf>
    <xf numFmtId="0" fontId="53" fillId="16" borderId="3" xfId="0" applyFont="1" applyFill="1" applyBorder="1" applyAlignment="1" applyProtection="1">
      <alignment horizontal="center" vertical="center" wrapText="1"/>
      <protection hidden="1"/>
    </xf>
    <xf numFmtId="0" fontId="53" fillId="16" borderId="0" xfId="0" applyFont="1" applyFill="1" applyAlignment="1" applyProtection="1">
      <alignment horizontal="center" vertical="center" wrapText="1"/>
      <protection hidden="1"/>
    </xf>
    <xf numFmtId="0" fontId="53" fillId="16" borderId="25" xfId="0" applyFont="1" applyFill="1" applyBorder="1" applyAlignment="1" applyProtection="1">
      <alignment horizontal="center" vertical="center" wrapText="1"/>
      <protection hidden="1"/>
    </xf>
    <xf numFmtId="0" fontId="53" fillId="16" borderId="10" xfId="0" applyFont="1" applyFill="1" applyBorder="1" applyAlignment="1" applyProtection="1">
      <alignment horizontal="center" vertical="center" wrapText="1"/>
      <protection hidden="1"/>
    </xf>
    <xf numFmtId="0" fontId="53" fillId="16" borderId="1" xfId="0" applyFont="1" applyFill="1" applyBorder="1" applyAlignment="1" applyProtection="1">
      <alignment horizontal="center" vertical="center" wrapText="1"/>
      <protection hidden="1"/>
    </xf>
    <xf numFmtId="0" fontId="53" fillId="16" borderId="12" xfId="0" applyFont="1" applyFill="1" applyBorder="1" applyAlignment="1" applyProtection="1">
      <alignment horizontal="center" vertical="center" wrapText="1"/>
      <protection hidden="1"/>
    </xf>
    <xf numFmtId="205" fontId="16" fillId="16" borderId="9" xfId="0" applyNumberFormat="1" applyFont="1" applyFill="1" applyBorder="1" applyAlignment="1" applyProtection="1">
      <alignment horizontal="center"/>
      <protection hidden="1"/>
    </xf>
    <xf numFmtId="205" fontId="16" fillId="16" borderId="15" xfId="0" applyNumberFormat="1" applyFont="1" applyFill="1" applyBorder="1" applyAlignment="1" applyProtection="1">
      <alignment horizontal="center"/>
      <protection hidden="1"/>
    </xf>
    <xf numFmtId="0" fontId="16" fillId="16" borderId="9" xfId="0" applyFont="1" applyFill="1" applyBorder="1" applyAlignment="1" applyProtection="1">
      <alignment horizontal="center"/>
      <protection hidden="1"/>
    </xf>
    <xf numFmtId="0" fontId="129" fillId="16" borderId="8" xfId="0" applyFont="1" applyFill="1" applyBorder="1" applyAlignment="1" applyProtection="1">
      <alignment horizontal="center"/>
      <protection hidden="1"/>
    </xf>
    <xf numFmtId="0" fontId="129" fillId="16" borderId="37" xfId="0" applyFont="1" applyFill="1" applyBorder="1" applyAlignment="1" applyProtection="1">
      <alignment horizontal="center"/>
      <protection hidden="1"/>
    </xf>
    <xf numFmtId="205" fontId="16" fillId="16" borderId="31" xfId="0" applyNumberFormat="1" applyFont="1" applyFill="1" applyBorder="1" applyAlignment="1" applyProtection="1">
      <alignment horizontal="center"/>
      <protection hidden="1"/>
    </xf>
    <xf numFmtId="6" fontId="16" fillId="16" borderId="40" xfId="0" quotePrefix="1" applyNumberFormat="1" applyFont="1" applyFill="1" applyBorder="1" applyAlignment="1">
      <alignment horizontal="center"/>
    </xf>
    <xf numFmtId="0" fontId="16" fillId="16" borderId="26" xfId="0" applyFont="1" applyFill="1" applyBorder="1" applyAlignment="1">
      <alignment horizontal="center"/>
    </xf>
    <xf numFmtId="0" fontId="16" fillId="16" borderId="55" xfId="0" applyFont="1" applyFill="1" applyBorder="1" applyAlignment="1">
      <alignment horizontal="center"/>
    </xf>
    <xf numFmtId="0" fontId="16" fillId="16" borderId="40" xfId="0" quotePrefix="1" applyFont="1" applyFill="1" applyBorder="1" applyAlignment="1">
      <alignment horizontal="center"/>
    </xf>
    <xf numFmtId="205" fontId="16" fillId="16" borderId="40" xfId="0" applyNumberFormat="1" applyFont="1" applyFill="1" applyBorder="1" applyAlignment="1" applyProtection="1">
      <alignment horizontal="center"/>
      <protection hidden="1"/>
    </xf>
    <xf numFmtId="0" fontId="18" fillId="16" borderId="12" xfId="0" applyFont="1" applyFill="1" applyBorder="1" applyAlignment="1" applyProtection="1">
      <alignment horizontal="center"/>
      <protection hidden="1"/>
    </xf>
    <xf numFmtId="0" fontId="16" fillId="16" borderId="31" xfId="0" applyFont="1" applyFill="1" applyBorder="1" applyAlignment="1">
      <alignment horizontal="center" vertical="center" wrapText="1"/>
    </xf>
    <xf numFmtId="0" fontId="16" fillId="16" borderId="31" xfId="0" quotePrefix="1" applyFont="1" applyFill="1" applyBorder="1" applyAlignment="1">
      <alignment horizontal="center"/>
    </xf>
    <xf numFmtId="0" fontId="16" fillId="16" borderId="9" xfId="0" applyFont="1" applyFill="1" applyBorder="1" applyAlignment="1">
      <alignment horizontal="center"/>
    </xf>
    <xf numFmtId="0" fontId="16" fillId="16" borderId="15" xfId="0" applyFont="1" applyFill="1" applyBorder="1" applyAlignment="1">
      <alignment horizontal="center"/>
    </xf>
    <xf numFmtId="6" fontId="16" fillId="16" borderId="31" xfId="0" applyNumberFormat="1" applyFont="1" applyFill="1" applyBorder="1" applyAlignment="1" applyProtection="1">
      <alignment horizontal="center"/>
      <protection hidden="1"/>
    </xf>
    <xf numFmtId="0" fontId="16" fillId="16" borderId="15" xfId="0" applyFont="1" applyFill="1" applyBorder="1" applyAlignment="1" applyProtection="1">
      <alignment horizontal="center"/>
      <protection hidden="1"/>
    </xf>
    <xf numFmtId="6" fontId="16" fillId="16" borderId="31" xfId="0" quotePrefix="1" applyNumberFormat="1" applyFont="1" applyFill="1" applyBorder="1" applyAlignment="1">
      <alignment horizontal="center"/>
    </xf>
    <xf numFmtId="0" fontId="154" fillId="16" borderId="0" xfId="0" applyFont="1" applyFill="1" applyAlignment="1" applyProtection="1">
      <alignment horizontal="center"/>
      <protection hidden="1"/>
    </xf>
    <xf numFmtId="0" fontId="16" fillId="16" borderId="0" xfId="0" applyFont="1" applyFill="1" applyAlignment="1">
      <alignment horizontal="center"/>
    </xf>
    <xf numFmtId="0" fontId="12" fillId="16" borderId="40" xfId="0" applyFont="1" applyFill="1" applyBorder="1" applyAlignment="1">
      <alignment horizontal="center"/>
    </xf>
    <xf numFmtId="0" fontId="12" fillId="16" borderId="26" xfId="0" applyFont="1" applyFill="1" applyBorder="1" applyAlignment="1">
      <alignment horizontal="center"/>
    </xf>
    <xf numFmtId="0" fontId="12" fillId="16" borderId="55" xfId="0" applyFont="1" applyFill="1" applyBorder="1" applyAlignment="1">
      <alignment horizontal="center"/>
    </xf>
    <xf numFmtId="0" fontId="12" fillId="16" borderId="55" xfId="0" applyFont="1" applyFill="1" applyBorder="1" applyAlignment="1" applyProtection="1">
      <alignment horizontal="center"/>
      <protection hidden="1"/>
    </xf>
    <xf numFmtId="205" fontId="129" fillId="16" borderId="1" xfId="0" applyNumberFormat="1" applyFont="1" applyFill="1" applyBorder="1" applyAlignment="1" applyProtection="1">
      <alignment horizontal="center"/>
      <protection hidden="1"/>
    </xf>
    <xf numFmtId="0" fontId="135" fillId="16" borderId="25" xfId="0" applyFont="1" applyFill="1" applyBorder="1" applyAlignment="1">
      <alignment horizontal="center" vertical="center"/>
    </xf>
    <xf numFmtId="37" fontId="129" fillId="16" borderId="25" xfId="0" applyNumberFormat="1" applyFont="1" applyFill="1" applyBorder="1" applyAlignment="1" applyProtection="1">
      <alignment horizontal="center"/>
      <protection hidden="1"/>
    </xf>
    <xf numFmtId="0" fontId="3" fillId="2" borderId="0" xfId="0" applyFont="1" applyFill="1" applyAlignment="1" applyProtection="1">
      <alignment horizontal="left" wrapText="1"/>
      <protection hidden="1"/>
    </xf>
    <xf numFmtId="4" fontId="13" fillId="16" borderId="108" xfId="0" applyNumberFormat="1" applyFont="1" applyFill="1" applyBorder="1" applyAlignment="1" applyProtection="1">
      <alignment horizontal="center" wrapText="1"/>
      <protection hidden="1"/>
    </xf>
    <xf numFmtId="4" fontId="13" fillId="16" borderId="28" xfId="0" applyNumberFormat="1" applyFont="1" applyFill="1" applyBorder="1" applyAlignment="1" applyProtection="1">
      <alignment horizontal="center" wrapText="1"/>
      <protection hidden="1"/>
    </xf>
    <xf numFmtId="4" fontId="13" fillId="16" borderId="109" xfId="0" applyNumberFormat="1" applyFont="1" applyFill="1" applyBorder="1" applyAlignment="1" applyProtection="1">
      <alignment horizontal="center" wrapText="1"/>
      <protection hidden="1"/>
    </xf>
    <xf numFmtId="0" fontId="13" fillId="0" borderId="0" xfId="0" applyFont="1" applyAlignment="1" applyProtection="1">
      <alignment horizontal="center"/>
      <protection hidden="1"/>
    </xf>
    <xf numFmtId="1" fontId="13" fillId="3" borderId="0" xfId="0" applyNumberFormat="1" applyFont="1" applyFill="1" applyAlignment="1" applyProtection="1">
      <alignment horizontal="center"/>
      <protection hidden="1"/>
    </xf>
    <xf numFmtId="0" fontId="73" fillId="5" borderId="0" xfId="0" applyFont="1" applyFill="1" applyAlignment="1" applyProtection="1">
      <alignment horizontal="center" vertical="center" wrapText="1"/>
      <protection hidden="1"/>
    </xf>
    <xf numFmtId="0" fontId="3" fillId="0" borderId="0" xfId="0" applyFont="1" applyAlignment="1">
      <alignment horizontal="center" vertical="center" wrapText="1"/>
    </xf>
    <xf numFmtId="0" fontId="234" fillId="5" borderId="0" xfId="0" applyFont="1" applyFill="1" applyAlignment="1" applyProtection="1">
      <alignment horizontal="center" vertical="center" wrapText="1"/>
      <protection hidden="1"/>
    </xf>
    <xf numFmtId="4" fontId="8" fillId="16" borderId="108" xfId="0" applyNumberFormat="1" applyFont="1" applyFill="1" applyBorder="1" applyAlignment="1" applyProtection="1">
      <alignment horizontal="center" wrapText="1"/>
      <protection hidden="1"/>
    </xf>
    <xf numFmtId="4" fontId="8" fillId="16" borderId="28" xfId="0" applyNumberFormat="1" applyFont="1" applyFill="1" applyBorder="1" applyAlignment="1" applyProtection="1">
      <alignment horizontal="center" wrapText="1"/>
      <protection hidden="1"/>
    </xf>
    <xf numFmtId="4" fontId="8" fillId="16" borderId="109" xfId="0" applyNumberFormat="1" applyFont="1" applyFill="1" applyBorder="1" applyAlignment="1" applyProtection="1">
      <alignment horizontal="center" wrapText="1"/>
      <protection hidden="1"/>
    </xf>
    <xf numFmtId="0" fontId="13" fillId="16" borderId="6" xfId="0" applyFont="1" applyFill="1" applyBorder="1" applyAlignment="1" applyProtection="1">
      <alignment horizontal="right" indent="1"/>
      <protection hidden="1"/>
    </xf>
    <xf numFmtId="0" fontId="13" fillId="16" borderId="0" xfId="0" applyFont="1" applyFill="1" applyAlignment="1" applyProtection="1">
      <alignment horizontal="right" indent="1"/>
      <protection hidden="1"/>
    </xf>
    <xf numFmtId="0" fontId="3" fillId="16" borderId="0" xfId="0" applyFont="1" applyFill="1" applyAlignment="1" applyProtection="1">
      <alignment horizontal="right" indent="1"/>
      <protection hidden="1"/>
    </xf>
    <xf numFmtId="0" fontId="13" fillId="16" borderId="9" xfId="0" applyFont="1" applyFill="1" applyBorder="1" applyAlignment="1" applyProtection="1">
      <alignment horizontal="left" textRotation="90"/>
      <protection hidden="1"/>
    </xf>
    <xf numFmtId="0" fontId="3" fillId="16" borderId="0" xfId="0" applyFont="1" applyFill="1" applyAlignment="1" applyProtection="1">
      <alignment textRotation="90"/>
      <protection hidden="1"/>
    </xf>
    <xf numFmtId="0" fontId="168" fillId="16" borderId="22" xfId="0" applyFont="1" applyFill="1" applyBorder="1" applyAlignment="1" applyProtection="1">
      <alignment horizontal="center" wrapText="1"/>
      <protection hidden="1"/>
    </xf>
    <xf numFmtId="0" fontId="168" fillId="16" borderId="5" xfId="0" applyFont="1" applyFill="1" applyBorder="1" applyAlignment="1" applyProtection="1">
      <alignment horizontal="center" wrapText="1"/>
      <protection hidden="1"/>
    </xf>
    <xf numFmtId="0" fontId="168" fillId="0" borderId="5" xfId="0" applyFont="1" applyBorder="1" applyAlignment="1">
      <alignment horizontal="center" wrapText="1"/>
    </xf>
    <xf numFmtId="0" fontId="168" fillId="0" borderId="23" xfId="0" applyFont="1" applyBorder="1" applyAlignment="1">
      <alignment horizontal="center" wrapText="1"/>
    </xf>
    <xf numFmtId="0" fontId="232" fillId="16" borderId="8" xfId="0" applyFont="1" applyFill="1" applyBorder="1" applyAlignment="1">
      <alignment horizontal="center"/>
    </xf>
    <xf numFmtId="0" fontId="13" fillId="0" borderId="1" xfId="0" applyFont="1" applyBorder="1" applyAlignment="1" applyProtection="1">
      <alignment horizontal="center"/>
      <protection hidden="1"/>
    </xf>
    <xf numFmtId="0" fontId="10" fillId="3" borderId="5" xfId="0" applyFont="1" applyFill="1" applyBorder="1" applyAlignment="1" applyProtection="1">
      <alignment horizontal="left" vertical="top"/>
      <protection hidden="1"/>
    </xf>
    <xf numFmtId="0" fontId="0" fillId="0" borderId="5" xfId="0" applyBorder="1" applyAlignment="1" applyProtection="1">
      <alignment horizontal="left" vertical="top"/>
      <protection hidden="1"/>
    </xf>
    <xf numFmtId="0" fontId="0" fillId="0" borderId="23" xfId="0" applyBorder="1" applyAlignment="1">
      <alignment horizontal="left" vertical="top"/>
    </xf>
    <xf numFmtId="0" fontId="13" fillId="3" borderId="22" xfId="0" applyFont="1" applyFill="1" applyBorder="1" applyAlignment="1" applyProtection="1">
      <alignment horizontal="center" vertical="center"/>
      <protection hidden="1"/>
    </xf>
    <xf numFmtId="0" fontId="10" fillId="0" borderId="5" xfId="0" applyFont="1" applyBorder="1" applyAlignment="1" applyProtection="1">
      <alignment horizontal="center" vertical="center"/>
      <protection hidden="1"/>
    </xf>
    <xf numFmtId="0" fontId="10" fillId="0" borderId="23" xfId="0" applyFont="1" applyBorder="1" applyAlignment="1" applyProtection="1">
      <alignment horizontal="center" vertical="center"/>
      <protection hidden="1"/>
    </xf>
    <xf numFmtId="4" fontId="10" fillId="3" borderId="22" xfId="0" applyNumberFormat="1" applyFont="1" applyFill="1" applyBorder="1" applyAlignment="1" applyProtection="1">
      <alignment horizontal="center" vertical="center"/>
      <protection hidden="1"/>
    </xf>
    <xf numFmtId="0" fontId="0" fillId="0" borderId="5" xfId="0" applyBorder="1" applyAlignment="1" applyProtection="1">
      <alignment horizontal="center" vertical="center"/>
      <protection hidden="1"/>
    </xf>
    <xf numFmtId="4" fontId="19" fillId="3" borderId="57" xfId="0" applyNumberFormat="1" applyFont="1" applyFill="1" applyBorder="1" applyAlignment="1" applyProtection="1">
      <alignment vertical="center" wrapText="1"/>
      <protection hidden="1"/>
    </xf>
    <xf numFmtId="0" fontId="19" fillId="0" borderId="8" xfId="0" applyFont="1" applyBorder="1" applyAlignment="1">
      <alignment vertical="center" wrapText="1"/>
    </xf>
    <xf numFmtId="0" fontId="19" fillId="0" borderId="10" xfId="0" applyFont="1" applyBorder="1" applyAlignment="1">
      <alignment vertical="center" wrapText="1"/>
    </xf>
    <xf numFmtId="0" fontId="19" fillId="0" borderId="1" xfId="0" applyFont="1" applyBorder="1" applyAlignment="1">
      <alignment vertical="center" wrapText="1"/>
    </xf>
    <xf numFmtId="166" fontId="12" fillId="29" borderId="8" xfId="0" applyNumberFormat="1" applyFont="1" applyFill="1" applyBorder="1" applyAlignment="1" applyProtection="1">
      <alignment horizontal="center"/>
      <protection hidden="1"/>
    </xf>
    <xf numFmtId="0" fontId="0" fillId="0" borderId="8" xfId="0" applyBorder="1"/>
    <xf numFmtId="0" fontId="5" fillId="3" borderId="1" xfId="0" applyFont="1" applyFill="1" applyBorder="1" applyAlignment="1" applyProtection="1">
      <alignment horizontal="left" wrapText="1" indent="1"/>
      <protection hidden="1"/>
    </xf>
    <xf numFmtId="0" fontId="5" fillId="0" borderId="1" xfId="0" applyFont="1" applyBorder="1" applyAlignment="1" applyProtection="1">
      <alignment horizontal="left" wrapText="1" indent="1"/>
      <protection hidden="1"/>
    </xf>
    <xf numFmtId="0" fontId="5" fillId="3" borderId="9" xfId="0" applyFont="1" applyFill="1" applyBorder="1" applyAlignment="1" applyProtection="1">
      <alignment horizontal="left" wrapText="1" indent="1"/>
      <protection hidden="1"/>
    </xf>
    <xf numFmtId="0" fontId="5" fillId="0" borderId="9" xfId="0" applyFont="1" applyBorder="1" applyAlignment="1" applyProtection="1">
      <alignment horizontal="left" wrapText="1" indent="1"/>
      <protection hidden="1"/>
    </xf>
    <xf numFmtId="0" fontId="7" fillId="15" borderId="0" xfId="0" applyFont="1" applyFill="1" applyAlignment="1" applyProtection="1">
      <alignment horizontal="left"/>
      <protection hidden="1"/>
    </xf>
    <xf numFmtId="0" fontId="5" fillId="3" borderId="9" xfId="0" applyFont="1" applyFill="1" applyBorder="1" applyAlignment="1" applyProtection="1">
      <alignment horizontal="left" vertical="center" wrapText="1" indent="1"/>
      <protection hidden="1"/>
    </xf>
    <xf numFmtId="0" fontId="5" fillId="0" borderId="9" xfId="0" applyFont="1" applyBorder="1" applyAlignment="1" applyProtection="1">
      <alignment horizontal="left" vertical="center" wrapText="1" indent="1"/>
      <protection hidden="1"/>
    </xf>
    <xf numFmtId="0" fontId="53" fillId="3" borderId="9" xfId="0" applyFont="1" applyFill="1" applyBorder="1" applyAlignment="1" applyProtection="1">
      <alignment horizontal="left" wrapText="1" indent="1"/>
      <protection hidden="1"/>
    </xf>
    <xf numFmtId="0" fontId="53" fillId="0" borderId="9" xfId="0" applyFont="1" applyBorder="1" applyAlignment="1" applyProtection="1">
      <alignment horizontal="left" wrapText="1" indent="1"/>
      <protection hidden="1"/>
    </xf>
    <xf numFmtId="0" fontId="0" fillId="0" borderId="21" xfId="0" applyBorder="1" applyAlignment="1">
      <alignment horizontal="left"/>
    </xf>
    <xf numFmtId="0" fontId="7" fillId="0" borderId="0" xfId="0" applyFont="1" applyAlignment="1" applyProtection="1">
      <alignment horizontal="center" vertical="center"/>
      <protection hidden="1"/>
    </xf>
    <xf numFmtId="0" fontId="7" fillId="0" borderId="21" xfId="0" applyFont="1" applyBorder="1" applyAlignment="1" applyProtection="1">
      <alignment horizontal="center" vertical="center"/>
      <protection hidden="1"/>
    </xf>
    <xf numFmtId="0" fontId="7" fillId="3" borderId="0" xfId="0" applyFont="1" applyFill="1" applyAlignment="1" applyProtection="1">
      <alignment horizontal="center" vertical="center"/>
      <protection hidden="1"/>
    </xf>
    <xf numFmtId="0" fontId="65" fillId="3" borderId="0" xfId="0" applyFont="1" applyFill="1" applyAlignment="1" applyProtection="1">
      <alignment horizontal="left" vertical="center"/>
      <protection hidden="1"/>
    </xf>
    <xf numFmtId="0" fontId="103" fillId="0" borderId="21" xfId="0" applyFont="1" applyBorder="1" applyAlignment="1">
      <alignment horizontal="left" vertical="center"/>
    </xf>
    <xf numFmtId="0" fontId="103" fillId="0" borderId="0" xfId="0" applyFont="1" applyAlignment="1">
      <alignment vertical="center"/>
    </xf>
    <xf numFmtId="0" fontId="103" fillId="0" borderId="21" xfId="0" applyFont="1" applyBorder="1" applyAlignment="1">
      <alignment vertical="center"/>
    </xf>
    <xf numFmtId="0" fontId="5" fillId="3" borderId="0" xfId="0" applyFont="1" applyFill="1" applyAlignment="1" applyProtection="1">
      <alignment horizontal="left" wrapText="1" indent="1"/>
      <protection hidden="1"/>
    </xf>
    <xf numFmtId="0" fontId="5" fillId="0" borderId="0" xfId="0" applyFont="1" applyAlignment="1" applyProtection="1">
      <alignment horizontal="left" wrapText="1" indent="1"/>
      <protection hidden="1"/>
    </xf>
    <xf numFmtId="0" fontId="50" fillId="3" borderId="6" xfId="0" applyFont="1" applyFill="1" applyBorder="1" applyAlignment="1" applyProtection="1">
      <alignment horizontal="center" vertical="center"/>
      <protection hidden="1"/>
    </xf>
    <xf numFmtId="0" fontId="140" fillId="0" borderId="0" xfId="0" applyFont="1" applyAlignment="1" applyProtection="1">
      <alignment horizontal="center" vertical="center"/>
      <protection hidden="1"/>
    </xf>
    <xf numFmtId="0" fontId="140" fillId="0" borderId="21" xfId="0" applyFont="1" applyBorder="1" applyAlignment="1" applyProtection="1">
      <alignment horizontal="center" vertical="center"/>
      <protection hidden="1"/>
    </xf>
    <xf numFmtId="0" fontId="153" fillId="0" borderId="9" xfId="0" applyFont="1" applyBorder="1" applyAlignment="1" applyProtection="1">
      <alignment horizontal="center"/>
      <protection hidden="1"/>
    </xf>
    <xf numFmtId="0" fontId="153" fillId="0" borderId="6" xfId="0" applyFont="1" applyBorder="1" applyAlignment="1" applyProtection="1">
      <alignment horizontal="center"/>
      <protection hidden="1"/>
    </xf>
    <xf numFmtId="0" fontId="153" fillId="0" borderId="0" xfId="0" applyFont="1" applyAlignment="1" applyProtection="1">
      <alignment horizontal="center"/>
      <protection hidden="1"/>
    </xf>
    <xf numFmtId="0" fontId="13" fillId="3" borderId="22" xfId="0" applyFont="1" applyFill="1" applyBorder="1" applyAlignment="1" applyProtection="1">
      <alignment horizontal="center"/>
      <protection hidden="1"/>
    </xf>
    <xf numFmtId="0" fontId="10" fillId="0" borderId="5" xfId="0" applyFont="1" applyBorder="1" applyAlignment="1" applyProtection="1">
      <alignment horizontal="center"/>
      <protection hidden="1"/>
    </xf>
    <xf numFmtId="0" fontId="10" fillId="0" borderId="23" xfId="0" applyFont="1" applyBorder="1" applyAlignment="1" applyProtection="1">
      <alignment horizontal="center"/>
      <protection hidden="1"/>
    </xf>
    <xf numFmtId="0" fontId="50" fillId="3" borderId="6" xfId="0" applyFont="1" applyFill="1" applyBorder="1" applyAlignment="1" applyProtection="1">
      <alignment horizontal="center"/>
      <protection hidden="1"/>
    </xf>
    <xf numFmtId="0" fontId="50" fillId="3" borderId="0" xfId="0" applyFont="1" applyFill="1" applyAlignment="1" applyProtection="1">
      <alignment horizontal="center"/>
      <protection hidden="1"/>
    </xf>
    <xf numFmtId="0" fontId="50" fillId="3" borderId="21" xfId="0" applyFont="1" applyFill="1" applyBorder="1" applyAlignment="1" applyProtection="1">
      <alignment horizontal="center"/>
      <protection hidden="1"/>
    </xf>
    <xf numFmtId="37" fontId="8" fillId="17" borderId="40" xfId="0" applyNumberFormat="1" applyFont="1" applyFill="1" applyBorder="1" applyAlignment="1" applyProtection="1">
      <alignment horizontal="center"/>
      <protection locked="0"/>
    </xf>
    <xf numFmtId="37" fontId="8" fillId="17" borderId="40" xfId="0" applyNumberFormat="1" applyFont="1" applyFill="1" applyBorder="1" applyAlignment="1" applyProtection="1">
      <alignment horizontal="right"/>
      <protection hidden="1"/>
    </xf>
    <xf numFmtId="37" fontId="6" fillId="17" borderId="26" xfId="0" applyNumberFormat="1" applyFont="1" applyFill="1" applyBorder="1" applyAlignment="1" applyProtection="1">
      <alignment horizontal="right"/>
      <protection hidden="1"/>
    </xf>
    <xf numFmtId="0" fontId="19" fillId="2" borderId="31" xfId="0" applyFont="1" applyFill="1" applyBorder="1" applyAlignment="1" applyProtection="1">
      <alignment horizontal="center" vertical="center" wrapText="1"/>
      <protection hidden="1"/>
    </xf>
    <xf numFmtId="0" fontId="19" fillId="0" borderId="9" xfId="0" applyFont="1" applyBorder="1" applyAlignment="1">
      <alignment horizontal="center" vertical="center"/>
    </xf>
    <xf numFmtId="0" fontId="19" fillId="2" borderId="3" xfId="0" applyFont="1" applyFill="1" applyBorder="1" applyAlignment="1" applyProtection="1">
      <alignment horizontal="center" vertical="center" wrapText="1"/>
      <protection hidden="1"/>
    </xf>
    <xf numFmtId="0" fontId="19" fillId="0" borderId="0" xfId="0" applyFont="1" applyAlignment="1">
      <alignment horizontal="center" vertical="center"/>
    </xf>
    <xf numFmtId="0" fontId="19" fillId="0" borderId="3" xfId="0" applyFont="1" applyBorder="1" applyAlignment="1">
      <alignment horizontal="center" vertical="center"/>
    </xf>
    <xf numFmtId="0" fontId="19" fillId="0" borderId="10" xfId="0" applyFont="1" applyBorder="1" applyAlignment="1">
      <alignment horizontal="center" vertical="center"/>
    </xf>
    <xf numFmtId="0" fontId="19" fillId="0" borderId="1" xfId="0" applyFont="1" applyBorder="1" applyAlignment="1">
      <alignment horizontal="center" vertical="center"/>
    </xf>
    <xf numFmtId="37" fontId="0" fillId="17" borderId="31" xfId="0" applyNumberFormat="1" applyFill="1" applyBorder="1" applyAlignment="1" applyProtection="1">
      <alignment horizontal="right"/>
      <protection hidden="1"/>
    </xf>
    <xf numFmtId="0" fontId="0" fillId="17" borderId="15" xfId="0" applyFill="1" applyBorder="1" applyAlignment="1">
      <alignment horizontal="right"/>
    </xf>
    <xf numFmtId="0" fontId="0" fillId="17" borderId="3" xfId="0" applyFill="1" applyBorder="1" applyAlignment="1">
      <alignment horizontal="right"/>
    </xf>
    <xf numFmtId="0" fontId="0" fillId="17" borderId="25" xfId="0" applyFill="1" applyBorder="1" applyAlignment="1">
      <alignment horizontal="right"/>
    </xf>
    <xf numFmtId="0" fontId="0" fillId="17" borderId="10" xfId="0" applyFill="1" applyBorder="1" applyAlignment="1">
      <alignment horizontal="right"/>
    </xf>
    <xf numFmtId="0" fontId="0" fillId="17" borderId="12" xfId="0" applyFill="1" applyBorder="1" applyAlignment="1">
      <alignment horizontal="right"/>
    </xf>
    <xf numFmtId="0" fontId="139" fillId="2" borderId="0" xfId="0" applyFont="1" applyFill="1" applyAlignment="1" applyProtection="1">
      <alignment horizontal="left" vertical="center"/>
      <protection hidden="1"/>
    </xf>
    <xf numFmtId="0" fontId="141" fillId="0" borderId="0" xfId="0" applyFont="1" applyAlignment="1" applyProtection="1">
      <alignment horizontal="left" vertical="center"/>
      <protection hidden="1"/>
    </xf>
    <xf numFmtId="37" fontId="6" fillId="17" borderId="26" xfId="0" applyNumberFormat="1" applyFont="1" applyFill="1" applyBorder="1" applyAlignment="1" applyProtection="1">
      <alignment horizontal="right"/>
      <protection locked="0"/>
    </xf>
    <xf numFmtId="37" fontId="6" fillId="17" borderId="55" xfId="0" applyNumberFormat="1" applyFont="1" applyFill="1" applyBorder="1" applyAlignment="1" applyProtection="1">
      <alignment horizontal="right"/>
      <protection locked="0"/>
    </xf>
    <xf numFmtId="0" fontId="19" fillId="0" borderId="13" xfId="0" applyFont="1" applyBorder="1" applyAlignment="1" applyProtection="1">
      <alignment horizontal="center" vertical="center" wrapText="1"/>
      <protection hidden="1"/>
    </xf>
    <xf numFmtId="0" fontId="19" fillId="0" borderId="13" xfId="0" applyFont="1" applyBorder="1" applyAlignment="1">
      <alignment horizontal="center" vertical="center" wrapText="1"/>
    </xf>
    <xf numFmtId="0" fontId="10" fillId="0" borderId="13" xfId="0" applyFont="1" applyBorder="1" applyAlignment="1" applyProtection="1">
      <alignment horizontal="center" vertical="center" wrapText="1"/>
      <protection hidden="1"/>
    </xf>
    <xf numFmtId="0" fontId="10" fillId="0" borderId="13" xfId="0" applyFont="1" applyBorder="1" applyAlignment="1">
      <alignment horizontal="center" vertical="center" wrapText="1"/>
    </xf>
    <xf numFmtId="0" fontId="6" fillId="0" borderId="0" xfId="0" applyFont="1" applyAlignment="1" applyProtection="1">
      <alignment horizontal="center" vertical="center"/>
      <protection hidden="1"/>
    </xf>
    <xf numFmtId="0" fontId="6" fillId="0" borderId="0" xfId="0" applyFont="1" applyAlignment="1">
      <alignment horizontal="center" vertical="center"/>
    </xf>
    <xf numFmtId="0" fontId="52" fillId="16" borderId="31" xfId="0" applyFont="1" applyFill="1" applyBorder="1" applyAlignment="1" applyProtection="1">
      <alignment horizontal="center" vertical="center" wrapText="1"/>
      <protection hidden="1"/>
    </xf>
    <xf numFmtId="0" fontId="0" fillId="0" borderId="11" xfId="0" applyBorder="1" applyAlignment="1">
      <alignment horizontal="center" vertical="center" wrapText="1"/>
    </xf>
    <xf numFmtId="0" fontId="10" fillId="16" borderId="16" xfId="0" applyFont="1" applyFill="1" applyBorder="1" applyAlignment="1">
      <alignment horizontal="center" vertical="center" wrapText="1"/>
    </xf>
    <xf numFmtId="0" fontId="5" fillId="0" borderId="40" xfId="0" applyFont="1" applyBorder="1" applyAlignment="1" applyProtection="1">
      <alignment horizontal="center"/>
      <protection hidden="1"/>
    </xf>
    <xf numFmtId="0" fontId="5" fillId="0" borderId="13" xfId="0" applyFont="1" applyBorder="1" applyAlignment="1" applyProtection="1">
      <alignment horizontal="center" textRotation="90" wrapText="1"/>
      <protection hidden="1"/>
    </xf>
    <xf numFmtId="0" fontId="5" fillId="0" borderId="13" xfId="0" applyFont="1" applyBorder="1" applyAlignment="1">
      <alignment horizontal="center" wrapText="1"/>
    </xf>
    <xf numFmtId="0" fontId="3" fillId="0" borderId="0" xfId="0" applyFont="1" applyAlignment="1" applyProtection="1">
      <alignment horizontal="center" vertical="center"/>
      <protection hidden="1"/>
    </xf>
    <xf numFmtId="0" fontId="8" fillId="17" borderId="26" xfId="0" applyFont="1" applyFill="1" applyBorder="1" applyAlignment="1" applyProtection="1">
      <alignment horizontal="left" indent="1"/>
      <protection locked="0"/>
    </xf>
    <xf numFmtId="0" fontId="6" fillId="17" borderId="26" xfId="0" applyFont="1" applyFill="1" applyBorder="1" applyAlignment="1" applyProtection="1">
      <alignment horizontal="left" indent="1"/>
      <protection locked="0"/>
    </xf>
    <xf numFmtId="0" fontId="6" fillId="17" borderId="55" xfId="0" applyFont="1" applyFill="1" applyBorder="1" applyAlignment="1" applyProtection="1">
      <alignment horizontal="left" indent="1"/>
      <protection locked="0"/>
    </xf>
    <xf numFmtId="174" fontId="8" fillId="17" borderId="40" xfId="0" applyNumberFormat="1" applyFont="1" applyFill="1" applyBorder="1" applyAlignment="1" applyProtection="1">
      <alignment horizontal="center"/>
      <protection locked="0"/>
    </xf>
    <xf numFmtId="174" fontId="6" fillId="17" borderId="26" xfId="0" applyNumberFormat="1" applyFont="1" applyFill="1" applyBorder="1" applyAlignment="1" applyProtection="1">
      <alignment horizontal="center"/>
      <protection locked="0"/>
    </xf>
    <xf numFmtId="174" fontId="6" fillId="17" borderId="55" xfId="0" applyNumberFormat="1" applyFont="1" applyFill="1" applyBorder="1" applyAlignment="1" applyProtection="1">
      <alignment horizontal="center"/>
      <protection locked="0"/>
    </xf>
    <xf numFmtId="0" fontId="132" fillId="5" borderId="0" xfId="0" applyFont="1" applyFill="1" applyAlignment="1" applyProtection="1">
      <alignment horizontal="right"/>
      <protection hidden="1"/>
    </xf>
    <xf numFmtId="0" fontId="132" fillId="0" borderId="0" xfId="0" applyFont="1" applyAlignment="1">
      <alignment horizontal="right"/>
    </xf>
    <xf numFmtId="0" fontId="5" fillId="2" borderId="0" xfId="0" applyFont="1" applyFill="1" applyProtection="1">
      <protection hidden="1"/>
    </xf>
    <xf numFmtId="0" fontId="10" fillId="2" borderId="102" xfId="0" applyFont="1" applyFill="1" applyBorder="1" applyAlignment="1" applyProtection="1">
      <alignment horizontal="center"/>
      <protection hidden="1"/>
    </xf>
    <xf numFmtId="0" fontId="81" fillId="2" borderId="0" xfId="0" applyFont="1" applyFill="1" applyAlignment="1" applyProtection="1">
      <alignment horizontal="center" vertical="center"/>
      <protection hidden="1"/>
    </xf>
    <xf numFmtId="166" fontId="12" fillId="28" borderId="70" xfId="0" applyNumberFormat="1" applyFont="1" applyFill="1" applyBorder="1" applyAlignment="1" applyProtection="1">
      <alignment horizontal="center" vertical="center"/>
      <protection hidden="1"/>
    </xf>
    <xf numFmtId="0" fontId="0" fillId="28" borderId="5" xfId="0" applyFill="1" applyBorder="1" applyProtection="1">
      <protection hidden="1"/>
    </xf>
    <xf numFmtId="0" fontId="12" fillId="28" borderId="5" xfId="0" applyFont="1" applyFill="1" applyBorder="1" applyAlignment="1" applyProtection="1">
      <alignment horizontal="left" indent="1"/>
      <protection hidden="1"/>
    </xf>
    <xf numFmtId="0" fontId="0" fillId="28" borderId="5" xfId="0" applyFill="1" applyBorder="1" applyAlignment="1" applyProtection="1">
      <alignment horizontal="left" indent="1"/>
      <protection hidden="1"/>
    </xf>
    <xf numFmtId="0" fontId="0" fillId="28" borderId="71" xfId="0" applyFill="1" applyBorder="1" applyAlignment="1" applyProtection="1">
      <alignment horizontal="left" indent="1"/>
      <protection hidden="1"/>
    </xf>
    <xf numFmtId="0" fontId="50" fillId="2" borderId="101" xfId="0" applyFont="1" applyFill="1" applyBorder="1" applyAlignment="1" applyProtection="1">
      <alignment horizontal="center"/>
      <protection hidden="1"/>
    </xf>
    <xf numFmtId="0" fontId="50" fillId="0" borderId="0" xfId="0" applyFont="1" applyAlignment="1" applyProtection="1">
      <alignment horizontal="center"/>
      <protection hidden="1"/>
    </xf>
    <xf numFmtId="0" fontId="50" fillId="0" borderId="76" xfId="0" applyFont="1" applyBorder="1" applyAlignment="1" applyProtection="1">
      <alignment horizontal="center"/>
      <protection hidden="1"/>
    </xf>
    <xf numFmtId="0" fontId="50" fillId="0" borderId="101" xfId="0" applyFont="1" applyBorder="1" applyAlignment="1" applyProtection="1">
      <alignment horizontal="center"/>
      <protection hidden="1"/>
    </xf>
    <xf numFmtId="0" fontId="57" fillId="9" borderId="9" xfId="0" applyFont="1" applyFill="1" applyBorder="1" applyAlignment="1" applyProtection="1">
      <alignment horizontal="center"/>
      <protection hidden="1"/>
    </xf>
    <xf numFmtId="0" fontId="5" fillId="0" borderId="9" xfId="0" applyFont="1" applyBorder="1" applyProtection="1">
      <protection hidden="1"/>
    </xf>
    <xf numFmtId="0" fontId="18" fillId="2" borderId="9" xfId="0" applyFont="1" applyFill="1" applyBorder="1" applyProtection="1">
      <protection hidden="1"/>
    </xf>
    <xf numFmtId="0" fontId="18" fillId="2" borderId="0" xfId="0" applyFont="1" applyFill="1" applyProtection="1">
      <protection hidden="1"/>
    </xf>
    <xf numFmtId="0" fontId="18" fillId="0" borderId="0" xfId="0" applyFont="1"/>
    <xf numFmtId="0" fontId="18" fillId="0" borderId="1" xfId="0" applyFont="1" applyBorder="1"/>
    <xf numFmtId="0" fontId="13" fillId="2" borderId="101" xfId="0" applyFont="1" applyFill="1" applyBorder="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76" xfId="0" applyFont="1" applyBorder="1" applyAlignment="1" applyProtection="1">
      <alignment horizontal="center" vertical="center"/>
      <protection hidden="1"/>
    </xf>
    <xf numFmtId="0" fontId="10" fillId="2" borderId="9" xfId="0" applyFont="1" applyFill="1" applyBorder="1" applyAlignment="1">
      <alignment horizontal="center" vertical="center" wrapText="1"/>
    </xf>
    <xf numFmtId="0" fontId="10" fillId="2" borderId="9"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0" xfId="0" applyFont="1" applyFill="1" applyAlignment="1">
      <alignment horizontal="center" vertical="center" wrapText="1"/>
    </xf>
    <xf numFmtId="0" fontId="10" fillId="2" borderId="0" xfId="0" applyFont="1" applyFill="1" applyAlignment="1">
      <alignment horizontal="center" vertical="center"/>
    </xf>
    <xf numFmtId="0" fontId="10" fillId="2" borderId="25"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2" xfId="0" applyFont="1" applyFill="1" applyBorder="1" applyAlignment="1">
      <alignment horizontal="center" vertical="center"/>
    </xf>
    <xf numFmtId="0" fontId="139" fillId="2" borderId="0" xfId="0" applyFont="1" applyFill="1" applyAlignment="1" applyProtection="1">
      <alignment horizontal="left"/>
      <protection hidden="1"/>
    </xf>
    <xf numFmtId="0" fontId="141" fillId="0" borderId="0" xfId="0" applyFont="1" applyAlignment="1" applyProtection="1">
      <alignment horizontal="left"/>
      <protection hidden="1"/>
    </xf>
    <xf numFmtId="0" fontId="19" fillId="16" borderId="31" xfId="0" applyFont="1" applyFill="1" applyBorder="1" applyAlignment="1" applyProtection="1">
      <alignment horizontal="center" vertical="center" wrapText="1"/>
      <protection hidden="1"/>
    </xf>
    <xf numFmtId="0" fontId="19" fillId="16" borderId="9" xfId="0" applyFont="1" applyFill="1" applyBorder="1" applyAlignment="1" applyProtection="1">
      <alignment horizontal="center" vertical="center" wrapText="1"/>
      <protection hidden="1"/>
    </xf>
    <xf numFmtId="0" fontId="19" fillId="16" borderId="15" xfId="0" applyFont="1" applyFill="1" applyBorder="1" applyAlignment="1" applyProtection="1">
      <alignment horizontal="center" vertical="center" wrapText="1"/>
      <protection hidden="1"/>
    </xf>
    <xf numFmtId="0" fontId="19" fillId="16" borderId="10" xfId="0" applyFont="1" applyFill="1" applyBorder="1" applyAlignment="1" applyProtection="1">
      <alignment horizontal="center" vertical="center" wrapText="1"/>
      <protection hidden="1"/>
    </xf>
    <xf numFmtId="0" fontId="19" fillId="16" borderId="1" xfId="0" applyFont="1" applyFill="1" applyBorder="1" applyAlignment="1" applyProtection="1">
      <alignment horizontal="center" vertical="center" wrapText="1"/>
      <protection hidden="1"/>
    </xf>
    <xf numFmtId="0" fontId="19" fillId="16" borderId="12" xfId="0" applyFont="1" applyFill="1" applyBorder="1" applyAlignment="1" applyProtection="1">
      <alignment horizontal="center" vertical="center" wrapText="1"/>
      <protection hidden="1"/>
    </xf>
    <xf numFmtId="0" fontId="19" fillId="0" borderId="15" xfId="0" applyFont="1" applyBorder="1" applyAlignment="1">
      <alignment horizontal="center" vertical="center"/>
    </xf>
    <xf numFmtId="0" fontId="19" fillId="0" borderId="25" xfId="0" applyFont="1" applyBorder="1" applyAlignment="1">
      <alignment horizontal="center" vertical="center"/>
    </xf>
    <xf numFmtId="0" fontId="19" fillId="0" borderId="12" xfId="0" applyFont="1" applyBorder="1" applyAlignment="1">
      <alignment horizontal="center" vertical="center"/>
    </xf>
    <xf numFmtId="0" fontId="10" fillId="0" borderId="1" xfId="0" applyFont="1" applyBorder="1" applyAlignment="1">
      <alignment horizontal="center" vertical="center"/>
    </xf>
    <xf numFmtId="0" fontId="10" fillId="2" borderId="101" xfId="0" applyFont="1" applyFill="1" applyBorder="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5" fillId="2" borderId="184" xfId="0" applyFont="1" applyFill="1" applyBorder="1" applyAlignment="1" applyProtection="1">
      <alignment horizontal="center" vertical="center" wrapText="1"/>
      <protection hidden="1"/>
    </xf>
    <xf numFmtId="0" fontId="5" fillId="2" borderId="5" xfId="0" applyFont="1" applyFill="1" applyBorder="1" applyAlignment="1" applyProtection="1">
      <alignment horizontal="center" vertical="center" wrapText="1"/>
      <protection hidden="1"/>
    </xf>
    <xf numFmtId="0" fontId="0" fillId="0" borderId="73" xfId="0" applyBorder="1" applyAlignment="1">
      <alignment vertical="center"/>
    </xf>
    <xf numFmtId="0" fontId="0" fillId="0" borderId="14" xfId="0" applyBorder="1" applyAlignment="1">
      <alignment vertical="center"/>
    </xf>
    <xf numFmtId="0" fontId="0" fillId="0" borderId="34" xfId="0" applyBorder="1" applyAlignment="1">
      <alignment vertical="center"/>
    </xf>
    <xf numFmtId="0" fontId="18" fillId="0" borderId="9" xfId="0" applyFont="1" applyBorder="1" applyAlignment="1" applyProtection="1">
      <alignment horizontal="center" vertical="top"/>
      <protection hidden="1"/>
    </xf>
    <xf numFmtId="0" fontId="18" fillId="0" borderId="0" xfId="0" applyFont="1" applyAlignment="1">
      <alignment horizontal="center" vertical="top"/>
    </xf>
    <xf numFmtId="0" fontId="0" fillId="17" borderId="9" xfId="0" applyFill="1" applyBorder="1" applyAlignment="1" applyProtection="1">
      <alignment horizontal="right"/>
      <protection hidden="1"/>
    </xf>
    <xf numFmtId="0" fontId="0" fillId="17" borderId="15" xfId="0" applyFill="1" applyBorder="1" applyAlignment="1" applyProtection="1">
      <alignment horizontal="right"/>
      <protection hidden="1"/>
    </xf>
    <xf numFmtId="0" fontId="0" fillId="17" borderId="3" xfId="0" applyFill="1" applyBorder="1" applyAlignment="1" applyProtection="1">
      <alignment horizontal="right"/>
      <protection hidden="1"/>
    </xf>
    <xf numFmtId="0" fontId="0" fillId="17" borderId="0" xfId="0" applyFill="1" applyAlignment="1" applyProtection="1">
      <alignment horizontal="right"/>
      <protection hidden="1"/>
    </xf>
    <xf numFmtId="0" fontId="0" fillId="17" borderId="25" xfId="0" applyFill="1" applyBorder="1" applyAlignment="1" applyProtection="1">
      <alignment horizontal="right"/>
      <protection hidden="1"/>
    </xf>
    <xf numFmtId="0" fontId="0" fillId="17" borderId="70" xfId="0" applyFill="1" applyBorder="1" applyAlignment="1" applyProtection="1">
      <alignment horizontal="right"/>
      <protection hidden="1"/>
    </xf>
    <xf numFmtId="0" fontId="0" fillId="17" borderId="5" xfId="0" applyFill="1" applyBorder="1" applyAlignment="1" applyProtection="1">
      <alignment horizontal="right"/>
      <protection hidden="1"/>
    </xf>
    <xf numFmtId="0" fontId="0" fillId="17" borderId="71" xfId="0" applyFill="1" applyBorder="1" applyAlignment="1" applyProtection="1">
      <alignment horizontal="right"/>
      <protection hidden="1"/>
    </xf>
    <xf numFmtId="37" fontId="0" fillId="24" borderId="31" xfId="0" applyNumberFormat="1" applyFill="1" applyBorder="1" applyAlignment="1" applyProtection="1">
      <alignment horizontal="right"/>
      <protection hidden="1"/>
    </xf>
    <xf numFmtId="0" fontId="0" fillId="24" borderId="15" xfId="0" applyFill="1" applyBorder="1" applyAlignment="1" applyProtection="1">
      <alignment horizontal="right"/>
      <protection hidden="1"/>
    </xf>
    <xf numFmtId="0" fontId="0" fillId="24" borderId="3" xfId="0" applyFill="1" applyBorder="1" applyAlignment="1" applyProtection="1">
      <alignment horizontal="right"/>
      <protection hidden="1"/>
    </xf>
    <xf numFmtId="0" fontId="0" fillId="24" borderId="25" xfId="0" applyFill="1" applyBorder="1" applyAlignment="1" applyProtection="1">
      <alignment horizontal="right"/>
      <protection hidden="1"/>
    </xf>
    <xf numFmtId="0" fontId="0" fillId="24" borderId="10" xfId="0" applyFill="1" applyBorder="1" applyAlignment="1" applyProtection="1">
      <alignment horizontal="right"/>
      <protection hidden="1"/>
    </xf>
    <xf numFmtId="0" fontId="0" fillId="24" borderId="12" xfId="0" applyFill="1" applyBorder="1" applyAlignment="1" applyProtection="1">
      <alignment horizontal="right"/>
      <protection hidden="1"/>
    </xf>
    <xf numFmtId="0" fontId="4" fillId="16" borderId="8" xfId="0" applyFont="1" applyFill="1" applyBorder="1" applyAlignment="1" applyProtection="1">
      <alignment horizontal="left" wrapText="1"/>
      <protection hidden="1"/>
    </xf>
    <xf numFmtId="0" fontId="4" fillId="16" borderId="8" xfId="0" applyFont="1" applyFill="1" applyBorder="1" applyAlignment="1">
      <alignment wrapText="1"/>
    </xf>
    <xf numFmtId="0" fontId="7" fillId="16" borderId="100" xfId="0" applyFont="1" applyFill="1" applyBorder="1" applyAlignment="1" applyProtection="1">
      <alignment horizontal="left" vertical="top" wrapText="1"/>
      <protection hidden="1"/>
    </xf>
    <xf numFmtId="0" fontId="7" fillId="0" borderId="100" xfId="0" applyFont="1" applyBorder="1" applyAlignment="1">
      <alignment wrapText="1"/>
    </xf>
    <xf numFmtId="0" fontId="7" fillId="0" borderId="14" xfId="0" applyFont="1" applyBorder="1" applyAlignment="1">
      <alignment wrapText="1"/>
    </xf>
    <xf numFmtId="0" fontId="7" fillId="2" borderId="9" xfId="0" applyFont="1" applyFill="1" applyBorder="1" applyAlignment="1" applyProtection="1">
      <alignment vertical="top" wrapText="1"/>
      <protection hidden="1"/>
    </xf>
    <xf numFmtId="0" fontId="7" fillId="0" borderId="9" xfId="0" applyFont="1" applyBorder="1" applyAlignment="1">
      <alignment vertical="top" wrapText="1"/>
    </xf>
    <xf numFmtId="0" fontId="7" fillId="0" borderId="0" xfId="0" applyFont="1" applyAlignment="1">
      <alignment vertical="top" wrapText="1"/>
    </xf>
    <xf numFmtId="0" fontId="0" fillId="17" borderId="9" xfId="0" applyFill="1" applyBorder="1" applyAlignment="1">
      <alignment horizontal="right"/>
    </xf>
    <xf numFmtId="0" fontId="0" fillId="17" borderId="0" xfId="0" applyFill="1" applyAlignment="1">
      <alignment horizontal="right"/>
    </xf>
    <xf numFmtId="0" fontId="5" fillId="16" borderId="100" xfId="0" applyFont="1" applyFill="1" applyBorder="1" applyAlignment="1" applyProtection="1">
      <alignment horizontal="left" vertical="top" wrapText="1"/>
      <protection hidden="1"/>
    </xf>
    <xf numFmtId="0" fontId="5" fillId="0" borderId="100" xfId="0" applyFont="1" applyBorder="1" applyAlignment="1">
      <alignment wrapText="1"/>
    </xf>
    <xf numFmtId="0" fontId="5" fillId="0" borderId="14" xfId="0" applyFont="1" applyBorder="1" applyAlignment="1">
      <alignment wrapText="1"/>
    </xf>
    <xf numFmtId="0" fontId="35" fillId="9" borderId="9" xfId="0" applyFont="1" applyFill="1" applyBorder="1" applyAlignment="1" applyProtection="1">
      <alignment horizontal="center"/>
      <protection hidden="1"/>
    </xf>
    <xf numFmtId="0" fontId="0" fillId="0" borderId="9" xfId="0" applyBorder="1" applyProtection="1">
      <protection hidden="1"/>
    </xf>
    <xf numFmtId="0" fontId="0" fillId="17" borderId="10" xfId="0" applyFill="1" applyBorder="1" applyAlignment="1" applyProtection="1">
      <alignment horizontal="right"/>
      <protection hidden="1"/>
    </xf>
    <xf numFmtId="0" fontId="0" fillId="17" borderId="1" xfId="0" applyFill="1" applyBorder="1" applyAlignment="1" applyProtection="1">
      <alignment horizontal="right"/>
      <protection hidden="1"/>
    </xf>
    <xf numFmtId="0" fontId="0" fillId="17" borderId="12" xfId="0" applyFill="1" applyBorder="1" applyAlignment="1" applyProtection="1">
      <alignment horizontal="right"/>
      <protection hidden="1"/>
    </xf>
    <xf numFmtId="0" fontId="12" fillId="0" borderId="9" xfId="0" applyFont="1" applyBorder="1" applyAlignment="1" applyProtection="1">
      <alignment horizontal="center" vertical="top"/>
      <protection hidden="1"/>
    </xf>
    <xf numFmtId="0" fontId="12" fillId="0" borderId="0" xfId="0" applyFont="1" applyAlignment="1">
      <alignment horizontal="center" vertical="top"/>
    </xf>
    <xf numFmtId="0" fontId="0" fillId="17" borderId="1" xfId="0" applyFill="1" applyBorder="1" applyAlignment="1">
      <alignment horizontal="right"/>
    </xf>
    <xf numFmtId="0" fontId="10" fillId="2" borderId="184" xfId="0" applyFont="1" applyFill="1" applyBorder="1" applyAlignment="1" applyProtection="1">
      <alignment horizontal="center" vertical="center" wrapText="1"/>
      <protection hidden="1"/>
    </xf>
    <xf numFmtId="0" fontId="10" fillId="2" borderId="5" xfId="0" applyFont="1" applyFill="1" applyBorder="1" applyAlignment="1" applyProtection="1">
      <alignment horizontal="center" vertical="center" wrapText="1"/>
      <protection hidden="1"/>
    </xf>
    <xf numFmtId="0" fontId="0" fillId="0" borderId="73" xfId="0" applyBorder="1" applyAlignment="1">
      <alignment horizontal="center" vertical="center"/>
    </xf>
    <xf numFmtId="0" fontId="0" fillId="0" borderId="14" xfId="0" applyBorder="1" applyAlignment="1">
      <alignment horizontal="center" vertical="center"/>
    </xf>
    <xf numFmtId="0" fontId="0" fillId="0" borderId="34" xfId="0" applyBorder="1" applyAlignment="1">
      <alignment horizontal="center" vertical="center"/>
    </xf>
    <xf numFmtId="5" fontId="7" fillId="3" borderId="0" xfId="0" applyNumberFormat="1" applyFont="1" applyFill="1" applyAlignment="1" applyProtection="1">
      <alignment horizontal="right"/>
      <protection hidden="1"/>
    </xf>
    <xf numFmtId="5" fontId="0" fillId="0" borderId="25" xfId="0" applyNumberFormat="1" applyBorder="1" applyAlignment="1" applyProtection="1">
      <alignment horizontal="right"/>
      <protection hidden="1"/>
    </xf>
    <xf numFmtId="0" fontId="15" fillId="3" borderId="26" xfId="0" applyFont="1" applyFill="1" applyBorder="1" applyProtection="1">
      <protection hidden="1"/>
    </xf>
    <xf numFmtId="0" fontId="47" fillId="3" borderId="6" xfId="0" applyFont="1" applyFill="1" applyBorder="1" applyAlignment="1" applyProtection="1">
      <alignment horizontal="center" vertical="top"/>
      <protection hidden="1"/>
    </xf>
    <xf numFmtId="0" fontId="7" fillId="0" borderId="0" xfId="0" applyFont="1" applyAlignment="1" applyProtection="1">
      <alignment horizontal="center" vertical="top"/>
      <protection hidden="1"/>
    </xf>
    <xf numFmtId="0" fontId="7" fillId="0" borderId="21" xfId="0" applyFont="1" applyBorder="1" applyAlignment="1" applyProtection="1">
      <alignment horizontal="center" vertical="top"/>
      <protection hidden="1"/>
    </xf>
    <xf numFmtId="0" fontId="23" fillId="15" borderId="0" xfId="0" applyFont="1" applyFill="1" applyAlignment="1" applyProtection="1">
      <alignment horizontal="center"/>
      <protection hidden="1"/>
    </xf>
    <xf numFmtId="0" fontId="0" fillId="16" borderId="21" xfId="0" applyFill="1" applyBorder="1" applyAlignment="1" applyProtection="1">
      <alignment horizontal="center"/>
      <protection hidden="1"/>
    </xf>
    <xf numFmtId="0" fontId="47" fillId="15" borderId="6" xfId="0" applyFont="1" applyFill="1" applyBorder="1" applyAlignment="1" applyProtection="1">
      <alignment horizontal="center" vertical="top"/>
      <protection hidden="1"/>
    </xf>
    <xf numFmtId="0" fontId="47" fillId="15" borderId="0" xfId="0" applyFont="1" applyFill="1" applyAlignment="1" applyProtection="1">
      <alignment horizontal="center" vertical="top"/>
      <protection hidden="1"/>
    </xf>
    <xf numFmtId="0" fontId="11" fillId="16" borderId="0" xfId="0" applyFont="1" applyFill="1" applyAlignment="1" applyProtection="1">
      <alignment horizontal="center" vertical="top"/>
      <protection hidden="1"/>
    </xf>
    <xf numFmtId="0" fontId="11" fillId="16" borderId="21" xfId="0" applyFont="1" applyFill="1" applyBorder="1" applyAlignment="1" applyProtection="1">
      <alignment horizontal="center" vertical="top"/>
      <protection hidden="1"/>
    </xf>
    <xf numFmtId="0" fontId="13" fillId="15" borderId="22" xfId="0" applyFont="1" applyFill="1" applyBorder="1" applyAlignment="1" applyProtection="1">
      <alignment horizontal="center" vertical="center"/>
      <protection hidden="1"/>
    </xf>
    <xf numFmtId="0" fontId="13" fillId="15" borderId="5" xfId="0" applyFont="1" applyFill="1" applyBorder="1" applyAlignment="1" applyProtection="1">
      <alignment horizontal="center" vertical="center"/>
      <protection hidden="1"/>
    </xf>
    <xf numFmtId="0" fontId="10" fillId="16" borderId="5" xfId="0" applyFont="1" applyFill="1" applyBorder="1" applyAlignment="1" applyProtection="1">
      <alignment horizontal="center" vertical="center"/>
      <protection hidden="1"/>
    </xf>
    <xf numFmtId="0" fontId="10" fillId="16" borderId="23" xfId="0" applyFont="1" applyFill="1" applyBorder="1" applyAlignment="1" applyProtection="1">
      <alignment horizontal="center" vertical="center"/>
      <protection hidden="1"/>
    </xf>
    <xf numFmtId="0" fontId="12" fillId="3" borderId="9" xfId="0" applyFont="1" applyFill="1" applyBorder="1" applyAlignment="1" applyProtection="1">
      <alignment horizontal="left" vertical="top"/>
      <protection hidden="1"/>
    </xf>
    <xf numFmtId="0" fontId="0" fillId="0" borderId="9" xfId="0" applyBorder="1" applyAlignment="1">
      <alignment horizontal="left" vertical="top"/>
    </xf>
    <xf numFmtId="0" fontId="0" fillId="0" borderId="15" xfId="0" applyBorder="1" applyAlignment="1">
      <alignment horizontal="left" vertical="top"/>
    </xf>
    <xf numFmtId="39" fontId="307" fillId="3" borderId="0" xfId="0" applyNumberFormat="1" applyFont="1" applyFill="1" applyAlignment="1" applyProtection="1">
      <alignment horizontal="center" vertical="top" wrapText="1"/>
      <protection hidden="1"/>
    </xf>
    <xf numFmtId="0" fontId="18" fillId="16" borderId="9" xfId="0" quotePrefix="1" applyFont="1" applyFill="1" applyBorder="1" applyAlignment="1" applyProtection="1">
      <alignment horizontal="right" vertical="center" wrapText="1"/>
      <protection hidden="1"/>
    </xf>
    <xf numFmtId="0" fontId="18" fillId="0" borderId="9" xfId="0" applyFont="1" applyBorder="1" applyAlignment="1" applyProtection="1">
      <alignment horizontal="center" vertical="center" wrapText="1"/>
      <protection hidden="1"/>
    </xf>
    <xf numFmtId="0" fontId="18" fillId="0" borderId="9" xfId="0" applyFont="1" applyBorder="1" applyAlignment="1" applyProtection="1">
      <alignment horizontal="center" vertical="center"/>
      <protection hidden="1"/>
    </xf>
    <xf numFmtId="0" fontId="18" fillId="0" borderId="0" xfId="0" applyFont="1" applyAlignment="1" applyProtection="1">
      <alignment horizontal="center" vertical="center"/>
      <protection hidden="1"/>
    </xf>
    <xf numFmtId="0" fontId="5" fillId="16" borderId="26" xfId="0" applyFont="1" applyFill="1" applyBorder="1" applyAlignment="1" applyProtection="1">
      <alignment horizontal="left"/>
      <protection hidden="1"/>
    </xf>
    <xf numFmtId="39" fontId="3" fillId="17" borderId="13" xfId="0" applyNumberFormat="1" applyFont="1" applyFill="1" applyBorder="1" applyProtection="1">
      <protection locked="0"/>
    </xf>
    <xf numFmtId="49" fontId="0" fillId="17"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protection locked="0"/>
    </xf>
    <xf numFmtId="49" fontId="0" fillId="0" borderId="12" xfId="0" applyNumberFormat="1" applyBorder="1" applyAlignment="1" applyProtection="1">
      <alignment horizontal="center"/>
      <protection locked="0"/>
    </xf>
    <xf numFmtId="166" fontId="18" fillId="17" borderId="10" xfId="0" applyNumberFormat="1" applyFont="1" applyFill="1" applyBorder="1" applyAlignment="1" applyProtection="1">
      <alignment horizontal="center"/>
      <protection locked="0"/>
    </xf>
    <xf numFmtId="166" fontId="18" fillId="17" borderId="1" xfId="0" applyNumberFormat="1" applyFont="1" applyFill="1" applyBorder="1" applyAlignment="1" applyProtection="1">
      <alignment horizontal="center"/>
      <protection locked="0"/>
    </xf>
    <xf numFmtId="166" fontId="18" fillId="0" borderId="1" xfId="0" applyNumberFormat="1" applyFont="1" applyBorder="1" applyAlignment="1" applyProtection="1">
      <alignment horizontal="center"/>
      <protection locked="0"/>
    </xf>
    <xf numFmtId="166" fontId="18" fillId="0" borderId="12" xfId="0" applyNumberFormat="1" applyFont="1" applyBorder="1" applyAlignment="1" applyProtection="1">
      <alignment horizontal="center"/>
      <protection locked="0"/>
    </xf>
    <xf numFmtId="39" fontId="3" fillId="26" borderId="13" xfId="0" applyNumberFormat="1" applyFont="1" applyFill="1" applyBorder="1" applyProtection="1">
      <protection hidden="1"/>
    </xf>
    <xf numFmtId="49" fontId="5" fillId="17" borderId="1" xfId="0" applyNumberFormat="1" applyFont="1" applyFill="1" applyBorder="1" applyAlignment="1" applyProtection="1">
      <alignment horizontal="center"/>
      <protection locked="0"/>
    </xf>
    <xf numFmtId="0" fontId="3" fillId="0" borderId="9" xfId="0" applyFont="1" applyBorder="1" applyAlignment="1" applyProtection="1">
      <alignment horizontal="left" vertical="center" wrapText="1"/>
      <protection hidden="1"/>
    </xf>
    <xf numFmtId="0" fontId="3" fillId="0" borderId="9" xfId="0" applyFont="1" applyBorder="1" applyAlignment="1" applyProtection="1">
      <alignment horizontal="left" vertical="center"/>
      <protection hidden="1"/>
    </xf>
    <xf numFmtId="0" fontId="3" fillId="0" borderId="15" xfId="0" applyFont="1" applyBorder="1" applyAlignment="1" applyProtection="1">
      <alignment horizontal="left" vertical="center"/>
      <protection hidden="1"/>
    </xf>
    <xf numFmtId="0" fontId="3" fillId="0" borderId="0" xfId="0" applyFont="1" applyAlignment="1" applyProtection="1">
      <alignment horizontal="left" vertical="center"/>
      <protection hidden="1"/>
    </xf>
    <xf numFmtId="0" fontId="3" fillId="0" borderId="25" xfId="0" applyFont="1" applyBorder="1" applyAlignment="1" applyProtection="1">
      <alignment horizontal="left" vertical="center"/>
      <protection hidden="1"/>
    </xf>
    <xf numFmtId="0" fontId="3" fillId="0" borderId="1" xfId="0" applyFont="1" applyBorder="1" applyAlignment="1" applyProtection="1">
      <alignment horizontal="left" vertical="center"/>
      <protection hidden="1"/>
    </xf>
    <xf numFmtId="0" fontId="3" fillId="0" borderId="12" xfId="0" applyFont="1" applyBorder="1" applyAlignment="1" applyProtection="1">
      <alignment horizontal="left" vertical="center"/>
      <protection hidden="1"/>
    </xf>
    <xf numFmtId="186" fontId="0" fillId="17" borderId="70" xfId="0" applyNumberFormat="1" applyFill="1" applyBorder="1" applyAlignment="1" applyProtection="1">
      <alignment horizontal="center"/>
      <protection locked="0"/>
    </xf>
    <xf numFmtId="186" fontId="0" fillId="17" borderId="5" xfId="0" applyNumberFormat="1" applyFill="1" applyBorder="1" applyAlignment="1" applyProtection="1">
      <alignment horizontal="center"/>
      <protection locked="0"/>
    </xf>
    <xf numFmtId="186" fontId="0" fillId="0" borderId="5" xfId="0" applyNumberFormat="1" applyBorder="1" applyAlignment="1" applyProtection="1">
      <alignment horizontal="center"/>
      <protection locked="0"/>
    </xf>
    <xf numFmtId="186" fontId="0" fillId="0" borderId="71" xfId="0" applyNumberFormat="1" applyBorder="1" applyAlignment="1" applyProtection="1">
      <alignment horizontal="center"/>
      <protection locked="0"/>
    </xf>
    <xf numFmtId="0" fontId="7" fillId="24" borderId="16" xfId="0" applyFont="1" applyFill="1" applyBorder="1" applyAlignment="1" applyProtection="1">
      <alignment horizontal="center" vertical="center" wrapText="1"/>
      <protection hidden="1"/>
    </xf>
    <xf numFmtId="0" fontId="7" fillId="24" borderId="16" xfId="0" applyFont="1" applyFill="1" applyBorder="1" applyAlignment="1" applyProtection="1">
      <alignment horizontal="center" vertical="center"/>
      <protection hidden="1"/>
    </xf>
    <xf numFmtId="0" fontId="7" fillId="24" borderId="7" xfId="0" applyFont="1" applyFill="1" applyBorder="1" applyAlignment="1" applyProtection="1">
      <alignment horizontal="center" vertical="center"/>
      <protection hidden="1"/>
    </xf>
    <xf numFmtId="37" fontId="8" fillId="29" borderId="40" xfId="0" applyNumberFormat="1" applyFont="1" applyFill="1" applyBorder="1" applyAlignment="1" applyProtection="1">
      <alignment horizontal="right"/>
      <protection hidden="1"/>
    </xf>
    <xf numFmtId="0" fontId="3" fillId="0" borderId="26" xfId="0" applyFont="1" applyBorder="1" applyAlignment="1" applyProtection="1">
      <alignment horizontal="right"/>
      <protection hidden="1"/>
    </xf>
    <xf numFmtId="0" fontId="253" fillId="32" borderId="35" xfId="0" applyFont="1" applyFill="1" applyBorder="1" applyAlignment="1" applyProtection="1">
      <alignment horizontal="center" vertical="center"/>
      <protection hidden="1"/>
    </xf>
    <xf numFmtId="0" fontId="5" fillId="16" borderId="0" xfId="0" applyFont="1" applyFill="1" applyAlignment="1">
      <alignment horizontal="center"/>
    </xf>
    <xf numFmtId="0" fontId="3" fillId="24" borderId="31" xfId="0" applyFont="1" applyFill="1" applyBorder="1" applyAlignment="1" applyProtection="1">
      <alignment horizontal="center" vertical="center"/>
      <protection hidden="1"/>
    </xf>
    <xf numFmtId="0" fontId="3" fillId="24" borderId="9" xfId="0" applyFont="1" applyFill="1" applyBorder="1" applyAlignment="1" applyProtection="1">
      <alignment horizontal="center" vertical="center"/>
      <protection hidden="1"/>
    </xf>
    <xf numFmtId="0" fontId="3" fillId="24" borderId="15" xfId="0" applyFont="1" applyFill="1" applyBorder="1" applyAlignment="1" applyProtection="1">
      <alignment horizontal="center" vertical="center"/>
      <protection hidden="1"/>
    </xf>
    <xf numFmtId="0" fontId="3" fillId="24" borderId="3" xfId="0" applyFont="1" applyFill="1" applyBorder="1" applyAlignment="1" applyProtection="1">
      <alignment horizontal="center" vertical="center"/>
      <protection hidden="1"/>
    </xf>
    <xf numFmtId="0" fontId="3" fillId="24" borderId="0" xfId="0" applyFont="1" applyFill="1" applyAlignment="1" applyProtection="1">
      <alignment horizontal="center" vertical="center"/>
      <protection hidden="1"/>
    </xf>
    <xf numFmtId="0" fontId="3" fillId="24" borderId="25" xfId="0" applyFont="1" applyFill="1" applyBorder="1" applyAlignment="1" applyProtection="1">
      <alignment horizontal="center" vertical="center"/>
      <protection hidden="1"/>
    </xf>
    <xf numFmtId="1" fontId="0" fillId="17" borderId="70" xfId="0" applyNumberFormat="1" applyFill="1" applyBorder="1" applyAlignment="1" applyProtection="1">
      <alignment horizontal="center"/>
      <protection locked="0"/>
    </xf>
    <xf numFmtId="1" fontId="0" fillId="17" borderId="5" xfId="0" applyNumberFormat="1" applyFill="1" applyBorder="1" applyAlignment="1" applyProtection="1">
      <alignment horizontal="center"/>
      <protection locked="0"/>
    </xf>
    <xf numFmtId="1" fontId="0" fillId="0" borderId="5" xfId="0" applyNumberFormat="1" applyBorder="1" applyAlignment="1" applyProtection="1">
      <alignment horizontal="center"/>
      <protection locked="0"/>
    </xf>
    <xf numFmtId="1" fontId="0" fillId="0" borderId="71" xfId="0" applyNumberFormat="1" applyBorder="1" applyAlignment="1" applyProtection="1">
      <alignment horizontal="center"/>
      <protection locked="0"/>
    </xf>
    <xf numFmtId="0" fontId="3" fillId="0" borderId="5" xfId="0" applyFont="1" applyBorder="1" applyAlignment="1" applyProtection="1">
      <alignment horizontal="right"/>
      <protection hidden="1"/>
    </xf>
    <xf numFmtId="0" fontId="5" fillId="16" borderId="26" xfId="0" applyFont="1" applyFill="1" applyBorder="1" applyAlignment="1" applyProtection="1">
      <alignment horizontal="right"/>
      <protection hidden="1"/>
    </xf>
    <xf numFmtId="0" fontId="5" fillId="16" borderId="55" xfId="0" applyFont="1" applyFill="1" applyBorder="1" applyAlignment="1" applyProtection="1">
      <alignment horizontal="right"/>
      <protection hidden="1"/>
    </xf>
    <xf numFmtId="0" fontId="178" fillId="0" borderId="0" xfId="0" applyFont="1" applyAlignment="1" applyProtection="1">
      <alignment horizontal="center" vertical="center" wrapText="1"/>
      <protection hidden="1"/>
    </xf>
    <xf numFmtId="0" fontId="178" fillId="0" borderId="5" xfId="0" applyFont="1" applyBorder="1" applyAlignment="1" applyProtection="1">
      <alignment horizontal="center" vertical="center" wrapText="1"/>
      <protection hidden="1"/>
    </xf>
    <xf numFmtId="0" fontId="160" fillId="0" borderId="112" xfId="0" applyFont="1" applyBorder="1" applyAlignment="1">
      <alignment horizontal="center" vertical="center" wrapText="1"/>
    </xf>
    <xf numFmtId="0" fontId="0" fillId="0" borderId="32" xfId="0" applyBorder="1" applyAlignment="1">
      <alignment horizontal="center" vertical="center" wrapText="1"/>
    </xf>
    <xf numFmtId="0" fontId="0" fillId="0" borderId="32" xfId="0" applyBorder="1" applyAlignment="1">
      <alignment vertical="center" wrapText="1"/>
    </xf>
    <xf numFmtId="0" fontId="0" fillId="0" borderId="113" xfId="0" applyBorder="1" applyAlignment="1">
      <alignment vertical="center" wrapText="1"/>
    </xf>
    <xf numFmtId="0" fontId="0" fillId="0" borderId="71" xfId="0" applyBorder="1" applyAlignment="1">
      <alignment horizontal="left" vertical="center" wrapText="1"/>
    </xf>
    <xf numFmtId="0" fontId="129" fillId="0" borderId="0" xfId="0" applyFont="1" applyAlignment="1" applyProtection="1">
      <alignment vertical="center" wrapText="1"/>
      <protection hidden="1"/>
    </xf>
    <xf numFmtId="0" fontId="129" fillId="0" borderId="0" xfId="0" applyFont="1" applyAlignment="1">
      <alignment wrapText="1"/>
    </xf>
    <xf numFmtId="39" fontId="3" fillId="17" borderId="13" xfId="0" applyNumberFormat="1" applyFont="1" applyFill="1" applyBorder="1" applyAlignment="1" applyProtection="1">
      <alignment horizontal="right"/>
      <protection locked="0"/>
    </xf>
    <xf numFmtId="39" fontId="3" fillId="17" borderId="40" xfId="0" applyNumberFormat="1" applyFont="1" applyFill="1" applyBorder="1" applyAlignment="1" applyProtection="1">
      <alignment horizontal="right"/>
      <protection locked="0"/>
    </xf>
    <xf numFmtId="0" fontId="5" fillId="16" borderId="31" xfId="0" applyFont="1" applyFill="1" applyBorder="1" applyAlignment="1" applyProtection="1">
      <alignment horizontal="left" vertical="center" wrapText="1"/>
      <protection hidden="1"/>
    </xf>
    <xf numFmtId="0" fontId="0" fillId="0" borderId="3" xfId="0" applyBorder="1" applyAlignment="1">
      <alignment horizontal="left" vertical="center" wrapText="1"/>
    </xf>
    <xf numFmtId="0" fontId="0" fillId="0" borderId="10" xfId="0" applyBorder="1" applyAlignment="1">
      <alignment horizontal="left" vertical="center" wrapText="1"/>
    </xf>
    <xf numFmtId="0" fontId="129" fillId="16" borderId="3" xfId="0" applyFont="1" applyFill="1" applyBorder="1" applyProtection="1">
      <protection hidden="1"/>
    </xf>
    <xf numFmtId="186" fontId="0" fillId="17" borderId="10" xfId="0" applyNumberFormat="1" applyFill="1" applyBorder="1" applyAlignment="1" applyProtection="1">
      <alignment horizontal="center"/>
      <protection locked="0"/>
    </xf>
    <xf numFmtId="186" fontId="0" fillId="17" borderId="1" xfId="0" applyNumberFormat="1" applyFill="1" applyBorder="1" applyAlignment="1" applyProtection="1">
      <alignment horizontal="center"/>
      <protection locked="0"/>
    </xf>
    <xf numFmtId="186" fontId="0" fillId="0" borderId="1" xfId="0" applyNumberFormat="1" applyBorder="1" applyAlignment="1" applyProtection="1">
      <alignment horizontal="center"/>
      <protection locked="0"/>
    </xf>
    <xf numFmtId="0" fontId="42" fillId="16" borderId="31" xfId="0" applyFont="1" applyFill="1" applyBorder="1" applyAlignment="1" applyProtection="1">
      <alignment horizontal="left" vertical="center" wrapText="1"/>
      <protection hidden="1"/>
    </xf>
    <xf numFmtId="0" fontId="0" fillId="0" borderId="25" xfId="0" applyBorder="1" applyAlignment="1">
      <alignment horizontal="left" vertical="center" wrapText="1"/>
    </xf>
    <xf numFmtId="1" fontId="8" fillId="29" borderId="10" xfId="0" applyNumberFormat="1" applyFont="1" applyFill="1" applyBorder="1" applyAlignment="1" applyProtection="1">
      <alignment horizontal="right"/>
      <protection hidden="1"/>
    </xf>
    <xf numFmtId="39" fontId="3" fillId="17" borderId="40" xfId="0" applyNumberFormat="1" applyFont="1" applyFill="1" applyBorder="1" applyProtection="1">
      <protection locked="0"/>
    </xf>
    <xf numFmtId="0" fontId="42" fillId="16" borderId="9" xfId="0" applyFont="1" applyFill="1" applyBorder="1" applyAlignment="1" applyProtection="1">
      <alignment horizontal="left" vertical="center" wrapText="1"/>
      <protection hidden="1"/>
    </xf>
    <xf numFmtId="0" fontId="42" fillId="16" borderId="15" xfId="0" applyFont="1" applyFill="1" applyBorder="1" applyAlignment="1" applyProtection="1">
      <alignment horizontal="left" vertical="center" wrapText="1"/>
      <protection hidden="1"/>
    </xf>
    <xf numFmtId="0" fontId="42" fillId="16" borderId="3" xfId="0" applyFont="1" applyFill="1" applyBorder="1" applyAlignment="1" applyProtection="1">
      <alignment horizontal="left" vertical="center" wrapText="1"/>
      <protection hidden="1"/>
    </xf>
    <xf numFmtId="0" fontId="42" fillId="16" borderId="0" xfId="0" applyFont="1" applyFill="1" applyAlignment="1" applyProtection="1">
      <alignment horizontal="left" vertical="center" wrapText="1"/>
      <protection hidden="1"/>
    </xf>
    <xf numFmtId="0" fontId="42" fillId="16" borderId="25" xfId="0" applyFont="1" applyFill="1" applyBorder="1" applyAlignment="1" applyProtection="1">
      <alignment horizontal="left" vertical="center" wrapText="1"/>
      <protection hidden="1"/>
    </xf>
    <xf numFmtId="0" fontId="42" fillId="16" borderId="10" xfId="0" applyFont="1" applyFill="1" applyBorder="1" applyAlignment="1" applyProtection="1">
      <alignment horizontal="left" vertical="center" wrapText="1"/>
      <protection hidden="1"/>
    </xf>
    <xf numFmtId="0" fontId="42" fillId="16" borderId="1" xfId="0" applyFont="1" applyFill="1" applyBorder="1" applyAlignment="1" applyProtection="1">
      <alignment horizontal="left" vertical="center" wrapText="1"/>
      <protection hidden="1"/>
    </xf>
    <xf numFmtId="0" fontId="42" fillId="16" borderId="12" xfId="0" applyFont="1" applyFill="1" applyBorder="1" applyAlignment="1" applyProtection="1">
      <alignment horizontal="left" vertical="center" wrapText="1"/>
      <protection hidden="1"/>
    </xf>
    <xf numFmtId="37" fontId="8" fillId="27" borderId="32" xfId="0" applyNumberFormat="1" applyFont="1" applyFill="1" applyBorder="1" applyAlignment="1" applyProtection="1">
      <alignment horizontal="right"/>
      <protection hidden="1"/>
    </xf>
    <xf numFmtId="0" fontId="3" fillId="27" borderId="32" xfId="0" applyFont="1" applyFill="1" applyBorder="1" applyAlignment="1" applyProtection="1">
      <alignment horizontal="right"/>
      <protection hidden="1"/>
    </xf>
    <xf numFmtId="0" fontId="3" fillId="27" borderId="74" xfId="0" applyFont="1" applyFill="1" applyBorder="1" applyAlignment="1" applyProtection="1">
      <alignment horizontal="right"/>
      <protection hidden="1"/>
    </xf>
    <xf numFmtId="0" fontId="129" fillId="16" borderId="0" xfId="0" applyFont="1" applyFill="1" applyAlignment="1" applyProtection="1">
      <alignment horizontal="left" vertical="center" wrapText="1"/>
      <protection hidden="1"/>
    </xf>
    <xf numFmtId="0" fontId="129" fillId="0" borderId="0" xfId="0" applyFont="1" applyAlignment="1">
      <alignment horizontal="left" vertical="center" wrapText="1"/>
    </xf>
    <xf numFmtId="180" fontId="8" fillId="29" borderId="1" xfId="0" applyNumberFormat="1" applyFont="1" applyFill="1" applyBorder="1" applyAlignment="1" applyProtection="1">
      <alignment horizontal="right"/>
      <protection hidden="1"/>
    </xf>
    <xf numFmtId="180" fontId="3" fillId="0" borderId="1" xfId="0" applyNumberFormat="1" applyFont="1" applyBorder="1" applyAlignment="1" applyProtection="1">
      <alignment horizontal="right"/>
      <protection hidden="1"/>
    </xf>
    <xf numFmtId="0" fontId="3" fillId="26" borderId="1" xfId="0" applyFont="1" applyFill="1" applyBorder="1" applyAlignment="1" applyProtection="1">
      <alignment horizontal="right"/>
      <protection hidden="1"/>
    </xf>
    <xf numFmtId="0" fontId="3" fillId="0" borderId="1" xfId="0" applyFont="1" applyBorder="1" applyAlignment="1" applyProtection="1">
      <alignment horizontal="right"/>
      <protection hidden="1"/>
    </xf>
    <xf numFmtId="0" fontId="7" fillId="24" borderId="31" xfId="0" applyFont="1" applyFill="1" applyBorder="1" applyAlignment="1" applyProtection="1">
      <alignment horizontal="center" vertical="center"/>
      <protection hidden="1"/>
    </xf>
    <xf numFmtId="0" fontId="7" fillId="24" borderId="3" xfId="0" applyFont="1" applyFill="1" applyBorder="1" applyAlignment="1" applyProtection="1">
      <alignment horizontal="center" vertical="center"/>
      <protection hidden="1"/>
    </xf>
    <xf numFmtId="0" fontId="3" fillId="28" borderId="1" xfId="0" applyFont="1" applyFill="1" applyBorder="1" applyAlignment="1" applyProtection="1">
      <alignment horizontal="right"/>
      <protection hidden="1"/>
    </xf>
    <xf numFmtId="1" fontId="235" fillId="16" borderId="0" xfId="0" applyNumberFormat="1" applyFont="1" applyFill="1" applyAlignment="1" applyProtection="1">
      <alignment horizontal="center" wrapText="1"/>
      <protection hidden="1"/>
    </xf>
    <xf numFmtId="1" fontId="235" fillId="16" borderId="25" xfId="0" applyNumberFormat="1" applyFont="1" applyFill="1" applyBorder="1" applyAlignment="1" applyProtection="1">
      <alignment horizontal="center" wrapText="1"/>
      <protection hidden="1"/>
    </xf>
    <xf numFmtId="37" fontId="3" fillId="0" borderId="5" xfId="0" applyNumberFormat="1" applyFont="1" applyBorder="1" applyAlignment="1" applyProtection="1">
      <alignment horizontal="right"/>
      <protection hidden="1"/>
    </xf>
    <xf numFmtId="0" fontId="5" fillId="16" borderId="32" xfId="0" applyFont="1" applyFill="1" applyBorder="1" applyAlignment="1" applyProtection="1">
      <alignment horizontal="left"/>
      <protection hidden="1"/>
    </xf>
    <xf numFmtId="39" fontId="3" fillId="17" borderId="52" xfId="0" applyNumberFormat="1" applyFont="1" applyFill="1" applyBorder="1" applyProtection="1">
      <protection locked="0"/>
    </xf>
    <xf numFmtId="39" fontId="3" fillId="26" borderId="52" xfId="0" applyNumberFormat="1" applyFont="1" applyFill="1" applyBorder="1" applyProtection="1">
      <protection hidden="1"/>
    </xf>
    <xf numFmtId="39" fontId="3" fillId="17" borderId="16" xfId="0" applyNumberFormat="1" applyFont="1" applyFill="1" applyBorder="1" applyAlignment="1" applyProtection="1">
      <alignment horizontal="right"/>
      <protection locked="0"/>
    </xf>
    <xf numFmtId="39" fontId="3" fillId="17" borderId="31" xfId="0" applyNumberFormat="1" applyFont="1" applyFill="1" applyBorder="1" applyAlignment="1" applyProtection="1">
      <alignment horizontal="right"/>
      <protection locked="0"/>
    </xf>
    <xf numFmtId="186" fontId="5" fillId="17" borderId="10" xfId="0" applyNumberFormat="1" applyFont="1" applyFill="1" applyBorder="1" applyAlignment="1" applyProtection="1">
      <alignment horizontal="center"/>
      <protection locked="0"/>
    </xf>
    <xf numFmtId="37" fontId="8" fillId="29" borderId="3" xfId="0" applyNumberFormat="1" applyFont="1" applyFill="1" applyBorder="1" applyAlignment="1" applyProtection="1">
      <alignment horizontal="right"/>
      <protection hidden="1"/>
    </xf>
    <xf numFmtId="0" fontId="3" fillId="0" borderId="0" xfId="0" applyFont="1" applyAlignment="1" applyProtection="1">
      <alignment horizontal="right"/>
      <protection hidden="1"/>
    </xf>
    <xf numFmtId="0" fontId="3" fillId="0" borderId="28" xfId="0" applyFont="1" applyBorder="1" applyAlignment="1" applyProtection="1">
      <alignment horizontal="right"/>
      <protection hidden="1"/>
    </xf>
    <xf numFmtId="1" fontId="0" fillId="17" borderId="10" xfId="0" applyNumberFormat="1" applyFill="1" applyBorder="1" applyAlignment="1" applyProtection="1">
      <alignment horizontal="center"/>
      <protection locked="0"/>
    </xf>
    <xf numFmtId="1" fontId="0" fillId="17" borderId="1" xfId="0" applyNumberFormat="1" applyFill="1" applyBorder="1" applyAlignment="1" applyProtection="1">
      <alignment horizontal="center"/>
      <protection locked="0"/>
    </xf>
    <xf numFmtId="1" fontId="0" fillId="0" borderId="1" xfId="0" applyNumberFormat="1" applyBorder="1" applyAlignment="1" applyProtection="1">
      <alignment horizontal="center"/>
      <protection locked="0"/>
    </xf>
    <xf numFmtId="1" fontId="0" fillId="0" borderId="12" xfId="0" applyNumberFormat="1" applyBorder="1" applyAlignment="1" applyProtection="1">
      <alignment horizontal="center"/>
      <protection locked="0"/>
    </xf>
    <xf numFmtId="186" fontId="0" fillId="0" borderId="12" xfId="0" applyNumberFormat="1" applyBorder="1" applyAlignment="1" applyProtection="1">
      <alignment horizontal="center"/>
      <protection locked="0"/>
    </xf>
    <xf numFmtId="0" fontId="3" fillId="24" borderId="31" xfId="0" applyFont="1" applyFill="1" applyBorder="1" applyAlignment="1" applyProtection="1">
      <alignment horizontal="center" vertical="center" wrapText="1"/>
      <protection hidden="1"/>
    </xf>
    <xf numFmtId="10" fontId="0" fillId="17" borderId="10" xfId="0" applyNumberFormat="1" applyFill="1" applyBorder="1" applyAlignment="1" applyProtection="1">
      <alignment horizontal="center"/>
      <protection locked="0"/>
    </xf>
    <xf numFmtId="10" fontId="0" fillId="17" borderId="1" xfId="0" applyNumberFormat="1" applyFill="1" applyBorder="1" applyAlignment="1" applyProtection="1">
      <alignment horizontal="center"/>
      <protection locked="0"/>
    </xf>
    <xf numFmtId="10" fontId="0" fillId="0" borderId="1" xfId="0" applyNumberFormat="1" applyBorder="1" applyAlignment="1" applyProtection="1">
      <alignment horizontal="center"/>
      <protection locked="0"/>
    </xf>
    <xf numFmtId="10" fontId="0" fillId="0" borderId="12" xfId="0" applyNumberFormat="1" applyBorder="1" applyAlignment="1" applyProtection="1">
      <alignment horizontal="center"/>
      <protection locked="0"/>
    </xf>
    <xf numFmtId="0" fontId="0" fillId="16" borderId="9" xfId="0" applyFill="1" applyBorder="1" applyAlignment="1" applyProtection="1">
      <alignment vertical="top"/>
      <protection hidden="1"/>
    </xf>
    <xf numFmtId="0" fontId="0" fillId="16" borderId="15" xfId="0" applyFill="1" applyBorder="1" applyAlignment="1" applyProtection="1">
      <alignment vertical="top"/>
      <protection hidden="1"/>
    </xf>
    <xf numFmtId="0" fontId="5" fillId="16" borderId="9" xfId="0" applyFont="1" applyFill="1" applyBorder="1" applyAlignment="1" applyProtection="1">
      <alignment vertical="top" wrapText="1"/>
      <protection hidden="1"/>
    </xf>
    <xf numFmtId="0" fontId="27" fillId="16" borderId="9" xfId="0" applyFont="1" applyFill="1" applyBorder="1" applyAlignment="1" applyProtection="1">
      <alignment horizontal="left" wrapText="1"/>
      <protection hidden="1"/>
    </xf>
    <xf numFmtId="0" fontId="27" fillId="16" borderId="1" xfId="0" applyFont="1" applyFill="1" applyBorder="1" applyAlignment="1" applyProtection="1">
      <alignment horizontal="left" vertical="top" wrapText="1"/>
      <protection hidden="1"/>
    </xf>
    <xf numFmtId="0" fontId="27" fillId="16" borderId="1" xfId="0" applyFont="1" applyFill="1" applyBorder="1" applyAlignment="1" applyProtection="1">
      <alignment horizontal="left" vertical="top"/>
      <protection hidden="1"/>
    </xf>
    <xf numFmtId="1" fontId="233" fillId="10" borderId="0" xfId="0" applyNumberFormat="1" applyFont="1" applyFill="1" applyAlignment="1" applyProtection="1">
      <alignment horizontal="center" vertical="center" wrapText="1"/>
      <protection hidden="1"/>
    </xf>
    <xf numFmtId="166" fontId="18" fillId="17" borderId="10" xfId="0" applyNumberFormat="1" applyFont="1" applyFill="1" applyBorder="1" applyAlignment="1" applyProtection="1">
      <alignment horizontal="center" vertical="center"/>
      <protection locked="0"/>
    </xf>
    <xf numFmtId="166" fontId="18" fillId="17" borderId="1" xfId="0" applyNumberFormat="1" applyFont="1" applyFill="1" applyBorder="1" applyAlignment="1" applyProtection="1">
      <alignment horizontal="center" vertical="center"/>
      <protection locked="0"/>
    </xf>
    <xf numFmtId="166" fontId="18" fillId="17" borderId="12" xfId="0" applyNumberFormat="1" applyFont="1" applyFill="1" applyBorder="1" applyAlignment="1" applyProtection="1">
      <alignment horizontal="center" vertical="center"/>
      <protection locked="0"/>
    </xf>
    <xf numFmtId="0" fontId="3" fillId="16" borderId="9" xfId="0" quotePrefix="1" applyFont="1" applyFill="1" applyBorder="1" applyAlignment="1" applyProtection="1">
      <alignment horizontal="center"/>
      <protection hidden="1"/>
    </xf>
    <xf numFmtId="0" fontId="3" fillId="17" borderId="31" xfId="0" applyFont="1" applyFill="1" applyBorder="1" applyAlignment="1" applyProtection="1">
      <alignment horizontal="left" wrapText="1"/>
      <protection locked="0"/>
    </xf>
    <xf numFmtId="0" fontId="3" fillId="17" borderId="9" xfId="0" applyFont="1" applyFill="1" applyBorder="1" applyAlignment="1" applyProtection="1">
      <alignment horizontal="left" wrapText="1"/>
      <protection locked="0"/>
    </xf>
    <xf numFmtId="0" fontId="3" fillId="17" borderId="15" xfId="0" applyFont="1" applyFill="1" applyBorder="1" applyAlignment="1" applyProtection="1">
      <alignment horizontal="left" wrapText="1"/>
      <protection locked="0"/>
    </xf>
    <xf numFmtId="0" fontId="3" fillId="17" borderId="10" xfId="0" applyFont="1" applyFill="1" applyBorder="1" applyAlignment="1" applyProtection="1">
      <alignment horizontal="left" wrapText="1"/>
      <protection locked="0"/>
    </xf>
    <xf numFmtId="0" fontId="3" fillId="17" borderId="1" xfId="0" applyFont="1" applyFill="1" applyBorder="1" applyAlignment="1" applyProtection="1">
      <alignment horizontal="left" wrapText="1"/>
      <protection locked="0"/>
    </xf>
    <xf numFmtId="0" fontId="3" fillId="17" borderId="12" xfId="0" applyFont="1" applyFill="1" applyBorder="1" applyAlignment="1" applyProtection="1">
      <alignment horizontal="left" wrapText="1"/>
      <protection locked="0"/>
    </xf>
    <xf numFmtId="37" fontId="18" fillId="17" borderId="10" xfId="0" applyNumberFormat="1" applyFont="1" applyFill="1" applyBorder="1" applyAlignment="1" applyProtection="1">
      <alignment horizontal="right"/>
      <protection locked="0"/>
    </xf>
    <xf numFmtId="0" fontId="23" fillId="16" borderId="0" xfId="0" applyFont="1" applyFill="1" applyAlignment="1">
      <alignment horizontal="left" wrapText="1"/>
    </xf>
    <xf numFmtId="0" fontId="83" fillId="0" borderId="5" xfId="0" applyFont="1" applyBorder="1" applyAlignment="1">
      <alignment horizontal="left" wrapText="1"/>
    </xf>
    <xf numFmtId="0" fontId="53" fillId="16" borderId="0" xfId="0" applyFont="1" applyFill="1" applyAlignment="1">
      <alignment horizontal="center"/>
    </xf>
    <xf numFmtId="0" fontId="123" fillId="16" borderId="0" xfId="0" applyFont="1" applyFill="1" applyAlignment="1">
      <alignment horizontal="left"/>
    </xf>
    <xf numFmtId="0" fontId="123" fillId="16" borderId="21" xfId="0" applyFont="1" applyFill="1" applyBorder="1" applyAlignment="1">
      <alignment horizontal="left"/>
    </xf>
    <xf numFmtId="0" fontId="23" fillId="16" borderId="6" xfId="0" applyFont="1" applyFill="1" applyBorder="1" applyAlignment="1" applyProtection="1">
      <alignment horizontal="center"/>
      <protection hidden="1"/>
    </xf>
    <xf numFmtId="0" fontId="23" fillId="16" borderId="21" xfId="0" applyFont="1" applyFill="1" applyBorder="1" applyAlignment="1" applyProtection="1">
      <alignment horizontal="center"/>
      <protection hidden="1"/>
    </xf>
    <xf numFmtId="0" fontId="50" fillId="17" borderId="0" xfId="0" applyFont="1" applyFill="1" applyAlignment="1" applyProtection="1">
      <alignment horizontal="left"/>
      <protection locked="0"/>
    </xf>
    <xf numFmtId="0" fontId="50" fillId="17" borderId="25" xfId="0" applyFont="1" applyFill="1" applyBorder="1" applyAlignment="1" applyProtection="1">
      <alignment horizontal="left"/>
      <protection locked="0"/>
    </xf>
    <xf numFmtId="0" fontId="50" fillId="17" borderId="1" xfId="0" applyFont="1" applyFill="1" applyBorder="1" applyAlignment="1" applyProtection="1">
      <alignment horizontal="left"/>
      <protection locked="0"/>
    </xf>
    <xf numFmtId="0" fontId="50" fillId="17" borderId="12" xfId="0" applyFont="1" applyFill="1" applyBorder="1" applyAlignment="1" applyProtection="1">
      <alignment horizontal="left"/>
      <protection locked="0"/>
    </xf>
    <xf numFmtId="166" fontId="23" fillId="17" borderId="3" xfId="0" applyNumberFormat="1" applyFont="1" applyFill="1" applyBorder="1" applyAlignment="1" applyProtection="1">
      <alignment horizontal="center" vertical="center"/>
      <protection locked="0" hidden="1"/>
    </xf>
    <xf numFmtId="166" fontId="23" fillId="17" borderId="0" xfId="0" applyNumberFormat="1" applyFont="1" applyFill="1" applyAlignment="1" applyProtection="1">
      <alignment horizontal="center" vertical="center"/>
      <protection locked="0" hidden="1"/>
    </xf>
    <xf numFmtId="166" fontId="23" fillId="17" borderId="10" xfId="0" applyNumberFormat="1" applyFont="1" applyFill="1" applyBorder="1" applyAlignment="1" applyProtection="1">
      <alignment horizontal="center" vertical="center"/>
      <protection locked="0" hidden="1"/>
    </xf>
    <xf numFmtId="166" fontId="23" fillId="17" borderId="1" xfId="0" applyNumberFormat="1" applyFont="1" applyFill="1" applyBorder="1" applyAlignment="1" applyProtection="1">
      <alignment horizontal="center" vertical="center"/>
      <protection locked="0" hidden="1"/>
    </xf>
    <xf numFmtId="0" fontId="3" fillId="16" borderId="26" xfId="0" quotePrefix="1" applyFont="1" applyFill="1" applyBorder="1" applyAlignment="1" applyProtection="1">
      <alignment horizontal="center" vertical="top" wrapText="1"/>
      <protection hidden="1"/>
    </xf>
    <xf numFmtId="0" fontId="0" fillId="0" borderId="55" xfId="0" applyBorder="1" applyAlignment="1">
      <alignment horizontal="center" vertical="top"/>
    </xf>
    <xf numFmtId="0" fontId="5" fillId="16" borderId="40" xfId="0" applyFont="1" applyFill="1" applyBorder="1" applyAlignment="1" applyProtection="1">
      <alignment horizontal="center" vertical="top" wrapText="1"/>
      <protection hidden="1"/>
    </xf>
    <xf numFmtId="0" fontId="0" fillId="16" borderId="26" xfId="0" applyFill="1" applyBorder="1" applyAlignment="1" applyProtection="1">
      <alignment horizontal="center" vertical="top"/>
      <protection hidden="1"/>
    </xf>
    <xf numFmtId="0" fontId="0" fillId="16" borderId="55" xfId="0" applyFill="1" applyBorder="1" applyAlignment="1" applyProtection="1">
      <alignment horizontal="center" vertical="top"/>
      <protection hidden="1"/>
    </xf>
    <xf numFmtId="0" fontId="0" fillId="16" borderId="55" xfId="0" applyFill="1" applyBorder="1" applyAlignment="1" applyProtection="1">
      <alignment horizontal="center" vertical="center"/>
      <protection hidden="1"/>
    </xf>
    <xf numFmtId="37" fontId="18" fillId="28" borderId="10" xfId="0" applyNumberFormat="1" applyFont="1" applyFill="1" applyBorder="1" applyProtection="1">
      <protection hidden="1"/>
    </xf>
    <xf numFmtId="37" fontId="53" fillId="28" borderId="1" xfId="0" applyNumberFormat="1" applyFont="1" applyFill="1" applyBorder="1" applyProtection="1">
      <protection hidden="1"/>
    </xf>
    <xf numFmtId="37" fontId="53" fillId="28" borderId="12" xfId="0" applyNumberFormat="1" applyFont="1" applyFill="1" applyBorder="1" applyProtection="1">
      <protection hidden="1"/>
    </xf>
    <xf numFmtId="37" fontId="18" fillId="17" borderId="26" xfId="0" applyNumberFormat="1" applyFont="1" applyFill="1" applyBorder="1" applyAlignment="1" applyProtection="1">
      <alignment horizontal="right"/>
      <protection locked="0"/>
    </xf>
    <xf numFmtId="37" fontId="18" fillId="28" borderId="10" xfId="0" applyNumberFormat="1" applyFont="1" applyFill="1" applyBorder="1" applyAlignment="1" applyProtection="1">
      <alignment horizontal="right"/>
      <protection hidden="1"/>
    </xf>
    <xf numFmtId="37" fontId="18" fillId="28" borderId="40" xfId="0" applyNumberFormat="1" applyFont="1" applyFill="1" applyBorder="1" applyProtection="1">
      <protection hidden="1"/>
    </xf>
    <xf numFmtId="37" fontId="53" fillId="28" borderId="26" xfId="0" applyNumberFormat="1" applyFont="1" applyFill="1" applyBorder="1" applyProtection="1">
      <protection hidden="1"/>
    </xf>
    <xf numFmtId="37" fontId="194" fillId="16" borderId="31" xfId="0" applyNumberFormat="1" applyFont="1" applyFill="1" applyBorder="1" applyAlignment="1" applyProtection="1">
      <alignment horizontal="right"/>
      <protection hidden="1"/>
    </xf>
    <xf numFmtId="37" fontId="194" fillId="16" borderId="9" xfId="0" applyNumberFormat="1" applyFont="1" applyFill="1" applyBorder="1" applyAlignment="1" applyProtection="1">
      <alignment horizontal="right"/>
      <protection hidden="1"/>
    </xf>
    <xf numFmtId="37" fontId="194" fillId="16" borderId="15" xfId="0" applyNumberFormat="1" applyFont="1" applyFill="1" applyBorder="1" applyAlignment="1" applyProtection="1">
      <alignment horizontal="right"/>
      <protection hidden="1"/>
    </xf>
    <xf numFmtId="0" fontId="53" fillId="28" borderId="1" xfId="0" applyFont="1" applyFill="1" applyBorder="1" applyProtection="1">
      <protection hidden="1"/>
    </xf>
    <xf numFmtId="0" fontId="53" fillId="28" borderId="12" xfId="0" applyFont="1" applyFill="1" applyBorder="1" applyProtection="1">
      <protection hidden="1"/>
    </xf>
    <xf numFmtId="37" fontId="129" fillId="0" borderId="0" xfId="0" applyNumberFormat="1" applyFont="1" applyAlignment="1">
      <alignment horizontal="right"/>
    </xf>
    <xf numFmtId="0" fontId="53" fillId="28" borderId="26" xfId="0" applyFont="1" applyFill="1" applyBorder="1" applyProtection="1">
      <protection hidden="1"/>
    </xf>
    <xf numFmtId="37" fontId="18" fillId="28" borderId="26" xfId="0" applyNumberFormat="1" applyFont="1" applyFill="1" applyBorder="1" applyAlignment="1" applyProtection="1">
      <alignment horizontal="right"/>
      <protection hidden="1"/>
    </xf>
    <xf numFmtId="0" fontId="13" fillId="0" borderId="108" xfId="0" applyFont="1" applyBorder="1" applyAlignment="1" applyProtection="1">
      <alignment horizontal="center"/>
      <protection hidden="1"/>
    </xf>
    <xf numFmtId="0" fontId="0" fillId="0" borderId="28" xfId="0" applyBorder="1" applyAlignment="1" applyProtection="1">
      <alignment horizontal="center"/>
      <protection hidden="1"/>
    </xf>
    <xf numFmtId="0" fontId="0" fillId="0" borderId="109" xfId="0" applyBorder="1" applyAlignment="1" applyProtection="1">
      <alignment horizontal="center"/>
      <protection hidden="1"/>
    </xf>
    <xf numFmtId="0" fontId="13" fillId="0" borderId="49" xfId="0" applyFont="1" applyBorder="1" applyAlignment="1" applyProtection="1">
      <alignment horizontal="center"/>
      <protection hidden="1"/>
    </xf>
    <xf numFmtId="3" fontId="13" fillId="0" borderId="108" xfId="0" applyNumberFormat="1" applyFont="1" applyBorder="1" applyAlignment="1" applyProtection="1">
      <alignment horizontal="center"/>
      <protection hidden="1"/>
    </xf>
    <xf numFmtId="3" fontId="0" fillId="0" borderId="28" xfId="0" applyNumberFormat="1" applyBorder="1" applyAlignment="1" applyProtection="1">
      <alignment horizontal="center"/>
      <protection hidden="1"/>
    </xf>
    <xf numFmtId="3" fontId="0" fillId="0" borderId="109" xfId="0" applyNumberFormat="1" applyBorder="1" applyAlignment="1" applyProtection="1">
      <alignment horizontal="center"/>
      <protection hidden="1"/>
    </xf>
  </cellXfs>
  <cellStyles count="11">
    <cellStyle name="Check Cell" xfId="6" builtinId="23"/>
    <cellStyle name="Currency" xfId="1" builtinId="4"/>
    <cellStyle name="Hyperlink" xfId="2" builtinId="8"/>
    <cellStyle name="Hyperlink 2" xfId="3" xr:uid="{00000000-0005-0000-0000-000003000000}"/>
    <cellStyle name="Hyperlink 2 2" xfId="8" xr:uid="{00000000-0005-0000-0000-000004000000}"/>
    <cellStyle name="Hyperlink 3" xfId="5" xr:uid="{00000000-0005-0000-0000-000005000000}"/>
    <cellStyle name="Hyperlink 3 2" xfId="9" xr:uid="{00000000-0005-0000-0000-000006000000}"/>
    <cellStyle name="Normal" xfId="0" builtinId="0"/>
    <cellStyle name="Normal 2" xfId="4" xr:uid="{00000000-0005-0000-0000-000008000000}"/>
    <cellStyle name="Normal 3" xfId="7" xr:uid="{00000000-0005-0000-0000-000009000000}"/>
    <cellStyle name="Normal 3 2" xfId="10" xr:uid="{00000000-0005-0000-0000-00000A000000}"/>
  </cellStyles>
  <dxfs count="3130">
    <dxf>
      <fill>
        <patternFill>
          <bgColor theme="5" tint="0.79998168889431442"/>
        </patternFill>
      </fill>
    </dxf>
    <dxf>
      <fill>
        <patternFill patternType="solid">
          <fgColor theme="0"/>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C00000"/>
      </font>
    </dxf>
    <dxf>
      <fill>
        <patternFill>
          <bgColor theme="0"/>
        </patternFill>
      </fill>
    </dxf>
    <dxf>
      <font>
        <color rgb="FFFF0000"/>
      </font>
    </dxf>
    <dxf>
      <font>
        <color theme="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border>
        <left style="thin">
          <color auto="1"/>
        </left>
        <right style="thin">
          <color auto="1"/>
        </right>
        <top style="thin">
          <color auto="1"/>
        </top>
        <bottom style="thin">
          <color auto="1"/>
        </bottom>
      </border>
    </dxf>
    <dxf>
      <font>
        <b/>
        <i val="0"/>
        <color rgb="FF008000"/>
      </font>
    </dxf>
    <dxf>
      <font>
        <b/>
        <i val="0"/>
        <color rgb="FF008000"/>
      </font>
    </dxf>
    <dxf>
      <border>
        <left style="thin">
          <color auto="1"/>
        </left>
        <right style="thin">
          <color auto="1"/>
        </right>
        <top style="thin">
          <color auto="1"/>
        </top>
        <bottom style="thin">
          <color auto="1"/>
        </bottom>
        <vertical/>
        <horizontal/>
      </border>
    </dxf>
    <dxf>
      <border>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border>
    </dxf>
    <dxf>
      <font>
        <strike val="0"/>
      </font>
      <border>
        <left/>
        <right style="thin">
          <color auto="1"/>
        </right>
        <top style="thin">
          <color auto="1"/>
        </top>
        <bottom style="thin">
          <color auto="1"/>
        </bottom>
        <vertical/>
        <horizontal/>
      </border>
    </dxf>
    <dxf>
      <font>
        <b/>
        <i val="0"/>
        <color rgb="FFFF0000"/>
      </font>
    </dxf>
    <dxf>
      <font>
        <color theme="1"/>
      </font>
    </dxf>
    <dxf>
      <font>
        <color theme="1"/>
      </font>
    </dxf>
    <dxf>
      <font>
        <b/>
        <i val="0"/>
        <color rgb="FFFF000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ont>
        <b/>
        <i val="0"/>
        <color rgb="FF008000"/>
      </font>
    </dxf>
    <dxf>
      <font>
        <b/>
        <i val="0"/>
        <color rgb="FF008000"/>
      </font>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none">
          <bgColor auto="1"/>
        </patternFill>
      </fill>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border>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fill>
        <patternFill patternType="none">
          <bgColor auto="1"/>
        </patternFill>
      </fill>
    </dxf>
    <dxf>
      <font>
        <b/>
        <i val="0"/>
        <color rgb="FFC00000"/>
      </font>
      <fill>
        <patternFill patternType="none">
          <bgColor auto="1"/>
        </patternFill>
      </fill>
    </dxf>
    <dxf>
      <font>
        <color rgb="FFC00000"/>
      </font>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ont>
        <color rgb="FFC00000"/>
      </font>
    </dxf>
    <dxf>
      <font>
        <color rgb="FFC00000"/>
      </font>
    </dxf>
    <dxf>
      <font>
        <color rgb="FFC00000"/>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b/>
        <i val="0"/>
        <color rgb="FFFF0000"/>
      </font>
    </dxf>
    <dxf>
      <font>
        <color theme="1"/>
      </font>
    </dxf>
    <dxf>
      <font>
        <b/>
        <i val="0"/>
        <color rgb="FFFF0000"/>
      </font>
    </dxf>
    <dxf>
      <font>
        <b/>
        <i val="0"/>
        <color rgb="FFFF0000"/>
      </font>
    </dxf>
    <dxf>
      <font>
        <color theme="1"/>
      </font>
    </dxf>
    <dxf>
      <font>
        <color theme="1"/>
      </font>
    </dxf>
    <dxf>
      <font>
        <b/>
        <i val="0"/>
        <color rgb="FFFF0000"/>
      </font>
    </dxf>
    <dxf>
      <font>
        <b/>
        <i val="0"/>
        <color rgb="FFFF0000"/>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4" tint="0.79998168889431442"/>
      </font>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ill>
        <patternFill>
          <bgColor theme="0"/>
        </patternFill>
      </fill>
    </dxf>
    <dxf>
      <font>
        <color theme="4" tint="0.79998168889431442"/>
      </font>
    </dxf>
    <dxf>
      <fill>
        <patternFill>
          <bgColor theme="0"/>
        </patternFill>
      </fill>
    </dxf>
    <dxf>
      <fill>
        <patternFill>
          <bgColor theme="0"/>
        </patternFill>
      </fill>
    </dxf>
    <dxf>
      <font>
        <color theme="4" tint="0.79998168889431442"/>
      </font>
    </dxf>
    <dxf>
      <fill>
        <patternFill>
          <bgColor theme="0"/>
        </patternFill>
      </fill>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right/>
        <vertical/>
        <horizontal/>
      </border>
    </dxf>
    <dxf>
      <border>
        <right/>
        <top/>
        <vertical/>
        <horizontal/>
      </border>
    </dxf>
    <dxf>
      <border>
        <right/>
        <bottom/>
        <vertical/>
        <horizontal/>
      </border>
    </dxf>
    <dxf>
      <border>
        <right/>
        <vertical/>
        <horizontal/>
      </border>
    </dxf>
    <dxf>
      <border>
        <right/>
        <top/>
        <vertical/>
        <horizontal/>
      </border>
    </dxf>
    <dxf>
      <fill>
        <patternFill>
          <bgColor theme="0"/>
        </patternFill>
      </fill>
    </dxf>
    <dxf>
      <fill>
        <patternFill>
          <bgColor theme="0"/>
        </patternFill>
      </fill>
    </dxf>
    <dxf>
      <fill>
        <patternFill>
          <bgColor theme="0"/>
        </patternFill>
      </fill>
    </dxf>
    <dxf>
      <fill>
        <patternFill>
          <bgColor theme="0"/>
        </patternFill>
      </fill>
    </dxf>
    <dxf>
      <border>
        <top/>
        <vertical/>
        <horizontal/>
      </border>
    </dxf>
    <dxf>
      <border>
        <top/>
        <vertical/>
        <horizontal/>
      </border>
    </dxf>
    <dxf>
      <border>
        <bottom/>
        <vertical/>
        <horizontal/>
      </border>
    </dxf>
    <dxf>
      <border>
        <top/>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font>
    </dxf>
    <dxf>
      <fill>
        <patternFill>
          <bgColor theme="0"/>
        </patternFill>
      </fill>
    </dxf>
    <dxf>
      <font>
        <b/>
        <i val="0"/>
      </font>
    </dxf>
    <dxf>
      <fill>
        <patternFill>
          <bgColor theme="0"/>
        </patternFill>
      </fill>
    </dxf>
    <dxf>
      <fill>
        <patternFill>
          <bgColor theme="0"/>
        </patternFill>
      </fill>
    </dxf>
    <dxf>
      <font>
        <color rgb="FFFF0000"/>
      </font>
    </dxf>
    <dxf>
      <fill>
        <patternFill>
          <bgColor theme="0"/>
        </patternFill>
      </fill>
    </dxf>
    <dxf>
      <font>
        <b/>
        <i val="0"/>
      </font>
    </dxf>
    <dxf>
      <fill>
        <patternFill>
          <bgColor theme="0"/>
        </patternFill>
      </fill>
    </dxf>
    <dxf>
      <fill>
        <patternFill>
          <bgColor theme="0"/>
        </patternFill>
      </fill>
    </dxf>
    <dxf>
      <font>
        <b/>
        <i val="0"/>
        <color rgb="FF008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font>
    </dxf>
    <dxf>
      <fill>
        <patternFill>
          <bgColor theme="0"/>
        </patternFill>
      </fill>
    </dxf>
    <dxf>
      <font>
        <color rgb="FFFF0000"/>
      </font>
    </dxf>
    <dxf>
      <font>
        <color rgb="FFFF0000"/>
      </font>
    </dxf>
    <dxf>
      <font>
        <b/>
        <i val="0"/>
        <color rgb="FFFF0000"/>
      </font>
    </dxf>
    <dxf>
      <font>
        <color theme="1"/>
      </font>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7"/>
      </font>
    </dxf>
    <dxf>
      <font>
        <b/>
        <i val="0"/>
        <color rgb="FFC00000"/>
      </font>
    </dxf>
    <dxf>
      <font>
        <b/>
        <i val="0"/>
        <color rgb="FFC00000"/>
      </font>
    </dxf>
    <dxf>
      <font>
        <color rgb="FFFF0000"/>
      </font>
    </dxf>
    <dxf>
      <fill>
        <patternFill>
          <bgColor theme="0"/>
        </patternFill>
      </fill>
    </dxf>
    <dxf>
      <fill>
        <patternFill>
          <bgColor theme="0"/>
        </patternFill>
      </fill>
    </dxf>
    <dxf>
      <font>
        <b/>
        <i val="0"/>
        <color rgb="FFFF0000"/>
      </font>
    </dxf>
    <dxf>
      <font>
        <b val="0"/>
        <i val="0"/>
        <color indexed="10"/>
      </font>
    </dxf>
    <dxf>
      <fill>
        <patternFill>
          <bgColor theme="0"/>
        </patternFill>
      </fill>
    </dxf>
    <dxf>
      <border>
        <left style="thin">
          <color auto="1"/>
        </left>
        <right style="thin">
          <color auto="1"/>
        </right>
        <top style="thin">
          <color auto="1"/>
        </top>
        <bottom style="thin">
          <color auto="1"/>
        </bottom>
        <vertical/>
        <horizontal/>
      </border>
    </dxf>
    <dxf>
      <font>
        <color theme="1"/>
      </font>
    </dxf>
    <dxf>
      <border>
        <left/>
        <right/>
        <top/>
        <bottom/>
        <vertical/>
        <horizontal/>
      </border>
    </dxf>
    <dxf>
      <fill>
        <patternFill>
          <bgColor theme="0"/>
        </patternFill>
      </fill>
    </dxf>
    <dxf>
      <font>
        <color theme="1"/>
      </font>
    </dxf>
    <dxf>
      <font>
        <color theme="1"/>
      </font>
    </dxf>
    <dxf>
      <font>
        <color theme="1"/>
      </font>
    </dxf>
    <dxf>
      <font>
        <color rgb="FF0070C0"/>
      </font>
      <fill>
        <patternFill>
          <bgColor theme="0" tint="-0.1499679555650502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10"/>
      </font>
    </dxf>
    <dxf>
      <font>
        <condense val="0"/>
        <extend val="0"/>
        <color indexed="9"/>
      </font>
    </dxf>
    <dxf>
      <font>
        <b val="0"/>
        <i val="0"/>
        <condense val="0"/>
        <extend val="0"/>
        <color indexed="10"/>
      </font>
    </dxf>
    <dxf>
      <font>
        <b/>
        <i val="0"/>
        <color rgb="FFFF0000"/>
      </font>
    </dxf>
    <dxf>
      <font>
        <b val="0"/>
        <i val="0"/>
        <color rgb="FFFF0000"/>
      </font>
    </dxf>
    <dxf>
      <font>
        <b val="0"/>
        <i val="0"/>
        <color indexed="10"/>
      </font>
    </dxf>
    <dxf>
      <font>
        <b val="0"/>
        <i val="0"/>
        <condense val="0"/>
        <extend val="0"/>
        <color indexed="10"/>
      </font>
    </dxf>
    <dxf>
      <font>
        <condense val="0"/>
        <extend val="0"/>
        <color indexed="9"/>
      </font>
    </dxf>
    <dxf>
      <font>
        <b/>
        <i val="0"/>
        <color rgb="FFFF0000"/>
      </font>
    </dxf>
    <dxf>
      <font>
        <b/>
        <i val="0"/>
        <condense val="0"/>
        <extend val="0"/>
        <color indexed="10"/>
      </font>
    </dxf>
    <dxf>
      <font>
        <b/>
        <i val="0"/>
        <color rgb="FFFF0000"/>
      </font>
    </dxf>
    <dxf>
      <font>
        <color rgb="FFC00000"/>
      </font>
    </dxf>
    <dxf>
      <font>
        <color rgb="FFC00000"/>
      </font>
    </dxf>
    <dxf>
      <font>
        <condense val="0"/>
        <extend val="0"/>
        <color indexed="10"/>
      </font>
    </dxf>
    <dxf>
      <font>
        <color rgb="FFC00000"/>
      </font>
    </dxf>
    <dxf>
      <font>
        <color rgb="FFFF0000"/>
      </font>
    </dxf>
    <dxf>
      <font>
        <color rgb="FFFF0000"/>
      </font>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patternType="none">
          <bgColor auto="1"/>
        </patternFill>
      </fill>
      <border>
        <left/>
        <right/>
        <top/>
        <bottom/>
        <vertical/>
        <horizontal/>
      </border>
    </dxf>
    <dxf>
      <font>
        <b/>
        <i val="0"/>
        <color rgb="FFFF0000"/>
      </font>
      <fill>
        <patternFill>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fill>
        <patternFill patternType="solid">
          <bgColor theme="0"/>
        </patternFill>
      </fill>
      <border>
        <left style="thin">
          <color auto="1"/>
        </left>
        <right style="thin">
          <color auto="1"/>
        </right>
        <top style="thin">
          <color auto="1"/>
        </top>
        <bottom style="thin">
          <color auto="1"/>
        </bottom>
      </border>
    </dxf>
    <dxf>
      <font>
        <strike val="0"/>
        <color rgb="FFFF0000"/>
      </font>
      <fill>
        <patternFill patternType="solid">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b/>
        <i val="0"/>
        <color rgb="FFFF0000"/>
      </font>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b/>
        <i val="0"/>
        <color rgb="FFC00000"/>
      </font>
    </dxf>
    <dxf>
      <font>
        <b/>
        <i/>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ont>
        <color rgb="FFFF0000"/>
      </font>
    </dxf>
    <dxf>
      <font>
        <color rgb="FF008000"/>
      </font>
    </dxf>
    <dxf>
      <font>
        <color rgb="FF008000"/>
      </font>
    </dxf>
    <dxf>
      <fill>
        <patternFill patternType="solid"/>
      </fill>
    </dxf>
    <dxf>
      <fill>
        <patternFill>
          <fgColor theme="0"/>
          <bgColor theme="0"/>
        </patternFill>
      </fill>
    </dxf>
    <dxf>
      <font>
        <b val="0"/>
        <i val="0"/>
      </font>
      <fill>
        <patternFill patternType="solid">
          <bgColor theme="0"/>
        </patternFill>
      </fill>
    </dxf>
    <dxf>
      <fill>
        <patternFill patternType="solid">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9"/>
      </font>
    </dxf>
    <dxf>
      <fill>
        <patternFill>
          <bgColor theme="0"/>
        </patternFill>
      </fill>
    </dxf>
    <dxf>
      <font>
        <color theme="4" tint="0.79998168889431442"/>
      </font>
    </dxf>
    <dxf>
      <fill>
        <patternFill>
          <bgColor theme="0"/>
        </patternFill>
      </fill>
    </dxf>
    <dxf>
      <fill>
        <patternFill>
          <bgColor theme="0"/>
        </patternFill>
      </fill>
    </dxf>
    <dxf>
      <font>
        <color theme="4" tint="0.79998168889431442"/>
      </font>
    </dxf>
    <dxf>
      <fill>
        <patternFill>
          <bgColor theme="0"/>
        </patternFill>
      </fill>
    </dxf>
    <dxf>
      <fill>
        <patternFill>
          <bgColor theme="0"/>
        </patternFill>
      </fill>
    </dxf>
    <dxf>
      <font>
        <condense val="0"/>
        <extend val="0"/>
        <color indexed="9"/>
      </font>
    </dxf>
    <dxf>
      <fill>
        <patternFill>
          <bgColor theme="0"/>
        </patternFill>
      </fill>
    </dxf>
    <dxf>
      <font>
        <color theme="4" tint="0.79998168889431442"/>
      </font>
    </dxf>
    <dxf>
      <fill>
        <patternFill>
          <bgColor theme="0"/>
        </patternFill>
      </fill>
    </dxf>
    <dxf>
      <fill>
        <patternFill>
          <bgColor theme="0"/>
        </patternFill>
      </fill>
    </dxf>
    <dxf>
      <fill>
        <patternFill>
          <bgColor theme="0"/>
        </patternFill>
      </fill>
    </dxf>
    <dxf>
      <font>
        <color rgb="FFFF0000"/>
      </font>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i val="0"/>
        <color rgb="FFC00000"/>
      </font>
      <fill>
        <patternFill patternType="solid">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b/>
        <i val="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b/>
        <i val="0"/>
        <color rgb="FFFF0000"/>
      </font>
    </dxf>
    <dxf>
      <font>
        <color rgb="FFFF0000"/>
      </font>
    </dxf>
    <dxf>
      <font>
        <color rgb="FFFF0000"/>
      </font>
    </dxf>
    <dxf>
      <font>
        <color rgb="FFFF0000"/>
      </font>
    </dxf>
    <dxf>
      <font>
        <b/>
        <i/>
        <color rgb="FFFF0000"/>
      </font>
    </dxf>
    <dxf>
      <font>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ndense val="0"/>
        <extend val="0"/>
      </font>
      <fill>
        <patternFill>
          <bgColor indexed="9"/>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008000"/>
      </font>
    </dxf>
    <dxf>
      <font>
        <color rgb="FF008000"/>
      </font>
    </dxf>
    <dxf>
      <font>
        <color rgb="FFC00000"/>
      </font>
    </dxf>
    <dxf>
      <font>
        <color rgb="FF008000"/>
      </font>
    </dxf>
    <dxf>
      <font>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4" tint="0.59996337778862885"/>
        </patternFill>
      </fill>
      <border>
        <bottom style="thin">
          <color auto="1"/>
        </bottom>
        <vertical/>
        <horizontal/>
      </border>
    </dxf>
    <dxf>
      <fill>
        <patternFill>
          <bgColor theme="0"/>
        </patternFill>
      </fill>
      <border>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b/>
        <i val="0"/>
        <color rgb="FFFF0000"/>
      </font>
    </dxf>
    <dxf>
      <fill>
        <patternFill>
          <bgColor theme="0"/>
        </patternFill>
      </fill>
    </dxf>
    <dxf>
      <font>
        <b/>
        <i val="0"/>
        <color rgb="FFFF0000"/>
      </font>
    </dxf>
    <dxf>
      <fill>
        <patternFill>
          <bgColor theme="0"/>
        </patternFill>
      </fill>
    </dxf>
    <dxf>
      <font>
        <b/>
        <i val="0"/>
        <color rgb="FFFF0000"/>
      </font>
    </dxf>
    <dxf>
      <font>
        <color rgb="FFFF0000"/>
      </font>
    </dxf>
    <dxf>
      <font>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rgb="FFFF0000"/>
      </font>
    </dxf>
    <dxf>
      <font>
        <color rgb="FFFF0000"/>
      </font>
    </dxf>
    <dxf>
      <fill>
        <patternFill>
          <bgColor theme="0"/>
        </patternFill>
      </fill>
    </dxf>
    <dxf>
      <font>
        <b/>
        <i val="0"/>
        <color rgb="FFFF0000"/>
      </font>
    </dxf>
    <dxf>
      <font>
        <color rgb="FFFF0000"/>
      </font>
    </dxf>
    <dxf>
      <fill>
        <patternFill>
          <bgColor theme="0"/>
        </patternFill>
      </fill>
    </dxf>
    <dxf>
      <font>
        <color rgb="FF00800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fgColor theme="0"/>
          <bgColor theme="0"/>
        </patternFill>
      </fill>
    </dxf>
    <dxf>
      <fill>
        <patternFill>
          <fgColor theme="0"/>
          <bgColor theme="0"/>
        </patternFill>
      </fill>
    </dxf>
    <dxf>
      <fill>
        <patternFill patternType="solid">
          <bgColor theme="0"/>
        </patternFill>
      </fill>
    </dxf>
    <dxf>
      <fill>
        <patternFill patternType="solid">
          <bgColor theme="0"/>
        </patternFill>
      </fill>
    </dxf>
    <dxf>
      <fill>
        <patternFill patternType="solid">
          <fgColor theme="0"/>
          <bgColor theme="0"/>
        </patternFill>
      </fill>
      <border>
        <left/>
        <right/>
        <top/>
        <bottom/>
      </border>
    </dxf>
    <dxf>
      <fill>
        <patternFill>
          <bgColor theme="0"/>
        </patternFill>
      </fill>
    </dxf>
    <dxf>
      <fill>
        <patternFill>
          <bgColor theme="0"/>
        </patternFill>
      </fill>
    </dxf>
    <dxf>
      <fill>
        <patternFill patternType="solid">
          <fgColor theme="0"/>
          <bgColor theme="0"/>
        </patternFill>
      </fill>
      <border>
        <left/>
        <right/>
        <top/>
        <bottom/>
      </border>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5"/>
      </font>
    </dxf>
    <dxf>
      <fill>
        <patternFill>
          <bgColor theme="0"/>
        </patternFill>
      </fill>
    </dxf>
    <dxf>
      <font>
        <color theme="4" tint="0.59996337778862885"/>
      </font>
    </dxf>
    <dxf>
      <font>
        <color theme="4" tint="0.59996337778862885"/>
      </font>
    </dxf>
    <dxf>
      <fill>
        <patternFill>
          <bgColor theme="0"/>
        </patternFill>
      </fill>
    </dxf>
    <dxf>
      <font>
        <b/>
        <i val="0"/>
        <condense val="0"/>
        <extend val="0"/>
        <color indexed="10"/>
      </font>
    </dxf>
    <dxf>
      <font>
        <b/>
        <i val="0"/>
        <condense val="0"/>
        <extend val="0"/>
        <color indexed="10"/>
      </font>
    </dxf>
    <dxf>
      <font>
        <color theme="4" tint="0.59996337778862885"/>
      </font>
    </dxf>
    <dxf>
      <fill>
        <patternFill>
          <bgColor theme="0"/>
        </patternFill>
      </fill>
    </dxf>
    <dxf>
      <font>
        <color theme="4" tint="0.59996337778862885"/>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5"/>
      </font>
    </dxf>
    <dxf>
      <fill>
        <patternFill>
          <bgColor theme="0"/>
        </patternFill>
      </fill>
    </dxf>
    <dxf>
      <font>
        <color theme="4" tint="0.59996337778862885"/>
      </font>
    </dxf>
    <dxf>
      <font>
        <color theme="4" tint="0.59996337778862885"/>
      </font>
    </dxf>
    <dxf>
      <fill>
        <patternFill>
          <bgColor theme="0"/>
        </patternFill>
      </fill>
    </dxf>
    <dxf>
      <font>
        <color theme="4" tint="0.59996337778862885"/>
      </font>
    </dxf>
    <dxf>
      <font>
        <b/>
        <i val="0"/>
        <condense val="0"/>
        <extend val="0"/>
        <color indexed="10"/>
      </font>
    </dxf>
    <dxf>
      <font>
        <b/>
        <i val="0"/>
        <condense val="0"/>
        <extend val="0"/>
        <color indexed="10"/>
      </font>
    </dxf>
    <dxf>
      <fill>
        <patternFill>
          <bgColor theme="0"/>
        </patternFill>
      </fill>
    </dxf>
    <dxf>
      <font>
        <color theme="4" tint="0.59996337778862885"/>
      </font>
    </dxf>
    <dxf>
      <font>
        <color theme="4" tint="0.59996337778862885"/>
      </font>
    </dxf>
    <dxf>
      <fill>
        <patternFill>
          <bgColor theme="0"/>
        </patternFill>
      </fill>
    </dxf>
    <dxf>
      <fill>
        <patternFill>
          <bgColor theme="0"/>
        </patternFill>
      </fill>
    </dxf>
    <dxf>
      <font>
        <color theme="0"/>
      </font>
    </dxf>
    <dxf>
      <fill>
        <patternFill>
          <bgColor theme="0"/>
        </patternFill>
      </fill>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color rgb="FFFF0000"/>
      </font>
    </dxf>
    <dxf>
      <font>
        <color rgb="FFFF0000"/>
      </font>
    </dxf>
    <dxf>
      <font>
        <color theme="0"/>
      </font>
    </dxf>
    <dxf>
      <font>
        <color theme="0"/>
      </font>
    </dxf>
    <dxf>
      <font>
        <b val="0"/>
        <i val="0"/>
        <color rgb="FFC00000"/>
      </font>
    </dxf>
    <dxf>
      <font>
        <b val="0"/>
        <i val="0"/>
        <color rgb="FFC00000"/>
      </font>
    </dxf>
    <dxf>
      <font>
        <color rgb="FFFF0000"/>
      </font>
    </dxf>
    <dxf>
      <font>
        <color rgb="FFFF0000"/>
      </font>
    </dxf>
    <dxf>
      <fill>
        <patternFill>
          <bgColor theme="0"/>
        </patternFill>
      </fill>
    </dxf>
    <dxf>
      <fill>
        <patternFill>
          <bgColor theme="0"/>
        </patternFill>
      </fill>
    </dxf>
    <dxf>
      <font>
        <color theme="1"/>
      </font>
      <fill>
        <patternFill>
          <bgColor theme="4" tint="0.79998168889431442"/>
        </patternFill>
      </fill>
      <border>
        <left style="thin">
          <color auto="1"/>
        </left>
        <right style="thin">
          <color auto="1"/>
        </right>
        <top style="thin">
          <color auto="1"/>
        </top>
        <bottom style="thin">
          <color auto="1"/>
        </bottom>
        <vertical/>
        <horizontal/>
      </border>
    </dxf>
    <dxf>
      <font>
        <color theme="1"/>
      </font>
      <fill>
        <patternFill>
          <bgColor theme="4" tint="0.59996337778862885"/>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patternType="solid">
          <fgColor theme="0"/>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59996337778862885"/>
        </patternFill>
      </fill>
      <border>
        <bottom style="thin">
          <color auto="1"/>
        </bottom>
        <vertical/>
        <horizontal/>
      </border>
    </dxf>
    <dxf>
      <border>
        <bottom style="dotted">
          <color auto="1"/>
        </bottom>
        <vertical/>
        <horizontal/>
      </border>
    </dxf>
    <dxf>
      <font>
        <color rgb="FFFF0000"/>
      </font>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ill>
        <patternFill>
          <bgColor theme="0"/>
        </patternFill>
      </fill>
    </dxf>
    <dxf>
      <font>
        <color theme="1"/>
      </font>
      <fill>
        <patternFill>
          <bgColor theme="4" tint="0.79998168889431442"/>
        </patternFill>
      </fill>
      <border>
        <left style="thin">
          <color auto="1"/>
        </left>
        <right style="thin">
          <color auto="1"/>
        </right>
        <top style="thin">
          <color auto="1"/>
        </top>
        <bottom style="thin">
          <color auto="1"/>
        </bottom>
        <vertical/>
        <horizontal/>
      </border>
    </dxf>
    <dxf>
      <font>
        <color rgb="FFC00000"/>
      </font>
    </dxf>
    <dxf>
      <fill>
        <patternFill patternType="solid">
          <fgColor theme="0"/>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ont>
        <b/>
        <i val="0"/>
        <color rgb="FFC00000"/>
      </font>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font>
        <b/>
        <i val="0"/>
        <condense val="0"/>
        <extend val="0"/>
        <color indexed="17"/>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indexed="47"/>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b/>
        <i val="0"/>
        <color rgb="FFFF0000"/>
      </font>
    </dxf>
    <dxf>
      <font>
        <color theme="0"/>
      </font>
    </dxf>
    <dxf>
      <font>
        <color theme="0"/>
      </font>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ont>
        <b/>
        <i val="0"/>
        <condense val="0"/>
        <extend val="0"/>
        <color indexed="10"/>
      </font>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0"/>
      </font>
    </dxf>
    <dxf>
      <fill>
        <patternFill>
          <bgColor theme="0"/>
        </patternFill>
      </fill>
    </dxf>
    <dxf>
      <fill>
        <patternFill>
          <bgColor theme="0"/>
        </patternFill>
      </fill>
    </dxf>
    <dxf>
      <font>
        <color theme="0"/>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color theme="0"/>
      </font>
    </dxf>
    <dxf>
      <font>
        <b/>
        <i val="0"/>
        <color rgb="FFFF0000"/>
      </font>
    </dxf>
    <dxf>
      <font>
        <color rgb="FFFF0000"/>
      </font>
    </dxf>
    <dxf>
      <font>
        <b/>
        <i val="0"/>
        <color rgb="FF00800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4.9989318521683403E-2"/>
        </patternFill>
      </fill>
      <border>
        <left/>
        <right/>
        <top/>
        <bottom/>
        <vertical/>
        <horizontal/>
      </border>
    </dxf>
    <dxf>
      <border>
        <bottom/>
        <vertical/>
        <horizontal/>
      </border>
    </dxf>
    <dxf>
      <fill>
        <patternFill>
          <bgColor theme="0"/>
        </patternFill>
      </fill>
    </dxf>
    <dxf>
      <fill>
        <patternFill>
          <bgColor theme="0"/>
        </patternFill>
      </fill>
    </dxf>
    <dxf>
      <fill>
        <patternFill>
          <bgColor theme="0"/>
        </patternFill>
      </fill>
    </dxf>
    <dxf>
      <border>
        <bottom/>
        <vertical/>
        <horizontal/>
      </border>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FF0000"/>
      </font>
    </dxf>
    <dxf>
      <font>
        <b/>
        <i val="0"/>
        <color rgb="FF008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008000"/>
      </font>
    </dxf>
    <dxf>
      <font>
        <color theme="0"/>
      </font>
    </dxf>
    <dxf>
      <fill>
        <patternFill patternType="none">
          <bgColor auto="1"/>
        </patternFill>
      </fill>
      <border>
        <left/>
        <right/>
        <top/>
        <bottom/>
        <vertical/>
        <horizontal/>
      </border>
    </dxf>
    <dxf>
      <font>
        <color rgb="FFFF0000"/>
      </font>
    </dxf>
    <dxf>
      <font>
        <color theme="0"/>
      </font>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dxf>
    <dxf>
      <font>
        <b/>
        <i val="0"/>
        <color rgb="FFFF0000"/>
      </font>
      <fill>
        <patternFill patternType="solid">
          <bgColor theme="0"/>
        </patternFill>
      </fill>
    </dxf>
    <dxf>
      <fill>
        <patternFill patternType="solid">
          <fgColor auto="1"/>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border>
    </dxf>
    <dxf>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auto="1"/>
      </font>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008000"/>
      </font>
    </dxf>
    <dxf>
      <font>
        <b/>
        <i val="0"/>
        <color rgb="FF008000"/>
      </font>
    </dxf>
    <dxf>
      <font>
        <b/>
        <i val="0"/>
        <color rgb="FF008000"/>
      </font>
    </dxf>
    <dxf>
      <font>
        <b/>
        <i val="0"/>
        <color rgb="FFFF0000"/>
      </font>
    </dxf>
    <dxf>
      <font>
        <b/>
        <i val="0"/>
        <color rgb="FFFF0000"/>
      </font>
    </dxf>
    <dxf>
      <font>
        <b/>
        <i val="0"/>
        <color rgb="FFC00000"/>
      </font>
    </dxf>
    <dxf>
      <font>
        <b/>
        <i val="0"/>
        <color rgb="FF008000"/>
      </font>
    </dxf>
    <dxf>
      <font>
        <b/>
        <i val="0"/>
        <color rgb="FFFF0000"/>
      </font>
    </dxf>
    <dxf>
      <font>
        <b/>
        <i val="0"/>
        <color rgb="FF008000"/>
      </font>
    </dxf>
    <dxf>
      <font>
        <b/>
        <i val="0"/>
        <color rgb="FF008000"/>
      </font>
    </dxf>
    <dxf>
      <font>
        <b/>
        <i val="0"/>
        <strike val="0"/>
        <color rgb="FF008000"/>
      </font>
    </dxf>
    <dxf>
      <font>
        <b/>
        <i val="0"/>
        <strike val="0"/>
        <color rgb="FF008000"/>
      </font>
    </dxf>
    <dxf>
      <font>
        <b/>
        <i val="0"/>
        <color rgb="FF008000"/>
      </font>
    </dxf>
    <dxf>
      <font>
        <b/>
        <i val="0"/>
        <color rgb="FFFF0000"/>
      </font>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border>
        <left/>
        <right/>
        <top/>
        <bottom/>
        <vertical/>
        <horizontal/>
      </border>
    </dxf>
    <dxf>
      <fill>
        <patternFill>
          <bgColor theme="0"/>
        </patternFill>
      </fill>
    </dxf>
    <dxf>
      <font>
        <b/>
        <i val="0"/>
        <color rgb="FF008000"/>
      </font>
    </dxf>
    <dxf>
      <font>
        <b/>
        <i val="0"/>
        <color rgb="FFFF0000"/>
      </font>
    </dxf>
    <dxf>
      <font>
        <b/>
        <i val="0"/>
        <color rgb="FFFF0000"/>
      </font>
    </dxf>
    <dxf>
      <font>
        <b/>
        <i val="0"/>
        <color rgb="FFFF0000"/>
      </font>
    </dxf>
    <dxf>
      <font>
        <b/>
        <i val="0"/>
        <color rgb="FFFF0000"/>
      </font>
    </dxf>
    <dxf>
      <font>
        <color rgb="FF008000"/>
      </font>
    </dxf>
    <dxf>
      <font>
        <color rgb="FFC00000"/>
      </font>
    </dxf>
    <dxf>
      <font>
        <color rgb="FFC00000"/>
      </font>
    </dxf>
    <dxf>
      <font>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ndense val="0"/>
        <extend val="0"/>
        <color indexed="17"/>
      </font>
    </dxf>
    <dxf>
      <font>
        <b/>
        <i val="0"/>
        <condense val="0"/>
        <extend val="0"/>
        <color indexed="17"/>
      </font>
    </dxf>
    <dxf>
      <font>
        <b/>
        <i val="0"/>
        <color rgb="FFFF0000"/>
      </font>
    </dxf>
    <dxf>
      <font>
        <b/>
        <i val="0"/>
        <condense val="0"/>
        <extend val="0"/>
        <color indexed="17"/>
      </font>
    </dxf>
    <dxf>
      <font>
        <b/>
        <i val="0"/>
        <condense val="0"/>
        <extend val="0"/>
        <color indexed="17"/>
      </font>
    </dxf>
    <dxf>
      <font>
        <color rgb="FF008000"/>
      </font>
    </dxf>
    <dxf>
      <font>
        <color rgb="FF008000"/>
      </font>
    </dxf>
    <dxf>
      <font>
        <color rgb="FF008000"/>
      </font>
    </dxf>
    <dxf>
      <font>
        <color rgb="FFFF0000"/>
      </font>
    </dxf>
    <dxf>
      <font>
        <color rgb="FFFF0000"/>
      </font>
    </dxf>
    <dxf>
      <font>
        <color rgb="FFFF0000"/>
      </font>
    </dxf>
    <dxf>
      <font>
        <color rgb="FFFF0000"/>
      </font>
    </dxf>
    <dxf>
      <font>
        <color rgb="FFFF0000"/>
      </font>
    </dxf>
    <dxf>
      <font>
        <color rgb="FF008000"/>
      </font>
    </dxf>
    <dxf>
      <font>
        <color rgb="FF008000"/>
      </font>
    </dxf>
    <dxf>
      <font>
        <color rgb="FF008000"/>
      </font>
    </dxf>
    <dxf>
      <font>
        <b/>
        <i val="0"/>
        <condense val="0"/>
        <extend val="0"/>
        <color indexed="17"/>
      </font>
    </dxf>
    <dxf>
      <font>
        <color rgb="FFFF0000"/>
      </font>
    </dxf>
    <dxf>
      <font>
        <b/>
        <i val="0"/>
        <condense val="0"/>
        <extend val="0"/>
        <color indexed="17"/>
      </font>
    </dxf>
    <dxf>
      <font>
        <b/>
        <i val="0"/>
        <condense val="0"/>
        <extend val="0"/>
        <color indexed="17"/>
      </font>
    </dxf>
    <dxf>
      <font>
        <b/>
        <i val="0"/>
        <condense val="0"/>
        <extend val="0"/>
        <color indexed="10"/>
      </font>
    </dxf>
    <dxf>
      <font>
        <b/>
        <i val="0"/>
        <condense val="0"/>
        <extend val="0"/>
        <color indexed="17"/>
      </font>
    </dxf>
    <dxf>
      <font>
        <color rgb="FF008000"/>
      </font>
    </dxf>
    <dxf>
      <font>
        <color rgb="FFFF0000"/>
      </font>
    </dxf>
    <dxf>
      <font>
        <b/>
        <i val="0"/>
        <color theme="3" tint="0.39991454817346722"/>
      </font>
    </dxf>
    <dxf>
      <font>
        <b/>
        <i val="0"/>
        <condense val="0"/>
        <extend val="0"/>
        <color indexed="17"/>
      </font>
    </dxf>
    <dxf>
      <font>
        <color rgb="FFFF0000"/>
      </font>
    </dxf>
    <dxf>
      <font>
        <color rgb="FF008000"/>
      </font>
    </dxf>
    <dxf>
      <font>
        <b/>
        <i val="0"/>
        <condense val="0"/>
        <extend val="0"/>
        <color indexed="10"/>
      </font>
    </dxf>
    <dxf>
      <font>
        <b/>
        <i val="0"/>
        <condense val="0"/>
        <extend val="0"/>
        <color indexed="17"/>
      </font>
    </dxf>
    <dxf>
      <font>
        <b/>
        <i val="0"/>
        <condense val="0"/>
        <extend val="0"/>
        <color indexed="17"/>
      </font>
    </dxf>
    <dxf>
      <font>
        <b/>
        <i val="0"/>
        <condense val="0"/>
        <extend val="0"/>
        <color indexed="10"/>
      </font>
    </dxf>
    <dxf>
      <font>
        <b/>
        <i val="0"/>
        <condense val="0"/>
        <extend val="0"/>
        <color indexed="10"/>
      </font>
    </dxf>
    <dxf>
      <font>
        <b/>
        <i val="0"/>
        <strike val="0"/>
        <color rgb="FFFF0000"/>
        <name val="Cambria"/>
        <scheme val="none"/>
      </font>
    </dxf>
    <dxf>
      <fill>
        <patternFill>
          <bgColor theme="0"/>
        </patternFill>
      </fill>
    </dxf>
    <dxf>
      <fill>
        <patternFill>
          <bgColor theme="0"/>
        </patternFill>
      </fill>
    </dxf>
    <dxf>
      <fill>
        <patternFill>
          <bgColor theme="4" tint="0.79998168889431442"/>
        </patternFill>
      </fill>
      <border>
        <left style="thin">
          <color auto="1"/>
        </left>
        <right style="thin">
          <color auto="1"/>
        </right>
        <top style="thin">
          <color auto="1"/>
        </top>
        <bottom style="thin">
          <color auto="1"/>
        </bottom>
        <vertical/>
        <horizontal/>
      </border>
    </dxf>
    <dxf>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b/>
        <i val="0"/>
        <color rgb="FF008000"/>
      </font>
    </dxf>
    <dxf>
      <font>
        <b/>
        <i val="0"/>
        <condense val="0"/>
        <extend val="0"/>
        <color indexed="17"/>
      </font>
    </dxf>
    <dxf>
      <font>
        <b/>
        <i val="0"/>
        <condense val="0"/>
        <extend val="0"/>
        <color indexed="17"/>
      </font>
    </dxf>
    <dxf>
      <font>
        <color rgb="FFFF0000"/>
      </font>
    </dxf>
    <dxf>
      <font>
        <color rgb="FF008000"/>
      </font>
    </dxf>
    <dxf>
      <font>
        <color theme="3" tint="0.39994506668294322"/>
      </font>
    </dxf>
    <dxf>
      <font>
        <b/>
        <i val="0"/>
        <color rgb="FF008000"/>
      </font>
    </dxf>
    <dxf>
      <font>
        <b/>
        <i val="0"/>
        <color theme="3" tint="0.39994506668294322"/>
      </font>
    </dxf>
    <dxf>
      <font>
        <b/>
        <i val="0"/>
        <color theme="3" tint="0.39994506668294322"/>
      </font>
    </dxf>
    <dxf>
      <font>
        <b/>
        <i val="0"/>
        <condense val="0"/>
        <extend val="0"/>
        <color indexed="17"/>
      </font>
    </dxf>
    <dxf>
      <font>
        <b/>
        <i val="0"/>
        <color rgb="FF008000"/>
      </font>
    </dxf>
    <dxf>
      <font>
        <b/>
        <i val="0"/>
        <condense val="0"/>
        <extend val="0"/>
        <color indexed="17"/>
      </font>
    </dxf>
    <dxf>
      <font>
        <b/>
        <i val="0"/>
        <condense val="0"/>
        <extend val="0"/>
        <color indexed="17"/>
      </font>
    </dxf>
    <dxf>
      <font>
        <b/>
        <i val="0"/>
        <condense val="0"/>
        <extend val="0"/>
        <color indexed="17"/>
      </font>
    </dxf>
    <dxf>
      <font>
        <b/>
        <i val="0"/>
        <condense val="0"/>
        <extend val="0"/>
        <color indexed="10"/>
      </font>
    </dxf>
    <dxf>
      <font>
        <b/>
        <i val="0"/>
        <condense val="0"/>
        <extend val="0"/>
        <color indexed="10"/>
      </font>
    </dxf>
    <dxf>
      <font>
        <b/>
        <i val="0"/>
        <color rgb="FF008000"/>
      </font>
    </dxf>
    <dxf>
      <font>
        <color rgb="FF008000"/>
      </font>
    </dxf>
    <dxf>
      <font>
        <color rgb="FF008000"/>
      </font>
    </dxf>
    <dxf>
      <font>
        <color rgb="FF008000"/>
      </font>
    </dxf>
    <dxf>
      <font>
        <b/>
        <i val="0"/>
        <condense val="0"/>
        <extend val="0"/>
        <color indexed="10"/>
      </font>
    </dxf>
    <dxf>
      <font>
        <color rgb="FF008000"/>
      </font>
    </dxf>
    <dxf>
      <font>
        <b/>
        <i val="0"/>
        <condense val="0"/>
        <extend val="0"/>
        <color indexed="17"/>
      </font>
    </dxf>
    <dxf>
      <font>
        <b/>
        <i val="0"/>
        <color rgb="FF008000"/>
      </font>
    </dxf>
    <dxf>
      <font>
        <condense val="0"/>
        <extend val="0"/>
        <color indexed="17"/>
      </font>
    </dxf>
    <dxf>
      <font>
        <condense val="0"/>
        <extend val="0"/>
        <color indexed="17"/>
      </font>
    </dxf>
    <dxf>
      <font>
        <b/>
        <i val="0"/>
        <color rgb="FF008000"/>
      </font>
    </dxf>
    <dxf>
      <font>
        <b/>
        <i val="0"/>
        <color rgb="FF008000"/>
      </font>
    </dxf>
    <dxf>
      <font>
        <b/>
        <i val="0"/>
        <condense val="0"/>
        <extend val="0"/>
        <color indexed="10"/>
      </font>
    </dxf>
    <dxf>
      <font>
        <b/>
        <i val="0"/>
        <color rgb="FF008000"/>
      </font>
    </dxf>
    <dxf>
      <font>
        <b/>
        <i val="0"/>
        <condense val="0"/>
        <extend val="0"/>
        <color indexed="17"/>
      </font>
    </dxf>
    <dxf>
      <font>
        <b/>
        <i val="0"/>
        <condense val="0"/>
        <extend val="0"/>
        <color indexed="17"/>
      </font>
    </dxf>
    <dxf>
      <font>
        <b/>
        <i val="0"/>
        <condense val="0"/>
        <extend val="0"/>
        <color indexed="17"/>
      </font>
    </dxf>
    <dxf>
      <font>
        <color rgb="FFFF0000"/>
      </font>
    </dxf>
    <dxf>
      <font>
        <color rgb="FFFF0000"/>
      </font>
    </dxf>
    <dxf>
      <font>
        <color rgb="FFFF0000"/>
      </font>
    </dxf>
    <dxf>
      <font>
        <color rgb="FFFF0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b/>
        <i val="0"/>
        <color rgb="FF008000"/>
      </font>
    </dxf>
    <dxf>
      <font>
        <b/>
        <i val="0"/>
        <condense val="0"/>
        <extend val="0"/>
        <color indexed="10"/>
      </font>
    </dxf>
    <dxf>
      <font>
        <color rgb="FFFF0000"/>
      </font>
    </dxf>
    <dxf>
      <font>
        <b/>
        <i val="0"/>
        <condense val="0"/>
        <extend val="0"/>
        <color indexed="10"/>
      </font>
    </dxf>
    <dxf>
      <font>
        <color rgb="FF008000"/>
      </font>
    </dxf>
    <dxf>
      <font>
        <color rgb="FF008000"/>
      </font>
    </dxf>
    <dxf>
      <font>
        <color rgb="FF008000"/>
      </font>
    </dxf>
    <dxf>
      <font>
        <b/>
        <i val="0"/>
        <condense val="0"/>
        <extend val="0"/>
        <color indexed="10"/>
      </font>
    </dxf>
    <dxf>
      <font>
        <color rgb="FF008000"/>
      </font>
    </dxf>
    <dxf>
      <font>
        <color rgb="FF008000"/>
      </font>
    </dxf>
    <dxf>
      <font>
        <b/>
        <i val="0"/>
        <color theme="3" tint="0.39994506668294322"/>
      </font>
    </dxf>
    <dxf>
      <font>
        <b/>
        <i val="0"/>
        <color rgb="FFFF0000"/>
      </font>
    </dxf>
    <dxf>
      <font>
        <b/>
        <i val="0"/>
        <color rgb="FF0070C0"/>
      </font>
    </dxf>
    <dxf>
      <font>
        <color rgb="FFFF0000"/>
      </font>
    </dxf>
    <dxf>
      <font>
        <b/>
        <i val="0"/>
        <color rgb="FF0070C0"/>
      </font>
    </dxf>
    <dxf>
      <font>
        <b/>
        <i val="0"/>
        <condense val="0"/>
        <extend val="0"/>
        <color indexed="10"/>
      </font>
    </dxf>
    <dxf>
      <font>
        <b/>
        <i val="0"/>
        <color rgb="FF0070C0"/>
      </font>
    </dxf>
    <dxf>
      <font>
        <b/>
        <i val="0"/>
        <condense val="0"/>
        <extend val="0"/>
        <color indexed="10"/>
      </font>
    </dxf>
    <dxf>
      <font>
        <b/>
        <i val="0"/>
        <color rgb="FF0070C0"/>
      </font>
    </dxf>
    <dxf>
      <font>
        <b/>
        <i val="0"/>
        <condense val="0"/>
        <extend val="0"/>
        <color indexed="10"/>
      </font>
    </dxf>
    <dxf>
      <font>
        <b/>
        <i val="0"/>
        <condense val="0"/>
        <extend val="0"/>
        <color indexed="17"/>
      </font>
    </dxf>
    <dxf>
      <font>
        <b/>
        <i val="0"/>
        <color rgb="FF0070C0"/>
      </font>
    </dxf>
    <dxf>
      <font>
        <b/>
        <i val="0"/>
        <condense val="0"/>
        <extend val="0"/>
        <color indexed="17"/>
      </font>
    </dxf>
    <dxf>
      <font>
        <b/>
        <i val="0"/>
        <color rgb="FF008000"/>
      </font>
    </dxf>
    <dxf>
      <font>
        <b/>
        <i val="0"/>
        <condense val="0"/>
        <extend val="0"/>
        <color indexed="10"/>
      </font>
    </dxf>
    <dxf>
      <font>
        <b/>
        <i val="0"/>
        <condense val="0"/>
        <extend val="0"/>
        <color indexed="17"/>
      </font>
    </dxf>
    <dxf>
      <fill>
        <patternFill>
          <bgColor theme="0"/>
        </patternFill>
      </fill>
    </dxf>
    <dxf>
      <fill>
        <patternFill>
          <bgColor theme="0"/>
        </patternFill>
      </fill>
    </dxf>
    <dxf>
      <font>
        <b/>
        <i val="0"/>
        <color theme="3" tint="0.3999450666829432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theme="3" tint="0.39994506668294322"/>
      </font>
    </dxf>
    <dxf>
      <font>
        <b/>
        <i val="0"/>
        <color theme="3" tint="0.39994506668294322"/>
      </font>
    </dxf>
    <dxf>
      <font>
        <color theme="3" tint="0.39994506668294322"/>
      </font>
    </dxf>
    <dxf>
      <font>
        <color theme="3" tint="0.39994506668294322"/>
      </font>
    </dxf>
    <dxf>
      <font>
        <color theme="3" tint="0.39994506668294322"/>
      </font>
    </dxf>
    <dxf>
      <font>
        <color theme="3" tint="0.3999450666829432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ill>
        <patternFill>
          <bgColor theme="0"/>
        </patternFill>
      </fill>
    </dxf>
    <dxf>
      <fill>
        <patternFill>
          <bgColor theme="0"/>
        </patternFill>
      </fill>
    </dxf>
    <dxf>
      <fill>
        <patternFill>
          <bgColor theme="0"/>
        </patternFill>
      </fill>
    </dxf>
    <dxf>
      <font>
        <color rgb="FF008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008000"/>
      </font>
    </dxf>
    <dxf>
      <font>
        <b val="0"/>
        <i val="0"/>
        <color theme="1"/>
      </font>
    </dxf>
    <dxf>
      <font>
        <b val="0"/>
        <i val="0"/>
        <color theme="1"/>
      </font>
    </dxf>
    <dxf>
      <font>
        <color rgb="FF008000"/>
      </font>
    </dxf>
    <dxf>
      <font>
        <color rgb="FF008000"/>
      </font>
    </dxf>
    <dxf>
      <border>
        <left/>
        <right/>
        <top style="thin">
          <color auto="1"/>
        </top>
        <bottom/>
        <vertical/>
        <horizontal/>
      </border>
    </dxf>
    <dxf>
      <font>
        <color rgb="FF008000"/>
      </font>
      <border>
        <top style="thin">
          <color auto="1"/>
        </top>
      </border>
    </dxf>
    <dxf>
      <border>
        <left/>
        <right/>
        <top/>
        <bottom/>
        <vertical/>
        <horizontal/>
      </border>
    </dxf>
    <dxf>
      <border>
        <left/>
        <right/>
        <top/>
        <bottom/>
        <vertical/>
        <horizontal/>
      </border>
    </dxf>
    <dxf>
      <font>
        <color rgb="FFFF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9"/>
      </font>
      <border>
        <right/>
      </border>
    </dxf>
    <dxf>
      <border>
        <left/>
        <right/>
        <top/>
        <bottom/>
      </border>
    </dxf>
    <dxf>
      <font>
        <condense val="0"/>
        <extend val="0"/>
        <color indexed="9"/>
      </font>
    </dxf>
    <dxf>
      <border>
        <top/>
      </border>
    </dxf>
    <dxf>
      <font>
        <condense val="0"/>
        <extend val="0"/>
        <color indexed="9"/>
      </font>
      <border>
        <left/>
        <right/>
        <top/>
        <bottom/>
      </border>
    </dxf>
    <dxf>
      <border>
        <left/>
        <right/>
        <bottom/>
      </border>
    </dxf>
    <dxf>
      <border>
        <left/>
        <bottom/>
      </border>
    </dxf>
    <dxf>
      <border>
        <left/>
        <right/>
        <top/>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ill>
        <patternFill>
          <bgColor theme="0"/>
        </patternFill>
      </fill>
    </dxf>
    <dxf>
      <fill>
        <patternFill>
          <bgColor theme="0"/>
        </patternFill>
      </fill>
    </dxf>
    <dxf>
      <fill>
        <patternFill>
          <bgColor theme="0"/>
        </patternFill>
      </fill>
    </dxf>
    <dxf>
      <font>
        <condense val="0"/>
        <extend val="0"/>
        <color indexed="9"/>
      </font>
    </dxf>
    <dxf>
      <fill>
        <patternFill>
          <bgColor theme="0"/>
        </patternFill>
      </fill>
    </dxf>
    <dxf>
      <fill>
        <patternFill>
          <bgColor theme="0"/>
        </patternFill>
      </fill>
      <border>
        <bottom/>
        <vertical/>
        <horizontal/>
      </border>
    </dxf>
    <dxf>
      <font>
        <color auto="1"/>
      </font>
    </dxf>
    <dxf>
      <font>
        <b val="0"/>
        <i val="0"/>
        <strike val="0"/>
        <color indexed="10"/>
      </font>
    </dxf>
    <dxf>
      <font>
        <condense val="0"/>
        <extend val="0"/>
        <color indexed="9"/>
      </font>
    </dxf>
    <dxf>
      <font>
        <condense val="0"/>
        <extend val="0"/>
        <color indexed="9"/>
      </font>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ont>
        <b val="0"/>
        <i val="0"/>
        <color rgb="FFFF0000"/>
      </font>
    </dxf>
    <dxf>
      <fill>
        <patternFill>
          <bgColor theme="0"/>
        </patternFill>
      </fill>
    </dxf>
    <dxf>
      <border>
        <left style="thin">
          <color indexed="64"/>
        </left>
        <right style="thin">
          <color indexed="64"/>
        </right>
        <top style="thin">
          <color indexed="64"/>
        </top>
        <bottom style="thin">
          <color indexed="64"/>
        </bottom>
      </border>
    </dxf>
    <dxf>
      <font>
        <b/>
        <i val="0"/>
        <condense val="0"/>
        <extend val="0"/>
        <color indexed="10"/>
      </font>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color rgb="FF008000"/>
      </font>
    </dxf>
    <dxf>
      <font>
        <color rgb="FF008000"/>
      </font>
    </dxf>
    <dxf>
      <border>
        <left/>
        <right/>
        <top/>
        <bottom/>
        <vertical/>
        <horizontal/>
      </border>
    </dxf>
    <dxf>
      <font>
        <color rgb="FF008000"/>
      </font>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ont>
        <color theme="0"/>
      </font>
      <fill>
        <patternFill>
          <bgColor theme="0"/>
        </patternFill>
      </fill>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border>
        <bottom style="thin">
          <color indexed="64"/>
        </bottom>
      </border>
    </dxf>
    <dxf>
      <font>
        <b/>
        <i val="0"/>
        <color rgb="FFFF0000"/>
      </font>
    </dxf>
    <dxf>
      <font>
        <condense val="0"/>
        <extend val="0"/>
        <color indexed="9"/>
      </font>
    </dxf>
    <dxf>
      <font>
        <condense val="0"/>
        <extend val="0"/>
        <color indexed="9"/>
      </font>
    </dxf>
    <dxf>
      <fill>
        <patternFill>
          <bgColor theme="0"/>
        </patternFill>
      </fill>
    </dxf>
    <dxf>
      <fill>
        <patternFill>
          <bgColor theme="0"/>
        </patternFill>
      </fill>
    </dxf>
    <dxf>
      <font>
        <condense val="0"/>
        <extend val="0"/>
        <color indexed="9"/>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0"/>
        <i val="0"/>
        <color rgb="FFFF000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lor rgb="FF008000"/>
      </font>
    </dxf>
    <dxf>
      <font>
        <condense val="0"/>
        <extend val="0"/>
        <color indexed="10"/>
      </font>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ont>
        <b val="0"/>
        <i val="0"/>
        <color rgb="FFFF0000"/>
      </font>
    </dxf>
    <dxf>
      <font>
        <b/>
        <i val="0"/>
        <color rgb="FFFF0000"/>
      </font>
      <fill>
        <patternFill>
          <bgColor theme="0"/>
        </patternFill>
      </fill>
    </dxf>
    <dxf>
      <font>
        <b/>
        <i val="0"/>
        <color rgb="FFFF0000"/>
      </font>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b/>
        <i val="0"/>
        <color rgb="FFC00000"/>
      </font>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i val="0"/>
        <color rgb="FFC00000"/>
      </font>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0"/>
      </font>
    </dxf>
    <dxf>
      <font>
        <color rgb="FFC00000"/>
      </font>
    </dxf>
    <dxf>
      <font>
        <color theme="9" tint="-0.24994659260841701"/>
      </font>
    </dxf>
    <dxf>
      <font>
        <color theme="4" tint="0.79998168889431442"/>
      </font>
    </dxf>
    <dxf>
      <font>
        <color theme="0"/>
      </font>
    </dxf>
    <dxf>
      <font>
        <color rgb="FFC00000"/>
      </font>
    </dxf>
    <dxf>
      <font>
        <color theme="0"/>
      </font>
    </dxf>
    <dxf>
      <font>
        <color theme="4" tint="0.79998168889431442"/>
      </font>
    </dxf>
    <dxf>
      <font>
        <color rgb="FFC00000"/>
      </font>
    </dxf>
    <dxf>
      <font>
        <b/>
        <i val="0"/>
        <color rgb="FFC00000"/>
      </font>
    </dxf>
    <dxf>
      <fill>
        <patternFill>
          <bgColor theme="0"/>
        </patternFill>
      </fill>
    </dxf>
    <dxf>
      <fill>
        <patternFill>
          <bgColor theme="0"/>
        </patternFill>
      </fill>
    </dxf>
    <dxf>
      <font>
        <strike val="0"/>
        <color rgb="FFFF0000"/>
      </font>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ont>
        <strike val="0"/>
        <color rgb="FFFF0000"/>
      </font>
    </dxf>
    <dxf>
      <fill>
        <patternFill>
          <bgColor theme="0"/>
        </patternFill>
      </fill>
    </dxf>
    <dxf>
      <font>
        <strike val="0"/>
        <color rgb="FFFF0000"/>
      </font>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border>
        <left style="thin">
          <color auto="1"/>
        </left>
        <right style="thin">
          <color auto="1"/>
        </right>
        <top style="thin">
          <color auto="1"/>
        </top>
        <bottom style="thin">
          <color auto="1"/>
        </bottom>
        <vertical/>
        <horizontal/>
      </border>
    </dxf>
    <dxf>
      <font>
        <color rgb="FF008000"/>
      </font>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left/>
        <right style="thin">
          <color auto="1"/>
        </right>
        <bottom style="thin">
          <color auto="1"/>
        </bottom>
        <vertical/>
        <horizontal/>
      </border>
    </dxf>
    <dxf>
      <border>
        <right style="thin">
          <color auto="1"/>
        </right>
        <top style="thin">
          <color auto="1"/>
        </top>
        <vertical/>
        <horizontal/>
      </border>
    </dxf>
    <dxf>
      <font>
        <b/>
        <i val="0"/>
        <color auto="1"/>
      </font>
      <fill>
        <patternFill>
          <bgColor theme="4" tint="0.79998168889431442"/>
        </patternFill>
      </fill>
      <border>
        <left style="thin">
          <color auto="1"/>
        </left>
        <right style="thin">
          <color auto="1"/>
        </right>
        <top style="thin">
          <color auto="1"/>
        </top>
        <bottom style="thin">
          <color auto="1"/>
        </bottom>
        <vertical/>
        <horizontal/>
      </border>
    </dxf>
    <dxf>
      <border>
        <right style="thin">
          <color auto="1"/>
        </right>
        <vertical/>
        <horizontal/>
      </border>
    </dxf>
    <dxf>
      <font>
        <b val="0"/>
        <i val="0"/>
        <color theme="0"/>
      </font>
      <fill>
        <patternFill>
          <bgColor theme="0"/>
        </patternFill>
      </fill>
      <border>
        <left/>
        <right/>
        <top/>
        <bottom/>
        <vertical/>
        <horizontal/>
      </border>
    </dxf>
    <dxf>
      <fill>
        <patternFill>
          <bgColor theme="0"/>
        </patternFill>
      </fill>
    </dxf>
    <dxf>
      <fill>
        <patternFill>
          <bgColor theme="0"/>
        </patternFill>
      </fill>
    </dxf>
    <dxf>
      <font>
        <b val="0"/>
        <i val="0"/>
        <color theme="0"/>
      </font>
      <fill>
        <patternFill>
          <bgColor theme="0"/>
        </patternFill>
      </fill>
      <border>
        <left/>
        <right/>
        <top/>
        <bottom/>
        <vertical/>
        <horizontal/>
      </border>
    </dxf>
    <dxf>
      <font>
        <color rgb="FFFF0000"/>
      </font>
    </dxf>
    <dxf>
      <font>
        <color rgb="FFFF0000"/>
      </font>
    </dxf>
    <dxf>
      <font>
        <color rgb="FFFF0000"/>
      </font>
    </dxf>
    <dxf>
      <font>
        <b/>
        <i val="0"/>
        <color rgb="FFC00000"/>
      </font>
    </dxf>
    <dxf>
      <font>
        <color rgb="FF008000"/>
      </font>
      <border>
        <left style="thin">
          <color auto="1"/>
        </left>
        <right style="thin">
          <color auto="1"/>
        </right>
        <top style="thin">
          <color auto="1"/>
        </top>
        <bottom style="thin">
          <color auto="1"/>
        </bottom>
      </border>
    </dxf>
    <dxf>
      <border>
        <bottom style="thin">
          <color auto="1"/>
        </bottom>
        <vertical/>
        <horizontal/>
      </border>
    </dxf>
    <dxf>
      <border>
        <right/>
        <top style="thin">
          <color auto="1"/>
        </top>
        <bottom style="thin">
          <color auto="1"/>
        </bottom>
        <vertical/>
        <horizontal/>
      </border>
    </dxf>
    <dxf>
      <font>
        <color rgb="FF008000"/>
      </font>
    </dxf>
    <dxf>
      <font>
        <color rgb="FF008000"/>
      </font>
    </dxf>
    <dxf>
      <font>
        <strike val="0"/>
        <color rgb="FF008000"/>
      </font>
    </dxf>
    <dxf>
      <font>
        <color rgb="FF008000"/>
      </font>
    </dxf>
    <dxf>
      <fill>
        <patternFill>
          <bgColor theme="4" tint="0.79998168889431442"/>
        </patternFill>
      </fill>
      <border>
        <right style="thin">
          <color auto="1"/>
        </right>
        <top style="thin">
          <color auto="1"/>
        </top>
        <bottom style="thin">
          <color auto="1"/>
        </bottom>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border>
        <left style="thin">
          <color auto="1"/>
        </left>
        <top style="thin">
          <color auto="1"/>
        </top>
        <vertical/>
        <horizontal/>
      </border>
    </dxf>
    <dxf>
      <border>
        <left style="thin">
          <color auto="1"/>
        </left>
        <right style="thin">
          <color auto="1"/>
        </right>
        <bottom style="thin">
          <color auto="1"/>
        </bottom>
      </border>
    </dxf>
    <dxf>
      <font>
        <color rgb="FF008000"/>
      </font>
    </dxf>
    <dxf>
      <font>
        <color rgb="FFFF0000"/>
      </font>
    </dxf>
    <dxf>
      <font>
        <b/>
        <i val="0"/>
        <color rgb="FFC00000"/>
      </font>
    </dxf>
    <dxf>
      <font>
        <color rgb="FF008000"/>
      </font>
    </dxf>
    <dxf>
      <font>
        <b/>
        <i val="0"/>
        <color rgb="FFFF0000"/>
      </font>
    </dxf>
    <dxf>
      <fill>
        <patternFill>
          <bgColor theme="0"/>
        </patternFill>
      </fill>
    </dxf>
    <dxf>
      <border>
        <left style="thin">
          <color auto="1"/>
        </left>
        <right style="thin">
          <color auto="1"/>
        </right>
        <top style="thin">
          <color auto="1"/>
        </top>
        <bottom/>
        <vertical/>
        <horizontal/>
      </border>
    </dxf>
    <dxf>
      <font>
        <b/>
        <i val="0"/>
        <color theme="9" tint="-0.24994659260841701"/>
      </font>
    </dxf>
    <dxf>
      <font>
        <b/>
        <i val="0"/>
        <color rgb="FFC00000"/>
      </font>
    </dxf>
    <dxf>
      <font>
        <b/>
        <i val="0"/>
        <color rgb="FF008000"/>
      </font>
    </dxf>
    <dxf>
      <font>
        <b/>
        <i val="0"/>
        <color theme="9" tint="-0.24994659260841701"/>
      </font>
    </dxf>
    <dxf>
      <font>
        <b/>
        <i val="0"/>
        <color rgb="FFC00000"/>
      </font>
    </dxf>
    <dxf>
      <font>
        <b/>
        <i val="0"/>
        <color rgb="FF008000"/>
      </font>
    </dxf>
    <dxf>
      <font>
        <color theme="9" tint="-0.24994659260841701"/>
      </font>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fgColor indexed="64"/>
          <bgColor theme="0"/>
        </patternFill>
      </fill>
    </dxf>
    <dxf>
      <fill>
        <patternFill>
          <bgColor theme="0"/>
        </patternFill>
      </fill>
    </dxf>
    <dxf>
      <font>
        <b/>
        <i val="0"/>
        <color rgb="FFFF0000"/>
      </font>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ont>
        <color rgb="FFFF0000"/>
      </font>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ont>
        <b/>
        <i val="0"/>
        <color rgb="FFFF0000"/>
      </font>
    </dxf>
    <dxf>
      <fill>
        <patternFill>
          <bgColor theme="0"/>
        </patternFill>
      </fill>
    </dxf>
    <dxf>
      <fill>
        <patternFill>
          <fgColor indexed="64"/>
          <bgColor theme="0"/>
        </patternFill>
      </fill>
    </dxf>
    <dxf>
      <font>
        <color theme="4" tint="0.79998168889431442"/>
      </font>
    </dxf>
    <dxf>
      <font>
        <color theme="0"/>
      </font>
    </dxf>
    <dxf>
      <font>
        <b/>
        <i val="0"/>
        <color rgb="FFFF0000"/>
      </font>
    </dxf>
    <dxf>
      <font>
        <color theme="4" tint="0.79998168889431442"/>
      </font>
    </dxf>
    <dxf>
      <font>
        <color theme="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ill>
        <patternFill>
          <bgColor theme="0"/>
        </patternFill>
      </fill>
    </dxf>
    <dxf>
      <font>
        <b/>
        <i val="0"/>
        <color rgb="FFFF0000"/>
      </font>
    </dxf>
    <dxf>
      <fill>
        <patternFill>
          <bgColor theme="0"/>
        </patternFill>
      </fill>
    </dxf>
    <dxf>
      <font>
        <strike val="0"/>
        <color rgb="FFFF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ill>
        <patternFill>
          <bgColor theme="0"/>
        </patternFill>
      </fill>
    </dxf>
    <dxf>
      <fill>
        <patternFill>
          <fgColor indexed="64"/>
          <bgColor theme="0"/>
        </patternFill>
      </fill>
    </dxf>
    <dxf>
      <font>
        <b/>
        <i val="0"/>
        <color rgb="FFFF0000"/>
      </font>
    </dxf>
    <dxf>
      <font>
        <b/>
        <i val="0"/>
        <color rgb="FFFF0000"/>
      </font>
    </dxf>
    <dxf>
      <font>
        <b/>
        <i val="0"/>
        <color rgb="FFFF0000"/>
      </font>
    </dxf>
    <dxf>
      <fill>
        <patternFill>
          <bgColor theme="0"/>
        </patternFill>
      </fill>
    </dxf>
    <dxf>
      <fill>
        <patternFill>
          <bgColor theme="0"/>
        </patternFill>
      </fill>
    </dxf>
    <dxf>
      <font>
        <b/>
        <i val="0"/>
        <color rgb="FFFF0000"/>
      </font>
    </dxf>
    <dxf>
      <fill>
        <patternFill>
          <bgColor theme="0"/>
        </patternFill>
      </fill>
    </dxf>
    <dxf>
      <font>
        <color theme="0"/>
      </font>
    </dxf>
    <dxf>
      <font>
        <color theme="4" tint="0.79998168889431442"/>
      </font>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ill>
        <patternFill>
          <fgColor indexed="64"/>
          <bgColor theme="0"/>
        </patternFill>
      </fill>
    </dxf>
    <dxf>
      <fill>
        <patternFill>
          <bgColor theme="0"/>
        </patternFill>
      </fill>
    </dxf>
    <dxf>
      <fill>
        <patternFill patternType="solid">
          <bgColor theme="0"/>
        </patternFill>
      </fill>
    </dxf>
    <dxf>
      <fill>
        <patternFill>
          <fgColor indexed="64"/>
          <bgColor theme="0"/>
        </patternFill>
      </fill>
    </dxf>
    <dxf>
      <font>
        <strike val="0"/>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fgColor indexed="64"/>
          <bgColor theme="0"/>
        </patternFill>
      </fill>
    </dxf>
    <dxf>
      <fill>
        <patternFill>
          <bgColor theme="0"/>
        </patternFill>
      </fill>
    </dxf>
    <dxf>
      <fill>
        <patternFill>
          <bgColor theme="0"/>
        </patternFill>
      </fill>
    </dxf>
    <dxf>
      <font>
        <b/>
        <i val="0"/>
        <color rgb="FFFF0000"/>
      </font>
    </dxf>
    <dxf>
      <font>
        <b/>
        <i val="0"/>
        <color rgb="FFFF0000"/>
      </font>
    </dxf>
    <dxf>
      <font>
        <strike val="0"/>
        <color rgb="FFFF0000"/>
      </font>
    </dxf>
    <dxf>
      <fill>
        <patternFill patternType="solid">
          <bgColor theme="0"/>
        </patternFill>
      </fill>
    </dxf>
    <dxf>
      <fill>
        <patternFill>
          <bgColor theme="0"/>
        </patternFill>
      </fill>
    </dxf>
    <dxf>
      <font>
        <strike val="0"/>
        <color rgb="FFFF0000"/>
      </font>
    </dxf>
    <dxf>
      <fill>
        <patternFill>
          <bgColor theme="0"/>
        </patternFill>
      </fill>
    </dxf>
    <dxf>
      <font>
        <b/>
        <i val="0"/>
        <strike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ont>
        <b/>
        <i val="0"/>
        <condense val="0"/>
        <extend val="0"/>
        <color indexed="10"/>
      </font>
    </dxf>
    <dxf>
      <fill>
        <patternFill patternType="none">
          <bgColor auto="1"/>
        </patternFill>
      </fill>
    </dxf>
    <dxf>
      <font>
        <color rgb="FFC00000"/>
      </font>
    </dxf>
    <dxf>
      <fill>
        <patternFill patternType="none">
          <bgColor auto="1"/>
        </patternFill>
      </fill>
    </dxf>
    <dxf>
      <font>
        <b/>
        <i val="0"/>
        <color rgb="FFFF0000"/>
      </font>
    </dxf>
    <dxf>
      <font>
        <color rgb="FF008000"/>
      </font>
      <border>
        <left style="thin">
          <color auto="1"/>
        </left>
        <right style="thin">
          <color auto="1"/>
        </right>
        <top style="thin">
          <color auto="1"/>
        </top>
        <bottom style="thin">
          <color auto="1"/>
        </bottom>
      </border>
    </dxf>
    <dxf>
      <font>
        <color rgb="FF008000"/>
      </font>
      <border>
        <left style="thin">
          <color auto="1"/>
        </left>
        <right style="thin">
          <color auto="1"/>
        </right>
        <top style="thin">
          <color auto="1"/>
        </top>
        <bottom style="thin">
          <color auto="1"/>
        </bottom>
      </border>
    </dxf>
    <dxf>
      <font>
        <b/>
        <i val="0"/>
        <color rgb="FFFF0000"/>
      </font>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ill>
        <patternFill>
          <bgColor theme="0"/>
        </patternFill>
      </fill>
    </dxf>
    <dxf>
      <fill>
        <patternFill patternType="none">
          <bgColor auto="1"/>
        </patternFill>
      </fill>
    </dxf>
    <dxf>
      <fill>
        <patternFill patternType="none">
          <bgColor auto="1"/>
        </patternFill>
      </fill>
    </dxf>
    <dxf>
      <font>
        <color rgb="FFFF0000"/>
      </font>
    </dxf>
    <dxf>
      <fill>
        <patternFill patternType="none">
          <bgColor auto="1"/>
        </patternFill>
      </fill>
    </dxf>
    <dxf>
      <font>
        <color rgb="FFFF0000"/>
      </font>
    </dxf>
    <dxf>
      <fill>
        <patternFill patternType="none">
          <bgColor auto="1"/>
        </patternFill>
      </fill>
    </dxf>
    <dxf>
      <font>
        <color rgb="FFFF0000"/>
      </font>
    </dxf>
    <dxf>
      <fill>
        <patternFill patternType="none">
          <bgColor auto="1"/>
        </patternFill>
      </fill>
    </dxf>
    <dxf>
      <font>
        <color rgb="FFFF0000"/>
      </font>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00B050"/>
      </font>
    </dxf>
    <dxf>
      <font>
        <b/>
        <i val="0"/>
        <color rgb="FF00B05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8000"/>
      <color rgb="FFB9FFF2"/>
      <color rgb="FFDDFFF9"/>
      <color rgb="FFABFFEF"/>
      <color rgb="FF5BFFE0"/>
      <color rgb="FF00FFCC"/>
      <color rgb="FFD1FF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6.jpe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6.jpeg"/><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emf"/></Relationships>
</file>

<file path=xl/drawings/_rels/drawing19.xml.rels><?xml version="1.0" encoding="UTF-8" standalone="yes"?>
<Relationships xmlns="http://schemas.openxmlformats.org/package/2006/relationships"><Relationship Id="rId1" Type="http://schemas.openxmlformats.org/officeDocument/2006/relationships/image" Target="../media/image5.emf"/></Relationships>
</file>

<file path=xl/drawings/_rels/drawing20.xml.rels><?xml version="1.0" encoding="UTF-8" standalone="yes"?>
<Relationships xmlns="http://schemas.openxmlformats.org/package/2006/relationships"><Relationship Id="rId1" Type="http://schemas.openxmlformats.org/officeDocument/2006/relationships/image" Target="../media/image5.emf"/></Relationships>
</file>

<file path=xl/drawings/_rels/drawing2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5.emf"/></Relationships>
</file>

<file path=xl/drawings/_rels/drawing25.x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png"/><Relationship Id="rId1" Type="http://schemas.openxmlformats.org/officeDocument/2006/relationships/image" Target="../media/image5.emf"/><Relationship Id="rId4" Type="http://schemas.openxmlformats.org/officeDocument/2006/relationships/image" Target="../media/image19.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5.emf"/></Relationships>
</file>

<file path=xl/drawings/_rels/drawing27.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5.emf"/></Relationships>
</file>

<file path=xl/drawings/_rels/drawing29.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emf"/></Relationships>
</file>

<file path=xl/drawings/_rels/drawing31.xml.rels><?xml version="1.0" encoding="UTF-8" standalone="yes"?>
<Relationships xmlns="http://schemas.openxmlformats.org/package/2006/relationships"><Relationship Id="rId1" Type="http://schemas.openxmlformats.org/officeDocument/2006/relationships/image" Target="../media/image5.emf"/></Relationships>
</file>

<file path=xl/drawings/_rels/drawing32.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media/image26.jpeg"/><Relationship Id="rId1" Type="http://schemas.openxmlformats.org/officeDocument/2006/relationships/image" Target="../media/image25.jpeg"/></Relationships>
</file>

<file path=xl/drawings/_rels/drawing34.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5.emf"/></Relationships>
</file>

<file path=xl/drawings/_rels/drawing35.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36.xml.rels><?xml version="1.0" encoding="UTF-8" standalone="yes"?>
<Relationships xmlns="http://schemas.openxmlformats.org/package/2006/relationships"><Relationship Id="rId1" Type="http://schemas.openxmlformats.org/officeDocument/2006/relationships/image" Target="../media/image5.emf"/></Relationships>
</file>

<file path=xl/drawings/_rels/drawing37.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5.emf"/></Relationships>
</file>

<file path=xl/drawings/_rels/drawing3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5.emf"/></Relationships>
</file>

<file path=xl/drawings/_rels/drawing40.xml.rels><?xml version="1.0" encoding="UTF-8" standalone="yes"?>
<Relationships xmlns="http://schemas.openxmlformats.org/package/2006/relationships"><Relationship Id="rId1" Type="http://schemas.openxmlformats.org/officeDocument/2006/relationships/image" Target="../media/image5.emf"/></Relationships>
</file>

<file path=xl/drawings/_rels/drawing41.xml.rels><?xml version="1.0" encoding="UTF-8" standalone="yes"?>
<Relationships xmlns="http://schemas.openxmlformats.org/package/2006/relationships"><Relationship Id="rId1" Type="http://schemas.openxmlformats.org/officeDocument/2006/relationships/image" Target="../media/image5.emf"/></Relationships>
</file>

<file path=xl/drawings/_rels/drawing42.xml.rels><?xml version="1.0" encoding="UTF-8" standalone="yes"?>
<Relationships xmlns="http://schemas.openxmlformats.org/package/2006/relationships"><Relationship Id="rId1" Type="http://schemas.openxmlformats.org/officeDocument/2006/relationships/image" Target="../media/image5.emf"/></Relationships>
</file>

<file path=xl/drawings/_rels/drawing43.xml.rels><?xml version="1.0" encoding="UTF-8" standalone="yes"?>
<Relationships xmlns="http://schemas.openxmlformats.org/package/2006/relationships"><Relationship Id="rId1" Type="http://schemas.openxmlformats.org/officeDocument/2006/relationships/image" Target="../media/image5.emf"/></Relationships>
</file>

<file path=xl/drawings/_rels/drawing44.xml.rels><?xml version="1.0" encoding="UTF-8" standalone="yes"?>
<Relationships xmlns="http://schemas.openxmlformats.org/package/2006/relationships"><Relationship Id="rId1" Type="http://schemas.openxmlformats.org/officeDocument/2006/relationships/image" Target="../media/image8.png"/></Relationships>
</file>

<file path=xl/drawings/_rels/drawing45.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0</xdr:rowOff>
    </xdr:from>
    <xdr:to>
      <xdr:col>13</xdr:col>
      <xdr:colOff>123825</xdr:colOff>
      <xdr:row>40</xdr:row>
      <xdr:rowOff>136058</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1025" y="2447925"/>
          <a:ext cx="6829425" cy="4508033"/>
        </a:xfrm>
        <a:prstGeom prst="rect">
          <a:avLst/>
        </a:prstGeom>
      </xdr:spPr>
    </xdr:pic>
    <xdr:clientData/>
  </xdr:twoCellAnchor>
  <xdr:twoCellAnchor editAs="oneCell">
    <xdr:from>
      <xdr:col>0</xdr:col>
      <xdr:colOff>132757</xdr:colOff>
      <xdr:row>42</xdr:row>
      <xdr:rowOff>257176</xdr:rowOff>
    </xdr:from>
    <xdr:to>
      <xdr:col>14</xdr:col>
      <xdr:colOff>9526</xdr:colOff>
      <xdr:row>68</xdr:row>
      <xdr:rowOff>98288</xdr:rowOff>
    </xdr:to>
    <xdr:pic>
      <xdr:nvPicPr>
        <xdr:cNvPr id="3" name="Picture 2">
          <a:extLst>
            <a:ext uri="{FF2B5EF4-FFF2-40B4-BE49-F238E27FC236}">
              <a16:creationId xmlns:a16="http://schemas.microsoft.com/office/drawing/2014/main" id="{DAB2015C-351A-4541-AE3C-96AA99DF1D59}"/>
            </a:ext>
          </a:extLst>
        </xdr:cNvPr>
        <xdr:cNvPicPr>
          <a:picLocks noChangeAspect="1"/>
        </xdr:cNvPicPr>
      </xdr:nvPicPr>
      <xdr:blipFill>
        <a:blip xmlns:r="http://schemas.openxmlformats.org/officeDocument/2006/relationships" r:embed="rId2"/>
        <a:stretch>
          <a:fillRect/>
        </a:stretch>
      </xdr:blipFill>
      <xdr:spPr>
        <a:xfrm>
          <a:off x="132757" y="7410451"/>
          <a:ext cx="7772994" cy="41654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2143125</xdr:colOff>
      <xdr:row>12</xdr:row>
      <xdr:rowOff>9821</xdr:rowOff>
    </xdr:from>
    <xdr:to>
      <xdr:col>6</xdr:col>
      <xdr:colOff>57150</xdr:colOff>
      <xdr:row>13</xdr:row>
      <xdr:rowOff>206375</xdr:rowOff>
    </xdr:to>
    <xdr:pic>
      <xdr:nvPicPr>
        <xdr:cNvPr id="32321" name="Picture 1">
          <a:extLst>
            <a:ext uri="{FF2B5EF4-FFF2-40B4-BE49-F238E27FC236}">
              <a16:creationId xmlns:a16="http://schemas.microsoft.com/office/drawing/2014/main" id="{00000000-0008-0000-0900-0000417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3625" y="3153071"/>
          <a:ext cx="400050" cy="482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24</xdr:col>
      <xdr:colOff>319454</xdr:colOff>
      <xdr:row>84</xdr:row>
      <xdr:rowOff>52756</xdr:rowOff>
    </xdr:from>
    <xdr:to>
      <xdr:col>24</xdr:col>
      <xdr:colOff>376605</xdr:colOff>
      <xdr:row>84</xdr:row>
      <xdr:rowOff>148008</xdr:rowOff>
    </xdr:to>
    <xdr:sp macro="" textlink="">
      <xdr:nvSpPr>
        <xdr:cNvPr id="34" name="AutoShape 655">
          <a:extLst>
            <a:ext uri="{FF2B5EF4-FFF2-40B4-BE49-F238E27FC236}">
              <a16:creationId xmlns:a16="http://schemas.microsoft.com/office/drawing/2014/main" id="{00000000-0008-0000-0A00-000022000000}"/>
            </a:ext>
          </a:extLst>
        </xdr:cNvPr>
        <xdr:cNvSpPr>
          <a:spLocks noChangeArrowheads="1"/>
        </xdr:cNvSpPr>
      </xdr:nvSpPr>
      <xdr:spPr bwMode="auto">
        <a:xfrm rot="5400000">
          <a:off x="6718789" y="10563960"/>
          <a:ext cx="95252" cy="57151"/>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19</xdr:col>
      <xdr:colOff>121627</xdr:colOff>
      <xdr:row>89</xdr:row>
      <xdr:rowOff>50559</xdr:rowOff>
    </xdr:from>
    <xdr:to>
      <xdr:col>19</xdr:col>
      <xdr:colOff>178778</xdr:colOff>
      <xdr:row>89</xdr:row>
      <xdr:rowOff>145811</xdr:rowOff>
    </xdr:to>
    <xdr:sp macro="" textlink="">
      <xdr:nvSpPr>
        <xdr:cNvPr id="35" name="AutoShape 655">
          <a:extLst>
            <a:ext uri="{FF2B5EF4-FFF2-40B4-BE49-F238E27FC236}">
              <a16:creationId xmlns:a16="http://schemas.microsoft.com/office/drawing/2014/main" id="{00000000-0008-0000-0A00-000023000000}"/>
            </a:ext>
          </a:extLst>
        </xdr:cNvPr>
        <xdr:cNvSpPr>
          <a:spLocks noChangeArrowheads="1"/>
        </xdr:cNvSpPr>
      </xdr:nvSpPr>
      <xdr:spPr bwMode="auto">
        <a:xfrm rot="5400000">
          <a:off x="5392615" y="11470301"/>
          <a:ext cx="95252" cy="57151"/>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19</xdr:col>
      <xdr:colOff>121627</xdr:colOff>
      <xdr:row>87</xdr:row>
      <xdr:rowOff>49833</xdr:rowOff>
    </xdr:from>
    <xdr:to>
      <xdr:col>19</xdr:col>
      <xdr:colOff>178778</xdr:colOff>
      <xdr:row>87</xdr:row>
      <xdr:rowOff>145085</xdr:rowOff>
    </xdr:to>
    <xdr:sp macro="" textlink="">
      <xdr:nvSpPr>
        <xdr:cNvPr id="36" name="AutoShape 655">
          <a:extLst>
            <a:ext uri="{FF2B5EF4-FFF2-40B4-BE49-F238E27FC236}">
              <a16:creationId xmlns:a16="http://schemas.microsoft.com/office/drawing/2014/main" id="{00000000-0008-0000-0A00-000024000000}"/>
            </a:ext>
          </a:extLst>
        </xdr:cNvPr>
        <xdr:cNvSpPr>
          <a:spLocks noChangeArrowheads="1"/>
        </xdr:cNvSpPr>
      </xdr:nvSpPr>
      <xdr:spPr bwMode="auto">
        <a:xfrm rot="5400000">
          <a:off x="5392615" y="11110556"/>
          <a:ext cx="95252" cy="57151"/>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26</xdr:col>
      <xdr:colOff>43640</xdr:colOff>
      <xdr:row>30</xdr:row>
      <xdr:rowOff>34423</xdr:rowOff>
    </xdr:from>
    <xdr:to>
      <xdr:col>26</xdr:col>
      <xdr:colOff>182644</xdr:colOff>
      <xdr:row>31</xdr:row>
      <xdr:rowOff>6815</xdr:rowOff>
    </xdr:to>
    <xdr:pic>
      <xdr:nvPicPr>
        <xdr:cNvPr id="37" name="Picture 36">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38562" y="4814782"/>
          <a:ext cx="142179" cy="136301"/>
        </a:xfrm>
        <a:prstGeom prst="rect">
          <a:avLst/>
        </a:prstGeom>
      </xdr:spPr>
    </xdr:pic>
    <xdr:clientData/>
  </xdr:twoCellAnchor>
  <xdr:oneCellAnchor>
    <xdr:from>
      <xdr:col>3</xdr:col>
      <xdr:colOff>28575</xdr:colOff>
      <xdr:row>96</xdr:row>
      <xdr:rowOff>123825</xdr:rowOff>
    </xdr:from>
    <xdr:ext cx="152400" cy="520700"/>
    <xdr:pic>
      <xdr:nvPicPr>
        <xdr:cNvPr id="38" name="Picture 261">
          <a:extLst>
            <a:ext uri="{FF2B5EF4-FFF2-40B4-BE49-F238E27FC236}">
              <a16:creationId xmlns:a16="http://schemas.microsoft.com/office/drawing/2014/main" id="{00000000-0008-0000-0A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2525" y="16468725"/>
          <a:ext cx="152400" cy="52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467591</xdr:colOff>
      <xdr:row>103</xdr:row>
      <xdr:rowOff>54556</xdr:rowOff>
    </xdr:from>
    <xdr:to>
      <xdr:col>7</xdr:col>
      <xdr:colOff>534266</xdr:colOff>
      <xdr:row>103</xdr:row>
      <xdr:rowOff>149806</xdr:rowOff>
    </xdr:to>
    <xdr:sp macro="" textlink="">
      <xdr:nvSpPr>
        <xdr:cNvPr id="41" name="AutoShape 515">
          <a:extLst>
            <a:ext uri="{FF2B5EF4-FFF2-40B4-BE49-F238E27FC236}">
              <a16:creationId xmlns:a16="http://schemas.microsoft.com/office/drawing/2014/main" id="{00000000-0008-0000-0A00-000029000000}"/>
            </a:ext>
          </a:extLst>
        </xdr:cNvPr>
        <xdr:cNvSpPr>
          <a:spLocks noChangeArrowheads="1"/>
        </xdr:cNvSpPr>
      </xdr:nvSpPr>
      <xdr:spPr bwMode="auto">
        <a:xfrm rot="5400000">
          <a:off x="2349645" y="6008979"/>
          <a:ext cx="95250" cy="6667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467591</xdr:colOff>
      <xdr:row>104</xdr:row>
      <xdr:rowOff>54556</xdr:rowOff>
    </xdr:from>
    <xdr:to>
      <xdr:col>7</xdr:col>
      <xdr:colOff>534266</xdr:colOff>
      <xdr:row>104</xdr:row>
      <xdr:rowOff>149806</xdr:rowOff>
    </xdr:to>
    <xdr:sp macro="" textlink="">
      <xdr:nvSpPr>
        <xdr:cNvPr id="17" name="AutoShape 515">
          <a:extLst>
            <a:ext uri="{FF2B5EF4-FFF2-40B4-BE49-F238E27FC236}">
              <a16:creationId xmlns:a16="http://schemas.microsoft.com/office/drawing/2014/main" id="{00000000-0008-0000-0A00-000011000000}"/>
            </a:ext>
          </a:extLst>
        </xdr:cNvPr>
        <xdr:cNvSpPr>
          <a:spLocks noChangeArrowheads="1"/>
        </xdr:cNvSpPr>
      </xdr:nvSpPr>
      <xdr:spPr bwMode="auto">
        <a:xfrm rot="5400000">
          <a:off x="2341739" y="5990908"/>
          <a:ext cx="95250" cy="6667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13</xdr:col>
      <xdr:colOff>153066</xdr:colOff>
      <xdr:row>7</xdr:row>
      <xdr:rowOff>43662</xdr:rowOff>
    </xdr:from>
    <xdr:to>
      <xdr:col>13</xdr:col>
      <xdr:colOff>244173</xdr:colOff>
      <xdr:row>7</xdr:row>
      <xdr:rowOff>159622</xdr:rowOff>
    </xdr:to>
    <xdr:sp macro="" textlink="">
      <xdr:nvSpPr>
        <xdr:cNvPr id="18" name="AutoShape 655">
          <a:extLst>
            <a:ext uri="{FF2B5EF4-FFF2-40B4-BE49-F238E27FC236}">
              <a16:creationId xmlns:a16="http://schemas.microsoft.com/office/drawing/2014/main" id="{00000000-0008-0000-0A00-000012000000}"/>
            </a:ext>
          </a:extLst>
        </xdr:cNvPr>
        <xdr:cNvSpPr>
          <a:spLocks noChangeArrowheads="1"/>
        </xdr:cNvSpPr>
      </xdr:nvSpPr>
      <xdr:spPr bwMode="auto">
        <a:xfrm rot="5400000">
          <a:off x="3891519" y="1356743"/>
          <a:ext cx="115960" cy="9110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26</xdr:col>
      <xdr:colOff>124239</xdr:colOff>
      <xdr:row>44</xdr:row>
      <xdr:rowOff>49697</xdr:rowOff>
    </xdr:from>
    <xdr:to>
      <xdr:col>26</xdr:col>
      <xdr:colOff>222803</xdr:colOff>
      <xdr:row>44</xdr:row>
      <xdr:rowOff>182218</xdr:rowOff>
    </xdr:to>
    <xdr:sp macro="" textlink="">
      <xdr:nvSpPr>
        <xdr:cNvPr id="22" name="AutoShape 655">
          <a:extLst>
            <a:ext uri="{FF2B5EF4-FFF2-40B4-BE49-F238E27FC236}">
              <a16:creationId xmlns:a16="http://schemas.microsoft.com/office/drawing/2014/main" id="{00000000-0008-0000-0A00-000016000000}"/>
            </a:ext>
          </a:extLst>
        </xdr:cNvPr>
        <xdr:cNvSpPr>
          <a:spLocks noChangeArrowheads="1"/>
        </xdr:cNvSpPr>
      </xdr:nvSpPr>
      <xdr:spPr bwMode="auto">
        <a:xfrm rot="5400000">
          <a:off x="7023238" y="6941241"/>
          <a:ext cx="132521" cy="98564"/>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38</xdr:col>
      <xdr:colOff>684557</xdr:colOff>
      <xdr:row>35</xdr:row>
      <xdr:rowOff>47626</xdr:rowOff>
    </xdr:from>
    <xdr:to>
      <xdr:col>38</xdr:col>
      <xdr:colOff>875057</xdr:colOff>
      <xdr:row>35</xdr:row>
      <xdr:rowOff>161926</xdr:rowOff>
    </xdr:to>
    <xdr:sp macro="" textlink="">
      <xdr:nvSpPr>
        <xdr:cNvPr id="26" name="AutoShape 344">
          <a:extLst>
            <a:ext uri="{FF2B5EF4-FFF2-40B4-BE49-F238E27FC236}">
              <a16:creationId xmlns:a16="http://schemas.microsoft.com/office/drawing/2014/main" id="{00000000-0008-0000-0A00-00001A000000}"/>
            </a:ext>
          </a:extLst>
        </xdr:cNvPr>
        <xdr:cNvSpPr>
          <a:spLocks noChangeArrowheads="1"/>
        </xdr:cNvSpPr>
      </xdr:nvSpPr>
      <xdr:spPr bwMode="auto">
        <a:xfrm rot="10800000">
          <a:off x="11352557" y="1902930"/>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26</xdr:col>
      <xdr:colOff>132793</xdr:colOff>
      <xdr:row>82</xdr:row>
      <xdr:rowOff>46907</xdr:rowOff>
    </xdr:from>
    <xdr:to>
      <xdr:col>26</xdr:col>
      <xdr:colOff>189944</xdr:colOff>
      <xdr:row>82</xdr:row>
      <xdr:rowOff>142159</xdr:rowOff>
    </xdr:to>
    <xdr:sp macro="" textlink="">
      <xdr:nvSpPr>
        <xdr:cNvPr id="29" name="AutoShape 655">
          <a:extLst>
            <a:ext uri="{FF2B5EF4-FFF2-40B4-BE49-F238E27FC236}">
              <a16:creationId xmlns:a16="http://schemas.microsoft.com/office/drawing/2014/main" id="{00000000-0008-0000-0A00-00001D000000}"/>
            </a:ext>
          </a:extLst>
        </xdr:cNvPr>
        <xdr:cNvSpPr>
          <a:spLocks noChangeArrowheads="1"/>
        </xdr:cNvSpPr>
      </xdr:nvSpPr>
      <xdr:spPr bwMode="auto">
        <a:xfrm rot="5400000">
          <a:off x="7058334" y="11331434"/>
          <a:ext cx="95252" cy="57151"/>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26</xdr:col>
      <xdr:colOff>131015</xdr:colOff>
      <xdr:row>81</xdr:row>
      <xdr:rowOff>65509</xdr:rowOff>
    </xdr:from>
    <xdr:to>
      <xdr:col>26</xdr:col>
      <xdr:colOff>188166</xdr:colOff>
      <xdr:row>81</xdr:row>
      <xdr:rowOff>160761</xdr:rowOff>
    </xdr:to>
    <xdr:sp macro="" textlink="">
      <xdr:nvSpPr>
        <xdr:cNvPr id="30" name="AutoShape 655">
          <a:extLst>
            <a:ext uri="{FF2B5EF4-FFF2-40B4-BE49-F238E27FC236}">
              <a16:creationId xmlns:a16="http://schemas.microsoft.com/office/drawing/2014/main" id="{00000000-0008-0000-0A00-00001E000000}"/>
            </a:ext>
          </a:extLst>
        </xdr:cNvPr>
        <xdr:cNvSpPr>
          <a:spLocks noChangeArrowheads="1"/>
        </xdr:cNvSpPr>
      </xdr:nvSpPr>
      <xdr:spPr bwMode="auto">
        <a:xfrm rot="5400000">
          <a:off x="7056556" y="11168195"/>
          <a:ext cx="95252" cy="57151"/>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28</xdr:col>
      <xdr:colOff>91109</xdr:colOff>
      <xdr:row>104</xdr:row>
      <xdr:rowOff>57984</xdr:rowOff>
    </xdr:from>
    <xdr:to>
      <xdr:col>28</xdr:col>
      <xdr:colOff>157784</xdr:colOff>
      <xdr:row>104</xdr:row>
      <xdr:rowOff>153234</xdr:rowOff>
    </xdr:to>
    <xdr:sp macro="" textlink="">
      <xdr:nvSpPr>
        <xdr:cNvPr id="31" name="AutoShape 515">
          <a:extLst>
            <a:ext uri="{FF2B5EF4-FFF2-40B4-BE49-F238E27FC236}">
              <a16:creationId xmlns:a16="http://schemas.microsoft.com/office/drawing/2014/main" id="{00000000-0008-0000-0A00-00001F000000}"/>
            </a:ext>
          </a:extLst>
        </xdr:cNvPr>
        <xdr:cNvSpPr>
          <a:spLocks noChangeArrowheads="1"/>
        </xdr:cNvSpPr>
      </xdr:nvSpPr>
      <xdr:spPr bwMode="auto">
        <a:xfrm rot="5400000">
          <a:off x="7572583" y="14740771"/>
          <a:ext cx="95250" cy="6667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284973</xdr:colOff>
      <xdr:row>42</xdr:row>
      <xdr:rowOff>31838</xdr:rowOff>
    </xdr:from>
    <xdr:to>
      <xdr:col>24</xdr:col>
      <xdr:colOff>383537</xdr:colOff>
      <xdr:row>42</xdr:row>
      <xdr:rowOff>161112</xdr:rowOff>
    </xdr:to>
    <xdr:sp macro="" textlink="">
      <xdr:nvSpPr>
        <xdr:cNvPr id="23" name="AutoShape 655">
          <a:extLst>
            <a:ext uri="{FF2B5EF4-FFF2-40B4-BE49-F238E27FC236}">
              <a16:creationId xmlns:a16="http://schemas.microsoft.com/office/drawing/2014/main" id="{00000000-0008-0000-0A00-000017000000}"/>
            </a:ext>
          </a:extLst>
        </xdr:cNvPr>
        <xdr:cNvSpPr>
          <a:spLocks noChangeArrowheads="1"/>
        </xdr:cNvSpPr>
      </xdr:nvSpPr>
      <xdr:spPr bwMode="auto">
        <a:xfrm rot="5400000">
          <a:off x="6597790" y="7077834"/>
          <a:ext cx="129274" cy="98564"/>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26</xdr:col>
      <xdr:colOff>147205</xdr:colOff>
      <xdr:row>64</xdr:row>
      <xdr:rowOff>77932</xdr:rowOff>
    </xdr:from>
    <xdr:to>
      <xdr:col>26</xdr:col>
      <xdr:colOff>213880</xdr:colOff>
      <xdr:row>64</xdr:row>
      <xdr:rowOff>173182</xdr:rowOff>
    </xdr:to>
    <xdr:sp macro="" textlink="">
      <xdr:nvSpPr>
        <xdr:cNvPr id="25" name="AutoShape 515">
          <a:extLst>
            <a:ext uri="{FF2B5EF4-FFF2-40B4-BE49-F238E27FC236}">
              <a16:creationId xmlns:a16="http://schemas.microsoft.com/office/drawing/2014/main" id="{00000000-0008-0000-0A00-000019000000}"/>
            </a:ext>
          </a:extLst>
        </xdr:cNvPr>
        <xdr:cNvSpPr>
          <a:spLocks noChangeArrowheads="1"/>
        </xdr:cNvSpPr>
      </xdr:nvSpPr>
      <xdr:spPr bwMode="auto">
        <a:xfrm rot="5400000">
          <a:off x="7077509" y="9902969"/>
          <a:ext cx="95250" cy="6667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95707</xdr:colOff>
      <xdr:row>93</xdr:row>
      <xdr:rowOff>161201</xdr:rowOff>
    </xdr:from>
    <xdr:to>
      <xdr:col>6</xdr:col>
      <xdr:colOff>456</xdr:colOff>
      <xdr:row>93</xdr:row>
      <xdr:rowOff>256453</xdr:rowOff>
    </xdr:to>
    <xdr:sp macro="" textlink="">
      <xdr:nvSpPr>
        <xdr:cNvPr id="27" name="AutoShape 85">
          <a:extLst>
            <a:ext uri="{FF2B5EF4-FFF2-40B4-BE49-F238E27FC236}">
              <a16:creationId xmlns:a16="http://schemas.microsoft.com/office/drawing/2014/main" id="{00000000-0008-0000-0A00-00001B000000}"/>
            </a:ext>
          </a:extLst>
        </xdr:cNvPr>
        <xdr:cNvSpPr>
          <a:spLocks noChangeArrowheads="1"/>
        </xdr:cNvSpPr>
      </xdr:nvSpPr>
      <xdr:spPr bwMode="auto">
        <a:xfrm rot="5400000">
          <a:off x="1670994" y="15958048"/>
          <a:ext cx="95252" cy="9524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17</xdr:col>
      <xdr:colOff>28849</xdr:colOff>
      <xdr:row>93</xdr:row>
      <xdr:rowOff>152039</xdr:rowOff>
    </xdr:from>
    <xdr:to>
      <xdr:col>17</xdr:col>
      <xdr:colOff>124098</xdr:colOff>
      <xdr:row>93</xdr:row>
      <xdr:rowOff>247291</xdr:rowOff>
    </xdr:to>
    <xdr:sp macro="" textlink="">
      <xdr:nvSpPr>
        <xdr:cNvPr id="39" name="AutoShape 85">
          <a:extLst>
            <a:ext uri="{FF2B5EF4-FFF2-40B4-BE49-F238E27FC236}">
              <a16:creationId xmlns:a16="http://schemas.microsoft.com/office/drawing/2014/main" id="{00000000-0008-0000-0A00-000027000000}"/>
            </a:ext>
          </a:extLst>
        </xdr:cNvPr>
        <xdr:cNvSpPr>
          <a:spLocks noChangeArrowheads="1"/>
        </xdr:cNvSpPr>
      </xdr:nvSpPr>
      <xdr:spPr bwMode="auto">
        <a:xfrm rot="5400000">
          <a:off x="4703425" y="15948886"/>
          <a:ext cx="95252" cy="9524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173100</xdr:colOff>
      <xdr:row>93</xdr:row>
      <xdr:rowOff>162113</xdr:rowOff>
    </xdr:from>
    <xdr:to>
      <xdr:col>26</xdr:col>
      <xdr:colOff>70522</xdr:colOff>
      <xdr:row>93</xdr:row>
      <xdr:rowOff>257365</xdr:rowOff>
    </xdr:to>
    <xdr:sp macro="" textlink="">
      <xdr:nvSpPr>
        <xdr:cNvPr id="40" name="AutoShape 85">
          <a:extLst>
            <a:ext uri="{FF2B5EF4-FFF2-40B4-BE49-F238E27FC236}">
              <a16:creationId xmlns:a16="http://schemas.microsoft.com/office/drawing/2014/main" id="{00000000-0008-0000-0A00-000028000000}"/>
            </a:ext>
          </a:extLst>
        </xdr:cNvPr>
        <xdr:cNvSpPr>
          <a:spLocks noChangeArrowheads="1"/>
        </xdr:cNvSpPr>
      </xdr:nvSpPr>
      <xdr:spPr bwMode="auto">
        <a:xfrm rot="5400000">
          <a:off x="7009118" y="15958960"/>
          <a:ext cx="95252" cy="9524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549729</xdr:colOff>
      <xdr:row>35</xdr:row>
      <xdr:rowOff>2369</xdr:rowOff>
    </xdr:from>
    <xdr:to>
      <xdr:col>2</xdr:col>
      <xdr:colOff>648293</xdr:colOff>
      <xdr:row>35</xdr:row>
      <xdr:rowOff>134890</xdr:rowOff>
    </xdr:to>
    <xdr:sp macro="" textlink="">
      <xdr:nvSpPr>
        <xdr:cNvPr id="33" name="AutoShape 655">
          <a:extLst>
            <a:ext uri="{FF2B5EF4-FFF2-40B4-BE49-F238E27FC236}">
              <a16:creationId xmlns:a16="http://schemas.microsoft.com/office/drawing/2014/main" id="{00000000-0008-0000-0A00-000021000000}"/>
            </a:ext>
          </a:extLst>
        </xdr:cNvPr>
        <xdr:cNvSpPr>
          <a:spLocks noChangeArrowheads="1"/>
        </xdr:cNvSpPr>
      </xdr:nvSpPr>
      <xdr:spPr bwMode="auto">
        <a:xfrm rot="5400000">
          <a:off x="905467" y="5775761"/>
          <a:ext cx="132521" cy="98564"/>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184073</xdr:colOff>
      <xdr:row>85</xdr:row>
      <xdr:rowOff>65486</xdr:rowOff>
    </xdr:from>
    <xdr:to>
      <xdr:col>4</xdr:col>
      <xdr:colOff>229792</xdr:colOff>
      <xdr:row>85</xdr:row>
      <xdr:rowOff>154786</xdr:rowOff>
    </xdr:to>
    <xdr:sp macro="" textlink="">
      <xdr:nvSpPr>
        <xdr:cNvPr id="42" name="AutoShape 655">
          <a:extLst>
            <a:ext uri="{FF2B5EF4-FFF2-40B4-BE49-F238E27FC236}">
              <a16:creationId xmlns:a16="http://schemas.microsoft.com/office/drawing/2014/main" id="{00000000-0008-0000-0A00-00002A000000}"/>
            </a:ext>
          </a:extLst>
        </xdr:cNvPr>
        <xdr:cNvSpPr>
          <a:spLocks noChangeArrowheads="1"/>
        </xdr:cNvSpPr>
      </xdr:nvSpPr>
      <xdr:spPr bwMode="auto">
        <a:xfrm rot="5400000">
          <a:off x="1495783" y="13910432"/>
          <a:ext cx="89300" cy="4571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178594</xdr:colOff>
      <xdr:row>86</xdr:row>
      <xdr:rowOff>77391</xdr:rowOff>
    </xdr:from>
    <xdr:to>
      <xdr:col>4</xdr:col>
      <xdr:colOff>224313</xdr:colOff>
      <xdr:row>86</xdr:row>
      <xdr:rowOff>166691</xdr:rowOff>
    </xdr:to>
    <xdr:sp macro="" textlink="">
      <xdr:nvSpPr>
        <xdr:cNvPr id="43" name="AutoShape 655">
          <a:extLst>
            <a:ext uri="{FF2B5EF4-FFF2-40B4-BE49-F238E27FC236}">
              <a16:creationId xmlns:a16="http://schemas.microsoft.com/office/drawing/2014/main" id="{00000000-0008-0000-0A00-00002B000000}"/>
            </a:ext>
          </a:extLst>
        </xdr:cNvPr>
        <xdr:cNvSpPr>
          <a:spLocks noChangeArrowheads="1"/>
        </xdr:cNvSpPr>
      </xdr:nvSpPr>
      <xdr:spPr bwMode="auto">
        <a:xfrm rot="5400000">
          <a:off x="1490304" y="14100931"/>
          <a:ext cx="89300" cy="4571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18</xdr:col>
      <xdr:colOff>125016</xdr:colOff>
      <xdr:row>85</xdr:row>
      <xdr:rowOff>59532</xdr:rowOff>
    </xdr:from>
    <xdr:to>
      <xdr:col>18</xdr:col>
      <xdr:colOff>170735</xdr:colOff>
      <xdr:row>85</xdr:row>
      <xdr:rowOff>148832</xdr:rowOff>
    </xdr:to>
    <xdr:sp macro="" textlink="">
      <xdr:nvSpPr>
        <xdr:cNvPr id="44" name="AutoShape 655">
          <a:extLst>
            <a:ext uri="{FF2B5EF4-FFF2-40B4-BE49-F238E27FC236}">
              <a16:creationId xmlns:a16="http://schemas.microsoft.com/office/drawing/2014/main" id="{00000000-0008-0000-0A00-00002C000000}"/>
            </a:ext>
          </a:extLst>
        </xdr:cNvPr>
        <xdr:cNvSpPr>
          <a:spLocks noChangeArrowheads="1"/>
        </xdr:cNvSpPr>
      </xdr:nvSpPr>
      <xdr:spPr bwMode="auto">
        <a:xfrm rot="5400000">
          <a:off x="4943117" y="13904478"/>
          <a:ext cx="89300" cy="4571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178594</xdr:colOff>
      <xdr:row>74</xdr:row>
      <xdr:rowOff>41673</xdr:rowOff>
    </xdr:from>
    <xdr:to>
      <xdr:col>20</xdr:col>
      <xdr:colOff>235745</xdr:colOff>
      <xdr:row>74</xdr:row>
      <xdr:rowOff>136925</xdr:rowOff>
    </xdr:to>
    <xdr:sp macro="" textlink="">
      <xdr:nvSpPr>
        <xdr:cNvPr id="32" name="AutoShape 655">
          <a:extLst>
            <a:ext uri="{FF2B5EF4-FFF2-40B4-BE49-F238E27FC236}">
              <a16:creationId xmlns:a16="http://schemas.microsoft.com/office/drawing/2014/main" id="{00000000-0008-0000-0A00-000020000000}"/>
            </a:ext>
          </a:extLst>
        </xdr:cNvPr>
        <xdr:cNvSpPr>
          <a:spLocks noChangeArrowheads="1"/>
        </xdr:cNvSpPr>
      </xdr:nvSpPr>
      <xdr:spPr bwMode="auto">
        <a:xfrm rot="5400000">
          <a:off x="5600700" y="12633723"/>
          <a:ext cx="95252" cy="57151"/>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26</xdr:col>
      <xdr:colOff>121627</xdr:colOff>
      <xdr:row>88</xdr:row>
      <xdr:rowOff>50559</xdr:rowOff>
    </xdr:from>
    <xdr:to>
      <xdr:col>26</xdr:col>
      <xdr:colOff>178778</xdr:colOff>
      <xdr:row>88</xdr:row>
      <xdr:rowOff>145811</xdr:rowOff>
    </xdr:to>
    <xdr:sp macro="" textlink="">
      <xdr:nvSpPr>
        <xdr:cNvPr id="45" name="AutoShape 655">
          <a:extLst>
            <a:ext uri="{FF2B5EF4-FFF2-40B4-BE49-F238E27FC236}">
              <a16:creationId xmlns:a16="http://schemas.microsoft.com/office/drawing/2014/main" id="{00000000-0008-0000-0A00-00002D000000}"/>
            </a:ext>
          </a:extLst>
        </xdr:cNvPr>
        <xdr:cNvSpPr>
          <a:spLocks noChangeArrowheads="1"/>
        </xdr:cNvSpPr>
      </xdr:nvSpPr>
      <xdr:spPr bwMode="auto">
        <a:xfrm rot="5400000">
          <a:off x="5305608" y="15690609"/>
          <a:ext cx="95252" cy="57151"/>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39</xdr:col>
      <xdr:colOff>684557</xdr:colOff>
      <xdr:row>35</xdr:row>
      <xdr:rowOff>47626</xdr:rowOff>
    </xdr:from>
    <xdr:to>
      <xdr:col>39</xdr:col>
      <xdr:colOff>875057</xdr:colOff>
      <xdr:row>35</xdr:row>
      <xdr:rowOff>161926</xdr:rowOff>
    </xdr:to>
    <xdr:sp macro="" textlink="">
      <xdr:nvSpPr>
        <xdr:cNvPr id="46" name="AutoShape 344">
          <a:extLst>
            <a:ext uri="{FF2B5EF4-FFF2-40B4-BE49-F238E27FC236}">
              <a16:creationId xmlns:a16="http://schemas.microsoft.com/office/drawing/2014/main" id="{BE35852E-D329-4107-992A-74DCB36637C5}"/>
            </a:ext>
          </a:extLst>
        </xdr:cNvPr>
        <xdr:cNvSpPr>
          <a:spLocks noChangeArrowheads="1"/>
        </xdr:cNvSpPr>
      </xdr:nvSpPr>
      <xdr:spPr bwMode="auto">
        <a:xfrm rot="10800000">
          <a:off x="12695582" y="5981701"/>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43640</xdr:colOff>
      <xdr:row>4</xdr:row>
      <xdr:rowOff>34423</xdr:rowOff>
    </xdr:from>
    <xdr:to>
      <xdr:col>26</xdr:col>
      <xdr:colOff>182644</xdr:colOff>
      <xdr:row>5</xdr:row>
      <xdr:rowOff>6815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92140" y="4882648"/>
          <a:ext cx="139004" cy="134317"/>
        </a:xfrm>
        <a:prstGeom prst="rect">
          <a:avLst/>
        </a:prstGeom>
      </xdr:spPr>
    </xdr:pic>
    <xdr:clientData/>
  </xdr:twoCellAnchor>
  <xdr:twoCellAnchor>
    <xdr:from>
      <xdr:col>2</xdr:col>
      <xdr:colOff>549729</xdr:colOff>
      <xdr:row>9</xdr:row>
      <xdr:rowOff>2369</xdr:rowOff>
    </xdr:from>
    <xdr:to>
      <xdr:col>2</xdr:col>
      <xdr:colOff>648293</xdr:colOff>
      <xdr:row>9</xdr:row>
      <xdr:rowOff>134890</xdr:rowOff>
    </xdr:to>
    <xdr:sp macro="" textlink="">
      <xdr:nvSpPr>
        <xdr:cNvPr id="3" name="AutoShape 655">
          <a:extLst>
            <a:ext uri="{FF2B5EF4-FFF2-40B4-BE49-F238E27FC236}">
              <a16:creationId xmlns:a16="http://schemas.microsoft.com/office/drawing/2014/main" id="{00000000-0008-0000-0B00-000003000000}"/>
            </a:ext>
          </a:extLst>
        </xdr:cNvPr>
        <xdr:cNvSpPr>
          <a:spLocks noChangeArrowheads="1"/>
        </xdr:cNvSpPr>
      </xdr:nvSpPr>
      <xdr:spPr bwMode="auto">
        <a:xfrm rot="5400000">
          <a:off x="904225" y="5801023"/>
          <a:ext cx="132521" cy="98564"/>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26</xdr:col>
      <xdr:colOff>43640</xdr:colOff>
      <xdr:row>12</xdr:row>
      <xdr:rowOff>34423</xdr:rowOff>
    </xdr:from>
    <xdr:ext cx="139004" cy="134317"/>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54265" y="358273"/>
          <a:ext cx="139004" cy="13431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11</xdr:col>
      <xdr:colOff>119061</xdr:colOff>
      <xdr:row>4</xdr:row>
      <xdr:rowOff>71437</xdr:rowOff>
    </xdr:from>
    <xdr:to>
      <xdr:col>11</xdr:col>
      <xdr:colOff>194069</xdr:colOff>
      <xdr:row>4</xdr:row>
      <xdr:rowOff>138111</xdr:rowOff>
    </xdr:to>
    <xdr:sp macro="" textlink="">
      <xdr:nvSpPr>
        <xdr:cNvPr id="17" name="AutoShape 85">
          <a:extLst>
            <a:ext uri="{FF2B5EF4-FFF2-40B4-BE49-F238E27FC236}">
              <a16:creationId xmlns:a16="http://schemas.microsoft.com/office/drawing/2014/main" id="{00000000-0008-0000-0C00-000011000000}"/>
            </a:ext>
          </a:extLst>
        </xdr:cNvPr>
        <xdr:cNvSpPr>
          <a:spLocks noChangeArrowheads="1"/>
        </xdr:cNvSpPr>
      </xdr:nvSpPr>
      <xdr:spPr bwMode="auto">
        <a:xfrm rot="5400000">
          <a:off x="2885478" y="757833"/>
          <a:ext cx="66674" cy="75008"/>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676275</xdr:colOff>
      <xdr:row>8</xdr:row>
      <xdr:rowOff>6212</xdr:rowOff>
    </xdr:from>
    <xdr:to>
      <xdr:col>35</xdr:col>
      <xdr:colOff>866775</xdr:colOff>
      <xdr:row>8</xdr:row>
      <xdr:rowOff>82412</xdr:rowOff>
    </xdr:to>
    <xdr:sp macro="" textlink="">
      <xdr:nvSpPr>
        <xdr:cNvPr id="6" name="AutoShape 344">
          <a:extLst>
            <a:ext uri="{FF2B5EF4-FFF2-40B4-BE49-F238E27FC236}">
              <a16:creationId xmlns:a16="http://schemas.microsoft.com/office/drawing/2014/main" id="{00000000-0008-0000-0C00-000006000000}"/>
            </a:ext>
          </a:extLst>
        </xdr:cNvPr>
        <xdr:cNvSpPr>
          <a:spLocks noChangeArrowheads="1"/>
        </xdr:cNvSpPr>
      </xdr:nvSpPr>
      <xdr:spPr bwMode="auto">
        <a:xfrm rot="10800000">
          <a:off x="9066558" y="1439103"/>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57150</xdr:colOff>
      <xdr:row>12</xdr:row>
      <xdr:rowOff>88900</xdr:rowOff>
    </xdr:from>
    <xdr:to>
      <xdr:col>20</xdr:col>
      <xdr:colOff>161925</xdr:colOff>
      <xdr:row>12</xdr:row>
      <xdr:rowOff>210741</xdr:rowOff>
    </xdr:to>
    <xdr:sp macro="" textlink="">
      <xdr:nvSpPr>
        <xdr:cNvPr id="8" name="AutoShape 85">
          <a:extLst>
            <a:ext uri="{FF2B5EF4-FFF2-40B4-BE49-F238E27FC236}">
              <a16:creationId xmlns:a16="http://schemas.microsoft.com/office/drawing/2014/main" id="{00000000-0008-0000-0C00-000008000000}"/>
            </a:ext>
          </a:extLst>
        </xdr:cNvPr>
        <xdr:cNvSpPr>
          <a:spLocks noChangeArrowheads="1"/>
        </xdr:cNvSpPr>
      </xdr:nvSpPr>
      <xdr:spPr bwMode="auto">
        <a:xfrm rot="5400000">
          <a:off x="4900017" y="2389783"/>
          <a:ext cx="121841" cy="10477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104775</xdr:colOff>
      <xdr:row>56</xdr:row>
      <xdr:rowOff>79375</xdr:rowOff>
    </xdr:from>
    <xdr:to>
      <xdr:col>20</xdr:col>
      <xdr:colOff>161925</xdr:colOff>
      <xdr:row>56</xdr:row>
      <xdr:rowOff>185341</xdr:rowOff>
    </xdr:to>
    <xdr:sp macro="" textlink="">
      <xdr:nvSpPr>
        <xdr:cNvPr id="9" name="AutoShape 85">
          <a:extLst>
            <a:ext uri="{FF2B5EF4-FFF2-40B4-BE49-F238E27FC236}">
              <a16:creationId xmlns:a16="http://schemas.microsoft.com/office/drawing/2014/main" id="{00000000-0008-0000-0C00-000009000000}"/>
            </a:ext>
          </a:extLst>
        </xdr:cNvPr>
        <xdr:cNvSpPr>
          <a:spLocks noChangeArrowheads="1"/>
        </xdr:cNvSpPr>
      </xdr:nvSpPr>
      <xdr:spPr bwMode="auto">
        <a:xfrm rot="5400000">
          <a:off x="4931767" y="136038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114300</xdr:colOff>
      <xdr:row>57</xdr:row>
      <xdr:rowOff>47625</xdr:rowOff>
    </xdr:from>
    <xdr:to>
      <xdr:col>20</xdr:col>
      <xdr:colOff>171450</xdr:colOff>
      <xdr:row>57</xdr:row>
      <xdr:rowOff>153591</xdr:rowOff>
    </xdr:to>
    <xdr:sp macro="" textlink="">
      <xdr:nvSpPr>
        <xdr:cNvPr id="10" name="AutoShape 85">
          <a:extLst>
            <a:ext uri="{FF2B5EF4-FFF2-40B4-BE49-F238E27FC236}">
              <a16:creationId xmlns:a16="http://schemas.microsoft.com/office/drawing/2014/main" id="{00000000-0008-0000-0C00-00000A000000}"/>
            </a:ext>
          </a:extLst>
        </xdr:cNvPr>
        <xdr:cNvSpPr>
          <a:spLocks noChangeArrowheads="1"/>
        </xdr:cNvSpPr>
      </xdr:nvSpPr>
      <xdr:spPr bwMode="auto">
        <a:xfrm rot="5400000">
          <a:off x="4928592" y="63585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74216</xdr:colOff>
      <xdr:row>5</xdr:row>
      <xdr:rowOff>41673</xdr:rowOff>
    </xdr:from>
    <xdr:to>
      <xdr:col>6</xdr:col>
      <xdr:colOff>149224</xdr:colOff>
      <xdr:row>5</xdr:row>
      <xdr:rowOff>108347</xdr:rowOff>
    </xdr:to>
    <xdr:sp macro="" textlink="">
      <xdr:nvSpPr>
        <xdr:cNvPr id="11" name="AutoShape 85">
          <a:extLst>
            <a:ext uri="{FF2B5EF4-FFF2-40B4-BE49-F238E27FC236}">
              <a16:creationId xmlns:a16="http://schemas.microsoft.com/office/drawing/2014/main" id="{00000000-0008-0000-0C00-00000B000000}"/>
            </a:ext>
          </a:extLst>
        </xdr:cNvPr>
        <xdr:cNvSpPr>
          <a:spLocks noChangeArrowheads="1"/>
        </xdr:cNvSpPr>
      </xdr:nvSpPr>
      <xdr:spPr bwMode="auto">
        <a:xfrm rot="5400000">
          <a:off x="1729383" y="926506"/>
          <a:ext cx="66674" cy="75008"/>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12</xdr:col>
      <xdr:colOff>95250</xdr:colOff>
      <xdr:row>38</xdr:row>
      <xdr:rowOff>109904</xdr:rowOff>
    </xdr:from>
    <xdr:to>
      <xdr:col>12</xdr:col>
      <xdr:colOff>152400</xdr:colOff>
      <xdr:row>38</xdr:row>
      <xdr:rowOff>215870</xdr:rowOff>
    </xdr:to>
    <xdr:sp macro="" textlink="">
      <xdr:nvSpPr>
        <xdr:cNvPr id="12" name="AutoShape 85">
          <a:extLst>
            <a:ext uri="{FF2B5EF4-FFF2-40B4-BE49-F238E27FC236}">
              <a16:creationId xmlns:a16="http://schemas.microsoft.com/office/drawing/2014/main" id="{00000000-0008-0000-0C00-00000C000000}"/>
            </a:ext>
          </a:extLst>
        </xdr:cNvPr>
        <xdr:cNvSpPr>
          <a:spLocks noChangeArrowheads="1"/>
        </xdr:cNvSpPr>
      </xdr:nvSpPr>
      <xdr:spPr bwMode="auto">
        <a:xfrm rot="5400000">
          <a:off x="3067554" y="9219697"/>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13</xdr:col>
      <xdr:colOff>139214</xdr:colOff>
      <xdr:row>81</xdr:row>
      <xdr:rowOff>102576</xdr:rowOff>
    </xdr:from>
    <xdr:to>
      <xdr:col>13</xdr:col>
      <xdr:colOff>196364</xdr:colOff>
      <xdr:row>81</xdr:row>
      <xdr:rowOff>208542</xdr:rowOff>
    </xdr:to>
    <xdr:sp macro="" textlink="">
      <xdr:nvSpPr>
        <xdr:cNvPr id="13" name="AutoShape 85">
          <a:extLst>
            <a:ext uri="{FF2B5EF4-FFF2-40B4-BE49-F238E27FC236}">
              <a16:creationId xmlns:a16="http://schemas.microsoft.com/office/drawing/2014/main" id="{00000000-0008-0000-0C00-00000D000000}"/>
            </a:ext>
          </a:extLst>
        </xdr:cNvPr>
        <xdr:cNvSpPr>
          <a:spLocks noChangeArrowheads="1"/>
        </xdr:cNvSpPr>
      </xdr:nvSpPr>
      <xdr:spPr bwMode="auto">
        <a:xfrm rot="5400000">
          <a:off x="3338652" y="19045099"/>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2533650</xdr:colOff>
      <xdr:row>51</xdr:row>
      <xdr:rowOff>66675</xdr:rowOff>
    </xdr:from>
    <xdr:to>
      <xdr:col>6</xdr:col>
      <xdr:colOff>2638425</xdr:colOff>
      <xdr:row>54</xdr:row>
      <xdr:rowOff>9525</xdr:rowOff>
    </xdr:to>
    <xdr:sp macro="" textlink="">
      <xdr:nvSpPr>
        <xdr:cNvPr id="107799" name="AutoShape 7">
          <a:extLst>
            <a:ext uri="{FF2B5EF4-FFF2-40B4-BE49-F238E27FC236}">
              <a16:creationId xmlns:a16="http://schemas.microsoft.com/office/drawing/2014/main" id="{00000000-0008-0000-0D00-000017A50100}"/>
            </a:ext>
          </a:extLst>
        </xdr:cNvPr>
        <xdr:cNvSpPr>
          <a:spLocks/>
        </xdr:cNvSpPr>
      </xdr:nvSpPr>
      <xdr:spPr bwMode="auto">
        <a:xfrm>
          <a:off x="4276725" y="5229225"/>
          <a:ext cx="104775" cy="476250"/>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11</xdr:col>
      <xdr:colOff>695325</xdr:colOff>
      <xdr:row>21</xdr:row>
      <xdr:rowOff>9525</xdr:rowOff>
    </xdr:from>
    <xdr:to>
      <xdr:col>12</xdr:col>
      <xdr:colOff>142875</xdr:colOff>
      <xdr:row>21</xdr:row>
      <xdr:rowOff>371475</xdr:rowOff>
    </xdr:to>
    <xdr:pic>
      <xdr:nvPicPr>
        <xdr:cNvPr id="107801" name="Picture 10" descr="E:\My Documents\Excel\03_1040\Pencil - Black.jpg">
          <a:extLst>
            <a:ext uri="{FF2B5EF4-FFF2-40B4-BE49-F238E27FC236}">
              <a16:creationId xmlns:a16="http://schemas.microsoft.com/office/drawing/2014/main" id="{00000000-0008-0000-0D00-000019A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25622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2526196</xdr:colOff>
      <xdr:row>30</xdr:row>
      <xdr:rowOff>82826</xdr:rowOff>
    </xdr:from>
    <xdr:to>
      <xdr:col>6</xdr:col>
      <xdr:colOff>2617306</xdr:colOff>
      <xdr:row>35</xdr:row>
      <xdr:rowOff>0</xdr:rowOff>
    </xdr:to>
    <xdr:sp macro="" textlink="">
      <xdr:nvSpPr>
        <xdr:cNvPr id="5" name="AutoShape 7">
          <a:extLst>
            <a:ext uri="{FF2B5EF4-FFF2-40B4-BE49-F238E27FC236}">
              <a16:creationId xmlns:a16="http://schemas.microsoft.com/office/drawing/2014/main" id="{00000000-0008-0000-0D00-000005000000}"/>
            </a:ext>
          </a:extLst>
        </xdr:cNvPr>
        <xdr:cNvSpPr>
          <a:spLocks/>
        </xdr:cNvSpPr>
      </xdr:nvSpPr>
      <xdr:spPr bwMode="auto">
        <a:xfrm>
          <a:off x="4273826" y="4663109"/>
          <a:ext cx="91110" cy="646043"/>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2517913</xdr:colOff>
      <xdr:row>39</xdr:row>
      <xdr:rowOff>49697</xdr:rowOff>
    </xdr:from>
    <xdr:to>
      <xdr:col>6</xdr:col>
      <xdr:colOff>2617306</xdr:colOff>
      <xdr:row>43</xdr:row>
      <xdr:rowOff>0</xdr:rowOff>
    </xdr:to>
    <xdr:sp macro="" textlink="">
      <xdr:nvSpPr>
        <xdr:cNvPr id="6" name="AutoShape 7">
          <a:extLst>
            <a:ext uri="{FF2B5EF4-FFF2-40B4-BE49-F238E27FC236}">
              <a16:creationId xmlns:a16="http://schemas.microsoft.com/office/drawing/2014/main" id="{00000000-0008-0000-0D00-000006000000}"/>
            </a:ext>
          </a:extLst>
        </xdr:cNvPr>
        <xdr:cNvSpPr>
          <a:spLocks/>
        </xdr:cNvSpPr>
      </xdr:nvSpPr>
      <xdr:spPr bwMode="auto">
        <a:xfrm>
          <a:off x="4265543" y="5806110"/>
          <a:ext cx="99393" cy="546652"/>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28575</xdr:colOff>
      <xdr:row>17</xdr:row>
      <xdr:rowOff>238125</xdr:rowOff>
    </xdr:from>
    <xdr:to>
      <xdr:col>9</xdr:col>
      <xdr:colOff>200025</xdr:colOff>
      <xdr:row>25</xdr:row>
      <xdr:rowOff>19050</xdr:rowOff>
    </xdr:to>
    <xdr:sp macro="" textlink="">
      <xdr:nvSpPr>
        <xdr:cNvPr id="111150" name="AutoShape 24">
          <a:extLst>
            <a:ext uri="{FF2B5EF4-FFF2-40B4-BE49-F238E27FC236}">
              <a16:creationId xmlns:a16="http://schemas.microsoft.com/office/drawing/2014/main" id="{00000000-0008-0000-0E00-00002EB20100}"/>
            </a:ext>
          </a:extLst>
        </xdr:cNvPr>
        <xdr:cNvSpPr>
          <a:spLocks/>
        </xdr:cNvSpPr>
      </xdr:nvSpPr>
      <xdr:spPr bwMode="auto">
        <a:xfrm>
          <a:off x="5610225" y="4352925"/>
          <a:ext cx="171450" cy="1171575"/>
        </a:xfrm>
        <a:prstGeom prst="rightBrace">
          <a:avLst>
            <a:gd name="adj1" fmla="val 5574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xdr:col>
      <xdr:colOff>104775</xdr:colOff>
      <xdr:row>86</xdr:row>
      <xdr:rowOff>57150</xdr:rowOff>
    </xdr:from>
    <xdr:to>
      <xdr:col>4</xdr:col>
      <xdr:colOff>238125</xdr:colOff>
      <xdr:row>90</xdr:row>
      <xdr:rowOff>38100</xdr:rowOff>
    </xdr:to>
    <xdr:pic>
      <xdr:nvPicPr>
        <xdr:cNvPr id="111151" name="Picture 105" descr="caution">
          <a:extLst>
            <a:ext uri="{FF2B5EF4-FFF2-40B4-BE49-F238E27FC236}">
              <a16:creationId xmlns:a16="http://schemas.microsoft.com/office/drawing/2014/main" id="{00000000-0008-0000-0E00-00002FB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5706725"/>
          <a:ext cx="666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69</xdr:row>
      <xdr:rowOff>85725</xdr:rowOff>
    </xdr:from>
    <xdr:to>
      <xdr:col>7</xdr:col>
      <xdr:colOff>352425</xdr:colOff>
      <xdr:row>77</xdr:row>
      <xdr:rowOff>38100</xdr:rowOff>
    </xdr:to>
    <xdr:sp macro="" textlink="">
      <xdr:nvSpPr>
        <xdr:cNvPr id="111152" name="AutoShape 517">
          <a:extLst>
            <a:ext uri="{FF2B5EF4-FFF2-40B4-BE49-F238E27FC236}">
              <a16:creationId xmlns:a16="http://schemas.microsoft.com/office/drawing/2014/main" id="{00000000-0008-0000-0E00-000030B20100}"/>
            </a:ext>
          </a:extLst>
        </xdr:cNvPr>
        <xdr:cNvSpPr>
          <a:spLocks/>
        </xdr:cNvSpPr>
      </xdr:nvSpPr>
      <xdr:spPr bwMode="auto">
        <a:xfrm>
          <a:off x="4714875" y="12553950"/>
          <a:ext cx="95250" cy="1247775"/>
        </a:xfrm>
        <a:prstGeom prst="rightBrace">
          <a:avLst>
            <a:gd name="adj1" fmla="val 10916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16</xdr:col>
      <xdr:colOff>342900</xdr:colOff>
      <xdr:row>1</xdr:row>
      <xdr:rowOff>66675</xdr:rowOff>
    </xdr:from>
    <xdr:to>
      <xdr:col>18</xdr:col>
      <xdr:colOff>66675</xdr:colOff>
      <xdr:row>1</xdr:row>
      <xdr:rowOff>428625</xdr:rowOff>
    </xdr:to>
    <xdr:pic>
      <xdr:nvPicPr>
        <xdr:cNvPr id="111154" name="Picture 579" descr="Pencil - Black">
          <a:extLst>
            <a:ext uri="{FF2B5EF4-FFF2-40B4-BE49-F238E27FC236}">
              <a16:creationId xmlns:a16="http://schemas.microsoft.com/office/drawing/2014/main" id="{00000000-0008-0000-0E00-000032B2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5" y="190500"/>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371475</xdr:colOff>
      <xdr:row>37</xdr:row>
      <xdr:rowOff>38100</xdr:rowOff>
    </xdr:from>
    <xdr:to>
      <xdr:col>9</xdr:col>
      <xdr:colOff>552450</xdr:colOff>
      <xdr:row>48</xdr:row>
      <xdr:rowOff>133350</xdr:rowOff>
    </xdr:to>
    <xdr:sp macro="" textlink="">
      <xdr:nvSpPr>
        <xdr:cNvPr id="111155" name="AutoShape 645">
          <a:extLst>
            <a:ext uri="{FF2B5EF4-FFF2-40B4-BE49-F238E27FC236}">
              <a16:creationId xmlns:a16="http://schemas.microsoft.com/office/drawing/2014/main" id="{00000000-0008-0000-0E00-000033B20100}"/>
            </a:ext>
          </a:extLst>
        </xdr:cNvPr>
        <xdr:cNvSpPr>
          <a:spLocks/>
        </xdr:cNvSpPr>
      </xdr:nvSpPr>
      <xdr:spPr bwMode="auto">
        <a:xfrm>
          <a:off x="5953125" y="7610475"/>
          <a:ext cx="180975" cy="1924050"/>
        </a:xfrm>
        <a:prstGeom prst="rightBrace">
          <a:avLst>
            <a:gd name="adj1" fmla="val 8859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23</xdr:col>
      <xdr:colOff>409575</xdr:colOff>
      <xdr:row>71</xdr:row>
      <xdr:rowOff>19050</xdr:rowOff>
    </xdr:from>
    <xdr:to>
      <xdr:col>23</xdr:col>
      <xdr:colOff>600075</xdr:colOff>
      <xdr:row>71</xdr:row>
      <xdr:rowOff>133350</xdr:rowOff>
    </xdr:to>
    <xdr:sp macro="" textlink="">
      <xdr:nvSpPr>
        <xdr:cNvPr id="9" name="AutoShape 344">
          <a:extLst>
            <a:ext uri="{FF2B5EF4-FFF2-40B4-BE49-F238E27FC236}">
              <a16:creationId xmlns:a16="http://schemas.microsoft.com/office/drawing/2014/main" id="{00000000-0008-0000-0E00-000009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95</xdr:row>
      <xdr:rowOff>19050</xdr:rowOff>
    </xdr:from>
    <xdr:to>
      <xdr:col>23</xdr:col>
      <xdr:colOff>600075</xdr:colOff>
      <xdr:row>95</xdr:row>
      <xdr:rowOff>133350</xdr:rowOff>
    </xdr:to>
    <xdr:sp macro="" textlink="">
      <xdr:nvSpPr>
        <xdr:cNvPr id="10" name="AutoShape 344">
          <a:extLst>
            <a:ext uri="{FF2B5EF4-FFF2-40B4-BE49-F238E27FC236}">
              <a16:creationId xmlns:a16="http://schemas.microsoft.com/office/drawing/2014/main" id="{00000000-0008-0000-0E00-00000A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41</xdr:row>
      <xdr:rowOff>19050</xdr:rowOff>
    </xdr:from>
    <xdr:to>
      <xdr:col>23</xdr:col>
      <xdr:colOff>600075</xdr:colOff>
      <xdr:row>41</xdr:row>
      <xdr:rowOff>133350</xdr:rowOff>
    </xdr:to>
    <xdr:sp macro="" textlink="">
      <xdr:nvSpPr>
        <xdr:cNvPr id="11" name="AutoShape 344">
          <a:extLst>
            <a:ext uri="{FF2B5EF4-FFF2-40B4-BE49-F238E27FC236}">
              <a16:creationId xmlns:a16="http://schemas.microsoft.com/office/drawing/2014/main" id="{00000000-0008-0000-0E00-00000B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60</xdr:row>
      <xdr:rowOff>19050</xdr:rowOff>
    </xdr:from>
    <xdr:to>
      <xdr:col>23</xdr:col>
      <xdr:colOff>600075</xdr:colOff>
      <xdr:row>60</xdr:row>
      <xdr:rowOff>133350</xdr:rowOff>
    </xdr:to>
    <xdr:sp macro="" textlink="">
      <xdr:nvSpPr>
        <xdr:cNvPr id="12" name="AutoShape 344">
          <a:extLst>
            <a:ext uri="{FF2B5EF4-FFF2-40B4-BE49-F238E27FC236}">
              <a16:creationId xmlns:a16="http://schemas.microsoft.com/office/drawing/2014/main" id="{00000000-0008-0000-0E00-00000C000000}"/>
            </a:ext>
          </a:extLst>
        </xdr:cNvPr>
        <xdr:cNvSpPr>
          <a:spLocks noChangeArrowheads="1"/>
        </xdr:cNvSpPr>
      </xdr:nvSpPr>
      <xdr:spPr bwMode="auto">
        <a:xfrm rot="10800000">
          <a:off x="9686925" y="7829550"/>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26</xdr:row>
      <xdr:rowOff>19050</xdr:rowOff>
    </xdr:from>
    <xdr:to>
      <xdr:col>23</xdr:col>
      <xdr:colOff>600075</xdr:colOff>
      <xdr:row>26</xdr:row>
      <xdr:rowOff>133350</xdr:rowOff>
    </xdr:to>
    <xdr:sp macro="" textlink="">
      <xdr:nvSpPr>
        <xdr:cNvPr id="13" name="AutoShape 344">
          <a:extLst>
            <a:ext uri="{FF2B5EF4-FFF2-40B4-BE49-F238E27FC236}">
              <a16:creationId xmlns:a16="http://schemas.microsoft.com/office/drawing/2014/main" id="{00000000-0008-0000-0E00-00000D000000}"/>
            </a:ext>
          </a:extLst>
        </xdr:cNvPr>
        <xdr:cNvSpPr>
          <a:spLocks noChangeArrowheads="1"/>
        </xdr:cNvSpPr>
      </xdr:nvSpPr>
      <xdr:spPr bwMode="auto">
        <a:xfrm rot="10800000">
          <a:off x="9730937" y="500489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209550</xdr:colOff>
      <xdr:row>1</xdr:row>
      <xdr:rowOff>152400</xdr:rowOff>
    </xdr:from>
    <xdr:to>
      <xdr:col>11</xdr:col>
      <xdr:colOff>552450</xdr:colOff>
      <xdr:row>3</xdr:row>
      <xdr:rowOff>95250</xdr:rowOff>
    </xdr:to>
    <xdr:pic>
      <xdr:nvPicPr>
        <xdr:cNvPr id="37" name="Picture 10" descr="E:\My Documents\Excel\03_1040\Pencil - Black.jpg">
          <a:extLst>
            <a:ext uri="{FF2B5EF4-FFF2-40B4-BE49-F238E27FC236}">
              <a16:creationId xmlns:a16="http://schemas.microsoft.com/office/drawing/2014/main" id="{00000000-0008-0000-0F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26325" y="555307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342900</xdr:colOff>
      <xdr:row>18</xdr:row>
      <xdr:rowOff>47625</xdr:rowOff>
    </xdr:from>
    <xdr:to>
      <xdr:col>7</xdr:col>
      <xdr:colOff>447675</xdr:colOff>
      <xdr:row>21</xdr:row>
      <xdr:rowOff>38100</xdr:rowOff>
    </xdr:to>
    <xdr:sp macro="" textlink="">
      <xdr:nvSpPr>
        <xdr:cNvPr id="38" name="AutoShape 973">
          <a:extLst>
            <a:ext uri="{FF2B5EF4-FFF2-40B4-BE49-F238E27FC236}">
              <a16:creationId xmlns:a16="http://schemas.microsoft.com/office/drawing/2014/main" id="{00000000-0008-0000-0F00-000026000000}"/>
            </a:ext>
          </a:extLst>
        </xdr:cNvPr>
        <xdr:cNvSpPr>
          <a:spLocks/>
        </xdr:cNvSpPr>
      </xdr:nvSpPr>
      <xdr:spPr bwMode="auto">
        <a:xfrm>
          <a:off x="17487900" y="8582025"/>
          <a:ext cx="104775" cy="53340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142875</xdr:colOff>
      <xdr:row>4</xdr:row>
      <xdr:rowOff>45383</xdr:rowOff>
    </xdr:from>
    <xdr:to>
      <xdr:col>9</xdr:col>
      <xdr:colOff>200025</xdr:colOff>
      <xdr:row>4</xdr:row>
      <xdr:rowOff>151349</xdr:rowOff>
    </xdr:to>
    <xdr:sp macro="" textlink="">
      <xdr:nvSpPr>
        <xdr:cNvPr id="2" name="AutoShape 85">
          <a:extLst>
            <a:ext uri="{FF2B5EF4-FFF2-40B4-BE49-F238E27FC236}">
              <a16:creationId xmlns:a16="http://schemas.microsoft.com/office/drawing/2014/main" id="{00000000-0008-0000-1000-000002000000}"/>
            </a:ext>
          </a:extLst>
        </xdr:cNvPr>
        <xdr:cNvSpPr>
          <a:spLocks noChangeArrowheads="1"/>
        </xdr:cNvSpPr>
      </xdr:nvSpPr>
      <xdr:spPr bwMode="auto">
        <a:xfrm rot="5400000">
          <a:off x="2449291" y="792570"/>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89678</xdr:colOff>
      <xdr:row>5</xdr:row>
      <xdr:rowOff>867</xdr:rowOff>
    </xdr:from>
    <xdr:to>
      <xdr:col>6</xdr:col>
      <xdr:colOff>146828</xdr:colOff>
      <xdr:row>5</xdr:row>
      <xdr:rowOff>106833</xdr:rowOff>
    </xdr:to>
    <xdr:sp macro="" textlink="">
      <xdr:nvSpPr>
        <xdr:cNvPr id="3" name="AutoShape 85">
          <a:extLst>
            <a:ext uri="{FF2B5EF4-FFF2-40B4-BE49-F238E27FC236}">
              <a16:creationId xmlns:a16="http://schemas.microsoft.com/office/drawing/2014/main" id="{00000000-0008-0000-1000-000003000000}"/>
            </a:ext>
          </a:extLst>
        </xdr:cNvPr>
        <xdr:cNvSpPr>
          <a:spLocks noChangeArrowheads="1"/>
        </xdr:cNvSpPr>
      </xdr:nvSpPr>
      <xdr:spPr bwMode="auto">
        <a:xfrm rot="5400000">
          <a:off x="1710497" y="934480"/>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676275</xdr:colOff>
      <xdr:row>8</xdr:row>
      <xdr:rowOff>6212</xdr:rowOff>
    </xdr:from>
    <xdr:to>
      <xdr:col>35</xdr:col>
      <xdr:colOff>866775</xdr:colOff>
      <xdr:row>8</xdr:row>
      <xdr:rowOff>82412</xdr:rowOff>
    </xdr:to>
    <xdr:sp macro="" textlink="">
      <xdr:nvSpPr>
        <xdr:cNvPr id="5" name="AutoShape 344">
          <a:extLst>
            <a:ext uri="{FF2B5EF4-FFF2-40B4-BE49-F238E27FC236}">
              <a16:creationId xmlns:a16="http://schemas.microsoft.com/office/drawing/2014/main" id="{00000000-0008-0000-1000-000005000000}"/>
            </a:ext>
          </a:extLst>
        </xdr:cNvPr>
        <xdr:cNvSpPr>
          <a:spLocks noChangeArrowheads="1"/>
        </xdr:cNvSpPr>
      </xdr:nvSpPr>
      <xdr:spPr bwMode="auto">
        <a:xfrm rot="10800000">
          <a:off x="9426575" y="1403212"/>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649999</xdr:colOff>
      <xdr:row>66</xdr:row>
      <xdr:rowOff>81643</xdr:rowOff>
    </xdr:from>
    <xdr:to>
      <xdr:col>35</xdr:col>
      <xdr:colOff>840499</xdr:colOff>
      <xdr:row>66</xdr:row>
      <xdr:rowOff>188829</xdr:rowOff>
    </xdr:to>
    <xdr:sp macro="" textlink="">
      <xdr:nvSpPr>
        <xdr:cNvPr id="7" name="AutoShape 344">
          <a:extLst>
            <a:ext uri="{FF2B5EF4-FFF2-40B4-BE49-F238E27FC236}">
              <a16:creationId xmlns:a16="http://schemas.microsoft.com/office/drawing/2014/main" id="{00000000-0008-0000-1000-000007000000}"/>
            </a:ext>
          </a:extLst>
        </xdr:cNvPr>
        <xdr:cNvSpPr>
          <a:spLocks noChangeArrowheads="1"/>
        </xdr:cNvSpPr>
      </xdr:nvSpPr>
      <xdr:spPr bwMode="auto">
        <a:xfrm rot="10800000">
          <a:off x="8902731" y="13695589"/>
          <a:ext cx="190500" cy="10718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275896</xdr:colOff>
      <xdr:row>38</xdr:row>
      <xdr:rowOff>91965</xdr:rowOff>
    </xdr:from>
    <xdr:to>
      <xdr:col>5</xdr:col>
      <xdr:colOff>333046</xdr:colOff>
      <xdr:row>38</xdr:row>
      <xdr:rowOff>197931</xdr:rowOff>
    </xdr:to>
    <xdr:sp macro="" textlink="">
      <xdr:nvSpPr>
        <xdr:cNvPr id="6" name="AutoShape 85">
          <a:extLst>
            <a:ext uri="{FF2B5EF4-FFF2-40B4-BE49-F238E27FC236}">
              <a16:creationId xmlns:a16="http://schemas.microsoft.com/office/drawing/2014/main" id="{00000000-0008-0000-1000-000006000000}"/>
            </a:ext>
          </a:extLst>
        </xdr:cNvPr>
        <xdr:cNvSpPr>
          <a:spLocks noChangeArrowheads="1"/>
        </xdr:cNvSpPr>
      </xdr:nvSpPr>
      <xdr:spPr bwMode="auto">
        <a:xfrm rot="5400000">
          <a:off x="1381350" y="9667649"/>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649999</xdr:colOff>
      <xdr:row>40</xdr:row>
      <xdr:rowOff>81643</xdr:rowOff>
    </xdr:from>
    <xdr:to>
      <xdr:col>35</xdr:col>
      <xdr:colOff>840499</xdr:colOff>
      <xdr:row>40</xdr:row>
      <xdr:rowOff>188829</xdr:rowOff>
    </xdr:to>
    <xdr:sp macro="" textlink="">
      <xdr:nvSpPr>
        <xdr:cNvPr id="9" name="AutoShape 344">
          <a:extLst>
            <a:ext uri="{FF2B5EF4-FFF2-40B4-BE49-F238E27FC236}">
              <a16:creationId xmlns:a16="http://schemas.microsoft.com/office/drawing/2014/main" id="{00000000-0008-0000-1000-000009000000}"/>
            </a:ext>
          </a:extLst>
        </xdr:cNvPr>
        <xdr:cNvSpPr>
          <a:spLocks noChangeArrowheads="1"/>
        </xdr:cNvSpPr>
      </xdr:nvSpPr>
      <xdr:spPr bwMode="auto">
        <a:xfrm rot="10800000">
          <a:off x="8831974" y="9063718"/>
          <a:ext cx="190500" cy="10718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90586</xdr:colOff>
      <xdr:row>4</xdr:row>
      <xdr:rowOff>40813</xdr:rowOff>
    </xdr:from>
    <xdr:to>
      <xdr:col>10</xdr:col>
      <xdr:colOff>147736</xdr:colOff>
      <xdr:row>4</xdr:row>
      <xdr:rowOff>146779</xdr:rowOff>
    </xdr:to>
    <xdr:sp macro="" textlink="">
      <xdr:nvSpPr>
        <xdr:cNvPr id="2" name="AutoShape 85">
          <a:extLst>
            <a:ext uri="{FF2B5EF4-FFF2-40B4-BE49-F238E27FC236}">
              <a16:creationId xmlns:a16="http://schemas.microsoft.com/office/drawing/2014/main" id="{00000000-0008-0000-1100-000002000000}"/>
            </a:ext>
          </a:extLst>
        </xdr:cNvPr>
        <xdr:cNvSpPr>
          <a:spLocks noChangeArrowheads="1"/>
        </xdr:cNvSpPr>
      </xdr:nvSpPr>
      <xdr:spPr bwMode="auto">
        <a:xfrm rot="5400000">
          <a:off x="2578397" y="785549"/>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81018</xdr:colOff>
      <xdr:row>4</xdr:row>
      <xdr:rowOff>174049</xdr:rowOff>
    </xdr:from>
    <xdr:to>
      <xdr:col>6</xdr:col>
      <xdr:colOff>138168</xdr:colOff>
      <xdr:row>5</xdr:row>
      <xdr:rowOff>98174</xdr:rowOff>
    </xdr:to>
    <xdr:sp macro="" textlink="">
      <xdr:nvSpPr>
        <xdr:cNvPr id="3" name="AutoShape 85">
          <a:extLst>
            <a:ext uri="{FF2B5EF4-FFF2-40B4-BE49-F238E27FC236}">
              <a16:creationId xmlns:a16="http://schemas.microsoft.com/office/drawing/2014/main" id="{00000000-0008-0000-1100-000003000000}"/>
            </a:ext>
          </a:extLst>
        </xdr:cNvPr>
        <xdr:cNvSpPr>
          <a:spLocks noChangeArrowheads="1"/>
        </xdr:cNvSpPr>
      </xdr:nvSpPr>
      <xdr:spPr bwMode="auto">
        <a:xfrm rot="5400000">
          <a:off x="1701837" y="925821"/>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676275</xdr:colOff>
      <xdr:row>8</xdr:row>
      <xdr:rowOff>6212</xdr:rowOff>
    </xdr:from>
    <xdr:to>
      <xdr:col>35</xdr:col>
      <xdr:colOff>866775</xdr:colOff>
      <xdr:row>8</xdr:row>
      <xdr:rowOff>82412</xdr:rowOff>
    </xdr:to>
    <xdr:sp macro="" textlink="">
      <xdr:nvSpPr>
        <xdr:cNvPr id="4" name="AutoShape 344">
          <a:extLst>
            <a:ext uri="{FF2B5EF4-FFF2-40B4-BE49-F238E27FC236}">
              <a16:creationId xmlns:a16="http://schemas.microsoft.com/office/drawing/2014/main" id="{00000000-0008-0000-1100-000004000000}"/>
            </a:ext>
          </a:extLst>
        </xdr:cNvPr>
        <xdr:cNvSpPr>
          <a:spLocks noChangeArrowheads="1"/>
        </xdr:cNvSpPr>
      </xdr:nvSpPr>
      <xdr:spPr bwMode="auto">
        <a:xfrm rot="10800000">
          <a:off x="9426575" y="1403212"/>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17</xdr:col>
      <xdr:colOff>26276</xdr:colOff>
      <xdr:row>29</xdr:row>
      <xdr:rowOff>72259</xdr:rowOff>
    </xdr:from>
    <xdr:to>
      <xdr:col>17</xdr:col>
      <xdr:colOff>149115</xdr:colOff>
      <xdr:row>29</xdr:row>
      <xdr:rowOff>197069</xdr:rowOff>
    </xdr:to>
    <xdr:sp macro="" textlink="">
      <xdr:nvSpPr>
        <xdr:cNvPr id="5" name="AutoShape 85">
          <a:extLst>
            <a:ext uri="{FF2B5EF4-FFF2-40B4-BE49-F238E27FC236}">
              <a16:creationId xmlns:a16="http://schemas.microsoft.com/office/drawing/2014/main" id="{00000000-0008-0000-1100-000005000000}"/>
            </a:ext>
          </a:extLst>
        </xdr:cNvPr>
        <xdr:cNvSpPr>
          <a:spLocks noChangeArrowheads="1"/>
        </xdr:cNvSpPr>
      </xdr:nvSpPr>
      <xdr:spPr bwMode="auto">
        <a:xfrm rot="5400000">
          <a:off x="4163739" y="6694761"/>
          <a:ext cx="124810" cy="12283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18</xdr:col>
      <xdr:colOff>304800</xdr:colOff>
      <xdr:row>55</xdr:row>
      <xdr:rowOff>85726</xdr:rowOff>
    </xdr:from>
    <xdr:to>
      <xdr:col>18</xdr:col>
      <xdr:colOff>427639</xdr:colOff>
      <xdr:row>55</xdr:row>
      <xdr:rowOff>210536</xdr:rowOff>
    </xdr:to>
    <xdr:sp macro="" textlink="">
      <xdr:nvSpPr>
        <xdr:cNvPr id="6" name="AutoShape 85">
          <a:extLst>
            <a:ext uri="{FF2B5EF4-FFF2-40B4-BE49-F238E27FC236}">
              <a16:creationId xmlns:a16="http://schemas.microsoft.com/office/drawing/2014/main" id="{00000000-0008-0000-1100-000006000000}"/>
            </a:ext>
          </a:extLst>
        </xdr:cNvPr>
        <xdr:cNvSpPr>
          <a:spLocks noChangeArrowheads="1"/>
        </xdr:cNvSpPr>
      </xdr:nvSpPr>
      <xdr:spPr bwMode="auto">
        <a:xfrm rot="5400000">
          <a:off x="4656740" y="13316936"/>
          <a:ext cx="124810" cy="12283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85725</xdr:colOff>
      <xdr:row>1</xdr:row>
      <xdr:rowOff>66675</xdr:rowOff>
    </xdr:from>
    <xdr:to>
      <xdr:col>10</xdr:col>
      <xdr:colOff>523875</xdr:colOff>
      <xdr:row>3</xdr:row>
      <xdr:rowOff>167217</xdr:rowOff>
    </xdr:to>
    <xdr:pic>
      <xdr:nvPicPr>
        <xdr:cNvPr id="3" name="Picture 579" descr="Pencil - Black">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1266825"/>
          <a:ext cx="438150"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485775</xdr:colOff>
      <xdr:row>31</xdr:row>
      <xdr:rowOff>28575</xdr:rowOff>
    </xdr:from>
    <xdr:to>
      <xdr:col>12</xdr:col>
      <xdr:colOff>104775</xdr:colOff>
      <xdr:row>32</xdr:row>
      <xdr:rowOff>28575</xdr:rowOff>
    </xdr:to>
    <xdr:pic>
      <xdr:nvPicPr>
        <xdr:cNvPr id="108736" name="Picture 2" descr="pencil">
          <a:extLst>
            <a:ext uri="{FF2B5EF4-FFF2-40B4-BE49-F238E27FC236}">
              <a16:creationId xmlns:a16="http://schemas.microsoft.com/office/drawing/2014/main" id="{00000000-0008-0000-1300-0000C0A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775" y="2952750"/>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800100</xdr:colOff>
      <xdr:row>63</xdr:row>
      <xdr:rowOff>19050</xdr:rowOff>
    </xdr:from>
    <xdr:to>
      <xdr:col>3</xdr:col>
      <xdr:colOff>1209675</xdr:colOff>
      <xdr:row>65</xdr:row>
      <xdr:rowOff>85725</xdr:rowOff>
    </xdr:to>
    <xdr:sp macro="" textlink="">
      <xdr:nvSpPr>
        <xdr:cNvPr id="108737" name="AutoShape 87">
          <a:extLst>
            <a:ext uri="{FF2B5EF4-FFF2-40B4-BE49-F238E27FC236}">
              <a16:creationId xmlns:a16="http://schemas.microsoft.com/office/drawing/2014/main" id="{00000000-0008-0000-1300-0000C1A80100}"/>
            </a:ext>
          </a:extLst>
        </xdr:cNvPr>
        <xdr:cNvSpPr>
          <a:spLocks noChangeArrowheads="1"/>
        </xdr:cNvSpPr>
      </xdr:nvSpPr>
      <xdr:spPr bwMode="auto">
        <a:xfrm>
          <a:off x="1400175" y="8162925"/>
          <a:ext cx="409575" cy="333375"/>
        </a:xfrm>
        <a:prstGeom prst="octagon">
          <a:avLst>
            <a:gd name="adj" fmla="val 29287"/>
          </a:avLst>
        </a:prstGeom>
        <a:noFill/>
        <a:ln w="158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19050</xdr:colOff>
      <xdr:row>51</xdr:row>
      <xdr:rowOff>38100</xdr:rowOff>
    </xdr:from>
    <xdr:to>
      <xdr:col>4</xdr:col>
      <xdr:colOff>85725</xdr:colOff>
      <xdr:row>54</xdr:row>
      <xdr:rowOff>66675</xdr:rowOff>
    </xdr:to>
    <xdr:pic>
      <xdr:nvPicPr>
        <xdr:cNvPr id="110033" name="Picture 98">
          <a:extLst>
            <a:ext uri="{FF2B5EF4-FFF2-40B4-BE49-F238E27FC236}">
              <a16:creationId xmlns:a16="http://schemas.microsoft.com/office/drawing/2014/main" id="{00000000-0008-0000-1400-0000D1AD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9124950"/>
          <a:ext cx="457200" cy="447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482203</xdr:colOff>
      <xdr:row>26</xdr:row>
      <xdr:rowOff>127397</xdr:rowOff>
    </xdr:from>
    <xdr:to>
      <xdr:col>6</xdr:col>
      <xdr:colOff>602457</xdr:colOff>
      <xdr:row>34</xdr:row>
      <xdr:rowOff>127397</xdr:rowOff>
    </xdr:to>
    <xdr:sp macro="" textlink="">
      <xdr:nvSpPr>
        <xdr:cNvPr id="110034" name="AutoShape 99">
          <a:extLst>
            <a:ext uri="{FF2B5EF4-FFF2-40B4-BE49-F238E27FC236}">
              <a16:creationId xmlns:a16="http://schemas.microsoft.com/office/drawing/2014/main" id="{00000000-0008-0000-1400-0000D2AD0100}"/>
            </a:ext>
          </a:extLst>
        </xdr:cNvPr>
        <xdr:cNvSpPr>
          <a:spLocks/>
        </xdr:cNvSpPr>
      </xdr:nvSpPr>
      <xdr:spPr bwMode="auto">
        <a:xfrm>
          <a:off x="5095875" y="5181600"/>
          <a:ext cx="120254" cy="1285875"/>
        </a:xfrm>
        <a:prstGeom prst="rightBrace">
          <a:avLst>
            <a:gd name="adj1" fmla="val 6296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9</xdr:col>
      <xdr:colOff>647700</xdr:colOff>
      <xdr:row>1</xdr:row>
      <xdr:rowOff>38100</xdr:rowOff>
    </xdr:from>
    <xdr:to>
      <xdr:col>9</xdr:col>
      <xdr:colOff>990600</xdr:colOff>
      <xdr:row>1</xdr:row>
      <xdr:rowOff>400050</xdr:rowOff>
    </xdr:to>
    <xdr:pic>
      <xdr:nvPicPr>
        <xdr:cNvPr id="110035" name="Picture 100" descr="E:\My Documents\Excel\03_1040\Pencil - Black.jpg">
          <a:extLst>
            <a:ext uri="{FF2B5EF4-FFF2-40B4-BE49-F238E27FC236}">
              <a16:creationId xmlns:a16="http://schemas.microsoft.com/office/drawing/2014/main" id="{00000000-0008-0000-1400-0000D3AD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2000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21</xdr:row>
      <xdr:rowOff>38100</xdr:rowOff>
    </xdr:from>
    <xdr:to>
      <xdr:col>4</xdr:col>
      <xdr:colOff>761943</xdr:colOff>
      <xdr:row>23</xdr:row>
      <xdr:rowOff>123771</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3"/>
        <a:stretch>
          <a:fillRect/>
        </a:stretch>
      </xdr:blipFill>
      <xdr:spPr>
        <a:xfrm>
          <a:off x="962025" y="4029075"/>
          <a:ext cx="457143" cy="428571"/>
        </a:xfrm>
        <a:prstGeom prst="rect">
          <a:avLst/>
        </a:prstGeom>
      </xdr:spPr>
    </xdr:pic>
    <xdr:clientData/>
  </xdr:twoCellAnchor>
  <xdr:twoCellAnchor editAs="oneCell">
    <xdr:from>
      <xdr:col>4</xdr:col>
      <xdr:colOff>255104</xdr:colOff>
      <xdr:row>34</xdr:row>
      <xdr:rowOff>152400</xdr:rowOff>
    </xdr:from>
    <xdr:to>
      <xdr:col>4</xdr:col>
      <xdr:colOff>712247</xdr:colOff>
      <xdr:row>37</xdr:row>
      <xdr:rowOff>76145</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3"/>
        <a:stretch>
          <a:fillRect/>
        </a:stretch>
      </xdr:blipFill>
      <xdr:spPr>
        <a:xfrm>
          <a:off x="917713" y="6587987"/>
          <a:ext cx="457143" cy="43726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8</xdr:col>
      <xdr:colOff>285750</xdr:colOff>
      <xdr:row>8</xdr:row>
      <xdr:rowOff>38100</xdr:rowOff>
    </xdr:from>
    <xdr:to>
      <xdr:col>8</xdr:col>
      <xdr:colOff>352425</xdr:colOff>
      <xdr:row>10</xdr:row>
      <xdr:rowOff>133350</xdr:rowOff>
    </xdr:to>
    <xdr:sp macro="" textlink="">
      <xdr:nvSpPr>
        <xdr:cNvPr id="29" name="AutoShape 973">
          <a:extLst>
            <a:ext uri="{FF2B5EF4-FFF2-40B4-BE49-F238E27FC236}">
              <a16:creationId xmlns:a16="http://schemas.microsoft.com/office/drawing/2014/main" id="{00000000-0008-0000-1500-00001D000000}"/>
            </a:ext>
          </a:extLst>
        </xdr:cNvPr>
        <xdr:cNvSpPr>
          <a:spLocks/>
        </xdr:cNvSpPr>
      </xdr:nvSpPr>
      <xdr:spPr bwMode="auto">
        <a:xfrm>
          <a:off x="4629150" y="1457325"/>
          <a:ext cx="66675" cy="43815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247650</xdr:colOff>
      <xdr:row>20</xdr:row>
      <xdr:rowOff>57150</xdr:rowOff>
    </xdr:from>
    <xdr:to>
      <xdr:col>8</xdr:col>
      <xdr:colOff>333375</xdr:colOff>
      <xdr:row>23</xdr:row>
      <xdr:rowOff>57150</xdr:rowOff>
    </xdr:to>
    <xdr:sp macro="" textlink="">
      <xdr:nvSpPr>
        <xdr:cNvPr id="30" name="AutoShape 973">
          <a:extLst>
            <a:ext uri="{FF2B5EF4-FFF2-40B4-BE49-F238E27FC236}">
              <a16:creationId xmlns:a16="http://schemas.microsoft.com/office/drawing/2014/main" id="{00000000-0008-0000-1500-00001E000000}"/>
            </a:ext>
          </a:extLst>
        </xdr:cNvPr>
        <xdr:cNvSpPr>
          <a:spLocks/>
        </xdr:cNvSpPr>
      </xdr:nvSpPr>
      <xdr:spPr bwMode="auto">
        <a:xfrm>
          <a:off x="4591050" y="3486150"/>
          <a:ext cx="85725" cy="514350"/>
        </a:xfrm>
        <a:prstGeom prst="rightBrace">
          <a:avLst>
            <a:gd name="adj1" fmla="val 61194"/>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361950</xdr:colOff>
      <xdr:row>1</xdr:row>
      <xdr:rowOff>95250</xdr:rowOff>
    </xdr:from>
    <xdr:to>
      <xdr:col>13</xdr:col>
      <xdr:colOff>704850</xdr:colOff>
      <xdr:row>3</xdr:row>
      <xdr:rowOff>66675</xdr:rowOff>
    </xdr:to>
    <xdr:pic>
      <xdr:nvPicPr>
        <xdr:cNvPr id="40" name="Picture 10" descr="E:\My Documents\Excel\03_1040\Pencil - Black.jpg">
          <a:extLst>
            <a:ext uri="{FF2B5EF4-FFF2-40B4-BE49-F238E27FC236}">
              <a16:creationId xmlns:a16="http://schemas.microsoft.com/office/drawing/2014/main" id="{00000000-0008-0000-15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2350" y="3143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266700</xdr:colOff>
      <xdr:row>16</xdr:row>
      <xdr:rowOff>85725</xdr:rowOff>
    </xdr:from>
    <xdr:to>
      <xdr:col>8</xdr:col>
      <xdr:colOff>333375</xdr:colOff>
      <xdr:row>19</xdr:row>
      <xdr:rowOff>9525</xdr:rowOff>
    </xdr:to>
    <xdr:sp macro="" textlink="">
      <xdr:nvSpPr>
        <xdr:cNvPr id="6" name="AutoShape 973">
          <a:extLst>
            <a:ext uri="{FF2B5EF4-FFF2-40B4-BE49-F238E27FC236}">
              <a16:creationId xmlns:a16="http://schemas.microsoft.com/office/drawing/2014/main" id="{00000000-0008-0000-1500-000006000000}"/>
            </a:ext>
          </a:extLst>
        </xdr:cNvPr>
        <xdr:cNvSpPr>
          <a:spLocks/>
        </xdr:cNvSpPr>
      </xdr:nvSpPr>
      <xdr:spPr bwMode="auto">
        <a:xfrm>
          <a:off x="4610100" y="2828925"/>
          <a:ext cx="66675" cy="43815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628650</xdr:colOff>
      <xdr:row>17</xdr:row>
      <xdr:rowOff>47625</xdr:rowOff>
    </xdr:from>
    <xdr:to>
      <xdr:col>14</xdr:col>
      <xdr:colOff>9525</xdr:colOff>
      <xdr:row>18</xdr:row>
      <xdr:rowOff>114300</xdr:rowOff>
    </xdr:to>
    <xdr:pic>
      <xdr:nvPicPr>
        <xdr:cNvPr id="2" name="Picture 20">
          <a:extLst>
            <a:ext uri="{FF2B5EF4-FFF2-40B4-BE49-F238E27FC236}">
              <a16:creationId xmlns:a16="http://schemas.microsoft.com/office/drawing/2014/main" id="{F7B074B4-7E56-4C14-85FF-8662EE2B78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00925" y="3038475"/>
          <a:ext cx="428625" cy="4191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36</xdr:row>
      <xdr:rowOff>47625</xdr:rowOff>
    </xdr:from>
    <xdr:to>
      <xdr:col>8</xdr:col>
      <xdr:colOff>95250</xdr:colOff>
      <xdr:row>39</xdr:row>
      <xdr:rowOff>0</xdr:rowOff>
    </xdr:to>
    <xdr:sp macro="" textlink="">
      <xdr:nvSpPr>
        <xdr:cNvPr id="3" name="AutoShape 21">
          <a:extLst>
            <a:ext uri="{FF2B5EF4-FFF2-40B4-BE49-F238E27FC236}">
              <a16:creationId xmlns:a16="http://schemas.microsoft.com/office/drawing/2014/main" id="{F95E2C71-768B-42B6-B752-7560D4C04AAB}"/>
            </a:ext>
          </a:extLst>
        </xdr:cNvPr>
        <xdr:cNvSpPr>
          <a:spLocks/>
        </xdr:cNvSpPr>
      </xdr:nvSpPr>
      <xdr:spPr bwMode="auto">
        <a:xfrm>
          <a:off x="3876675" y="6677025"/>
          <a:ext cx="95250" cy="428625"/>
        </a:xfrm>
        <a:prstGeom prst="rightBrace">
          <a:avLst>
            <a:gd name="adj1" fmla="val 3032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1890346</xdr:colOff>
      <xdr:row>28</xdr:row>
      <xdr:rowOff>66675</xdr:rowOff>
    </xdr:from>
    <xdr:to>
      <xdr:col>8</xdr:col>
      <xdr:colOff>0</xdr:colOff>
      <xdr:row>32</xdr:row>
      <xdr:rowOff>104775</xdr:rowOff>
    </xdr:to>
    <xdr:sp macro="" textlink="">
      <xdr:nvSpPr>
        <xdr:cNvPr id="4" name="AutoShape 43">
          <a:extLst>
            <a:ext uri="{FF2B5EF4-FFF2-40B4-BE49-F238E27FC236}">
              <a16:creationId xmlns:a16="http://schemas.microsoft.com/office/drawing/2014/main" id="{F94E3A09-7F0A-47A5-AD26-C9FBF366B3D7}"/>
            </a:ext>
          </a:extLst>
        </xdr:cNvPr>
        <xdr:cNvSpPr>
          <a:spLocks/>
        </xdr:cNvSpPr>
      </xdr:nvSpPr>
      <xdr:spPr bwMode="auto">
        <a:xfrm>
          <a:off x="3795346" y="5343525"/>
          <a:ext cx="81329" cy="723900"/>
        </a:xfrm>
        <a:prstGeom prst="rightBrace">
          <a:avLst>
            <a:gd name="adj1" fmla="val 2685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47</xdr:row>
      <xdr:rowOff>12212</xdr:rowOff>
    </xdr:from>
    <xdr:to>
      <xdr:col>8</xdr:col>
      <xdr:colOff>76200</xdr:colOff>
      <xdr:row>50</xdr:row>
      <xdr:rowOff>46404</xdr:rowOff>
    </xdr:to>
    <xdr:sp macro="" textlink="">
      <xdr:nvSpPr>
        <xdr:cNvPr id="5" name="AutoShape 21">
          <a:extLst>
            <a:ext uri="{FF2B5EF4-FFF2-40B4-BE49-F238E27FC236}">
              <a16:creationId xmlns:a16="http://schemas.microsoft.com/office/drawing/2014/main" id="{23B539DB-70BC-4657-AF30-A2F1A718408C}"/>
            </a:ext>
          </a:extLst>
        </xdr:cNvPr>
        <xdr:cNvSpPr>
          <a:spLocks/>
        </xdr:cNvSpPr>
      </xdr:nvSpPr>
      <xdr:spPr bwMode="auto">
        <a:xfrm>
          <a:off x="3876675" y="8432312"/>
          <a:ext cx="76200" cy="510442"/>
        </a:xfrm>
        <a:prstGeom prst="rightBrace">
          <a:avLst>
            <a:gd name="adj1" fmla="val 3032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508746</xdr:colOff>
      <xdr:row>71</xdr:row>
      <xdr:rowOff>47624</xdr:rowOff>
    </xdr:from>
    <xdr:to>
      <xdr:col>13</xdr:col>
      <xdr:colOff>914399</xdr:colOff>
      <xdr:row>72</xdr:row>
      <xdr:rowOff>20433</xdr:rowOff>
    </xdr:to>
    <xdr:pic>
      <xdr:nvPicPr>
        <xdr:cNvPr id="6" name="Picture 10" descr="E:\My Documents\Excel\03_1040\Pencil - Black.jpg">
          <a:extLst>
            <a:ext uri="{FF2B5EF4-FFF2-40B4-BE49-F238E27FC236}">
              <a16:creationId xmlns:a16="http://schemas.microsoft.com/office/drawing/2014/main" id="{68700F76-D220-4779-9ACC-D9CF9E0A9E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81021" y="12468224"/>
          <a:ext cx="405653" cy="3823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72</xdr:row>
      <xdr:rowOff>95251</xdr:rowOff>
    </xdr:from>
    <xdr:to>
      <xdr:col>4</xdr:col>
      <xdr:colOff>19050</xdr:colOff>
      <xdr:row>73</xdr:row>
      <xdr:rowOff>344927</xdr:rowOff>
    </xdr:to>
    <xdr:pic>
      <xdr:nvPicPr>
        <xdr:cNvPr id="7" name="Picture 113" descr="E:\My Documents\Excel\04_1040\IRS Forms\CAUTION_Black.jpg">
          <a:extLst>
            <a:ext uri="{FF2B5EF4-FFF2-40B4-BE49-F238E27FC236}">
              <a16:creationId xmlns:a16="http://schemas.microsoft.com/office/drawing/2014/main" id="{988DA07C-E645-409C-9AE5-963E7B1656F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6700" y="12925426"/>
          <a:ext cx="390525" cy="411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95250</xdr:colOff>
      <xdr:row>437</xdr:row>
      <xdr:rowOff>0</xdr:rowOff>
    </xdr:from>
    <xdr:to>
      <xdr:col>16</xdr:col>
      <xdr:colOff>140969</xdr:colOff>
      <xdr:row>439</xdr:row>
      <xdr:rowOff>9526</xdr:rowOff>
    </xdr:to>
    <xdr:sp macro="" textlink="">
      <xdr:nvSpPr>
        <xdr:cNvPr id="3" name="AutoShape 2">
          <a:extLst>
            <a:ext uri="{FF2B5EF4-FFF2-40B4-BE49-F238E27FC236}">
              <a16:creationId xmlns:a16="http://schemas.microsoft.com/office/drawing/2014/main" id="{00000000-0008-0000-1700-000003000000}"/>
            </a:ext>
          </a:extLst>
        </xdr:cNvPr>
        <xdr:cNvSpPr>
          <a:spLocks/>
        </xdr:cNvSpPr>
      </xdr:nvSpPr>
      <xdr:spPr bwMode="auto">
        <a:xfrm>
          <a:off x="8248650" y="70132575"/>
          <a:ext cx="45719" cy="333376"/>
        </a:xfrm>
        <a:prstGeom prst="leftBrace">
          <a:avLst>
            <a:gd name="adj1" fmla="val 5312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3</xdr:col>
      <xdr:colOff>152400</xdr:colOff>
      <xdr:row>294</xdr:row>
      <xdr:rowOff>66675</xdr:rowOff>
    </xdr:from>
    <xdr:to>
      <xdr:col>3</xdr:col>
      <xdr:colOff>522287</xdr:colOff>
      <xdr:row>296</xdr:row>
      <xdr:rowOff>133349</xdr:rowOff>
    </xdr:to>
    <xdr:pic>
      <xdr:nvPicPr>
        <xdr:cNvPr id="4" name="Picture 113" descr="E:\My Documents\Excel\04_1040\IRS Forms\CAUTION_Black.jpg">
          <a:extLst>
            <a:ext uri="{FF2B5EF4-FFF2-40B4-BE49-F238E27FC236}">
              <a16:creationId xmlns:a16="http://schemas.microsoft.com/office/drawing/2014/main" id="{00000000-0008-0000-1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38042850"/>
          <a:ext cx="36671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133350</xdr:colOff>
      <xdr:row>535</xdr:row>
      <xdr:rowOff>57150</xdr:rowOff>
    </xdr:from>
    <xdr:to>
      <xdr:col>3</xdr:col>
      <xdr:colOff>503237</xdr:colOff>
      <xdr:row>537</xdr:row>
      <xdr:rowOff>146049</xdr:rowOff>
    </xdr:to>
    <xdr:pic>
      <xdr:nvPicPr>
        <xdr:cNvPr id="5" name="Picture 113" descr="E:\My Documents\Excel\04_1040\IRS Forms\CAUTION_Black.jpg">
          <a:extLst>
            <a:ext uri="{FF2B5EF4-FFF2-40B4-BE49-F238E27FC236}">
              <a16:creationId xmlns:a16="http://schemas.microsoft.com/office/drawing/2014/main" id="{00000000-0008-0000-17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71247000"/>
          <a:ext cx="36671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76200</xdr:colOff>
      <xdr:row>396</xdr:row>
      <xdr:rowOff>47625</xdr:rowOff>
    </xdr:from>
    <xdr:ext cx="366712" cy="419100"/>
    <xdr:pic>
      <xdr:nvPicPr>
        <xdr:cNvPr id="8" name="Picture 113" descr="E:\My Documents\Excel\04_1040\IRS Forms\CAUTION_Black.jpg">
          <a:extLst>
            <a:ext uri="{FF2B5EF4-FFF2-40B4-BE49-F238E27FC236}">
              <a16:creationId xmlns:a16="http://schemas.microsoft.com/office/drawing/2014/main" id="{00000000-0008-0000-17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38185725"/>
          <a:ext cx="36671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16</xdr:col>
      <xdr:colOff>0</xdr:colOff>
      <xdr:row>402</xdr:row>
      <xdr:rowOff>0</xdr:rowOff>
    </xdr:from>
    <xdr:to>
      <xdr:col>19</xdr:col>
      <xdr:colOff>0</xdr:colOff>
      <xdr:row>404</xdr:row>
      <xdr:rowOff>57150</xdr:rowOff>
    </xdr:to>
    <xdr:pic>
      <xdr:nvPicPr>
        <xdr:cNvPr id="9" name="Picture 8">
          <a:extLst>
            <a:ext uri="{FF2B5EF4-FFF2-40B4-BE49-F238E27FC236}">
              <a16:creationId xmlns:a16="http://schemas.microsoft.com/office/drawing/2014/main" id="{00000000-0008-0000-1700-000009000000}"/>
            </a:ext>
          </a:extLst>
        </xdr:cNvPr>
        <xdr:cNvPicPr>
          <a:picLocks noChangeAspect="1"/>
        </xdr:cNvPicPr>
      </xdr:nvPicPr>
      <xdr:blipFill>
        <a:blip xmlns:r="http://schemas.openxmlformats.org/officeDocument/2006/relationships" r:embed="rId2"/>
        <a:stretch>
          <a:fillRect/>
        </a:stretch>
      </xdr:blipFill>
      <xdr:spPr>
        <a:xfrm>
          <a:off x="8154865" y="52512058"/>
          <a:ext cx="461597" cy="474785"/>
        </a:xfrm>
        <a:prstGeom prst="rect">
          <a:avLst/>
        </a:prstGeom>
      </xdr:spPr>
    </xdr:pic>
    <xdr:clientData/>
  </xdr:twoCellAnchor>
  <xdr:oneCellAnchor>
    <xdr:from>
      <xdr:col>16</xdr:col>
      <xdr:colOff>0</xdr:colOff>
      <xdr:row>411</xdr:row>
      <xdr:rowOff>0</xdr:rowOff>
    </xdr:from>
    <xdr:ext cx="466725" cy="476251"/>
    <xdr:pic>
      <xdr:nvPicPr>
        <xdr:cNvPr id="10" name="Picture 9">
          <a:extLst>
            <a:ext uri="{FF2B5EF4-FFF2-40B4-BE49-F238E27FC236}">
              <a16:creationId xmlns:a16="http://schemas.microsoft.com/office/drawing/2014/main" id="{00000000-0008-0000-1700-00000A000000}"/>
            </a:ext>
          </a:extLst>
        </xdr:cNvPr>
        <xdr:cNvPicPr>
          <a:picLocks noChangeAspect="1"/>
        </xdr:cNvPicPr>
      </xdr:nvPicPr>
      <xdr:blipFill>
        <a:blip xmlns:r="http://schemas.openxmlformats.org/officeDocument/2006/relationships" r:embed="rId2"/>
        <a:stretch>
          <a:fillRect/>
        </a:stretch>
      </xdr:blipFill>
      <xdr:spPr>
        <a:xfrm>
          <a:off x="8153400" y="52787550"/>
          <a:ext cx="466725" cy="476251"/>
        </a:xfrm>
        <a:prstGeom prst="rect">
          <a:avLst/>
        </a:prstGeom>
      </xdr:spPr>
    </xdr:pic>
    <xdr:clientData/>
  </xdr:oneCellAnchor>
  <xdr:oneCellAnchor>
    <xdr:from>
      <xdr:col>16</xdr:col>
      <xdr:colOff>0</xdr:colOff>
      <xdr:row>427</xdr:row>
      <xdr:rowOff>0</xdr:rowOff>
    </xdr:from>
    <xdr:ext cx="466725" cy="476251"/>
    <xdr:pic>
      <xdr:nvPicPr>
        <xdr:cNvPr id="11" name="Picture 10">
          <a:extLst>
            <a:ext uri="{FF2B5EF4-FFF2-40B4-BE49-F238E27FC236}">
              <a16:creationId xmlns:a16="http://schemas.microsoft.com/office/drawing/2014/main" id="{00000000-0008-0000-1700-00000B000000}"/>
            </a:ext>
          </a:extLst>
        </xdr:cNvPr>
        <xdr:cNvPicPr>
          <a:picLocks noChangeAspect="1"/>
        </xdr:cNvPicPr>
      </xdr:nvPicPr>
      <xdr:blipFill>
        <a:blip xmlns:r="http://schemas.openxmlformats.org/officeDocument/2006/relationships" r:embed="rId2"/>
        <a:stretch>
          <a:fillRect/>
        </a:stretch>
      </xdr:blipFill>
      <xdr:spPr>
        <a:xfrm>
          <a:off x="8153400" y="54121050"/>
          <a:ext cx="466725" cy="476251"/>
        </a:xfrm>
        <a:prstGeom prst="rect">
          <a:avLst/>
        </a:prstGeom>
      </xdr:spPr>
    </xdr:pic>
    <xdr:clientData/>
  </xdr:oneCellAnchor>
  <xdr:twoCellAnchor editAs="oneCell">
    <xdr:from>
      <xdr:col>11</xdr:col>
      <xdr:colOff>561976</xdr:colOff>
      <xdr:row>528</xdr:row>
      <xdr:rowOff>38100</xdr:rowOff>
    </xdr:from>
    <xdr:to>
      <xdr:col>15</xdr:col>
      <xdr:colOff>22054</xdr:colOff>
      <xdr:row>536</xdr:row>
      <xdr:rowOff>47625</xdr:rowOff>
    </xdr:to>
    <xdr:pic>
      <xdr:nvPicPr>
        <xdr:cNvPr id="7" name="Picture 6">
          <a:extLst>
            <a:ext uri="{FF2B5EF4-FFF2-40B4-BE49-F238E27FC236}">
              <a16:creationId xmlns:a16="http://schemas.microsoft.com/office/drawing/2014/main" id="{2C0FE746-42D0-4AB8-AB95-FB2087B04CBB}"/>
            </a:ext>
          </a:extLst>
        </xdr:cNvPr>
        <xdr:cNvPicPr>
          <a:picLocks noChangeAspect="1"/>
        </xdr:cNvPicPr>
      </xdr:nvPicPr>
      <xdr:blipFill>
        <a:blip xmlns:r="http://schemas.openxmlformats.org/officeDocument/2006/relationships" r:embed="rId3"/>
        <a:stretch>
          <a:fillRect/>
        </a:stretch>
      </xdr:blipFill>
      <xdr:spPr>
        <a:xfrm>
          <a:off x="5886451" y="84772500"/>
          <a:ext cx="2222328" cy="1304925"/>
        </a:xfrm>
        <a:prstGeom prst="rect">
          <a:avLst/>
        </a:prstGeom>
      </xdr:spPr>
    </xdr:pic>
    <xdr:clientData/>
  </xdr:twoCellAnchor>
  <xdr:twoCellAnchor editAs="oneCell">
    <xdr:from>
      <xdr:col>10</xdr:col>
      <xdr:colOff>114300</xdr:colOff>
      <xdr:row>390</xdr:row>
      <xdr:rowOff>47625</xdr:rowOff>
    </xdr:from>
    <xdr:to>
      <xdr:col>13</xdr:col>
      <xdr:colOff>38474</xdr:colOff>
      <xdr:row>396</xdr:row>
      <xdr:rowOff>147704</xdr:rowOff>
    </xdr:to>
    <xdr:pic>
      <xdr:nvPicPr>
        <xdr:cNvPr id="13" name="Picture 12">
          <a:extLst>
            <a:ext uri="{FF2B5EF4-FFF2-40B4-BE49-F238E27FC236}">
              <a16:creationId xmlns:a16="http://schemas.microsoft.com/office/drawing/2014/main" id="{346169DA-FEB6-4CB9-B7F1-6E7D0DDFB736}"/>
            </a:ext>
          </a:extLst>
        </xdr:cNvPr>
        <xdr:cNvPicPr>
          <a:picLocks noChangeAspect="1"/>
        </xdr:cNvPicPr>
      </xdr:nvPicPr>
      <xdr:blipFill>
        <a:blip xmlns:r="http://schemas.openxmlformats.org/officeDocument/2006/relationships" r:embed="rId3"/>
        <a:stretch>
          <a:fillRect/>
        </a:stretch>
      </xdr:blipFill>
      <xdr:spPr>
        <a:xfrm>
          <a:off x="4752975" y="62598300"/>
          <a:ext cx="2019674" cy="1185929"/>
        </a:xfrm>
        <a:prstGeom prst="rect">
          <a:avLst/>
        </a:prstGeom>
      </xdr:spPr>
    </xdr:pic>
    <xdr:clientData/>
  </xdr:twoCellAnchor>
  <xdr:twoCellAnchor>
    <xdr:from>
      <xdr:col>16</xdr:col>
      <xdr:colOff>104774</xdr:colOff>
      <xdr:row>434</xdr:row>
      <xdr:rowOff>0</xdr:rowOff>
    </xdr:from>
    <xdr:to>
      <xdr:col>16</xdr:col>
      <xdr:colOff>152399</xdr:colOff>
      <xdr:row>435</xdr:row>
      <xdr:rowOff>142875</xdr:rowOff>
    </xdr:to>
    <xdr:sp macro="" textlink="">
      <xdr:nvSpPr>
        <xdr:cNvPr id="14" name="AutoShape 2">
          <a:extLst>
            <a:ext uri="{FF2B5EF4-FFF2-40B4-BE49-F238E27FC236}">
              <a16:creationId xmlns:a16="http://schemas.microsoft.com/office/drawing/2014/main" id="{3368B8AA-D408-4749-8BA6-F1AC8862132A}"/>
            </a:ext>
          </a:extLst>
        </xdr:cNvPr>
        <xdr:cNvSpPr>
          <a:spLocks/>
        </xdr:cNvSpPr>
      </xdr:nvSpPr>
      <xdr:spPr bwMode="auto">
        <a:xfrm>
          <a:off x="8258174" y="69646800"/>
          <a:ext cx="47625" cy="304800"/>
        </a:xfrm>
        <a:prstGeom prst="leftBrace">
          <a:avLst>
            <a:gd name="adj1" fmla="val 5312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3</xdr:col>
      <xdr:colOff>0</xdr:colOff>
      <xdr:row>308</xdr:row>
      <xdr:rowOff>0</xdr:rowOff>
    </xdr:from>
    <xdr:to>
      <xdr:col>3</xdr:col>
      <xdr:colOff>369887</xdr:colOff>
      <xdr:row>310</xdr:row>
      <xdr:rowOff>76199</xdr:rowOff>
    </xdr:to>
    <xdr:pic>
      <xdr:nvPicPr>
        <xdr:cNvPr id="15" name="Picture 113" descr="E:\My Documents\Excel\04_1040\IRS Forms\CAUTION_Black.jpg">
          <a:extLst>
            <a:ext uri="{FF2B5EF4-FFF2-40B4-BE49-F238E27FC236}">
              <a16:creationId xmlns:a16="http://schemas.microsoft.com/office/drawing/2014/main" id="{D1F870BE-81E7-4CDB-8BA7-DDCED494D8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50320575"/>
          <a:ext cx="369887" cy="419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12</xdr:col>
      <xdr:colOff>900605</xdr:colOff>
      <xdr:row>64</xdr:row>
      <xdr:rowOff>28575</xdr:rowOff>
    </xdr:from>
    <xdr:to>
      <xdr:col>12</xdr:col>
      <xdr:colOff>1005380</xdr:colOff>
      <xdr:row>64</xdr:row>
      <xdr:rowOff>152400</xdr:rowOff>
    </xdr:to>
    <xdr:sp macro="" textlink="">
      <xdr:nvSpPr>
        <xdr:cNvPr id="100539" name="AutoShape 85">
          <a:extLst>
            <a:ext uri="{FF2B5EF4-FFF2-40B4-BE49-F238E27FC236}">
              <a16:creationId xmlns:a16="http://schemas.microsoft.com/office/drawing/2014/main" id="{00000000-0008-0000-1900-0000BB880100}"/>
            </a:ext>
          </a:extLst>
        </xdr:cNvPr>
        <xdr:cNvSpPr>
          <a:spLocks noChangeArrowheads="1"/>
        </xdr:cNvSpPr>
      </xdr:nvSpPr>
      <xdr:spPr bwMode="auto">
        <a:xfrm rot="5400000">
          <a:off x="6159390" y="11612617"/>
          <a:ext cx="123825" cy="10477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33</xdr:col>
      <xdr:colOff>371475</xdr:colOff>
      <xdr:row>89</xdr:row>
      <xdr:rowOff>9525</xdr:rowOff>
    </xdr:from>
    <xdr:ext cx="428625" cy="475384"/>
    <xdr:pic>
      <xdr:nvPicPr>
        <xdr:cNvPr id="11" name="Picture 27">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44900" y="7981950"/>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33</xdr:col>
      <xdr:colOff>400050</xdr:colOff>
      <xdr:row>20</xdr:row>
      <xdr:rowOff>38100</xdr:rowOff>
    </xdr:from>
    <xdr:ext cx="334937" cy="371476"/>
    <xdr:pic>
      <xdr:nvPicPr>
        <xdr:cNvPr id="13" name="Picture 27">
          <a:extLst>
            <a:ext uri="{FF2B5EF4-FFF2-40B4-BE49-F238E27FC236}">
              <a16:creationId xmlns:a16="http://schemas.microsoft.com/office/drawing/2014/main" id="{00000000-0008-0000-19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35350" y="704850"/>
          <a:ext cx="334937" cy="37147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twoCellAnchor editAs="oneCell">
    <xdr:from>
      <xdr:col>7</xdr:col>
      <xdr:colOff>253110</xdr:colOff>
      <xdr:row>11</xdr:row>
      <xdr:rowOff>25711</xdr:rowOff>
    </xdr:from>
    <xdr:to>
      <xdr:col>7</xdr:col>
      <xdr:colOff>317428</xdr:colOff>
      <xdr:row>12</xdr:row>
      <xdr:rowOff>7908</xdr:rowOff>
    </xdr:to>
    <xdr:pic>
      <xdr:nvPicPr>
        <xdr:cNvPr id="14" name="Picture 2">
          <a:extLst>
            <a:ext uri="{FF2B5EF4-FFF2-40B4-BE49-F238E27FC236}">
              <a16:creationId xmlns:a16="http://schemas.microsoft.com/office/drawing/2014/main" id="{00000000-0008-0000-1900-00000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73688" y="2043820"/>
          <a:ext cx="61143" cy="10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140518</xdr:colOff>
      <xdr:row>10</xdr:row>
      <xdr:rowOff>66435</xdr:rowOff>
    </xdr:from>
    <xdr:to>
      <xdr:col>5</xdr:col>
      <xdr:colOff>198486</xdr:colOff>
      <xdr:row>10</xdr:row>
      <xdr:rowOff>179601</xdr:rowOff>
    </xdr:to>
    <xdr:pic>
      <xdr:nvPicPr>
        <xdr:cNvPr id="16" name="Picture 2">
          <a:extLst>
            <a:ext uri="{FF2B5EF4-FFF2-40B4-BE49-F238E27FC236}">
              <a16:creationId xmlns:a16="http://schemas.microsoft.com/office/drawing/2014/main" id="{00000000-0008-0000-1900-00001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50268" y="1846419"/>
          <a:ext cx="61143" cy="10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1224538</xdr:colOff>
      <xdr:row>30</xdr:row>
      <xdr:rowOff>1339</xdr:rowOff>
    </xdr:from>
    <xdr:to>
      <xdr:col>7</xdr:col>
      <xdr:colOff>1322276</xdr:colOff>
      <xdr:row>31</xdr:row>
      <xdr:rowOff>0</xdr:rowOff>
    </xdr:to>
    <xdr:pic>
      <xdr:nvPicPr>
        <xdr:cNvPr id="18" name="Picture 2">
          <a:extLst>
            <a:ext uri="{FF2B5EF4-FFF2-40B4-BE49-F238E27FC236}">
              <a16:creationId xmlns:a16="http://schemas.microsoft.com/office/drawing/2014/main" id="{00000000-0008-0000-1900-00001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29638" y="5287714"/>
          <a:ext cx="94563" cy="1701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581025</xdr:colOff>
      <xdr:row>23</xdr:row>
      <xdr:rowOff>153133</xdr:rowOff>
    </xdr:from>
    <xdr:to>
      <xdr:col>9</xdr:col>
      <xdr:colOff>685321</xdr:colOff>
      <xdr:row>25</xdr:row>
      <xdr:rowOff>20683</xdr:rowOff>
    </xdr:to>
    <xdr:pic>
      <xdr:nvPicPr>
        <xdr:cNvPr id="24" name="Picture 2">
          <a:extLst>
            <a:ext uri="{FF2B5EF4-FFF2-40B4-BE49-F238E27FC236}">
              <a16:creationId xmlns:a16="http://schemas.microsoft.com/office/drawing/2014/main" id="{00000000-0008-0000-19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3950" y="4296508"/>
          <a:ext cx="104296" cy="19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544603</xdr:colOff>
      <xdr:row>35</xdr:row>
      <xdr:rowOff>10258</xdr:rowOff>
    </xdr:from>
    <xdr:ext cx="131193" cy="161192"/>
    <xdr:pic>
      <xdr:nvPicPr>
        <xdr:cNvPr id="26" name="Picture 2">
          <a:extLst>
            <a:ext uri="{FF2B5EF4-FFF2-40B4-BE49-F238E27FC236}">
              <a16:creationId xmlns:a16="http://schemas.microsoft.com/office/drawing/2014/main" id="{00000000-0008-0000-1900-00001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97528" y="6163408"/>
          <a:ext cx="131193" cy="161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589987</xdr:colOff>
      <xdr:row>41</xdr:row>
      <xdr:rowOff>16328</xdr:rowOff>
    </xdr:from>
    <xdr:ext cx="126253" cy="155122"/>
    <xdr:pic>
      <xdr:nvPicPr>
        <xdr:cNvPr id="12" name="Picture 2">
          <a:extLst>
            <a:ext uri="{FF2B5EF4-FFF2-40B4-BE49-F238E27FC236}">
              <a16:creationId xmlns:a16="http://schemas.microsoft.com/office/drawing/2014/main" id="{00000000-0008-0000-1900-00000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80687" y="7169603"/>
          <a:ext cx="126253" cy="155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181841</xdr:colOff>
      <xdr:row>58</xdr:row>
      <xdr:rowOff>64077</xdr:rowOff>
    </xdr:from>
    <xdr:ext cx="95754" cy="117649"/>
    <xdr:pic>
      <xdr:nvPicPr>
        <xdr:cNvPr id="15" name="Picture 2">
          <a:extLst>
            <a:ext uri="{FF2B5EF4-FFF2-40B4-BE49-F238E27FC236}">
              <a16:creationId xmlns:a16="http://schemas.microsoft.com/office/drawing/2014/main" id="{00000000-0008-0000-1900-00000F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37364" y="10247168"/>
          <a:ext cx="95754" cy="11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33</xdr:col>
      <xdr:colOff>314325</xdr:colOff>
      <xdr:row>40</xdr:row>
      <xdr:rowOff>19050</xdr:rowOff>
    </xdr:from>
    <xdr:ext cx="428625" cy="475384"/>
    <xdr:pic>
      <xdr:nvPicPr>
        <xdr:cNvPr id="17" name="Picture 27">
          <a:extLst>
            <a:ext uri="{FF2B5EF4-FFF2-40B4-BE49-F238E27FC236}">
              <a16:creationId xmlns:a16="http://schemas.microsoft.com/office/drawing/2014/main" id="{00000000-0008-0000-19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87750" y="6467475"/>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33</xdr:col>
      <xdr:colOff>314325</xdr:colOff>
      <xdr:row>49</xdr:row>
      <xdr:rowOff>19050</xdr:rowOff>
    </xdr:from>
    <xdr:ext cx="428625" cy="475384"/>
    <xdr:pic>
      <xdr:nvPicPr>
        <xdr:cNvPr id="21" name="Picture 27">
          <a:extLst>
            <a:ext uri="{FF2B5EF4-FFF2-40B4-BE49-F238E27FC236}">
              <a16:creationId xmlns:a16="http://schemas.microsoft.com/office/drawing/2014/main" id="{00000000-0008-0000-19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48984" y="7067550"/>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33</xdr:col>
      <xdr:colOff>371475</xdr:colOff>
      <xdr:row>58</xdr:row>
      <xdr:rowOff>9525</xdr:rowOff>
    </xdr:from>
    <xdr:ext cx="428625" cy="475384"/>
    <xdr:pic>
      <xdr:nvPicPr>
        <xdr:cNvPr id="19" name="Picture 27">
          <a:extLst>
            <a:ext uri="{FF2B5EF4-FFF2-40B4-BE49-F238E27FC236}">
              <a16:creationId xmlns:a16="http://schemas.microsoft.com/office/drawing/2014/main" id="{00000000-0008-0000-19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6134" y="12712411"/>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3</xdr:col>
      <xdr:colOff>1038225</xdr:colOff>
      <xdr:row>44</xdr:row>
      <xdr:rowOff>19050</xdr:rowOff>
    </xdr:from>
    <xdr:to>
      <xdr:col>3</xdr:col>
      <xdr:colOff>1133475</xdr:colOff>
      <xdr:row>45</xdr:row>
      <xdr:rowOff>9525</xdr:rowOff>
    </xdr:to>
    <xdr:pic>
      <xdr:nvPicPr>
        <xdr:cNvPr id="101867" name="Picture 1">
          <a:extLst>
            <a:ext uri="{FF2B5EF4-FFF2-40B4-BE49-F238E27FC236}">
              <a16:creationId xmlns:a16="http://schemas.microsoft.com/office/drawing/2014/main" id="{00000000-0008-0000-1A00-0000EB8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5525" y="5619750"/>
          <a:ext cx="9525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484772</xdr:colOff>
      <xdr:row>23</xdr:row>
      <xdr:rowOff>33589</xdr:rowOff>
    </xdr:from>
    <xdr:to>
      <xdr:col>6</xdr:col>
      <xdr:colOff>586539</xdr:colOff>
      <xdr:row>23</xdr:row>
      <xdr:rowOff>143017</xdr:rowOff>
    </xdr:to>
    <xdr:pic>
      <xdr:nvPicPr>
        <xdr:cNvPr id="101868" name="Picture 2">
          <a:extLst>
            <a:ext uri="{FF2B5EF4-FFF2-40B4-BE49-F238E27FC236}">
              <a16:creationId xmlns:a16="http://schemas.microsoft.com/office/drawing/2014/main" id="{00000000-0008-0000-1A00-0000EC8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1706" y="4104273"/>
          <a:ext cx="101767" cy="109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1238250</xdr:colOff>
      <xdr:row>42</xdr:row>
      <xdr:rowOff>19050</xdr:rowOff>
    </xdr:from>
    <xdr:to>
      <xdr:col>6</xdr:col>
      <xdr:colOff>1314450</xdr:colOff>
      <xdr:row>42</xdr:row>
      <xdr:rowOff>152400</xdr:rowOff>
    </xdr:to>
    <xdr:pic>
      <xdr:nvPicPr>
        <xdr:cNvPr id="101869" name="Picture 3">
          <a:extLst>
            <a:ext uri="{FF2B5EF4-FFF2-40B4-BE49-F238E27FC236}">
              <a16:creationId xmlns:a16="http://schemas.microsoft.com/office/drawing/2014/main" id="{00000000-0008-0000-1A00-0000ED8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95950" y="52959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1287946</xdr:colOff>
      <xdr:row>78</xdr:row>
      <xdr:rowOff>12839</xdr:rowOff>
    </xdr:from>
    <xdr:to>
      <xdr:col>4</xdr:col>
      <xdr:colOff>38929</xdr:colOff>
      <xdr:row>79</xdr:row>
      <xdr:rowOff>829</xdr:rowOff>
    </xdr:to>
    <xdr:pic>
      <xdr:nvPicPr>
        <xdr:cNvPr id="101871" name="Picture 6">
          <a:extLst>
            <a:ext uri="{FF2B5EF4-FFF2-40B4-BE49-F238E27FC236}">
              <a16:creationId xmlns:a16="http://schemas.microsoft.com/office/drawing/2014/main" id="{00000000-0008-0000-1A00-0000EF8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6903" y="10465491"/>
          <a:ext cx="76200" cy="137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15</xdr:col>
      <xdr:colOff>275281</xdr:colOff>
      <xdr:row>57</xdr:row>
      <xdr:rowOff>31549</xdr:rowOff>
    </xdr:from>
    <xdr:to>
      <xdr:col>16</xdr:col>
      <xdr:colOff>49873</xdr:colOff>
      <xdr:row>61</xdr:row>
      <xdr:rowOff>117274</xdr:rowOff>
    </xdr:to>
    <xdr:sp macro="" textlink="">
      <xdr:nvSpPr>
        <xdr:cNvPr id="103103" name="AutoShape 1">
          <a:extLst>
            <a:ext uri="{FF2B5EF4-FFF2-40B4-BE49-F238E27FC236}">
              <a16:creationId xmlns:a16="http://schemas.microsoft.com/office/drawing/2014/main" id="{00000000-0008-0000-1B00-0000BF920100}"/>
            </a:ext>
          </a:extLst>
        </xdr:cNvPr>
        <xdr:cNvSpPr>
          <a:spLocks/>
        </xdr:cNvSpPr>
      </xdr:nvSpPr>
      <xdr:spPr bwMode="auto">
        <a:xfrm>
          <a:off x="6198640" y="9276752"/>
          <a:ext cx="78202" cy="728663"/>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269329</xdr:colOff>
      <xdr:row>53</xdr:row>
      <xdr:rowOff>72259</xdr:rowOff>
    </xdr:from>
    <xdr:to>
      <xdr:col>16</xdr:col>
      <xdr:colOff>57789</xdr:colOff>
      <xdr:row>57</xdr:row>
      <xdr:rowOff>16011</xdr:rowOff>
    </xdr:to>
    <xdr:sp macro="" textlink="">
      <xdr:nvSpPr>
        <xdr:cNvPr id="103104" name="AutoShape 2">
          <a:extLst>
            <a:ext uri="{FF2B5EF4-FFF2-40B4-BE49-F238E27FC236}">
              <a16:creationId xmlns:a16="http://schemas.microsoft.com/office/drawing/2014/main" id="{00000000-0008-0000-1B00-0000C0920100}"/>
            </a:ext>
          </a:extLst>
        </xdr:cNvPr>
        <xdr:cNvSpPr>
          <a:spLocks/>
        </xdr:cNvSpPr>
      </xdr:nvSpPr>
      <xdr:spPr bwMode="auto">
        <a:xfrm>
          <a:off x="6181398" y="8651328"/>
          <a:ext cx="90632" cy="600649"/>
        </a:xfrm>
        <a:prstGeom prst="rightBrace">
          <a:avLst>
            <a:gd name="adj1" fmla="val 2619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3</xdr:col>
      <xdr:colOff>44096</xdr:colOff>
      <xdr:row>4</xdr:row>
      <xdr:rowOff>6929</xdr:rowOff>
    </xdr:from>
    <xdr:to>
      <xdr:col>3</xdr:col>
      <xdr:colOff>104421</xdr:colOff>
      <xdr:row>4</xdr:row>
      <xdr:rowOff>111704</xdr:rowOff>
    </xdr:to>
    <xdr:pic>
      <xdr:nvPicPr>
        <xdr:cNvPr id="103106" name="Picture 3">
          <a:extLst>
            <a:ext uri="{FF2B5EF4-FFF2-40B4-BE49-F238E27FC236}">
              <a16:creationId xmlns:a16="http://schemas.microsoft.com/office/drawing/2014/main" id="{00000000-0008-0000-1B00-0000C29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0796" y="940379"/>
          <a:ext cx="5715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149225</xdr:colOff>
      <xdr:row>8</xdr:row>
      <xdr:rowOff>12700</xdr:rowOff>
    </xdr:from>
    <xdr:to>
      <xdr:col>14</xdr:col>
      <xdr:colOff>225425</xdr:colOff>
      <xdr:row>8</xdr:row>
      <xdr:rowOff>142875</xdr:rowOff>
    </xdr:to>
    <xdr:pic>
      <xdr:nvPicPr>
        <xdr:cNvPr id="103107" name="Picture 3">
          <a:extLst>
            <a:ext uri="{FF2B5EF4-FFF2-40B4-BE49-F238E27FC236}">
              <a16:creationId xmlns:a16="http://schemas.microsoft.com/office/drawing/2014/main" id="{00000000-0008-0000-1B00-0000C39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9775" y="18732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152400</xdr:colOff>
      <xdr:row>14</xdr:row>
      <xdr:rowOff>31750</xdr:rowOff>
    </xdr:from>
    <xdr:to>
      <xdr:col>12</xdr:col>
      <xdr:colOff>228600</xdr:colOff>
      <xdr:row>14</xdr:row>
      <xdr:rowOff>161925</xdr:rowOff>
    </xdr:to>
    <xdr:pic>
      <xdr:nvPicPr>
        <xdr:cNvPr id="103108" name="Picture 3">
          <a:extLst>
            <a:ext uri="{FF2B5EF4-FFF2-40B4-BE49-F238E27FC236}">
              <a16:creationId xmlns:a16="http://schemas.microsoft.com/office/drawing/2014/main" id="{00000000-0008-0000-1B00-0000C49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3350" y="27241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180975</xdr:colOff>
      <xdr:row>17</xdr:row>
      <xdr:rowOff>19050</xdr:rowOff>
    </xdr:from>
    <xdr:to>
      <xdr:col>16</xdr:col>
      <xdr:colOff>254000</xdr:colOff>
      <xdr:row>17</xdr:row>
      <xdr:rowOff>152400</xdr:rowOff>
    </xdr:to>
    <xdr:pic>
      <xdr:nvPicPr>
        <xdr:cNvPr id="103109" name="Picture 3">
          <a:extLst>
            <a:ext uri="{FF2B5EF4-FFF2-40B4-BE49-F238E27FC236}">
              <a16:creationId xmlns:a16="http://schemas.microsoft.com/office/drawing/2014/main" id="{00000000-0008-0000-1B00-0000C59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30861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196850</xdr:colOff>
      <xdr:row>22</xdr:row>
      <xdr:rowOff>19050</xdr:rowOff>
    </xdr:from>
    <xdr:to>
      <xdr:col>15</xdr:col>
      <xdr:colOff>276225</xdr:colOff>
      <xdr:row>23</xdr:row>
      <xdr:rowOff>0</xdr:rowOff>
    </xdr:to>
    <xdr:pic>
      <xdr:nvPicPr>
        <xdr:cNvPr id="9" name="Picture 3">
          <a:extLst>
            <a:ext uri="{FF2B5EF4-FFF2-40B4-BE49-F238E27FC236}">
              <a16:creationId xmlns:a16="http://schemas.microsoft.com/office/drawing/2014/main" id="{00000000-0008-0000-1B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39687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126914</xdr:colOff>
      <xdr:row>46</xdr:row>
      <xdr:rowOff>55881</xdr:rowOff>
    </xdr:from>
    <xdr:to>
      <xdr:col>17</xdr:col>
      <xdr:colOff>259351</xdr:colOff>
      <xdr:row>46</xdr:row>
      <xdr:rowOff>160112</xdr:rowOff>
    </xdr:to>
    <xdr:pic>
      <xdr:nvPicPr>
        <xdr:cNvPr id="10" name="Picture 3">
          <a:extLst>
            <a:ext uri="{FF2B5EF4-FFF2-40B4-BE49-F238E27FC236}">
              <a16:creationId xmlns:a16="http://schemas.microsoft.com/office/drawing/2014/main" id="{00000000-0008-0000-1B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96443" y="7376524"/>
          <a:ext cx="129262" cy="107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492125</xdr:colOff>
      <xdr:row>90</xdr:row>
      <xdr:rowOff>63500</xdr:rowOff>
    </xdr:from>
    <xdr:to>
      <xdr:col>11</xdr:col>
      <xdr:colOff>568325</xdr:colOff>
      <xdr:row>91</xdr:row>
      <xdr:rowOff>0</xdr:rowOff>
    </xdr:to>
    <xdr:pic>
      <xdr:nvPicPr>
        <xdr:cNvPr id="11" name="Picture 3">
          <a:extLst>
            <a:ext uri="{FF2B5EF4-FFF2-40B4-BE49-F238E27FC236}">
              <a16:creationId xmlns:a16="http://schemas.microsoft.com/office/drawing/2014/main" id="{00000000-0008-0000-1B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27625" y="157480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205740</xdr:colOff>
      <xdr:row>28</xdr:row>
      <xdr:rowOff>0</xdr:rowOff>
    </xdr:from>
    <xdr:to>
      <xdr:col>17</xdr:col>
      <xdr:colOff>278765</xdr:colOff>
      <xdr:row>28</xdr:row>
      <xdr:rowOff>133350</xdr:rowOff>
    </xdr:to>
    <xdr:pic>
      <xdr:nvPicPr>
        <xdr:cNvPr id="12" name="Picture 3">
          <a:extLst>
            <a:ext uri="{FF2B5EF4-FFF2-40B4-BE49-F238E27FC236}">
              <a16:creationId xmlns:a16="http://schemas.microsoft.com/office/drawing/2014/main" id="{00000000-0008-0000-1B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6560" y="480822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235917</xdr:colOff>
      <xdr:row>3</xdr:row>
      <xdr:rowOff>10583</xdr:rowOff>
    </xdr:from>
    <xdr:to>
      <xdr:col>3</xdr:col>
      <xdr:colOff>296242</xdr:colOff>
      <xdr:row>3</xdr:row>
      <xdr:rowOff>115358</xdr:rowOff>
    </xdr:to>
    <xdr:pic>
      <xdr:nvPicPr>
        <xdr:cNvPr id="13" name="Picture 3">
          <a:extLst>
            <a:ext uri="{FF2B5EF4-FFF2-40B4-BE49-F238E27FC236}">
              <a16:creationId xmlns:a16="http://schemas.microsoft.com/office/drawing/2014/main" id="{00000000-0008-0000-1B00-00000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07365" y="779152"/>
          <a:ext cx="5715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269328</xdr:colOff>
      <xdr:row>171</xdr:row>
      <xdr:rowOff>35144</xdr:rowOff>
    </xdr:from>
    <xdr:to>
      <xdr:col>16</xdr:col>
      <xdr:colOff>45982</xdr:colOff>
      <xdr:row>175</xdr:row>
      <xdr:rowOff>120869</xdr:rowOff>
    </xdr:to>
    <xdr:sp macro="" textlink="">
      <xdr:nvSpPr>
        <xdr:cNvPr id="14" name="AutoShape 1">
          <a:extLst>
            <a:ext uri="{FF2B5EF4-FFF2-40B4-BE49-F238E27FC236}">
              <a16:creationId xmlns:a16="http://schemas.microsoft.com/office/drawing/2014/main" id="{00000000-0008-0000-1B00-00000E000000}"/>
            </a:ext>
          </a:extLst>
        </xdr:cNvPr>
        <xdr:cNvSpPr>
          <a:spLocks/>
        </xdr:cNvSpPr>
      </xdr:nvSpPr>
      <xdr:spPr bwMode="auto">
        <a:xfrm>
          <a:off x="6509845" y="31283713"/>
          <a:ext cx="78827" cy="742622"/>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oneCellAnchor>
    <xdr:from>
      <xdr:col>14</xdr:col>
      <xdr:colOff>149225</xdr:colOff>
      <xdr:row>122</xdr:row>
      <xdr:rowOff>12700</xdr:rowOff>
    </xdr:from>
    <xdr:ext cx="76200" cy="133350"/>
    <xdr:pic>
      <xdr:nvPicPr>
        <xdr:cNvPr id="17" name="Picture 3">
          <a:extLst>
            <a:ext uri="{FF2B5EF4-FFF2-40B4-BE49-F238E27FC236}">
              <a16:creationId xmlns:a16="http://schemas.microsoft.com/office/drawing/2014/main" id="{00000000-0008-0000-1B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97964" y="156983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152400</xdr:colOff>
      <xdr:row>128</xdr:row>
      <xdr:rowOff>31750</xdr:rowOff>
    </xdr:from>
    <xdr:ext cx="76200" cy="133350"/>
    <xdr:pic>
      <xdr:nvPicPr>
        <xdr:cNvPr id="18" name="Picture 3">
          <a:extLst>
            <a:ext uri="{FF2B5EF4-FFF2-40B4-BE49-F238E27FC236}">
              <a16:creationId xmlns:a16="http://schemas.microsoft.com/office/drawing/2014/main" id="{00000000-0008-0000-1B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8226" y="2408859"/>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180975</xdr:colOff>
      <xdr:row>131</xdr:row>
      <xdr:rowOff>19050</xdr:rowOff>
    </xdr:from>
    <xdr:ext cx="76200" cy="133350"/>
    <xdr:pic>
      <xdr:nvPicPr>
        <xdr:cNvPr id="19" name="Picture 3">
          <a:extLst>
            <a:ext uri="{FF2B5EF4-FFF2-40B4-BE49-F238E27FC236}">
              <a16:creationId xmlns:a16="http://schemas.microsoft.com/office/drawing/2014/main" id="{00000000-0008-0000-1B00-00001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42627" y="2793724"/>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196850</xdr:colOff>
      <xdr:row>136</xdr:row>
      <xdr:rowOff>19050</xdr:rowOff>
    </xdr:from>
    <xdr:ext cx="76200" cy="130037"/>
    <xdr:pic>
      <xdr:nvPicPr>
        <xdr:cNvPr id="20" name="Picture 3">
          <a:extLst>
            <a:ext uri="{FF2B5EF4-FFF2-40B4-BE49-F238E27FC236}">
              <a16:creationId xmlns:a16="http://schemas.microsoft.com/office/drawing/2014/main" id="{00000000-0008-0000-1B00-00001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2046" y="3655115"/>
          <a:ext cx="76200" cy="1300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205740</xdr:colOff>
      <xdr:row>142</xdr:row>
      <xdr:rowOff>0</xdr:rowOff>
    </xdr:from>
    <xdr:ext cx="76200" cy="133350"/>
    <xdr:pic>
      <xdr:nvPicPr>
        <xdr:cNvPr id="23" name="Picture 3">
          <a:extLst>
            <a:ext uri="{FF2B5EF4-FFF2-40B4-BE49-F238E27FC236}">
              <a16:creationId xmlns:a16="http://schemas.microsoft.com/office/drawing/2014/main" id="{00000000-0008-0000-1B00-00001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3849" y="4530587"/>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247342</xdr:colOff>
      <xdr:row>117</xdr:row>
      <xdr:rowOff>33430</xdr:rowOff>
    </xdr:from>
    <xdr:ext cx="57150" cy="104775"/>
    <xdr:pic>
      <xdr:nvPicPr>
        <xdr:cNvPr id="24" name="Picture 3">
          <a:extLst>
            <a:ext uri="{FF2B5EF4-FFF2-40B4-BE49-F238E27FC236}">
              <a16:creationId xmlns:a16="http://schemas.microsoft.com/office/drawing/2014/main" id="{00000000-0008-0000-1B00-00001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8790" y="20469482"/>
          <a:ext cx="5715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7</xdr:col>
      <xdr:colOff>147827</xdr:colOff>
      <xdr:row>11</xdr:row>
      <xdr:rowOff>27214</xdr:rowOff>
    </xdr:from>
    <xdr:to>
      <xdr:col>7</xdr:col>
      <xdr:colOff>237218</xdr:colOff>
      <xdr:row>11</xdr:row>
      <xdr:rowOff>122011</xdr:rowOff>
    </xdr:to>
    <xdr:pic>
      <xdr:nvPicPr>
        <xdr:cNvPr id="25" name="Picture 3">
          <a:extLst>
            <a:ext uri="{FF2B5EF4-FFF2-40B4-BE49-F238E27FC236}">
              <a16:creationId xmlns:a16="http://schemas.microsoft.com/office/drawing/2014/main" id="{00000000-0008-0000-1B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63170" y="2084614"/>
          <a:ext cx="86216" cy="97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152400</xdr:colOff>
      <xdr:row>125</xdr:row>
      <xdr:rowOff>16329</xdr:rowOff>
    </xdr:from>
    <xdr:to>
      <xdr:col>7</xdr:col>
      <xdr:colOff>235441</xdr:colOff>
      <xdr:row>125</xdr:row>
      <xdr:rowOff>114301</xdr:rowOff>
    </xdr:to>
    <xdr:pic>
      <xdr:nvPicPr>
        <xdr:cNvPr id="26" name="Picture 3">
          <a:extLst>
            <a:ext uri="{FF2B5EF4-FFF2-40B4-BE49-F238E27FC236}">
              <a16:creationId xmlns:a16="http://schemas.microsoft.com/office/drawing/2014/main" id="{00000000-0008-0000-1B00-00001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67743" y="21695229"/>
          <a:ext cx="86216" cy="97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141515</xdr:colOff>
      <xdr:row>160</xdr:row>
      <xdr:rowOff>70758</xdr:rowOff>
    </xdr:from>
    <xdr:to>
      <xdr:col>17</xdr:col>
      <xdr:colOff>273952</xdr:colOff>
      <xdr:row>160</xdr:row>
      <xdr:rowOff>181339</xdr:rowOff>
    </xdr:to>
    <xdr:pic>
      <xdr:nvPicPr>
        <xdr:cNvPr id="28" name="Picture 3">
          <a:extLst>
            <a:ext uri="{FF2B5EF4-FFF2-40B4-BE49-F238E27FC236}">
              <a16:creationId xmlns:a16="http://schemas.microsoft.com/office/drawing/2014/main" id="{00000000-0008-0000-1B00-00001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1044" y="27012901"/>
          <a:ext cx="129262" cy="107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262759</xdr:colOff>
      <xdr:row>167</xdr:row>
      <xdr:rowOff>164223</xdr:rowOff>
    </xdr:from>
    <xdr:to>
      <xdr:col>16</xdr:col>
      <xdr:colOff>19708</xdr:colOff>
      <xdr:row>171</xdr:row>
      <xdr:rowOff>0</xdr:rowOff>
    </xdr:to>
    <xdr:sp macro="" textlink="">
      <xdr:nvSpPr>
        <xdr:cNvPr id="29" name="AutoShape 1">
          <a:extLst>
            <a:ext uri="{FF2B5EF4-FFF2-40B4-BE49-F238E27FC236}">
              <a16:creationId xmlns:a16="http://schemas.microsoft.com/office/drawing/2014/main" id="{00000000-0008-0000-1B00-00001D000000}"/>
            </a:ext>
          </a:extLst>
        </xdr:cNvPr>
        <xdr:cNvSpPr>
          <a:spLocks/>
        </xdr:cNvSpPr>
      </xdr:nvSpPr>
      <xdr:spPr bwMode="auto">
        <a:xfrm>
          <a:off x="6503276" y="30755895"/>
          <a:ext cx="59122" cy="492674"/>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oneCellAnchor>
    <xdr:from>
      <xdr:col>3</xdr:col>
      <xdr:colOff>37746</xdr:colOff>
      <xdr:row>118</xdr:row>
      <xdr:rowOff>32329</xdr:rowOff>
    </xdr:from>
    <xdr:ext cx="57150" cy="104775"/>
    <xdr:pic>
      <xdr:nvPicPr>
        <xdr:cNvPr id="30" name="Picture 3">
          <a:extLst>
            <a:ext uri="{FF2B5EF4-FFF2-40B4-BE49-F238E27FC236}">
              <a16:creationId xmlns:a16="http://schemas.microsoft.com/office/drawing/2014/main" id="{00000000-0008-0000-1B00-00001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74446" y="22454179"/>
          <a:ext cx="5715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492125</xdr:colOff>
      <xdr:row>204</xdr:row>
      <xdr:rowOff>63500</xdr:rowOff>
    </xdr:from>
    <xdr:ext cx="76200" cy="133350"/>
    <xdr:pic>
      <xdr:nvPicPr>
        <xdr:cNvPr id="27" name="Picture 3">
          <a:extLst>
            <a:ext uri="{FF2B5EF4-FFF2-40B4-BE49-F238E27FC236}">
              <a16:creationId xmlns:a16="http://schemas.microsoft.com/office/drawing/2014/main" id="{00000000-0008-0000-1B00-00001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27625" y="157480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xdr:from>
      <xdr:col>7</xdr:col>
      <xdr:colOff>36740</xdr:colOff>
      <xdr:row>86</xdr:row>
      <xdr:rowOff>104776</xdr:rowOff>
    </xdr:from>
    <xdr:to>
      <xdr:col>7</xdr:col>
      <xdr:colOff>85724</xdr:colOff>
      <xdr:row>88</xdr:row>
      <xdr:rowOff>142875</xdr:rowOff>
    </xdr:to>
    <xdr:sp macro="" textlink="">
      <xdr:nvSpPr>
        <xdr:cNvPr id="103982" name="AutoShape 7">
          <a:extLst>
            <a:ext uri="{FF2B5EF4-FFF2-40B4-BE49-F238E27FC236}">
              <a16:creationId xmlns:a16="http://schemas.microsoft.com/office/drawing/2014/main" id="{00000000-0008-0000-1C00-00002E960100}"/>
            </a:ext>
          </a:extLst>
        </xdr:cNvPr>
        <xdr:cNvSpPr>
          <a:spLocks/>
        </xdr:cNvSpPr>
      </xdr:nvSpPr>
      <xdr:spPr bwMode="auto">
        <a:xfrm>
          <a:off x="3437165" y="15459076"/>
          <a:ext cx="48984" cy="361949"/>
        </a:xfrm>
        <a:prstGeom prst="rightBrace">
          <a:avLst>
            <a:gd name="adj1" fmla="val 365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5</xdr:col>
      <xdr:colOff>245710</xdr:colOff>
      <xdr:row>5</xdr:row>
      <xdr:rowOff>6460</xdr:rowOff>
    </xdr:from>
    <xdr:to>
      <xdr:col>5</xdr:col>
      <xdr:colOff>321910</xdr:colOff>
      <xdr:row>5</xdr:row>
      <xdr:rowOff>139810</xdr:rowOff>
    </xdr:to>
    <xdr:pic>
      <xdr:nvPicPr>
        <xdr:cNvPr id="103983" name="Picture 3">
          <a:extLst>
            <a:ext uri="{FF2B5EF4-FFF2-40B4-BE49-F238E27FC236}">
              <a16:creationId xmlns:a16="http://schemas.microsoft.com/office/drawing/2014/main" id="{00000000-0008-0000-1C00-00002F96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8922" y="907672"/>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181962</xdr:colOff>
      <xdr:row>4</xdr:row>
      <xdr:rowOff>6717</xdr:rowOff>
    </xdr:from>
    <xdr:to>
      <xdr:col>5</xdr:col>
      <xdr:colOff>258162</xdr:colOff>
      <xdr:row>4</xdr:row>
      <xdr:rowOff>143976</xdr:rowOff>
    </xdr:to>
    <xdr:pic>
      <xdr:nvPicPr>
        <xdr:cNvPr id="103985" name="Picture 3">
          <a:extLst>
            <a:ext uri="{FF2B5EF4-FFF2-40B4-BE49-F238E27FC236}">
              <a16:creationId xmlns:a16="http://schemas.microsoft.com/office/drawing/2014/main" id="{00000000-0008-0000-1C00-00003196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5174" y="746736"/>
          <a:ext cx="76200" cy="1372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581025</xdr:colOff>
      <xdr:row>73</xdr:row>
      <xdr:rowOff>57150</xdr:rowOff>
    </xdr:from>
    <xdr:to>
      <xdr:col>11</xdr:col>
      <xdr:colOff>657225</xdr:colOff>
      <xdr:row>74</xdr:row>
      <xdr:rowOff>28575</xdr:rowOff>
    </xdr:to>
    <xdr:pic>
      <xdr:nvPicPr>
        <xdr:cNvPr id="103986" name="Picture 3">
          <a:extLst>
            <a:ext uri="{FF2B5EF4-FFF2-40B4-BE49-F238E27FC236}">
              <a16:creationId xmlns:a16="http://schemas.microsoft.com/office/drawing/2014/main" id="{00000000-0008-0000-1C00-00003296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128111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590550</xdr:colOff>
      <xdr:row>76</xdr:row>
      <xdr:rowOff>57150</xdr:rowOff>
    </xdr:from>
    <xdr:to>
      <xdr:col>11</xdr:col>
      <xdr:colOff>666750</xdr:colOff>
      <xdr:row>77</xdr:row>
      <xdr:rowOff>19051</xdr:rowOff>
    </xdr:to>
    <xdr:pic>
      <xdr:nvPicPr>
        <xdr:cNvPr id="103987" name="Picture 3">
          <a:extLst>
            <a:ext uri="{FF2B5EF4-FFF2-40B4-BE49-F238E27FC236}">
              <a16:creationId xmlns:a16="http://schemas.microsoft.com/office/drawing/2014/main" id="{00000000-0008-0000-1C00-00003396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3150" y="1081087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149881</xdr:colOff>
      <xdr:row>3</xdr:row>
      <xdr:rowOff>31531</xdr:rowOff>
    </xdr:from>
    <xdr:to>
      <xdr:col>6</xdr:col>
      <xdr:colOff>226081</xdr:colOff>
      <xdr:row>3</xdr:row>
      <xdr:rowOff>164881</xdr:rowOff>
    </xdr:to>
    <xdr:pic>
      <xdr:nvPicPr>
        <xdr:cNvPr id="8" name="Picture 3">
          <a:extLst>
            <a:ext uri="{FF2B5EF4-FFF2-40B4-BE49-F238E27FC236}">
              <a16:creationId xmlns:a16="http://schemas.microsoft.com/office/drawing/2014/main" id="{00000000-0008-0000-1C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10720" y="589424"/>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9</xdr:col>
      <xdr:colOff>499241</xdr:colOff>
      <xdr:row>90</xdr:row>
      <xdr:rowOff>0</xdr:rowOff>
    </xdr:from>
    <xdr:to>
      <xdr:col>9</xdr:col>
      <xdr:colOff>586154</xdr:colOff>
      <xdr:row>93</xdr:row>
      <xdr:rowOff>80596</xdr:rowOff>
    </xdr:to>
    <xdr:sp macro="" textlink="">
      <xdr:nvSpPr>
        <xdr:cNvPr id="124010" name="AutoShape 1">
          <a:extLst>
            <a:ext uri="{FF2B5EF4-FFF2-40B4-BE49-F238E27FC236}">
              <a16:creationId xmlns:a16="http://schemas.microsoft.com/office/drawing/2014/main" id="{00000000-0008-0000-1D00-00006AE40100}"/>
            </a:ext>
          </a:extLst>
        </xdr:cNvPr>
        <xdr:cNvSpPr>
          <a:spLocks/>
        </xdr:cNvSpPr>
      </xdr:nvSpPr>
      <xdr:spPr bwMode="auto">
        <a:xfrm>
          <a:off x="4624551" y="15423931"/>
          <a:ext cx="86913" cy="586406"/>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75786</xdr:colOff>
      <xdr:row>48</xdr:row>
      <xdr:rowOff>66675</xdr:rowOff>
    </xdr:from>
    <xdr:to>
      <xdr:col>10</xdr:col>
      <xdr:colOff>151986</xdr:colOff>
      <xdr:row>51</xdr:row>
      <xdr:rowOff>9525</xdr:rowOff>
    </xdr:to>
    <xdr:sp macro="" textlink="">
      <xdr:nvSpPr>
        <xdr:cNvPr id="124011" name="AutoShape 2">
          <a:extLst>
            <a:ext uri="{FF2B5EF4-FFF2-40B4-BE49-F238E27FC236}">
              <a16:creationId xmlns:a16="http://schemas.microsoft.com/office/drawing/2014/main" id="{00000000-0008-0000-1D00-00006BE40100}"/>
            </a:ext>
          </a:extLst>
        </xdr:cNvPr>
        <xdr:cNvSpPr>
          <a:spLocks/>
        </xdr:cNvSpPr>
      </xdr:nvSpPr>
      <xdr:spPr bwMode="auto">
        <a:xfrm>
          <a:off x="5169590" y="9368045"/>
          <a:ext cx="76200" cy="456371"/>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15</xdr:col>
      <xdr:colOff>428625</xdr:colOff>
      <xdr:row>57</xdr:row>
      <xdr:rowOff>28575</xdr:rowOff>
    </xdr:from>
    <xdr:to>
      <xdr:col>16</xdr:col>
      <xdr:colOff>656</xdr:colOff>
      <xdr:row>58</xdr:row>
      <xdr:rowOff>228927</xdr:rowOff>
    </xdr:to>
    <xdr:pic>
      <xdr:nvPicPr>
        <xdr:cNvPr id="124016" name="Picture 7" descr="E:\My Documents\Excel\03_1040\Pencil - Blue.jpg">
          <a:extLst>
            <a:ext uri="{FF2B5EF4-FFF2-40B4-BE49-F238E27FC236}">
              <a16:creationId xmlns:a16="http://schemas.microsoft.com/office/drawing/2014/main" id="{00000000-0008-0000-1D00-000070E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3900" y="10201275"/>
          <a:ext cx="353081" cy="36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457200</xdr:colOff>
      <xdr:row>34</xdr:row>
      <xdr:rowOff>231775</xdr:rowOff>
    </xdr:from>
    <xdr:to>
      <xdr:col>16</xdr:col>
      <xdr:colOff>28575</xdr:colOff>
      <xdr:row>34</xdr:row>
      <xdr:rowOff>593726</xdr:rowOff>
    </xdr:to>
    <xdr:pic>
      <xdr:nvPicPr>
        <xdr:cNvPr id="124017" name="Picture 8" descr="E:\My Documents\Excel\03_1040\Pencil - Blue.jpg">
          <a:extLst>
            <a:ext uri="{FF2B5EF4-FFF2-40B4-BE49-F238E27FC236}">
              <a16:creationId xmlns:a16="http://schemas.microsoft.com/office/drawing/2014/main" id="{00000000-0008-0000-1D00-000071E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9638" y="6232525"/>
          <a:ext cx="349250"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25400</xdr:colOff>
      <xdr:row>45</xdr:row>
      <xdr:rowOff>44450</xdr:rowOff>
    </xdr:from>
    <xdr:to>
      <xdr:col>14</xdr:col>
      <xdr:colOff>127000</xdr:colOff>
      <xdr:row>51</xdr:row>
      <xdr:rowOff>25400</xdr:rowOff>
    </xdr:to>
    <xdr:sp macro="" textlink="">
      <xdr:nvSpPr>
        <xdr:cNvPr id="14" name="AutoShape 2">
          <a:extLst>
            <a:ext uri="{FF2B5EF4-FFF2-40B4-BE49-F238E27FC236}">
              <a16:creationId xmlns:a16="http://schemas.microsoft.com/office/drawing/2014/main" id="{00000000-0008-0000-1D00-00000E000000}"/>
            </a:ext>
          </a:extLst>
        </xdr:cNvPr>
        <xdr:cNvSpPr>
          <a:spLocks/>
        </xdr:cNvSpPr>
      </xdr:nvSpPr>
      <xdr:spPr bwMode="auto">
        <a:xfrm flipH="1">
          <a:off x="7696200" y="2070100"/>
          <a:ext cx="101600" cy="996950"/>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512380</xdr:colOff>
      <xdr:row>108</xdr:row>
      <xdr:rowOff>161925</xdr:rowOff>
    </xdr:from>
    <xdr:to>
      <xdr:col>9</xdr:col>
      <xdr:colOff>619126</xdr:colOff>
      <xdr:row>112</xdr:row>
      <xdr:rowOff>104775</xdr:rowOff>
    </xdr:to>
    <xdr:sp macro="" textlink="">
      <xdr:nvSpPr>
        <xdr:cNvPr id="15" name="AutoShape 1">
          <a:extLst>
            <a:ext uri="{FF2B5EF4-FFF2-40B4-BE49-F238E27FC236}">
              <a16:creationId xmlns:a16="http://schemas.microsoft.com/office/drawing/2014/main" id="{00000000-0008-0000-1D00-00000F000000}"/>
            </a:ext>
          </a:extLst>
        </xdr:cNvPr>
        <xdr:cNvSpPr>
          <a:spLocks/>
        </xdr:cNvSpPr>
      </xdr:nvSpPr>
      <xdr:spPr bwMode="auto">
        <a:xfrm>
          <a:off x="4637690" y="17753615"/>
          <a:ext cx="106746" cy="632591"/>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312807</xdr:colOff>
      <xdr:row>37</xdr:row>
      <xdr:rowOff>116233</xdr:rowOff>
    </xdr:from>
    <xdr:to>
      <xdr:col>11</xdr:col>
      <xdr:colOff>95802</xdr:colOff>
      <xdr:row>43</xdr:row>
      <xdr:rowOff>122583</xdr:rowOff>
    </xdr:to>
    <xdr:sp macro="" textlink="">
      <xdr:nvSpPr>
        <xdr:cNvPr id="16" name="AutoShape 2">
          <a:extLst>
            <a:ext uri="{FF2B5EF4-FFF2-40B4-BE49-F238E27FC236}">
              <a16:creationId xmlns:a16="http://schemas.microsoft.com/office/drawing/2014/main" id="{00000000-0008-0000-1D00-000010000000}"/>
            </a:ext>
          </a:extLst>
        </xdr:cNvPr>
        <xdr:cNvSpPr>
          <a:spLocks/>
        </xdr:cNvSpPr>
      </xdr:nvSpPr>
      <xdr:spPr bwMode="auto">
        <a:xfrm>
          <a:off x="5406611" y="7570581"/>
          <a:ext cx="114300" cy="1000263"/>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9523</xdr:colOff>
      <xdr:row>3</xdr:row>
      <xdr:rowOff>104773</xdr:rowOff>
    </xdr:from>
    <xdr:to>
      <xdr:col>17</xdr:col>
      <xdr:colOff>428625</xdr:colOff>
      <xdr:row>3</xdr:row>
      <xdr:rowOff>104775</xdr:rowOff>
    </xdr:to>
    <xdr:sp macro="" textlink="">
      <xdr:nvSpPr>
        <xdr:cNvPr id="31" name="Line 3">
          <a:extLst>
            <a:ext uri="{FF2B5EF4-FFF2-40B4-BE49-F238E27FC236}">
              <a16:creationId xmlns:a16="http://schemas.microsoft.com/office/drawing/2014/main" id="{00000000-0008-0000-1D00-00001F000000}"/>
            </a:ext>
          </a:extLst>
        </xdr:cNvPr>
        <xdr:cNvSpPr>
          <a:spLocks noChangeShapeType="1"/>
        </xdr:cNvSpPr>
      </xdr:nvSpPr>
      <xdr:spPr bwMode="auto">
        <a:xfrm flipH="1" flipV="1">
          <a:off x="8810623" y="790573"/>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533400</xdr:colOff>
      <xdr:row>97</xdr:row>
      <xdr:rowOff>85725</xdr:rowOff>
    </xdr:from>
    <xdr:to>
      <xdr:col>9</xdr:col>
      <xdr:colOff>619125</xdr:colOff>
      <xdr:row>100</xdr:row>
      <xdr:rowOff>38100</xdr:rowOff>
    </xdr:to>
    <xdr:sp macro="" textlink="">
      <xdr:nvSpPr>
        <xdr:cNvPr id="41" name="AutoShape 1">
          <a:extLst>
            <a:ext uri="{FF2B5EF4-FFF2-40B4-BE49-F238E27FC236}">
              <a16:creationId xmlns:a16="http://schemas.microsoft.com/office/drawing/2014/main" id="{00000000-0008-0000-1D00-000029000000}"/>
            </a:ext>
          </a:extLst>
        </xdr:cNvPr>
        <xdr:cNvSpPr>
          <a:spLocks/>
        </xdr:cNvSpPr>
      </xdr:nvSpPr>
      <xdr:spPr bwMode="auto">
        <a:xfrm>
          <a:off x="4829175" y="16592550"/>
          <a:ext cx="85725" cy="457200"/>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19050</xdr:colOff>
      <xdr:row>4</xdr:row>
      <xdr:rowOff>114300</xdr:rowOff>
    </xdr:from>
    <xdr:to>
      <xdr:col>17</xdr:col>
      <xdr:colOff>438152</xdr:colOff>
      <xdr:row>4</xdr:row>
      <xdr:rowOff>114302</xdr:rowOff>
    </xdr:to>
    <xdr:sp macro="" textlink="">
      <xdr:nvSpPr>
        <xdr:cNvPr id="42" name="Line 3">
          <a:extLst>
            <a:ext uri="{FF2B5EF4-FFF2-40B4-BE49-F238E27FC236}">
              <a16:creationId xmlns:a16="http://schemas.microsoft.com/office/drawing/2014/main" id="{00000000-0008-0000-1D00-00002A000000}"/>
            </a:ext>
          </a:extLst>
        </xdr:cNvPr>
        <xdr:cNvSpPr>
          <a:spLocks noChangeShapeType="1"/>
        </xdr:cNvSpPr>
      </xdr:nvSpPr>
      <xdr:spPr bwMode="auto">
        <a:xfrm flipH="1" flipV="1">
          <a:off x="8820150" y="101917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5</xdr:row>
      <xdr:rowOff>114300</xdr:rowOff>
    </xdr:from>
    <xdr:to>
      <xdr:col>17</xdr:col>
      <xdr:colOff>438152</xdr:colOff>
      <xdr:row>5</xdr:row>
      <xdr:rowOff>114302</xdr:rowOff>
    </xdr:to>
    <xdr:sp macro="" textlink="">
      <xdr:nvSpPr>
        <xdr:cNvPr id="43" name="Line 3">
          <a:extLst>
            <a:ext uri="{FF2B5EF4-FFF2-40B4-BE49-F238E27FC236}">
              <a16:creationId xmlns:a16="http://schemas.microsoft.com/office/drawing/2014/main" id="{00000000-0008-0000-1D00-00002B000000}"/>
            </a:ext>
          </a:extLst>
        </xdr:cNvPr>
        <xdr:cNvSpPr>
          <a:spLocks noChangeShapeType="1"/>
        </xdr:cNvSpPr>
      </xdr:nvSpPr>
      <xdr:spPr bwMode="auto">
        <a:xfrm flipH="1" flipV="1">
          <a:off x="8820150" y="119062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6</xdr:row>
      <xdr:rowOff>95250</xdr:rowOff>
    </xdr:from>
    <xdr:to>
      <xdr:col>17</xdr:col>
      <xdr:colOff>438152</xdr:colOff>
      <xdr:row>6</xdr:row>
      <xdr:rowOff>95252</xdr:rowOff>
    </xdr:to>
    <xdr:sp macro="" textlink="">
      <xdr:nvSpPr>
        <xdr:cNvPr id="44" name="Line 3">
          <a:extLst>
            <a:ext uri="{FF2B5EF4-FFF2-40B4-BE49-F238E27FC236}">
              <a16:creationId xmlns:a16="http://schemas.microsoft.com/office/drawing/2014/main" id="{00000000-0008-0000-1D00-00002C000000}"/>
            </a:ext>
          </a:extLst>
        </xdr:cNvPr>
        <xdr:cNvSpPr>
          <a:spLocks noChangeShapeType="1"/>
        </xdr:cNvSpPr>
      </xdr:nvSpPr>
      <xdr:spPr bwMode="auto">
        <a:xfrm flipH="1" flipV="1">
          <a:off x="8820150" y="134302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7</xdr:row>
      <xdr:rowOff>104775</xdr:rowOff>
    </xdr:from>
    <xdr:to>
      <xdr:col>17</xdr:col>
      <xdr:colOff>438152</xdr:colOff>
      <xdr:row>7</xdr:row>
      <xdr:rowOff>104777</xdr:rowOff>
    </xdr:to>
    <xdr:sp macro="" textlink="">
      <xdr:nvSpPr>
        <xdr:cNvPr id="45" name="Line 3">
          <a:extLst>
            <a:ext uri="{FF2B5EF4-FFF2-40B4-BE49-F238E27FC236}">
              <a16:creationId xmlns:a16="http://schemas.microsoft.com/office/drawing/2014/main" id="{00000000-0008-0000-1D00-00002D000000}"/>
            </a:ext>
          </a:extLst>
        </xdr:cNvPr>
        <xdr:cNvSpPr>
          <a:spLocks noChangeShapeType="1"/>
        </xdr:cNvSpPr>
      </xdr:nvSpPr>
      <xdr:spPr bwMode="auto">
        <a:xfrm flipH="1" flipV="1">
          <a:off x="8820150" y="152400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0</xdr:colOff>
      <xdr:row>45</xdr:row>
      <xdr:rowOff>95250</xdr:rowOff>
    </xdr:from>
    <xdr:to>
      <xdr:col>17</xdr:col>
      <xdr:colOff>419102</xdr:colOff>
      <xdr:row>45</xdr:row>
      <xdr:rowOff>95252</xdr:rowOff>
    </xdr:to>
    <xdr:sp macro="" textlink="">
      <xdr:nvSpPr>
        <xdr:cNvPr id="46" name="Line 3">
          <a:extLst>
            <a:ext uri="{FF2B5EF4-FFF2-40B4-BE49-F238E27FC236}">
              <a16:creationId xmlns:a16="http://schemas.microsoft.com/office/drawing/2014/main" id="{00000000-0008-0000-1D00-00002E000000}"/>
            </a:ext>
          </a:extLst>
        </xdr:cNvPr>
        <xdr:cNvSpPr>
          <a:spLocks noChangeShapeType="1"/>
        </xdr:cNvSpPr>
      </xdr:nvSpPr>
      <xdr:spPr bwMode="auto">
        <a:xfrm flipH="1" flipV="1">
          <a:off x="8801100" y="825817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9525</xdr:colOff>
      <xdr:row>47</xdr:row>
      <xdr:rowOff>95250</xdr:rowOff>
    </xdr:from>
    <xdr:to>
      <xdr:col>17</xdr:col>
      <xdr:colOff>428627</xdr:colOff>
      <xdr:row>47</xdr:row>
      <xdr:rowOff>95252</xdr:rowOff>
    </xdr:to>
    <xdr:sp macro="" textlink="">
      <xdr:nvSpPr>
        <xdr:cNvPr id="47" name="Line 3">
          <a:extLst>
            <a:ext uri="{FF2B5EF4-FFF2-40B4-BE49-F238E27FC236}">
              <a16:creationId xmlns:a16="http://schemas.microsoft.com/office/drawing/2014/main" id="{00000000-0008-0000-1D00-00002F000000}"/>
            </a:ext>
          </a:extLst>
        </xdr:cNvPr>
        <xdr:cNvSpPr>
          <a:spLocks noChangeShapeType="1"/>
        </xdr:cNvSpPr>
      </xdr:nvSpPr>
      <xdr:spPr bwMode="auto">
        <a:xfrm flipH="1" flipV="1">
          <a:off x="8810625" y="859155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9525</xdr:colOff>
      <xdr:row>50</xdr:row>
      <xdr:rowOff>85725</xdr:rowOff>
    </xdr:from>
    <xdr:to>
      <xdr:col>17</xdr:col>
      <xdr:colOff>428627</xdr:colOff>
      <xdr:row>50</xdr:row>
      <xdr:rowOff>85727</xdr:rowOff>
    </xdr:to>
    <xdr:sp macro="" textlink="">
      <xdr:nvSpPr>
        <xdr:cNvPr id="48" name="Line 3">
          <a:extLst>
            <a:ext uri="{FF2B5EF4-FFF2-40B4-BE49-F238E27FC236}">
              <a16:creationId xmlns:a16="http://schemas.microsoft.com/office/drawing/2014/main" id="{00000000-0008-0000-1D00-000030000000}"/>
            </a:ext>
          </a:extLst>
        </xdr:cNvPr>
        <xdr:cNvSpPr>
          <a:spLocks noChangeShapeType="1"/>
        </xdr:cNvSpPr>
      </xdr:nvSpPr>
      <xdr:spPr bwMode="auto">
        <a:xfrm flipH="1" flipV="1">
          <a:off x="8810625" y="908685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0</xdr:colOff>
      <xdr:row>52</xdr:row>
      <xdr:rowOff>104775</xdr:rowOff>
    </xdr:from>
    <xdr:to>
      <xdr:col>17</xdr:col>
      <xdr:colOff>419102</xdr:colOff>
      <xdr:row>52</xdr:row>
      <xdr:rowOff>104777</xdr:rowOff>
    </xdr:to>
    <xdr:sp macro="" textlink="">
      <xdr:nvSpPr>
        <xdr:cNvPr id="49" name="Line 3">
          <a:extLst>
            <a:ext uri="{FF2B5EF4-FFF2-40B4-BE49-F238E27FC236}">
              <a16:creationId xmlns:a16="http://schemas.microsoft.com/office/drawing/2014/main" id="{00000000-0008-0000-1D00-000031000000}"/>
            </a:ext>
          </a:extLst>
        </xdr:cNvPr>
        <xdr:cNvSpPr>
          <a:spLocks noChangeShapeType="1"/>
        </xdr:cNvSpPr>
      </xdr:nvSpPr>
      <xdr:spPr bwMode="auto">
        <a:xfrm flipH="1" flipV="1">
          <a:off x="8801100" y="944880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441813</xdr:colOff>
      <xdr:row>48</xdr:row>
      <xdr:rowOff>146538</xdr:rowOff>
    </xdr:from>
    <xdr:to>
      <xdr:col>18</xdr:col>
      <xdr:colOff>15874</xdr:colOff>
      <xdr:row>52</xdr:row>
      <xdr:rowOff>6594</xdr:rowOff>
    </xdr:to>
    <xdr:sp macro="" textlink="">
      <xdr:nvSpPr>
        <xdr:cNvPr id="51" name="AutoShape 2">
          <a:extLst>
            <a:ext uri="{FF2B5EF4-FFF2-40B4-BE49-F238E27FC236}">
              <a16:creationId xmlns:a16="http://schemas.microsoft.com/office/drawing/2014/main" id="{00000000-0008-0000-1D00-000033000000}"/>
            </a:ext>
          </a:extLst>
        </xdr:cNvPr>
        <xdr:cNvSpPr>
          <a:spLocks/>
        </xdr:cNvSpPr>
      </xdr:nvSpPr>
      <xdr:spPr bwMode="auto">
        <a:xfrm flipH="1">
          <a:off x="9395313" y="8901601"/>
          <a:ext cx="58249" cy="558556"/>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107146</xdr:colOff>
      <xdr:row>0</xdr:row>
      <xdr:rowOff>47625</xdr:rowOff>
    </xdr:from>
    <xdr:to>
      <xdr:col>13</xdr:col>
      <xdr:colOff>485258</xdr:colOff>
      <xdr:row>1</xdr:row>
      <xdr:rowOff>190499</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2"/>
        <a:stretch>
          <a:fillRect/>
        </a:stretch>
      </xdr:blipFill>
      <xdr:spPr>
        <a:xfrm>
          <a:off x="7060396" y="47625"/>
          <a:ext cx="378112" cy="38099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8</xdr:col>
      <xdr:colOff>223600</xdr:colOff>
      <xdr:row>5</xdr:row>
      <xdr:rowOff>21889</xdr:rowOff>
    </xdr:from>
    <xdr:to>
      <xdr:col>9</xdr:col>
      <xdr:colOff>52150</xdr:colOff>
      <xdr:row>5</xdr:row>
      <xdr:rowOff>127855</xdr:rowOff>
    </xdr:to>
    <xdr:sp macro="" textlink="">
      <xdr:nvSpPr>
        <xdr:cNvPr id="17" name="AutoShape 85">
          <a:extLst>
            <a:ext uri="{FF2B5EF4-FFF2-40B4-BE49-F238E27FC236}">
              <a16:creationId xmlns:a16="http://schemas.microsoft.com/office/drawing/2014/main" id="{00000000-0008-0000-1E00-000011000000}"/>
            </a:ext>
          </a:extLst>
        </xdr:cNvPr>
        <xdr:cNvSpPr>
          <a:spLocks noChangeArrowheads="1"/>
        </xdr:cNvSpPr>
      </xdr:nvSpPr>
      <xdr:spPr bwMode="auto">
        <a:xfrm rot="5400000">
          <a:off x="2063976" y="1236568"/>
          <a:ext cx="105966" cy="7549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82826</xdr:colOff>
      <xdr:row>43</xdr:row>
      <xdr:rowOff>33132</xdr:rowOff>
    </xdr:from>
    <xdr:to>
      <xdr:col>6</xdr:col>
      <xdr:colOff>159855</xdr:colOff>
      <xdr:row>43</xdr:row>
      <xdr:rowOff>139098</xdr:rowOff>
    </xdr:to>
    <xdr:sp macro="" textlink="">
      <xdr:nvSpPr>
        <xdr:cNvPr id="18" name="AutoShape 85">
          <a:extLst>
            <a:ext uri="{FF2B5EF4-FFF2-40B4-BE49-F238E27FC236}">
              <a16:creationId xmlns:a16="http://schemas.microsoft.com/office/drawing/2014/main" id="{00000000-0008-0000-1E00-000012000000}"/>
            </a:ext>
          </a:extLst>
        </xdr:cNvPr>
        <xdr:cNvSpPr>
          <a:spLocks noChangeArrowheads="1"/>
        </xdr:cNvSpPr>
      </xdr:nvSpPr>
      <xdr:spPr bwMode="auto">
        <a:xfrm rot="5400000">
          <a:off x="1484684" y="8098296"/>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72058</xdr:colOff>
      <xdr:row>4</xdr:row>
      <xdr:rowOff>24852</xdr:rowOff>
    </xdr:from>
    <xdr:to>
      <xdr:col>11</xdr:col>
      <xdr:colOff>149087</xdr:colOff>
      <xdr:row>4</xdr:row>
      <xdr:rowOff>130818</xdr:rowOff>
    </xdr:to>
    <xdr:sp macro="" textlink="">
      <xdr:nvSpPr>
        <xdr:cNvPr id="19" name="AutoShape 85">
          <a:extLst>
            <a:ext uri="{FF2B5EF4-FFF2-40B4-BE49-F238E27FC236}">
              <a16:creationId xmlns:a16="http://schemas.microsoft.com/office/drawing/2014/main" id="{00000000-0008-0000-1E00-000013000000}"/>
            </a:ext>
          </a:extLst>
        </xdr:cNvPr>
        <xdr:cNvSpPr>
          <a:spLocks noChangeArrowheads="1"/>
        </xdr:cNvSpPr>
      </xdr:nvSpPr>
      <xdr:spPr bwMode="auto">
        <a:xfrm rot="5400000">
          <a:off x="2657915" y="1029920"/>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32</xdr:col>
      <xdr:colOff>146632</xdr:colOff>
      <xdr:row>118</xdr:row>
      <xdr:rowOff>10739</xdr:rowOff>
    </xdr:from>
    <xdr:to>
      <xdr:col>32</xdr:col>
      <xdr:colOff>223661</xdr:colOff>
      <xdr:row>118</xdr:row>
      <xdr:rowOff>116705</xdr:rowOff>
    </xdr:to>
    <xdr:sp macro="" textlink="">
      <xdr:nvSpPr>
        <xdr:cNvPr id="20" name="AutoShape 85">
          <a:extLst>
            <a:ext uri="{FF2B5EF4-FFF2-40B4-BE49-F238E27FC236}">
              <a16:creationId xmlns:a16="http://schemas.microsoft.com/office/drawing/2014/main" id="{00000000-0008-0000-1E00-000014000000}"/>
            </a:ext>
          </a:extLst>
        </xdr:cNvPr>
        <xdr:cNvSpPr>
          <a:spLocks noChangeArrowheads="1"/>
        </xdr:cNvSpPr>
      </xdr:nvSpPr>
      <xdr:spPr bwMode="auto">
        <a:xfrm rot="5400000">
          <a:off x="6841997" y="21629318"/>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223600</xdr:colOff>
      <xdr:row>132</xdr:row>
      <xdr:rowOff>21889</xdr:rowOff>
    </xdr:from>
    <xdr:to>
      <xdr:col>9</xdr:col>
      <xdr:colOff>52150</xdr:colOff>
      <xdr:row>132</xdr:row>
      <xdr:rowOff>127855</xdr:rowOff>
    </xdr:to>
    <xdr:sp macro="" textlink="">
      <xdr:nvSpPr>
        <xdr:cNvPr id="6" name="AutoShape 85">
          <a:extLst>
            <a:ext uri="{FF2B5EF4-FFF2-40B4-BE49-F238E27FC236}">
              <a16:creationId xmlns:a16="http://schemas.microsoft.com/office/drawing/2014/main" id="{00000000-0008-0000-1E00-000006000000}"/>
            </a:ext>
          </a:extLst>
        </xdr:cNvPr>
        <xdr:cNvSpPr>
          <a:spLocks noChangeArrowheads="1"/>
        </xdr:cNvSpPr>
      </xdr:nvSpPr>
      <xdr:spPr bwMode="auto">
        <a:xfrm rot="5400000">
          <a:off x="2085142" y="1160722"/>
          <a:ext cx="105966"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82826</xdr:colOff>
      <xdr:row>170</xdr:row>
      <xdr:rowOff>33132</xdr:rowOff>
    </xdr:from>
    <xdr:to>
      <xdr:col>6</xdr:col>
      <xdr:colOff>159855</xdr:colOff>
      <xdr:row>170</xdr:row>
      <xdr:rowOff>139098</xdr:rowOff>
    </xdr:to>
    <xdr:sp macro="" textlink="">
      <xdr:nvSpPr>
        <xdr:cNvPr id="7" name="AutoShape 85">
          <a:extLst>
            <a:ext uri="{FF2B5EF4-FFF2-40B4-BE49-F238E27FC236}">
              <a16:creationId xmlns:a16="http://schemas.microsoft.com/office/drawing/2014/main" id="{00000000-0008-0000-1E00-000007000000}"/>
            </a:ext>
          </a:extLst>
        </xdr:cNvPr>
        <xdr:cNvSpPr>
          <a:spLocks noChangeArrowheads="1"/>
        </xdr:cNvSpPr>
      </xdr:nvSpPr>
      <xdr:spPr bwMode="auto">
        <a:xfrm rot="5400000">
          <a:off x="1468533" y="8162900"/>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32</xdr:col>
      <xdr:colOff>146632</xdr:colOff>
      <xdr:row>245</xdr:row>
      <xdr:rowOff>10739</xdr:rowOff>
    </xdr:from>
    <xdr:to>
      <xdr:col>32</xdr:col>
      <xdr:colOff>223661</xdr:colOff>
      <xdr:row>245</xdr:row>
      <xdr:rowOff>116705</xdr:rowOff>
    </xdr:to>
    <xdr:sp macro="" textlink="">
      <xdr:nvSpPr>
        <xdr:cNvPr id="9" name="AutoShape 85">
          <a:extLst>
            <a:ext uri="{FF2B5EF4-FFF2-40B4-BE49-F238E27FC236}">
              <a16:creationId xmlns:a16="http://schemas.microsoft.com/office/drawing/2014/main" id="{00000000-0008-0000-1E00-000009000000}"/>
            </a:ext>
          </a:extLst>
        </xdr:cNvPr>
        <xdr:cNvSpPr>
          <a:spLocks noChangeArrowheads="1"/>
        </xdr:cNvSpPr>
      </xdr:nvSpPr>
      <xdr:spPr bwMode="auto">
        <a:xfrm rot="5400000">
          <a:off x="6837764" y="21504082"/>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223600</xdr:colOff>
      <xdr:row>132</xdr:row>
      <xdr:rowOff>21889</xdr:rowOff>
    </xdr:from>
    <xdr:to>
      <xdr:col>9</xdr:col>
      <xdr:colOff>52150</xdr:colOff>
      <xdr:row>132</xdr:row>
      <xdr:rowOff>127855</xdr:rowOff>
    </xdr:to>
    <xdr:sp macro="" textlink="">
      <xdr:nvSpPr>
        <xdr:cNvPr id="10" name="AutoShape 85">
          <a:extLst>
            <a:ext uri="{FF2B5EF4-FFF2-40B4-BE49-F238E27FC236}">
              <a16:creationId xmlns:a16="http://schemas.microsoft.com/office/drawing/2014/main" id="{00000000-0008-0000-1E00-00000A000000}"/>
            </a:ext>
          </a:extLst>
        </xdr:cNvPr>
        <xdr:cNvSpPr>
          <a:spLocks noChangeArrowheads="1"/>
        </xdr:cNvSpPr>
      </xdr:nvSpPr>
      <xdr:spPr bwMode="auto">
        <a:xfrm rot="5400000">
          <a:off x="2077815" y="1186366"/>
          <a:ext cx="105966" cy="7766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72058</xdr:colOff>
      <xdr:row>131</xdr:row>
      <xdr:rowOff>24852</xdr:rowOff>
    </xdr:from>
    <xdr:to>
      <xdr:col>11</xdr:col>
      <xdr:colOff>149087</xdr:colOff>
      <xdr:row>131</xdr:row>
      <xdr:rowOff>130818</xdr:rowOff>
    </xdr:to>
    <xdr:sp macro="" textlink="">
      <xdr:nvSpPr>
        <xdr:cNvPr id="11" name="AutoShape 85">
          <a:extLst>
            <a:ext uri="{FF2B5EF4-FFF2-40B4-BE49-F238E27FC236}">
              <a16:creationId xmlns:a16="http://schemas.microsoft.com/office/drawing/2014/main" id="{00000000-0008-0000-1E00-00000B000000}"/>
            </a:ext>
          </a:extLst>
        </xdr:cNvPr>
        <xdr:cNvSpPr>
          <a:spLocks noChangeArrowheads="1"/>
        </xdr:cNvSpPr>
      </xdr:nvSpPr>
      <xdr:spPr bwMode="auto">
        <a:xfrm rot="5400000">
          <a:off x="2651321" y="1028455"/>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xdr:from>
      <xdr:col>8</xdr:col>
      <xdr:colOff>223600</xdr:colOff>
      <xdr:row>5</xdr:row>
      <xdr:rowOff>21889</xdr:rowOff>
    </xdr:from>
    <xdr:to>
      <xdr:col>9</xdr:col>
      <xdr:colOff>52150</xdr:colOff>
      <xdr:row>5</xdr:row>
      <xdr:rowOff>127855</xdr:rowOff>
    </xdr:to>
    <xdr:sp macro="" textlink="">
      <xdr:nvSpPr>
        <xdr:cNvPr id="2" name="AutoShape 85">
          <a:extLst>
            <a:ext uri="{FF2B5EF4-FFF2-40B4-BE49-F238E27FC236}">
              <a16:creationId xmlns:a16="http://schemas.microsoft.com/office/drawing/2014/main" id="{F15E9CE0-3BE8-4737-8503-5CF4ABE9E657}"/>
            </a:ext>
          </a:extLst>
        </xdr:cNvPr>
        <xdr:cNvSpPr>
          <a:spLocks noChangeArrowheads="1"/>
        </xdr:cNvSpPr>
      </xdr:nvSpPr>
      <xdr:spPr bwMode="auto">
        <a:xfrm rot="5400000">
          <a:off x="2085142" y="1189297"/>
          <a:ext cx="105966"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82826</xdr:colOff>
      <xdr:row>43</xdr:row>
      <xdr:rowOff>33132</xdr:rowOff>
    </xdr:from>
    <xdr:to>
      <xdr:col>6</xdr:col>
      <xdr:colOff>159855</xdr:colOff>
      <xdr:row>43</xdr:row>
      <xdr:rowOff>139098</xdr:rowOff>
    </xdr:to>
    <xdr:sp macro="" textlink="">
      <xdr:nvSpPr>
        <xdr:cNvPr id="3" name="AutoShape 85">
          <a:extLst>
            <a:ext uri="{FF2B5EF4-FFF2-40B4-BE49-F238E27FC236}">
              <a16:creationId xmlns:a16="http://schemas.microsoft.com/office/drawing/2014/main" id="{A6558C43-6D05-47DE-84FC-EC0C91C72564}"/>
            </a:ext>
          </a:extLst>
        </xdr:cNvPr>
        <xdr:cNvSpPr>
          <a:spLocks noChangeArrowheads="1"/>
        </xdr:cNvSpPr>
      </xdr:nvSpPr>
      <xdr:spPr bwMode="auto">
        <a:xfrm rot="5400000">
          <a:off x="1468533" y="8220050"/>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72058</xdr:colOff>
      <xdr:row>4</xdr:row>
      <xdr:rowOff>24852</xdr:rowOff>
    </xdr:from>
    <xdr:to>
      <xdr:col>11</xdr:col>
      <xdr:colOff>149087</xdr:colOff>
      <xdr:row>4</xdr:row>
      <xdr:rowOff>130818</xdr:rowOff>
    </xdr:to>
    <xdr:sp macro="" textlink="">
      <xdr:nvSpPr>
        <xdr:cNvPr id="4" name="AutoShape 85">
          <a:extLst>
            <a:ext uri="{FF2B5EF4-FFF2-40B4-BE49-F238E27FC236}">
              <a16:creationId xmlns:a16="http://schemas.microsoft.com/office/drawing/2014/main" id="{983D857A-784E-4BDE-ABA4-3FE615E637A1}"/>
            </a:ext>
          </a:extLst>
        </xdr:cNvPr>
        <xdr:cNvSpPr>
          <a:spLocks noChangeArrowheads="1"/>
        </xdr:cNvSpPr>
      </xdr:nvSpPr>
      <xdr:spPr bwMode="auto">
        <a:xfrm rot="5400000">
          <a:off x="2657915" y="1029920"/>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32</xdr:col>
      <xdr:colOff>146632</xdr:colOff>
      <xdr:row>118</xdr:row>
      <xdr:rowOff>10739</xdr:rowOff>
    </xdr:from>
    <xdr:to>
      <xdr:col>32</xdr:col>
      <xdr:colOff>223661</xdr:colOff>
      <xdr:row>118</xdr:row>
      <xdr:rowOff>116705</xdr:rowOff>
    </xdr:to>
    <xdr:sp macro="" textlink="">
      <xdr:nvSpPr>
        <xdr:cNvPr id="5" name="AutoShape 85">
          <a:extLst>
            <a:ext uri="{FF2B5EF4-FFF2-40B4-BE49-F238E27FC236}">
              <a16:creationId xmlns:a16="http://schemas.microsoft.com/office/drawing/2014/main" id="{D6ABF154-FF32-45D4-B3C9-31D51DFDD23F}"/>
            </a:ext>
          </a:extLst>
        </xdr:cNvPr>
        <xdr:cNvSpPr>
          <a:spLocks noChangeArrowheads="1"/>
        </xdr:cNvSpPr>
      </xdr:nvSpPr>
      <xdr:spPr bwMode="auto">
        <a:xfrm rot="5400000">
          <a:off x="7047314" y="21380257"/>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223600</xdr:colOff>
      <xdr:row>132</xdr:row>
      <xdr:rowOff>21889</xdr:rowOff>
    </xdr:from>
    <xdr:to>
      <xdr:col>9</xdr:col>
      <xdr:colOff>52150</xdr:colOff>
      <xdr:row>132</xdr:row>
      <xdr:rowOff>127855</xdr:rowOff>
    </xdr:to>
    <xdr:sp macro="" textlink="">
      <xdr:nvSpPr>
        <xdr:cNvPr id="6" name="AutoShape 85">
          <a:extLst>
            <a:ext uri="{FF2B5EF4-FFF2-40B4-BE49-F238E27FC236}">
              <a16:creationId xmlns:a16="http://schemas.microsoft.com/office/drawing/2014/main" id="{2A6625DB-F155-4AFC-966B-103B678EEF5C}"/>
            </a:ext>
          </a:extLst>
        </xdr:cNvPr>
        <xdr:cNvSpPr>
          <a:spLocks noChangeArrowheads="1"/>
        </xdr:cNvSpPr>
      </xdr:nvSpPr>
      <xdr:spPr bwMode="auto">
        <a:xfrm rot="5400000">
          <a:off x="2085142" y="23973097"/>
          <a:ext cx="105966"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82826</xdr:colOff>
      <xdr:row>170</xdr:row>
      <xdr:rowOff>33132</xdr:rowOff>
    </xdr:from>
    <xdr:to>
      <xdr:col>6</xdr:col>
      <xdr:colOff>159855</xdr:colOff>
      <xdr:row>170</xdr:row>
      <xdr:rowOff>139098</xdr:rowOff>
    </xdr:to>
    <xdr:sp macro="" textlink="">
      <xdr:nvSpPr>
        <xdr:cNvPr id="7" name="AutoShape 85">
          <a:extLst>
            <a:ext uri="{FF2B5EF4-FFF2-40B4-BE49-F238E27FC236}">
              <a16:creationId xmlns:a16="http://schemas.microsoft.com/office/drawing/2014/main" id="{9675A1E9-37BB-43CA-9F3C-F1AF1D7757E5}"/>
            </a:ext>
          </a:extLst>
        </xdr:cNvPr>
        <xdr:cNvSpPr>
          <a:spLocks noChangeArrowheads="1"/>
        </xdr:cNvSpPr>
      </xdr:nvSpPr>
      <xdr:spPr bwMode="auto">
        <a:xfrm rot="5400000">
          <a:off x="1468533" y="30975275"/>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32</xdr:col>
      <xdr:colOff>146632</xdr:colOff>
      <xdr:row>245</xdr:row>
      <xdr:rowOff>10739</xdr:rowOff>
    </xdr:from>
    <xdr:to>
      <xdr:col>32</xdr:col>
      <xdr:colOff>223661</xdr:colOff>
      <xdr:row>245</xdr:row>
      <xdr:rowOff>116705</xdr:rowOff>
    </xdr:to>
    <xdr:sp macro="" textlink="">
      <xdr:nvSpPr>
        <xdr:cNvPr id="8" name="AutoShape 85">
          <a:extLst>
            <a:ext uri="{FF2B5EF4-FFF2-40B4-BE49-F238E27FC236}">
              <a16:creationId xmlns:a16="http://schemas.microsoft.com/office/drawing/2014/main" id="{9621B10B-14A5-48ED-9364-21FB742E4B71}"/>
            </a:ext>
          </a:extLst>
        </xdr:cNvPr>
        <xdr:cNvSpPr>
          <a:spLocks noChangeArrowheads="1"/>
        </xdr:cNvSpPr>
      </xdr:nvSpPr>
      <xdr:spPr bwMode="auto">
        <a:xfrm rot="5400000">
          <a:off x="7047314" y="44135482"/>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223600</xdr:colOff>
      <xdr:row>132</xdr:row>
      <xdr:rowOff>21889</xdr:rowOff>
    </xdr:from>
    <xdr:to>
      <xdr:col>9</xdr:col>
      <xdr:colOff>52150</xdr:colOff>
      <xdr:row>132</xdr:row>
      <xdr:rowOff>127855</xdr:rowOff>
    </xdr:to>
    <xdr:sp macro="" textlink="">
      <xdr:nvSpPr>
        <xdr:cNvPr id="9" name="AutoShape 85">
          <a:extLst>
            <a:ext uri="{FF2B5EF4-FFF2-40B4-BE49-F238E27FC236}">
              <a16:creationId xmlns:a16="http://schemas.microsoft.com/office/drawing/2014/main" id="{4B1EE781-1152-4E3E-A410-EC0FEF9DE7B3}"/>
            </a:ext>
          </a:extLst>
        </xdr:cNvPr>
        <xdr:cNvSpPr>
          <a:spLocks noChangeArrowheads="1"/>
        </xdr:cNvSpPr>
      </xdr:nvSpPr>
      <xdr:spPr bwMode="auto">
        <a:xfrm rot="5400000">
          <a:off x="2085142" y="23973097"/>
          <a:ext cx="105966"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72058</xdr:colOff>
      <xdr:row>131</xdr:row>
      <xdr:rowOff>24852</xdr:rowOff>
    </xdr:from>
    <xdr:to>
      <xdr:col>11</xdr:col>
      <xdr:colOff>149087</xdr:colOff>
      <xdr:row>131</xdr:row>
      <xdr:rowOff>130818</xdr:rowOff>
    </xdr:to>
    <xdr:sp macro="" textlink="">
      <xdr:nvSpPr>
        <xdr:cNvPr id="10" name="AutoShape 85">
          <a:extLst>
            <a:ext uri="{FF2B5EF4-FFF2-40B4-BE49-F238E27FC236}">
              <a16:creationId xmlns:a16="http://schemas.microsoft.com/office/drawing/2014/main" id="{5E4B4E6D-FA91-483A-9EE3-11569074A05C}"/>
            </a:ext>
          </a:extLst>
        </xdr:cNvPr>
        <xdr:cNvSpPr>
          <a:spLocks noChangeArrowheads="1"/>
        </xdr:cNvSpPr>
      </xdr:nvSpPr>
      <xdr:spPr bwMode="auto">
        <a:xfrm rot="5400000">
          <a:off x="2657915" y="23813720"/>
          <a:ext cx="105966" cy="7702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6</xdr:col>
      <xdr:colOff>282575</xdr:colOff>
      <xdr:row>10</xdr:row>
      <xdr:rowOff>38100</xdr:rowOff>
    </xdr:from>
    <xdr:to>
      <xdr:col>6</xdr:col>
      <xdr:colOff>358775</xdr:colOff>
      <xdr:row>11</xdr:row>
      <xdr:rowOff>6350</xdr:rowOff>
    </xdr:to>
    <xdr:pic>
      <xdr:nvPicPr>
        <xdr:cNvPr id="6" name="Picture 3">
          <a:extLst>
            <a:ext uri="{FF2B5EF4-FFF2-40B4-BE49-F238E27FC236}">
              <a16:creationId xmlns:a16="http://schemas.microsoft.com/office/drawing/2014/main" id="{00000000-0008-0000-1F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9675" y="17272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565893</xdr:colOff>
      <xdr:row>4</xdr:row>
      <xdr:rowOff>11027</xdr:rowOff>
    </xdr:from>
    <xdr:ext cx="76200" cy="133350"/>
    <xdr:pic>
      <xdr:nvPicPr>
        <xdr:cNvPr id="12" name="Picture 11">
          <a:extLst>
            <a:ext uri="{FF2B5EF4-FFF2-40B4-BE49-F238E27FC236}">
              <a16:creationId xmlns:a16="http://schemas.microsoft.com/office/drawing/2014/main" id="{00000000-0008-0000-1F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3218" y="820652"/>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594441</xdr:colOff>
      <xdr:row>5</xdr:row>
      <xdr:rowOff>68319</xdr:rowOff>
    </xdr:from>
    <xdr:ext cx="76200" cy="133350"/>
    <xdr:pic>
      <xdr:nvPicPr>
        <xdr:cNvPr id="14" name="Picture 13">
          <a:extLst>
            <a:ext uri="{FF2B5EF4-FFF2-40B4-BE49-F238E27FC236}">
              <a16:creationId xmlns:a16="http://schemas.microsoft.com/office/drawing/2014/main" id="{00000000-0008-0000-1F00-00000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51766" y="1001769"/>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11</xdr:col>
      <xdr:colOff>70304</xdr:colOff>
      <xdr:row>28</xdr:row>
      <xdr:rowOff>33112</xdr:rowOff>
    </xdr:from>
    <xdr:to>
      <xdr:col>11</xdr:col>
      <xdr:colOff>146504</xdr:colOff>
      <xdr:row>28</xdr:row>
      <xdr:rowOff>166462</xdr:rowOff>
    </xdr:to>
    <xdr:pic>
      <xdr:nvPicPr>
        <xdr:cNvPr id="15" name="Picture 3">
          <a:extLst>
            <a:ext uri="{FF2B5EF4-FFF2-40B4-BE49-F238E27FC236}">
              <a16:creationId xmlns:a16="http://schemas.microsoft.com/office/drawing/2014/main" id="{00000000-0008-0000-1F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53733" y="453027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82550</xdr:colOff>
      <xdr:row>32</xdr:row>
      <xdr:rowOff>22225</xdr:rowOff>
    </xdr:from>
    <xdr:to>
      <xdr:col>22</xdr:col>
      <xdr:colOff>158750</xdr:colOff>
      <xdr:row>32</xdr:row>
      <xdr:rowOff>155575</xdr:rowOff>
    </xdr:to>
    <xdr:pic>
      <xdr:nvPicPr>
        <xdr:cNvPr id="16" name="Picture 3">
          <a:extLst>
            <a:ext uri="{FF2B5EF4-FFF2-40B4-BE49-F238E27FC236}">
              <a16:creationId xmlns:a16="http://schemas.microsoft.com/office/drawing/2014/main" id="{00000000-0008-0000-1F00-00001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92875" y="48133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89453</xdr:colOff>
      <xdr:row>52</xdr:row>
      <xdr:rowOff>55907</xdr:rowOff>
    </xdr:from>
    <xdr:to>
      <xdr:col>22</xdr:col>
      <xdr:colOff>165653</xdr:colOff>
      <xdr:row>52</xdr:row>
      <xdr:rowOff>189257</xdr:rowOff>
    </xdr:to>
    <xdr:pic>
      <xdr:nvPicPr>
        <xdr:cNvPr id="17" name="Picture 3">
          <a:extLst>
            <a:ext uri="{FF2B5EF4-FFF2-40B4-BE49-F238E27FC236}">
              <a16:creationId xmlns:a16="http://schemas.microsoft.com/office/drawing/2014/main" id="{00000000-0008-0000-1F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9388" y="7742168"/>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127397</xdr:colOff>
      <xdr:row>93</xdr:row>
      <xdr:rowOff>9525</xdr:rowOff>
    </xdr:from>
    <xdr:to>
      <xdr:col>22</xdr:col>
      <xdr:colOff>203597</xdr:colOff>
      <xdr:row>93</xdr:row>
      <xdr:rowOff>142875</xdr:rowOff>
    </xdr:to>
    <xdr:pic>
      <xdr:nvPicPr>
        <xdr:cNvPr id="18" name="Picture 3">
          <a:extLst>
            <a:ext uri="{FF2B5EF4-FFF2-40B4-BE49-F238E27FC236}">
              <a16:creationId xmlns:a16="http://schemas.microsoft.com/office/drawing/2014/main" id="{00000000-0008-0000-1F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1991" y="14642306"/>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92075</xdr:colOff>
      <xdr:row>97</xdr:row>
      <xdr:rowOff>73025</xdr:rowOff>
    </xdr:from>
    <xdr:to>
      <xdr:col>3</xdr:col>
      <xdr:colOff>101600</xdr:colOff>
      <xdr:row>100</xdr:row>
      <xdr:rowOff>139701</xdr:rowOff>
    </xdr:to>
    <xdr:pic>
      <xdr:nvPicPr>
        <xdr:cNvPr id="19" name="Picture 113" descr="E:\My Documents\Excel\04_1040\IRS Forms\CAUTION_Black.jpg">
          <a:extLst>
            <a:ext uri="{FF2B5EF4-FFF2-40B4-BE49-F238E27FC236}">
              <a16:creationId xmlns:a16="http://schemas.microsoft.com/office/drawing/2014/main" id="{00000000-0008-0000-1F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5425" y="15567025"/>
          <a:ext cx="5365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oneCellAnchor>
    <xdr:from>
      <xdr:col>7</xdr:col>
      <xdr:colOff>76198</xdr:colOff>
      <xdr:row>14</xdr:row>
      <xdr:rowOff>2722</xdr:rowOff>
    </xdr:from>
    <xdr:ext cx="76200" cy="133350"/>
    <xdr:pic>
      <xdr:nvPicPr>
        <xdr:cNvPr id="3" name="Picture 2">
          <a:extLst>
            <a:ext uri="{FF2B5EF4-FFF2-40B4-BE49-F238E27FC236}">
              <a16:creationId xmlns:a16="http://schemas.microsoft.com/office/drawing/2014/main" id="{00000000-0008-0000-2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40427" y="1826079"/>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114848</xdr:colOff>
      <xdr:row>15</xdr:row>
      <xdr:rowOff>11340</xdr:rowOff>
    </xdr:from>
    <xdr:ext cx="76200" cy="133350"/>
    <xdr:pic>
      <xdr:nvPicPr>
        <xdr:cNvPr id="4" name="Picture 3">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81005" y="195988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76200</xdr:colOff>
      <xdr:row>23</xdr:row>
      <xdr:rowOff>16329</xdr:rowOff>
    </xdr:from>
    <xdr:to>
      <xdr:col>2</xdr:col>
      <xdr:colOff>10884</xdr:colOff>
      <xdr:row>24</xdr:row>
      <xdr:rowOff>5443</xdr:rowOff>
    </xdr:to>
    <xdr:pic>
      <xdr:nvPicPr>
        <xdr:cNvPr id="11" name="Picture 10">
          <a:extLst>
            <a:ext uri="{FF2B5EF4-FFF2-40B4-BE49-F238E27FC236}">
              <a16:creationId xmlns:a16="http://schemas.microsoft.com/office/drawing/2014/main" id="{00000000-0008-0000-2000-00000B000000}"/>
            </a:ext>
          </a:extLst>
        </xdr:cNvPr>
        <xdr:cNvPicPr>
          <a:picLocks noChangeAspect="1"/>
        </xdr:cNvPicPr>
      </xdr:nvPicPr>
      <xdr:blipFill>
        <a:blip xmlns:r="http://schemas.openxmlformats.org/officeDocument/2006/relationships" r:embed="rId2"/>
        <a:stretch>
          <a:fillRect/>
        </a:stretch>
      </xdr:blipFill>
      <xdr:spPr>
        <a:xfrm>
          <a:off x="212271" y="3145972"/>
          <a:ext cx="228599" cy="228599"/>
        </a:xfrm>
        <a:prstGeom prst="rect">
          <a:avLst/>
        </a:prstGeom>
      </xdr:spPr>
    </xdr:pic>
    <xdr:clientData/>
  </xdr:twoCellAnchor>
  <xdr:oneCellAnchor>
    <xdr:from>
      <xdr:col>25</xdr:col>
      <xdr:colOff>45983</xdr:colOff>
      <xdr:row>65</xdr:row>
      <xdr:rowOff>31531</xdr:rowOff>
    </xdr:from>
    <xdr:ext cx="76200" cy="133350"/>
    <xdr:pic>
      <xdr:nvPicPr>
        <xdr:cNvPr id="14" name="Picture 13">
          <a:extLst>
            <a:ext uri="{FF2B5EF4-FFF2-40B4-BE49-F238E27FC236}">
              <a16:creationId xmlns:a16="http://schemas.microsoft.com/office/drawing/2014/main" id="{00000000-0008-0000-2000-00000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00345" y="9701048"/>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92527</xdr:colOff>
      <xdr:row>82</xdr:row>
      <xdr:rowOff>21773</xdr:rowOff>
    </xdr:from>
    <xdr:ext cx="76200" cy="133350"/>
    <xdr:pic>
      <xdr:nvPicPr>
        <xdr:cNvPr id="15" name="Picture 14">
          <a:extLst>
            <a:ext uri="{FF2B5EF4-FFF2-40B4-BE49-F238E27FC236}">
              <a16:creationId xmlns:a16="http://schemas.microsoft.com/office/drawing/2014/main" id="{00000000-0008-0000-20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3556" y="1209947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81643</xdr:colOff>
      <xdr:row>84</xdr:row>
      <xdr:rowOff>10886</xdr:rowOff>
    </xdr:from>
    <xdr:ext cx="76200" cy="133350"/>
    <xdr:pic>
      <xdr:nvPicPr>
        <xdr:cNvPr id="16" name="Picture 15">
          <a:extLst>
            <a:ext uri="{FF2B5EF4-FFF2-40B4-BE49-F238E27FC236}">
              <a16:creationId xmlns:a16="http://schemas.microsoft.com/office/drawing/2014/main" id="{00000000-0008-0000-2000-00001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2672" y="12393386"/>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604158</xdr:colOff>
      <xdr:row>55</xdr:row>
      <xdr:rowOff>21770</xdr:rowOff>
    </xdr:from>
    <xdr:ext cx="76200" cy="133350"/>
    <xdr:pic>
      <xdr:nvPicPr>
        <xdr:cNvPr id="17" name="Picture 16">
          <a:extLst>
            <a:ext uri="{FF2B5EF4-FFF2-40B4-BE49-F238E27FC236}">
              <a16:creationId xmlns:a16="http://schemas.microsoft.com/office/drawing/2014/main" id="{00000000-0008-0000-20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2558" y="8011884"/>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615045</xdr:colOff>
      <xdr:row>57</xdr:row>
      <xdr:rowOff>21771</xdr:rowOff>
    </xdr:from>
    <xdr:ext cx="76200" cy="133350"/>
    <xdr:pic>
      <xdr:nvPicPr>
        <xdr:cNvPr id="18" name="Picture 17">
          <a:extLst>
            <a:ext uri="{FF2B5EF4-FFF2-40B4-BE49-F238E27FC236}">
              <a16:creationId xmlns:a16="http://schemas.microsoft.com/office/drawing/2014/main" id="{00000000-0008-0000-20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53445" y="8224157"/>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97971</xdr:colOff>
      <xdr:row>93</xdr:row>
      <xdr:rowOff>59871</xdr:rowOff>
    </xdr:from>
    <xdr:to>
      <xdr:col>2</xdr:col>
      <xdr:colOff>32655</xdr:colOff>
      <xdr:row>95</xdr:row>
      <xdr:rowOff>48985</xdr:rowOff>
    </xdr:to>
    <xdr:pic>
      <xdr:nvPicPr>
        <xdr:cNvPr id="19" name="Picture 18">
          <a:extLst>
            <a:ext uri="{FF2B5EF4-FFF2-40B4-BE49-F238E27FC236}">
              <a16:creationId xmlns:a16="http://schemas.microsoft.com/office/drawing/2014/main" id="{00000000-0008-0000-2000-000013000000}"/>
            </a:ext>
          </a:extLst>
        </xdr:cNvPr>
        <xdr:cNvPicPr>
          <a:picLocks noChangeAspect="1"/>
        </xdr:cNvPicPr>
      </xdr:nvPicPr>
      <xdr:blipFill>
        <a:blip xmlns:r="http://schemas.openxmlformats.org/officeDocument/2006/relationships" r:embed="rId2"/>
        <a:stretch>
          <a:fillRect/>
        </a:stretch>
      </xdr:blipFill>
      <xdr:spPr>
        <a:xfrm>
          <a:off x="234042" y="14227628"/>
          <a:ext cx="228599" cy="228599"/>
        </a:xfrm>
        <a:prstGeom prst="rect">
          <a:avLst/>
        </a:prstGeom>
      </xdr:spPr>
    </xdr:pic>
    <xdr:clientData/>
  </xdr:twoCellAnchor>
  <xdr:twoCellAnchor editAs="oneCell">
    <xdr:from>
      <xdr:col>19</xdr:col>
      <xdr:colOff>2</xdr:colOff>
      <xdr:row>12</xdr:row>
      <xdr:rowOff>85395</xdr:rowOff>
    </xdr:from>
    <xdr:to>
      <xdr:col>22</xdr:col>
      <xdr:colOff>222812</xdr:colOff>
      <xdr:row>16</xdr:row>
      <xdr:rowOff>52550</xdr:rowOff>
    </xdr:to>
    <xdr:pic>
      <xdr:nvPicPr>
        <xdr:cNvPr id="12" name="Picture 11">
          <a:extLst>
            <a:ext uri="{FF2B5EF4-FFF2-40B4-BE49-F238E27FC236}">
              <a16:creationId xmlns:a16="http://schemas.microsoft.com/office/drawing/2014/main" id="{00000000-0008-0000-20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274881" y="1780188"/>
          <a:ext cx="912552" cy="6503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19708</xdr:colOff>
      <xdr:row>77</xdr:row>
      <xdr:rowOff>39414</xdr:rowOff>
    </xdr:from>
    <xdr:to>
      <xdr:col>13</xdr:col>
      <xdr:colOff>95908</xdr:colOff>
      <xdr:row>80</xdr:row>
      <xdr:rowOff>43356</xdr:rowOff>
    </xdr:to>
    <xdr:sp macro="" textlink="">
      <xdr:nvSpPr>
        <xdr:cNvPr id="20" name="AutoShape 2">
          <a:extLst>
            <a:ext uri="{FF2B5EF4-FFF2-40B4-BE49-F238E27FC236}">
              <a16:creationId xmlns:a16="http://schemas.microsoft.com/office/drawing/2014/main" id="{00000000-0008-0000-2000-000014000000}"/>
            </a:ext>
          </a:extLst>
        </xdr:cNvPr>
        <xdr:cNvSpPr>
          <a:spLocks/>
        </xdr:cNvSpPr>
      </xdr:nvSpPr>
      <xdr:spPr bwMode="auto">
        <a:xfrm>
          <a:off x="3855984" y="11705897"/>
          <a:ext cx="76200" cy="457200"/>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78827</xdr:colOff>
      <xdr:row>113</xdr:row>
      <xdr:rowOff>0</xdr:rowOff>
    </xdr:from>
    <xdr:to>
      <xdr:col>10</xdr:col>
      <xdr:colOff>155027</xdr:colOff>
      <xdr:row>116</xdr:row>
      <xdr:rowOff>3942</xdr:rowOff>
    </xdr:to>
    <xdr:sp macro="" textlink="">
      <xdr:nvSpPr>
        <xdr:cNvPr id="21" name="AutoShape 2">
          <a:extLst>
            <a:ext uri="{FF2B5EF4-FFF2-40B4-BE49-F238E27FC236}">
              <a16:creationId xmlns:a16="http://schemas.microsoft.com/office/drawing/2014/main" id="{00000000-0008-0000-2000-000015000000}"/>
            </a:ext>
          </a:extLst>
        </xdr:cNvPr>
        <xdr:cNvSpPr>
          <a:spLocks/>
        </xdr:cNvSpPr>
      </xdr:nvSpPr>
      <xdr:spPr bwMode="auto">
        <a:xfrm>
          <a:off x="3396155" y="16658897"/>
          <a:ext cx="76200" cy="457200"/>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29</xdr:col>
      <xdr:colOff>236991</xdr:colOff>
      <xdr:row>129</xdr:row>
      <xdr:rowOff>32846</xdr:rowOff>
    </xdr:from>
    <xdr:to>
      <xdr:col>29</xdr:col>
      <xdr:colOff>520918</xdr:colOff>
      <xdr:row>130</xdr:row>
      <xdr:rowOff>144517</xdr:rowOff>
    </xdr:to>
    <xdr:pic>
      <xdr:nvPicPr>
        <xdr:cNvPr id="5" name="Picture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66491" y="19115691"/>
          <a:ext cx="283927" cy="28246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21</xdr:col>
      <xdr:colOff>139211</xdr:colOff>
      <xdr:row>6</xdr:row>
      <xdr:rowOff>51287</xdr:rowOff>
    </xdr:from>
    <xdr:to>
      <xdr:col>21</xdr:col>
      <xdr:colOff>220693</xdr:colOff>
      <xdr:row>6</xdr:row>
      <xdr:rowOff>179753</xdr:rowOff>
    </xdr:to>
    <xdr:pic>
      <xdr:nvPicPr>
        <xdr:cNvPr id="123480" name="Picture 1">
          <a:extLst>
            <a:ext uri="{FF2B5EF4-FFF2-40B4-BE49-F238E27FC236}">
              <a16:creationId xmlns:a16="http://schemas.microsoft.com/office/drawing/2014/main" id="{00000000-0008-0000-2100-000058E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96403" y="1509345"/>
          <a:ext cx="78307" cy="125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243650</xdr:colOff>
      <xdr:row>3</xdr:row>
      <xdr:rowOff>69396</xdr:rowOff>
    </xdr:from>
    <xdr:to>
      <xdr:col>6</xdr:col>
      <xdr:colOff>296458</xdr:colOff>
      <xdr:row>3</xdr:row>
      <xdr:rowOff>164192</xdr:rowOff>
    </xdr:to>
    <xdr:pic>
      <xdr:nvPicPr>
        <xdr:cNvPr id="30" name="Picture 3">
          <a:extLst>
            <a:ext uri="{FF2B5EF4-FFF2-40B4-BE49-F238E27FC236}">
              <a16:creationId xmlns:a16="http://schemas.microsoft.com/office/drawing/2014/main" id="{00000000-0008-0000-2100-00001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8150" y="1040946"/>
          <a:ext cx="55983" cy="97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45216</xdr:colOff>
      <xdr:row>4</xdr:row>
      <xdr:rowOff>41478</xdr:rowOff>
    </xdr:from>
    <xdr:to>
      <xdr:col>8</xdr:col>
      <xdr:colOff>104374</xdr:colOff>
      <xdr:row>4</xdr:row>
      <xdr:rowOff>142624</xdr:rowOff>
    </xdr:to>
    <xdr:pic>
      <xdr:nvPicPr>
        <xdr:cNvPr id="32" name="Picture 3">
          <a:extLst>
            <a:ext uri="{FF2B5EF4-FFF2-40B4-BE49-F238E27FC236}">
              <a16:creationId xmlns:a16="http://schemas.microsoft.com/office/drawing/2014/main" id="{00000000-0008-0000-2100-00002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766" y="1184478"/>
          <a:ext cx="55983" cy="97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600690</xdr:colOff>
      <xdr:row>11</xdr:row>
      <xdr:rowOff>3140</xdr:rowOff>
    </xdr:from>
    <xdr:to>
      <xdr:col>23</xdr:col>
      <xdr:colOff>697226</xdr:colOff>
      <xdr:row>12</xdr:row>
      <xdr:rowOff>12175</xdr:rowOff>
    </xdr:to>
    <xdr:pic>
      <xdr:nvPicPr>
        <xdr:cNvPr id="62" name="Picture 1">
          <a:extLst>
            <a:ext uri="{FF2B5EF4-FFF2-40B4-BE49-F238E27FC236}">
              <a16:creationId xmlns:a16="http://schemas.microsoft.com/office/drawing/2014/main" id="{00000000-0008-0000-2100-00003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451" y="2429944"/>
          <a:ext cx="99711" cy="146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21</xdr:col>
      <xdr:colOff>79813</xdr:colOff>
      <xdr:row>38</xdr:row>
      <xdr:rowOff>26274</xdr:rowOff>
    </xdr:from>
    <xdr:ext cx="95250" cy="154915"/>
    <xdr:pic>
      <xdr:nvPicPr>
        <xdr:cNvPr id="64" name="Picture 1">
          <a:extLst>
            <a:ext uri="{FF2B5EF4-FFF2-40B4-BE49-F238E27FC236}">
              <a16:creationId xmlns:a16="http://schemas.microsoft.com/office/drawing/2014/main" id="{00000000-0008-0000-2100-00004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64141" y="7245567"/>
          <a:ext cx="95250" cy="154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109905</xdr:colOff>
      <xdr:row>65</xdr:row>
      <xdr:rowOff>13922</xdr:rowOff>
    </xdr:from>
    <xdr:ext cx="108597" cy="173755"/>
    <xdr:pic>
      <xdr:nvPicPr>
        <xdr:cNvPr id="7" name="Picture 1">
          <a:extLst>
            <a:ext uri="{FF2B5EF4-FFF2-40B4-BE49-F238E27FC236}">
              <a16:creationId xmlns:a16="http://schemas.microsoft.com/office/drawing/2014/main" id="{00000000-0008-0000-21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7097" y="14733710"/>
          <a:ext cx="108597" cy="173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243650</xdr:colOff>
      <xdr:row>62</xdr:row>
      <xdr:rowOff>69396</xdr:rowOff>
    </xdr:from>
    <xdr:ext cx="55983" cy="97971"/>
    <xdr:pic>
      <xdr:nvPicPr>
        <xdr:cNvPr id="8" name="Picture 3">
          <a:extLst>
            <a:ext uri="{FF2B5EF4-FFF2-40B4-BE49-F238E27FC236}">
              <a16:creationId xmlns:a16="http://schemas.microsoft.com/office/drawing/2014/main" id="{00000000-0008-0000-21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7346" y="1038461"/>
          <a:ext cx="55983" cy="97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45216</xdr:colOff>
      <xdr:row>63</xdr:row>
      <xdr:rowOff>41478</xdr:rowOff>
    </xdr:from>
    <xdr:ext cx="55983" cy="97971"/>
    <xdr:pic>
      <xdr:nvPicPr>
        <xdr:cNvPr id="9" name="Picture 3">
          <a:extLst>
            <a:ext uri="{FF2B5EF4-FFF2-40B4-BE49-F238E27FC236}">
              <a16:creationId xmlns:a16="http://schemas.microsoft.com/office/drawing/2014/main" id="{00000000-0008-0000-21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5759" y="1184478"/>
          <a:ext cx="55983" cy="97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600690</xdr:colOff>
      <xdr:row>70</xdr:row>
      <xdr:rowOff>3140</xdr:rowOff>
    </xdr:from>
    <xdr:ext cx="99711" cy="146666"/>
    <xdr:pic>
      <xdr:nvPicPr>
        <xdr:cNvPr id="10" name="Picture 1">
          <a:extLst>
            <a:ext uri="{FF2B5EF4-FFF2-40B4-BE49-F238E27FC236}">
              <a16:creationId xmlns:a16="http://schemas.microsoft.com/office/drawing/2014/main" id="{00000000-0008-0000-21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451" y="2429944"/>
          <a:ext cx="99711" cy="146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79813</xdr:colOff>
      <xdr:row>97</xdr:row>
      <xdr:rowOff>26274</xdr:rowOff>
    </xdr:from>
    <xdr:ext cx="95250" cy="154915"/>
    <xdr:pic>
      <xdr:nvPicPr>
        <xdr:cNvPr id="11" name="Picture 1">
          <a:extLst>
            <a:ext uri="{FF2B5EF4-FFF2-40B4-BE49-F238E27FC236}">
              <a16:creationId xmlns:a16="http://schemas.microsoft.com/office/drawing/2014/main" id="{00000000-0008-0000-21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0052" y="7215578"/>
          <a:ext cx="95250" cy="154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7.xml><?xml version="1.0" encoding="utf-8"?>
<xdr:wsDr xmlns:xdr="http://schemas.openxmlformats.org/drawingml/2006/spreadsheetDrawing" xmlns:a="http://schemas.openxmlformats.org/drawingml/2006/main">
  <xdr:twoCellAnchor>
    <xdr:from>
      <xdr:col>10</xdr:col>
      <xdr:colOff>5861</xdr:colOff>
      <xdr:row>11</xdr:row>
      <xdr:rowOff>180975</xdr:rowOff>
    </xdr:from>
    <xdr:to>
      <xdr:col>10</xdr:col>
      <xdr:colOff>63011</xdr:colOff>
      <xdr:row>12</xdr:row>
      <xdr:rowOff>96441</xdr:rowOff>
    </xdr:to>
    <xdr:sp macro="" textlink="">
      <xdr:nvSpPr>
        <xdr:cNvPr id="2" name="AutoShape 85">
          <a:extLst>
            <a:ext uri="{FF2B5EF4-FFF2-40B4-BE49-F238E27FC236}">
              <a16:creationId xmlns:a16="http://schemas.microsoft.com/office/drawing/2014/main" id="{00000000-0008-0000-2200-000002000000}"/>
            </a:ext>
          </a:extLst>
        </xdr:cNvPr>
        <xdr:cNvSpPr>
          <a:spLocks noChangeArrowheads="1"/>
        </xdr:cNvSpPr>
      </xdr:nvSpPr>
      <xdr:spPr bwMode="auto">
        <a:xfrm rot="5400000">
          <a:off x="2457953" y="20532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13</xdr:col>
      <xdr:colOff>234045</xdr:colOff>
      <xdr:row>30</xdr:row>
      <xdr:rowOff>65317</xdr:rowOff>
    </xdr:from>
    <xdr:to>
      <xdr:col>14</xdr:col>
      <xdr:colOff>57152</xdr:colOff>
      <xdr:row>30</xdr:row>
      <xdr:rowOff>130631</xdr:rowOff>
    </xdr:to>
    <xdr:sp macro="" textlink="">
      <xdr:nvSpPr>
        <xdr:cNvPr id="17" name="AutoShape 85">
          <a:extLst>
            <a:ext uri="{FF2B5EF4-FFF2-40B4-BE49-F238E27FC236}">
              <a16:creationId xmlns:a16="http://schemas.microsoft.com/office/drawing/2014/main" id="{00000000-0008-0000-2200-000011000000}"/>
            </a:ext>
          </a:extLst>
        </xdr:cNvPr>
        <xdr:cNvSpPr>
          <a:spLocks noChangeArrowheads="1"/>
        </xdr:cNvSpPr>
      </xdr:nvSpPr>
      <xdr:spPr bwMode="auto">
        <a:xfrm rot="5400000">
          <a:off x="3351442" y="3631748"/>
          <a:ext cx="65314" cy="62593"/>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104775</xdr:colOff>
      <xdr:row>24</xdr:row>
      <xdr:rowOff>76200</xdr:rowOff>
    </xdr:from>
    <xdr:to>
      <xdr:col>10</xdr:col>
      <xdr:colOff>161925</xdr:colOff>
      <xdr:row>24</xdr:row>
      <xdr:rowOff>182166</xdr:rowOff>
    </xdr:to>
    <xdr:sp macro="" textlink="">
      <xdr:nvSpPr>
        <xdr:cNvPr id="18" name="AutoShape 85">
          <a:extLst>
            <a:ext uri="{FF2B5EF4-FFF2-40B4-BE49-F238E27FC236}">
              <a16:creationId xmlns:a16="http://schemas.microsoft.com/office/drawing/2014/main" id="{00000000-0008-0000-2200-000012000000}"/>
            </a:ext>
          </a:extLst>
        </xdr:cNvPr>
        <xdr:cNvSpPr>
          <a:spLocks noChangeArrowheads="1"/>
        </xdr:cNvSpPr>
      </xdr:nvSpPr>
      <xdr:spPr bwMode="auto">
        <a:xfrm rot="5400000">
          <a:off x="2423517" y="25866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196361</xdr:colOff>
      <xdr:row>12</xdr:row>
      <xdr:rowOff>140677</xdr:rowOff>
    </xdr:from>
    <xdr:to>
      <xdr:col>8</xdr:col>
      <xdr:colOff>55684</xdr:colOff>
      <xdr:row>13</xdr:row>
      <xdr:rowOff>103768</xdr:rowOff>
    </xdr:to>
    <xdr:sp macro="" textlink="">
      <xdr:nvSpPr>
        <xdr:cNvPr id="22" name="AutoShape 85">
          <a:extLst>
            <a:ext uri="{FF2B5EF4-FFF2-40B4-BE49-F238E27FC236}">
              <a16:creationId xmlns:a16="http://schemas.microsoft.com/office/drawing/2014/main" id="{00000000-0008-0000-2200-000016000000}"/>
            </a:ext>
          </a:extLst>
        </xdr:cNvPr>
        <xdr:cNvSpPr>
          <a:spLocks noChangeArrowheads="1"/>
        </xdr:cNvSpPr>
      </xdr:nvSpPr>
      <xdr:spPr bwMode="auto">
        <a:xfrm rot="5400000">
          <a:off x="1820877" y="964086"/>
          <a:ext cx="105966" cy="59348"/>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104775</xdr:colOff>
      <xdr:row>155</xdr:row>
      <xdr:rowOff>76200</xdr:rowOff>
    </xdr:from>
    <xdr:to>
      <xdr:col>10</xdr:col>
      <xdr:colOff>161925</xdr:colOff>
      <xdr:row>155</xdr:row>
      <xdr:rowOff>182166</xdr:rowOff>
    </xdr:to>
    <xdr:sp macro="" textlink="">
      <xdr:nvSpPr>
        <xdr:cNvPr id="11" name="AutoShape 85">
          <a:extLst>
            <a:ext uri="{FF2B5EF4-FFF2-40B4-BE49-F238E27FC236}">
              <a16:creationId xmlns:a16="http://schemas.microsoft.com/office/drawing/2014/main" id="{00000000-0008-0000-2200-00000B000000}"/>
            </a:ext>
          </a:extLst>
        </xdr:cNvPr>
        <xdr:cNvSpPr>
          <a:spLocks noChangeArrowheads="1"/>
        </xdr:cNvSpPr>
      </xdr:nvSpPr>
      <xdr:spPr bwMode="auto">
        <a:xfrm rot="5400000">
          <a:off x="2356842" y="25294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196361</xdr:colOff>
      <xdr:row>143</xdr:row>
      <xdr:rowOff>140677</xdr:rowOff>
    </xdr:from>
    <xdr:to>
      <xdr:col>8</xdr:col>
      <xdr:colOff>55684</xdr:colOff>
      <xdr:row>144</xdr:row>
      <xdr:rowOff>103768</xdr:rowOff>
    </xdr:to>
    <xdr:sp macro="" textlink="">
      <xdr:nvSpPr>
        <xdr:cNvPr id="14" name="AutoShape 85">
          <a:extLst>
            <a:ext uri="{FF2B5EF4-FFF2-40B4-BE49-F238E27FC236}">
              <a16:creationId xmlns:a16="http://schemas.microsoft.com/office/drawing/2014/main" id="{00000000-0008-0000-2200-00000E000000}"/>
            </a:ext>
          </a:extLst>
        </xdr:cNvPr>
        <xdr:cNvSpPr>
          <a:spLocks noChangeArrowheads="1"/>
        </xdr:cNvSpPr>
      </xdr:nvSpPr>
      <xdr:spPr bwMode="auto">
        <a:xfrm rot="5400000">
          <a:off x="1820877" y="964086"/>
          <a:ext cx="105966" cy="59348"/>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104775</xdr:colOff>
      <xdr:row>285</xdr:row>
      <xdr:rowOff>76200</xdr:rowOff>
    </xdr:from>
    <xdr:to>
      <xdr:col>10</xdr:col>
      <xdr:colOff>161925</xdr:colOff>
      <xdr:row>285</xdr:row>
      <xdr:rowOff>182166</xdr:rowOff>
    </xdr:to>
    <xdr:sp macro="" textlink="">
      <xdr:nvSpPr>
        <xdr:cNvPr id="23" name="AutoShape 85">
          <a:extLst>
            <a:ext uri="{FF2B5EF4-FFF2-40B4-BE49-F238E27FC236}">
              <a16:creationId xmlns:a16="http://schemas.microsoft.com/office/drawing/2014/main" id="{00000000-0008-0000-2200-000017000000}"/>
            </a:ext>
          </a:extLst>
        </xdr:cNvPr>
        <xdr:cNvSpPr>
          <a:spLocks noChangeArrowheads="1"/>
        </xdr:cNvSpPr>
      </xdr:nvSpPr>
      <xdr:spPr bwMode="auto">
        <a:xfrm rot="5400000">
          <a:off x="2356842" y="230653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196361</xdr:colOff>
      <xdr:row>273</xdr:row>
      <xdr:rowOff>140677</xdr:rowOff>
    </xdr:from>
    <xdr:to>
      <xdr:col>8</xdr:col>
      <xdr:colOff>55684</xdr:colOff>
      <xdr:row>274</xdr:row>
      <xdr:rowOff>103768</xdr:rowOff>
    </xdr:to>
    <xdr:sp macro="" textlink="">
      <xdr:nvSpPr>
        <xdr:cNvPr id="27" name="AutoShape 85">
          <a:extLst>
            <a:ext uri="{FF2B5EF4-FFF2-40B4-BE49-F238E27FC236}">
              <a16:creationId xmlns:a16="http://schemas.microsoft.com/office/drawing/2014/main" id="{00000000-0008-0000-2200-00001B000000}"/>
            </a:ext>
          </a:extLst>
        </xdr:cNvPr>
        <xdr:cNvSpPr>
          <a:spLocks noChangeArrowheads="1"/>
        </xdr:cNvSpPr>
      </xdr:nvSpPr>
      <xdr:spPr bwMode="auto">
        <a:xfrm rot="5400000">
          <a:off x="1820877" y="21499986"/>
          <a:ext cx="105966" cy="59348"/>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53578</xdr:colOff>
      <xdr:row>124</xdr:row>
      <xdr:rowOff>29767</xdr:rowOff>
    </xdr:from>
    <xdr:to>
      <xdr:col>34</xdr:col>
      <xdr:colOff>131435</xdr:colOff>
      <xdr:row>124</xdr:row>
      <xdr:rowOff>137027</xdr:rowOff>
    </xdr:to>
    <xdr:sp macro="" textlink="">
      <xdr:nvSpPr>
        <xdr:cNvPr id="32" name="AutoShape 85">
          <a:extLst>
            <a:ext uri="{FF2B5EF4-FFF2-40B4-BE49-F238E27FC236}">
              <a16:creationId xmlns:a16="http://schemas.microsoft.com/office/drawing/2014/main" id="{00000000-0008-0000-2200-000020000000}"/>
            </a:ext>
          </a:extLst>
        </xdr:cNvPr>
        <xdr:cNvSpPr>
          <a:spLocks noChangeArrowheads="1"/>
        </xdr:cNvSpPr>
      </xdr:nvSpPr>
      <xdr:spPr bwMode="auto">
        <a:xfrm rot="5400000">
          <a:off x="6367049" y="18636077"/>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43961</xdr:colOff>
      <xdr:row>384</xdr:row>
      <xdr:rowOff>29309</xdr:rowOff>
    </xdr:from>
    <xdr:to>
      <xdr:col>34</xdr:col>
      <xdr:colOff>121818</xdr:colOff>
      <xdr:row>384</xdr:row>
      <xdr:rowOff>136569</xdr:rowOff>
    </xdr:to>
    <xdr:sp macro="" textlink="">
      <xdr:nvSpPr>
        <xdr:cNvPr id="33" name="AutoShape 85">
          <a:extLst>
            <a:ext uri="{FF2B5EF4-FFF2-40B4-BE49-F238E27FC236}">
              <a16:creationId xmlns:a16="http://schemas.microsoft.com/office/drawing/2014/main" id="{00000000-0008-0000-2200-000021000000}"/>
            </a:ext>
          </a:extLst>
        </xdr:cNvPr>
        <xdr:cNvSpPr>
          <a:spLocks noChangeArrowheads="1"/>
        </xdr:cNvSpPr>
      </xdr:nvSpPr>
      <xdr:spPr bwMode="auto">
        <a:xfrm rot="5400000">
          <a:off x="6367048" y="59817048"/>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53578</xdr:colOff>
      <xdr:row>254</xdr:row>
      <xdr:rowOff>29767</xdr:rowOff>
    </xdr:from>
    <xdr:to>
      <xdr:col>34</xdr:col>
      <xdr:colOff>131435</xdr:colOff>
      <xdr:row>254</xdr:row>
      <xdr:rowOff>137027</xdr:rowOff>
    </xdr:to>
    <xdr:sp macro="" textlink="">
      <xdr:nvSpPr>
        <xdr:cNvPr id="34" name="AutoShape 85">
          <a:extLst>
            <a:ext uri="{FF2B5EF4-FFF2-40B4-BE49-F238E27FC236}">
              <a16:creationId xmlns:a16="http://schemas.microsoft.com/office/drawing/2014/main" id="{00000000-0008-0000-2200-000022000000}"/>
            </a:ext>
          </a:extLst>
        </xdr:cNvPr>
        <xdr:cNvSpPr>
          <a:spLocks noChangeArrowheads="1"/>
        </xdr:cNvSpPr>
      </xdr:nvSpPr>
      <xdr:spPr bwMode="auto">
        <a:xfrm rot="5400000">
          <a:off x="6376665" y="18471680"/>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53578</xdr:colOff>
      <xdr:row>384</xdr:row>
      <xdr:rowOff>29767</xdr:rowOff>
    </xdr:from>
    <xdr:to>
      <xdr:col>34</xdr:col>
      <xdr:colOff>131435</xdr:colOff>
      <xdr:row>384</xdr:row>
      <xdr:rowOff>137027</xdr:rowOff>
    </xdr:to>
    <xdr:sp macro="" textlink="">
      <xdr:nvSpPr>
        <xdr:cNvPr id="35" name="AutoShape 85">
          <a:extLst>
            <a:ext uri="{FF2B5EF4-FFF2-40B4-BE49-F238E27FC236}">
              <a16:creationId xmlns:a16="http://schemas.microsoft.com/office/drawing/2014/main" id="{00000000-0008-0000-2200-000023000000}"/>
            </a:ext>
          </a:extLst>
        </xdr:cNvPr>
        <xdr:cNvSpPr>
          <a:spLocks noChangeArrowheads="1"/>
        </xdr:cNvSpPr>
      </xdr:nvSpPr>
      <xdr:spPr bwMode="auto">
        <a:xfrm rot="5400000">
          <a:off x="6376665" y="18471680"/>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12</xdr:col>
      <xdr:colOff>97971</xdr:colOff>
      <xdr:row>40</xdr:row>
      <xdr:rowOff>59874</xdr:rowOff>
    </xdr:from>
    <xdr:to>
      <xdr:col>12</xdr:col>
      <xdr:colOff>160564</xdr:colOff>
      <xdr:row>40</xdr:row>
      <xdr:rowOff>125188</xdr:rowOff>
    </xdr:to>
    <xdr:sp macro="" textlink="">
      <xdr:nvSpPr>
        <xdr:cNvPr id="36" name="AutoShape 85">
          <a:extLst>
            <a:ext uri="{FF2B5EF4-FFF2-40B4-BE49-F238E27FC236}">
              <a16:creationId xmlns:a16="http://schemas.microsoft.com/office/drawing/2014/main" id="{00000000-0008-0000-2200-000024000000}"/>
            </a:ext>
          </a:extLst>
        </xdr:cNvPr>
        <xdr:cNvSpPr>
          <a:spLocks noChangeArrowheads="1"/>
        </xdr:cNvSpPr>
      </xdr:nvSpPr>
      <xdr:spPr bwMode="auto">
        <a:xfrm rot="5400000">
          <a:off x="3035754" y="5172077"/>
          <a:ext cx="65314" cy="62593"/>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13</xdr:col>
      <xdr:colOff>234045</xdr:colOff>
      <xdr:row>161</xdr:row>
      <xdr:rowOff>65317</xdr:rowOff>
    </xdr:from>
    <xdr:to>
      <xdr:col>14</xdr:col>
      <xdr:colOff>57152</xdr:colOff>
      <xdr:row>161</xdr:row>
      <xdr:rowOff>130631</xdr:rowOff>
    </xdr:to>
    <xdr:sp macro="" textlink="">
      <xdr:nvSpPr>
        <xdr:cNvPr id="37" name="AutoShape 85">
          <a:extLst>
            <a:ext uri="{FF2B5EF4-FFF2-40B4-BE49-F238E27FC236}">
              <a16:creationId xmlns:a16="http://schemas.microsoft.com/office/drawing/2014/main" id="{00000000-0008-0000-2200-000025000000}"/>
            </a:ext>
          </a:extLst>
        </xdr:cNvPr>
        <xdr:cNvSpPr>
          <a:spLocks noChangeArrowheads="1"/>
        </xdr:cNvSpPr>
      </xdr:nvSpPr>
      <xdr:spPr bwMode="auto">
        <a:xfrm rot="5400000">
          <a:off x="3351442" y="3631748"/>
          <a:ext cx="65314" cy="62593"/>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12</xdr:col>
      <xdr:colOff>97971</xdr:colOff>
      <xdr:row>171</xdr:row>
      <xdr:rowOff>59874</xdr:rowOff>
    </xdr:from>
    <xdr:to>
      <xdr:col>12</xdr:col>
      <xdr:colOff>160564</xdr:colOff>
      <xdr:row>171</xdr:row>
      <xdr:rowOff>125188</xdr:rowOff>
    </xdr:to>
    <xdr:sp macro="" textlink="">
      <xdr:nvSpPr>
        <xdr:cNvPr id="39" name="AutoShape 85">
          <a:extLst>
            <a:ext uri="{FF2B5EF4-FFF2-40B4-BE49-F238E27FC236}">
              <a16:creationId xmlns:a16="http://schemas.microsoft.com/office/drawing/2014/main" id="{00000000-0008-0000-2200-000027000000}"/>
            </a:ext>
          </a:extLst>
        </xdr:cNvPr>
        <xdr:cNvSpPr>
          <a:spLocks noChangeArrowheads="1"/>
        </xdr:cNvSpPr>
      </xdr:nvSpPr>
      <xdr:spPr bwMode="auto">
        <a:xfrm rot="5400000">
          <a:off x="3035754" y="5172077"/>
          <a:ext cx="65314" cy="62593"/>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65276</xdr:colOff>
      <xdr:row>267</xdr:row>
      <xdr:rowOff>36185</xdr:rowOff>
    </xdr:from>
    <xdr:to>
      <xdr:col>34</xdr:col>
      <xdr:colOff>143133</xdr:colOff>
      <xdr:row>267</xdr:row>
      <xdr:rowOff>143445</xdr:rowOff>
    </xdr:to>
    <xdr:sp macro="" textlink="">
      <xdr:nvSpPr>
        <xdr:cNvPr id="40" name="AutoShape 85">
          <a:extLst>
            <a:ext uri="{FF2B5EF4-FFF2-40B4-BE49-F238E27FC236}">
              <a16:creationId xmlns:a16="http://schemas.microsoft.com/office/drawing/2014/main" id="{00000000-0008-0000-2200-000028000000}"/>
            </a:ext>
          </a:extLst>
        </xdr:cNvPr>
        <xdr:cNvSpPr>
          <a:spLocks noChangeArrowheads="1"/>
        </xdr:cNvSpPr>
      </xdr:nvSpPr>
      <xdr:spPr bwMode="auto">
        <a:xfrm rot="5400000">
          <a:off x="6557341" y="45949480"/>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13</xdr:col>
      <xdr:colOff>234045</xdr:colOff>
      <xdr:row>291</xdr:row>
      <xdr:rowOff>65317</xdr:rowOff>
    </xdr:from>
    <xdr:to>
      <xdr:col>14</xdr:col>
      <xdr:colOff>57152</xdr:colOff>
      <xdr:row>291</xdr:row>
      <xdr:rowOff>130631</xdr:rowOff>
    </xdr:to>
    <xdr:sp macro="" textlink="">
      <xdr:nvSpPr>
        <xdr:cNvPr id="41" name="AutoShape 85">
          <a:extLst>
            <a:ext uri="{FF2B5EF4-FFF2-40B4-BE49-F238E27FC236}">
              <a16:creationId xmlns:a16="http://schemas.microsoft.com/office/drawing/2014/main" id="{00000000-0008-0000-2200-000029000000}"/>
            </a:ext>
          </a:extLst>
        </xdr:cNvPr>
        <xdr:cNvSpPr>
          <a:spLocks noChangeArrowheads="1"/>
        </xdr:cNvSpPr>
      </xdr:nvSpPr>
      <xdr:spPr bwMode="auto">
        <a:xfrm rot="5400000">
          <a:off x="3351442" y="3620863"/>
          <a:ext cx="65314" cy="62593"/>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12</xdr:col>
      <xdr:colOff>97971</xdr:colOff>
      <xdr:row>301</xdr:row>
      <xdr:rowOff>59874</xdr:rowOff>
    </xdr:from>
    <xdr:to>
      <xdr:col>12</xdr:col>
      <xdr:colOff>160564</xdr:colOff>
      <xdr:row>301</xdr:row>
      <xdr:rowOff>125188</xdr:rowOff>
    </xdr:to>
    <xdr:sp macro="" textlink="">
      <xdr:nvSpPr>
        <xdr:cNvPr id="42" name="AutoShape 85">
          <a:extLst>
            <a:ext uri="{FF2B5EF4-FFF2-40B4-BE49-F238E27FC236}">
              <a16:creationId xmlns:a16="http://schemas.microsoft.com/office/drawing/2014/main" id="{00000000-0008-0000-2200-00002A000000}"/>
            </a:ext>
          </a:extLst>
        </xdr:cNvPr>
        <xdr:cNvSpPr>
          <a:spLocks noChangeArrowheads="1"/>
        </xdr:cNvSpPr>
      </xdr:nvSpPr>
      <xdr:spPr bwMode="auto">
        <a:xfrm rot="5400000">
          <a:off x="3035754" y="5161191"/>
          <a:ext cx="65314" cy="62593"/>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59021</xdr:colOff>
      <xdr:row>61</xdr:row>
      <xdr:rowOff>67868</xdr:rowOff>
    </xdr:from>
    <xdr:to>
      <xdr:col>34</xdr:col>
      <xdr:colOff>136878</xdr:colOff>
      <xdr:row>61</xdr:row>
      <xdr:rowOff>175128</xdr:rowOff>
    </xdr:to>
    <xdr:sp macro="" textlink="">
      <xdr:nvSpPr>
        <xdr:cNvPr id="43" name="AutoShape 85">
          <a:extLst>
            <a:ext uri="{FF2B5EF4-FFF2-40B4-BE49-F238E27FC236}">
              <a16:creationId xmlns:a16="http://schemas.microsoft.com/office/drawing/2014/main" id="{00000000-0008-0000-2200-00002B000000}"/>
            </a:ext>
          </a:extLst>
        </xdr:cNvPr>
        <xdr:cNvSpPr>
          <a:spLocks noChangeArrowheads="1"/>
        </xdr:cNvSpPr>
      </xdr:nvSpPr>
      <xdr:spPr bwMode="auto">
        <a:xfrm rot="5400000">
          <a:off x="6428791" y="8720383"/>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59021</xdr:colOff>
      <xdr:row>322</xdr:row>
      <xdr:rowOff>67868</xdr:rowOff>
    </xdr:from>
    <xdr:to>
      <xdr:col>34</xdr:col>
      <xdr:colOff>136878</xdr:colOff>
      <xdr:row>322</xdr:row>
      <xdr:rowOff>175128</xdr:rowOff>
    </xdr:to>
    <xdr:sp macro="" textlink="">
      <xdr:nvSpPr>
        <xdr:cNvPr id="47" name="AutoShape 85">
          <a:extLst>
            <a:ext uri="{FF2B5EF4-FFF2-40B4-BE49-F238E27FC236}">
              <a16:creationId xmlns:a16="http://schemas.microsoft.com/office/drawing/2014/main" id="{00000000-0008-0000-2200-00002F000000}"/>
            </a:ext>
          </a:extLst>
        </xdr:cNvPr>
        <xdr:cNvSpPr>
          <a:spLocks noChangeArrowheads="1"/>
        </xdr:cNvSpPr>
      </xdr:nvSpPr>
      <xdr:spPr bwMode="auto">
        <a:xfrm rot="5400000">
          <a:off x="6428791" y="8720383"/>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59021</xdr:colOff>
      <xdr:row>192</xdr:row>
      <xdr:rowOff>67868</xdr:rowOff>
    </xdr:from>
    <xdr:to>
      <xdr:col>34</xdr:col>
      <xdr:colOff>136878</xdr:colOff>
      <xdr:row>192</xdr:row>
      <xdr:rowOff>175128</xdr:rowOff>
    </xdr:to>
    <xdr:sp macro="" textlink="">
      <xdr:nvSpPr>
        <xdr:cNvPr id="48" name="AutoShape 85">
          <a:extLst>
            <a:ext uri="{FF2B5EF4-FFF2-40B4-BE49-F238E27FC236}">
              <a16:creationId xmlns:a16="http://schemas.microsoft.com/office/drawing/2014/main" id="{00000000-0008-0000-2200-000030000000}"/>
            </a:ext>
          </a:extLst>
        </xdr:cNvPr>
        <xdr:cNvSpPr>
          <a:spLocks noChangeArrowheads="1"/>
        </xdr:cNvSpPr>
      </xdr:nvSpPr>
      <xdr:spPr bwMode="auto">
        <a:xfrm rot="5400000">
          <a:off x="6428791" y="8720383"/>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59021</xdr:colOff>
      <xdr:row>77</xdr:row>
      <xdr:rowOff>67868</xdr:rowOff>
    </xdr:from>
    <xdr:to>
      <xdr:col>35</xdr:col>
      <xdr:colOff>136878</xdr:colOff>
      <xdr:row>77</xdr:row>
      <xdr:rowOff>175128</xdr:rowOff>
    </xdr:to>
    <xdr:sp macro="" textlink="">
      <xdr:nvSpPr>
        <xdr:cNvPr id="49" name="AutoShape 85">
          <a:extLst>
            <a:ext uri="{FF2B5EF4-FFF2-40B4-BE49-F238E27FC236}">
              <a16:creationId xmlns:a16="http://schemas.microsoft.com/office/drawing/2014/main" id="{00000000-0008-0000-2200-000031000000}"/>
            </a:ext>
          </a:extLst>
        </xdr:cNvPr>
        <xdr:cNvSpPr>
          <a:spLocks noChangeArrowheads="1"/>
        </xdr:cNvSpPr>
      </xdr:nvSpPr>
      <xdr:spPr bwMode="auto">
        <a:xfrm rot="5400000">
          <a:off x="6428791" y="8720383"/>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59021</xdr:colOff>
      <xdr:row>338</xdr:row>
      <xdr:rowOff>67868</xdr:rowOff>
    </xdr:from>
    <xdr:to>
      <xdr:col>35</xdr:col>
      <xdr:colOff>136878</xdr:colOff>
      <xdr:row>338</xdr:row>
      <xdr:rowOff>175128</xdr:rowOff>
    </xdr:to>
    <xdr:sp macro="" textlink="">
      <xdr:nvSpPr>
        <xdr:cNvPr id="50" name="AutoShape 85">
          <a:extLst>
            <a:ext uri="{FF2B5EF4-FFF2-40B4-BE49-F238E27FC236}">
              <a16:creationId xmlns:a16="http://schemas.microsoft.com/office/drawing/2014/main" id="{00000000-0008-0000-2200-000032000000}"/>
            </a:ext>
          </a:extLst>
        </xdr:cNvPr>
        <xdr:cNvSpPr>
          <a:spLocks noChangeArrowheads="1"/>
        </xdr:cNvSpPr>
      </xdr:nvSpPr>
      <xdr:spPr bwMode="auto">
        <a:xfrm rot="5400000">
          <a:off x="6602963" y="11147898"/>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59021</xdr:colOff>
      <xdr:row>208</xdr:row>
      <xdr:rowOff>67868</xdr:rowOff>
    </xdr:from>
    <xdr:to>
      <xdr:col>35</xdr:col>
      <xdr:colOff>136878</xdr:colOff>
      <xdr:row>208</xdr:row>
      <xdr:rowOff>175128</xdr:rowOff>
    </xdr:to>
    <xdr:sp macro="" textlink="">
      <xdr:nvSpPr>
        <xdr:cNvPr id="51" name="AutoShape 85">
          <a:extLst>
            <a:ext uri="{FF2B5EF4-FFF2-40B4-BE49-F238E27FC236}">
              <a16:creationId xmlns:a16="http://schemas.microsoft.com/office/drawing/2014/main" id="{00000000-0008-0000-2200-000033000000}"/>
            </a:ext>
          </a:extLst>
        </xdr:cNvPr>
        <xdr:cNvSpPr>
          <a:spLocks noChangeArrowheads="1"/>
        </xdr:cNvSpPr>
      </xdr:nvSpPr>
      <xdr:spPr bwMode="auto">
        <a:xfrm rot="5400000">
          <a:off x="6602963" y="11147898"/>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71229</xdr:colOff>
      <xdr:row>397</xdr:row>
      <xdr:rowOff>11860</xdr:rowOff>
    </xdr:from>
    <xdr:to>
      <xdr:col>34</xdr:col>
      <xdr:colOff>149086</xdr:colOff>
      <xdr:row>397</xdr:row>
      <xdr:rowOff>119120</xdr:rowOff>
    </xdr:to>
    <xdr:sp macro="" textlink="">
      <xdr:nvSpPr>
        <xdr:cNvPr id="52" name="AutoShape 85">
          <a:extLst>
            <a:ext uri="{FF2B5EF4-FFF2-40B4-BE49-F238E27FC236}">
              <a16:creationId xmlns:a16="http://schemas.microsoft.com/office/drawing/2014/main" id="{00000000-0008-0000-2200-000034000000}"/>
            </a:ext>
          </a:extLst>
        </xdr:cNvPr>
        <xdr:cNvSpPr>
          <a:spLocks noChangeArrowheads="1"/>
        </xdr:cNvSpPr>
      </xdr:nvSpPr>
      <xdr:spPr bwMode="auto">
        <a:xfrm rot="5400000">
          <a:off x="6440999" y="21079532"/>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59</xdr:col>
      <xdr:colOff>61548</xdr:colOff>
      <xdr:row>100</xdr:row>
      <xdr:rowOff>28576</xdr:rowOff>
    </xdr:from>
    <xdr:to>
      <xdr:col>59</xdr:col>
      <xdr:colOff>352348</xdr:colOff>
      <xdr:row>101</xdr:row>
      <xdr:rowOff>152400</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a:stretch>
          <a:fillRect/>
        </a:stretch>
      </xdr:blipFill>
      <xdr:spPr>
        <a:xfrm>
          <a:off x="17463723" y="16411576"/>
          <a:ext cx="290800" cy="295274"/>
        </a:xfrm>
        <a:prstGeom prst="rect">
          <a:avLst/>
        </a:prstGeom>
      </xdr:spPr>
    </xdr:pic>
    <xdr:clientData/>
  </xdr:twoCellAnchor>
  <xdr:twoCellAnchor editAs="oneCell">
    <xdr:from>
      <xdr:col>49</xdr:col>
      <xdr:colOff>243346</xdr:colOff>
      <xdr:row>102</xdr:row>
      <xdr:rowOff>104775</xdr:rowOff>
    </xdr:from>
    <xdr:to>
      <xdr:col>49</xdr:col>
      <xdr:colOff>609437</xdr:colOff>
      <xdr:row>104</xdr:row>
      <xdr:rowOff>133350</xdr:rowOff>
    </xdr:to>
    <xdr:pic>
      <xdr:nvPicPr>
        <xdr:cNvPr id="4" name="Picture 3">
          <a:extLst>
            <a:ext uri="{FF2B5EF4-FFF2-40B4-BE49-F238E27FC236}">
              <a16:creationId xmlns:a16="http://schemas.microsoft.com/office/drawing/2014/main" id="{00000000-0008-0000-2200-000004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twoCellAnchor>
  <xdr:oneCellAnchor>
    <xdr:from>
      <xdr:col>59</xdr:col>
      <xdr:colOff>61548</xdr:colOff>
      <xdr:row>230</xdr:row>
      <xdr:rowOff>28576</xdr:rowOff>
    </xdr:from>
    <xdr:ext cx="290800" cy="295274"/>
    <xdr:pic>
      <xdr:nvPicPr>
        <xdr:cNvPr id="38" name="Picture 37">
          <a:extLst>
            <a:ext uri="{FF2B5EF4-FFF2-40B4-BE49-F238E27FC236}">
              <a16:creationId xmlns:a16="http://schemas.microsoft.com/office/drawing/2014/main" id="{00000000-0008-0000-2200-000026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44" name="Picture 43">
          <a:extLst>
            <a:ext uri="{FF2B5EF4-FFF2-40B4-BE49-F238E27FC236}">
              <a16:creationId xmlns:a16="http://schemas.microsoft.com/office/drawing/2014/main" id="{00000000-0008-0000-2200-00002C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360</xdr:row>
      <xdr:rowOff>28576</xdr:rowOff>
    </xdr:from>
    <xdr:ext cx="290800" cy="295274"/>
    <xdr:pic>
      <xdr:nvPicPr>
        <xdr:cNvPr id="45" name="Picture 44">
          <a:extLst>
            <a:ext uri="{FF2B5EF4-FFF2-40B4-BE49-F238E27FC236}">
              <a16:creationId xmlns:a16="http://schemas.microsoft.com/office/drawing/2014/main" id="{00000000-0008-0000-2200-00002D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362</xdr:row>
      <xdr:rowOff>104775</xdr:rowOff>
    </xdr:from>
    <xdr:ext cx="366091" cy="371475"/>
    <xdr:pic>
      <xdr:nvPicPr>
        <xdr:cNvPr id="46" name="Picture 45">
          <a:extLst>
            <a:ext uri="{FF2B5EF4-FFF2-40B4-BE49-F238E27FC236}">
              <a16:creationId xmlns:a16="http://schemas.microsoft.com/office/drawing/2014/main" id="{00000000-0008-0000-2200-00002E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360</xdr:row>
      <xdr:rowOff>28576</xdr:rowOff>
    </xdr:from>
    <xdr:ext cx="290800" cy="295274"/>
    <xdr:pic>
      <xdr:nvPicPr>
        <xdr:cNvPr id="53" name="Picture 52">
          <a:extLst>
            <a:ext uri="{FF2B5EF4-FFF2-40B4-BE49-F238E27FC236}">
              <a16:creationId xmlns:a16="http://schemas.microsoft.com/office/drawing/2014/main" id="{00000000-0008-0000-2200-000035000000}"/>
            </a:ext>
          </a:extLst>
        </xdr:cNvPr>
        <xdr:cNvPicPr>
          <a:picLocks noChangeAspect="1"/>
        </xdr:cNvPicPr>
      </xdr:nvPicPr>
      <xdr:blipFill>
        <a:blip xmlns:r="http://schemas.openxmlformats.org/officeDocument/2006/relationships" r:embed="rId1"/>
        <a:stretch>
          <a:fillRect/>
        </a:stretch>
      </xdr:blipFill>
      <xdr:spPr>
        <a:xfrm>
          <a:off x="17511348" y="37604701"/>
          <a:ext cx="290800" cy="295274"/>
        </a:xfrm>
        <a:prstGeom prst="rect">
          <a:avLst/>
        </a:prstGeom>
      </xdr:spPr>
    </xdr:pic>
    <xdr:clientData/>
  </xdr:oneCellAnchor>
  <xdr:oneCellAnchor>
    <xdr:from>
      <xdr:col>49</xdr:col>
      <xdr:colOff>243346</xdr:colOff>
      <xdr:row>362</xdr:row>
      <xdr:rowOff>104775</xdr:rowOff>
    </xdr:from>
    <xdr:ext cx="366091" cy="371475"/>
    <xdr:pic>
      <xdr:nvPicPr>
        <xdr:cNvPr id="54" name="Picture 53">
          <a:extLst>
            <a:ext uri="{FF2B5EF4-FFF2-40B4-BE49-F238E27FC236}">
              <a16:creationId xmlns:a16="http://schemas.microsoft.com/office/drawing/2014/main" id="{00000000-0008-0000-2200-000036000000}"/>
            </a:ext>
          </a:extLst>
        </xdr:cNvPr>
        <xdr:cNvPicPr>
          <a:picLocks noChangeAspect="1"/>
        </xdr:cNvPicPr>
      </xdr:nvPicPr>
      <xdr:blipFill>
        <a:blip xmlns:r="http://schemas.openxmlformats.org/officeDocument/2006/relationships" r:embed="rId2"/>
        <a:stretch>
          <a:fillRect/>
        </a:stretch>
      </xdr:blipFill>
      <xdr:spPr>
        <a:xfrm>
          <a:off x="10949446" y="38023800"/>
          <a:ext cx="366091" cy="371475"/>
        </a:xfrm>
        <a:prstGeom prst="rect">
          <a:avLst/>
        </a:prstGeom>
      </xdr:spPr>
    </xdr:pic>
    <xdr:clientData/>
  </xdr:oneCellAnchor>
  <xdr:oneCellAnchor>
    <xdr:from>
      <xdr:col>59</xdr:col>
      <xdr:colOff>61548</xdr:colOff>
      <xdr:row>100</xdr:row>
      <xdr:rowOff>28576</xdr:rowOff>
    </xdr:from>
    <xdr:ext cx="290800" cy="295274"/>
    <xdr:pic>
      <xdr:nvPicPr>
        <xdr:cNvPr id="55" name="Picture 54">
          <a:extLst>
            <a:ext uri="{FF2B5EF4-FFF2-40B4-BE49-F238E27FC236}">
              <a16:creationId xmlns:a16="http://schemas.microsoft.com/office/drawing/2014/main" id="{00000000-0008-0000-2200-000037000000}"/>
            </a:ext>
          </a:extLst>
        </xdr:cNvPr>
        <xdr:cNvPicPr>
          <a:picLocks noChangeAspect="1"/>
        </xdr:cNvPicPr>
      </xdr:nvPicPr>
      <xdr:blipFill>
        <a:blip xmlns:r="http://schemas.openxmlformats.org/officeDocument/2006/relationships" r:embed="rId1"/>
        <a:stretch>
          <a:fillRect/>
        </a:stretch>
      </xdr:blipFill>
      <xdr:spPr>
        <a:xfrm>
          <a:off x="17511348" y="37604701"/>
          <a:ext cx="290800" cy="295274"/>
        </a:xfrm>
        <a:prstGeom prst="rect">
          <a:avLst/>
        </a:prstGeom>
      </xdr:spPr>
    </xdr:pic>
    <xdr:clientData/>
  </xdr:oneCellAnchor>
  <xdr:oneCellAnchor>
    <xdr:from>
      <xdr:col>49</xdr:col>
      <xdr:colOff>243346</xdr:colOff>
      <xdr:row>102</xdr:row>
      <xdr:rowOff>104775</xdr:rowOff>
    </xdr:from>
    <xdr:ext cx="366091" cy="371475"/>
    <xdr:pic>
      <xdr:nvPicPr>
        <xdr:cNvPr id="56" name="Picture 55">
          <a:extLst>
            <a:ext uri="{FF2B5EF4-FFF2-40B4-BE49-F238E27FC236}">
              <a16:creationId xmlns:a16="http://schemas.microsoft.com/office/drawing/2014/main" id="{00000000-0008-0000-2200-000038000000}"/>
            </a:ext>
          </a:extLst>
        </xdr:cNvPr>
        <xdr:cNvPicPr>
          <a:picLocks noChangeAspect="1"/>
        </xdr:cNvPicPr>
      </xdr:nvPicPr>
      <xdr:blipFill>
        <a:blip xmlns:r="http://schemas.openxmlformats.org/officeDocument/2006/relationships" r:embed="rId2"/>
        <a:stretch>
          <a:fillRect/>
        </a:stretch>
      </xdr:blipFill>
      <xdr:spPr>
        <a:xfrm>
          <a:off x="10949446" y="38023800"/>
          <a:ext cx="366091" cy="371475"/>
        </a:xfrm>
        <a:prstGeom prst="rect">
          <a:avLst/>
        </a:prstGeom>
      </xdr:spPr>
    </xdr:pic>
    <xdr:clientData/>
  </xdr:oneCellAnchor>
  <xdr:oneCellAnchor>
    <xdr:from>
      <xdr:col>59</xdr:col>
      <xdr:colOff>61548</xdr:colOff>
      <xdr:row>230</xdr:row>
      <xdr:rowOff>28576</xdr:rowOff>
    </xdr:from>
    <xdr:ext cx="290800" cy="295274"/>
    <xdr:pic>
      <xdr:nvPicPr>
        <xdr:cNvPr id="57" name="Picture 56">
          <a:extLst>
            <a:ext uri="{FF2B5EF4-FFF2-40B4-BE49-F238E27FC236}">
              <a16:creationId xmlns:a16="http://schemas.microsoft.com/office/drawing/2014/main" id="{00000000-0008-0000-2200-000039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58" name="Picture 57">
          <a:extLst>
            <a:ext uri="{FF2B5EF4-FFF2-40B4-BE49-F238E27FC236}">
              <a16:creationId xmlns:a16="http://schemas.microsoft.com/office/drawing/2014/main" id="{00000000-0008-0000-2200-00003A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230</xdr:row>
      <xdr:rowOff>28576</xdr:rowOff>
    </xdr:from>
    <xdr:ext cx="290800" cy="295274"/>
    <xdr:pic>
      <xdr:nvPicPr>
        <xdr:cNvPr id="59" name="Picture 58">
          <a:extLst>
            <a:ext uri="{FF2B5EF4-FFF2-40B4-BE49-F238E27FC236}">
              <a16:creationId xmlns:a16="http://schemas.microsoft.com/office/drawing/2014/main" id="{00000000-0008-0000-2200-00003B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60" name="Picture 59">
          <a:extLst>
            <a:ext uri="{FF2B5EF4-FFF2-40B4-BE49-F238E27FC236}">
              <a16:creationId xmlns:a16="http://schemas.microsoft.com/office/drawing/2014/main" id="{00000000-0008-0000-2200-00003C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360</xdr:row>
      <xdr:rowOff>28576</xdr:rowOff>
    </xdr:from>
    <xdr:ext cx="290800" cy="295274"/>
    <xdr:pic>
      <xdr:nvPicPr>
        <xdr:cNvPr id="61" name="Picture 60">
          <a:extLst>
            <a:ext uri="{FF2B5EF4-FFF2-40B4-BE49-F238E27FC236}">
              <a16:creationId xmlns:a16="http://schemas.microsoft.com/office/drawing/2014/main" id="{00000000-0008-0000-2200-00003D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362</xdr:row>
      <xdr:rowOff>104775</xdr:rowOff>
    </xdr:from>
    <xdr:ext cx="366091" cy="371475"/>
    <xdr:pic>
      <xdr:nvPicPr>
        <xdr:cNvPr id="62" name="Picture 61">
          <a:extLst>
            <a:ext uri="{FF2B5EF4-FFF2-40B4-BE49-F238E27FC236}">
              <a16:creationId xmlns:a16="http://schemas.microsoft.com/office/drawing/2014/main" id="{00000000-0008-0000-2200-00003E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360</xdr:row>
      <xdr:rowOff>28576</xdr:rowOff>
    </xdr:from>
    <xdr:ext cx="290800" cy="295274"/>
    <xdr:pic>
      <xdr:nvPicPr>
        <xdr:cNvPr id="63" name="Picture 62">
          <a:extLst>
            <a:ext uri="{FF2B5EF4-FFF2-40B4-BE49-F238E27FC236}">
              <a16:creationId xmlns:a16="http://schemas.microsoft.com/office/drawing/2014/main" id="{00000000-0008-0000-2200-00003F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362</xdr:row>
      <xdr:rowOff>104775</xdr:rowOff>
    </xdr:from>
    <xdr:ext cx="366091" cy="371475"/>
    <xdr:pic>
      <xdr:nvPicPr>
        <xdr:cNvPr id="64" name="Picture 63">
          <a:extLst>
            <a:ext uri="{FF2B5EF4-FFF2-40B4-BE49-F238E27FC236}">
              <a16:creationId xmlns:a16="http://schemas.microsoft.com/office/drawing/2014/main" id="{00000000-0008-0000-2200-000040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230</xdr:row>
      <xdr:rowOff>28576</xdr:rowOff>
    </xdr:from>
    <xdr:ext cx="290800" cy="295274"/>
    <xdr:pic>
      <xdr:nvPicPr>
        <xdr:cNvPr id="65" name="Picture 64">
          <a:extLst>
            <a:ext uri="{FF2B5EF4-FFF2-40B4-BE49-F238E27FC236}">
              <a16:creationId xmlns:a16="http://schemas.microsoft.com/office/drawing/2014/main" id="{00000000-0008-0000-2200-000041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66" name="Picture 65">
          <a:extLst>
            <a:ext uri="{FF2B5EF4-FFF2-40B4-BE49-F238E27FC236}">
              <a16:creationId xmlns:a16="http://schemas.microsoft.com/office/drawing/2014/main" id="{00000000-0008-0000-2200-000042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230</xdr:row>
      <xdr:rowOff>28576</xdr:rowOff>
    </xdr:from>
    <xdr:ext cx="290800" cy="295274"/>
    <xdr:pic>
      <xdr:nvPicPr>
        <xdr:cNvPr id="67" name="Picture 66">
          <a:extLst>
            <a:ext uri="{FF2B5EF4-FFF2-40B4-BE49-F238E27FC236}">
              <a16:creationId xmlns:a16="http://schemas.microsoft.com/office/drawing/2014/main" id="{00000000-0008-0000-2200-000043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232</xdr:row>
      <xdr:rowOff>104775</xdr:rowOff>
    </xdr:from>
    <xdr:ext cx="366091" cy="371475"/>
    <xdr:pic>
      <xdr:nvPicPr>
        <xdr:cNvPr id="68" name="Picture 67">
          <a:extLst>
            <a:ext uri="{FF2B5EF4-FFF2-40B4-BE49-F238E27FC236}">
              <a16:creationId xmlns:a16="http://schemas.microsoft.com/office/drawing/2014/main" id="{00000000-0008-0000-2200-000044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360</xdr:row>
      <xdr:rowOff>28576</xdr:rowOff>
    </xdr:from>
    <xdr:ext cx="290800" cy="295274"/>
    <xdr:pic>
      <xdr:nvPicPr>
        <xdr:cNvPr id="69" name="Picture 68">
          <a:extLst>
            <a:ext uri="{FF2B5EF4-FFF2-40B4-BE49-F238E27FC236}">
              <a16:creationId xmlns:a16="http://schemas.microsoft.com/office/drawing/2014/main" id="{00000000-0008-0000-2200-000045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362</xdr:row>
      <xdr:rowOff>104775</xdr:rowOff>
    </xdr:from>
    <xdr:ext cx="366091" cy="371475"/>
    <xdr:pic>
      <xdr:nvPicPr>
        <xdr:cNvPr id="70" name="Picture 69">
          <a:extLst>
            <a:ext uri="{FF2B5EF4-FFF2-40B4-BE49-F238E27FC236}">
              <a16:creationId xmlns:a16="http://schemas.microsoft.com/office/drawing/2014/main" id="{00000000-0008-0000-2200-000046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360</xdr:row>
      <xdr:rowOff>28576</xdr:rowOff>
    </xdr:from>
    <xdr:ext cx="290800" cy="295274"/>
    <xdr:pic>
      <xdr:nvPicPr>
        <xdr:cNvPr id="71" name="Picture 70">
          <a:extLst>
            <a:ext uri="{FF2B5EF4-FFF2-40B4-BE49-F238E27FC236}">
              <a16:creationId xmlns:a16="http://schemas.microsoft.com/office/drawing/2014/main" id="{00000000-0008-0000-2200-000047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362</xdr:row>
      <xdr:rowOff>104775</xdr:rowOff>
    </xdr:from>
    <xdr:ext cx="366091" cy="371475"/>
    <xdr:pic>
      <xdr:nvPicPr>
        <xdr:cNvPr id="72" name="Picture 71">
          <a:extLst>
            <a:ext uri="{FF2B5EF4-FFF2-40B4-BE49-F238E27FC236}">
              <a16:creationId xmlns:a16="http://schemas.microsoft.com/office/drawing/2014/main" id="{00000000-0008-0000-2200-000048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twoCellAnchor>
    <xdr:from>
      <xdr:col>10</xdr:col>
      <xdr:colOff>5861</xdr:colOff>
      <xdr:row>142</xdr:row>
      <xdr:rowOff>180975</xdr:rowOff>
    </xdr:from>
    <xdr:to>
      <xdr:col>10</xdr:col>
      <xdr:colOff>63011</xdr:colOff>
      <xdr:row>143</xdr:row>
      <xdr:rowOff>96441</xdr:rowOff>
    </xdr:to>
    <xdr:sp macro="" textlink="">
      <xdr:nvSpPr>
        <xdr:cNvPr id="73" name="AutoShape 85">
          <a:extLst>
            <a:ext uri="{FF2B5EF4-FFF2-40B4-BE49-F238E27FC236}">
              <a16:creationId xmlns:a16="http://schemas.microsoft.com/office/drawing/2014/main" id="{00000000-0008-0000-2200-000049000000}"/>
            </a:ext>
          </a:extLst>
        </xdr:cNvPr>
        <xdr:cNvSpPr>
          <a:spLocks noChangeArrowheads="1"/>
        </xdr:cNvSpPr>
      </xdr:nvSpPr>
      <xdr:spPr bwMode="auto">
        <a:xfrm rot="5400000">
          <a:off x="2457953" y="20532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196361</xdr:colOff>
      <xdr:row>143</xdr:row>
      <xdr:rowOff>140677</xdr:rowOff>
    </xdr:from>
    <xdr:to>
      <xdr:col>8</xdr:col>
      <xdr:colOff>55684</xdr:colOff>
      <xdr:row>144</xdr:row>
      <xdr:rowOff>103768</xdr:rowOff>
    </xdr:to>
    <xdr:sp macro="" textlink="">
      <xdr:nvSpPr>
        <xdr:cNvPr id="74" name="AutoShape 85">
          <a:extLst>
            <a:ext uri="{FF2B5EF4-FFF2-40B4-BE49-F238E27FC236}">
              <a16:creationId xmlns:a16="http://schemas.microsoft.com/office/drawing/2014/main" id="{00000000-0008-0000-2200-00004A000000}"/>
            </a:ext>
          </a:extLst>
        </xdr:cNvPr>
        <xdr:cNvSpPr>
          <a:spLocks noChangeArrowheads="1"/>
        </xdr:cNvSpPr>
      </xdr:nvSpPr>
      <xdr:spPr bwMode="auto">
        <a:xfrm rot="5400000">
          <a:off x="2020902" y="2202336"/>
          <a:ext cx="105966" cy="59348"/>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5861</xdr:colOff>
      <xdr:row>272</xdr:row>
      <xdr:rowOff>180975</xdr:rowOff>
    </xdr:from>
    <xdr:to>
      <xdr:col>10</xdr:col>
      <xdr:colOff>63011</xdr:colOff>
      <xdr:row>273</xdr:row>
      <xdr:rowOff>96441</xdr:rowOff>
    </xdr:to>
    <xdr:sp macro="" textlink="">
      <xdr:nvSpPr>
        <xdr:cNvPr id="75" name="AutoShape 85">
          <a:extLst>
            <a:ext uri="{FF2B5EF4-FFF2-40B4-BE49-F238E27FC236}">
              <a16:creationId xmlns:a16="http://schemas.microsoft.com/office/drawing/2014/main" id="{00000000-0008-0000-2200-00004B000000}"/>
            </a:ext>
          </a:extLst>
        </xdr:cNvPr>
        <xdr:cNvSpPr>
          <a:spLocks noChangeArrowheads="1"/>
        </xdr:cNvSpPr>
      </xdr:nvSpPr>
      <xdr:spPr bwMode="auto">
        <a:xfrm rot="5400000">
          <a:off x="2457953" y="20532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196361</xdr:colOff>
      <xdr:row>273</xdr:row>
      <xdr:rowOff>140677</xdr:rowOff>
    </xdr:from>
    <xdr:to>
      <xdr:col>8</xdr:col>
      <xdr:colOff>55684</xdr:colOff>
      <xdr:row>274</xdr:row>
      <xdr:rowOff>103768</xdr:rowOff>
    </xdr:to>
    <xdr:sp macro="" textlink="">
      <xdr:nvSpPr>
        <xdr:cNvPr id="76" name="AutoShape 85">
          <a:extLst>
            <a:ext uri="{FF2B5EF4-FFF2-40B4-BE49-F238E27FC236}">
              <a16:creationId xmlns:a16="http://schemas.microsoft.com/office/drawing/2014/main" id="{00000000-0008-0000-2200-00004C000000}"/>
            </a:ext>
          </a:extLst>
        </xdr:cNvPr>
        <xdr:cNvSpPr>
          <a:spLocks noChangeArrowheads="1"/>
        </xdr:cNvSpPr>
      </xdr:nvSpPr>
      <xdr:spPr bwMode="auto">
        <a:xfrm rot="5400000">
          <a:off x="2020902" y="2202336"/>
          <a:ext cx="105966" cy="59348"/>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71229</xdr:colOff>
      <xdr:row>137</xdr:row>
      <xdr:rowOff>6418</xdr:rowOff>
    </xdr:from>
    <xdr:to>
      <xdr:col>34</xdr:col>
      <xdr:colOff>149086</xdr:colOff>
      <xdr:row>137</xdr:row>
      <xdr:rowOff>113678</xdr:rowOff>
    </xdr:to>
    <xdr:sp macro="" textlink="">
      <xdr:nvSpPr>
        <xdr:cNvPr id="79" name="AutoShape 85">
          <a:extLst>
            <a:ext uri="{FF2B5EF4-FFF2-40B4-BE49-F238E27FC236}">
              <a16:creationId xmlns:a16="http://schemas.microsoft.com/office/drawing/2014/main" id="{00000000-0008-0000-2200-00004F000000}"/>
            </a:ext>
          </a:extLst>
        </xdr:cNvPr>
        <xdr:cNvSpPr>
          <a:spLocks noChangeArrowheads="1"/>
        </xdr:cNvSpPr>
      </xdr:nvSpPr>
      <xdr:spPr bwMode="auto">
        <a:xfrm rot="5400000">
          <a:off x="6562103" y="43712294"/>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59021</xdr:colOff>
      <xdr:row>208</xdr:row>
      <xdr:rowOff>67868</xdr:rowOff>
    </xdr:from>
    <xdr:to>
      <xdr:col>35</xdr:col>
      <xdr:colOff>136878</xdr:colOff>
      <xdr:row>208</xdr:row>
      <xdr:rowOff>175128</xdr:rowOff>
    </xdr:to>
    <xdr:sp macro="" textlink="">
      <xdr:nvSpPr>
        <xdr:cNvPr id="81" name="AutoShape 85">
          <a:extLst>
            <a:ext uri="{FF2B5EF4-FFF2-40B4-BE49-F238E27FC236}">
              <a16:creationId xmlns:a16="http://schemas.microsoft.com/office/drawing/2014/main" id="{00000000-0008-0000-2200-000051000000}"/>
            </a:ext>
          </a:extLst>
        </xdr:cNvPr>
        <xdr:cNvSpPr>
          <a:spLocks noChangeArrowheads="1"/>
        </xdr:cNvSpPr>
      </xdr:nvSpPr>
      <xdr:spPr bwMode="auto">
        <a:xfrm rot="5400000">
          <a:off x="6721345" y="55118019"/>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59021</xdr:colOff>
      <xdr:row>77</xdr:row>
      <xdr:rowOff>67868</xdr:rowOff>
    </xdr:from>
    <xdr:to>
      <xdr:col>35</xdr:col>
      <xdr:colOff>136878</xdr:colOff>
      <xdr:row>77</xdr:row>
      <xdr:rowOff>175128</xdr:rowOff>
    </xdr:to>
    <xdr:sp macro="" textlink="">
      <xdr:nvSpPr>
        <xdr:cNvPr id="82" name="AutoShape 85">
          <a:extLst>
            <a:ext uri="{FF2B5EF4-FFF2-40B4-BE49-F238E27FC236}">
              <a16:creationId xmlns:a16="http://schemas.microsoft.com/office/drawing/2014/main" id="{00000000-0008-0000-2200-000052000000}"/>
            </a:ext>
          </a:extLst>
        </xdr:cNvPr>
        <xdr:cNvSpPr>
          <a:spLocks noChangeArrowheads="1"/>
        </xdr:cNvSpPr>
      </xdr:nvSpPr>
      <xdr:spPr bwMode="auto">
        <a:xfrm rot="5400000">
          <a:off x="6721345" y="55118019"/>
          <a:ext cx="107260" cy="7785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8.xml><?xml version="1.0" encoding="utf-8"?>
<xdr:wsDr xmlns:xdr="http://schemas.openxmlformats.org/drawingml/2006/spreadsheetDrawing" xmlns:a="http://schemas.openxmlformats.org/drawingml/2006/main">
  <xdr:twoCellAnchor>
    <xdr:from>
      <xdr:col>5</xdr:col>
      <xdr:colOff>0</xdr:colOff>
      <xdr:row>15</xdr:row>
      <xdr:rowOff>0</xdr:rowOff>
    </xdr:from>
    <xdr:to>
      <xdr:col>5</xdr:col>
      <xdr:colOff>0</xdr:colOff>
      <xdr:row>17</xdr:row>
      <xdr:rowOff>0</xdr:rowOff>
    </xdr:to>
    <xdr:sp macro="" textlink="">
      <xdr:nvSpPr>
        <xdr:cNvPr id="4" name="Line 4">
          <a:extLst>
            <a:ext uri="{FF2B5EF4-FFF2-40B4-BE49-F238E27FC236}">
              <a16:creationId xmlns:a16="http://schemas.microsoft.com/office/drawing/2014/main" id="{00000000-0008-0000-2300-000004000000}"/>
            </a:ext>
          </a:extLst>
        </xdr:cNvPr>
        <xdr:cNvSpPr>
          <a:spLocks noChangeShapeType="1"/>
        </xdr:cNvSpPr>
      </xdr:nvSpPr>
      <xdr:spPr bwMode="auto">
        <a:xfrm>
          <a:off x="1362075" y="4905375"/>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507274</xdr:colOff>
      <xdr:row>26</xdr:row>
      <xdr:rowOff>2178</xdr:rowOff>
    </xdr:from>
    <xdr:to>
      <xdr:col>16</xdr:col>
      <xdr:colOff>507274</xdr:colOff>
      <xdr:row>27</xdr:row>
      <xdr:rowOff>100694</xdr:rowOff>
    </xdr:to>
    <xdr:sp macro="" textlink="">
      <xdr:nvSpPr>
        <xdr:cNvPr id="5" name="Line 5">
          <a:extLst>
            <a:ext uri="{FF2B5EF4-FFF2-40B4-BE49-F238E27FC236}">
              <a16:creationId xmlns:a16="http://schemas.microsoft.com/office/drawing/2014/main" id="{00000000-0008-0000-2300-000005000000}"/>
            </a:ext>
          </a:extLst>
        </xdr:cNvPr>
        <xdr:cNvSpPr>
          <a:spLocks noChangeShapeType="1"/>
        </xdr:cNvSpPr>
      </xdr:nvSpPr>
      <xdr:spPr bwMode="auto">
        <a:xfrm>
          <a:off x="5188131" y="3621678"/>
          <a:ext cx="0" cy="1856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0</xdr:rowOff>
    </xdr:from>
    <xdr:to>
      <xdr:col>5</xdr:col>
      <xdr:colOff>0</xdr:colOff>
      <xdr:row>29</xdr:row>
      <xdr:rowOff>0</xdr:rowOff>
    </xdr:to>
    <xdr:sp macro="" textlink="">
      <xdr:nvSpPr>
        <xdr:cNvPr id="6" name="Line 6">
          <a:extLst>
            <a:ext uri="{FF2B5EF4-FFF2-40B4-BE49-F238E27FC236}">
              <a16:creationId xmlns:a16="http://schemas.microsoft.com/office/drawing/2014/main" id="{00000000-0008-0000-2300-000006000000}"/>
            </a:ext>
          </a:extLst>
        </xdr:cNvPr>
        <xdr:cNvSpPr>
          <a:spLocks noChangeShapeType="1"/>
        </xdr:cNvSpPr>
      </xdr:nvSpPr>
      <xdr:spPr bwMode="auto">
        <a:xfrm>
          <a:off x="1362075" y="6381750"/>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14654</xdr:colOff>
      <xdr:row>25</xdr:row>
      <xdr:rowOff>7326</xdr:rowOff>
    </xdr:from>
    <xdr:to>
      <xdr:col>14</xdr:col>
      <xdr:colOff>0</xdr:colOff>
      <xdr:row>25</xdr:row>
      <xdr:rowOff>7327</xdr:rowOff>
    </xdr:to>
    <xdr:sp macro="" textlink="">
      <xdr:nvSpPr>
        <xdr:cNvPr id="14" name="Line 18">
          <a:extLst>
            <a:ext uri="{FF2B5EF4-FFF2-40B4-BE49-F238E27FC236}">
              <a16:creationId xmlns:a16="http://schemas.microsoft.com/office/drawing/2014/main" id="{00000000-0008-0000-2300-00000E000000}"/>
            </a:ext>
          </a:extLst>
        </xdr:cNvPr>
        <xdr:cNvSpPr>
          <a:spLocks noChangeShapeType="1"/>
        </xdr:cNvSpPr>
      </xdr:nvSpPr>
      <xdr:spPr bwMode="auto">
        <a:xfrm>
          <a:off x="3531577" y="3509595"/>
          <a:ext cx="410308"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13137</xdr:colOff>
      <xdr:row>14</xdr:row>
      <xdr:rowOff>13137</xdr:rowOff>
    </xdr:from>
    <xdr:to>
      <xdr:col>13</xdr:col>
      <xdr:colOff>269327</xdr:colOff>
      <xdr:row>14</xdr:row>
      <xdr:rowOff>13137</xdr:rowOff>
    </xdr:to>
    <xdr:sp macro="" textlink="">
      <xdr:nvSpPr>
        <xdr:cNvPr id="15" name="Line 20">
          <a:extLst>
            <a:ext uri="{FF2B5EF4-FFF2-40B4-BE49-F238E27FC236}">
              <a16:creationId xmlns:a16="http://schemas.microsoft.com/office/drawing/2014/main" id="{00000000-0008-0000-2300-00000F000000}"/>
            </a:ext>
          </a:extLst>
        </xdr:cNvPr>
        <xdr:cNvSpPr>
          <a:spLocks noChangeShapeType="1"/>
        </xdr:cNvSpPr>
      </xdr:nvSpPr>
      <xdr:spPr bwMode="auto">
        <a:xfrm>
          <a:off x="3343603" y="2194034"/>
          <a:ext cx="82769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xdr:colOff>
      <xdr:row>19</xdr:row>
      <xdr:rowOff>19049</xdr:rowOff>
    </xdr:from>
    <xdr:to>
      <xdr:col>13</xdr:col>
      <xdr:colOff>269327</xdr:colOff>
      <xdr:row>19</xdr:row>
      <xdr:rowOff>19707</xdr:rowOff>
    </xdr:to>
    <xdr:sp macro="" textlink="">
      <xdr:nvSpPr>
        <xdr:cNvPr id="16" name="Line 21">
          <a:extLst>
            <a:ext uri="{FF2B5EF4-FFF2-40B4-BE49-F238E27FC236}">
              <a16:creationId xmlns:a16="http://schemas.microsoft.com/office/drawing/2014/main" id="{00000000-0008-0000-2300-000010000000}"/>
            </a:ext>
          </a:extLst>
        </xdr:cNvPr>
        <xdr:cNvSpPr>
          <a:spLocks noChangeShapeType="1"/>
        </xdr:cNvSpPr>
      </xdr:nvSpPr>
      <xdr:spPr bwMode="auto">
        <a:xfrm>
          <a:off x="3330467" y="2817428"/>
          <a:ext cx="840826" cy="65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506186</xdr:colOff>
      <xdr:row>27</xdr:row>
      <xdr:rowOff>97971</xdr:rowOff>
    </xdr:from>
    <xdr:to>
      <xdr:col>18</xdr:col>
      <xdr:colOff>0</xdr:colOff>
      <xdr:row>27</xdr:row>
      <xdr:rowOff>97971</xdr:rowOff>
    </xdr:to>
    <xdr:sp macro="" textlink="">
      <xdr:nvSpPr>
        <xdr:cNvPr id="22" name="Line 93">
          <a:extLst>
            <a:ext uri="{FF2B5EF4-FFF2-40B4-BE49-F238E27FC236}">
              <a16:creationId xmlns:a16="http://schemas.microsoft.com/office/drawing/2014/main" id="{00000000-0008-0000-2300-000016000000}"/>
            </a:ext>
          </a:extLst>
        </xdr:cNvPr>
        <xdr:cNvSpPr>
          <a:spLocks noChangeShapeType="1"/>
        </xdr:cNvSpPr>
      </xdr:nvSpPr>
      <xdr:spPr bwMode="auto">
        <a:xfrm flipV="1">
          <a:off x="5187043" y="3804557"/>
          <a:ext cx="32657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6</xdr:col>
      <xdr:colOff>132406</xdr:colOff>
      <xdr:row>7</xdr:row>
      <xdr:rowOff>73792</xdr:rowOff>
    </xdr:from>
    <xdr:to>
      <xdr:col>6</xdr:col>
      <xdr:colOff>188389</xdr:colOff>
      <xdr:row>8</xdr:row>
      <xdr:rowOff>312</xdr:rowOff>
    </xdr:to>
    <xdr:pic>
      <xdr:nvPicPr>
        <xdr:cNvPr id="30" name="Picture 3">
          <a:extLst>
            <a:ext uri="{FF2B5EF4-FFF2-40B4-BE49-F238E27FC236}">
              <a16:creationId xmlns:a16="http://schemas.microsoft.com/office/drawing/2014/main" id="{00000000-0008-0000-2300-00001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1206" y="1521592"/>
          <a:ext cx="55983" cy="95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84364</xdr:colOff>
      <xdr:row>8</xdr:row>
      <xdr:rowOff>58510</xdr:rowOff>
    </xdr:from>
    <xdr:to>
      <xdr:col>7</xdr:col>
      <xdr:colOff>140035</xdr:colOff>
      <xdr:row>8</xdr:row>
      <xdr:rowOff>153759</xdr:rowOff>
    </xdr:to>
    <xdr:pic>
      <xdr:nvPicPr>
        <xdr:cNvPr id="31" name="Picture 3">
          <a:extLst>
            <a:ext uri="{FF2B5EF4-FFF2-40B4-BE49-F238E27FC236}">
              <a16:creationId xmlns:a16="http://schemas.microsoft.com/office/drawing/2014/main" id="{00000000-0008-0000-2300-00001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564" y="1677760"/>
          <a:ext cx="55671" cy="9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7883</xdr:colOff>
      <xdr:row>20</xdr:row>
      <xdr:rowOff>93278</xdr:rowOff>
    </xdr:from>
    <xdr:to>
      <xdr:col>5</xdr:col>
      <xdr:colOff>7883</xdr:colOff>
      <xdr:row>22</xdr:row>
      <xdr:rowOff>158968</xdr:rowOff>
    </xdr:to>
    <xdr:sp macro="" textlink="">
      <xdr:nvSpPr>
        <xdr:cNvPr id="34" name="Line 5">
          <a:extLst>
            <a:ext uri="{FF2B5EF4-FFF2-40B4-BE49-F238E27FC236}">
              <a16:creationId xmlns:a16="http://schemas.microsoft.com/office/drawing/2014/main" id="{00000000-0008-0000-2300-000022000000}"/>
            </a:ext>
          </a:extLst>
        </xdr:cNvPr>
        <xdr:cNvSpPr>
          <a:spLocks noChangeShapeType="1"/>
        </xdr:cNvSpPr>
      </xdr:nvSpPr>
      <xdr:spPr bwMode="auto">
        <a:xfrm>
          <a:off x="1374228" y="3036175"/>
          <a:ext cx="0" cy="24962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108856</xdr:colOff>
      <xdr:row>26</xdr:row>
      <xdr:rowOff>5444</xdr:rowOff>
    </xdr:from>
    <xdr:to>
      <xdr:col>14</xdr:col>
      <xdr:colOff>108856</xdr:colOff>
      <xdr:row>29</xdr:row>
      <xdr:rowOff>5444</xdr:rowOff>
    </xdr:to>
    <xdr:sp macro="" textlink="">
      <xdr:nvSpPr>
        <xdr:cNvPr id="36" name="Line 6">
          <a:extLst>
            <a:ext uri="{FF2B5EF4-FFF2-40B4-BE49-F238E27FC236}">
              <a16:creationId xmlns:a16="http://schemas.microsoft.com/office/drawing/2014/main" id="{00000000-0008-0000-2300-000024000000}"/>
            </a:ext>
          </a:extLst>
        </xdr:cNvPr>
        <xdr:cNvSpPr>
          <a:spLocks noChangeShapeType="1"/>
        </xdr:cNvSpPr>
      </xdr:nvSpPr>
      <xdr:spPr bwMode="auto">
        <a:xfrm>
          <a:off x="4294413" y="3624944"/>
          <a:ext cx="0" cy="42454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oneCellAnchor>
    <xdr:from>
      <xdr:col>18</xdr:col>
      <xdr:colOff>563680</xdr:colOff>
      <xdr:row>106</xdr:row>
      <xdr:rowOff>3612</xdr:rowOff>
    </xdr:from>
    <xdr:ext cx="95250" cy="155574"/>
    <xdr:pic>
      <xdr:nvPicPr>
        <xdr:cNvPr id="38" name="Picture 1">
          <a:extLst>
            <a:ext uri="{FF2B5EF4-FFF2-40B4-BE49-F238E27FC236}">
              <a16:creationId xmlns:a16="http://schemas.microsoft.com/office/drawing/2014/main" id="{00000000-0008-0000-2300-00002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1289" y="24613831"/>
          <a:ext cx="95250" cy="155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240506</xdr:colOff>
      <xdr:row>169</xdr:row>
      <xdr:rowOff>23813</xdr:rowOff>
    </xdr:from>
    <xdr:ext cx="95250" cy="155574"/>
    <xdr:pic>
      <xdr:nvPicPr>
        <xdr:cNvPr id="17" name="Picture 1">
          <a:extLst>
            <a:ext uri="{FF2B5EF4-FFF2-40B4-BE49-F238E27FC236}">
              <a16:creationId xmlns:a16="http://schemas.microsoft.com/office/drawing/2014/main" id="{00000000-0008-0000-23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4819" y="35736610"/>
          <a:ext cx="95250" cy="155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42</xdr:col>
      <xdr:colOff>177800</xdr:colOff>
      <xdr:row>156</xdr:row>
      <xdr:rowOff>81549</xdr:rowOff>
    </xdr:from>
    <xdr:to>
      <xdr:col>42</xdr:col>
      <xdr:colOff>703385</xdr:colOff>
      <xdr:row>158</xdr:row>
      <xdr:rowOff>154788</xdr:rowOff>
    </xdr:to>
    <xdr:pic>
      <xdr:nvPicPr>
        <xdr:cNvPr id="19" name="Picture 27">
          <a:extLst>
            <a:ext uri="{FF2B5EF4-FFF2-40B4-BE49-F238E27FC236}">
              <a16:creationId xmlns:a16="http://schemas.microsoft.com/office/drawing/2014/main" id="{00000000-0008-0000-23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927146" y="27535530"/>
          <a:ext cx="525585" cy="47621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oneCellAnchor>
    <xdr:from>
      <xdr:col>42</xdr:col>
      <xdr:colOff>177800</xdr:colOff>
      <xdr:row>273</xdr:row>
      <xdr:rowOff>124178</xdr:rowOff>
    </xdr:from>
    <xdr:ext cx="593090" cy="658989"/>
    <xdr:pic>
      <xdr:nvPicPr>
        <xdr:cNvPr id="20" name="Picture 27">
          <a:extLst>
            <a:ext uri="{FF2B5EF4-FFF2-40B4-BE49-F238E27FC236}">
              <a16:creationId xmlns:a16="http://schemas.microsoft.com/office/drawing/2014/main" id="{00000000-0008-0000-23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30650" y="34611028"/>
          <a:ext cx="593090" cy="65898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twoCellAnchor editAs="oneCell">
    <xdr:from>
      <xdr:col>13</xdr:col>
      <xdr:colOff>235744</xdr:colOff>
      <xdr:row>97</xdr:row>
      <xdr:rowOff>25797</xdr:rowOff>
    </xdr:from>
    <xdr:to>
      <xdr:col>13</xdr:col>
      <xdr:colOff>330994</xdr:colOff>
      <xdr:row>97</xdr:row>
      <xdr:rowOff>188457</xdr:rowOff>
    </xdr:to>
    <xdr:pic>
      <xdr:nvPicPr>
        <xdr:cNvPr id="21" name="Picture 1">
          <a:extLst>
            <a:ext uri="{FF2B5EF4-FFF2-40B4-BE49-F238E27FC236}">
              <a16:creationId xmlns:a16="http://schemas.microsoft.com/office/drawing/2014/main" id="{00000000-0008-0000-2300-00001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0057" y="23231078"/>
          <a:ext cx="95250" cy="160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146152</xdr:colOff>
      <xdr:row>171</xdr:row>
      <xdr:rowOff>170678</xdr:rowOff>
    </xdr:from>
    <xdr:to>
      <xdr:col>22</xdr:col>
      <xdr:colOff>439616</xdr:colOff>
      <xdr:row>174</xdr:row>
      <xdr:rowOff>153867</xdr:rowOff>
    </xdr:to>
    <xdr:pic>
      <xdr:nvPicPr>
        <xdr:cNvPr id="23" name="Picture 27">
          <a:extLst>
            <a:ext uri="{FF2B5EF4-FFF2-40B4-BE49-F238E27FC236}">
              <a16:creationId xmlns:a16="http://schemas.microsoft.com/office/drawing/2014/main" id="{00000000-0008-0000-23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56248" y="30943755"/>
          <a:ext cx="513272" cy="53270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9</xdr:col>
      <xdr:colOff>0</xdr:colOff>
      <xdr:row>24</xdr:row>
      <xdr:rowOff>57150</xdr:rowOff>
    </xdr:from>
    <xdr:to>
      <xdr:col>9</xdr:col>
      <xdr:colOff>615950</xdr:colOff>
      <xdr:row>24</xdr:row>
      <xdr:rowOff>57150</xdr:rowOff>
    </xdr:to>
    <xdr:sp macro="" textlink="">
      <xdr:nvSpPr>
        <xdr:cNvPr id="2" name="Line 1">
          <a:extLst>
            <a:ext uri="{FF2B5EF4-FFF2-40B4-BE49-F238E27FC236}">
              <a16:creationId xmlns:a16="http://schemas.microsoft.com/office/drawing/2014/main" id="{00000000-0008-0000-2400-000002000000}"/>
            </a:ext>
          </a:extLst>
        </xdr:cNvPr>
        <xdr:cNvSpPr>
          <a:spLocks noChangeShapeType="1"/>
        </xdr:cNvSpPr>
      </xdr:nvSpPr>
      <xdr:spPr bwMode="auto">
        <a:xfrm>
          <a:off x="3841750" y="335280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12700</xdr:colOff>
      <xdr:row>26</xdr:row>
      <xdr:rowOff>88900</xdr:rowOff>
    </xdr:from>
    <xdr:to>
      <xdr:col>9</xdr:col>
      <xdr:colOff>628650</xdr:colOff>
      <xdr:row>26</xdr:row>
      <xdr:rowOff>88900</xdr:rowOff>
    </xdr:to>
    <xdr:sp macro="" textlink="">
      <xdr:nvSpPr>
        <xdr:cNvPr id="3" name="Line 2">
          <a:extLst>
            <a:ext uri="{FF2B5EF4-FFF2-40B4-BE49-F238E27FC236}">
              <a16:creationId xmlns:a16="http://schemas.microsoft.com/office/drawing/2014/main" id="{00000000-0008-0000-2400-000003000000}"/>
            </a:ext>
          </a:extLst>
        </xdr:cNvPr>
        <xdr:cNvSpPr>
          <a:spLocks noChangeShapeType="1"/>
        </xdr:cNvSpPr>
      </xdr:nvSpPr>
      <xdr:spPr bwMode="auto">
        <a:xfrm>
          <a:off x="3854450" y="370840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247650</xdr:colOff>
      <xdr:row>24</xdr:row>
      <xdr:rowOff>57150</xdr:rowOff>
    </xdr:from>
    <xdr:to>
      <xdr:col>10</xdr:col>
      <xdr:colOff>806450</xdr:colOff>
      <xdr:row>24</xdr:row>
      <xdr:rowOff>57150</xdr:rowOff>
    </xdr:to>
    <xdr:sp macro="" textlink="">
      <xdr:nvSpPr>
        <xdr:cNvPr id="4" name="Line 3">
          <a:extLst>
            <a:ext uri="{FF2B5EF4-FFF2-40B4-BE49-F238E27FC236}">
              <a16:creationId xmlns:a16="http://schemas.microsoft.com/office/drawing/2014/main" id="{00000000-0008-0000-2400-000004000000}"/>
            </a:ext>
          </a:extLst>
        </xdr:cNvPr>
        <xdr:cNvSpPr>
          <a:spLocks noChangeShapeType="1"/>
        </xdr:cNvSpPr>
      </xdr:nvSpPr>
      <xdr:spPr bwMode="auto">
        <a:xfrm>
          <a:off x="4756150" y="33528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292100</xdr:colOff>
      <xdr:row>26</xdr:row>
      <xdr:rowOff>88900</xdr:rowOff>
    </xdr:from>
    <xdr:to>
      <xdr:col>11</xdr:col>
      <xdr:colOff>0</xdr:colOff>
      <xdr:row>26</xdr:row>
      <xdr:rowOff>88900</xdr:rowOff>
    </xdr:to>
    <xdr:sp macro="" textlink="">
      <xdr:nvSpPr>
        <xdr:cNvPr id="5" name="Line 4">
          <a:extLst>
            <a:ext uri="{FF2B5EF4-FFF2-40B4-BE49-F238E27FC236}">
              <a16:creationId xmlns:a16="http://schemas.microsoft.com/office/drawing/2014/main" id="{00000000-0008-0000-2400-000005000000}"/>
            </a:ext>
          </a:extLst>
        </xdr:cNvPr>
        <xdr:cNvSpPr>
          <a:spLocks noChangeShapeType="1"/>
        </xdr:cNvSpPr>
      </xdr:nvSpPr>
      <xdr:spPr bwMode="auto">
        <a:xfrm>
          <a:off x="4800600" y="3708400"/>
          <a:ext cx="514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14758</xdr:colOff>
      <xdr:row>83</xdr:row>
      <xdr:rowOff>40473</xdr:rowOff>
    </xdr:from>
    <xdr:to>
      <xdr:col>9</xdr:col>
      <xdr:colOff>116358</xdr:colOff>
      <xdr:row>89</xdr:row>
      <xdr:rowOff>205573</xdr:rowOff>
    </xdr:to>
    <xdr:sp macro="" textlink="">
      <xdr:nvSpPr>
        <xdr:cNvPr id="6" name="AutoShape 6">
          <a:extLst>
            <a:ext uri="{FF2B5EF4-FFF2-40B4-BE49-F238E27FC236}">
              <a16:creationId xmlns:a16="http://schemas.microsoft.com/office/drawing/2014/main" id="{00000000-0008-0000-2400-000006000000}"/>
            </a:ext>
          </a:extLst>
        </xdr:cNvPr>
        <xdr:cNvSpPr>
          <a:spLocks/>
        </xdr:cNvSpPr>
      </xdr:nvSpPr>
      <xdr:spPr bwMode="auto">
        <a:xfrm>
          <a:off x="3729508" y="13727898"/>
          <a:ext cx="101600" cy="1231900"/>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12</xdr:col>
      <xdr:colOff>188407</xdr:colOff>
      <xdr:row>2</xdr:row>
      <xdr:rowOff>43824</xdr:rowOff>
    </xdr:from>
    <xdr:to>
      <xdr:col>16</xdr:col>
      <xdr:colOff>101006</xdr:colOff>
      <xdr:row>6</xdr:row>
      <xdr:rowOff>199073</xdr:rowOff>
    </xdr:to>
    <xdr:pic>
      <xdr:nvPicPr>
        <xdr:cNvPr id="7" name="Picture 6">
          <a:extLst>
            <a:ext uri="{FF2B5EF4-FFF2-40B4-BE49-F238E27FC236}">
              <a16:creationId xmlns:a16="http://schemas.microsoft.com/office/drawing/2014/main" id="{00000000-0008-0000-2400-000007000000}"/>
            </a:ext>
          </a:extLst>
        </xdr:cNvPr>
        <xdr:cNvPicPr>
          <a:picLocks noChangeAspect="1"/>
        </xdr:cNvPicPr>
      </xdr:nvPicPr>
      <xdr:blipFill>
        <a:blip xmlns:r="http://schemas.openxmlformats.org/officeDocument/2006/relationships" r:embed="rId1"/>
        <a:stretch>
          <a:fillRect/>
        </a:stretch>
      </xdr:blipFill>
      <xdr:spPr>
        <a:xfrm>
          <a:off x="5413550" y="275145"/>
          <a:ext cx="1293724" cy="930857"/>
        </a:xfrm>
        <a:prstGeom prst="rect">
          <a:avLst/>
        </a:prstGeom>
      </xdr:spPr>
    </xdr:pic>
    <xdr:clientData/>
  </xdr:twoCellAnchor>
  <xdr:twoCellAnchor editAs="oneCell">
    <xdr:from>
      <xdr:col>1</xdr:col>
      <xdr:colOff>142876</xdr:colOff>
      <xdr:row>173</xdr:row>
      <xdr:rowOff>54429</xdr:rowOff>
    </xdr:from>
    <xdr:to>
      <xdr:col>2</xdr:col>
      <xdr:colOff>74840</xdr:colOff>
      <xdr:row>176</xdr:row>
      <xdr:rowOff>32897</xdr:rowOff>
    </xdr:to>
    <xdr:pic>
      <xdr:nvPicPr>
        <xdr:cNvPr id="8" name="Picture 7">
          <a:extLst>
            <a:ext uri="{FF2B5EF4-FFF2-40B4-BE49-F238E27FC236}">
              <a16:creationId xmlns:a16="http://schemas.microsoft.com/office/drawing/2014/main" id="{00000000-0008-0000-2400-000008000000}"/>
            </a:ext>
          </a:extLst>
        </xdr:cNvPr>
        <xdr:cNvPicPr>
          <a:picLocks noChangeAspect="1"/>
        </xdr:cNvPicPr>
      </xdr:nvPicPr>
      <xdr:blipFill>
        <a:blip xmlns:r="http://schemas.openxmlformats.org/officeDocument/2006/relationships" r:embed="rId2"/>
        <a:stretch>
          <a:fillRect/>
        </a:stretch>
      </xdr:blipFill>
      <xdr:spPr>
        <a:xfrm>
          <a:off x="278947" y="33051750"/>
          <a:ext cx="496661" cy="488736"/>
        </a:xfrm>
        <a:prstGeom prst="rect">
          <a:avLst/>
        </a:prstGeom>
      </xdr:spPr>
    </xdr:pic>
    <xdr:clientData/>
  </xdr:twoCellAnchor>
  <xdr:twoCellAnchor editAs="oneCell">
    <xdr:from>
      <xdr:col>17</xdr:col>
      <xdr:colOff>69169</xdr:colOff>
      <xdr:row>190</xdr:row>
      <xdr:rowOff>71438</xdr:rowOff>
    </xdr:from>
    <xdr:to>
      <xdr:col>17</xdr:col>
      <xdr:colOff>597074</xdr:colOff>
      <xdr:row>192</xdr:row>
      <xdr:rowOff>182564</xdr:rowOff>
    </xdr:to>
    <xdr:pic>
      <xdr:nvPicPr>
        <xdr:cNvPr id="9" name="Picture 8">
          <a:extLst>
            <a:ext uri="{FF2B5EF4-FFF2-40B4-BE49-F238E27FC236}">
              <a16:creationId xmlns:a16="http://schemas.microsoft.com/office/drawing/2014/main" id="{00000000-0008-0000-2400-000009000000}"/>
            </a:ext>
          </a:extLst>
        </xdr:cNvPr>
        <xdr:cNvPicPr>
          <a:picLocks noChangeAspect="1"/>
        </xdr:cNvPicPr>
      </xdr:nvPicPr>
      <xdr:blipFill>
        <a:blip xmlns:r="http://schemas.openxmlformats.org/officeDocument/2006/relationships" r:embed="rId3"/>
        <a:stretch>
          <a:fillRect/>
        </a:stretch>
      </xdr:blipFill>
      <xdr:spPr>
        <a:xfrm>
          <a:off x="7117669" y="35726688"/>
          <a:ext cx="527905" cy="52387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222995</xdr:colOff>
      <xdr:row>5</xdr:row>
      <xdr:rowOff>32015</xdr:rowOff>
    </xdr:from>
    <xdr:to>
      <xdr:col>9</xdr:col>
      <xdr:colOff>70956</xdr:colOff>
      <xdr:row>5</xdr:row>
      <xdr:rowOff>132028</xdr:rowOff>
    </xdr:to>
    <xdr:pic>
      <xdr:nvPicPr>
        <xdr:cNvPr id="3" name="Picture 3">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76473" y="1208145"/>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105604</xdr:colOff>
      <xdr:row>159</xdr:row>
      <xdr:rowOff>74365</xdr:rowOff>
    </xdr:from>
    <xdr:to>
      <xdr:col>20</xdr:col>
      <xdr:colOff>172001</xdr:colOff>
      <xdr:row>161</xdr:row>
      <xdr:rowOff>134690</xdr:rowOff>
    </xdr:to>
    <xdr:sp macro="" textlink="">
      <xdr:nvSpPr>
        <xdr:cNvPr id="4" name="AutoShape 6">
          <a:extLst>
            <a:ext uri="{FF2B5EF4-FFF2-40B4-BE49-F238E27FC236}">
              <a16:creationId xmlns:a16="http://schemas.microsoft.com/office/drawing/2014/main" id="{00000000-0008-0000-2500-000004000000}"/>
            </a:ext>
          </a:extLst>
        </xdr:cNvPr>
        <xdr:cNvSpPr>
          <a:spLocks/>
        </xdr:cNvSpPr>
      </xdr:nvSpPr>
      <xdr:spPr bwMode="auto">
        <a:xfrm>
          <a:off x="5269515" y="28873883"/>
          <a:ext cx="66397"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25</xdr:col>
      <xdr:colOff>96610</xdr:colOff>
      <xdr:row>21</xdr:row>
      <xdr:rowOff>36740</xdr:rowOff>
    </xdr:from>
    <xdr:to>
      <xdr:col>25</xdr:col>
      <xdr:colOff>172810</xdr:colOff>
      <xdr:row>21</xdr:row>
      <xdr:rowOff>176894</xdr:rowOff>
    </xdr:to>
    <xdr:pic>
      <xdr:nvPicPr>
        <xdr:cNvPr id="5" name="Picture 4">
          <a:extLst>
            <a:ext uri="{FF2B5EF4-FFF2-40B4-BE49-F238E27FC236}">
              <a16:creationId xmlns:a16="http://schemas.microsoft.com/office/drawing/2014/main" id="{00000000-0008-0000-25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0735" y="3819526"/>
          <a:ext cx="76200" cy="1401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142875</xdr:colOff>
      <xdr:row>13</xdr:row>
      <xdr:rowOff>57150</xdr:rowOff>
    </xdr:from>
    <xdr:to>
      <xdr:col>7</xdr:col>
      <xdr:colOff>219075</xdr:colOff>
      <xdr:row>14</xdr:row>
      <xdr:rowOff>0</xdr:rowOff>
    </xdr:to>
    <xdr:pic>
      <xdr:nvPicPr>
        <xdr:cNvPr id="6" name="Picture 5">
          <a:extLst>
            <a:ext uri="{FF2B5EF4-FFF2-40B4-BE49-F238E27FC236}">
              <a16:creationId xmlns:a16="http://schemas.microsoft.com/office/drawing/2014/main" id="{00000000-0008-0000-25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7875" y="265747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133350</xdr:colOff>
      <xdr:row>14</xdr:row>
      <xdr:rowOff>57150</xdr:rowOff>
    </xdr:from>
    <xdr:to>
      <xdr:col>9</xdr:col>
      <xdr:colOff>209550</xdr:colOff>
      <xdr:row>15</xdr:row>
      <xdr:rowOff>0</xdr:rowOff>
    </xdr:to>
    <xdr:pic>
      <xdr:nvPicPr>
        <xdr:cNvPr id="7" name="Picture 6">
          <a:extLst>
            <a:ext uri="{FF2B5EF4-FFF2-40B4-BE49-F238E27FC236}">
              <a16:creationId xmlns:a16="http://schemas.microsoft.com/office/drawing/2014/main" id="{00000000-0008-0000-25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33650" y="284797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123825</xdr:colOff>
      <xdr:row>15</xdr:row>
      <xdr:rowOff>38100</xdr:rowOff>
    </xdr:from>
    <xdr:to>
      <xdr:col>9</xdr:col>
      <xdr:colOff>200025</xdr:colOff>
      <xdr:row>15</xdr:row>
      <xdr:rowOff>171450</xdr:rowOff>
    </xdr:to>
    <xdr:pic>
      <xdr:nvPicPr>
        <xdr:cNvPr id="8" name="Picture 7">
          <a:extLst>
            <a:ext uri="{FF2B5EF4-FFF2-40B4-BE49-F238E27FC236}">
              <a16:creationId xmlns:a16="http://schemas.microsoft.com/office/drawing/2014/main" id="{00000000-0008-0000-25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24125" y="30194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17</xdr:row>
      <xdr:rowOff>0</xdr:rowOff>
    </xdr:from>
    <xdr:to>
      <xdr:col>8</xdr:col>
      <xdr:colOff>114300</xdr:colOff>
      <xdr:row>19</xdr:row>
      <xdr:rowOff>133349</xdr:rowOff>
    </xdr:to>
    <xdr:pic>
      <xdr:nvPicPr>
        <xdr:cNvPr id="9" name="Picture 8">
          <a:extLst>
            <a:ext uri="{FF2B5EF4-FFF2-40B4-BE49-F238E27FC236}">
              <a16:creationId xmlns:a16="http://schemas.microsoft.com/office/drawing/2014/main" id="{00000000-0008-0000-25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2650" y="3238500"/>
          <a:ext cx="1143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114300</xdr:colOff>
      <xdr:row>19</xdr:row>
      <xdr:rowOff>28575</xdr:rowOff>
    </xdr:from>
    <xdr:to>
      <xdr:col>26</xdr:col>
      <xdr:colOff>190500</xdr:colOff>
      <xdr:row>19</xdr:row>
      <xdr:rowOff>161925</xdr:rowOff>
    </xdr:to>
    <xdr:pic>
      <xdr:nvPicPr>
        <xdr:cNvPr id="10" name="Picture 9">
          <a:extLst>
            <a:ext uri="{FF2B5EF4-FFF2-40B4-BE49-F238E27FC236}">
              <a16:creationId xmlns:a16="http://schemas.microsoft.com/office/drawing/2014/main" id="{00000000-0008-0000-25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4650" y="35147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133350</xdr:colOff>
      <xdr:row>20</xdr:row>
      <xdr:rowOff>47625</xdr:rowOff>
    </xdr:from>
    <xdr:to>
      <xdr:col>23</xdr:col>
      <xdr:colOff>209550</xdr:colOff>
      <xdr:row>20</xdr:row>
      <xdr:rowOff>180975</xdr:rowOff>
    </xdr:to>
    <xdr:pic>
      <xdr:nvPicPr>
        <xdr:cNvPr id="11" name="Picture 10">
          <a:extLst>
            <a:ext uri="{FF2B5EF4-FFF2-40B4-BE49-F238E27FC236}">
              <a16:creationId xmlns:a16="http://schemas.microsoft.com/office/drawing/2014/main" id="{00000000-0008-0000-25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37052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85725</xdr:colOff>
      <xdr:row>23</xdr:row>
      <xdr:rowOff>9525</xdr:rowOff>
    </xdr:from>
    <xdr:to>
      <xdr:col>27</xdr:col>
      <xdr:colOff>161925</xdr:colOff>
      <xdr:row>23</xdr:row>
      <xdr:rowOff>142875</xdr:rowOff>
    </xdr:to>
    <xdr:pic>
      <xdr:nvPicPr>
        <xdr:cNvPr id="12" name="Picture 11">
          <a:extLst>
            <a:ext uri="{FF2B5EF4-FFF2-40B4-BE49-F238E27FC236}">
              <a16:creationId xmlns:a16="http://schemas.microsoft.com/office/drawing/2014/main" id="{00000000-0008-0000-25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43725" y="42481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133350</xdr:colOff>
      <xdr:row>24</xdr:row>
      <xdr:rowOff>28575</xdr:rowOff>
    </xdr:from>
    <xdr:to>
      <xdr:col>13</xdr:col>
      <xdr:colOff>209550</xdr:colOff>
      <xdr:row>24</xdr:row>
      <xdr:rowOff>161925</xdr:rowOff>
    </xdr:to>
    <xdr:pic>
      <xdr:nvPicPr>
        <xdr:cNvPr id="13" name="Picture 12">
          <a:extLst>
            <a:ext uri="{FF2B5EF4-FFF2-40B4-BE49-F238E27FC236}">
              <a16:creationId xmlns:a16="http://schemas.microsoft.com/office/drawing/2014/main" id="{00000000-0008-0000-2500-00000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0" y="44291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133350</xdr:colOff>
      <xdr:row>28</xdr:row>
      <xdr:rowOff>28575</xdr:rowOff>
    </xdr:from>
    <xdr:to>
      <xdr:col>14</xdr:col>
      <xdr:colOff>209550</xdr:colOff>
      <xdr:row>28</xdr:row>
      <xdr:rowOff>161925</xdr:rowOff>
    </xdr:to>
    <xdr:pic>
      <xdr:nvPicPr>
        <xdr:cNvPr id="14" name="Picture 13">
          <a:extLst>
            <a:ext uri="{FF2B5EF4-FFF2-40B4-BE49-F238E27FC236}">
              <a16:creationId xmlns:a16="http://schemas.microsoft.com/office/drawing/2014/main" id="{00000000-0008-0000-2500-00000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1900" y="517207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133350</xdr:colOff>
      <xdr:row>29</xdr:row>
      <xdr:rowOff>38100</xdr:rowOff>
    </xdr:from>
    <xdr:to>
      <xdr:col>18</xdr:col>
      <xdr:colOff>209550</xdr:colOff>
      <xdr:row>29</xdr:row>
      <xdr:rowOff>171450</xdr:rowOff>
    </xdr:to>
    <xdr:pic>
      <xdr:nvPicPr>
        <xdr:cNvPr id="15" name="Picture 14">
          <a:extLst>
            <a:ext uri="{FF2B5EF4-FFF2-40B4-BE49-F238E27FC236}">
              <a16:creationId xmlns:a16="http://schemas.microsoft.com/office/drawing/2014/main" id="{00000000-0008-0000-25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0" y="53530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171450</xdr:colOff>
      <xdr:row>39</xdr:row>
      <xdr:rowOff>19050</xdr:rowOff>
    </xdr:from>
    <xdr:to>
      <xdr:col>11</xdr:col>
      <xdr:colOff>0</xdr:colOff>
      <xdr:row>39</xdr:row>
      <xdr:rowOff>152400</xdr:rowOff>
    </xdr:to>
    <xdr:pic>
      <xdr:nvPicPr>
        <xdr:cNvPr id="16" name="Picture 15">
          <a:extLst>
            <a:ext uri="{FF2B5EF4-FFF2-40B4-BE49-F238E27FC236}">
              <a16:creationId xmlns:a16="http://schemas.microsoft.com/office/drawing/2014/main" id="{00000000-0008-0000-2500-00001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0" y="661987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161925</xdr:colOff>
      <xdr:row>39</xdr:row>
      <xdr:rowOff>38100</xdr:rowOff>
    </xdr:from>
    <xdr:to>
      <xdr:col>23</xdr:col>
      <xdr:colOff>238125</xdr:colOff>
      <xdr:row>40</xdr:row>
      <xdr:rowOff>2484</xdr:rowOff>
    </xdr:to>
    <xdr:pic>
      <xdr:nvPicPr>
        <xdr:cNvPr id="17" name="Picture 16">
          <a:extLst>
            <a:ext uri="{FF2B5EF4-FFF2-40B4-BE49-F238E27FC236}">
              <a16:creationId xmlns:a16="http://schemas.microsoft.com/office/drawing/2014/main" id="{00000000-0008-0000-25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29325" y="66389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142875</xdr:colOff>
      <xdr:row>41</xdr:row>
      <xdr:rowOff>9525</xdr:rowOff>
    </xdr:from>
    <xdr:to>
      <xdr:col>12</xdr:col>
      <xdr:colOff>219075</xdr:colOff>
      <xdr:row>41</xdr:row>
      <xdr:rowOff>142875</xdr:rowOff>
    </xdr:to>
    <xdr:pic>
      <xdr:nvPicPr>
        <xdr:cNvPr id="18" name="Picture 17">
          <a:extLst>
            <a:ext uri="{FF2B5EF4-FFF2-40B4-BE49-F238E27FC236}">
              <a16:creationId xmlns:a16="http://schemas.microsoft.com/office/drawing/2014/main" id="{00000000-0008-0000-25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6125" y="684847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123825</xdr:colOff>
      <xdr:row>45</xdr:row>
      <xdr:rowOff>0</xdr:rowOff>
    </xdr:from>
    <xdr:to>
      <xdr:col>11</xdr:col>
      <xdr:colOff>200025</xdr:colOff>
      <xdr:row>45</xdr:row>
      <xdr:rowOff>133350</xdr:rowOff>
    </xdr:to>
    <xdr:pic>
      <xdr:nvPicPr>
        <xdr:cNvPr id="19" name="Picture 18">
          <a:extLst>
            <a:ext uri="{FF2B5EF4-FFF2-40B4-BE49-F238E27FC236}">
              <a16:creationId xmlns:a16="http://schemas.microsoft.com/office/drawing/2014/main" id="{00000000-0008-0000-2500-00001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19425" y="74390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127907</xdr:colOff>
      <xdr:row>60</xdr:row>
      <xdr:rowOff>29936</xdr:rowOff>
    </xdr:from>
    <xdr:to>
      <xdr:col>25</xdr:col>
      <xdr:colOff>204107</xdr:colOff>
      <xdr:row>60</xdr:row>
      <xdr:rowOff>163286</xdr:rowOff>
    </xdr:to>
    <xdr:pic>
      <xdr:nvPicPr>
        <xdr:cNvPr id="20" name="Picture 19">
          <a:extLst>
            <a:ext uri="{FF2B5EF4-FFF2-40B4-BE49-F238E27FC236}">
              <a16:creationId xmlns:a16="http://schemas.microsoft.com/office/drawing/2014/main" id="{00000000-0008-0000-2500-00001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62032" y="10269311"/>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161925</xdr:colOff>
      <xdr:row>62</xdr:row>
      <xdr:rowOff>38100</xdr:rowOff>
    </xdr:from>
    <xdr:to>
      <xdr:col>18</xdr:col>
      <xdr:colOff>238125</xdr:colOff>
      <xdr:row>62</xdr:row>
      <xdr:rowOff>171450</xdr:rowOff>
    </xdr:to>
    <xdr:pic>
      <xdr:nvPicPr>
        <xdr:cNvPr id="21" name="Picture 20">
          <a:extLst>
            <a:ext uri="{FF2B5EF4-FFF2-40B4-BE49-F238E27FC236}">
              <a16:creationId xmlns:a16="http://schemas.microsoft.com/office/drawing/2014/main" id="{00000000-0008-0000-2500-00001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1075" y="106680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xdr:colOff>
      <xdr:row>68</xdr:row>
      <xdr:rowOff>28575</xdr:rowOff>
    </xdr:from>
    <xdr:to>
      <xdr:col>5</xdr:col>
      <xdr:colOff>209550</xdr:colOff>
      <xdr:row>68</xdr:row>
      <xdr:rowOff>161925</xdr:rowOff>
    </xdr:to>
    <xdr:pic>
      <xdr:nvPicPr>
        <xdr:cNvPr id="22" name="Picture 21">
          <a:extLst>
            <a:ext uri="{FF2B5EF4-FFF2-40B4-BE49-F238E27FC236}">
              <a16:creationId xmlns:a16="http://schemas.microsoft.com/office/drawing/2014/main" id="{00000000-0008-0000-25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3050" y="114776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152400</xdr:colOff>
      <xdr:row>75</xdr:row>
      <xdr:rowOff>47625</xdr:rowOff>
    </xdr:from>
    <xdr:to>
      <xdr:col>18</xdr:col>
      <xdr:colOff>228600</xdr:colOff>
      <xdr:row>76</xdr:row>
      <xdr:rowOff>11339</xdr:rowOff>
    </xdr:to>
    <xdr:pic>
      <xdr:nvPicPr>
        <xdr:cNvPr id="23" name="Picture 22">
          <a:extLst>
            <a:ext uri="{FF2B5EF4-FFF2-40B4-BE49-F238E27FC236}">
              <a16:creationId xmlns:a16="http://schemas.microsoft.com/office/drawing/2014/main" id="{00000000-0008-0000-2500-00001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1550" y="126873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152400</xdr:colOff>
      <xdr:row>75</xdr:row>
      <xdr:rowOff>57150</xdr:rowOff>
    </xdr:from>
    <xdr:to>
      <xdr:col>28</xdr:col>
      <xdr:colOff>228600</xdr:colOff>
      <xdr:row>76</xdr:row>
      <xdr:rowOff>27214</xdr:rowOff>
    </xdr:to>
    <xdr:pic>
      <xdr:nvPicPr>
        <xdr:cNvPr id="24" name="Picture 23">
          <a:extLst>
            <a:ext uri="{FF2B5EF4-FFF2-40B4-BE49-F238E27FC236}">
              <a16:creationId xmlns:a16="http://schemas.microsoft.com/office/drawing/2014/main" id="{00000000-0008-0000-2500-00001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58050" y="126968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142875</xdr:colOff>
      <xdr:row>76</xdr:row>
      <xdr:rowOff>28575</xdr:rowOff>
    </xdr:from>
    <xdr:to>
      <xdr:col>17</xdr:col>
      <xdr:colOff>219075</xdr:colOff>
      <xdr:row>76</xdr:row>
      <xdr:rowOff>161925</xdr:rowOff>
    </xdr:to>
    <xdr:pic>
      <xdr:nvPicPr>
        <xdr:cNvPr id="25" name="Picture 24">
          <a:extLst>
            <a:ext uri="{FF2B5EF4-FFF2-40B4-BE49-F238E27FC236}">
              <a16:creationId xmlns:a16="http://schemas.microsoft.com/office/drawing/2014/main" id="{00000000-0008-0000-25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4375" y="128587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133350</xdr:colOff>
      <xdr:row>100</xdr:row>
      <xdr:rowOff>19050</xdr:rowOff>
    </xdr:from>
    <xdr:to>
      <xdr:col>21</xdr:col>
      <xdr:colOff>19050</xdr:colOff>
      <xdr:row>100</xdr:row>
      <xdr:rowOff>152400</xdr:rowOff>
    </xdr:to>
    <xdr:pic>
      <xdr:nvPicPr>
        <xdr:cNvPr id="26" name="Picture 25">
          <a:extLst>
            <a:ext uri="{FF2B5EF4-FFF2-40B4-BE49-F238E27FC236}">
              <a16:creationId xmlns:a16="http://schemas.microsoft.com/office/drawing/2014/main" id="{00000000-0008-0000-2500-00001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800" y="1748790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123825</xdr:colOff>
      <xdr:row>117</xdr:row>
      <xdr:rowOff>9525</xdr:rowOff>
    </xdr:from>
    <xdr:to>
      <xdr:col>13</xdr:col>
      <xdr:colOff>200025</xdr:colOff>
      <xdr:row>117</xdr:row>
      <xdr:rowOff>142875</xdr:rowOff>
    </xdr:to>
    <xdr:pic>
      <xdr:nvPicPr>
        <xdr:cNvPr id="27" name="Picture 26">
          <a:extLst>
            <a:ext uri="{FF2B5EF4-FFF2-40B4-BE49-F238E27FC236}">
              <a16:creationId xmlns:a16="http://schemas.microsoft.com/office/drawing/2014/main" id="{00000000-0008-0000-2500-00001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4725" y="203930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139621</xdr:colOff>
      <xdr:row>121</xdr:row>
      <xdr:rowOff>24967</xdr:rowOff>
    </xdr:from>
    <xdr:to>
      <xdr:col>16</xdr:col>
      <xdr:colOff>212272</xdr:colOff>
      <xdr:row>121</xdr:row>
      <xdr:rowOff>158317</xdr:rowOff>
    </xdr:to>
    <xdr:pic>
      <xdr:nvPicPr>
        <xdr:cNvPr id="28" name="Picture 27">
          <a:extLst>
            <a:ext uri="{FF2B5EF4-FFF2-40B4-BE49-F238E27FC236}">
              <a16:creationId xmlns:a16="http://schemas.microsoft.com/office/drawing/2014/main" id="{00000000-0008-0000-2500-00001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35371" y="21544663"/>
          <a:ext cx="72651"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142875</xdr:colOff>
      <xdr:row>109</xdr:row>
      <xdr:rowOff>19050</xdr:rowOff>
    </xdr:from>
    <xdr:to>
      <xdr:col>14</xdr:col>
      <xdr:colOff>219075</xdr:colOff>
      <xdr:row>109</xdr:row>
      <xdr:rowOff>152400</xdr:rowOff>
    </xdr:to>
    <xdr:pic>
      <xdr:nvPicPr>
        <xdr:cNvPr id="29" name="Picture 28">
          <a:extLst>
            <a:ext uri="{FF2B5EF4-FFF2-40B4-BE49-F238E27FC236}">
              <a16:creationId xmlns:a16="http://schemas.microsoft.com/office/drawing/2014/main" id="{00000000-0008-0000-2500-00001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1425" y="190309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123825</xdr:colOff>
      <xdr:row>128</xdr:row>
      <xdr:rowOff>0</xdr:rowOff>
    </xdr:from>
    <xdr:to>
      <xdr:col>27</xdr:col>
      <xdr:colOff>200025</xdr:colOff>
      <xdr:row>128</xdr:row>
      <xdr:rowOff>133350</xdr:rowOff>
    </xdr:to>
    <xdr:pic>
      <xdr:nvPicPr>
        <xdr:cNvPr id="30" name="Picture 29">
          <a:extLst>
            <a:ext uri="{FF2B5EF4-FFF2-40B4-BE49-F238E27FC236}">
              <a16:creationId xmlns:a16="http://schemas.microsoft.com/office/drawing/2014/main" id="{00000000-0008-0000-2500-00001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1825" y="224218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133350</xdr:colOff>
      <xdr:row>142</xdr:row>
      <xdr:rowOff>38100</xdr:rowOff>
    </xdr:from>
    <xdr:to>
      <xdr:col>18</xdr:col>
      <xdr:colOff>209550</xdr:colOff>
      <xdr:row>142</xdr:row>
      <xdr:rowOff>171450</xdr:rowOff>
    </xdr:to>
    <xdr:pic>
      <xdr:nvPicPr>
        <xdr:cNvPr id="31" name="Picture 30">
          <a:extLst>
            <a:ext uri="{FF2B5EF4-FFF2-40B4-BE49-F238E27FC236}">
              <a16:creationId xmlns:a16="http://schemas.microsoft.com/office/drawing/2014/main" id="{00000000-0008-0000-2500-00001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0" y="252412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123825</xdr:colOff>
      <xdr:row>154</xdr:row>
      <xdr:rowOff>28575</xdr:rowOff>
    </xdr:from>
    <xdr:to>
      <xdr:col>27</xdr:col>
      <xdr:colOff>200025</xdr:colOff>
      <xdr:row>154</xdr:row>
      <xdr:rowOff>161925</xdr:rowOff>
    </xdr:to>
    <xdr:pic>
      <xdr:nvPicPr>
        <xdr:cNvPr id="32" name="Picture 31">
          <a:extLst>
            <a:ext uri="{FF2B5EF4-FFF2-40B4-BE49-F238E27FC236}">
              <a16:creationId xmlns:a16="http://schemas.microsoft.com/office/drawing/2014/main" id="{00000000-0008-0000-2500-00002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1825" y="2751772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200025</xdr:colOff>
      <xdr:row>167</xdr:row>
      <xdr:rowOff>28575</xdr:rowOff>
    </xdr:from>
    <xdr:to>
      <xdr:col>27</xdr:col>
      <xdr:colOff>276225</xdr:colOff>
      <xdr:row>167</xdr:row>
      <xdr:rowOff>161925</xdr:rowOff>
    </xdr:to>
    <xdr:pic>
      <xdr:nvPicPr>
        <xdr:cNvPr id="33" name="Picture 32">
          <a:extLst>
            <a:ext uri="{FF2B5EF4-FFF2-40B4-BE49-F238E27FC236}">
              <a16:creationId xmlns:a16="http://schemas.microsoft.com/office/drawing/2014/main" id="{00000000-0008-0000-2500-00002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86600" y="30384750"/>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171450</xdr:colOff>
      <xdr:row>188</xdr:row>
      <xdr:rowOff>38100</xdr:rowOff>
    </xdr:from>
    <xdr:to>
      <xdr:col>27</xdr:col>
      <xdr:colOff>247650</xdr:colOff>
      <xdr:row>188</xdr:row>
      <xdr:rowOff>171450</xdr:rowOff>
    </xdr:to>
    <xdr:pic>
      <xdr:nvPicPr>
        <xdr:cNvPr id="34" name="Picture 33">
          <a:extLst>
            <a:ext uri="{FF2B5EF4-FFF2-40B4-BE49-F238E27FC236}">
              <a16:creationId xmlns:a16="http://schemas.microsoft.com/office/drawing/2014/main" id="{00000000-0008-0000-2500-00002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58025" y="34661475"/>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182217</xdr:colOff>
      <xdr:row>162</xdr:row>
      <xdr:rowOff>25644</xdr:rowOff>
    </xdr:from>
    <xdr:to>
      <xdr:col>27</xdr:col>
      <xdr:colOff>235426</xdr:colOff>
      <xdr:row>164</xdr:row>
      <xdr:rowOff>85969</xdr:rowOff>
    </xdr:to>
    <xdr:sp macro="" textlink="">
      <xdr:nvSpPr>
        <xdr:cNvPr id="35" name="AutoShape 6">
          <a:extLst>
            <a:ext uri="{FF2B5EF4-FFF2-40B4-BE49-F238E27FC236}">
              <a16:creationId xmlns:a16="http://schemas.microsoft.com/office/drawing/2014/main" id="{00000000-0008-0000-2500-000023000000}"/>
            </a:ext>
          </a:extLst>
        </xdr:cNvPr>
        <xdr:cNvSpPr>
          <a:spLocks/>
        </xdr:cNvSpPr>
      </xdr:nvSpPr>
      <xdr:spPr bwMode="auto">
        <a:xfrm>
          <a:off x="7081630" y="29470318"/>
          <a:ext cx="53209"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oneCellAnchor>
    <xdr:from>
      <xdr:col>8</xdr:col>
      <xdr:colOff>222995</xdr:colOff>
      <xdr:row>5</xdr:row>
      <xdr:rowOff>32015</xdr:rowOff>
    </xdr:from>
    <xdr:ext cx="92890" cy="100013"/>
    <xdr:pic>
      <xdr:nvPicPr>
        <xdr:cNvPr id="37" name="Picture 3">
          <a:extLst>
            <a:ext uri="{FF2B5EF4-FFF2-40B4-BE49-F238E27FC236}">
              <a16:creationId xmlns:a16="http://schemas.microsoft.com/office/drawing/2014/main" id="{00000000-0008-0000-2500-00002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59316" y="957301"/>
          <a:ext cx="9289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109262</xdr:colOff>
      <xdr:row>4</xdr:row>
      <xdr:rowOff>58079</xdr:rowOff>
    </xdr:from>
    <xdr:ext cx="97905" cy="100013"/>
    <xdr:pic>
      <xdr:nvPicPr>
        <xdr:cNvPr id="38" name="Picture 3">
          <a:extLst>
            <a:ext uri="{FF2B5EF4-FFF2-40B4-BE49-F238E27FC236}">
              <a16:creationId xmlns:a16="http://schemas.microsoft.com/office/drawing/2014/main" id="{00000000-0008-0000-2500-00002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70226" y="813275"/>
          <a:ext cx="97905"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14</xdr:col>
      <xdr:colOff>142875</xdr:colOff>
      <xdr:row>4</xdr:row>
      <xdr:rowOff>38100</xdr:rowOff>
    </xdr:from>
    <xdr:to>
      <xdr:col>14</xdr:col>
      <xdr:colOff>239315</xdr:colOff>
      <xdr:row>4</xdr:row>
      <xdr:rowOff>138113</xdr:rowOff>
    </xdr:to>
    <xdr:pic>
      <xdr:nvPicPr>
        <xdr:cNvPr id="2" name="Picture 3">
          <a:extLst>
            <a:ext uri="{FF2B5EF4-FFF2-40B4-BE49-F238E27FC236}">
              <a16:creationId xmlns:a16="http://schemas.microsoft.com/office/drawing/2014/main" id="{00000000-0008-0000-2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7625" y="885825"/>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7327</xdr:colOff>
      <xdr:row>5</xdr:row>
      <xdr:rowOff>40298</xdr:rowOff>
    </xdr:from>
    <xdr:to>
      <xdr:col>9</xdr:col>
      <xdr:colOff>105233</xdr:colOff>
      <xdr:row>5</xdr:row>
      <xdr:rowOff>140311</xdr:rowOff>
    </xdr:to>
    <xdr:pic>
      <xdr:nvPicPr>
        <xdr:cNvPr id="3" name="Picture 3">
          <a:extLst>
            <a:ext uri="{FF2B5EF4-FFF2-40B4-BE49-F238E27FC236}">
              <a16:creationId xmlns:a16="http://schemas.microsoft.com/office/drawing/2014/main" id="{00000000-0008-0000-2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8577" y="1049948"/>
          <a:ext cx="97906"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219074</xdr:colOff>
      <xdr:row>25</xdr:row>
      <xdr:rowOff>37280</xdr:rowOff>
    </xdr:from>
    <xdr:to>
      <xdr:col>20</xdr:col>
      <xdr:colOff>355080</xdr:colOff>
      <xdr:row>25</xdr:row>
      <xdr:rowOff>176213</xdr:rowOff>
    </xdr:to>
    <xdr:pic>
      <xdr:nvPicPr>
        <xdr:cNvPr id="4" name="Picture 3">
          <a:extLst>
            <a:ext uri="{FF2B5EF4-FFF2-40B4-BE49-F238E27FC236}">
              <a16:creationId xmlns:a16="http://schemas.microsoft.com/office/drawing/2014/main" id="{00000000-0008-0000-26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92762" y="4966468"/>
          <a:ext cx="136006" cy="138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85725</xdr:colOff>
      <xdr:row>36</xdr:row>
      <xdr:rowOff>9525</xdr:rowOff>
    </xdr:from>
    <xdr:to>
      <xdr:col>24</xdr:col>
      <xdr:colOff>221731</xdr:colOff>
      <xdr:row>36</xdr:row>
      <xdr:rowOff>148458</xdr:rowOff>
    </xdr:to>
    <xdr:pic>
      <xdr:nvPicPr>
        <xdr:cNvPr id="5" name="Picture 3">
          <a:extLst>
            <a:ext uri="{FF2B5EF4-FFF2-40B4-BE49-F238E27FC236}">
              <a16:creationId xmlns:a16="http://schemas.microsoft.com/office/drawing/2014/main" id="{00000000-0008-0000-2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7025" y="7191375"/>
          <a:ext cx="136006" cy="138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10</xdr:col>
      <xdr:colOff>159166</xdr:colOff>
      <xdr:row>48</xdr:row>
      <xdr:rowOff>20360</xdr:rowOff>
    </xdr:from>
    <xdr:to>
      <xdr:col>10</xdr:col>
      <xdr:colOff>244646</xdr:colOff>
      <xdr:row>55</xdr:row>
      <xdr:rowOff>29676</xdr:rowOff>
    </xdr:to>
    <xdr:sp macro="" textlink="">
      <xdr:nvSpPr>
        <xdr:cNvPr id="107241" name="AutoShape 7">
          <a:extLst>
            <a:ext uri="{FF2B5EF4-FFF2-40B4-BE49-F238E27FC236}">
              <a16:creationId xmlns:a16="http://schemas.microsoft.com/office/drawing/2014/main" id="{00000000-0008-0000-2700-0000E9A20100}"/>
            </a:ext>
          </a:extLst>
        </xdr:cNvPr>
        <xdr:cNvSpPr>
          <a:spLocks/>
        </xdr:cNvSpPr>
      </xdr:nvSpPr>
      <xdr:spPr bwMode="auto">
        <a:xfrm>
          <a:off x="6098684" y="8892217"/>
          <a:ext cx="85480" cy="1193138"/>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94956</xdr:colOff>
      <xdr:row>85</xdr:row>
      <xdr:rowOff>76046</xdr:rowOff>
    </xdr:from>
    <xdr:to>
      <xdr:col>7</xdr:col>
      <xdr:colOff>161631</xdr:colOff>
      <xdr:row>88</xdr:row>
      <xdr:rowOff>9371</xdr:rowOff>
    </xdr:to>
    <xdr:sp macro="" textlink="">
      <xdr:nvSpPr>
        <xdr:cNvPr id="107244" name="AutoShape 318">
          <a:extLst>
            <a:ext uri="{FF2B5EF4-FFF2-40B4-BE49-F238E27FC236}">
              <a16:creationId xmlns:a16="http://schemas.microsoft.com/office/drawing/2014/main" id="{00000000-0008-0000-2700-0000ECA20100}"/>
            </a:ext>
          </a:extLst>
        </xdr:cNvPr>
        <xdr:cNvSpPr>
          <a:spLocks/>
        </xdr:cNvSpPr>
      </xdr:nvSpPr>
      <xdr:spPr bwMode="auto">
        <a:xfrm>
          <a:off x="4522439" y="15802149"/>
          <a:ext cx="66675" cy="471981"/>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857251</xdr:colOff>
      <xdr:row>97</xdr:row>
      <xdr:rowOff>178676</xdr:rowOff>
    </xdr:from>
    <xdr:to>
      <xdr:col>6</xdr:col>
      <xdr:colOff>939363</xdr:colOff>
      <xdr:row>101</xdr:row>
      <xdr:rowOff>104775</xdr:rowOff>
    </xdr:to>
    <xdr:sp macro="" textlink="">
      <xdr:nvSpPr>
        <xdr:cNvPr id="13" name="AutoShape 318">
          <a:extLst>
            <a:ext uri="{FF2B5EF4-FFF2-40B4-BE49-F238E27FC236}">
              <a16:creationId xmlns:a16="http://schemas.microsoft.com/office/drawing/2014/main" id="{00000000-0008-0000-2700-00000D000000}"/>
            </a:ext>
          </a:extLst>
        </xdr:cNvPr>
        <xdr:cNvSpPr>
          <a:spLocks/>
        </xdr:cNvSpPr>
      </xdr:nvSpPr>
      <xdr:spPr bwMode="auto">
        <a:xfrm>
          <a:off x="4476751" y="18047576"/>
          <a:ext cx="82112" cy="649999"/>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22</xdr:col>
      <xdr:colOff>914399</xdr:colOff>
      <xdr:row>5</xdr:row>
      <xdr:rowOff>38100</xdr:rowOff>
    </xdr:from>
    <xdr:to>
      <xdr:col>22</xdr:col>
      <xdr:colOff>1114424</xdr:colOff>
      <xdr:row>6</xdr:row>
      <xdr:rowOff>100943</xdr:rowOff>
    </xdr:to>
    <xdr:pic>
      <xdr:nvPicPr>
        <xdr:cNvPr id="2" name="Picture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01649" y="1152525"/>
          <a:ext cx="200025" cy="244475"/>
        </a:xfrm>
        <a:prstGeom prst="rect">
          <a:avLst/>
        </a:prstGeom>
      </xdr:spPr>
    </xdr:pic>
    <xdr:clientData/>
  </xdr:twoCellAnchor>
  <xdr:oneCellAnchor>
    <xdr:from>
      <xdr:col>28</xdr:col>
      <xdr:colOff>575128</xdr:colOff>
      <xdr:row>68</xdr:row>
      <xdr:rowOff>144236</xdr:rowOff>
    </xdr:from>
    <xdr:ext cx="345274" cy="340272"/>
    <xdr:pic>
      <xdr:nvPicPr>
        <xdr:cNvPr id="25" name="Picture 24">
          <a:extLst>
            <a:ext uri="{FF2B5EF4-FFF2-40B4-BE49-F238E27FC236}">
              <a16:creationId xmlns:a16="http://schemas.microsoft.com/office/drawing/2014/main" id="{00000000-0008-0000-27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86070" y="25810448"/>
          <a:ext cx="345274" cy="340272"/>
        </a:xfrm>
        <a:prstGeom prst="rect">
          <a:avLst/>
        </a:prstGeom>
      </xdr:spPr>
    </xdr:pic>
    <xdr:clientData/>
  </xdr:oneCellAnchor>
  <xdr:oneCellAnchor>
    <xdr:from>
      <xdr:col>28</xdr:col>
      <xdr:colOff>74976</xdr:colOff>
      <xdr:row>93</xdr:row>
      <xdr:rowOff>69753</xdr:rowOff>
    </xdr:from>
    <xdr:ext cx="450542" cy="445908"/>
    <xdr:pic>
      <xdr:nvPicPr>
        <xdr:cNvPr id="26" name="Picture 25">
          <a:extLst>
            <a:ext uri="{FF2B5EF4-FFF2-40B4-BE49-F238E27FC236}">
              <a16:creationId xmlns:a16="http://schemas.microsoft.com/office/drawing/2014/main" id="{00000000-0008-0000-27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60855" y="21596253"/>
          <a:ext cx="450542" cy="445908"/>
        </a:xfrm>
        <a:prstGeom prst="rect">
          <a:avLst/>
        </a:prstGeom>
      </xdr:spPr>
    </xdr:pic>
    <xdr:clientData/>
  </xdr:oneCellAnchor>
  <xdr:twoCellAnchor>
    <xdr:from>
      <xdr:col>27</xdr:col>
      <xdr:colOff>104774</xdr:colOff>
      <xdr:row>109</xdr:row>
      <xdr:rowOff>19049</xdr:rowOff>
    </xdr:from>
    <xdr:to>
      <xdr:col>27</xdr:col>
      <xdr:colOff>209549</xdr:colOff>
      <xdr:row>114</xdr:row>
      <xdr:rowOff>66674</xdr:rowOff>
    </xdr:to>
    <xdr:sp macro="" textlink="">
      <xdr:nvSpPr>
        <xdr:cNvPr id="27" name="AutoShape 7">
          <a:extLst>
            <a:ext uri="{FF2B5EF4-FFF2-40B4-BE49-F238E27FC236}">
              <a16:creationId xmlns:a16="http://schemas.microsoft.com/office/drawing/2014/main" id="{00000000-0008-0000-2700-00001B000000}"/>
            </a:ext>
          </a:extLst>
        </xdr:cNvPr>
        <xdr:cNvSpPr>
          <a:spLocks/>
        </xdr:cNvSpPr>
      </xdr:nvSpPr>
      <xdr:spPr bwMode="auto">
        <a:xfrm>
          <a:off x="17011649" y="24364949"/>
          <a:ext cx="104775" cy="752475"/>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22</xdr:col>
      <xdr:colOff>866775</xdr:colOff>
      <xdr:row>96</xdr:row>
      <xdr:rowOff>9526</xdr:rowOff>
    </xdr:from>
    <xdr:to>
      <xdr:col>22</xdr:col>
      <xdr:colOff>990600</xdr:colOff>
      <xdr:row>96</xdr:row>
      <xdr:rowOff>163732</xdr:rowOff>
    </xdr:to>
    <xdr:pic>
      <xdr:nvPicPr>
        <xdr:cNvPr id="16" name="Picture 15">
          <a:extLst>
            <a:ext uri="{FF2B5EF4-FFF2-40B4-BE49-F238E27FC236}">
              <a16:creationId xmlns:a16="http://schemas.microsoft.com/office/drawing/2014/main" id="{00000000-0008-0000-2700-00001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154025" y="22640926"/>
          <a:ext cx="123825" cy="151342"/>
        </a:xfrm>
        <a:prstGeom prst="rect">
          <a:avLst/>
        </a:prstGeom>
      </xdr:spPr>
    </xdr:pic>
    <xdr:clientData/>
  </xdr:twoCellAnchor>
  <xdr:twoCellAnchor>
    <xdr:from>
      <xdr:col>10</xdr:col>
      <xdr:colOff>87367</xdr:colOff>
      <xdr:row>41</xdr:row>
      <xdr:rowOff>91310</xdr:rowOff>
    </xdr:from>
    <xdr:to>
      <xdr:col>10</xdr:col>
      <xdr:colOff>159626</xdr:colOff>
      <xdr:row>44</xdr:row>
      <xdr:rowOff>150431</xdr:rowOff>
    </xdr:to>
    <xdr:sp macro="" textlink="">
      <xdr:nvSpPr>
        <xdr:cNvPr id="17" name="AutoShape 7">
          <a:extLst>
            <a:ext uri="{FF2B5EF4-FFF2-40B4-BE49-F238E27FC236}">
              <a16:creationId xmlns:a16="http://schemas.microsoft.com/office/drawing/2014/main" id="{00000000-0008-0000-2700-000011000000}"/>
            </a:ext>
          </a:extLst>
        </xdr:cNvPr>
        <xdr:cNvSpPr>
          <a:spLocks/>
        </xdr:cNvSpPr>
      </xdr:nvSpPr>
      <xdr:spPr bwMode="auto">
        <a:xfrm>
          <a:off x="5830942" y="7768460"/>
          <a:ext cx="72259" cy="573471"/>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352425</xdr:colOff>
      <xdr:row>6</xdr:row>
      <xdr:rowOff>19050</xdr:rowOff>
    </xdr:from>
    <xdr:to>
      <xdr:col>4</xdr:col>
      <xdr:colOff>409575</xdr:colOff>
      <xdr:row>6</xdr:row>
      <xdr:rowOff>125016</xdr:rowOff>
    </xdr:to>
    <xdr:sp macro="" textlink="">
      <xdr:nvSpPr>
        <xdr:cNvPr id="19" name="AutoShape 85">
          <a:extLst>
            <a:ext uri="{FF2B5EF4-FFF2-40B4-BE49-F238E27FC236}">
              <a16:creationId xmlns:a16="http://schemas.microsoft.com/office/drawing/2014/main" id="{00000000-0008-0000-2700-000013000000}"/>
            </a:ext>
          </a:extLst>
        </xdr:cNvPr>
        <xdr:cNvSpPr>
          <a:spLocks noChangeArrowheads="1"/>
        </xdr:cNvSpPr>
      </xdr:nvSpPr>
      <xdr:spPr bwMode="auto">
        <a:xfrm rot="5400000">
          <a:off x="1871067" y="11959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434866</xdr:colOff>
      <xdr:row>7</xdr:row>
      <xdr:rowOff>13138</xdr:rowOff>
    </xdr:from>
    <xdr:to>
      <xdr:col>5</xdr:col>
      <xdr:colOff>492016</xdr:colOff>
      <xdr:row>7</xdr:row>
      <xdr:rowOff>119104</xdr:rowOff>
    </xdr:to>
    <xdr:sp macro="" textlink="">
      <xdr:nvSpPr>
        <xdr:cNvPr id="20" name="AutoShape 85">
          <a:extLst>
            <a:ext uri="{FF2B5EF4-FFF2-40B4-BE49-F238E27FC236}">
              <a16:creationId xmlns:a16="http://schemas.microsoft.com/office/drawing/2014/main" id="{00000000-0008-0000-2700-000014000000}"/>
            </a:ext>
          </a:extLst>
        </xdr:cNvPr>
        <xdr:cNvSpPr>
          <a:spLocks noChangeArrowheads="1"/>
        </xdr:cNvSpPr>
      </xdr:nvSpPr>
      <xdr:spPr bwMode="auto">
        <a:xfrm rot="5400000">
          <a:off x="2601208" y="1351996"/>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704850</xdr:colOff>
      <xdr:row>83</xdr:row>
      <xdr:rowOff>47625</xdr:rowOff>
    </xdr:from>
    <xdr:to>
      <xdr:col>10</xdr:col>
      <xdr:colOff>762000</xdr:colOff>
      <xdr:row>83</xdr:row>
      <xdr:rowOff>153591</xdr:rowOff>
    </xdr:to>
    <xdr:sp macro="" textlink="">
      <xdr:nvSpPr>
        <xdr:cNvPr id="21" name="AutoShape 85">
          <a:extLst>
            <a:ext uri="{FF2B5EF4-FFF2-40B4-BE49-F238E27FC236}">
              <a16:creationId xmlns:a16="http://schemas.microsoft.com/office/drawing/2014/main" id="{00000000-0008-0000-2700-000015000000}"/>
            </a:ext>
          </a:extLst>
        </xdr:cNvPr>
        <xdr:cNvSpPr>
          <a:spLocks noChangeArrowheads="1"/>
        </xdr:cNvSpPr>
      </xdr:nvSpPr>
      <xdr:spPr bwMode="auto">
        <a:xfrm rot="5400000">
          <a:off x="6395442" y="152167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712871</xdr:colOff>
      <xdr:row>114</xdr:row>
      <xdr:rowOff>57150</xdr:rowOff>
    </xdr:from>
    <xdr:to>
      <xdr:col>10</xdr:col>
      <xdr:colOff>770021</xdr:colOff>
      <xdr:row>114</xdr:row>
      <xdr:rowOff>163116</xdr:rowOff>
    </xdr:to>
    <xdr:sp macro="" textlink="">
      <xdr:nvSpPr>
        <xdr:cNvPr id="28" name="AutoShape 85">
          <a:extLst>
            <a:ext uri="{FF2B5EF4-FFF2-40B4-BE49-F238E27FC236}">
              <a16:creationId xmlns:a16="http://schemas.microsoft.com/office/drawing/2014/main" id="{00000000-0008-0000-2700-00001C000000}"/>
            </a:ext>
          </a:extLst>
        </xdr:cNvPr>
        <xdr:cNvSpPr>
          <a:spLocks noChangeArrowheads="1"/>
        </xdr:cNvSpPr>
      </xdr:nvSpPr>
      <xdr:spPr bwMode="auto">
        <a:xfrm rot="5400000">
          <a:off x="6408476" y="20896190"/>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766082</xdr:colOff>
      <xdr:row>118</xdr:row>
      <xdr:rowOff>73479</xdr:rowOff>
    </xdr:from>
    <xdr:to>
      <xdr:col>10</xdr:col>
      <xdr:colOff>823232</xdr:colOff>
      <xdr:row>118</xdr:row>
      <xdr:rowOff>179445</xdr:rowOff>
    </xdr:to>
    <xdr:sp macro="" textlink="">
      <xdr:nvSpPr>
        <xdr:cNvPr id="29" name="AutoShape 85">
          <a:extLst>
            <a:ext uri="{FF2B5EF4-FFF2-40B4-BE49-F238E27FC236}">
              <a16:creationId xmlns:a16="http://schemas.microsoft.com/office/drawing/2014/main" id="{00000000-0008-0000-2700-00001D000000}"/>
            </a:ext>
          </a:extLst>
        </xdr:cNvPr>
        <xdr:cNvSpPr>
          <a:spLocks noChangeArrowheads="1"/>
        </xdr:cNvSpPr>
      </xdr:nvSpPr>
      <xdr:spPr bwMode="auto">
        <a:xfrm rot="5400000">
          <a:off x="6681192" y="21631191"/>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59120</xdr:colOff>
      <xdr:row>35</xdr:row>
      <xdr:rowOff>52552</xdr:rowOff>
    </xdr:from>
    <xdr:to>
      <xdr:col>25</xdr:col>
      <xdr:colOff>131379</xdr:colOff>
      <xdr:row>38</xdr:row>
      <xdr:rowOff>52552</xdr:rowOff>
    </xdr:to>
    <xdr:sp macro="" textlink="">
      <xdr:nvSpPr>
        <xdr:cNvPr id="30" name="AutoShape 7">
          <a:extLst>
            <a:ext uri="{FF2B5EF4-FFF2-40B4-BE49-F238E27FC236}">
              <a16:creationId xmlns:a16="http://schemas.microsoft.com/office/drawing/2014/main" id="{00000000-0008-0000-2700-00001E000000}"/>
            </a:ext>
          </a:extLst>
        </xdr:cNvPr>
        <xdr:cNvSpPr>
          <a:spLocks/>
        </xdr:cNvSpPr>
      </xdr:nvSpPr>
      <xdr:spPr bwMode="auto">
        <a:xfrm>
          <a:off x="15765517" y="6582104"/>
          <a:ext cx="72259" cy="571500"/>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144518</xdr:colOff>
      <xdr:row>23</xdr:row>
      <xdr:rowOff>65690</xdr:rowOff>
    </xdr:from>
    <xdr:to>
      <xdr:col>25</xdr:col>
      <xdr:colOff>216777</xdr:colOff>
      <xdr:row>26</xdr:row>
      <xdr:rowOff>65690</xdr:rowOff>
    </xdr:to>
    <xdr:sp macro="" textlink="">
      <xdr:nvSpPr>
        <xdr:cNvPr id="31" name="AutoShape 7">
          <a:extLst>
            <a:ext uri="{FF2B5EF4-FFF2-40B4-BE49-F238E27FC236}">
              <a16:creationId xmlns:a16="http://schemas.microsoft.com/office/drawing/2014/main" id="{00000000-0008-0000-2700-00001F000000}"/>
            </a:ext>
          </a:extLst>
        </xdr:cNvPr>
        <xdr:cNvSpPr>
          <a:spLocks/>
        </xdr:cNvSpPr>
      </xdr:nvSpPr>
      <xdr:spPr bwMode="auto">
        <a:xfrm>
          <a:off x="15850915" y="4309242"/>
          <a:ext cx="72259" cy="571500"/>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108857</xdr:colOff>
      <xdr:row>90</xdr:row>
      <xdr:rowOff>47625</xdr:rowOff>
    </xdr:from>
    <xdr:to>
      <xdr:col>27</xdr:col>
      <xdr:colOff>166007</xdr:colOff>
      <xdr:row>90</xdr:row>
      <xdr:rowOff>153591</xdr:rowOff>
    </xdr:to>
    <xdr:sp macro="" textlink="">
      <xdr:nvSpPr>
        <xdr:cNvPr id="32" name="AutoShape 85">
          <a:extLst>
            <a:ext uri="{FF2B5EF4-FFF2-40B4-BE49-F238E27FC236}">
              <a16:creationId xmlns:a16="http://schemas.microsoft.com/office/drawing/2014/main" id="{00000000-0008-0000-2700-000020000000}"/>
            </a:ext>
          </a:extLst>
        </xdr:cNvPr>
        <xdr:cNvSpPr>
          <a:spLocks noChangeArrowheads="1"/>
        </xdr:cNvSpPr>
      </xdr:nvSpPr>
      <xdr:spPr bwMode="auto">
        <a:xfrm rot="5400000">
          <a:off x="17202235" y="1944860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785920</xdr:colOff>
      <xdr:row>110</xdr:row>
      <xdr:rowOff>25639</xdr:rowOff>
    </xdr:from>
    <xdr:to>
      <xdr:col>10</xdr:col>
      <xdr:colOff>843070</xdr:colOff>
      <xdr:row>110</xdr:row>
      <xdr:rowOff>131605</xdr:rowOff>
    </xdr:to>
    <xdr:sp macro="" textlink="">
      <xdr:nvSpPr>
        <xdr:cNvPr id="23" name="AutoShape 85">
          <a:extLst>
            <a:ext uri="{FF2B5EF4-FFF2-40B4-BE49-F238E27FC236}">
              <a16:creationId xmlns:a16="http://schemas.microsoft.com/office/drawing/2014/main" id="{00000000-0008-0000-2700-000017000000}"/>
            </a:ext>
          </a:extLst>
        </xdr:cNvPr>
        <xdr:cNvSpPr>
          <a:spLocks noChangeArrowheads="1"/>
        </xdr:cNvSpPr>
      </xdr:nvSpPr>
      <xdr:spPr bwMode="auto">
        <a:xfrm rot="5400000">
          <a:off x="6701030" y="20127386"/>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3.xml><?xml version="1.0" encoding="utf-8"?>
<xdr:wsDr xmlns:xdr="http://schemas.openxmlformats.org/drawingml/2006/spreadsheetDrawing" xmlns:a="http://schemas.openxmlformats.org/drawingml/2006/main">
  <xdr:twoCellAnchor>
    <xdr:from>
      <xdr:col>8</xdr:col>
      <xdr:colOff>67504</xdr:colOff>
      <xdr:row>3</xdr:row>
      <xdr:rowOff>36860</xdr:rowOff>
    </xdr:from>
    <xdr:to>
      <xdr:col>8</xdr:col>
      <xdr:colOff>121341</xdr:colOff>
      <xdr:row>3</xdr:row>
      <xdr:rowOff>142826</xdr:rowOff>
    </xdr:to>
    <xdr:sp macro="" textlink="">
      <xdr:nvSpPr>
        <xdr:cNvPr id="2" name="AutoShape 85">
          <a:extLst>
            <a:ext uri="{FF2B5EF4-FFF2-40B4-BE49-F238E27FC236}">
              <a16:creationId xmlns:a16="http://schemas.microsoft.com/office/drawing/2014/main" id="{00000000-0008-0000-2800-000002000000}"/>
            </a:ext>
          </a:extLst>
        </xdr:cNvPr>
        <xdr:cNvSpPr>
          <a:spLocks noChangeArrowheads="1"/>
        </xdr:cNvSpPr>
      </xdr:nvSpPr>
      <xdr:spPr bwMode="auto">
        <a:xfrm rot="5400000">
          <a:off x="1825790" y="774124"/>
          <a:ext cx="105966" cy="5383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176833</xdr:colOff>
      <xdr:row>5</xdr:row>
      <xdr:rowOff>9525</xdr:rowOff>
    </xdr:from>
    <xdr:to>
      <xdr:col>9</xdr:col>
      <xdr:colOff>5383</xdr:colOff>
      <xdr:row>5</xdr:row>
      <xdr:rowOff>115491</xdr:rowOff>
    </xdr:to>
    <xdr:sp macro="" textlink="">
      <xdr:nvSpPr>
        <xdr:cNvPr id="3" name="AutoShape 85">
          <a:extLst>
            <a:ext uri="{FF2B5EF4-FFF2-40B4-BE49-F238E27FC236}">
              <a16:creationId xmlns:a16="http://schemas.microsoft.com/office/drawing/2014/main" id="{00000000-0008-0000-2800-000003000000}"/>
            </a:ext>
          </a:extLst>
        </xdr:cNvPr>
        <xdr:cNvSpPr>
          <a:spLocks noChangeArrowheads="1"/>
        </xdr:cNvSpPr>
      </xdr:nvSpPr>
      <xdr:spPr bwMode="auto">
        <a:xfrm rot="5400000">
          <a:off x="1936775" y="10753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37</xdr:col>
      <xdr:colOff>110671</xdr:colOff>
      <xdr:row>81</xdr:row>
      <xdr:rowOff>50346</xdr:rowOff>
    </xdr:from>
    <xdr:to>
      <xdr:col>37</xdr:col>
      <xdr:colOff>167821</xdr:colOff>
      <xdr:row>81</xdr:row>
      <xdr:rowOff>156312</xdr:rowOff>
    </xdr:to>
    <xdr:sp macro="" textlink="">
      <xdr:nvSpPr>
        <xdr:cNvPr id="4" name="AutoShape 85">
          <a:extLst>
            <a:ext uri="{FF2B5EF4-FFF2-40B4-BE49-F238E27FC236}">
              <a16:creationId xmlns:a16="http://schemas.microsoft.com/office/drawing/2014/main" id="{00000000-0008-0000-2800-000004000000}"/>
            </a:ext>
          </a:extLst>
        </xdr:cNvPr>
        <xdr:cNvSpPr>
          <a:spLocks noChangeArrowheads="1"/>
        </xdr:cNvSpPr>
      </xdr:nvSpPr>
      <xdr:spPr bwMode="auto">
        <a:xfrm rot="5400000">
          <a:off x="7787906" y="14096915"/>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83</xdr:row>
      <xdr:rowOff>47625</xdr:rowOff>
    </xdr:from>
    <xdr:to>
      <xdr:col>33</xdr:col>
      <xdr:colOff>171450</xdr:colOff>
      <xdr:row>83</xdr:row>
      <xdr:rowOff>153591</xdr:rowOff>
    </xdr:to>
    <xdr:sp macro="" textlink="">
      <xdr:nvSpPr>
        <xdr:cNvPr id="5" name="AutoShape 85">
          <a:extLst>
            <a:ext uri="{FF2B5EF4-FFF2-40B4-BE49-F238E27FC236}">
              <a16:creationId xmlns:a16="http://schemas.microsoft.com/office/drawing/2014/main" id="{00000000-0008-0000-2800-000005000000}"/>
            </a:ext>
          </a:extLst>
        </xdr:cNvPr>
        <xdr:cNvSpPr>
          <a:spLocks noChangeArrowheads="1"/>
        </xdr:cNvSpPr>
      </xdr:nvSpPr>
      <xdr:spPr bwMode="auto">
        <a:xfrm rot="5400000">
          <a:off x="6824067" y="76348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84</xdr:row>
      <xdr:rowOff>57150</xdr:rowOff>
    </xdr:from>
    <xdr:to>
      <xdr:col>33</xdr:col>
      <xdr:colOff>171450</xdr:colOff>
      <xdr:row>84</xdr:row>
      <xdr:rowOff>163116</xdr:rowOff>
    </xdr:to>
    <xdr:sp macro="" textlink="">
      <xdr:nvSpPr>
        <xdr:cNvPr id="6" name="AutoShape 85">
          <a:extLst>
            <a:ext uri="{FF2B5EF4-FFF2-40B4-BE49-F238E27FC236}">
              <a16:creationId xmlns:a16="http://schemas.microsoft.com/office/drawing/2014/main" id="{00000000-0008-0000-2800-000006000000}"/>
            </a:ext>
          </a:extLst>
        </xdr:cNvPr>
        <xdr:cNvSpPr>
          <a:spLocks noChangeArrowheads="1"/>
        </xdr:cNvSpPr>
      </xdr:nvSpPr>
      <xdr:spPr bwMode="auto">
        <a:xfrm rot="5400000">
          <a:off x="6824067" y="783490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76200</xdr:colOff>
      <xdr:row>91</xdr:row>
      <xdr:rowOff>38100</xdr:rowOff>
    </xdr:from>
    <xdr:to>
      <xdr:col>27</xdr:col>
      <xdr:colOff>133350</xdr:colOff>
      <xdr:row>91</xdr:row>
      <xdr:rowOff>144066</xdr:rowOff>
    </xdr:to>
    <xdr:sp macro="" textlink="">
      <xdr:nvSpPr>
        <xdr:cNvPr id="7" name="AutoShape 85">
          <a:extLst>
            <a:ext uri="{FF2B5EF4-FFF2-40B4-BE49-F238E27FC236}">
              <a16:creationId xmlns:a16="http://schemas.microsoft.com/office/drawing/2014/main" id="{00000000-0008-0000-2800-000007000000}"/>
            </a:ext>
          </a:extLst>
        </xdr:cNvPr>
        <xdr:cNvSpPr>
          <a:spLocks noChangeArrowheads="1"/>
        </xdr:cNvSpPr>
      </xdr:nvSpPr>
      <xdr:spPr bwMode="auto">
        <a:xfrm rot="5400000">
          <a:off x="5509617" y="94922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92</xdr:row>
      <xdr:rowOff>28575</xdr:rowOff>
    </xdr:from>
    <xdr:to>
      <xdr:col>33</xdr:col>
      <xdr:colOff>171450</xdr:colOff>
      <xdr:row>92</xdr:row>
      <xdr:rowOff>134541</xdr:rowOff>
    </xdr:to>
    <xdr:sp macro="" textlink="">
      <xdr:nvSpPr>
        <xdr:cNvPr id="8" name="AutoShape 85">
          <a:extLst>
            <a:ext uri="{FF2B5EF4-FFF2-40B4-BE49-F238E27FC236}">
              <a16:creationId xmlns:a16="http://schemas.microsoft.com/office/drawing/2014/main" id="{00000000-0008-0000-2800-000008000000}"/>
            </a:ext>
          </a:extLst>
        </xdr:cNvPr>
        <xdr:cNvSpPr>
          <a:spLocks noChangeArrowheads="1"/>
        </xdr:cNvSpPr>
      </xdr:nvSpPr>
      <xdr:spPr bwMode="auto">
        <a:xfrm rot="5400000">
          <a:off x="6824067" y="96732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98425</xdr:colOff>
      <xdr:row>104</xdr:row>
      <xdr:rowOff>161925</xdr:rowOff>
    </xdr:from>
    <xdr:to>
      <xdr:col>1</xdr:col>
      <xdr:colOff>155575</xdr:colOff>
      <xdr:row>105</xdr:row>
      <xdr:rowOff>102791</xdr:rowOff>
    </xdr:to>
    <xdr:sp macro="" textlink="">
      <xdr:nvSpPr>
        <xdr:cNvPr id="10" name="AutoShape 85">
          <a:extLst>
            <a:ext uri="{FF2B5EF4-FFF2-40B4-BE49-F238E27FC236}">
              <a16:creationId xmlns:a16="http://schemas.microsoft.com/office/drawing/2014/main" id="{00000000-0008-0000-2800-00000A000000}"/>
            </a:ext>
          </a:extLst>
        </xdr:cNvPr>
        <xdr:cNvSpPr>
          <a:spLocks noChangeArrowheads="1"/>
        </xdr:cNvSpPr>
      </xdr:nvSpPr>
      <xdr:spPr bwMode="auto">
        <a:xfrm rot="5400000">
          <a:off x="258167" y="188299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133350</xdr:colOff>
      <xdr:row>106</xdr:row>
      <xdr:rowOff>101600</xdr:rowOff>
    </xdr:from>
    <xdr:to>
      <xdr:col>33</xdr:col>
      <xdr:colOff>190500</xdr:colOff>
      <xdr:row>106</xdr:row>
      <xdr:rowOff>207566</xdr:rowOff>
    </xdr:to>
    <xdr:sp macro="" textlink="">
      <xdr:nvSpPr>
        <xdr:cNvPr id="11" name="AutoShape 85">
          <a:extLst>
            <a:ext uri="{FF2B5EF4-FFF2-40B4-BE49-F238E27FC236}">
              <a16:creationId xmlns:a16="http://schemas.microsoft.com/office/drawing/2014/main" id="{00000000-0008-0000-2800-00000B000000}"/>
            </a:ext>
          </a:extLst>
        </xdr:cNvPr>
        <xdr:cNvSpPr>
          <a:spLocks noChangeArrowheads="1"/>
        </xdr:cNvSpPr>
      </xdr:nvSpPr>
      <xdr:spPr bwMode="auto">
        <a:xfrm rot="5400000">
          <a:off x="6852642" y="1909980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104775</xdr:colOff>
      <xdr:row>106</xdr:row>
      <xdr:rowOff>165100</xdr:rowOff>
    </xdr:from>
    <xdr:to>
      <xdr:col>5</xdr:col>
      <xdr:colOff>161925</xdr:colOff>
      <xdr:row>106</xdr:row>
      <xdr:rowOff>271066</xdr:rowOff>
    </xdr:to>
    <xdr:sp macro="" textlink="">
      <xdr:nvSpPr>
        <xdr:cNvPr id="12" name="AutoShape 85">
          <a:extLst>
            <a:ext uri="{FF2B5EF4-FFF2-40B4-BE49-F238E27FC236}">
              <a16:creationId xmlns:a16="http://schemas.microsoft.com/office/drawing/2014/main" id="{00000000-0008-0000-2800-00000C000000}"/>
            </a:ext>
          </a:extLst>
        </xdr:cNvPr>
        <xdr:cNvSpPr>
          <a:spLocks noChangeArrowheads="1"/>
        </xdr:cNvSpPr>
      </xdr:nvSpPr>
      <xdr:spPr bwMode="auto">
        <a:xfrm rot="5400000">
          <a:off x="1175742" y="1912520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123825</xdr:colOff>
      <xdr:row>111</xdr:row>
      <xdr:rowOff>38100</xdr:rowOff>
    </xdr:from>
    <xdr:to>
      <xdr:col>34</xdr:col>
      <xdr:colOff>180975</xdr:colOff>
      <xdr:row>111</xdr:row>
      <xdr:rowOff>144066</xdr:rowOff>
    </xdr:to>
    <xdr:sp macro="" textlink="">
      <xdr:nvSpPr>
        <xdr:cNvPr id="15" name="AutoShape 85">
          <a:extLst>
            <a:ext uri="{FF2B5EF4-FFF2-40B4-BE49-F238E27FC236}">
              <a16:creationId xmlns:a16="http://schemas.microsoft.com/office/drawing/2014/main" id="{00000000-0008-0000-2800-00000F000000}"/>
            </a:ext>
          </a:extLst>
        </xdr:cNvPr>
        <xdr:cNvSpPr>
          <a:spLocks noChangeArrowheads="1"/>
        </xdr:cNvSpPr>
      </xdr:nvSpPr>
      <xdr:spPr bwMode="auto">
        <a:xfrm rot="5400000">
          <a:off x="7090767" y="219795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152400</xdr:colOff>
      <xdr:row>111</xdr:row>
      <xdr:rowOff>47625</xdr:rowOff>
    </xdr:from>
    <xdr:to>
      <xdr:col>5</xdr:col>
      <xdr:colOff>209550</xdr:colOff>
      <xdr:row>111</xdr:row>
      <xdr:rowOff>153591</xdr:rowOff>
    </xdr:to>
    <xdr:sp macro="" textlink="">
      <xdr:nvSpPr>
        <xdr:cNvPr id="17" name="AutoShape 85">
          <a:extLst>
            <a:ext uri="{FF2B5EF4-FFF2-40B4-BE49-F238E27FC236}">
              <a16:creationId xmlns:a16="http://schemas.microsoft.com/office/drawing/2014/main" id="{00000000-0008-0000-2800-000011000000}"/>
            </a:ext>
          </a:extLst>
        </xdr:cNvPr>
        <xdr:cNvSpPr>
          <a:spLocks noChangeArrowheads="1"/>
        </xdr:cNvSpPr>
      </xdr:nvSpPr>
      <xdr:spPr bwMode="auto">
        <a:xfrm rot="5400000">
          <a:off x="1299567" y="219890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18</xdr:col>
      <xdr:colOff>82550</xdr:colOff>
      <xdr:row>119</xdr:row>
      <xdr:rowOff>44450</xdr:rowOff>
    </xdr:from>
    <xdr:to>
      <xdr:col>18</xdr:col>
      <xdr:colOff>139700</xdr:colOff>
      <xdr:row>119</xdr:row>
      <xdr:rowOff>150416</xdr:rowOff>
    </xdr:to>
    <xdr:sp macro="" textlink="">
      <xdr:nvSpPr>
        <xdr:cNvPr id="18" name="AutoShape 85">
          <a:extLst>
            <a:ext uri="{FF2B5EF4-FFF2-40B4-BE49-F238E27FC236}">
              <a16:creationId xmlns:a16="http://schemas.microsoft.com/office/drawing/2014/main" id="{00000000-0008-0000-2800-000012000000}"/>
            </a:ext>
          </a:extLst>
        </xdr:cNvPr>
        <xdr:cNvSpPr>
          <a:spLocks noChangeArrowheads="1"/>
        </xdr:cNvSpPr>
      </xdr:nvSpPr>
      <xdr:spPr bwMode="auto">
        <a:xfrm rot="5400000">
          <a:off x="3861792" y="224081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32</xdr:col>
      <xdr:colOff>114300</xdr:colOff>
      <xdr:row>123</xdr:row>
      <xdr:rowOff>28575</xdr:rowOff>
    </xdr:from>
    <xdr:to>
      <xdr:col>32</xdr:col>
      <xdr:colOff>171450</xdr:colOff>
      <xdr:row>123</xdr:row>
      <xdr:rowOff>134541</xdr:rowOff>
    </xdr:to>
    <xdr:sp macro="" textlink="">
      <xdr:nvSpPr>
        <xdr:cNvPr id="19" name="AutoShape 85">
          <a:extLst>
            <a:ext uri="{FF2B5EF4-FFF2-40B4-BE49-F238E27FC236}">
              <a16:creationId xmlns:a16="http://schemas.microsoft.com/office/drawing/2014/main" id="{00000000-0008-0000-2800-000013000000}"/>
            </a:ext>
          </a:extLst>
        </xdr:cNvPr>
        <xdr:cNvSpPr>
          <a:spLocks noChangeArrowheads="1"/>
        </xdr:cNvSpPr>
      </xdr:nvSpPr>
      <xdr:spPr bwMode="auto">
        <a:xfrm rot="5400000">
          <a:off x="6624042" y="239607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57150</xdr:colOff>
      <xdr:row>112</xdr:row>
      <xdr:rowOff>28575</xdr:rowOff>
    </xdr:from>
    <xdr:to>
      <xdr:col>21</xdr:col>
      <xdr:colOff>114300</xdr:colOff>
      <xdr:row>112</xdr:row>
      <xdr:rowOff>134541</xdr:rowOff>
    </xdr:to>
    <xdr:sp macro="" textlink="">
      <xdr:nvSpPr>
        <xdr:cNvPr id="20" name="AutoShape 85">
          <a:extLst>
            <a:ext uri="{FF2B5EF4-FFF2-40B4-BE49-F238E27FC236}">
              <a16:creationId xmlns:a16="http://schemas.microsoft.com/office/drawing/2014/main" id="{00000000-0008-0000-2800-000014000000}"/>
            </a:ext>
          </a:extLst>
        </xdr:cNvPr>
        <xdr:cNvSpPr>
          <a:spLocks noChangeArrowheads="1"/>
        </xdr:cNvSpPr>
      </xdr:nvSpPr>
      <xdr:spPr bwMode="auto">
        <a:xfrm rot="5400000">
          <a:off x="4414242" y="20967162"/>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9</xdr:col>
      <xdr:colOff>28680</xdr:colOff>
      <xdr:row>9</xdr:row>
      <xdr:rowOff>5755</xdr:rowOff>
    </xdr:from>
    <xdr:to>
      <xdr:col>9</xdr:col>
      <xdr:colOff>122399</xdr:colOff>
      <xdr:row>9</xdr:row>
      <xdr:rowOff>106292</xdr:rowOff>
    </xdr:to>
    <xdr:pic>
      <xdr:nvPicPr>
        <xdr:cNvPr id="3" name="Picture 3">
          <a:extLst>
            <a:ext uri="{FF2B5EF4-FFF2-40B4-BE49-F238E27FC236}">
              <a16:creationId xmlns:a16="http://schemas.microsoft.com/office/drawing/2014/main" id="{00000000-0008-0000-29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1073" y="1060309"/>
          <a:ext cx="93719" cy="10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233363</xdr:colOff>
      <xdr:row>13</xdr:row>
      <xdr:rowOff>76200</xdr:rowOff>
    </xdr:from>
    <xdr:to>
      <xdr:col>8</xdr:col>
      <xdr:colOff>227867</xdr:colOff>
      <xdr:row>18</xdr:row>
      <xdr:rowOff>123644</xdr:rowOff>
    </xdr:to>
    <xdr:pic>
      <xdr:nvPicPr>
        <xdr:cNvPr id="16" name="Picture 15">
          <a:extLst>
            <a:ext uri="{FF2B5EF4-FFF2-40B4-BE49-F238E27FC236}">
              <a16:creationId xmlns:a16="http://schemas.microsoft.com/office/drawing/2014/main" id="{00000000-0008-0000-2900-000010000000}"/>
            </a:ext>
          </a:extLst>
        </xdr:cNvPr>
        <xdr:cNvPicPr>
          <a:picLocks noChangeAspect="1"/>
        </xdr:cNvPicPr>
      </xdr:nvPicPr>
      <xdr:blipFill>
        <a:blip xmlns:r="http://schemas.openxmlformats.org/officeDocument/2006/relationships" r:embed="rId2"/>
        <a:stretch>
          <a:fillRect/>
        </a:stretch>
      </xdr:blipFill>
      <xdr:spPr>
        <a:xfrm>
          <a:off x="1985963" y="1743075"/>
          <a:ext cx="233362" cy="1123769"/>
        </a:xfrm>
        <a:prstGeom prst="rect">
          <a:avLst/>
        </a:prstGeom>
      </xdr:spPr>
    </xdr:pic>
    <xdr:clientData/>
  </xdr:twoCellAnchor>
  <xdr:twoCellAnchor editAs="oneCell">
    <xdr:from>
      <xdr:col>18</xdr:col>
      <xdr:colOff>158265</xdr:colOff>
      <xdr:row>32</xdr:row>
      <xdr:rowOff>165652</xdr:rowOff>
    </xdr:from>
    <xdr:to>
      <xdr:col>19</xdr:col>
      <xdr:colOff>32662</xdr:colOff>
      <xdr:row>33</xdr:row>
      <xdr:rowOff>57978</xdr:rowOff>
    </xdr:to>
    <xdr:pic>
      <xdr:nvPicPr>
        <xdr:cNvPr id="17" name="Picture 3">
          <a:extLst>
            <a:ext uri="{FF2B5EF4-FFF2-40B4-BE49-F238E27FC236}">
              <a16:creationId xmlns:a16="http://schemas.microsoft.com/office/drawing/2014/main" id="{00000000-0008-0000-29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8548" y="5657022"/>
          <a:ext cx="103826" cy="107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165652</xdr:colOff>
      <xdr:row>34</xdr:row>
      <xdr:rowOff>91108</xdr:rowOff>
    </xdr:from>
    <xdr:to>
      <xdr:col>19</xdr:col>
      <xdr:colOff>40049</xdr:colOff>
      <xdr:row>35</xdr:row>
      <xdr:rowOff>57976</xdr:rowOff>
    </xdr:to>
    <xdr:pic>
      <xdr:nvPicPr>
        <xdr:cNvPr id="18" name="Picture 3">
          <a:extLst>
            <a:ext uri="{FF2B5EF4-FFF2-40B4-BE49-F238E27FC236}">
              <a16:creationId xmlns:a16="http://schemas.microsoft.com/office/drawing/2014/main" id="{00000000-0008-0000-29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45935" y="5938630"/>
          <a:ext cx="103826" cy="107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16566</xdr:colOff>
      <xdr:row>107</xdr:row>
      <xdr:rowOff>57977</xdr:rowOff>
    </xdr:from>
    <xdr:to>
      <xdr:col>9</xdr:col>
      <xdr:colOff>114472</xdr:colOff>
      <xdr:row>107</xdr:row>
      <xdr:rowOff>157990</xdr:rowOff>
    </xdr:to>
    <xdr:pic>
      <xdr:nvPicPr>
        <xdr:cNvPr id="15" name="Picture 3">
          <a:extLst>
            <a:ext uri="{FF2B5EF4-FFF2-40B4-BE49-F238E27FC236}">
              <a16:creationId xmlns:a16="http://schemas.microsoft.com/office/drawing/2014/main" id="{00000000-0008-0000-2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4283" y="20333803"/>
          <a:ext cx="97906"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33131</xdr:colOff>
      <xdr:row>108</xdr:row>
      <xdr:rowOff>41413</xdr:rowOff>
    </xdr:from>
    <xdr:to>
      <xdr:col>9</xdr:col>
      <xdr:colOff>131037</xdr:colOff>
      <xdr:row>108</xdr:row>
      <xdr:rowOff>141426</xdr:rowOff>
    </xdr:to>
    <xdr:pic>
      <xdr:nvPicPr>
        <xdr:cNvPr id="19" name="Picture 3">
          <a:extLst>
            <a:ext uri="{FF2B5EF4-FFF2-40B4-BE49-F238E27FC236}">
              <a16:creationId xmlns:a16="http://schemas.microsoft.com/office/drawing/2014/main" id="{00000000-0008-0000-2900-00001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10848" y="20499456"/>
          <a:ext cx="97906"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70296</xdr:colOff>
      <xdr:row>101</xdr:row>
      <xdr:rowOff>117232</xdr:rowOff>
    </xdr:from>
    <xdr:to>
      <xdr:col>8</xdr:col>
      <xdr:colOff>208106</xdr:colOff>
      <xdr:row>103</xdr:row>
      <xdr:rowOff>114238</xdr:rowOff>
    </xdr:to>
    <xdr:pic>
      <xdr:nvPicPr>
        <xdr:cNvPr id="4" name="Picture 3">
          <a:extLst>
            <a:ext uri="{FF2B5EF4-FFF2-40B4-BE49-F238E27FC236}">
              <a16:creationId xmlns:a16="http://schemas.microsoft.com/office/drawing/2014/main" id="{00000000-0008-0000-2900-000004000000}"/>
            </a:ext>
          </a:extLst>
        </xdr:cNvPr>
        <xdr:cNvPicPr>
          <a:picLocks noChangeAspect="1"/>
        </xdr:cNvPicPr>
      </xdr:nvPicPr>
      <xdr:blipFill>
        <a:blip xmlns:r="http://schemas.openxmlformats.org/officeDocument/2006/relationships" r:embed="rId3"/>
        <a:stretch>
          <a:fillRect/>
        </a:stretch>
      </xdr:blipFill>
      <xdr:spPr>
        <a:xfrm>
          <a:off x="2114508" y="19848636"/>
          <a:ext cx="137810" cy="392660"/>
        </a:xfrm>
        <a:prstGeom prst="rect">
          <a:avLst/>
        </a:prstGeom>
      </xdr:spPr>
    </xdr:pic>
    <xdr:clientData/>
  </xdr:twoCellAnchor>
  <xdr:twoCellAnchor editAs="oneCell">
    <xdr:from>
      <xdr:col>28</xdr:col>
      <xdr:colOff>21981</xdr:colOff>
      <xdr:row>101</xdr:row>
      <xdr:rowOff>109896</xdr:rowOff>
    </xdr:from>
    <xdr:to>
      <xdr:col>28</xdr:col>
      <xdr:colOff>168131</xdr:colOff>
      <xdr:row>103</xdr:row>
      <xdr:rowOff>133287</xdr:rowOff>
    </xdr:to>
    <xdr:pic>
      <xdr:nvPicPr>
        <xdr:cNvPr id="20" name="Picture 19">
          <a:extLst>
            <a:ext uri="{FF2B5EF4-FFF2-40B4-BE49-F238E27FC236}">
              <a16:creationId xmlns:a16="http://schemas.microsoft.com/office/drawing/2014/main" id="{00000000-0008-0000-2900-000014000000}"/>
            </a:ext>
          </a:extLst>
        </xdr:cNvPr>
        <xdr:cNvPicPr>
          <a:picLocks noChangeAspect="1"/>
        </xdr:cNvPicPr>
      </xdr:nvPicPr>
      <xdr:blipFill>
        <a:blip xmlns:r="http://schemas.openxmlformats.org/officeDocument/2006/relationships" r:embed="rId3"/>
        <a:stretch>
          <a:fillRect/>
        </a:stretch>
      </xdr:blipFill>
      <xdr:spPr>
        <a:xfrm>
          <a:off x="7224346" y="19841300"/>
          <a:ext cx="146150" cy="419045"/>
        </a:xfrm>
        <a:prstGeom prst="rect">
          <a:avLst/>
        </a:prstGeom>
      </xdr:spPr>
    </xdr:pic>
    <xdr:clientData/>
  </xdr:twoCellAnchor>
  <xdr:oneCellAnchor>
    <xdr:from>
      <xdr:col>9</xdr:col>
      <xdr:colOff>27110</xdr:colOff>
      <xdr:row>112</xdr:row>
      <xdr:rowOff>81644</xdr:rowOff>
    </xdr:from>
    <xdr:ext cx="97906" cy="100013"/>
    <xdr:pic>
      <xdr:nvPicPr>
        <xdr:cNvPr id="22" name="Picture 3">
          <a:extLst>
            <a:ext uri="{FF2B5EF4-FFF2-40B4-BE49-F238E27FC236}">
              <a16:creationId xmlns:a16="http://schemas.microsoft.com/office/drawing/2014/main" id="{00000000-0008-0000-29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9503" y="21955126"/>
          <a:ext cx="97906"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233363</xdr:colOff>
      <xdr:row>117</xdr:row>
      <xdr:rowOff>76200</xdr:rowOff>
    </xdr:from>
    <xdr:ext cx="233362" cy="1123769"/>
    <xdr:pic>
      <xdr:nvPicPr>
        <xdr:cNvPr id="23" name="Picture 22">
          <a:extLst>
            <a:ext uri="{FF2B5EF4-FFF2-40B4-BE49-F238E27FC236}">
              <a16:creationId xmlns:a16="http://schemas.microsoft.com/office/drawing/2014/main" id="{00000000-0008-0000-2900-000017000000}"/>
            </a:ext>
          </a:extLst>
        </xdr:cNvPr>
        <xdr:cNvPicPr>
          <a:picLocks noChangeAspect="1"/>
        </xdr:cNvPicPr>
      </xdr:nvPicPr>
      <xdr:blipFill>
        <a:blip xmlns:r="http://schemas.openxmlformats.org/officeDocument/2006/relationships" r:embed="rId2"/>
        <a:stretch>
          <a:fillRect/>
        </a:stretch>
      </xdr:blipFill>
      <xdr:spPr>
        <a:xfrm>
          <a:off x="2024063" y="1743075"/>
          <a:ext cx="233362" cy="1123769"/>
        </a:xfrm>
        <a:prstGeom prst="rect">
          <a:avLst/>
        </a:prstGeom>
      </xdr:spPr>
    </xdr:pic>
    <xdr:clientData/>
  </xdr:oneCellAnchor>
  <xdr:oneCellAnchor>
    <xdr:from>
      <xdr:col>18</xdr:col>
      <xdr:colOff>158265</xdr:colOff>
      <xdr:row>136</xdr:row>
      <xdr:rowOff>165652</xdr:rowOff>
    </xdr:from>
    <xdr:ext cx="102998" cy="111401"/>
    <xdr:pic>
      <xdr:nvPicPr>
        <xdr:cNvPr id="24" name="Picture 3">
          <a:extLst>
            <a:ext uri="{FF2B5EF4-FFF2-40B4-BE49-F238E27FC236}">
              <a16:creationId xmlns:a16="http://schemas.microsoft.com/office/drawing/2014/main" id="{00000000-0008-0000-2900-00001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5040" y="5661577"/>
          <a:ext cx="102998" cy="111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165652</xdr:colOff>
      <xdr:row>138</xdr:row>
      <xdr:rowOff>91108</xdr:rowOff>
    </xdr:from>
    <xdr:ext cx="102998" cy="109743"/>
    <xdr:pic>
      <xdr:nvPicPr>
        <xdr:cNvPr id="25" name="Picture 3">
          <a:extLst>
            <a:ext uri="{FF2B5EF4-FFF2-40B4-BE49-F238E27FC236}">
              <a16:creationId xmlns:a16="http://schemas.microsoft.com/office/drawing/2014/main" id="{00000000-0008-0000-29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2427" y="5958508"/>
          <a:ext cx="102998" cy="1097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16566</xdr:colOff>
      <xdr:row>211</xdr:row>
      <xdr:rowOff>57977</xdr:rowOff>
    </xdr:from>
    <xdr:ext cx="97906" cy="100013"/>
    <xdr:pic>
      <xdr:nvPicPr>
        <xdr:cNvPr id="26" name="Picture 3">
          <a:extLst>
            <a:ext uri="{FF2B5EF4-FFF2-40B4-BE49-F238E27FC236}">
              <a16:creationId xmlns:a16="http://schemas.microsoft.com/office/drawing/2014/main" id="{00000000-0008-0000-2900-00001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2566" y="20479577"/>
          <a:ext cx="97906"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33131</xdr:colOff>
      <xdr:row>212</xdr:row>
      <xdr:rowOff>41413</xdr:rowOff>
    </xdr:from>
    <xdr:ext cx="97906" cy="100013"/>
    <xdr:pic>
      <xdr:nvPicPr>
        <xdr:cNvPr id="27" name="Picture 3">
          <a:extLst>
            <a:ext uri="{FF2B5EF4-FFF2-40B4-BE49-F238E27FC236}">
              <a16:creationId xmlns:a16="http://schemas.microsoft.com/office/drawing/2014/main" id="{00000000-0008-0000-2900-00001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19131" y="20643988"/>
          <a:ext cx="97906"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85725</xdr:colOff>
      <xdr:row>205</xdr:row>
      <xdr:rowOff>193672</xdr:rowOff>
    </xdr:from>
    <xdr:ext cx="110982" cy="320615"/>
    <xdr:pic>
      <xdr:nvPicPr>
        <xdr:cNvPr id="28" name="Picture 27">
          <a:extLst>
            <a:ext uri="{FF2B5EF4-FFF2-40B4-BE49-F238E27FC236}">
              <a16:creationId xmlns:a16="http://schemas.microsoft.com/office/drawing/2014/main" id="{00000000-0008-0000-2900-00001C000000}"/>
            </a:ext>
          </a:extLst>
        </xdr:cNvPr>
        <xdr:cNvPicPr>
          <a:picLocks noChangeAspect="1"/>
        </xdr:cNvPicPr>
      </xdr:nvPicPr>
      <xdr:blipFill>
        <a:blip xmlns:r="http://schemas.openxmlformats.org/officeDocument/2006/relationships" r:embed="rId3"/>
        <a:stretch>
          <a:fillRect/>
        </a:stretch>
      </xdr:blipFill>
      <xdr:spPr>
        <a:xfrm>
          <a:off x="2124075" y="19567522"/>
          <a:ext cx="110982" cy="320615"/>
        </a:xfrm>
        <a:prstGeom prst="rect">
          <a:avLst/>
        </a:prstGeom>
      </xdr:spPr>
    </xdr:pic>
    <xdr:clientData/>
  </xdr:oneCellAnchor>
  <xdr:oneCellAnchor>
    <xdr:from>
      <xdr:col>28</xdr:col>
      <xdr:colOff>66675</xdr:colOff>
      <xdr:row>206</xdr:row>
      <xdr:rowOff>40217</xdr:rowOff>
    </xdr:from>
    <xdr:ext cx="101456" cy="293095"/>
    <xdr:pic>
      <xdr:nvPicPr>
        <xdr:cNvPr id="29" name="Picture 28">
          <a:extLst>
            <a:ext uri="{FF2B5EF4-FFF2-40B4-BE49-F238E27FC236}">
              <a16:creationId xmlns:a16="http://schemas.microsoft.com/office/drawing/2014/main" id="{00000000-0008-0000-2900-00001D000000}"/>
            </a:ext>
          </a:extLst>
        </xdr:cNvPr>
        <xdr:cNvPicPr>
          <a:picLocks noChangeAspect="1"/>
        </xdr:cNvPicPr>
      </xdr:nvPicPr>
      <xdr:blipFill>
        <a:blip xmlns:r="http://schemas.openxmlformats.org/officeDocument/2006/relationships" r:embed="rId3"/>
        <a:stretch>
          <a:fillRect/>
        </a:stretch>
      </xdr:blipFill>
      <xdr:spPr>
        <a:xfrm>
          <a:off x="7248525" y="19614092"/>
          <a:ext cx="101456" cy="293095"/>
        </a:xfrm>
        <a:prstGeom prst="rect">
          <a:avLst/>
        </a:prstGeom>
      </xdr:spPr>
    </xdr:pic>
    <xdr:clientData/>
  </xdr:oneCellAnchor>
  <xdr:oneCellAnchor>
    <xdr:from>
      <xdr:col>12</xdr:col>
      <xdr:colOff>159727</xdr:colOff>
      <xdr:row>10</xdr:row>
      <xdr:rowOff>38100</xdr:rowOff>
    </xdr:from>
    <xdr:ext cx="96440" cy="100013"/>
    <xdr:pic>
      <xdr:nvPicPr>
        <xdr:cNvPr id="30" name="Picture 3">
          <a:extLst>
            <a:ext uri="{FF2B5EF4-FFF2-40B4-BE49-F238E27FC236}">
              <a16:creationId xmlns:a16="http://schemas.microsoft.com/office/drawing/2014/main" id="{00000000-0008-0000-2900-00001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4362" y="1254369"/>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57150</xdr:colOff>
      <xdr:row>114</xdr:row>
      <xdr:rowOff>38100</xdr:rowOff>
    </xdr:from>
    <xdr:ext cx="96440" cy="100013"/>
    <xdr:pic>
      <xdr:nvPicPr>
        <xdr:cNvPr id="31" name="Picture 3">
          <a:extLst>
            <a:ext uri="{FF2B5EF4-FFF2-40B4-BE49-F238E27FC236}">
              <a16:creationId xmlns:a16="http://schemas.microsoft.com/office/drawing/2014/main" id="{00000000-0008-0000-2900-00001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1785" y="22092138"/>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5.xml><?xml version="1.0" encoding="utf-8"?>
<xdr:wsDr xmlns:xdr="http://schemas.openxmlformats.org/drawingml/2006/spreadsheetDrawing" xmlns:a="http://schemas.openxmlformats.org/drawingml/2006/main">
  <xdr:twoCellAnchor>
    <xdr:from>
      <xdr:col>11</xdr:col>
      <xdr:colOff>84411</xdr:colOff>
      <xdr:row>4</xdr:row>
      <xdr:rowOff>22006</xdr:rowOff>
    </xdr:from>
    <xdr:to>
      <xdr:col>11</xdr:col>
      <xdr:colOff>141561</xdr:colOff>
      <xdr:row>4</xdr:row>
      <xdr:rowOff>127972</xdr:rowOff>
    </xdr:to>
    <xdr:sp macro="" textlink="">
      <xdr:nvSpPr>
        <xdr:cNvPr id="20" name="AutoShape 85">
          <a:extLst>
            <a:ext uri="{FF2B5EF4-FFF2-40B4-BE49-F238E27FC236}">
              <a16:creationId xmlns:a16="http://schemas.microsoft.com/office/drawing/2014/main" id="{00000000-0008-0000-2A00-000014000000}"/>
            </a:ext>
          </a:extLst>
        </xdr:cNvPr>
        <xdr:cNvSpPr>
          <a:spLocks noChangeArrowheads="1"/>
        </xdr:cNvSpPr>
      </xdr:nvSpPr>
      <xdr:spPr bwMode="auto">
        <a:xfrm rot="5400000">
          <a:off x="2286882" y="74272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29</xdr:col>
      <xdr:colOff>140775</xdr:colOff>
      <xdr:row>1</xdr:row>
      <xdr:rowOff>66675</xdr:rowOff>
    </xdr:from>
    <xdr:to>
      <xdr:col>34</xdr:col>
      <xdr:colOff>219354</xdr:colOff>
      <xdr:row>6</xdr:row>
      <xdr:rowOff>38100</xdr:rowOff>
    </xdr:to>
    <xdr:pic>
      <xdr:nvPicPr>
        <xdr:cNvPr id="2" name="Picture 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6071675" y="257175"/>
          <a:ext cx="1097754" cy="809625"/>
        </a:xfrm>
        <a:prstGeom prst="rect">
          <a:avLst/>
        </a:prstGeom>
      </xdr:spPr>
    </xdr:pic>
    <xdr:clientData/>
  </xdr:twoCellAnchor>
  <xdr:twoCellAnchor>
    <xdr:from>
      <xdr:col>27</xdr:col>
      <xdr:colOff>91965</xdr:colOff>
      <xdr:row>109</xdr:row>
      <xdr:rowOff>45983</xdr:rowOff>
    </xdr:from>
    <xdr:to>
      <xdr:col>27</xdr:col>
      <xdr:colOff>158640</xdr:colOff>
      <xdr:row>111</xdr:row>
      <xdr:rowOff>202981</xdr:rowOff>
    </xdr:to>
    <xdr:sp macro="" textlink="">
      <xdr:nvSpPr>
        <xdr:cNvPr id="10" name="AutoShape 318">
          <a:extLst>
            <a:ext uri="{FF2B5EF4-FFF2-40B4-BE49-F238E27FC236}">
              <a16:creationId xmlns:a16="http://schemas.microsoft.com/office/drawing/2014/main" id="{00000000-0008-0000-2A00-00000A000000}"/>
            </a:ext>
          </a:extLst>
        </xdr:cNvPr>
        <xdr:cNvSpPr>
          <a:spLocks/>
        </xdr:cNvSpPr>
      </xdr:nvSpPr>
      <xdr:spPr bwMode="auto">
        <a:xfrm>
          <a:off x="5471948" y="20797345"/>
          <a:ext cx="66675" cy="59055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39578</xdr:colOff>
      <xdr:row>28</xdr:row>
      <xdr:rowOff>98753</xdr:rowOff>
    </xdr:from>
    <xdr:to>
      <xdr:col>27</xdr:col>
      <xdr:colOff>106253</xdr:colOff>
      <xdr:row>31</xdr:row>
      <xdr:rowOff>163785</xdr:rowOff>
    </xdr:to>
    <xdr:sp macro="" textlink="">
      <xdr:nvSpPr>
        <xdr:cNvPr id="12" name="AutoShape 318">
          <a:extLst>
            <a:ext uri="{FF2B5EF4-FFF2-40B4-BE49-F238E27FC236}">
              <a16:creationId xmlns:a16="http://schemas.microsoft.com/office/drawing/2014/main" id="{00000000-0008-0000-2A00-00000C000000}"/>
            </a:ext>
          </a:extLst>
        </xdr:cNvPr>
        <xdr:cNvSpPr>
          <a:spLocks/>
        </xdr:cNvSpPr>
      </xdr:nvSpPr>
      <xdr:spPr bwMode="auto">
        <a:xfrm>
          <a:off x="5452953" y="5091441"/>
          <a:ext cx="66675" cy="588907"/>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111345</xdr:colOff>
      <xdr:row>5</xdr:row>
      <xdr:rowOff>99632</xdr:rowOff>
    </xdr:from>
    <xdr:to>
      <xdr:col>8</xdr:col>
      <xdr:colOff>168495</xdr:colOff>
      <xdr:row>6</xdr:row>
      <xdr:rowOff>54511</xdr:rowOff>
    </xdr:to>
    <xdr:sp macro="" textlink="">
      <xdr:nvSpPr>
        <xdr:cNvPr id="8" name="AutoShape 85">
          <a:extLst>
            <a:ext uri="{FF2B5EF4-FFF2-40B4-BE49-F238E27FC236}">
              <a16:creationId xmlns:a16="http://schemas.microsoft.com/office/drawing/2014/main" id="{00000000-0008-0000-2A00-000008000000}"/>
            </a:ext>
          </a:extLst>
        </xdr:cNvPr>
        <xdr:cNvSpPr>
          <a:spLocks noChangeArrowheads="1"/>
        </xdr:cNvSpPr>
      </xdr:nvSpPr>
      <xdr:spPr bwMode="auto">
        <a:xfrm rot="5400000">
          <a:off x="1749980" y="1000997"/>
          <a:ext cx="107279"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127000</xdr:colOff>
      <xdr:row>26</xdr:row>
      <xdr:rowOff>3503</xdr:rowOff>
    </xdr:from>
    <xdr:to>
      <xdr:col>14</xdr:col>
      <xdr:colOff>190500</xdr:colOff>
      <xdr:row>28</xdr:row>
      <xdr:rowOff>31750</xdr:rowOff>
    </xdr:to>
    <xdr:sp macro="" textlink="">
      <xdr:nvSpPr>
        <xdr:cNvPr id="9" name="AutoShape 318">
          <a:extLst>
            <a:ext uri="{FF2B5EF4-FFF2-40B4-BE49-F238E27FC236}">
              <a16:creationId xmlns:a16="http://schemas.microsoft.com/office/drawing/2014/main" id="{00000000-0008-0000-2A00-000009000000}"/>
            </a:ext>
          </a:extLst>
        </xdr:cNvPr>
        <xdr:cNvSpPr>
          <a:spLocks/>
        </xdr:cNvSpPr>
      </xdr:nvSpPr>
      <xdr:spPr bwMode="auto">
        <a:xfrm>
          <a:off x="2960688" y="4662816"/>
          <a:ext cx="63500" cy="361622"/>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127000</xdr:colOff>
      <xdr:row>133</xdr:row>
      <xdr:rowOff>76200</xdr:rowOff>
    </xdr:from>
    <xdr:to>
      <xdr:col>20</xdr:col>
      <xdr:colOff>193675</xdr:colOff>
      <xdr:row>135</xdr:row>
      <xdr:rowOff>215900</xdr:rowOff>
    </xdr:to>
    <xdr:sp macro="" textlink="">
      <xdr:nvSpPr>
        <xdr:cNvPr id="13" name="AutoShape 318">
          <a:extLst>
            <a:ext uri="{FF2B5EF4-FFF2-40B4-BE49-F238E27FC236}">
              <a16:creationId xmlns:a16="http://schemas.microsoft.com/office/drawing/2014/main" id="{00000000-0008-0000-2A00-00000D000000}"/>
            </a:ext>
          </a:extLst>
        </xdr:cNvPr>
        <xdr:cNvSpPr>
          <a:spLocks/>
        </xdr:cNvSpPr>
      </xdr:nvSpPr>
      <xdr:spPr bwMode="auto">
        <a:xfrm>
          <a:off x="4229100" y="26720800"/>
          <a:ext cx="66675" cy="58420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44</xdr:col>
      <xdr:colOff>800100</xdr:colOff>
      <xdr:row>65</xdr:row>
      <xdr:rowOff>88900</xdr:rowOff>
    </xdr:from>
    <xdr:to>
      <xdr:col>44</xdr:col>
      <xdr:colOff>904874</xdr:colOff>
      <xdr:row>67</xdr:row>
      <xdr:rowOff>192032</xdr:rowOff>
    </xdr:to>
    <xdr:sp macro="" textlink="">
      <xdr:nvSpPr>
        <xdr:cNvPr id="14" name="AutoShape 318">
          <a:extLst>
            <a:ext uri="{FF2B5EF4-FFF2-40B4-BE49-F238E27FC236}">
              <a16:creationId xmlns:a16="http://schemas.microsoft.com/office/drawing/2014/main" id="{00000000-0008-0000-2A00-00000E000000}"/>
            </a:ext>
          </a:extLst>
        </xdr:cNvPr>
        <xdr:cNvSpPr>
          <a:spLocks/>
        </xdr:cNvSpPr>
      </xdr:nvSpPr>
      <xdr:spPr bwMode="auto">
        <a:xfrm>
          <a:off x="9956800" y="11976100"/>
          <a:ext cx="104774" cy="547632"/>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xdr:col>
      <xdr:colOff>69851</xdr:colOff>
      <xdr:row>230</xdr:row>
      <xdr:rowOff>38100</xdr:rowOff>
    </xdr:from>
    <xdr:to>
      <xdr:col>5</xdr:col>
      <xdr:colOff>113891</xdr:colOff>
      <xdr:row>233</xdr:row>
      <xdr:rowOff>143013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2"/>
        <a:stretch>
          <a:fillRect/>
        </a:stretch>
      </xdr:blipFill>
      <xdr:spPr>
        <a:xfrm>
          <a:off x="558801" y="42684700"/>
          <a:ext cx="609190" cy="603388"/>
        </a:xfrm>
        <a:prstGeom prst="rect">
          <a:avLst/>
        </a:prstGeom>
      </xdr:spPr>
    </xdr:pic>
    <xdr:clientData/>
  </xdr:twoCellAnchor>
  <xdr:twoCellAnchor>
    <xdr:from>
      <xdr:col>27</xdr:col>
      <xdr:colOff>120650</xdr:colOff>
      <xdr:row>281</xdr:row>
      <xdr:rowOff>82550</xdr:rowOff>
    </xdr:from>
    <xdr:to>
      <xdr:col>27</xdr:col>
      <xdr:colOff>187325</xdr:colOff>
      <xdr:row>285</xdr:row>
      <xdr:rowOff>57150</xdr:rowOff>
    </xdr:to>
    <xdr:sp macro="" textlink="">
      <xdr:nvSpPr>
        <xdr:cNvPr id="15" name="AutoShape 318">
          <a:extLst>
            <a:ext uri="{FF2B5EF4-FFF2-40B4-BE49-F238E27FC236}">
              <a16:creationId xmlns:a16="http://schemas.microsoft.com/office/drawing/2014/main" id="{00000000-0008-0000-2A00-00000F000000}"/>
            </a:ext>
          </a:extLst>
        </xdr:cNvPr>
        <xdr:cNvSpPr>
          <a:spLocks/>
        </xdr:cNvSpPr>
      </xdr:nvSpPr>
      <xdr:spPr bwMode="auto">
        <a:xfrm>
          <a:off x="5645150" y="50266600"/>
          <a:ext cx="66675" cy="58420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22</xdr:col>
      <xdr:colOff>63500</xdr:colOff>
      <xdr:row>296</xdr:row>
      <xdr:rowOff>44450</xdr:rowOff>
    </xdr:from>
    <xdr:to>
      <xdr:col>22</xdr:col>
      <xdr:colOff>130175</xdr:colOff>
      <xdr:row>299</xdr:row>
      <xdr:rowOff>133350</xdr:rowOff>
    </xdr:to>
    <xdr:sp macro="" textlink="">
      <xdr:nvSpPr>
        <xdr:cNvPr id="16" name="AutoShape 318">
          <a:extLst>
            <a:ext uri="{FF2B5EF4-FFF2-40B4-BE49-F238E27FC236}">
              <a16:creationId xmlns:a16="http://schemas.microsoft.com/office/drawing/2014/main" id="{00000000-0008-0000-2A00-000010000000}"/>
            </a:ext>
          </a:extLst>
        </xdr:cNvPr>
        <xdr:cNvSpPr>
          <a:spLocks/>
        </xdr:cNvSpPr>
      </xdr:nvSpPr>
      <xdr:spPr bwMode="auto">
        <a:xfrm>
          <a:off x="4572000" y="52425600"/>
          <a:ext cx="66675" cy="58420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23</xdr:col>
      <xdr:colOff>101600</xdr:colOff>
      <xdr:row>328</xdr:row>
      <xdr:rowOff>12700</xdr:rowOff>
    </xdr:from>
    <xdr:to>
      <xdr:col>23</xdr:col>
      <xdr:colOff>168275</xdr:colOff>
      <xdr:row>332</xdr:row>
      <xdr:rowOff>12700</xdr:rowOff>
    </xdr:to>
    <xdr:sp macro="" textlink="">
      <xdr:nvSpPr>
        <xdr:cNvPr id="17" name="AutoShape 318">
          <a:extLst>
            <a:ext uri="{FF2B5EF4-FFF2-40B4-BE49-F238E27FC236}">
              <a16:creationId xmlns:a16="http://schemas.microsoft.com/office/drawing/2014/main" id="{00000000-0008-0000-2A00-000011000000}"/>
            </a:ext>
          </a:extLst>
        </xdr:cNvPr>
        <xdr:cNvSpPr>
          <a:spLocks/>
        </xdr:cNvSpPr>
      </xdr:nvSpPr>
      <xdr:spPr bwMode="auto">
        <a:xfrm>
          <a:off x="4813300" y="56584850"/>
          <a:ext cx="66675" cy="58420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44</xdr:col>
      <xdr:colOff>698501</xdr:colOff>
      <xdr:row>203</xdr:row>
      <xdr:rowOff>31751</xdr:rowOff>
    </xdr:from>
    <xdr:to>
      <xdr:col>44</xdr:col>
      <xdr:colOff>857251</xdr:colOff>
      <xdr:row>212</xdr:row>
      <xdr:rowOff>23812</xdr:rowOff>
    </xdr:to>
    <xdr:sp macro="" textlink="">
      <xdr:nvSpPr>
        <xdr:cNvPr id="18" name="AutoShape 318">
          <a:extLst>
            <a:ext uri="{FF2B5EF4-FFF2-40B4-BE49-F238E27FC236}">
              <a16:creationId xmlns:a16="http://schemas.microsoft.com/office/drawing/2014/main" id="{00000000-0008-0000-2A00-000012000000}"/>
            </a:ext>
          </a:extLst>
        </xdr:cNvPr>
        <xdr:cNvSpPr>
          <a:spLocks/>
        </xdr:cNvSpPr>
      </xdr:nvSpPr>
      <xdr:spPr bwMode="auto">
        <a:xfrm>
          <a:off x="9707564" y="37187189"/>
          <a:ext cx="158750" cy="1436686"/>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12</xdr:col>
      <xdr:colOff>202746</xdr:colOff>
      <xdr:row>4</xdr:row>
      <xdr:rowOff>28575</xdr:rowOff>
    </xdr:from>
    <xdr:to>
      <xdr:col>12</xdr:col>
      <xdr:colOff>296465</xdr:colOff>
      <xdr:row>4</xdr:row>
      <xdr:rowOff>122238</xdr:rowOff>
    </xdr:to>
    <xdr:pic>
      <xdr:nvPicPr>
        <xdr:cNvPr id="2" name="Picture 3">
          <a:extLst>
            <a:ext uri="{FF2B5EF4-FFF2-40B4-BE49-F238E27FC236}">
              <a16:creationId xmlns:a16="http://schemas.microsoft.com/office/drawing/2014/main" id="{F80F5C72-8B86-4410-83DC-834957AE21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41246" y="1428750"/>
          <a:ext cx="93719" cy="9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23656</xdr:colOff>
      <xdr:row>5</xdr:row>
      <xdr:rowOff>40298</xdr:rowOff>
    </xdr:from>
    <xdr:to>
      <xdr:col>10</xdr:col>
      <xdr:colOff>125190</xdr:colOff>
      <xdr:row>5</xdr:row>
      <xdr:rowOff>140311</xdr:rowOff>
    </xdr:to>
    <xdr:pic>
      <xdr:nvPicPr>
        <xdr:cNvPr id="3" name="Picture 3">
          <a:extLst>
            <a:ext uri="{FF2B5EF4-FFF2-40B4-BE49-F238E27FC236}">
              <a16:creationId xmlns:a16="http://schemas.microsoft.com/office/drawing/2014/main" id="{ADEF1AEE-667A-470C-B498-586910744E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5906" y="1030898"/>
          <a:ext cx="101534"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12</xdr:col>
      <xdr:colOff>219075</xdr:colOff>
      <xdr:row>4</xdr:row>
      <xdr:rowOff>38100</xdr:rowOff>
    </xdr:from>
    <xdr:to>
      <xdr:col>13</xdr:col>
      <xdr:colOff>67865</xdr:colOff>
      <xdr:row>4</xdr:row>
      <xdr:rowOff>138113</xdr:rowOff>
    </xdr:to>
    <xdr:pic>
      <xdr:nvPicPr>
        <xdr:cNvPr id="2" name="Picture 3">
          <a:extLst>
            <a:ext uri="{FF2B5EF4-FFF2-40B4-BE49-F238E27FC236}">
              <a16:creationId xmlns:a16="http://schemas.microsoft.com/office/drawing/2014/main" id="{00000000-0008-0000-2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24225" y="1438275"/>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235927</xdr:colOff>
      <xdr:row>5</xdr:row>
      <xdr:rowOff>30773</xdr:rowOff>
    </xdr:from>
    <xdr:to>
      <xdr:col>10</xdr:col>
      <xdr:colOff>86183</xdr:colOff>
      <xdr:row>5</xdr:row>
      <xdr:rowOff>130786</xdr:rowOff>
    </xdr:to>
    <xdr:pic>
      <xdr:nvPicPr>
        <xdr:cNvPr id="3" name="Picture 3">
          <a:extLst>
            <a:ext uri="{FF2B5EF4-FFF2-40B4-BE49-F238E27FC236}">
              <a16:creationId xmlns:a16="http://schemas.microsoft.com/office/drawing/2014/main" id="{00000000-0008-0000-2B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0502" y="1592873"/>
          <a:ext cx="97906"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47624</xdr:colOff>
      <xdr:row>9</xdr:row>
      <xdr:rowOff>38099</xdr:rowOff>
    </xdr:from>
    <xdr:to>
      <xdr:col>3</xdr:col>
      <xdr:colOff>47625</xdr:colOff>
      <xdr:row>10</xdr:row>
      <xdr:rowOff>295275</xdr:rowOff>
    </xdr:to>
    <xdr:pic>
      <xdr:nvPicPr>
        <xdr:cNvPr id="5" name="Picture 4">
          <a:extLst>
            <a:ext uri="{FF2B5EF4-FFF2-40B4-BE49-F238E27FC236}">
              <a16:creationId xmlns:a16="http://schemas.microsoft.com/office/drawing/2014/main" id="{00000000-0008-0000-2B00-000005000000}"/>
            </a:ext>
          </a:extLst>
        </xdr:cNvPr>
        <xdr:cNvPicPr>
          <a:picLocks noChangeAspect="1"/>
        </xdr:cNvPicPr>
      </xdr:nvPicPr>
      <xdr:blipFill>
        <a:blip xmlns:r="http://schemas.openxmlformats.org/officeDocument/2006/relationships" r:embed="rId2"/>
        <a:stretch>
          <a:fillRect/>
        </a:stretch>
      </xdr:blipFill>
      <xdr:spPr>
        <a:xfrm>
          <a:off x="295274" y="1771649"/>
          <a:ext cx="581026" cy="581026"/>
        </a:xfrm>
        <a:prstGeom prst="rect">
          <a:avLst/>
        </a:prstGeom>
      </xdr:spPr>
    </xdr:pic>
    <xdr:clientData/>
  </xdr:twoCellAnchor>
  <xdr:oneCellAnchor>
    <xdr:from>
      <xdr:col>1</xdr:col>
      <xdr:colOff>85724</xdr:colOff>
      <xdr:row>101</xdr:row>
      <xdr:rowOff>57150</xdr:rowOff>
    </xdr:from>
    <xdr:ext cx="495300" cy="495300"/>
    <xdr:pic>
      <xdr:nvPicPr>
        <xdr:cNvPr id="7" name="Picture 6">
          <a:extLst>
            <a:ext uri="{FF2B5EF4-FFF2-40B4-BE49-F238E27FC236}">
              <a16:creationId xmlns:a16="http://schemas.microsoft.com/office/drawing/2014/main" id="{00000000-0008-0000-2B00-000007000000}"/>
            </a:ext>
          </a:extLst>
        </xdr:cNvPr>
        <xdr:cNvPicPr>
          <a:picLocks noChangeAspect="1"/>
        </xdr:cNvPicPr>
      </xdr:nvPicPr>
      <xdr:blipFill>
        <a:blip xmlns:r="http://schemas.openxmlformats.org/officeDocument/2006/relationships" r:embed="rId2"/>
        <a:stretch>
          <a:fillRect/>
        </a:stretch>
      </xdr:blipFill>
      <xdr:spPr>
        <a:xfrm>
          <a:off x="333374" y="20916900"/>
          <a:ext cx="495300" cy="495300"/>
        </a:xfrm>
        <a:prstGeom prst="rect">
          <a:avLst/>
        </a:prstGeom>
      </xdr:spPr>
    </xdr:pic>
    <xdr:clientData/>
  </xdr:oneCellAnchor>
  <xdr:twoCellAnchor>
    <xdr:from>
      <xdr:col>23</xdr:col>
      <xdr:colOff>197826</xdr:colOff>
      <xdr:row>25</xdr:row>
      <xdr:rowOff>124558</xdr:rowOff>
    </xdr:from>
    <xdr:to>
      <xdr:col>23</xdr:col>
      <xdr:colOff>270363</xdr:colOff>
      <xdr:row>27</xdr:row>
      <xdr:rowOff>139212</xdr:rowOff>
    </xdr:to>
    <xdr:sp macro="" textlink="">
      <xdr:nvSpPr>
        <xdr:cNvPr id="8" name="AutoShape 318">
          <a:extLst>
            <a:ext uri="{FF2B5EF4-FFF2-40B4-BE49-F238E27FC236}">
              <a16:creationId xmlns:a16="http://schemas.microsoft.com/office/drawing/2014/main" id="{00000000-0008-0000-2B00-000008000000}"/>
            </a:ext>
          </a:extLst>
        </xdr:cNvPr>
        <xdr:cNvSpPr>
          <a:spLocks/>
        </xdr:cNvSpPr>
      </xdr:nvSpPr>
      <xdr:spPr bwMode="auto">
        <a:xfrm>
          <a:off x="6066691" y="5070231"/>
          <a:ext cx="72537" cy="417635"/>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26</xdr:col>
      <xdr:colOff>76200</xdr:colOff>
      <xdr:row>30</xdr:row>
      <xdr:rowOff>38102</xdr:rowOff>
    </xdr:from>
    <xdr:to>
      <xdr:col>26</xdr:col>
      <xdr:colOff>130037</xdr:colOff>
      <xdr:row>30</xdr:row>
      <xdr:rowOff>144068</xdr:rowOff>
    </xdr:to>
    <xdr:sp macro="" textlink="">
      <xdr:nvSpPr>
        <xdr:cNvPr id="9" name="AutoShape 85">
          <a:extLst>
            <a:ext uri="{FF2B5EF4-FFF2-40B4-BE49-F238E27FC236}">
              <a16:creationId xmlns:a16="http://schemas.microsoft.com/office/drawing/2014/main" id="{00000000-0008-0000-2B00-000009000000}"/>
            </a:ext>
          </a:extLst>
        </xdr:cNvPr>
        <xdr:cNvSpPr>
          <a:spLocks noChangeArrowheads="1"/>
        </xdr:cNvSpPr>
      </xdr:nvSpPr>
      <xdr:spPr bwMode="auto">
        <a:xfrm rot="5400000">
          <a:off x="6755736" y="6179216"/>
          <a:ext cx="105966" cy="53837"/>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1</xdr:col>
      <xdr:colOff>47624</xdr:colOff>
      <xdr:row>59</xdr:row>
      <xdr:rowOff>66674</xdr:rowOff>
    </xdr:from>
    <xdr:ext cx="571502" cy="571502"/>
    <xdr:pic>
      <xdr:nvPicPr>
        <xdr:cNvPr id="10" name="Picture 9">
          <a:extLst>
            <a:ext uri="{FF2B5EF4-FFF2-40B4-BE49-F238E27FC236}">
              <a16:creationId xmlns:a16="http://schemas.microsoft.com/office/drawing/2014/main" id="{00000000-0008-0000-2B00-00000A000000}"/>
            </a:ext>
          </a:extLst>
        </xdr:cNvPr>
        <xdr:cNvPicPr>
          <a:picLocks noChangeAspect="1"/>
        </xdr:cNvPicPr>
      </xdr:nvPicPr>
      <xdr:blipFill>
        <a:blip xmlns:r="http://schemas.openxmlformats.org/officeDocument/2006/relationships" r:embed="rId2"/>
        <a:stretch>
          <a:fillRect/>
        </a:stretch>
      </xdr:blipFill>
      <xdr:spPr>
        <a:xfrm>
          <a:off x="295274" y="12363449"/>
          <a:ext cx="571502" cy="571502"/>
        </a:xfrm>
        <a:prstGeom prst="rect">
          <a:avLst/>
        </a:prstGeom>
      </xdr:spPr>
    </xdr:pic>
    <xdr:clientData/>
  </xdr:oneCellAnchor>
  <xdr:oneCellAnchor>
    <xdr:from>
      <xdr:col>1</xdr:col>
      <xdr:colOff>85724</xdr:colOff>
      <xdr:row>160</xdr:row>
      <xdr:rowOff>57150</xdr:rowOff>
    </xdr:from>
    <xdr:ext cx="495300" cy="495300"/>
    <xdr:pic>
      <xdr:nvPicPr>
        <xdr:cNvPr id="11" name="Picture 10">
          <a:extLst>
            <a:ext uri="{FF2B5EF4-FFF2-40B4-BE49-F238E27FC236}">
              <a16:creationId xmlns:a16="http://schemas.microsoft.com/office/drawing/2014/main" id="{00000000-0008-0000-2B00-00000B000000}"/>
            </a:ext>
          </a:extLst>
        </xdr:cNvPr>
        <xdr:cNvPicPr>
          <a:picLocks noChangeAspect="1"/>
        </xdr:cNvPicPr>
      </xdr:nvPicPr>
      <xdr:blipFill>
        <a:blip xmlns:r="http://schemas.openxmlformats.org/officeDocument/2006/relationships" r:embed="rId2"/>
        <a:stretch>
          <a:fillRect/>
        </a:stretch>
      </xdr:blipFill>
      <xdr:spPr>
        <a:xfrm>
          <a:off x="333374" y="20916900"/>
          <a:ext cx="495300" cy="495300"/>
        </a:xfrm>
        <a:prstGeom prst="rect">
          <a:avLst/>
        </a:prstGeom>
      </xdr:spPr>
    </xdr:pic>
    <xdr:clientData/>
  </xdr:oneCellAnchor>
  <xdr:oneCellAnchor>
    <xdr:from>
      <xdr:col>1</xdr:col>
      <xdr:colOff>47624</xdr:colOff>
      <xdr:row>118</xdr:row>
      <xdr:rowOff>66674</xdr:rowOff>
    </xdr:from>
    <xdr:ext cx="571502" cy="571502"/>
    <xdr:pic>
      <xdr:nvPicPr>
        <xdr:cNvPr id="12" name="Picture 11">
          <a:extLst>
            <a:ext uri="{FF2B5EF4-FFF2-40B4-BE49-F238E27FC236}">
              <a16:creationId xmlns:a16="http://schemas.microsoft.com/office/drawing/2014/main" id="{00000000-0008-0000-2B00-00000C000000}"/>
            </a:ext>
          </a:extLst>
        </xdr:cNvPr>
        <xdr:cNvPicPr>
          <a:picLocks noChangeAspect="1"/>
        </xdr:cNvPicPr>
      </xdr:nvPicPr>
      <xdr:blipFill>
        <a:blip xmlns:r="http://schemas.openxmlformats.org/officeDocument/2006/relationships" r:embed="rId2"/>
        <a:stretch>
          <a:fillRect/>
        </a:stretch>
      </xdr:blipFill>
      <xdr:spPr>
        <a:xfrm>
          <a:off x="295274" y="12363449"/>
          <a:ext cx="571502" cy="571502"/>
        </a:xfrm>
        <a:prstGeom prst="rect">
          <a:avLst/>
        </a:prstGeom>
      </xdr:spPr>
    </xdr:pic>
    <xdr:clientData/>
  </xdr:oneCellAnchor>
  <xdr:oneCellAnchor>
    <xdr:from>
      <xdr:col>1</xdr:col>
      <xdr:colOff>85724</xdr:colOff>
      <xdr:row>219</xdr:row>
      <xdr:rowOff>57150</xdr:rowOff>
    </xdr:from>
    <xdr:ext cx="495300" cy="495300"/>
    <xdr:pic>
      <xdr:nvPicPr>
        <xdr:cNvPr id="13" name="Picture 12">
          <a:extLst>
            <a:ext uri="{FF2B5EF4-FFF2-40B4-BE49-F238E27FC236}">
              <a16:creationId xmlns:a16="http://schemas.microsoft.com/office/drawing/2014/main" id="{00000000-0008-0000-2B00-00000D000000}"/>
            </a:ext>
          </a:extLst>
        </xdr:cNvPr>
        <xdr:cNvPicPr>
          <a:picLocks noChangeAspect="1"/>
        </xdr:cNvPicPr>
      </xdr:nvPicPr>
      <xdr:blipFill>
        <a:blip xmlns:r="http://schemas.openxmlformats.org/officeDocument/2006/relationships" r:embed="rId2"/>
        <a:stretch>
          <a:fillRect/>
        </a:stretch>
      </xdr:blipFill>
      <xdr:spPr>
        <a:xfrm>
          <a:off x="333374" y="20916900"/>
          <a:ext cx="495300" cy="495300"/>
        </a:xfrm>
        <a:prstGeom prst="rect">
          <a:avLst/>
        </a:prstGeom>
      </xdr:spPr>
    </xdr:pic>
    <xdr:clientData/>
  </xdr:oneCellAnchor>
  <xdr:oneCellAnchor>
    <xdr:from>
      <xdr:col>1</xdr:col>
      <xdr:colOff>47624</xdr:colOff>
      <xdr:row>177</xdr:row>
      <xdr:rowOff>66674</xdr:rowOff>
    </xdr:from>
    <xdr:ext cx="571502" cy="571502"/>
    <xdr:pic>
      <xdr:nvPicPr>
        <xdr:cNvPr id="14" name="Picture 13">
          <a:extLst>
            <a:ext uri="{FF2B5EF4-FFF2-40B4-BE49-F238E27FC236}">
              <a16:creationId xmlns:a16="http://schemas.microsoft.com/office/drawing/2014/main" id="{00000000-0008-0000-2B00-00000E000000}"/>
            </a:ext>
          </a:extLst>
        </xdr:cNvPr>
        <xdr:cNvPicPr>
          <a:picLocks noChangeAspect="1"/>
        </xdr:cNvPicPr>
      </xdr:nvPicPr>
      <xdr:blipFill>
        <a:blip xmlns:r="http://schemas.openxmlformats.org/officeDocument/2006/relationships" r:embed="rId2"/>
        <a:stretch>
          <a:fillRect/>
        </a:stretch>
      </xdr:blipFill>
      <xdr:spPr>
        <a:xfrm>
          <a:off x="295274" y="12363449"/>
          <a:ext cx="571502" cy="571502"/>
        </a:xfrm>
        <a:prstGeom prst="rect">
          <a:avLst/>
        </a:prstGeom>
      </xdr:spPr>
    </xdr:pic>
    <xdr:clientData/>
  </xdr:oneCellAnchor>
  <xdr:oneCellAnchor>
    <xdr:from>
      <xdr:col>1</xdr:col>
      <xdr:colOff>85724</xdr:colOff>
      <xdr:row>278</xdr:row>
      <xdr:rowOff>57150</xdr:rowOff>
    </xdr:from>
    <xdr:ext cx="495300" cy="495300"/>
    <xdr:pic>
      <xdr:nvPicPr>
        <xdr:cNvPr id="15" name="Picture 14">
          <a:extLst>
            <a:ext uri="{FF2B5EF4-FFF2-40B4-BE49-F238E27FC236}">
              <a16:creationId xmlns:a16="http://schemas.microsoft.com/office/drawing/2014/main" id="{00000000-0008-0000-2B00-00000F000000}"/>
            </a:ext>
          </a:extLst>
        </xdr:cNvPr>
        <xdr:cNvPicPr>
          <a:picLocks noChangeAspect="1"/>
        </xdr:cNvPicPr>
      </xdr:nvPicPr>
      <xdr:blipFill>
        <a:blip xmlns:r="http://schemas.openxmlformats.org/officeDocument/2006/relationships" r:embed="rId2"/>
        <a:stretch>
          <a:fillRect/>
        </a:stretch>
      </xdr:blipFill>
      <xdr:spPr>
        <a:xfrm>
          <a:off x="333374" y="20916900"/>
          <a:ext cx="495300" cy="495300"/>
        </a:xfrm>
        <a:prstGeom prst="rect">
          <a:avLst/>
        </a:prstGeom>
      </xdr:spPr>
    </xdr:pic>
    <xdr:clientData/>
  </xdr:oneCellAnchor>
  <xdr:oneCellAnchor>
    <xdr:from>
      <xdr:col>1</xdr:col>
      <xdr:colOff>47624</xdr:colOff>
      <xdr:row>236</xdr:row>
      <xdr:rowOff>66674</xdr:rowOff>
    </xdr:from>
    <xdr:ext cx="571502" cy="571502"/>
    <xdr:pic>
      <xdr:nvPicPr>
        <xdr:cNvPr id="16" name="Picture 15">
          <a:extLst>
            <a:ext uri="{FF2B5EF4-FFF2-40B4-BE49-F238E27FC236}">
              <a16:creationId xmlns:a16="http://schemas.microsoft.com/office/drawing/2014/main" id="{00000000-0008-0000-2B00-000010000000}"/>
            </a:ext>
          </a:extLst>
        </xdr:cNvPr>
        <xdr:cNvPicPr>
          <a:picLocks noChangeAspect="1"/>
        </xdr:cNvPicPr>
      </xdr:nvPicPr>
      <xdr:blipFill>
        <a:blip xmlns:r="http://schemas.openxmlformats.org/officeDocument/2006/relationships" r:embed="rId2"/>
        <a:stretch>
          <a:fillRect/>
        </a:stretch>
      </xdr:blipFill>
      <xdr:spPr>
        <a:xfrm>
          <a:off x="295274" y="12363449"/>
          <a:ext cx="571502" cy="571502"/>
        </a:xfrm>
        <a:prstGeom prst="rect">
          <a:avLst/>
        </a:prstGeom>
      </xdr:spPr>
    </xdr:pic>
    <xdr:clientData/>
  </xdr:oneCellAnchor>
  <xdr:twoCellAnchor>
    <xdr:from>
      <xdr:col>27</xdr:col>
      <xdr:colOff>14654</xdr:colOff>
      <xdr:row>52</xdr:row>
      <xdr:rowOff>51292</xdr:rowOff>
    </xdr:from>
    <xdr:to>
      <xdr:col>27</xdr:col>
      <xdr:colOff>109903</xdr:colOff>
      <xdr:row>52</xdr:row>
      <xdr:rowOff>179238</xdr:rowOff>
    </xdr:to>
    <xdr:sp macro="" textlink="">
      <xdr:nvSpPr>
        <xdr:cNvPr id="17" name="AutoShape 85">
          <a:extLst>
            <a:ext uri="{FF2B5EF4-FFF2-40B4-BE49-F238E27FC236}">
              <a16:creationId xmlns:a16="http://schemas.microsoft.com/office/drawing/2014/main" id="{00000000-0008-0000-2B00-000011000000}"/>
            </a:ext>
          </a:extLst>
        </xdr:cNvPr>
        <xdr:cNvSpPr>
          <a:spLocks noChangeArrowheads="1"/>
        </xdr:cNvSpPr>
      </xdr:nvSpPr>
      <xdr:spPr bwMode="auto">
        <a:xfrm rot="5400000">
          <a:off x="6907594" y="10633063"/>
          <a:ext cx="127946" cy="9524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12</xdr:col>
      <xdr:colOff>202746</xdr:colOff>
      <xdr:row>4</xdr:row>
      <xdr:rowOff>28575</xdr:rowOff>
    </xdr:from>
    <xdr:to>
      <xdr:col>12</xdr:col>
      <xdr:colOff>296465</xdr:colOff>
      <xdr:row>4</xdr:row>
      <xdr:rowOff>122238</xdr:rowOff>
    </xdr:to>
    <xdr:pic>
      <xdr:nvPicPr>
        <xdr:cNvPr id="2" name="Picture 3">
          <a:extLst>
            <a:ext uri="{FF2B5EF4-FFF2-40B4-BE49-F238E27FC236}">
              <a16:creationId xmlns:a16="http://schemas.microsoft.com/office/drawing/2014/main" id="{976FCE3E-62E9-4370-BC8B-E9142D94FF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36496" y="857250"/>
          <a:ext cx="93719" cy="9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61756</xdr:colOff>
      <xdr:row>5</xdr:row>
      <xdr:rowOff>30773</xdr:rowOff>
    </xdr:from>
    <xdr:to>
      <xdr:col>10</xdr:col>
      <xdr:colOff>163290</xdr:colOff>
      <xdr:row>5</xdr:row>
      <xdr:rowOff>130786</xdr:rowOff>
    </xdr:to>
    <xdr:pic>
      <xdr:nvPicPr>
        <xdr:cNvPr id="3" name="Picture 3">
          <a:extLst>
            <a:ext uri="{FF2B5EF4-FFF2-40B4-BE49-F238E27FC236}">
              <a16:creationId xmlns:a16="http://schemas.microsoft.com/office/drawing/2014/main" id="{C21EE4E9-4918-4706-A583-1E608D145D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24006" y="1021373"/>
          <a:ext cx="101534"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9</xdr:row>
      <xdr:rowOff>133350</xdr:rowOff>
    </xdr:from>
    <xdr:to>
      <xdr:col>2</xdr:col>
      <xdr:colOff>402927</xdr:colOff>
      <xdr:row>13</xdr:row>
      <xdr:rowOff>85725</xdr:rowOff>
    </xdr:to>
    <xdr:pic>
      <xdr:nvPicPr>
        <xdr:cNvPr id="4" name="Picture 3">
          <a:extLst>
            <a:ext uri="{FF2B5EF4-FFF2-40B4-BE49-F238E27FC236}">
              <a16:creationId xmlns:a16="http://schemas.microsoft.com/office/drawing/2014/main" id="{A96A7BB8-DB3D-411B-9EFD-9A1ECF1A8F32}"/>
            </a:ext>
          </a:extLst>
        </xdr:cNvPr>
        <xdr:cNvPicPr>
          <a:picLocks noChangeAspect="1"/>
        </xdr:cNvPicPr>
      </xdr:nvPicPr>
      <xdr:blipFill>
        <a:blip xmlns:r="http://schemas.openxmlformats.org/officeDocument/2006/relationships" r:embed="rId2"/>
        <a:stretch>
          <a:fillRect/>
        </a:stretch>
      </xdr:blipFill>
      <xdr:spPr>
        <a:xfrm>
          <a:off x="266700" y="1781175"/>
          <a:ext cx="726777" cy="73342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10</xdr:col>
      <xdr:colOff>977790</xdr:colOff>
      <xdr:row>14</xdr:row>
      <xdr:rowOff>135550</xdr:rowOff>
    </xdr:from>
    <xdr:to>
      <xdr:col>10</xdr:col>
      <xdr:colOff>1025415</xdr:colOff>
      <xdr:row>16</xdr:row>
      <xdr:rowOff>23802</xdr:rowOff>
    </xdr:to>
    <xdr:sp macro="" textlink="">
      <xdr:nvSpPr>
        <xdr:cNvPr id="2" name="AutoShape 85">
          <a:extLst>
            <a:ext uri="{FF2B5EF4-FFF2-40B4-BE49-F238E27FC236}">
              <a16:creationId xmlns:a16="http://schemas.microsoft.com/office/drawing/2014/main" id="{00000000-0008-0000-2C00-000002000000}"/>
            </a:ext>
          </a:extLst>
        </xdr:cNvPr>
        <xdr:cNvSpPr>
          <a:spLocks noChangeArrowheads="1"/>
        </xdr:cNvSpPr>
      </xdr:nvSpPr>
      <xdr:spPr bwMode="auto">
        <a:xfrm rot="5400000">
          <a:off x="5994149" y="2722863"/>
          <a:ext cx="105966" cy="4762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421722</xdr:colOff>
      <xdr:row>51</xdr:row>
      <xdr:rowOff>41275</xdr:rowOff>
    </xdr:from>
    <xdr:to>
      <xdr:col>8</xdr:col>
      <xdr:colOff>478872</xdr:colOff>
      <xdr:row>51</xdr:row>
      <xdr:rowOff>147241</xdr:rowOff>
    </xdr:to>
    <xdr:sp macro="" textlink="">
      <xdr:nvSpPr>
        <xdr:cNvPr id="3" name="AutoShape 85">
          <a:extLst>
            <a:ext uri="{FF2B5EF4-FFF2-40B4-BE49-F238E27FC236}">
              <a16:creationId xmlns:a16="http://schemas.microsoft.com/office/drawing/2014/main" id="{00000000-0008-0000-2C00-000003000000}"/>
            </a:ext>
          </a:extLst>
        </xdr:cNvPr>
        <xdr:cNvSpPr>
          <a:spLocks noChangeArrowheads="1"/>
        </xdr:cNvSpPr>
      </xdr:nvSpPr>
      <xdr:spPr bwMode="auto">
        <a:xfrm rot="5400000">
          <a:off x="4835964" y="85937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429358</xdr:colOff>
      <xdr:row>114</xdr:row>
      <xdr:rowOff>29307</xdr:rowOff>
    </xdr:from>
    <xdr:to>
      <xdr:col>8</xdr:col>
      <xdr:colOff>486508</xdr:colOff>
      <xdr:row>114</xdr:row>
      <xdr:rowOff>135273</xdr:rowOff>
    </xdr:to>
    <xdr:sp macro="" textlink="">
      <xdr:nvSpPr>
        <xdr:cNvPr id="4" name="AutoShape 85">
          <a:extLst>
            <a:ext uri="{FF2B5EF4-FFF2-40B4-BE49-F238E27FC236}">
              <a16:creationId xmlns:a16="http://schemas.microsoft.com/office/drawing/2014/main" id="{00000000-0008-0000-2C00-000004000000}"/>
            </a:ext>
          </a:extLst>
        </xdr:cNvPr>
        <xdr:cNvSpPr>
          <a:spLocks noChangeArrowheads="1"/>
        </xdr:cNvSpPr>
      </xdr:nvSpPr>
      <xdr:spPr bwMode="auto">
        <a:xfrm rot="5400000">
          <a:off x="4843600" y="19802215"/>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974271</xdr:colOff>
      <xdr:row>76</xdr:row>
      <xdr:rowOff>136073</xdr:rowOff>
    </xdr:from>
    <xdr:to>
      <xdr:col>10</xdr:col>
      <xdr:colOff>1021896</xdr:colOff>
      <xdr:row>78</xdr:row>
      <xdr:rowOff>24325</xdr:rowOff>
    </xdr:to>
    <xdr:sp macro="" textlink="">
      <xdr:nvSpPr>
        <xdr:cNvPr id="5" name="AutoShape 85">
          <a:extLst>
            <a:ext uri="{FF2B5EF4-FFF2-40B4-BE49-F238E27FC236}">
              <a16:creationId xmlns:a16="http://schemas.microsoft.com/office/drawing/2014/main" id="{00000000-0008-0000-2C00-000005000000}"/>
            </a:ext>
          </a:extLst>
        </xdr:cNvPr>
        <xdr:cNvSpPr>
          <a:spLocks noChangeArrowheads="1"/>
        </xdr:cNvSpPr>
      </xdr:nvSpPr>
      <xdr:spPr bwMode="auto">
        <a:xfrm rot="5400000">
          <a:off x="6039615" y="14311229"/>
          <a:ext cx="105966" cy="47625"/>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976386</xdr:colOff>
      <xdr:row>9</xdr:row>
      <xdr:rowOff>43963</xdr:rowOff>
    </xdr:from>
    <xdr:to>
      <xdr:col>10</xdr:col>
      <xdr:colOff>1022105</xdr:colOff>
      <xdr:row>9</xdr:row>
      <xdr:rowOff>131889</xdr:rowOff>
    </xdr:to>
    <xdr:sp macro="" textlink="">
      <xdr:nvSpPr>
        <xdr:cNvPr id="6" name="AutoShape 85">
          <a:extLst>
            <a:ext uri="{FF2B5EF4-FFF2-40B4-BE49-F238E27FC236}">
              <a16:creationId xmlns:a16="http://schemas.microsoft.com/office/drawing/2014/main" id="{00000000-0008-0000-2C00-000006000000}"/>
            </a:ext>
          </a:extLst>
        </xdr:cNvPr>
        <xdr:cNvSpPr>
          <a:spLocks noChangeArrowheads="1"/>
        </xdr:cNvSpPr>
      </xdr:nvSpPr>
      <xdr:spPr bwMode="auto">
        <a:xfrm rot="5400000">
          <a:off x="6135418" y="1720951"/>
          <a:ext cx="87926" cy="4571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10</xdr:col>
      <xdr:colOff>974480</xdr:colOff>
      <xdr:row>71</xdr:row>
      <xdr:rowOff>21981</xdr:rowOff>
    </xdr:from>
    <xdr:to>
      <xdr:col>10</xdr:col>
      <xdr:colOff>1020199</xdr:colOff>
      <xdr:row>71</xdr:row>
      <xdr:rowOff>109907</xdr:rowOff>
    </xdr:to>
    <xdr:sp macro="" textlink="">
      <xdr:nvSpPr>
        <xdr:cNvPr id="7" name="AutoShape 85">
          <a:extLst>
            <a:ext uri="{FF2B5EF4-FFF2-40B4-BE49-F238E27FC236}">
              <a16:creationId xmlns:a16="http://schemas.microsoft.com/office/drawing/2014/main" id="{00000000-0008-0000-2C00-000007000000}"/>
            </a:ext>
          </a:extLst>
        </xdr:cNvPr>
        <xdr:cNvSpPr>
          <a:spLocks noChangeArrowheads="1"/>
        </xdr:cNvSpPr>
      </xdr:nvSpPr>
      <xdr:spPr bwMode="auto">
        <a:xfrm rot="5400000">
          <a:off x="6133512" y="11854084"/>
          <a:ext cx="87926" cy="4571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14</xdr:col>
      <xdr:colOff>219076</xdr:colOff>
      <xdr:row>57</xdr:row>
      <xdr:rowOff>42862</xdr:rowOff>
    </xdr:from>
    <xdr:to>
      <xdr:col>15</xdr:col>
      <xdr:colOff>47626</xdr:colOff>
      <xdr:row>58</xdr:row>
      <xdr:rowOff>33337</xdr:rowOff>
    </xdr:to>
    <xdr:pic>
      <xdr:nvPicPr>
        <xdr:cNvPr id="115081" name="Picture 4">
          <a:extLst>
            <a:ext uri="{FF2B5EF4-FFF2-40B4-BE49-F238E27FC236}">
              <a16:creationId xmlns:a16="http://schemas.microsoft.com/office/drawing/2014/main" id="{00000000-0008-0000-2D00-000089C1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1" y="11206162"/>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115082" name="Picture 5">
          <a:extLst>
            <a:ext uri="{FF2B5EF4-FFF2-40B4-BE49-F238E27FC236}">
              <a16:creationId xmlns:a16="http://schemas.microsoft.com/office/drawing/2014/main" id="{00000000-0008-0000-2D00-00008AC1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95687" y="22702838"/>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142876</xdr:colOff>
      <xdr:row>7</xdr:row>
      <xdr:rowOff>76199</xdr:rowOff>
    </xdr:from>
    <xdr:to>
      <xdr:col>7</xdr:col>
      <xdr:colOff>239316</xdr:colOff>
      <xdr:row>8</xdr:row>
      <xdr:rowOff>49212</xdr:rowOff>
    </xdr:to>
    <xdr:pic>
      <xdr:nvPicPr>
        <xdr:cNvPr id="7" name="Picture 3">
          <a:extLst>
            <a:ext uri="{FF2B5EF4-FFF2-40B4-BE49-F238E27FC236}">
              <a16:creationId xmlns:a16="http://schemas.microsoft.com/office/drawing/2014/main" id="{00000000-0008-0000-2D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1" y="1133474"/>
          <a:ext cx="96440" cy="106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219076</xdr:colOff>
      <xdr:row>6</xdr:row>
      <xdr:rowOff>42862</xdr:rowOff>
    </xdr:from>
    <xdr:to>
      <xdr:col>10</xdr:col>
      <xdr:colOff>48816</xdr:colOff>
      <xdr:row>7</xdr:row>
      <xdr:rowOff>0</xdr:rowOff>
    </xdr:to>
    <xdr:pic>
      <xdr:nvPicPr>
        <xdr:cNvPr id="8" name="Picture 3">
          <a:extLst>
            <a:ext uri="{FF2B5EF4-FFF2-40B4-BE49-F238E27FC236}">
              <a16:creationId xmlns:a16="http://schemas.microsoft.com/office/drawing/2014/main" id="{00000000-0008-0000-2D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1" y="957262"/>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6" name="Picture 5">
          <a:extLst>
            <a:ext uri="{FF2B5EF4-FFF2-40B4-BE49-F238E27FC236}">
              <a16:creationId xmlns:a16="http://schemas.microsoft.com/office/drawing/2014/main" id="{00000000-0008-0000-2D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5599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14</xdr:col>
      <xdr:colOff>219076</xdr:colOff>
      <xdr:row>57</xdr:row>
      <xdr:rowOff>42862</xdr:rowOff>
    </xdr:from>
    <xdr:to>
      <xdr:col>15</xdr:col>
      <xdr:colOff>47626</xdr:colOff>
      <xdr:row>58</xdr:row>
      <xdr:rowOff>33337</xdr:rowOff>
    </xdr:to>
    <xdr:pic>
      <xdr:nvPicPr>
        <xdr:cNvPr id="2" name="Picture 4">
          <a:extLst>
            <a:ext uri="{FF2B5EF4-FFF2-40B4-BE49-F238E27FC236}">
              <a16:creationId xmlns:a16="http://schemas.microsoft.com/office/drawing/2014/main" id="{00000000-0008-0000-2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1" y="10044112"/>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3" name="Picture 5">
          <a:extLst>
            <a:ext uri="{FF2B5EF4-FFF2-40B4-BE49-F238E27FC236}">
              <a16:creationId xmlns:a16="http://schemas.microsoft.com/office/drawing/2014/main" id="{00000000-0008-0000-2E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95687" y="2170271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138794</xdr:colOff>
      <xdr:row>7</xdr:row>
      <xdr:rowOff>74838</xdr:rowOff>
    </xdr:from>
    <xdr:to>
      <xdr:col>7</xdr:col>
      <xdr:colOff>235234</xdr:colOff>
      <xdr:row>8</xdr:row>
      <xdr:rowOff>47851</xdr:rowOff>
    </xdr:to>
    <xdr:pic>
      <xdr:nvPicPr>
        <xdr:cNvPr id="4" name="Picture 3">
          <a:extLst>
            <a:ext uri="{FF2B5EF4-FFF2-40B4-BE49-F238E27FC236}">
              <a16:creationId xmlns:a16="http://schemas.microsoft.com/office/drawing/2014/main" id="{00000000-0008-0000-2E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0637" y="1130752"/>
          <a:ext cx="96440" cy="109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6" name="Picture 5">
          <a:extLst>
            <a:ext uri="{FF2B5EF4-FFF2-40B4-BE49-F238E27FC236}">
              <a16:creationId xmlns:a16="http://schemas.microsoft.com/office/drawing/2014/main" id="{00000000-0008-0000-2E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5599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7" name="Picture 6">
          <a:extLst>
            <a:ext uri="{FF2B5EF4-FFF2-40B4-BE49-F238E27FC236}">
              <a16:creationId xmlns:a16="http://schemas.microsoft.com/office/drawing/2014/main" id="{00000000-0008-0000-2E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5599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219076</xdr:colOff>
      <xdr:row>6</xdr:row>
      <xdr:rowOff>42862</xdr:rowOff>
    </xdr:from>
    <xdr:to>
      <xdr:col>10</xdr:col>
      <xdr:colOff>48816</xdr:colOff>
      <xdr:row>7</xdr:row>
      <xdr:rowOff>0</xdr:rowOff>
    </xdr:to>
    <xdr:pic>
      <xdr:nvPicPr>
        <xdr:cNvPr id="8" name="Picture 3">
          <a:extLst>
            <a:ext uri="{FF2B5EF4-FFF2-40B4-BE49-F238E27FC236}">
              <a16:creationId xmlns:a16="http://schemas.microsoft.com/office/drawing/2014/main" id="{00000000-0008-0000-2E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1" y="957262"/>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14</xdr:col>
      <xdr:colOff>219076</xdr:colOff>
      <xdr:row>57</xdr:row>
      <xdr:rowOff>42862</xdr:rowOff>
    </xdr:from>
    <xdr:to>
      <xdr:col>15</xdr:col>
      <xdr:colOff>47626</xdr:colOff>
      <xdr:row>58</xdr:row>
      <xdr:rowOff>33337</xdr:rowOff>
    </xdr:to>
    <xdr:pic>
      <xdr:nvPicPr>
        <xdr:cNvPr id="2" name="Picture 4">
          <a:extLst>
            <a:ext uri="{FF2B5EF4-FFF2-40B4-BE49-F238E27FC236}">
              <a16:creationId xmlns:a16="http://schemas.microsoft.com/office/drawing/2014/main" id="{00000000-0008-0000-2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1" y="10044112"/>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146958</xdr:colOff>
      <xdr:row>7</xdr:row>
      <xdr:rowOff>76199</xdr:rowOff>
    </xdr:from>
    <xdr:to>
      <xdr:col>7</xdr:col>
      <xdr:colOff>243398</xdr:colOff>
      <xdr:row>8</xdr:row>
      <xdr:rowOff>49212</xdr:rowOff>
    </xdr:to>
    <xdr:pic>
      <xdr:nvPicPr>
        <xdr:cNvPr id="4" name="Picture 3">
          <a:extLst>
            <a:ext uri="{FF2B5EF4-FFF2-40B4-BE49-F238E27FC236}">
              <a16:creationId xmlns:a16="http://schemas.microsoft.com/office/drawing/2014/main" id="{00000000-0008-0000-2F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1" y="1132113"/>
          <a:ext cx="96440" cy="109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6" name="Picture 5">
          <a:extLst>
            <a:ext uri="{FF2B5EF4-FFF2-40B4-BE49-F238E27FC236}">
              <a16:creationId xmlns:a16="http://schemas.microsoft.com/office/drawing/2014/main" id="{00000000-0008-0000-2F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5599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7" name="Picture 6">
          <a:extLst>
            <a:ext uri="{FF2B5EF4-FFF2-40B4-BE49-F238E27FC236}">
              <a16:creationId xmlns:a16="http://schemas.microsoft.com/office/drawing/2014/main" id="{00000000-0008-0000-2F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5599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8" name="Picture 7">
          <a:extLst>
            <a:ext uri="{FF2B5EF4-FFF2-40B4-BE49-F238E27FC236}">
              <a16:creationId xmlns:a16="http://schemas.microsoft.com/office/drawing/2014/main" id="{00000000-0008-0000-2F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5599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219076</xdr:colOff>
      <xdr:row>6</xdr:row>
      <xdr:rowOff>42862</xdr:rowOff>
    </xdr:from>
    <xdr:to>
      <xdr:col>10</xdr:col>
      <xdr:colOff>48816</xdr:colOff>
      <xdr:row>7</xdr:row>
      <xdr:rowOff>0</xdr:rowOff>
    </xdr:to>
    <xdr:pic>
      <xdr:nvPicPr>
        <xdr:cNvPr id="9" name="Picture 3">
          <a:extLst>
            <a:ext uri="{FF2B5EF4-FFF2-40B4-BE49-F238E27FC236}">
              <a16:creationId xmlns:a16="http://schemas.microsoft.com/office/drawing/2014/main" id="{00000000-0008-0000-2F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1" y="957262"/>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14</xdr:col>
      <xdr:colOff>219076</xdr:colOff>
      <xdr:row>57</xdr:row>
      <xdr:rowOff>42862</xdr:rowOff>
    </xdr:from>
    <xdr:to>
      <xdr:col>15</xdr:col>
      <xdr:colOff>47626</xdr:colOff>
      <xdr:row>58</xdr:row>
      <xdr:rowOff>33337</xdr:rowOff>
    </xdr:to>
    <xdr:pic>
      <xdr:nvPicPr>
        <xdr:cNvPr id="2" name="Picture 4">
          <a:extLst>
            <a:ext uri="{FF2B5EF4-FFF2-40B4-BE49-F238E27FC236}">
              <a16:creationId xmlns:a16="http://schemas.microsoft.com/office/drawing/2014/main" id="{00000000-0008-0000-3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76651" y="10644187"/>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146958</xdr:colOff>
      <xdr:row>7</xdr:row>
      <xdr:rowOff>76199</xdr:rowOff>
    </xdr:from>
    <xdr:to>
      <xdr:col>7</xdr:col>
      <xdr:colOff>243398</xdr:colOff>
      <xdr:row>8</xdr:row>
      <xdr:rowOff>49212</xdr:rowOff>
    </xdr:to>
    <xdr:pic>
      <xdr:nvPicPr>
        <xdr:cNvPr id="3" name="Picture 2">
          <a:extLst>
            <a:ext uri="{FF2B5EF4-FFF2-40B4-BE49-F238E27FC236}">
              <a16:creationId xmlns:a16="http://schemas.microsoft.com/office/drawing/2014/main" id="{00000000-0008-0000-3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3833" y="1133474"/>
          <a:ext cx="96440" cy="106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4" name="Picture 3">
          <a:extLst>
            <a:ext uri="{FF2B5EF4-FFF2-40B4-BE49-F238E27FC236}">
              <a16:creationId xmlns:a16="http://schemas.microsoft.com/office/drawing/2014/main" id="{00000000-0008-0000-3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9028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5" name="Picture 4">
          <a:extLst>
            <a:ext uri="{FF2B5EF4-FFF2-40B4-BE49-F238E27FC236}">
              <a16:creationId xmlns:a16="http://schemas.microsoft.com/office/drawing/2014/main" id="{00000000-0008-0000-3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9028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195262</xdr:colOff>
      <xdr:row>118</xdr:row>
      <xdr:rowOff>52388</xdr:rowOff>
    </xdr:from>
    <xdr:to>
      <xdr:col>15</xdr:col>
      <xdr:colOff>23812</xdr:colOff>
      <xdr:row>119</xdr:row>
      <xdr:rowOff>42863</xdr:rowOff>
    </xdr:to>
    <xdr:pic>
      <xdr:nvPicPr>
        <xdr:cNvPr id="6" name="Picture 5">
          <a:extLst>
            <a:ext uri="{FF2B5EF4-FFF2-40B4-BE49-F238E27FC236}">
              <a16:creationId xmlns:a16="http://schemas.microsoft.com/office/drawing/2014/main" id="{00000000-0008-0000-3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2837" y="22902863"/>
          <a:ext cx="762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219076</xdr:colOff>
      <xdr:row>6</xdr:row>
      <xdr:rowOff>42862</xdr:rowOff>
    </xdr:from>
    <xdr:to>
      <xdr:col>10</xdr:col>
      <xdr:colOff>48816</xdr:colOff>
      <xdr:row>7</xdr:row>
      <xdr:rowOff>0</xdr:rowOff>
    </xdr:to>
    <xdr:pic>
      <xdr:nvPicPr>
        <xdr:cNvPr id="7" name="Picture 3">
          <a:extLst>
            <a:ext uri="{FF2B5EF4-FFF2-40B4-BE49-F238E27FC236}">
              <a16:creationId xmlns:a16="http://schemas.microsoft.com/office/drawing/2014/main" id="{00000000-0008-0000-30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1" y="957262"/>
          <a:ext cx="96440"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28</xdr:col>
      <xdr:colOff>733425</xdr:colOff>
      <xdr:row>48</xdr:row>
      <xdr:rowOff>47625</xdr:rowOff>
    </xdr:from>
    <xdr:to>
      <xdr:col>29</xdr:col>
      <xdr:colOff>180975</xdr:colOff>
      <xdr:row>50</xdr:row>
      <xdr:rowOff>123825</xdr:rowOff>
    </xdr:to>
    <xdr:pic>
      <xdr:nvPicPr>
        <xdr:cNvPr id="2" name="Picture 2" descr="pencil">
          <a:extLst>
            <a:ext uri="{FF2B5EF4-FFF2-40B4-BE49-F238E27FC236}">
              <a16:creationId xmlns:a16="http://schemas.microsoft.com/office/drawing/2014/main" id="{00000000-0008-0000-3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44925" y="6038850"/>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202746</xdr:colOff>
      <xdr:row>6</xdr:row>
      <xdr:rowOff>28575</xdr:rowOff>
    </xdr:from>
    <xdr:to>
      <xdr:col>12</xdr:col>
      <xdr:colOff>296465</xdr:colOff>
      <xdr:row>6</xdr:row>
      <xdr:rowOff>122238</xdr:rowOff>
    </xdr:to>
    <xdr:pic>
      <xdr:nvPicPr>
        <xdr:cNvPr id="2" name="Picture 3">
          <a:extLst>
            <a:ext uri="{FF2B5EF4-FFF2-40B4-BE49-F238E27FC236}">
              <a16:creationId xmlns:a16="http://schemas.microsoft.com/office/drawing/2014/main" id="{00000000-0008-0000-3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41246" y="1428750"/>
          <a:ext cx="93719"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61756</xdr:colOff>
      <xdr:row>7</xdr:row>
      <xdr:rowOff>30773</xdr:rowOff>
    </xdr:from>
    <xdr:to>
      <xdr:col>10</xdr:col>
      <xdr:colOff>163290</xdr:colOff>
      <xdr:row>7</xdr:row>
      <xdr:rowOff>130786</xdr:rowOff>
    </xdr:to>
    <xdr:pic>
      <xdr:nvPicPr>
        <xdr:cNvPr id="3" name="Picture 3">
          <a:extLst>
            <a:ext uri="{FF2B5EF4-FFF2-40B4-BE49-F238E27FC236}">
              <a16:creationId xmlns:a16="http://schemas.microsoft.com/office/drawing/2014/main" id="{00000000-0008-0000-3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28756" y="1592873"/>
          <a:ext cx="95184" cy="100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33</xdr:col>
      <xdr:colOff>157656</xdr:colOff>
      <xdr:row>13</xdr:row>
      <xdr:rowOff>45225</xdr:rowOff>
    </xdr:from>
    <xdr:to>
      <xdr:col>33</xdr:col>
      <xdr:colOff>214806</xdr:colOff>
      <xdr:row>13</xdr:row>
      <xdr:rowOff>151191</xdr:rowOff>
    </xdr:to>
    <xdr:sp macro="" textlink="">
      <xdr:nvSpPr>
        <xdr:cNvPr id="4" name="AutoShape 85">
          <a:extLst>
            <a:ext uri="{FF2B5EF4-FFF2-40B4-BE49-F238E27FC236}">
              <a16:creationId xmlns:a16="http://schemas.microsoft.com/office/drawing/2014/main" id="{00000000-0008-0000-3300-000004000000}"/>
            </a:ext>
          </a:extLst>
        </xdr:cNvPr>
        <xdr:cNvSpPr>
          <a:spLocks noChangeArrowheads="1"/>
        </xdr:cNvSpPr>
      </xdr:nvSpPr>
      <xdr:spPr bwMode="auto">
        <a:xfrm rot="5400000">
          <a:off x="9057440" y="2458210"/>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157656</xdr:colOff>
      <xdr:row>15</xdr:row>
      <xdr:rowOff>52552</xdr:rowOff>
    </xdr:from>
    <xdr:to>
      <xdr:col>33</xdr:col>
      <xdr:colOff>214806</xdr:colOff>
      <xdr:row>15</xdr:row>
      <xdr:rowOff>158518</xdr:rowOff>
    </xdr:to>
    <xdr:sp macro="" textlink="">
      <xdr:nvSpPr>
        <xdr:cNvPr id="8" name="AutoShape 85">
          <a:extLst>
            <a:ext uri="{FF2B5EF4-FFF2-40B4-BE49-F238E27FC236}">
              <a16:creationId xmlns:a16="http://schemas.microsoft.com/office/drawing/2014/main" id="{00000000-0008-0000-3300-000008000000}"/>
            </a:ext>
          </a:extLst>
        </xdr:cNvPr>
        <xdr:cNvSpPr>
          <a:spLocks noChangeArrowheads="1"/>
        </xdr:cNvSpPr>
      </xdr:nvSpPr>
      <xdr:spPr bwMode="auto">
        <a:xfrm rot="5400000">
          <a:off x="9057440" y="2275037"/>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46.xml><?xml version="1.0" encoding="utf-8"?>
<xdr:wsDr xmlns:xdr="http://schemas.openxmlformats.org/drawingml/2006/spreadsheetDrawing" xmlns:a="http://schemas.openxmlformats.org/drawingml/2006/main">
  <xdr:twoCellAnchor>
    <xdr:from>
      <xdr:col>12</xdr:col>
      <xdr:colOff>58340</xdr:colOff>
      <xdr:row>4</xdr:row>
      <xdr:rowOff>45244</xdr:rowOff>
    </xdr:from>
    <xdr:to>
      <xdr:col>12</xdr:col>
      <xdr:colOff>115490</xdr:colOff>
      <xdr:row>4</xdr:row>
      <xdr:rowOff>151210</xdr:rowOff>
    </xdr:to>
    <xdr:sp macro="" textlink="">
      <xdr:nvSpPr>
        <xdr:cNvPr id="2" name="AutoShape 85">
          <a:extLst>
            <a:ext uri="{FF2B5EF4-FFF2-40B4-BE49-F238E27FC236}">
              <a16:creationId xmlns:a16="http://schemas.microsoft.com/office/drawing/2014/main" id="{00000000-0008-0000-3400-000002000000}"/>
            </a:ext>
          </a:extLst>
        </xdr:cNvPr>
        <xdr:cNvSpPr>
          <a:spLocks noChangeArrowheads="1"/>
        </xdr:cNvSpPr>
      </xdr:nvSpPr>
      <xdr:spPr bwMode="auto">
        <a:xfrm rot="5400000">
          <a:off x="3081932" y="87332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223893</xdr:colOff>
      <xdr:row>5</xdr:row>
      <xdr:rowOff>19268</xdr:rowOff>
    </xdr:from>
    <xdr:to>
      <xdr:col>7</xdr:col>
      <xdr:colOff>54824</xdr:colOff>
      <xdr:row>5</xdr:row>
      <xdr:rowOff>121987</xdr:rowOff>
    </xdr:to>
    <xdr:sp macro="" textlink="">
      <xdr:nvSpPr>
        <xdr:cNvPr id="3" name="AutoShape 85">
          <a:extLst>
            <a:ext uri="{FF2B5EF4-FFF2-40B4-BE49-F238E27FC236}">
              <a16:creationId xmlns:a16="http://schemas.microsoft.com/office/drawing/2014/main" id="{00000000-0008-0000-3400-000003000000}"/>
            </a:ext>
          </a:extLst>
        </xdr:cNvPr>
        <xdr:cNvSpPr>
          <a:spLocks noChangeArrowheads="1"/>
        </xdr:cNvSpPr>
      </xdr:nvSpPr>
      <xdr:spPr bwMode="auto">
        <a:xfrm rot="5400000">
          <a:off x="1832264" y="1024319"/>
          <a:ext cx="102719"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676275</xdr:colOff>
      <xdr:row>21</xdr:row>
      <xdr:rowOff>6212</xdr:rowOff>
    </xdr:from>
    <xdr:to>
      <xdr:col>35</xdr:col>
      <xdr:colOff>866775</xdr:colOff>
      <xdr:row>21</xdr:row>
      <xdr:rowOff>82412</xdr:rowOff>
    </xdr:to>
    <xdr:sp macro="" textlink="">
      <xdr:nvSpPr>
        <xdr:cNvPr id="7" name="AutoShape 344">
          <a:extLst>
            <a:ext uri="{FF2B5EF4-FFF2-40B4-BE49-F238E27FC236}">
              <a16:creationId xmlns:a16="http://schemas.microsoft.com/office/drawing/2014/main" id="{00000000-0008-0000-3400-000007000000}"/>
            </a:ext>
          </a:extLst>
        </xdr:cNvPr>
        <xdr:cNvSpPr>
          <a:spLocks noChangeArrowheads="1"/>
        </xdr:cNvSpPr>
      </xdr:nvSpPr>
      <xdr:spPr bwMode="auto">
        <a:xfrm rot="10800000">
          <a:off x="9439275" y="1446868"/>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ay.google.com/payments/u/0/home" TargetMode="External"/><Relationship Id="rId7" Type="http://schemas.openxmlformats.org/officeDocument/2006/relationships/printerSettings" Target="../printerSettings/printerSettings1.bin"/><Relationship Id="rId2" Type="http://schemas.openxmlformats.org/officeDocument/2006/relationships/hyperlink" Target="https://www.zellepay.com/" TargetMode="External"/><Relationship Id="rId1" Type="http://schemas.openxmlformats.org/officeDocument/2006/relationships/hyperlink" Target="http://paypal.me/incometaxspreadsheet" TargetMode="External"/><Relationship Id="rId6" Type="http://schemas.openxmlformats.org/officeDocument/2006/relationships/hyperlink" Target="mailto:incometaxspreadsheet@gmail.com" TargetMode="External"/><Relationship Id="rId5" Type="http://schemas.openxmlformats.org/officeDocument/2006/relationships/hyperlink" Target="https://sites.google.com/view/incometaxspreadsheet/home/changes" TargetMode="External"/><Relationship Id="rId4" Type="http://schemas.openxmlformats.org/officeDocument/2006/relationships/hyperlink" Target="https://www.popmoney.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incometaxspreadsheet@gmail.com" TargetMode="External"/><Relationship Id="rId1" Type="http://schemas.openxmlformats.org/officeDocument/2006/relationships/hyperlink" Target="https://www.irs.gov/downloads/irs-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8.bin"/><Relationship Id="rId1" Type="http://schemas.openxmlformats.org/officeDocument/2006/relationships/hyperlink" Target="https://www.irs.gov/pub/irs-pdf/f1099msc.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www.irs.gov/pub/irs-pdf/f1040.pdf" TargetMode="External"/><Relationship Id="rId7" Type="http://schemas.openxmlformats.org/officeDocument/2006/relationships/drawing" Target="../drawings/drawing3.xml"/><Relationship Id="rId2" Type="http://schemas.openxmlformats.org/officeDocument/2006/relationships/hyperlink" Target="http://www.irs.gov/pub/irs-pdf/i1040gi.pdf" TargetMode="External"/><Relationship Id="rId1" Type="http://schemas.openxmlformats.org/officeDocument/2006/relationships/hyperlink" Target="http://www.excel1040.com/" TargetMode="External"/><Relationship Id="rId6" Type="http://schemas.openxmlformats.org/officeDocument/2006/relationships/printerSettings" Target="../printerSettings/printerSettings11.bin"/><Relationship Id="rId5" Type="http://schemas.openxmlformats.org/officeDocument/2006/relationships/hyperlink" Target="http://www.irs.gov/pub/irs-pdf/f1040.pdf" TargetMode="External"/><Relationship Id="rId4" Type="http://schemas.openxmlformats.org/officeDocument/2006/relationships/hyperlink" Target="http://www.irs.gov/pub/irs-pdf/f1040.pdf"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www.irs.gov/pub/irs-pdf/f1040sei.pdf" TargetMode="External"/><Relationship Id="rId1" Type="http://schemas.openxmlformats.org/officeDocument/2006/relationships/hyperlink" Target="https://www.irs.gov/pub/irs-pdf/f1040sei.pdf" TargetMode="Externa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www.irs.gov/pub/irs-pdf/i1040sca.pdf" TargetMode="External"/><Relationship Id="rId1" Type="http://schemas.openxmlformats.org/officeDocument/2006/relationships/hyperlink" Target="http://www.irs.gov/pub/irs-pdf/f1040sa.pdf" TargetMode="External"/><Relationship Id="rId4"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27.bin"/><Relationship Id="rId1" Type="http://schemas.openxmlformats.org/officeDocument/2006/relationships/hyperlink" Target="http://www.irs.gov/pub/irs-pdf/f1040sb.pdf"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www.irs.gov/pub/irs-pdf/i1040sc.pdf" TargetMode="External"/><Relationship Id="rId1" Type="http://schemas.openxmlformats.org/officeDocument/2006/relationships/hyperlink" Target="http://www.irs.gov/pub/irs-pdf/f1040sc.pdf" TargetMode="External"/><Relationship Id="rId4"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www.irs.gov/pub/irs-pdf/i1040sd.pdf" TargetMode="External"/><Relationship Id="rId1" Type="http://schemas.openxmlformats.org/officeDocument/2006/relationships/hyperlink" Target="http://www.irs.gov/pub/irs-pdf/f1040sd.pdf" TargetMode="External"/><Relationship Id="rId4"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www.irs.gov/pub/irs-pdf/i1040sd.pdf" TargetMode="External"/><Relationship Id="rId1" Type="http://schemas.openxmlformats.org/officeDocument/2006/relationships/hyperlink" Target="http://www.irs.gov/pub/irs-pdf/f1040sd.pdf" TargetMode="External"/><Relationship Id="rId4"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www.irs.gov/pub/irs-pdf/i1040sf.pdf" TargetMode="External"/><Relationship Id="rId1" Type="http://schemas.openxmlformats.org/officeDocument/2006/relationships/hyperlink" Target="http://www.irs.gov/pub/irs-pdf/f1040sf.pdf" TargetMode="External"/><Relationship Id="rId4"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4"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www.irs.gov/pub/irs-pdf/i1040sse.pdf" TargetMode="External"/><Relationship Id="rId1" Type="http://schemas.openxmlformats.org/officeDocument/2006/relationships/hyperlink" Target="http://www.irs.gov/pub/irs-pdf/f1040sse.pdf" TargetMode="External"/><Relationship Id="rId4"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hyperlink" Target="http://www.irs.gov/pub/irs-pdf/f2210.pdf" TargetMode="External"/><Relationship Id="rId2" Type="http://schemas.openxmlformats.org/officeDocument/2006/relationships/hyperlink" Target="http://www.irs.gov/pub/irs-pdf/i1040sse.pdf" TargetMode="External"/><Relationship Id="rId1" Type="http://schemas.openxmlformats.org/officeDocument/2006/relationships/hyperlink" Target="http://www.irs.gov/pub/irs-pdf/f1040sse.pdf" TargetMode="External"/><Relationship Id="rId6" Type="http://schemas.openxmlformats.org/officeDocument/2006/relationships/drawing" Target="../drawings/drawing28.xml"/><Relationship Id="rId5" Type="http://schemas.openxmlformats.org/officeDocument/2006/relationships/printerSettings" Target="../printerSettings/printerSettings37.bin"/><Relationship Id="rId4" Type="http://schemas.openxmlformats.org/officeDocument/2006/relationships/hyperlink" Target="http://www.irs.gov/pub/irs-pdf/i2210.pdf"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www.irs.gov/pub/irs-pdf/i2441.pdf" TargetMode="External"/><Relationship Id="rId1" Type="http://schemas.openxmlformats.org/officeDocument/2006/relationships/hyperlink" Target="http://www.irs.gov/pub/irs-pdf/f2441.pdf" TargetMode="External"/><Relationship Id="rId4" Type="http://schemas.openxmlformats.org/officeDocument/2006/relationships/drawing" Target="../drawings/drawing29.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https://www.irs.gov/pub/irs-pdf/i6251.pdf" TargetMode="External"/><Relationship Id="rId2" Type="http://schemas.openxmlformats.org/officeDocument/2006/relationships/hyperlink" Target="http://www.irs.gov/pub/irs-pdf/i6251.pdf" TargetMode="External"/><Relationship Id="rId1" Type="http://schemas.openxmlformats.org/officeDocument/2006/relationships/hyperlink" Target="http://www.irs.gov/pub/irs-pdf/f6251.pdf" TargetMode="External"/><Relationship Id="rId5" Type="http://schemas.openxmlformats.org/officeDocument/2006/relationships/drawing" Target="../drawings/drawing32.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www.irs.gov/pub/irs-pdf/f8962.pdf" TargetMode="External"/><Relationship Id="rId7" Type="http://schemas.openxmlformats.org/officeDocument/2006/relationships/drawing" Target="../drawings/drawing36.xml"/><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6" Type="http://schemas.openxmlformats.org/officeDocument/2006/relationships/printerSettings" Target="../printerSettings/printerSettings45.bin"/><Relationship Id="rId5" Type="http://schemas.openxmlformats.org/officeDocument/2006/relationships/hyperlink" Target="https://www.irs.gov/pub/irs-pdf/f8829.pdf" TargetMode="External"/><Relationship Id="rId4" Type="http://schemas.openxmlformats.org/officeDocument/2006/relationships/hyperlink" Target="http://www.irs.gov/pub/irs-pdf/i8829.pdf"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https://www.irs.gov/pub/irs-pdf/f8880.pdf" TargetMode="External"/><Relationship Id="rId2" Type="http://schemas.openxmlformats.org/officeDocument/2006/relationships/hyperlink" Target="http://www.irs.gov/pub/irs-pdf/f8962.pdf" TargetMode="External"/><Relationship Id="rId1" Type="http://schemas.openxmlformats.org/officeDocument/2006/relationships/hyperlink" Target="http://www.irs.gov/pub/irs-pdf/f1040sr.pdf" TargetMode="External"/><Relationship Id="rId5" Type="http://schemas.openxmlformats.org/officeDocument/2006/relationships/drawing" Target="../drawings/drawing38.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hyperlink" Target="http://www.irs.gov/pub/irs-pdf/i8889.pdf" TargetMode="External"/><Relationship Id="rId1" Type="http://schemas.openxmlformats.org/officeDocument/2006/relationships/hyperlink" Target="http://www.irs.gov/pub/irs-pdf/f8889.pdf" TargetMode="External"/><Relationship Id="rId4" Type="http://schemas.openxmlformats.org/officeDocument/2006/relationships/drawing" Target="../drawings/drawing39.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hyperlink" Target="http://www.irs.gov/pub/irs-pdf/i8959.pdf" TargetMode="External"/><Relationship Id="rId1" Type="http://schemas.openxmlformats.org/officeDocument/2006/relationships/hyperlink" Target="http://www.irs.gov/pub/irs-pdf/f8959.pdf" TargetMode="External"/></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hyperlink" Target="https://www.irs.gov/pub/irs-pdf/i8960.pdf" TargetMode="External"/><Relationship Id="rId1" Type="http://schemas.openxmlformats.org/officeDocument/2006/relationships/hyperlink" Target="http://www.irs.gov/pub/irs-pdf/f8960.pdf" TargetMode="External"/><Relationship Id="rId4" Type="http://schemas.openxmlformats.org/officeDocument/2006/relationships/drawing" Target="../drawings/drawing44.xml"/></Relationships>
</file>

<file path=xl/worksheets/_rels/sheet55.xml.rels><?xml version="1.0" encoding="UTF-8" standalone="yes"?>
<Relationships xmlns="http://schemas.openxmlformats.org/package/2006/relationships"><Relationship Id="rId3" Type="http://schemas.openxmlformats.org/officeDocument/2006/relationships/hyperlink" Target="http://www.irs.gov/pub/irs-pdf/f8962.pdf" TargetMode="External"/><Relationship Id="rId7" Type="http://schemas.openxmlformats.org/officeDocument/2006/relationships/drawing" Target="../drawings/drawing45.xml"/><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6" Type="http://schemas.openxmlformats.org/officeDocument/2006/relationships/printerSettings" Target="../printerSettings/printerSettings55.bin"/><Relationship Id="rId5" Type="http://schemas.openxmlformats.org/officeDocument/2006/relationships/hyperlink" Target="http://www.irs.gov/pub/irs-pdf/f8962.pdf" TargetMode="External"/><Relationship Id="rId4" Type="http://schemas.openxmlformats.org/officeDocument/2006/relationships/hyperlink" Target="http://www.irs.gov/pub/irs-pdf/i8962.pdf" TargetMode="External"/></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www.excel1040.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68"/>
  <sheetViews>
    <sheetView tabSelected="1" zoomScaleNormal="100" zoomScaleSheetLayoutView="100" workbookViewId="0"/>
  </sheetViews>
  <sheetFormatPr defaultColWidth="9.140625" defaultRowHeight="12.75"/>
  <cols>
    <col min="1" max="1" width="5.140625" style="1179" customWidth="1"/>
    <col min="2" max="2" width="12.42578125" style="1179" customWidth="1"/>
    <col min="3" max="3" width="9.140625" style="1179"/>
    <col min="4" max="4" width="34.7109375" style="1179" customWidth="1"/>
    <col min="5" max="5" width="21" style="1179" customWidth="1"/>
    <col min="6" max="6" width="19.7109375" style="1179" customWidth="1"/>
    <col min="7" max="11" width="7.140625" style="1179" customWidth="1"/>
    <col min="12" max="12" width="4.42578125" style="1179" customWidth="1"/>
    <col min="13" max="16384" width="9.140625" style="1179"/>
  </cols>
  <sheetData>
    <row r="1" spans="2:11" s="1830" customFormat="1" ht="30.75" customHeight="1" thickBot="1">
      <c r="D1" s="3987" t="s">
        <v>3257</v>
      </c>
      <c r="E1" s="4037">
        <f>RevDateTime</f>
        <v>46003.399305555555</v>
      </c>
    </row>
    <row r="2" spans="2:11" ht="23.25" customHeight="1">
      <c r="B2" s="6137" t="s">
        <v>3002</v>
      </c>
      <c r="C2" s="6138"/>
      <c r="D2" s="6138"/>
      <c r="E2" s="6138"/>
      <c r="F2" s="6138"/>
      <c r="G2" s="6138"/>
      <c r="H2" s="6138"/>
      <c r="I2" s="6138"/>
      <c r="J2" s="6138"/>
      <c r="K2" s="6139"/>
    </row>
    <row r="3" spans="2:11" ht="23.25" customHeight="1">
      <c r="B3" s="6140"/>
      <c r="C3" s="6141"/>
      <c r="D3" s="6141"/>
      <c r="E3" s="6141"/>
      <c r="F3" s="6141"/>
      <c r="G3" s="6141"/>
      <c r="H3" s="6141"/>
      <c r="I3" s="6141"/>
      <c r="J3" s="6141"/>
      <c r="K3" s="6142"/>
    </row>
    <row r="4" spans="2:11" ht="23.25" customHeight="1">
      <c r="B4" s="6140"/>
      <c r="C4" s="6141"/>
      <c r="D4" s="6141"/>
      <c r="E4" s="6141"/>
      <c r="F4" s="6141"/>
      <c r="G4" s="6141"/>
      <c r="H4" s="6141"/>
      <c r="I4" s="6141"/>
      <c r="J4" s="6141"/>
      <c r="K4" s="6142"/>
    </row>
    <row r="5" spans="2:11" ht="23.25" customHeight="1">
      <c r="B5" s="6140"/>
      <c r="C5" s="6141"/>
      <c r="D5" s="6141"/>
      <c r="E5" s="6141"/>
      <c r="F5" s="6141"/>
      <c r="G5" s="6141"/>
      <c r="H5" s="6141"/>
      <c r="I5" s="6141"/>
      <c r="J5" s="6141"/>
      <c r="K5" s="6142"/>
    </row>
    <row r="6" spans="2:11" ht="23.25" customHeight="1">
      <c r="B6" s="6140"/>
      <c r="C6" s="6141"/>
      <c r="D6" s="6141"/>
      <c r="E6" s="6141"/>
      <c r="F6" s="6141"/>
      <c r="G6" s="6141"/>
      <c r="H6" s="6141"/>
      <c r="I6" s="6141"/>
      <c r="J6" s="6141"/>
      <c r="K6" s="6142"/>
    </row>
    <row r="7" spans="2:11" ht="23.25" customHeight="1">
      <c r="B7" s="6140"/>
      <c r="C7" s="6141"/>
      <c r="D7" s="6141"/>
      <c r="E7" s="6141"/>
      <c r="F7" s="6141"/>
      <c r="G7" s="6141"/>
      <c r="H7" s="6141"/>
      <c r="I7" s="6141"/>
      <c r="J7" s="6141"/>
      <c r="K7" s="6142"/>
    </row>
    <row r="8" spans="2:11" ht="23.25" customHeight="1">
      <c r="B8" s="6140"/>
      <c r="C8" s="6141"/>
      <c r="D8" s="6141"/>
      <c r="E8" s="6141"/>
      <c r="F8" s="6141"/>
      <c r="G8" s="6141"/>
      <c r="H8" s="6141"/>
      <c r="I8" s="6141"/>
      <c r="J8" s="6141"/>
      <c r="K8" s="6142"/>
    </row>
    <row r="9" spans="2:11" ht="23.25" customHeight="1">
      <c r="B9" s="6140"/>
      <c r="C9" s="6141"/>
      <c r="D9" s="6141"/>
      <c r="E9" s="6141"/>
      <c r="F9" s="6141"/>
      <c r="G9" s="6141"/>
      <c r="H9" s="6141"/>
      <c r="I9" s="6141"/>
      <c r="J9" s="6141"/>
      <c r="K9" s="6142"/>
    </row>
    <row r="10" spans="2:11" ht="12.75" customHeight="1" thickBot="1">
      <c r="B10" s="6143"/>
      <c r="C10" s="6144"/>
      <c r="D10" s="6144"/>
      <c r="E10" s="6144"/>
      <c r="F10" s="6144"/>
      <c r="G10" s="6144"/>
      <c r="H10" s="6144"/>
      <c r="I10" s="6144"/>
      <c r="J10" s="6144"/>
      <c r="K10" s="6145"/>
    </row>
    <row r="11" spans="2:11" ht="14.25" thickBot="1">
      <c r="B11" s="1668"/>
      <c r="C11" s="1668"/>
      <c r="D11" s="1668"/>
      <c r="E11" s="1668"/>
      <c r="F11" s="1668"/>
      <c r="G11" s="1668"/>
      <c r="H11" s="1668"/>
      <c r="I11" s="1668"/>
      <c r="J11" s="1668"/>
      <c r="K11" s="1668"/>
    </row>
    <row r="12" spans="2:11">
      <c r="B12" s="6146" t="s">
        <v>3258</v>
      </c>
      <c r="C12" s="6138"/>
      <c r="D12" s="6138"/>
      <c r="E12" s="6138"/>
      <c r="F12" s="6138"/>
      <c r="G12" s="6138"/>
      <c r="H12" s="6138"/>
      <c r="I12" s="6138"/>
      <c r="J12" s="6138"/>
      <c r="K12" s="6139"/>
    </row>
    <row r="13" spans="2:11">
      <c r="B13" s="6140"/>
      <c r="C13" s="6141"/>
      <c r="D13" s="6141"/>
      <c r="E13" s="6141"/>
      <c r="F13" s="6141"/>
      <c r="G13" s="6141"/>
      <c r="H13" s="6141"/>
      <c r="I13" s="6141"/>
      <c r="J13" s="6141"/>
      <c r="K13" s="6142"/>
    </row>
    <row r="14" spans="2:11">
      <c r="B14" s="6140"/>
      <c r="C14" s="6141"/>
      <c r="D14" s="6141"/>
      <c r="E14" s="6141"/>
      <c r="F14" s="6141"/>
      <c r="G14" s="6141"/>
      <c r="H14" s="6141"/>
      <c r="I14" s="6141"/>
      <c r="J14" s="6141"/>
      <c r="K14" s="6142"/>
    </row>
    <row r="15" spans="2:11">
      <c r="B15" s="6140"/>
      <c r="C15" s="6141"/>
      <c r="D15" s="6141"/>
      <c r="E15" s="6141"/>
      <c r="F15" s="6141"/>
      <c r="G15" s="6141"/>
      <c r="H15" s="6141"/>
      <c r="I15" s="6141"/>
      <c r="J15" s="6141"/>
      <c r="K15" s="6142"/>
    </row>
    <row r="16" spans="2:11">
      <c r="B16" s="6140"/>
      <c r="C16" s="6141"/>
      <c r="D16" s="6141"/>
      <c r="E16" s="6141"/>
      <c r="F16" s="6141"/>
      <c r="G16" s="6141"/>
      <c r="H16" s="6141"/>
      <c r="I16" s="6141"/>
      <c r="J16" s="6141"/>
      <c r="K16" s="6142"/>
    </row>
    <row r="17" spans="2:11">
      <c r="B17" s="6140"/>
      <c r="C17" s="6141"/>
      <c r="D17" s="6141"/>
      <c r="E17" s="6141"/>
      <c r="F17" s="6141"/>
      <c r="G17" s="6141"/>
      <c r="H17" s="6141"/>
      <c r="I17" s="6141"/>
      <c r="J17" s="6141"/>
      <c r="K17" s="6142"/>
    </row>
    <row r="18" spans="2:11">
      <c r="B18" s="6140"/>
      <c r="C18" s="6141"/>
      <c r="D18" s="6141"/>
      <c r="E18" s="6141"/>
      <c r="F18" s="6141"/>
      <c r="G18" s="6141"/>
      <c r="H18" s="6141"/>
      <c r="I18" s="6141"/>
      <c r="J18" s="6141"/>
      <c r="K18" s="6142"/>
    </row>
    <row r="19" spans="2:11">
      <c r="B19" s="6140"/>
      <c r="C19" s="6141"/>
      <c r="D19" s="6141"/>
      <c r="E19" s="6141"/>
      <c r="F19" s="6141"/>
      <c r="G19" s="6141"/>
      <c r="H19" s="6141"/>
      <c r="I19" s="6141"/>
      <c r="J19" s="6141"/>
      <c r="K19" s="6142"/>
    </row>
    <row r="20" spans="2:11" ht="13.5" thickBot="1">
      <c r="B20" s="6143"/>
      <c r="C20" s="6144"/>
      <c r="D20" s="6144"/>
      <c r="E20" s="6144"/>
      <c r="F20" s="6144"/>
      <c r="G20" s="6144"/>
      <c r="H20" s="6144"/>
      <c r="I20" s="6144"/>
      <c r="J20" s="6144"/>
      <c r="K20" s="6145"/>
    </row>
    <row r="21" spans="2:11" ht="14.25" thickBot="1">
      <c r="B21" s="1668"/>
      <c r="C21" s="1668"/>
      <c r="D21" s="1668"/>
      <c r="E21" s="1668"/>
      <c r="F21" s="1668"/>
      <c r="G21" s="1668"/>
      <c r="H21" s="1668"/>
      <c r="I21" s="1668"/>
      <c r="J21" s="1668"/>
      <c r="K21" s="1668"/>
    </row>
    <row r="22" spans="2:11" ht="27" customHeight="1">
      <c r="B22" s="6146" t="s">
        <v>3263</v>
      </c>
      <c r="C22" s="6147"/>
      <c r="D22" s="6147"/>
      <c r="E22" s="6147"/>
      <c r="F22" s="6147"/>
      <c r="G22" s="6147"/>
      <c r="H22" s="6147"/>
      <c r="I22" s="6147"/>
      <c r="J22" s="6147"/>
      <c r="K22" s="6148"/>
    </row>
    <row r="23" spans="2:11" ht="18" customHeight="1">
      <c r="B23" s="6149"/>
      <c r="C23" s="6150"/>
      <c r="D23" s="6150"/>
      <c r="E23" s="6150"/>
      <c r="F23" s="6150"/>
      <c r="G23" s="6150"/>
      <c r="H23" s="6150"/>
      <c r="I23" s="6150"/>
      <c r="J23" s="6150"/>
      <c r="K23" s="6151"/>
    </row>
    <row r="24" spans="2:11" ht="18" customHeight="1">
      <c r="B24" s="4019"/>
      <c r="C24" s="4020"/>
      <c r="D24" s="4020"/>
      <c r="E24" s="4029" t="s">
        <v>4685</v>
      </c>
      <c r="F24" s="4020"/>
      <c r="G24" s="4020"/>
      <c r="H24" s="4020"/>
      <c r="I24" s="4020"/>
      <c r="J24" s="4020"/>
      <c r="K24" s="4021"/>
    </row>
    <row r="25" spans="2:11" ht="13.5" customHeight="1">
      <c r="B25" s="4022"/>
      <c r="C25" s="4027" t="s">
        <v>3259</v>
      </c>
      <c r="D25" s="4027"/>
      <c r="E25" s="4027"/>
      <c r="F25" s="4027"/>
      <c r="G25" s="4027"/>
      <c r="H25" s="4027"/>
      <c r="I25" s="4027"/>
      <c r="J25" s="4027"/>
      <c r="K25" s="4023"/>
    </row>
    <row r="26" spans="2:11" ht="13.5" customHeight="1">
      <c r="B26" s="4022"/>
      <c r="C26" s="4027" t="s">
        <v>3260</v>
      </c>
      <c r="D26" s="4027"/>
      <c r="E26" s="4027"/>
      <c r="F26" s="4027"/>
      <c r="G26" s="4027"/>
      <c r="H26" s="4027"/>
      <c r="I26" s="4027"/>
      <c r="J26" s="4027"/>
      <c r="K26" s="4023"/>
    </row>
    <row r="27" spans="2:11" ht="13.5" customHeight="1">
      <c r="B27" s="4022"/>
      <c r="C27" s="4027" t="s">
        <v>3261</v>
      </c>
      <c r="D27" s="4027"/>
      <c r="E27" s="4027"/>
      <c r="F27" s="4027"/>
      <c r="G27" s="4027"/>
      <c r="H27" s="4027"/>
      <c r="I27" s="4027"/>
      <c r="J27" s="4027"/>
      <c r="K27" s="4023"/>
    </row>
    <row r="28" spans="2:11" ht="13.5" customHeight="1">
      <c r="B28" s="4022"/>
      <c r="C28" s="4027" t="s">
        <v>3262</v>
      </c>
      <c r="D28" s="4027"/>
      <c r="E28" s="4027"/>
      <c r="F28" s="4027"/>
      <c r="G28" s="4027"/>
      <c r="H28" s="4027"/>
      <c r="I28" s="4027"/>
      <c r="J28" s="4027"/>
      <c r="K28" s="4023"/>
    </row>
    <row r="29" spans="2:11" ht="13.5" customHeight="1">
      <c r="B29" s="4022"/>
      <c r="C29" s="4027" t="s">
        <v>3265</v>
      </c>
      <c r="D29" s="4027"/>
      <c r="E29" s="4027"/>
      <c r="F29" s="4027"/>
      <c r="G29" s="4027"/>
      <c r="H29" s="4027"/>
      <c r="I29" s="4027"/>
      <c r="J29" s="4027"/>
      <c r="K29" s="4023"/>
    </row>
    <row r="30" spans="2:11" ht="24.75" customHeight="1" thickBot="1">
      <c r="B30" s="4024"/>
      <c r="C30" s="4025"/>
      <c r="D30" s="4025"/>
      <c r="E30" s="4028" t="s">
        <v>1984</v>
      </c>
      <c r="F30" s="4025"/>
      <c r="G30" s="4025"/>
      <c r="H30" s="4025"/>
      <c r="I30" s="4025"/>
      <c r="J30" s="4025"/>
      <c r="K30" s="4026"/>
    </row>
    <row r="31" spans="2:11" ht="14.25" thickBot="1">
      <c r="B31" s="1668"/>
      <c r="C31" s="1668"/>
      <c r="D31" s="1668"/>
      <c r="E31" s="1668"/>
      <c r="F31" s="1668"/>
      <c r="G31" s="1668"/>
      <c r="H31" s="1668"/>
      <c r="I31" s="1668"/>
      <c r="J31" s="1668"/>
      <c r="K31" s="1668"/>
    </row>
    <row r="32" spans="2:11" ht="12.75" customHeight="1">
      <c r="B32" s="1677"/>
      <c r="C32" s="1274"/>
      <c r="D32" s="1274"/>
      <c r="E32" s="1274"/>
      <c r="F32" s="1669"/>
      <c r="G32" s="1274"/>
      <c r="H32" s="1274"/>
      <c r="I32" s="1274"/>
      <c r="J32" s="1274"/>
      <c r="K32" s="1275"/>
    </row>
    <row r="33" spans="1:14" ht="21.75" customHeight="1">
      <c r="B33" s="3831" t="s">
        <v>1083</v>
      </c>
      <c r="F33" s="2393"/>
      <c r="K33" s="1244"/>
    </row>
    <row r="34" spans="1:14">
      <c r="B34" s="1674" t="s">
        <v>1080</v>
      </c>
      <c r="E34" s="1670">
        <f>Adj_Gross_Inc</f>
        <v>0</v>
      </c>
      <c r="G34" s="1276" t="s">
        <v>3944</v>
      </c>
      <c r="K34" s="1244"/>
      <c r="M34" s="2487" t="s">
        <v>69</v>
      </c>
      <c r="N34" s="1258" t="str">
        <f>IF(Taxable_Inc="","---",IF(Taxable_Inc&lt;BOTT_A2,TEXT(RATE_A1,"0%"),IF(Taxable_Inc&lt;BOTT_A3,TEXT(RATE_A2,"0%"),IF(Taxable_Inc&lt;BOTT_A4,TEXT(RATE_A3,"0%"),IF(Taxable_Inc&lt;BOTT_A5,TEXT(RATE_A4,"0%"),IF(Taxable_Inc&lt;BOTT_A6,TEXT(RATE_A5,"0%"),IF(Taxable_Inc&lt;BOTT_A7,TEXT(RATE_A6,"0%"),TEXT(RATE_A7,"0.0%"))))))))</f>
        <v>10%</v>
      </c>
    </row>
    <row r="35" spans="1:14">
      <c r="B35" s="1674" t="s">
        <v>3868</v>
      </c>
      <c r="E35" s="1671">
        <f>TotalDeductions</f>
        <v>0</v>
      </c>
      <c r="G35" s="1276" t="s">
        <v>3945</v>
      </c>
      <c r="K35" s="1244"/>
      <c r="M35" s="2487"/>
      <c r="N35" s="1258"/>
    </row>
    <row r="36" spans="1:14" ht="15">
      <c r="A36" s="1360"/>
      <c r="B36" s="1674" t="s">
        <v>795</v>
      </c>
      <c r="E36" s="1671">
        <f>Taxable_Inc</f>
        <v>0</v>
      </c>
      <c r="F36" s="1672"/>
      <c r="G36" s="1276" t="s">
        <v>3946</v>
      </c>
      <c r="K36" s="1244"/>
      <c r="M36" s="2487" t="s">
        <v>525</v>
      </c>
      <c r="N36" s="1258" t="str">
        <f>IF(Taxable_Inc="","---",IF(Taxable_Inc&lt;BOTT_B2,TEXT(RATE_B1,"0%"),IF(Taxable_Inc&lt;BOTT_B3,TEXT(RATE_B2,"0%"),IF(Taxable_Inc&lt;BOTT_B4,TEXT(RATE_B3,"0%"),IF(Taxable_Inc&lt;BOTT_B5,TEXT(RATE_B4,"0%"),IF(Taxable_Inc&lt;BOTT_B6,TEXT(RATE_B5,"0%"),IF(Taxable_Inc&lt;BOTT_B7,TEXT(RATE_B6,"0%"),TEXT(RATE_B7,"0.0%"))))))))</f>
        <v>10%</v>
      </c>
    </row>
    <row r="37" spans="1:14" ht="15">
      <c r="B37" s="1674" t="s">
        <v>1081</v>
      </c>
      <c r="E37" s="1671">
        <f>Tot_Tax</f>
        <v>0</v>
      </c>
      <c r="F37" s="1672"/>
      <c r="G37" s="1276" t="s">
        <v>3947</v>
      </c>
      <c r="K37" s="1244"/>
      <c r="M37" s="2487" t="s">
        <v>458</v>
      </c>
      <c r="N37" s="1258" t="str">
        <f>IF(Taxable_Inc="","---",IF(Taxable_Inc&lt;BOTT_C2,TEXT(RATE_C1,"0%"),IF(Taxable_Inc&lt;BOTT_C3,TEXT(RATE_C2,"0%"),IF(Taxable_Inc&lt;BOTT_C4,TEXT(RATE_C3,"0%"),IF(Taxable_Inc&lt;BOTT_C5,TEXT(RATE_C4,"0%"),IF(Taxable_Inc&lt;BOTT_C6,TEXT(RATE_C5,"0%"),IF(Taxable_Inc&lt;BOTT_C7,TEXT(RATE_C6,"0%"),TEXT(RATE_C7,"0.0%"))))))))</f>
        <v>10%</v>
      </c>
    </row>
    <row r="38" spans="1:14" ht="15">
      <c r="B38" s="1674" t="s">
        <v>1082</v>
      </c>
      <c r="E38" s="1671">
        <f>Tot_Payments</f>
        <v>0</v>
      </c>
      <c r="F38" s="1672"/>
      <c r="G38" s="1276" t="s">
        <v>3948</v>
      </c>
      <c r="K38" s="1244"/>
      <c r="M38" s="2487" t="s">
        <v>2000</v>
      </c>
      <c r="N38" s="1258" t="str">
        <f>IF(Taxable_Inc="","---",IF(Taxable_Inc&lt;BOTT_D2,TEXT(RATE_D1,"0%"),IF(Taxable_Inc&lt;BOTT_D3,TEXT(RATE_D2,"0%"),IF(Taxable_Inc&lt;BOTT_D4,TEXT(RATE_D3,"0%"),IF(Taxable_Inc&lt;BOTT_D5,TEXT(RATE_D4,"0%"),IF(Taxable_Inc&lt;BOTT_D6,TEXT(RATE_D5,"0%"),IF(Taxable_Inc&lt;BOTT_D7,TEXT(RATE_D6,"0%"),TEXT(RATE_D7,"0.0%"))))))))</f>
        <v>10%</v>
      </c>
    </row>
    <row r="39" spans="1:14" ht="15">
      <c r="B39" s="1674" t="str">
        <f>IF(Overpaid&gt;0,"Amount You Overpaid",IF(AND(E39&lt;&gt;"",E39&gt;0),"Amount You Underpaid",""))</f>
        <v/>
      </c>
      <c r="E39" s="1671" t="str">
        <f>IF(Overpaid&gt;0,Overpaid,IF(SUM(Tot_Tax,-Tot_Payments)&gt;0,SUM(Tot_Tax,-Tot_Payments),""))</f>
        <v/>
      </c>
      <c r="F39" s="1672"/>
      <c r="G39" s="1276" t="str">
        <f>IF(Overpaid&gt;0,"Form 1040, Line 34","")</f>
        <v/>
      </c>
      <c r="K39" s="1244"/>
      <c r="M39" s="2487"/>
      <c r="N39" s="1258"/>
    </row>
    <row r="40" spans="1:14" ht="15">
      <c r="B40" s="1674" t="str">
        <f>IF(TaxPenalty&gt;0,"Penalty/Interest","")</f>
        <v/>
      </c>
      <c r="E40" s="1671" t="str">
        <f>IF(TaxPenalty&gt;0,TaxPenalty,"")</f>
        <v/>
      </c>
      <c r="F40" s="1672"/>
      <c r="G40" s="1276" t="str">
        <f>IF(TaxPenalty&gt;0,"Form 1040, Line 38","")</f>
        <v/>
      </c>
      <c r="K40" s="1244"/>
      <c r="M40" s="2487"/>
      <c r="N40" s="1258"/>
    </row>
    <row r="41" spans="1:14">
      <c r="B41" s="1674" t="str">
        <f>IF(Overpaid&gt;0,"Amount To be Refunded","Amount You Owe")</f>
        <v>Amount You Owe</v>
      </c>
      <c r="E41" s="1671">
        <f>IF(Overpaid&gt;0,Overpaid,You_Owe)</f>
        <v>0</v>
      </c>
      <c r="G41" s="1276" t="str">
        <f>IF(Overpaid&gt;0,"Form 1040, Line 35a","Form 1040, Line 37")</f>
        <v>Form 1040, Line 37</v>
      </c>
      <c r="K41" s="1244"/>
    </row>
    <row r="42" spans="1:14">
      <c r="B42" s="1675"/>
      <c r="K42" s="1244"/>
    </row>
    <row r="43" spans="1:14">
      <c r="B43" s="1674" t="s">
        <v>2002</v>
      </c>
      <c r="E43" s="1673" t="str">
        <f>IF(File_Single&lt;&gt;"",N34,IF(OR(File_Marr_Joint&lt;&gt;"",File_Qual_Widow&lt;&gt;""),N36,IF(File_Marr_Sep&lt;&gt;"",N37,IF(File_Head&lt;&gt;"",N38,"---"))))</f>
        <v>---</v>
      </c>
      <c r="G43" s="1276"/>
      <c r="K43" s="1244"/>
    </row>
    <row r="44" spans="1:14" ht="13.5" thickBot="1">
      <c r="B44" s="1676"/>
      <c r="C44" s="1280"/>
      <c r="D44" s="1280"/>
      <c r="E44" s="1280"/>
      <c r="F44" s="1280"/>
      <c r="G44" s="1280"/>
      <c r="H44" s="1280"/>
      <c r="I44" s="1280"/>
      <c r="J44" s="1280"/>
      <c r="K44" s="1281"/>
    </row>
    <row r="45" spans="1:14" ht="13.5" thickBot="1"/>
    <row r="46" spans="1:14">
      <c r="B46" s="1273"/>
      <c r="C46" s="1274"/>
      <c r="D46" s="1274"/>
      <c r="E46" s="1274"/>
      <c r="F46" s="1274"/>
      <c r="G46" s="1274"/>
      <c r="H46" s="1274"/>
      <c r="I46" s="1274"/>
      <c r="J46" s="1274"/>
      <c r="K46" s="1275"/>
    </row>
    <row r="47" spans="1:14" ht="21.75" customHeight="1">
      <c r="B47" s="6133" t="s">
        <v>2993</v>
      </c>
      <c r="C47" s="6134"/>
      <c r="D47" s="6134"/>
      <c r="E47" s="6134"/>
      <c r="F47" s="6134"/>
      <c r="G47" s="6134"/>
      <c r="H47" s="6134"/>
      <c r="I47" s="6134"/>
      <c r="J47" s="6134"/>
      <c r="K47" s="6135"/>
    </row>
    <row r="48" spans="1:14" ht="21.75" customHeight="1">
      <c r="B48" s="6136"/>
      <c r="C48" s="6134"/>
      <c r="D48" s="6134"/>
      <c r="E48" s="6134"/>
      <c r="F48" s="6134"/>
      <c r="G48" s="6134"/>
      <c r="H48" s="6134"/>
      <c r="I48" s="6134"/>
      <c r="J48" s="6134"/>
      <c r="K48" s="6135"/>
    </row>
    <row r="49" spans="2:12" ht="21.75" customHeight="1">
      <c r="B49" s="6136"/>
      <c r="C49" s="6134"/>
      <c r="D49" s="6134"/>
      <c r="E49" s="6134"/>
      <c r="F49" s="6134"/>
      <c r="G49" s="6134"/>
      <c r="H49" s="6134"/>
      <c r="I49" s="6134"/>
      <c r="J49" s="6134"/>
      <c r="K49" s="6135"/>
    </row>
    <row r="50" spans="2:12" ht="21.75" customHeight="1">
      <c r="B50" s="6136"/>
      <c r="C50" s="6134"/>
      <c r="D50" s="6134"/>
      <c r="E50" s="6134"/>
      <c r="F50" s="6134"/>
      <c r="G50" s="6134"/>
      <c r="H50" s="6134"/>
      <c r="I50" s="6134"/>
      <c r="J50" s="6134"/>
      <c r="K50" s="6135"/>
    </row>
    <row r="51" spans="2:12">
      <c r="B51" s="6136"/>
      <c r="C51" s="6134"/>
      <c r="D51" s="6134"/>
      <c r="E51" s="6134"/>
      <c r="F51" s="6134"/>
      <c r="G51" s="6134"/>
      <c r="H51" s="6134"/>
      <c r="I51" s="6134"/>
      <c r="J51" s="6134"/>
      <c r="K51" s="6135"/>
    </row>
    <row r="52" spans="2:12">
      <c r="B52" s="1698"/>
      <c r="C52" s="3761" t="s">
        <v>2999</v>
      </c>
      <c r="D52" s="1699"/>
      <c r="E52" s="3761" t="s">
        <v>3000</v>
      </c>
      <c r="F52" s="1699"/>
      <c r="G52" s="1699"/>
      <c r="H52" s="1699"/>
      <c r="I52" s="1699"/>
      <c r="J52" s="1699"/>
      <c r="K52" s="1244"/>
      <c r="L52" s="1278"/>
    </row>
    <row r="53" spans="2:12">
      <c r="B53" s="3762"/>
      <c r="C53" s="2728" t="s">
        <v>2995</v>
      </c>
      <c r="D53" s="2844"/>
      <c r="E53" s="2728" t="s">
        <v>2994</v>
      </c>
      <c r="F53" s="2844"/>
      <c r="G53" s="2844"/>
      <c r="H53" s="2844"/>
      <c r="I53" s="2844"/>
      <c r="J53" s="2844"/>
      <c r="K53" s="3763"/>
    </row>
    <row r="54" spans="2:12">
      <c r="B54" s="1698"/>
      <c r="C54" s="2977" t="s">
        <v>3001</v>
      </c>
      <c r="D54" s="1699"/>
      <c r="E54" s="2977" t="s">
        <v>4462</v>
      </c>
      <c r="F54" s="1699"/>
      <c r="G54" s="1699"/>
      <c r="H54" s="1699"/>
      <c r="I54" s="1699"/>
      <c r="J54" s="1699"/>
      <c r="K54" s="1700"/>
    </row>
    <row r="55" spans="2:12">
      <c r="B55" s="1698"/>
      <c r="C55" s="1699"/>
      <c r="D55" s="1699"/>
      <c r="E55" s="2977"/>
      <c r="F55" s="1699"/>
      <c r="G55" s="1699"/>
      <c r="H55" s="1699"/>
      <c r="I55" s="1699"/>
      <c r="J55" s="1699"/>
      <c r="K55" s="1700"/>
    </row>
    <row r="56" spans="2:12">
      <c r="B56" s="1698"/>
      <c r="C56" s="3761" t="s">
        <v>3185</v>
      </c>
      <c r="D56" s="1699"/>
      <c r="E56" s="3761" t="s">
        <v>3187</v>
      </c>
      <c r="F56" s="1699"/>
      <c r="G56" s="1699"/>
      <c r="H56" s="1699"/>
      <c r="I56" s="1699"/>
      <c r="J56" s="1699"/>
      <c r="K56" s="1244"/>
      <c r="L56" s="1278"/>
    </row>
    <row r="57" spans="2:12">
      <c r="B57" s="3762"/>
      <c r="C57" s="2728" t="s">
        <v>3186</v>
      </c>
      <c r="D57" s="1145"/>
      <c r="E57" s="2728" t="s">
        <v>3188</v>
      </c>
      <c r="F57" s="1145"/>
      <c r="G57" s="1145"/>
      <c r="H57" s="1145"/>
      <c r="I57" s="1145"/>
      <c r="J57" s="1145"/>
      <c r="K57" s="1504"/>
    </row>
    <row r="58" spans="2:12">
      <c r="B58" s="1698"/>
      <c r="C58" s="2977" t="s">
        <v>3001</v>
      </c>
      <c r="D58" s="1699"/>
      <c r="E58" s="2977" t="s">
        <v>3001</v>
      </c>
      <c r="F58" s="1699"/>
      <c r="G58" s="1699"/>
      <c r="H58" s="1699"/>
      <c r="I58" s="1699"/>
      <c r="J58" s="1699"/>
      <c r="K58" s="1700"/>
    </row>
    <row r="59" spans="2:12">
      <c r="B59" s="1698"/>
      <c r="C59" s="1699"/>
      <c r="D59" s="1699"/>
      <c r="E59" s="1699"/>
      <c r="F59" s="1699"/>
      <c r="G59" s="1699"/>
      <c r="H59" s="1699"/>
      <c r="I59" s="1699"/>
      <c r="J59" s="1699"/>
      <c r="K59" s="1700"/>
    </row>
    <row r="60" spans="2:12">
      <c r="B60" s="1698"/>
      <c r="C60" s="3761" t="s">
        <v>2998</v>
      </c>
      <c r="D60" s="1699"/>
      <c r="E60" s="3761"/>
      <c r="F60" s="1699"/>
      <c r="G60" s="1699"/>
      <c r="H60" s="1699"/>
      <c r="I60" s="1699"/>
      <c r="J60" s="1699"/>
      <c r="K60" s="1244"/>
      <c r="L60" s="1278"/>
    </row>
    <row r="61" spans="2:12" ht="16.5">
      <c r="B61" s="1698"/>
      <c r="C61" s="3760" t="s">
        <v>2996</v>
      </c>
      <c r="E61" s="3760"/>
      <c r="K61" s="1244"/>
      <c r="L61" s="1278"/>
    </row>
    <row r="62" spans="2:12" ht="16.5">
      <c r="B62" s="1698"/>
      <c r="C62" s="3760" t="s">
        <v>2997</v>
      </c>
      <c r="E62" s="3760"/>
      <c r="K62" s="1244"/>
      <c r="L62" s="1278"/>
    </row>
    <row r="63" spans="2:12" ht="16.5">
      <c r="B63" s="1698"/>
      <c r="C63" s="3760" t="s">
        <v>5600</v>
      </c>
      <c r="E63" s="3760"/>
      <c r="K63" s="1244"/>
      <c r="L63" s="1278"/>
    </row>
    <row r="64" spans="2:12" ht="16.5">
      <c r="B64" s="1698"/>
      <c r="C64" s="3760" t="s">
        <v>5601</v>
      </c>
      <c r="E64" s="3760"/>
      <c r="K64" s="1244"/>
      <c r="L64" s="1278"/>
    </row>
    <row r="65" spans="2:11" ht="16.5">
      <c r="B65" s="1698"/>
      <c r="E65" s="3760"/>
      <c r="K65" s="1244"/>
    </row>
    <row r="66" spans="2:11" ht="22.5" customHeight="1">
      <c r="B66" s="1698"/>
      <c r="C66" s="3764"/>
      <c r="D66" s="3766" t="s">
        <v>3003</v>
      </c>
      <c r="E66" s="3764"/>
      <c r="F66" s="3764"/>
      <c r="G66" s="3764"/>
      <c r="H66" s="3764"/>
      <c r="I66" s="3764"/>
      <c r="J66" s="3764"/>
      <c r="K66" s="3765"/>
    </row>
    <row r="67" spans="2:11" ht="13.5" thickBot="1">
      <c r="B67" s="1279"/>
      <c r="C67" s="1280"/>
      <c r="D67" s="1280"/>
      <c r="E67" s="1280"/>
      <c r="F67" s="1280"/>
      <c r="G67" s="1280"/>
      <c r="H67" s="1280"/>
      <c r="I67" s="1280"/>
      <c r="J67" s="1280"/>
      <c r="K67" s="1281"/>
    </row>
    <row r="68" spans="2:11">
      <c r="B68" s="1274"/>
      <c r="C68" s="1274"/>
      <c r="D68" s="1274"/>
      <c r="E68" s="1274"/>
      <c r="F68" s="1274"/>
      <c r="G68" s="1274"/>
      <c r="H68" s="1274"/>
      <c r="I68" s="1274"/>
      <c r="J68" s="1274"/>
      <c r="K68" s="1274"/>
    </row>
  </sheetData>
  <sheetProtection password="F07E" sheet="1" objects="1" scenarios="1"/>
  <mergeCells count="4">
    <mergeCell ref="B47:K51"/>
    <mergeCell ref="B2:K10"/>
    <mergeCell ref="B12:K20"/>
    <mergeCell ref="B22:K23"/>
  </mergeCells>
  <conditionalFormatting sqref="A36">
    <cfRule type="expression" dxfId="3129" priority="4">
      <formula>IF(Disclaimer,TRUE,FALSE)</formula>
    </cfRule>
  </conditionalFormatting>
  <conditionalFormatting sqref="F36:F40">
    <cfRule type="expression" dxfId="3128" priority="1">
      <formula>IF(Disclaimer,TRUE,FALSE)</formula>
    </cfRule>
  </conditionalFormatting>
  <hyperlinks>
    <hyperlink ref="C53" r:id="rId1" display="http://paypal.me/incometaxspreadsheet" xr:uid="{00000000-0004-0000-0000-000000000000}"/>
    <hyperlink ref="E53" r:id="rId2" xr:uid="{00000000-0004-0000-0000-000001000000}"/>
    <hyperlink ref="C57" r:id="rId3" location="sendRequestMoney" xr:uid="{00000000-0004-0000-0000-000002000000}"/>
    <hyperlink ref="E57" r:id="rId4" xr:uid="{00000000-0004-0000-0000-000003000000}"/>
    <hyperlink ref="E24" r:id="rId5" xr:uid="{00000000-0004-0000-0000-000004000000}"/>
    <hyperlink ref="E30" r:id="rId6" xr:uid="{00000000-0004-0000-0000-000005000000}"/>
  </hyperlinks>
  <pageMargins left="0.75" right="0.25" top="0.36" bottom="0.28999999999999998" header="0.36" footer="0.21"/>
  <pageSetup scale="70"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6"/>
  <sheetViews>
    <sheetView topLeftCell="B1" workbookViewId="0">
      <pane xSplit="2" ySplit="6" topLeftCell="D7" activePane="bottomRight" state="frozen"/>
      <selection pane="topRight"/>
      <selection pane="bottomLeft"/>
      <selection pane="bottomRight" activeCell="C35" sqref="C35"/>
    </sheetView>
  </sheetViews>
  <sheetFormatPr defaultRowHeight="14.25" customHeight="1"/>
  <cols>
    <col min="1" max="1" width="3.85546875" style="270" customWidth="1"/>
    <col min="2" max="2" width="3.7109375" style="270" customWidth="1"/>
    <col min="3" max="3" width="32.140625" style="866" customWidth="1"/>
    <col min="4" max="4" width="114.42578125" style="3995" customWidth="1"/>
    <col min="5" max="5" width="3.7109375" style="3995" customWidth="1"/>
    <col min="6" max="6" width="9.140625" hidden="1" customWidth="1"/>
    <col min="7" max="7" width="31" style="270" hidden="1" customWidth="1"/>
    <col min="8" max="12" width="12.28515625" style="270" hidden="1" customWidth="1"/>
    <col min="13" max="13" width="14.5703125" style="270" hidden="1" customWidth="1"/>
    <col min="14" max="14" width="9.140625" hidden="1" customWidth="1"/>
  </cols>
  <sheetData>
    <row r="1" spans="1:13" ht="14.25" customHeight="1" thickBot="1">
      <c r="B1" s="1699"/>
      <c r="C1" s="5785"/>
      <c r="D1" s="4828"/>
      <c r="E1" s="4828"/>
    </row>
    <row r="2" spans="1:13" ht="8.25" customHeight="1" thickTop="1">
      <c r="B2" s="1699"/>
      <c r="C2" s="6152" t="s">
        <v>3252</v>
      </c>
      <c r="D2" s="3996"/>
      <c r="E2" s="4825"/>
      <c r="M2" s="5597"/>
    </row>
    <row r="3" spans="1:13" ht="16.5" customHeight="1" thickBot="1">
      <c r="B3" s="1699"/>
      <c r="C3" s="6153"/>
      <c r="D3" s="4005" t="s">
        <v>4450</v>
      </c>
      <c r="E3" s="4826"/>
      <c r="M3" s="5677" t="s">
        <v>3886</v>
      </c>
    </row>
    <row r="4" spans="1:13" ht="16.5" customHeight="1">
      <c r="B4" s="1699"/>
      <c r="C4" s="6153"/>
      <c r="D4" s="4000" t="s">
        <v>3219</v>
      </c>
      <c r="E4" s="4827"/>
      <c r="G4" s="4539"/>
      <c r="H4" s="4540" t="s">
        <v>3885</v>
      </c>
      <c r="I4" s="4541" t="s">
        <v>3886</v>
      </c>
      <c r="J4" s="4542" t="s">
        <v>3887</v>
      </c>
      <c r="K4" s="4540" t="s">
        <v>3885</v>
      </c>
      <c r="L4" s="4542" t="s">
        <v>3887</v>
      </c>
      <c r="M4" s="5677" t="s">
        <v>3888</v>
      </c>
    </row>
    <row r="5" spans="1:13" ht="16.5" customHeight="1" thickBot="1">
      <c r="B5" s="1699"/>
      <c r="C5" s="6153"/>
      <c r="D5" s="4889" t="str">
        <f>"© Glenn Reeves, "&amp;TaxYear+1</f>
        <v>© Glenn Reeves, 2022</v>
      </c>
      <c r="E5" s="4828"/>
      <c r="G5" s="4543" t="s">
        <v>291</v>
      </c>
      <c r="H5" s="4530" t="s">
        <v>291</v>
      </c>
      <c r="I5" s="4536" t="s">
        <v>3891</v>
      </c>
      <c r="J5" s="4531" t="s">
        <v>291</v>
      </c>
      <c r="K5" s="4530" t="s">
        <v>3890</v>
      </c>
      <c r="L5" s="5678" t="s">
        <v>3890</v>
      </c>
      <c r="M5" s="5595"/>
    </row>
    <row r="6" spans="1:13" ht="16.5" customHeight="1">
      <c r="B6" s="1699"/>
      <c r="C6" s="4776"/>
      <c r="D6" s="4004" t="s">
        <v>3220</v>
      </c>
      <c r="E6" s="4829"/>
      <c r="G6" s="5158" t="s">
        <v>4790</v>
      </c>
      <c r="H6" s="5159">
        <v>44498</v>
      </c>
      <c r="I6" s="4537"/>
      <c r="J6" s="4533"/>
      <c r="K6" s="4532"/>
      <c r="L6" s="4533"/>
      <c r="M6" s="4545"/>
    </row>
    <row r="7" spans="1:13" ht="16.5" customHeight="1">
      <c r="B7" s="1699"/>
      <c r="C7" s="4001" t="s">
        <v>5703</v>
      </c>
      <c r="D7" s="3998" t="s">
        <v>3221</v>
      </c>
      <c r="E7" s="4830"/>
      <c r="G7" s="4544"/>
      <c r="H7" s="4532"/>
      <c r="I7" s="4537"/>
      <c r="J7" s="4533"/>
      <c r="K7" s="4532"/>
      <c r="L7" s="4533"/>
      <c r="M7" s="4545"/>
    </row>
    <row r="8" spans="1:13" ht="16.5" customHeight="1">
      <c r="B8" s="1699"/>
      <c r="C8" s="4001" t="s">
        <v>3219</v>
      </c>
      <c r="D8" s="3998" t="s">
        <v>3222</v>
      </c>
      <c r="E8" s="4830"/>
      <c r="G8" s="4544"/>
      <c r="H8" s="4532"/>
      <c r="I8" s="4537"/>
      <c r="J8" s="4533"/>
      <c r="K8" s="4532"/>
      <c r="L8" s="4533"/>
      <c r="M8" s="4545"/>
    </row>
    <row r="9" spans="1:13" ht="16.5" customHeight="1">
      <c r="B9" s="1699"/>
      <c r="C9" s="4001" t="s">
        <v>3195</v>
      </c>
      <c r="D9" s="3998" t="s">
        <v>3223</v>
      </c>
      <c r="E9" s="4830"/>
      <c r="G9" s="4544"/>
      <c r="H9" s="4532"/>
      <c r="I9" s="4537"/>
      <c r="J9" s="4533"/>
      <c r="K9" s="4532"/>
      <c r="L9" s="4533"/>
      <c r="M9" s="4545"/>
    </row>
    <row r="10" spans="1:13" ht="16.5" customHeight="1">
      <c r="A10" s="1291"/>
      <c r="B10" s="2866"/>
      <c r="C10" s="4001" t="s">
        <v>3140</v>
      </c>
      <c r="D10" s="3998" t="s">
        <v>3224</v>
      </c>
      <c r="E10" s="4830"/>
      <c r="F10">
        <v>1</v>
      </c>
      <c r="G10" s="4546" t="str">
        <f>C10</f>
        <v>W-2s</v>
      </c>
      <c r="H10" s="4534"/>
      <c r="I10" s="4538"/>
      <c r="J10" s="4533"/>
      <c r="K10" s="4532"/>
      <c r="L10" s="4533"/>
      <c r="M10" s="4545"/>
    </row>
    <row r="11" spans="1:13" ht="16.5" customHeight="1">
      <c r="A11" s="1291"/>
      <c r="B11" s="2866"/>
      <c r="C11" s="4001" t="s">
        <v>3196</v>
      </c>
      <c r="D11" s="3998" t="s">
        <v>3225</v>
      </c>
      <c r="E11" s="4830"/>
      <c r="F11">
        <v>2</v>
      </c>
      <c r="G11" s="4546" t="str">
        <f t="shared" ref="G11:G64" si="0">C11</f>
        <v>1099-INT</v>
      </c>
      <c r="H11" s="4534"/>
      <c r="I11" s="4538"/>
      <c r="J11" s="4533"/>
      <c r="K11" s="4532"/>
      <c r="L11" s="4533"/>
      <c r="M11" s="4545"/>
    </row>
    <row r="12" spans="1:13" ht="16.5" customHeight="1">
      <c r="A12" s="1291"/>
      <c r="B12" s="2866"/>
      <c r="C12" s="4001" t="s">
        <v>3197</v>
      </c>
      <c r="D12" s="3998" t="s">
        <v>3226</v>
      </c>
      <c r="E12" s="4830"/>
      <c r="F12">
        <v>3</v>
      </c>
      <c r="G12" s="4546" t="str">
        <f t="shared" si="0"/>
        <v>1099-DIV</v>
      </c>
      <c r="H12" s="4534"/>
      <c r="I12" s="4538"/>
      <c r="J12" s="4533"/>
      <c r="K12" s="4532"/>
      <c r="L12" s="4533"/>
      <c r="M12" s="4545"/>
    </row>
    <row r="13" spans="1:13" ht="16.5" customHeight="1">
      <c r="A13" s="1291"/>
      <c r="B13" s="2866"/>
      <c r="C13" s="4001" t="s">
        <v>3169</v>
      </c>
      <c r="D13" s="3998" t="s">
        <v>3227</v>
      </c>
      <c r="E13" s="4830"/>
      <c r="F13">
        <v>4</v>
      </c>
      <c r="G13" s="4546" t="str">
        <f t="shared" si="0"/>
        <v>1099-G</v>
      </c>
      <c r="H13" s="4534"/>
      <c r="I13" s="4538"/>
      <c r="J13" s="4533"/>
      <c r="K13" s="4532"/>
      <c r="L13" s="4533"/>
      <c r="M13" s="4547"/>
    </row>
    <row r="14" spans="1:13" ht="16.5" customHeight="1">
      <c r="A14" s="1291"/>
      <c r="B14" s="2866"/>
      <c r="C14" s="4001" t="s">
        <v>3198</v>
      </c>
      <c r="D14" s="3998" t="s">
        <v>3228</v>
      </c>
      <c r="E14" s="4830"/>
      <c r="F14">
        <v>5</v>
      </c>
      <c r="G14" s="4546" t="str">
        <f t="shared" si="0"/>
        <v>1099-MISC</v>
      </c>
      <c r="H14" s="4534"/>
      <c r="I14" s="4538"/>
      <c r="J14" s="4533"/>
      <c r="K14" s="4532"/>
      <c r="L14" s="4533"/>
      <c r="M14" s="4547"/>
    </row>
    <row r="15" spans="1:13" ht="16.5" customHeight="1">
      <c r="A15" s="1291"/>
      <c r="B15" s="2866"/>
      <c r="C15" s="4001" t="s">
        <v>3058</v>
      </c>
      <c r="D15" s="3998" t="s">
        <v>3229</v>
      </c>
      <c r="E15" s="4830"/>
      <c r="F15">
        <v>6</v>
      </c>
      <c r="G15" s="4546" t="str">
        <f t="shared" si="0"/>
        <v>1099-R</v>
      </c>
      <c r="H15" s="4534"/>
      <c r="I15" s="4538"/>
      <c r="J15" s="4533"/>
      <c r="K15" s="4532"/>
      <c r="L15" s="4533"/>
      <c r="M15" s="4547"/>
    </row>
    <row r="16" spans="1:13" ht="16.5" customHeight="1">
      <c r="A16" s="1291"/>
      <c r="B16" s="2866"/>
      <c r="C16" s="4001" t="s">
        <v>3199</v>
      </c>
      <c r="D16" s="3998" t="s">
        <v>3230</v>
      </c>
      <c r="E16" s="4830"/>
      <c r="F16">
        <v>7</v>
      </c>
      <c r="G16" s="4546" t="str">
        <f t="shared" si="0"/>
        <v>SSA-1099</v>
      </c>
      <c r="H16" s="4534"/>
      <c r="I16" s="4538"/>
      <c r="J16" s="4535"/>
      <c r="K16" s="4534"/>
      <c r="L16" s="4535"/>
      <c r="M16" s="4547"/>
    </row>
    <row r="17" spans="1:13" ht="16.5" customHeight="1">
      <c r="A17" s="1291"/>
      <c r="B17" s="2866"/>
      <c r="C17" s="4002" t="s">
        <v>2470</v>
      </c>
      <c r="D17" s="3998" t="s">
        <v>3231</v>
      </c>
      <c r="E17" s="4830"/>
      <c r="F17">
        <v>8</v>
      </c>
      <c r="G17" s="4546" t="str">
        <f t="shared" si="0"/>
        <v>1040</v>
      </c>
      <c r="H17" s="5157">
        <v>44398</v>
      </c>
      <c r="I17" s="4538">
        <v>44500</v>
      </c>
      <c r="J17" s="4533">
        <v>44539</v>
      </c>
      <c r="K17" s="4534">
        <v>44237</v>
      </c>
      <c r="L17" s="4533">
        <v>44552</v>
      </c>
      <c r="M17" s="4547">
        <v>44567</v>
      </c>
    </row>
    <row r="18" spans="1:13" ht="16.5" customHeight="1">
      <c r="A18" s="1291"/>
      <c r="B18" s="2866"/>
      <c r="C18" s="4001" t="s">
        <v>3106</v>
      </c>
      <c r="D18" s="3998" t="s">
        <v>3232</v>
      </c>
      <c r="E18" s="4830"/>
      <c r="F18">
        <v>9</v>
      </c>
      <c r="G18" s="4546" t="str">
        <f t="shared" si="0"/>
        <v>Sch. 1</v>
      </c>
      <c r="H18" s="5157">
        <v>44398</v>
      </c>
      <c r="I18" s="4538"/>
      <c r="J18" s="4533">
        <v>44533</v>
      </c>
      <c r="K18" s="4534"/>
      <c r="L18" s="4533"/>
      <c r="M18" s="4547">
        <v>44568</v>
      </c>
    </row>
    <row r="19" spans="1:13" ht="16.5" customHeight="1">
      <c r="A19" s="1291"/>
      <c r="B19" s="2866"/>
      <c r="C19" s="4001" t="s">
        <v>3672</v>
      </c>
      <c r="D19" s="3997" t="s">
        <v>3867</v>
      </c>
      <c r="E19" s="4831"/>
      <c r="F19">
        <v>17</v>
      </c>
      <c r="G19" s="4546" t="str">
        <f>C19</f>
        <v>Sch. 1, Line 1 (SALT)</v>
      </c>
      <c r="H19" s="4534"/>
      <c r="I19" s="4538"/>
      <c r="J19" s="4535"/>
      <c r="K19" s="4532"/>
      <c r="L19" s="4533"/>
      <c r="M19" s="4547">
        <v>44568</v>
      </c>
    </row>
    <row r="20" spans="1:13" ht="16.5" customHeight="1">
      <c r="A20" s="1291"/>
      <c r="B20" s="2866"/>
      <c r="C20" s="4001" t="s">
        <v>5386</v>
      </c>
      <c r="D20" s="3997" t="s">
        <v>5387</v>
      </c>
      <c r="E20" s="4831"/>
      <c r="F20">
        <v>22</v>
      </c>
      <c r="G20" s="4546" t="str">
        <f>C20</f>
        <v>Sch. 1 Line 20 (IRA)</v>
      </c>
      <c r="H20" s="4534"/>
      <c r="I20" s="4538"/>
      <c r="J20" s="4535"/>
      <c r="K20" s="4532"/>
      <c r="L20" s="4533"/>
      <c r="M20" s="4547">
        <v>44578</v>
      </c>
    </row>
    <row r="21" spans="1:13" ht="16.5" customHeight="1">
      <c r="A21" s="1291"/>
      <c r="B21" s="2866"/>
      <c r="C21" s="4001" t="s">
        <v>5400</v>
      </c>
      <c r="D21" s="3997" t="s">
        <v>5399</v>
      </c>
      <c r="E21" s="4831"/>
      <c r="F21">
        <v>23</v>
      </c>
      <c r="G21" s="4546" t="str">
        <f>C21</f>
        <v>Sch. 1 Line 21 (Stu Loan)</v>
      </c>
      <c r="H21" s="4534"/>
      <c r="I21" s="4538"/>
      <c r="J21" s="4535"/>
      <c r="K21" s="4532"/>
      <c r="L21" s="4533"/>
      <c r="M21" s="4547">
        <v>44578</v>
      </c>
    </row>
    <row r="22" spans="1:13" ht="16.5" customHeight="1">
      <c r="A22" s="1291"/>
      <c r="B22" s="2866"/>
      <c r="C22" s="4001" t="s">
        <v>3200</v>
      </c>
      <c r="D22" s="3998" t="s">
        <v>3350</v>
      </c>
      <c r="E22" s="4830"/>
      <c r="F22">
        <v>11</v>
      </c>
      <c r="G22" s="4546" t="str">
        <f t="shared" si="0"/>
        <v>Sch. 2</v>
      </c>
      <c r="H22" s="5157">
        <v>44398</v>
      </c>
      <c r="I22" s="4538"/>
      <c r="J22" s="4533">
        <v>44533</v>
      </c>
      <c r="K22" s="4534"/>
      <c r="L22" s="4533"/>
      <c r="M22" s="4547">
        <v>44568</v>
      </c>
    </row>
    <row r="23" spans="1:13" ht="16.5" customHeight="1">
      <c r="A23" s="1291"/>
      <c r="B23" s="2866"/>
      <c r="C23" s="4001" t="s">
        <v>3201</v>
      </c>
      <c r="D23" s="3998" t="s">
        <v>3233</v>
      </c>
      <c r="E23" s="4830"/>
      <c r="F23">
        <v>12</v>
      </c>
      <c r="G23" s="4546" t="str">
        <f t="shared" si="0"/>
        <v>Sch. 3</v>
      </c>
      <c r="H23" s="5157">
        <v>44495</v>
      </c>
      <c r="I23" s="4538">
        <v>44500</v>
      </c>
      <c r="J23" s="4533">
        <v>44533</v>
      </c>
      <c r="K23" s="4534"/>
      <c r="L23" s="4533"/>
      <c r="M23" s="4547">
        <v>44568</v>
      </c>
    </row>
    <row r="24" spans="1:13" ht="16.5" customHeight="1">
      <c r="A24" s="1291"/>
      <c r="B24" s="2866"/>
      <c r="C24" s="4001" t="s">
        <v>3642</v>
      </c>
      <c r="D24" s="3998" t="s">
        <v>3647</v>
      </c>
      <c r="E24" s="4830"/>
      <c r="F24">
        <v>13</v>
      </c>
      <c r="G24" s="4546" t="str">
        <f t="shared" si="0"/>
        <v>Earned Inc WS</v>
      </c>
      <c r="H24" s="4534"/>
      <c r="I24" s="4538"/>
      <c r="J24" s="4535"/>
      <c r="K24" s="4532"/>
      <c r="L24" s="4533"/>
      <c r="M24" s="4547"/>
    </row>
    <row r="25" spans="1:13" ht="16.5" customHeight="1">
      <c r="A25" s="1291"/>
      <c r="B25" s="2866"/>
      <c r="C25" s="4001" t="s">
        <v>3932</v>
      </c>
      <c r="D25" s="3998" t="s">
        <v>3931</v>
      </c>
      <c r="E25" s="4830"/>
      <c r="F25">
        <v>14</v>
      </c>
      <c r="G25" s="4546" t="str">
        <f t="shared" si="0"/>
        <v>Lines 5ab (Simplified Meth WS)</v>
      </c>
      <c r="H25" s="4534"/>
      <c r="I25" s="4538"/>
      <c r="J25" s="4535"/>
      <c r="K25" s="4532"/>
      <c r="L25" s="4533"/>
      <c r="M25" s="4547">
        <v>44578</v>
      </c>
    </row>
    <row r="26" spans="1:13" ht="16.5" customHeight="1">
      <c r="A26" s="1291"/>
      <c r="B26" s="2866"/>
      <c r="C26" s="4001" t="s">
        <v>3968</v>
      </c>
      <c r="D26" s="3998" t="s">
        <v>3972</v>
      </c>
      <c r="E26" s="4830"/>
      <c r="F26">
        <v>15</v>
      </c>
      <c r="G26" s="4546" t="str">
        <f t="shared" si="0"/>
        <v>Line 6ab (SS Bene)</v>
      </c>
      <c r="H26" s="4534"/>
      <c r="I26" s="4538"/>
      <c r="J26" s="4535"/>
      <c r="K26" s="4532"/>
      <c r="L26" s="4533"/>
      <c r="M26" s="4547">
        <v>44571</v>
      </c>
    </row>
    <row r="27" spans="1:13" ht="16.5" customHeight="1">
      <c r="A27" s="1291"/>
      <c r="B27" s="2866"/>
      <c r="C27" s="4001" t="s">
        <v>3970</v>
      </c>
      <c r="D27" s="3997" t="s">
        <v>3971</v>
      </c>
      <c r="E27" s="4831"/>
      <c r="F27">
        <v>16</v>
      </c>
      <c r="G27" s="4546" t="str">
        <f t="shared" si="0"/>
        <v>Line 12 (SD Depnts)</v>
      </c>
      <c r="H27" s="4534"/>
      <c r="I27" s="4538"/>
      <c r="J27" s="4535"/>
      <c r="K27" s="4532"/>
      <c r="L27" s="4533"/>
      <c r="M27" s="4547">
        <v>44571</v>
      </c>
    </row>
    <row r="28" spans="1:13" ht="16.5" customHeight="1">
      <c r="A28" s="1291"/>
      <c r="B28" s="2866"/>
      <c r="C28" s="4001" t="s">
        <v>4289</v>
      </c>
      <c r="D28" s="3997" t="s">
        <v>3403</v>
      </c>
      <c r="E28" s="4831"/>
      <c r="F28">
        <v>18</v>
      </c>
      <c r="G28" s="4546" t="str">
        <f t="shared" si="0"/>
        <v>Line 16 (QDCG Tax)</v>
      </c>
      <c r="H28" s="4534"/>
      <c r="I28" s="4538"/>
      <c r="J28" s="4535"/>
      <c r="K28" s="4532"/>
      <c r="L28" s="4533"/>
      <c r="M28" s="4547">
        <v>44571</v>
      </c>
    </row>
    <row r="29" spans="1:13" ht="16.5" customHeight="1">
      <c r="A29" s="1291"/>
      <c r="B29" s="2866"/>
      <c r="C29" s="4001" t="s">
        <v>3925</v>
      </c>
      <c r="D29" s="3997" t="s">
        <v>3924</v>
      </c>
      <c r="E29" s="4831"/>
      <c r="F29">
        <v>20</v>
      </c>
      <c r="G29" s="4546" t="str">
        <f t="shared" si="0"/>
        <v>Line 27 (EIC)</v>
      </c>
      <c r="H29" s="4534"/>
      <c r="I29" s="4538"/>
      <c r="J29" s="4535"/>
      <c r="K29" s="4532"/>
      <c r="L29" s="4533"/>
      <c r="M29" s="4547"/>
    </row>
    <row r="30" spans="1:13" ht="16.5" customHeight="1">
      <c r="A30" s="1291"/>
      <c r="B30" s="2866"/>
      <c r="C30" s="4001" t="s">
        <v>4428</v>
      </c>
      <c r="D30" s="3997" t="s">
        <v>4417</v>
      </c>
      <c r="E30" s="4831"/>
      <c r="F30">
        <v>21</v>
      </c>
      <c r="G30" s="4546" t="str">
        <f>C30</f>
        <v>Line 30 (Rebate Credit)</v>
      </c>
      <c r="H30" s="4534"/>
      <c r="I30" s="4538"/>
      <c r="J30" s="4535"/>
      <c r="K30" s="4532"/>
      <c r="L30" s="4533"/>
      <c r="M30" s="4547">
        <v>44575</v>
      </c>
    </row>
    <row r="31" spans="1:13" ht="16.5" customHeight="1">
      <c r="A31" s="1291"/>
      <c r="B31" s="2866"/>
      <c r="C31" s="4001" t="s">
        <v>3149</v>
      </c>
      <c r="D31" s="3997" t="s">
        <v>3234</v>
      </c>
      <c r="E31" s="4831"/>
      <c r="F31">
        <v>24</v>
      </c>
      <c r="G31" s="4546" t="str">
        <f t="shared" si="0"/>
        <v>Sch. A</v>
      </c>
      <c r="H31" s="4534">
        <v>44426</v>
      </c>
      <c r="I31" s="4538"/>
      <c r="J31" s="4535">
        <v>44550</v>
      </c>
      <c r="K31" s="4534"/>
      <c r="L31" s="4533">
        <v>44566</v>
      </c>
      <c r="M31" s="4547">
        <v>44578</v>
      </c>
    </row>
    <row r="32" spans="1:13" ht="16.5" customHeight="1">
      <c r="A32" s="1291"/>
      <c r="B32" s="2866"/>
      <c r="C32" s="4001" t="s">
        <v>3202</v>
      </c>
      <c r="D32" s="3997" t="s">
        <v>3235</v>
      </c>
      <c r="E32" s="4831"/>
      <c r="F32">
        <v>25</v>
      </c>
      <c r="G32" s="4546" t="str">
        <f t="shared" si="0"/>
        <v>Sch. B</v>
      </c>
      <c r="H32" s="4534">
        <v>44369</v>
      </c>
      <c r="I32" s="4538"/>
      <c r="J32" s="4535">
        <v>44503</v>
      </c>
      <c r="K32" s="4534">
        <v>44399</v>
      </c>
      <c r="L32" s="4533">
        <v>44539</v>
      </c>
      <c r="M32" s="4547">
        <v>44578</v>
      </c>
    </row>
    <row r="33" spans="1:14" ht="16.5" customHeight="1">
      <c r="A33" s="1291"/>
      <c r="B33" s="2866"/>
      <c r="C33" s="4001" t="s">
        <v>2641</v>
      </c>
      <c r="D33" s="3997" t="s">
        <v>3247</v>
      </c>
      <c r="E33" s="4831"/>
      <c r="F33">
        <v>26</v>
      </c>
      <c r="G33" s="4546" t="str">
        <f t="shared" si="0"/>
        <v>Sch. C</v>
      </c>
      <c r="H33" s="4534">
        <v>44364</v>
      </c>
      <c r="I33" s="4538"/>
      <c r="J33" s="4535">
        <v>44494</v>
      </c>
      <c r="K33" s="4534">
        <v>44489</v>
      </c>
      <c r="L33" s="4533">
        <v>44552</v>
      </c>
      <c r="M33" s="4547">
        <v>44579</v>
      </c>
    </row>
    <row r="34" spans="1:14" ht="16.5" customHeight="1">
      <c r="A34" s="1291"/>
      <c r="B34" s="2866"/>
      <c r="C34" s="4001" t="s">
        <v>2469</v>
      </c>
      <c r="D34" s="3997" t="s">
        <v>3236</v>
      </c>
      <c r="E34" s="4831"/>
      <c r="F34">
        <v>27</v>
      </c>
      <c r="G34" s="4546" t="str">
        <f t="shared" si="0"/>
        <v>Sch. D</v>
      </c>
      <c r="H34" s="4534">
        <v>44426</v>
      </c>
      <c r="I34" s="4538"/>
      <c r="J34" s="4535">
        <v>44540</v>
      </c>
      <c r="K34" s="4534">
        <v>44489</v>
      </c>
      <c r="L34" s="4533">
        <v>44544</v>
      </c>
      <c r="M34" s="4547">
        <v>44579</v>
      </c>
    </row>
    <row r="35" spans="1:14" ht="54" customHeight="1">
      <c r="A35" s="5693"/>
      <c r="B35" s="3598"/>
      <c r="C35" s="5694" t="s">
        <v>2634</v>
      </c>
      <c r="D35" s="5695" t="s">
        <v>3237</v>
      </c>
      <c r="E35" s="5696"/>
      <c r="F35" s="613">
        <v>28</v>
      </c>
      <c r="G35" s="5697" t="str">
        <f t="shared" si="0"/>
        <v>Sch. D WS</v>
      </c>
      <c r="H35" s="5698"/>
      <c r="I35" s="5699"/>
      <c r="J35" s="5700"/>
      <c r="K35" s="5698"/>
      <c r="L35" s="5701"/>
      <c r="M35" s="5702">
        <v>44581</v>
      </c>
    </row>
    <row r="36" spans="1:14" ht="16.5" customHeight="1">
      <c r="A36" s="1291"/>
      <c r="B36" s="2866"/>
      <c r="C36" s="4001" t="s">
        <v>2642</v>
      </c>
      <c r="D36" s="3997" t="s">
        <v>5874</v>
      </c>
      <c r="E36" s="4831"/>
      <c r="F36">
        <v>29</v>
      </c>
      <c r="G36" s="4546" t="str">
        <f t="shared" si="0"/>
        <v>Sch. E</v>
      </c>
      <c r="H36" s="4534">
        <v>44364</v>
      </c>
      <c r="I36" s="4538"/>
      <c r="J36" s="4535">
        <v>44494</v>
      </c>
      <c r="K36" s="4534">
        <v>44467</v>
      </c>
      <c r="L36" s="4533">
        <v>44545</v>
      </c>
      <c r="M36" s="4547">
        <v>44498</v>
      </c>
      <c r="N36" t="s">
        <v>5097</v>
      </c>
    </row>
    <row r="37" spans="1:14" ht="16.5" customHeight="1">
      <c r="A37" s="1291"/>
      <c r="B37" s="2866"/>
      <c r="C37" s="4001" t="s">
        <v>5875</v>
      </c>
      <c r="D37" s="3997" t="s">
        <v>5874</v>
      </c>
      <c r="E37" s="4831"/>
      <c r="F37">
        <v>29</v>
      </c>
      <c r="G37" s="4546" t="str">
        <f>C37</f>
        <v>Sch. E (2)</v>
      </c>
      <c r="H37" s="4534">
        <v>44364</v>
      </c>
      <c r="I37" s="4538"/>
      <c r="J37" s="4535">
        <v>44494</v>
      </c>
      <c r="K37" s="4534">
        <v>44467</v>
      </c>
      <c r="L37" s="4533">
        <v>44545</v>
      </c>
      <c r="M37" s="4547">
        <v>44498</v>
      </c>
      <c r="N37" t="s">
        <v>5097</v>
      </c>
    </row>
    <row r="38" spans="1:14" ht="16.5" customHeight="1">
      <c r="A38" s="1291"/>
      <c r="B38" s="2866"/>
      <c r="C38" s="4001" t="s">
        <v>2643</v>
      </c>
      <c r="D38" s="3997" t="s">
        <v>3238</v>
      </c>
      <c r="E38" s="4831"/>
      <c r="F38">
        <v>30</v>
      </c>
      <c r="G38" s="4546" t="str">
        <f t="shared" si="0"/>
        <v>Sch. F</v>
      </c>
      <c r="H38" s="5157">
        <v>44497</v>
      </c>
      <c r="I38" s="4537"/>
      <c r="J38" s="4535">
        <v>44551</v>
      </c>
      <c r="K38" s="4532"/>
      <c r="L38" s="4533">
        <v>44553</v>
      </c>
      <c r="M38" s="4547">
        <v>44575</v>
      </c>
    </row>
    <row r="39" spans="1:14" ht="16.5" customHeight="1">
      <c r="A39" s="1291"/>
      <c r="B39" s="2866"/>
      <c r="C39" s="4001" t="s">
        <v>3203</v>
      </c>
      <c r="D39" s="3997" t="s">
        <v>3239</v>
      </c>
      <c r="E39" s="4831"/>
      <c r="F39">
        <v>31</v>
      </c>
      <c r="G39" s="4546" t="str">
        <f t="shared" si="0"/>
        <v>Sch. R</v>
      </c>
      <c r="H39" s="4534">
        <v>44400</v>
      </c>
      <c r="I39" s="4538"/>
      <c r="J39" s="4535">
        <v>44494</v>
      </c>
      <c r="K39" s="4534">
        <v>44446</v>
      </c>
      <c r="L39" s="4533">
        <v>44494</v>
      </c>
      <c r="M39" s="4547">
        <v>44576</v>
      </c>
    </row>
    <row r="40" spans="1:14" ht="16.5" customHeight="1">
      <c r="A40" s="1291"/>
      <c r="B40" s="2866"/>
      <c r="C40" s="4001" t="s">
        <v>2475</v>
      </c>
      <c r="D40" s="3997" t="s">
        <v>3246</v>
      </c>
      <c r="E40" s="4831"/>
      <c r="F40">
        <v>32</v>
      </c>
      <c r="G40" s="4546" t="str">
        <f t="shared" si="0"/>
        <v>Sch. SE</v>
      </c>
      <c r="H40" s="4534">
        <v>44363</v>
      </c>
      <c r="I40" s="4538"/>
      <c r="J40" s="4535">
        <v>44494</v>
      </c>
      <c r="K40" s="4534"/>
      <c r="L40" s="4533">
        <v>44536</v>
      </c>
      <c r="M40" s="4547">
        <v>44499</v>
      </c>
      <c r="N40" t="s">
        <v>5097</v>
      </c>
    </row>
    <row r="41" spans="1:14" ht="16.5" customHeight="1">
      <c r="A41" s="1291"/>
      <c r="B41" s="2866"/>
      <c r="C41" s="4002" t="s">
        <v>3204</v>
      </c>
      <c r="D41" s="3997" t="s">
        <v>3240</v>
      </c>
      <c r="E41" s="4831"/>
      <c r="F41">
        <v>33</v>
      </c>
      <c r="G41" s="4546" t="str">
        <f t="shared" si="0"/>
        <v>1116</v>
      </c>
      <c r="H41" s="4532">
        <v>44454</v>
      </c>
      <c r="I41" s="4537"/>
      <c r="J41" s="4535">
        <v>44544</v>
      </c>
      <c r="K41" s="4534"/>
      <c r="L41" s="4533"/>
      <c r="M41" s="4547">
        <v>44576</v>
      </c>
    </row>
    <row r="42" spans="1:14" ht="16.5" customHeight="1">
      <c r="A42" s="4115"/>
      <c r="B42" s="4786"/>
      <c r="C42" s="4002" t="s">
        <v>3205</v>
      </c>
      <c r="D42" s="3997" t="s">
        <v>5647</v>
      </c>
      <c r="E42" s="4831"/>
      <c r="F42">
        <v>34</v>
      </c>
      <c r="G42" s="4546" t="str">
        <f t="shared" si="0"/>
        <v>2210</v>
      </c>
      <c r="H42" s="4532">
        <v>44231</v>
      </c>
      <c r="I42" s="4537">
        <v>44495</v>
      </c>
      <c r="J42" s="4535">
        <v>44572</v>
      </c>
      <c r="K42" s="4532">
        <v>44552</v>
      </c>
      <c r="L42" s="4533">
        <v>44579</v>
      </c>
      <c r="M42" s="4547"/>
      <c r="N42" s="1357" t="s">
        <v>5595</v>
      </c>
    </row>
    <row r="43" spans="1:14" ht="16.5" customHeight="1">
      <c r="A43" s="1291"/>
      <c r="B43" s="2866"/>
      <c r="C43" s="4002" t="s">
        <v>3206</v>
      </c>
      <c r="D43" s="3997" t="s">
        <v>3241</v>
      </c>
      <c r="E43" s="4831"/>
      <c r="F43">
        <v>35</v>
      </c>
      <c r="G43" s="4546" t="str">
        <f t="shared" si="0"/>
        <v>2441</v>
      </c>
      <c r="H43" s="4534">
        <v>44456</v>
      </c>
      <c r="I43" s="4538"/>
      <c r="J43" s="4535">
        <v>44545</v>
      </c>
      <c r="K43" s="5157">
        <v>44495</v>
      </c>
      <c r="L43" s="4533">
        <v>44547</v>
      </c>
      <c r="M43" s="4547">
        <v>44577</v>
      </c>
    </row>
    <row r="44" spans="1:14" ht="16.5" customHeight="1">
      <c r="A44" s="1291"/>
      <c r="B44" s="2866"/>
      <c r="C44" s="4002" t="s">
        <v>1429</v>
      </c>
      <c r="D44" s="3997" t="s">
        <v>3242</v>
      </c>
      <c r="E44" s="4831"/>
      <c r="F44">
        <v>36</v>
      </c>
      <c r="G44" s="4546" t="str">
        <f t="shared" si="0"/>
        <v>2555</v>
      </c>
      <c r="H44" s="4534">
        <v>44404</v>
      </c>
      <c r="I44" s="4538"/>
      <c r="J44" s="4535">
        <v>44510</v>
      </c>
      <c r="K44" s="4534">
        <v>44405</v>
      </c>
      <c r="L44" s="4533">
        <v>44510</v>
      </c>
      <c r="M44" s="4547">
        <v>44581</v>
      </c>
    </row>
    <row r="45" spans="1:14" ht="16.5" customHeight="1">
      <c r="A45" s="1291"/>
      <c r="B45" s="2866"/>
      <c r="C45" s="4002" t="s">
        <v>4479</v>
      </c>
      <c r="D45" s="3997" t="s">
        <v>4644</v>
      </c>
      <c r="E45" s="4831"/>
      <c r="F45">
        <v>37</v>
      </c>
      <c r="G45" s="4546" t="str">
        <f>C45</f>
        <v>4562</v>
      </c>
      <c r="H45" s="4532">
        <v>44377</v>
      </c>
      <c r="I45" s="4537"/>
      <c r="J45" s="4533">
        <v>44550</v>
      </c>
      <c r="K45" s="4532">
        <v>44217</v>
      </c>
      <c r="L45" s="4533">
        <v>44572</v>
      </c>
      <c r="M45" s="4547">
        <v>44581</v>
      </c>
    </row>
    <row r="46" spans="1:14" ht="16.5" customHeight="1">
      <c r="A46" s="1291"/>
      <c r="B46" s="2866"/>
      <c r="C46" s="4002" t="s">
        <v>3207</v>
      </c>
      <c r="D46" s="3997" t="s">
        <v>3243</v>
      </c>
      <c r="E46" s="4831"/>
      <c r="F46">
        <v>38</v>
      </c>
      <c r="G46" s="4546" t="str">
        <f t="shared" si="0"/>
        <v>6251</v>
      </c>
      <c r="H46" s="4532">
        <v>44460</v>
      </c>
      <c r="I46" s="4537">
        <v>44502</v>
      </c>
      <c r="J46" s="4533">
        <v>44571</v>
      </c>
      <c r="K46" s="4532">
        <v>44439</v>
      </c>
      <c r="L46" s="4533">
        <v>44573</v>
      </c>
      <c r="M46" s="4547">
        <v>44581</v>
      </c>
    </row>
    <row r="47" spans="1:14" ht="16.5" customHeight="1">
      <c r="A47" s="1291"/>
      <c r="B47" s="2866"/>
      <c r="C47" s="4002" t="s">
        <v>3208</v>
      </c>
      <c r="D47" s="3997" t="s">
        <v>3244</v>
      </c>
      <c r="E47" s="4831"/>
      <c r="F47">
        <v>39</v>
      </c>
      <c r="G47" s="4546" t="str">
        <f t="shared" si="0"/>
        <v>8283</v>
      </c>
      <c r="H47" s="4534">
        <v>44447</v>
      </c>
      <c r="I47" s="4538"/>
      <c r="J47" s="4533">
        <v>44505</v>
      </c>
      <c r="K47" s="4532">
        <v>44119</v>
      </c>
      <c r="L47" s="4533">
        <v>44565</v>
      </c>
      <c r="M47" s="4547">
        <v>44581</v>
      </c>
    </row>
    <row r="48" spans="1:14" ht="16.5" customHeight="1">
      <c r="A48" s="1291"/>
      <c r="B48" s="2866"/>
      <c r="C48" s="4002" t="s">
        <v>3782</v>
      </c>
      <c r="D48" s="3997" t="s">
        <v>3859</v>
      </c>
      <c r="E48" s="4831"/>
      <c r="F48">
        <v>40</v>
      </c>
      <c r="G48" s="4546" t="str">
        <f t="shared" si="0"/>
        <v>8606</v>
      </c>
      <c r="H48" s="4534">
        <v>44427</v>
      </c>
      <c r="I48" s="4538"/>
      <c r="J48" s="4533">
        <v>44558</v>
      </c>
      <c r="K48" s="4532">
        <v>44470</v>
      </c>
      <c r="L48" s="4533">
        <v>44572</v>
      </c>
      <c r="M48" s="4547">
        <v>44582</v>
      </c>
    </row>
    <row r="49" spans="1:14" ht="16.5" customHeight="1">
      <c r="A49" s="1291"/>
      <c r="B49" s="2866"/>
      <c r="C49" s="4002" t="s">
        <v>3209</v>
      </c>
      <c r="D49" s="3997" t="s">
        <v>3892</v>
      </c>
      <c r="E49" s="4831"/>
      <c r="F49">
        <v>41</v>
      </c>
      <c r="G49" s="4546" t="str">
        <f t="shared" si="0"/>
        <v>8812</v>
      </c>
      <c r="H49" s="4534">
        <v>44504</v>
      </c>
      <c r="I49" s="4538"/>
      <c r="J49" s="4533">
        <v>44543</v>
      </c>
      <c r="K49" s="4534"/>
      <c r="L49" s="4533"/>
      <c r="M49" s="4547">
        <v>44575</v>
      </c>
      <c r="N49" s="1357"/>
    </row>
    <row r="50" spans="1:14" ht="16.5" customHeight="1">
      <c r="A50" s="1291"/>
      <c r="B50" s="2866"/>
      <c r="C50" s="4002">
        <v>8829</v>
      </c>
      <c r="D50" s="3997" t="s">
        <v>5852</v>
      </c>
      <c r="E50" s="4831"/>
      <c r="F50">
        <v>42</v>
      </c>
      <c r="G50" s="4546">
        <f>C50</f>
        <v>8829</v>
      </c>
      <c r="H50" s="4532">
        <v>44461</v>
      </c>
      <c r="I50" s="4537"/>
      <c r="J50" s="4533">
        <v>44540</v>
      </c>
      <c r="K50" s="4532"/>
      <c r="L50" s="4533">
        <v>44545</v>
      </c>
      <c r="M50" s="4547">
        <v>44582</v>
      </c>
    </row>
    <row r="51" spans="1:14" ht="16.5" customHeight="1">
      <c r="A51" s="1291"/>
      <c r="B51" s="2866"/>
      <c r="C51" s="4002" t="s">
        <v>3680</v>
      </c>
      <c r="D51" s="3997" t="s">
        <v>3776</v>
      </c>
      <c r="E51" s="4831"/>
      <c r="F51">
        <v>42</v>
      </c>
      <c r="G51" s="4546" t="str">
        <f t="shared" si="0"/>
        <v>8863</v>
      </c>
      <c r="H51" s="4532">
        <v>44461</v>
      </c>
      <c r="I51" s="4537"/>
      <c r="J51" s="4533">
        <v>44540</v>
      </c>
      <c r="K51" s="4532"/>
      <c r="L51" s="4533">
        <v>44545</v>
      </c>
      <c r="M51" s="4547">
        <v>44582</v>
      </c>
    </row>
    <row r="52" spans="1:14" ht="16.5" customHeight="1">
      <c r="A52" s="1291"/>
      <c r="B52" s="2866"/>
      <c r="C52" s="4002" t="s">
        <v>5917</v>
      </c>
      <c r="D52" s="3997" t="s">
        <v>5971</v>
      </c>
      <c r="E52" s="4831"/>
      <c r="F52">
        <v>43</v>
      </c>
      <c r="G52" s="4546" t="str">
        <f>C52</f>
        <v>8880</v>
      </c>
      <c r="H52" s="4532">
        <v>44404</v>
      </c>
      <c r="I52" s="4537"/>
      <c r="J52" s="4533">
        <v>44547</v>
      </c>
      <c r="K52" s="4532"/>
      <c r="L52" s="4533">
        <v>44573</v>
      </c>
      <c r="M52" s="4547">
        <v>44582</v>
      </c>
    </row>
    <row r="53" spans="1:14" ht="16.5" customHeight="1">
      <c r="A53" s="1291"/>
      <c r="B53" s="2866"/>
      <c r="C53" s="4002" t="s">
        <v>3210</v>
      </c>
      <c r="D53" s="3997" t="s">
        <v>4457</v>
      </c>
      <c r="E53" s="4831"/>
      <c r="F53">
        <v>43</v>
      </c>
      <c r="G53" s="4546" t="str">
        <f t="shared" si="0"/>
        <v>8889</v>
      </c>
      <c r="H53" s="4532">
        <v>44404</v>
      </c>
      <c r="I53" s="4537"/>
      <c r="J53" s="4533">
        <v>44547</v>
      </c>
      <c r="K53" s="4532"/>
      <c r="L53" s="4533">
        <v>44573</v>
      </c>
      <c r="M53" s="4547">
        <v>44582</v>
      </c>
    </row>
    <row r="54" spans="1:14" ht="16.5" customHeight="1">
      <c r="A54" s="1291"/>
      <c r="B54" s="2866"/>
      <c r="C54" s="4002" t="s">
        <v>3211</v>
      </c>
      <c r="D54" s="3997" t="s">
        <v>3245</v>
      </c>
      <c r="E54" s="4831"/>
      <c r="F54">
        <v>44</v>
      </c>
      <c r="G54" s="4546" t="str">
        <f t="shared" si="0"/>
        <v>8949A</v>
      </c>
      <c r="H54" s="4532">
        <v>44400</v>
      </c>
      <c r="I54" s="4538"/>
      <c r="J54" s="4533">
        <v>44543</v>
      </c>
      <c r="K54" s="4532"/>
      <c r="L54" s="4533">
        <v>44571</v>
      </c>
      <c r="M54" s="4547">
        <v>44582</v>
      </c>
    </row>
    <row r="55" spans="1:14" ht="16.5" customHeight="1">
      <c r="A55" s="1291"/>
      <c r="B55" s="2866"/>
      <c r="C55" s="4002" t="s">
        <v>3212</v>
      </c>
      <c r="D55" s="3997" t="s">
        <v>3245</v>
      </c>
      <c r="E55" s="4831"/>
      <c r="F55">
        <v>45</v>
      </c>
      <c r="G55" s="4546" t="str">
        <f t="shared" si="0"/>
        <v>8949B</v>
      </c>
      <c r="H55" s="5119" t="s">
        <v>709</v>
      </c>
      <c r="I55" s="5464"/>
      <c r="J55" s="5465" t="s">
        <v>709</v>
      </c>
      <c r="K55" s="5119" t="s">
        <v>709</v>
      </c>
      <c r="L55" s="5465" t="s">
        <v>709</v>
      </c>
      <c r="M55" s="4547">
        <v>44582</v>
      </c>
    </row>
    <row r="56" spans="1:14" ht="16.5" customHeight="1">
      <c r="A56" s="1291"/>
      <c r="B56" s="2866"/>
      <c r="C56" s="4001" t="s">
        <v>3213</v>
      </c>
      <c r="D56" s="3997" t="s">
        <v>3245</v>
      </c>
      <c r="E56" s="4831"/>
      <c r="F56">
        <v>46</v>
      </c>
      <c r="G56" s="4546" t="str">
        <f t="shared" si="0"/>
        <v>8949C</v>
      </c>
      <c r="H56" s="5119" t="s">
        <v>709</v>
      </c>
      <c r="I56" s="5464"/>
      <c r="J56" s="5465" t="s">
        <v>709</v>
      </c>
      <c r="K56" s="5119" t="s">
        <v>709</v>
      </c>
      <c r="L56" s="5465" t="s">
        <v>709</v>
      </c>
      <c r="M56" s="4547">
        <v>44582</v>
      </c>
    </row>
    <row r="57" spans="1:14" ht="16.5" customHeight="1">
      <c r="A57" s="1291"/>
      <c r="B57" s="2866"/>
      <c r="C57" s="4001" t="s">
        <v>3184</v>
      </c>
      <c r="D57" s="3997" t="s">
        <v>3245</v>
      </c>
      <c r="E57" s="4831"/>
      <c r="F57">
        <v>47</v>
      </c>
      <c r="G57" s="4546" t="str">
        <f t="shared" si="0"/>
        <v>8949D</v>
      </c>
      <c r="H57" s="5119" t="s">
        <v>709</v>
      </c>
      <c r="I57" s="5464"/>
      <c r="J57" s="5465" t="s">
        <v>709</v>
      </c>
      <c r="K57" s="5119" t="s">
        <v>709</v>
      </c>
      <c r="L57" s="5465" t="s">
        <v>709</v>
      </c>
      <c r="M57" s="4547">
        <v>44582</v>
      </c>
    </row>
    <row r="58" spans="1:14" ht="16.5" customHeight="1">
      <c r="A58" s="1291"/>
      <c r="B58" s="2866"/>
      <c r="C58" s="4002" t="s">
        <v>3214</v>
      </c>
      <c r="D58" s="3997" t="s">
        <v>3248</v>
      </c>
      <c r="E58" s="4831"/>
      <c r="F58">
        <v>48</v>
      </c>
      <c r="G58" s="4546" t="str">
        <f t="shared" si="0"/>
        <v>8959</v>
      </c>
      <c r="H58" s="4534">
        <v>44431</v>
      </c>
      <c r="I58" s="4538">
        <v>44503</v>
      </c>
      <c r="J58" s="4533">
        <v>44516</v>
      </c>
      <c r="K58" s="4534">
        <v>44462</v>
      </c>
      <c r="L58" s="4533">
        <v>44531</v>
      </c>
      <c r="M58" s="4547">
        <v>44583</v>
      </c>
    </row>
    <row r="59" spans="1:14" ht="16.5" customHeight="1">
      <c r="A59" s="4115"/>
      <c r="B59" s="4786"/>
      <c r="C59" s="4002" t="s">
        <v>3215</v>
      </c>
      <c r="D59" s="3997" t="s">
        <v>4459</v>
      </c>
      <c r="E59" s="4831"/>
      <c r="F59">
        <v>49</v>
      </c>
      <c r="G59" s="4546" t="str">
        <f t="shared" si="0"/>
        <v>8960</v>
      </c>
      <c r="H59" s="4532">
        <v>44400</v>
      </c>
      <c r="I59" s="4537"/>
      <c r="J59" s="4533">
        <v>44538</v>
      </c>
      <c r="K59" s="5157">
        <v>44473</v>
      </c>
      <c r="L59" s="4533">
        <v>44544</v>
      </c>
      <c r="M59" s="4547">
        <v>44583</v>
      </c>
    </row>
    <row r="60" spans="1:14" ht="16.5" customHeight="1">
      <c r="A60" s="1291"/>
      <c r="B60" s="2866"/>
      <c r="C60" s="4002" t="s">
        <v>1090</v>
      </c>
      <c r="D60" s="3997" t="s">
        <v>3249</v>
      </c>
      <c r="E60" s="4831"/>
      <c r="F60">
        <v>50</v>
      </c>
      <c r="G60" s="4546" t="str">
        <f t="shared" si="0"/>
        <v>8962</v>
      </c>
      <c r="H60" s="4532">
        <v>44420</v>
      </c>
      <c r="I60" s="4537"/>
      <c r="J60" s="4533">
        <v>44543</v>
      </c>
      <c r="K60" s="4532">
        <v>44448</v>
      </c>
      <c r="L60" s="4533">
        <v>44543</v>
      </c>
      <c r="M60" s="4547">
        <v>44584</v>
      </c>
    </row>
    <row r="61" spans="1:14" ht="16.5" customHeight="1">
      <c r="A61" s="1291"/>
      <c r="B61" s="2866"/>
      <c r="C61" s="4173">
        <v>8995</v>
      </c>
      <c r="D61" s="4174" t="s">
        <v>4461</v>
      </c>
      <c r="E61" s="4832"/>
      <c r="F61">
        <v>51</v>
      </c>
      <c r="G61" s="5466">
        <f>C61</f>
        <v>8995</v>
      </c>
      <c r="H61" s="4532">
        <v>44488</v>
      </c>
      <c r="I61" s="4537"/>
      <c r="J61" s="4533">
        <v>44571</v>
      </c>
      <c r="K61" s="4532">
        <v>44448</v>
      </c>
      <c r="L61" s="4533">
        <v>44574</v>
      </c>
      <c r="M61" s="4547">
        <v>44582</v>
      </c>
    </row>
    <row r="62" spans="1:14" ht="16.5" customHeight="1">
      <c r="A62" s="1291"/>
      <c r="B62" s="2866"/>
      <c r="C62" s="4001" t="s">
        <v>3216</v>
      </c>
      <c r="D62" s="3997" t="s">
        <v>3250</v>
      </c>
      <c r="E62" s="4831"/>
      <c r="F62">
        <v>52</v>
      </c>
      <c r="G62" s="4546" t="str">
        <f t="shared" si="0"/>
        <v>EIC Table</v>
      </c>
      <c r="H62" s="4532"/>
      <c r="I62" s="4537"/>
      <c r="J62" s="4533"/>
      <c r="K62" s="4532"/>
      <c r="L62" s="4533"/>
      <c r="M62" s="4547">
        <v>44568</v>
      </c>
    </row>
    <row r="63" spans="1:14" ht="16.5" customHeight="1">
      <c r="A63" s="1291"/>
      <c r="B63" s="2866"/>
      <c r="C63" s="4001" t="s">
        <v>3217</v>
      </c>
      <c r="D63" s="3998" t="s">
        <v>3253</v>
      </c>
      <c r="E63" s="4830"/>
      <c r="F63">
        <v>53</v>
      </c>
      <c r="G63" s="4546" t="str">
        <f t="shared" si="0"/>
        <v>Tax Table</v>
      </c>
      <c r="H63" s="4534">
        <v>44469</v>
      </c>
      <c r="I63" s="4538"/>
      <c r="J63" s="4535"/>
      <c r="K63" s="4532"/>
      <c r="L63" s="4533">
        <v>44547</v>
      </c>
      <c r="M63" s="4547">
        <v>44465</v>
      </c>
    </row>
    <row r="64" spans="1:14" ht="16.5" customHeight="1">
      <c r="B64" s="1699"/>
      <c r="C64" s="4001" t="s">
        <v>3218</v>
      </c>
      <c r="D64" s="3998" t="s">
        <v>3251</v>
      </c>
      <c r="E64" s="4830"/>
      <c r="G64" s="4546" t="str">
        <f t="shared" si="0"/>
        <v>Changes</v>
      </c>
      <c r="H64" s="4534" t="s">
        <v>3889</v>
      </c>
      <c r="I64" s="4538" t="s">
        <v>3889</v>
      </c>
      <c r="J64" s="4535" t="s">
        <v>3889</v>
      </c>
      <c r="K64" s="4534" t="s">
        <v>3889</v>
      </c>
      <c r="L64" s="4535" t="s">
        <v>3889</v>
      </c>
      <c r="M64" s="5465" t="s">
        <v>709</v>
      </c>
    </row>
    <row r="65" spans="2:13" ht="14.25" customHeight="1" thickBot="1">
      <c r="B65" s="1699"/>
      <c r="C65" s="4003"/>
      <c r="D65" s="3999"/>
      <c r="E65" s="4828"/>
      <c r="G65" s="4548"/>
      <c r="H65" s="4549"/>
      <c r="I65" s="4550"/>
      <c r="J65" s="4551"/>
      <c r="K65" s="4549"/>
      <c r="L65" s="4551"/>
      <c r="M65" s="4552"/>
    </row>
    <row r="66" spans="2:13" ht="14.25" customHeight="1" thickTop="1">
      <c r="B66" s="1699"/>
      <c r="C66" s="5785"/>
      <c r="D66" s="4828"/>
      <c r="E66" s="4828"/>
    </row>
  </sheetData>
  <sheetProtection algorithmName="SHA-512" hashValue="PaSswU4SdL0s3ASghnB1lFfdvR7yQNP80u0W+8WUBNqnWzQnuBj+bASNCDf81hmav59eITWcwsYnVhzO34bgvw==" saltValue="t6Td5AoPKvF+gbxojUyn7A==" spinCount="100000" sheet="1" objects="1" scenarios="1"/>
  <mergeCells count="1">
    <mergeCell ref="C2:C5"/>
  </mergeCells>
  <hyperlinks>
    <hyperlink ref="C17" location="'1040'!A1" display="1040" xr:uid="{00000000-0004-0000-0100-000000000000}"/>
    <hyperlink ref="C7" location="Coversheet!A1" display="Coversheet" xr:uid="{00000000-0004-0000-0100-000001000000}"/>
    <hyperlink ref="C9" location="Instructions!A1" display="Instructions" xr:uid="{00000000-0004-0000-0100-000002000000}"/>
    <hyperlink ref="C10" location="'W-2s'!A1" display="W-2s" xr:uid="{00000000-0004-0000-0100-000003000000}"/>
    <hyperlink ref="C11" location="'1099-INT'!A1" display="1099-INT" xr:uid="{00000000-0004-0000-0100-000004000000}"/>
    <hyperlink ref="C12" location="'1099-DIV'!A1" display="1099-DIV" xr:uid="{00000000-0004-0000-0100-000005000000}"/>
    <hyperlink ref="C13" location="'1099-G'!A1" display="1099-G" xr:uid="{00000000-0004-0000-0100-000006000000}"/>
    <hyperlink ref="C14" location="'1099-MISC'!A1" display="1099-MISC" xr:uid="{00000000-0004-0000-0100-000007000000}"/>
    <hyperlink ref="C15" location="'1099-R'!A1" display="1099-R" xr:uid="{00000000-0004-0000-0100-000008000000}"/>
    <hyperlink ref="C16" location="'SSA-1099'!A1" display="SSA-1099" xr:uid="{00000000-0004-0000-0100-000009000000}"/>
    <hyperlink ref="C8" location="'Table of Contents'!A1" display="Table of Contents" xr:uid="{00000000-0004-0000-0100-00000A000000}"/>
    <hyperlink ref="C18" location="'Sch. 1'!A1" display="Sch. 1" xr:uid="{00000000-0004-0000-0100-00000B000000}"/>
    <hyperlink ref="C22" location="'Sch. 2'!A1" display="Sch. 2" xr:uid="{00000000-0004-0000-0100-00000C000000}"/>
    <hyperlink ref="C23" location="'Sch. 3'!A1" display="Sch. 3" xr:uid="{00000000-0004-0000-0100-00000D000000}"/>
    <hyperlink ref="C61" location="'8995'!A1" display="8995" xr:uid="{00000000-0004-0000-0100-00000E000000}"/>
    <hyperlink ref="C25" location="'Lines 5ab (Simplified Meth WS)'!A1" display="Lines 5ab (Simplified Meth WS)" xr:uid="{00000000-0004-0000-0100-00000F000000}"/>
    <hyperlink ref="C26" location="'Line 6ab (SS Bene)'!A1" display="Line 6ab (SS Bene)" xr:uid="{00000000-0004-0000-0100-000010000000}"/>
    <hyperlink ref="C27" location="'Line 12a (SD Depnts)'!A1" display="Line 12 (SD Depnts)" xr:uid="{00000000-0004-0000-0100-000011000000}"/>
    <hyperlink ref="C24" location="'Earned Inc WS'!A1" display="Earned Inc WS" xr:uid="{00000000-0004-0000-0100-000012000000}"/>
    <hyperlink ref="C19" location="'Sch 1, Line 1 (SALT)'!A1" display="Sch. 1, Line 1 (SALT)" xr:uid="{00000000-0004-0000-0100-000013000000}"/>
    <hyperlink ref="C28" location="'Line 16 (QDCG Tax)'!A1" display="Line 16 (QDCG Tax)" xr:uid="{00000000-0004-0000-0100-000014000000}"/>
    <hyperlink ref="C29" location="'Line 27 (EIC)'!A1" display="Line 27 (EIC)" xr:uid="{00000000-0004-0000-0100-000015000000}"/>
    <hyperlink ref="C20" location="'Sch. 1, Line 19 (IRA)'!A1" display="Sch. 1 Line 19 (IRA)" xr:uid="{00000000-0004-0000-0100-000016000000}"/>
    <hyperlink ref="C21" location="'Sch. 1, Line 20 (Stu Loan)'!A1" display="Sch. 1 Line 20 (Stu Loan)" xr:uid="{00000000-0004-0000-0100-000017000000}"/>
    <hyperlink ref="C31" location="'Sch. A'!A1" display="Sch. A" xr:uid="{00000000-0004-0000-0100-000018000000}"/>
    <hyperlink ref="C32" location="'Sch. B'!A1" display="Sch. B" xr:uid="{00000000-0004-0000-0100-000019000000}"/>
    <hyperlink ref="C33" location="'Sch. C'!A1" display="Sch. C" xr:uid="{00000000-0004-0000-0100-00001A000000}"/>
    <hyperlink ref="C34" location="'Sch. D'!A1" display="Sch. D" xr:uid="{00000000-0004-0000-0100-00001B000000}"/>
    <hyperlink ref="C35" location="'Sch. D WS'!A1" display="Sch. D WS" xr:uid="{00000000-0004-0000-0100-00001C000000}"/>
    <hyperlink ref="C36" location="'Sch. E'!A1" display="Sch. E" xr:uid="{00000000-0004-0000-0100-00001D000000}"/>
    <hyperlink ref="C38" location="'Sch. F'!A1" display="Sch. F" xr:uid="{00000000-0004-0000-0100-00001E000000}"/>
    <hyperlink ref="C39" location="'Sch. R'!A1" display="Sch. R" xr:uid="{00000000-0004-0000-0100-00001F000000}"/>
    <hyperlink ref="C40" location="'Sch. SE'!A1" display="Sch. SE" xr:uid="{00000000-0004-0000-0100-000020000000}"/>
    <hyperlink ref="C41" location="'1116'!A1" display="1116" xr:uid="{00000000-0004-0000-0100-000021000000}"/>
    <hyperlink ref="C42" location="'2210'!A1" display="2210" xr:uid="{00000000-0004-0000-0100-000022000000}"/>
    <hyperlink ref="C43" location="'2441'!A1" display="2441" xr:uid="{00000000-0004-0000-0100-000023000000}"/>
    <hyperlink ref="C44" location="'2555'!A1" display="2555" xr:uid="{00000000-0004-0000-0100-000024000000}"/>
    <hyperlink ref="C46" location="'6251'!A1" display="6251" xr:uid="{00000000-0004-0000-0100-000025000000}"/>
    <hyperlink ref="C47" location="'8283'!A1" display="8283" xr:uid="{00000000-0004-0000-0100-000026000000}"/>
    <hyperlink ref="C49" location="'8812'!A1" display="8812" xr:uid="{00000000-0004-0000-0100-000027000000}"/>
    <hyperlink ref="C53" location="'8889'!A1" display="8889" xr:uid="{00000000-0004-0000-0100-000028000000}"/>
    <hyperlink ref="C54" location="'8949A'!A1" display="8949A" xr:uid="{00000000-0004-0000-0100-000029000000}"/>
    <hyperlink ref="C55" location="'8949B'!A1" display="8949B" xr:uid="{00000000-0004-0000-0100-00002A000000}"/>
    <hyperlink ref="C56" location="'8949C'!A1" display="8949C" xr:uid="{00000000-0004-0000-0100-00002B000000}"/>
    <hyperlink ref="C57" location="'8949D'!A1" display="8949D" xr:uid="{00000000-0004-0000-0100-00002C000000}"/>
    <hyperlink ref="C58" location="'8959'!A1" display="8959" xr:uid="{00000000-0004-0000-0100-00002D000000}"/>
    <hyperlink ref="C59" location="'8960'!A1" display="8960" xr:uid="{00000000-0004-0000-0100-00002E000000}"/>
    <hyperlink ref="C60" location="'8962'!A1" display="8962" xr:uid="{00000000-0004-0000-0100-00002F000000}"/>
    <hyperlink ref="C62" location="'EIC Table'!A1" display="EIC Table" xr:uid="{00000000-0004-0000-0100-000030000000}"/>
    <hyperlink ref="C63" location="'Tax Table'!A1" display="Tax Table" xr:uid="{00000000-0004-0000-0100-000031000000}"/>
    <hyperlink ref="C64" location="Changes!A1" display="Changes" xr:uid="{00000000-0004-0000-0100-000032000000}"/>
    <hyperlink ref="C51" location="'8863'!A1" display="8863" xr:uid="{00000000-0004-0000-0100-000033000000}"/>
    <hyperlink ref="C48" location="'8606'!A1" display="8606" xr:uid="{00000000-0004-0000-0100-000034000000}"/>
    <hyperlink ref="C30" location="'Line 30 (Rebate Credit)'!A1" display="Line 30 (Rebate Credit)" xr:uid="{00000000-0004-0000-0100-000035000000}"/>
    <hyperlink ref="C45" location="'4562'!A1" display="4562" xr:uid="{00000000-0004-0000-0100-000036000000}"/>
    <hyperlink ref="C50" location="'8829'!A1" display="8829" xr:uid="{00000000-0004-0000-0100-000037000000}"/>
    <hyperlink ref="C37" location="'Sch. E (2)'!A1" display="Sch. E (2)" xr:uid="{00000000-0004-0000-0100-000038000000}"/>
    <hyperlink ref="C52" location="'8880'!A1" display="8880" xr:uid="{00000000-0004-0000-0100-000039000000}"/>
  </hyperlinks>
  <printOptions gridLines="1"/>
  <pageMargins left="0.7" right="0.7" top="0.75" bottom="0.75" header="0.3" footer="0.3"/>
  <pageSetup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L90"/>
  <sheetViews>
    <sheetView workbookViewId="0"/>
  </sheetViews>
  <sheetFormatPr defaultColWidth="9.140625" defaultRowHeight="12.75"/>
  <cols>
    <col min="1" max="1" width="5.28515625" style="1179" customWidth="1"/>
    <col min="2" max="2" width="4.42578125" style="1179" customWidth="1"/>
    <col min="3" max="3" width="9.140625" style="1818"/>
    <col min="4" max="11" width="9.140625" style="1179"/>
    <col min="12" max="12" width="10.7109375" style="1179" customWidth="1"/>
    <col min="13" max="16384" width="9.140625" style="1179"/>
  </cols>
  <sheetData>
    <row r="2" spans="1:12" ht="26.25">
      <c r="A2" s="2726" t="s">
        <v>1942</v>
      </c>
      <c r="B2" s="2726"/>
      <c r="C2" s="1811"/>
      <c r="D2" s="1811"/>
      <c r="E2" s="1811"/>
      <c r="F2" s="1811"/>
      <c r="G2" s="1811"/>
      <c r="H2" s="1811"/>
      <c r="I2" s="1811"/>
      <c r="J2" s="1811"/>
      <c r="K2" s="1811"/>
      <c r="L2" s="1811"/>
    </row>
    <row r="3" spans="1:12" ht="23.25">
      <c r="A3" s="2727" t="s">
        <v>1943</v>
      </c>
      <c r="B3" s="1811"/>
      <c r="C3" s="1811"/>
      <c r="D3" s="1811"/>
      <c r="E3" s="2727"/>
      <c r="F3" s="1811"/>
      <c r="G3" s="1811"/>
      <c r="H3" s="1811"/>
      <c r="I3" s="1811"/>
      <c r="J3" s="1811"/>
      <c r="K3" s="1811"/>
      <c r="L3" s="1811"/>
    </row>
    <row r="5" spans="1:12">
      <c r="B5" s="1283" t="s">
        <v>1944</v>
      </c>
    </row>
    <row r="6" spans="1:12">
      <c r="B6" s="2049" t="s">
        <v>294</v>
      </c>
      <c r="C6" s="1817" t="s">
        <v>1945</v>
      </c>
    </row>
    <row r="7" spans="1:12">
      <c r="C7" s="1817" t="s">
        <v>2008</v>
      </c>
    </row>
    <row r="8" spans="1:12">
      <c r="C8" s="1817" t="s">
        <v>1949</v>
      </c>
    </row>
    <row r="10" spans="1:12">
      <c r="B10" s="2049" t="s">
        <v>0</v>
      </c>
      <c r="C10" s="1817" t="s">
        <v>1946</v>
      </c>
    </row>
    <row r="11" spans="1:12">
      <c r="B11" s="2049"/>
      <c r="C11" s="1817" t="s">
        <v>1947</v>
      </c>
    </row>
    <row r="12" spans="1:12">
      <c r="C12" s="1817" t="s">
        <v>1948</v>
      </c>
    </row>
    <row r="13" spans="1:12">
      <c r="C13" s="1817" t="s">
        <v>2009</v>
      </c>
    </row>
    <row r="14" spans="1:12">
      <c r="C14" s="1817" t="s">
        <v>2007</v>
      </c>
    </row>
    <row r="15" spans="1:12">
      <c r="C15" s="1817"/>
    </row>
    <row r="16" spans="1:12">
      <c r="B16" s="2049" t="s">
        <v>1</v>
      </c>
      <c r="C16" s="1817" t="s">
        <v>1950</v>
      </c>
    </row>
    <row r="17" spans="2:9">
      <c r="C17" s="1817" t="s">
        <v>1965</v>
      </c>
    </row>
    <row r="18" spans="2:9">
      <c r="C18" s="1817" t="s">
        <v>1982</v>
      </c>
      <c r="I18" s="2728" t="s">
        <v>1983</v>
      </c>
    </row>
    <row r="20" spans="2:9">
      <c r="B20" s="2049" t="s">
        <v>399</v>
      </c>
      <c r="C20" s="1817" t="s">
        <v>1951</v>
      </c>
    </row>
    <row r="21" spans="2:9">
      <c r="C21" s="1817" t="s">
        <v>1985</v>
      </c>
      <c r="F21" s="2065" t="s">
        <v>1986</v>
      </c>
      <c r="G21" s="2728" t="s">
        <v>1984</v>
      </c>
    </row>
    <row r="23" spans="2:9">
      <c r="B23" s="1283" t="s">
        <v>1952</v>
      </c>
    </row>
    <row r="24" spans="2:9">
      <c r="B24" s="2049" t="s">
        <v>294</v>
      </c>
      <c r="C24" s="1817" t="s">
        <v>1953</v>
      </c>
    </row>
    <row r="25" spans="2:9">
      <c r="C25" s="1817" t="s">
        <v>1954</v>
      </c>
    </row>
    <row r="26" spans="2:9">
      <c r="C26" s="1817" t="s">
        <v>1956</v>
      </c>
    </row>
    <row r="28" spans="2:9">
      <c r="B28" s="2049" t="s">
        <v>0</v>
      </c>
      <c r="C28" s="2729" t="s">
        <v>1961</v>
      </c>
    </row>
    <row r="29" spans="2:9">
      <c r="B29" s="2049"/>
      <c r="C29" s="2729" t="s">
        <v>1962</v>
      </c>
    </row>
    <row r="30" spans="2:9">
      <c r="B30" s="2049"/>
      <c r="C30" s="2729" t="s">
        <v>1963</v>
      </c>
    </row>
    <row r="31" spans="2:9">
      <c r="B31" s="2049"/>
      <c r="C31" s="2729"/>
    </row>
    <row r="32" spans="2:9">
      <c r="B32" s="2049"/>
      <c r="C32" s="2729" t="s">
        <v>3131</v>
      </c>
    </row>
    <row r="33" spans="2:3">
      <c r="B33" s="2049"/>
      <c r="C33" s="2729" t="s">
        <v>3055</v>
      </c>
    </row>
    <row r="34" spans="2:3">
      <c r="B34" s="2049"/>
      <c r="C34" s="2729" t="s">
        <v>3054</v>
      </c>
    </row>
    <row r="36" spans="2:3">
      <c r="B36" s="2049" t="s">
        <v>1</v>
      </c>
      <c r="C36" s="2729" t="s">
        <v>1964</v>
      </c>
    </row>
    <row r="37" spans="2:3">
      <c r="B37" s="2049"/>
      <c r="C37" s="2729"/>
    </row>
    <row r="38" spans="2:3">
      <c r="B38" s="2049"/>
      <c r="C38" s="2729" t="s">
        <v>3130</v>
      </c>
    </row>
    <row r="39" spans="2:3">
      <c r="B39" s="2049"/>
      <c r="C39" s="2729" t="s">
        <v>3055</v>
      </c>
    </row>
    <row r="40" spans="2:3">
      <c r="B40" s="2049"/>
      <c r="C40" s="2729" t="s">
        <v>3054</v>
      </c>
    </row>
    <row r="42" spans="2:3">
      <c r="B42" s="2049" t="s">
        <v>399</v>
      </c>
      <c r="C42" s="2729" t="s">
        <v>4414</v>
      </c>
    </row>
    <row r="43" spans="2:3">
      <c r="B43" s="2049"/>
      <c r="C43" s="2729" t="s">
        <v>4415</v>
      </c>
    </row>
    <row r="45" spans="2:3">
      <c r="B45" s="2049" t="s">
        <v>31</v>
      </c>
      <c r="C45" s="2729" t="s">
        <v>3051</v>
      </c>
    </row>
    <row r="46" spans="2:3">
      <c r="B46" s="2049"/>
      <c r="C46" s="2729" t="s">
        <v>1960</v>
      </c>
    </row>
    <row r="47" spans="2:3">
      <c r="B47" s="2049"/>
      <c r="C47" s="2729" t="s">
        <v>1957</v>
      </c>
    </row>
    <row r="48" spans="2:3">
      <c r="B48" s="2049"/>
      <c r="C48" s="2729"/>
    </row>
    <row r="49" spans="2:3">
      <c r="B49" s="2049" t="s">
        <v>67</v>
      </c>
      <c r="C49" s="2729" t="s">
        <v>5981</v>
      </c>
    </row>
    <row r="50" spans="2:3">
      <c r="B50" s="2049"/>
      <c r="C50" s="2729" t="s">
        <v>5980</v>
      </c>
    </row>
    <row r="51" spans="2:3">
      <c r="B51" s="2049"/>
      <c r="C51" s="2729" t="s">
        <v>5982</v>
      </c>
    </row>
    <row r="52" spans="2:3">
      <c r="B52" s="2049"/>
      <c r="C52" s="2729"/>
    </row>
    <row r="53" spans="2:3">
      <c r="B53" s="2049" t="s">
        <v>68</v>
      </c>
      <c r="C53" s="2729" t="s">
        <v>5502</v>
      </c>
    </row>
    <row r="54" spans="2:3">
      <c r="B54" s="2049"/>
      <c r="C54" s="2729" t="s">
        <v>5503</v>
      </c>
    </row>
    <row r="55" spans="2:3">
      <c r="B55" s="2049"/>
      <c r="C55" s="2729" t="s">
        <v>5504</v>
      </c>
    </row>
    <row r="57" spans="2:3">
      <c r="B57" s="1283" t="s">
        <v>1955</v>
      </c>
    </row>
    <row r="58" spans="2:3">
      <c r="B58" s="2049" t="s">
        <v>294</v>
      </c>
      <c r="C58" s="1817" t="s">
        <v>3052</v>
      </c>
    </row>
    <row r="59" spans="2:3">
      <c r="B59" s="2049" t="s">
        <v>0</v>
      </c>
      <c r="C59" s="1817" t="s">
        <v>3056</v>
      </c>
    </row>
    <row r="60" spans="2:3">
      <c r="B60" s="2049" t="s">
        <v>1</v>
      </c>
      <c r="C60" s="1817" t="s">
        <v>3132</v>
      </c>
    </row>
    <row r="61" spans="2:3">
      <c r="B61" s="2049"/>
      <c r="C61" s="1817" t="s">
        <v>4381</v>
      </c>
    </row>
    <row r="62" spans="2:3">
      <c r="B62" s="2049" t="s">
        <v>399</v>
      </c>
      <c r="C62" s="1817" t="s">
        <v>3133</v>
      </c>
    </row>
    <row r="63" spans="2:3">
      <c r="B63" s="2049"/>
      <c r="C63" s="1817" t="s">
        <v>2010</v>
      </c>
    </row>
    <row r="64" spans="2:3">
      <c r="B64" s="2049" t="s">
        <v>31</v>
      </c>
      <c r="C64" s="1817" t="s">
        <v>3134</v>
      </c>
    </row>
    <row r="65" spans="2:3">
      <c r="B65" s="2049"/>
      <c r="C65" s="1817" t="s">
        <v>2011</v>
      </c>
    </row>
    <row r="66" spans="2:3">
      <c r="B66" s="2049" t="s">
        <v>67</v>
      </c>
      <c r="C66" s="1817" t="s">
        <v>3135</v>
      </c>
    </row>
    <row r="67" spans="2:3">
      <c r="B67" s="2049"/>
      <c r="C67" s="1817" t="s">
        <v>5983</v>
      </c>
    </row>
    <row r="68" spans="2:3">
      <c r="B68" s="2049"/>
      <c r="C68" s="1817" t="s">
        <v>5984</v>
      </c>
    </row>
    <row r="69" spans="2:3">
      <c r="B69" s="2049" t="s">
        <v>68</v>
      </c>
      <c r="C69" s="1817" t="s">
        <v>3136</v>
      </c>
    </row>
    <row r="70" spans="2:3">
      <c r="B70" s="2049" t="s">
        <v>204</v>
      </c>
      <c r="C70" s="1817" t="s">
        <v>1958</v>
      </c>
    </row>
    <row r="71" spans="2:3">
      <c r="C71" s="1817" t="s">
        <v>3004</v>
      </c>
    </row>
    <row r="72" spans="2:3">
      <c r="C72" s="1817" t="s">
        <v>1959</v>
      </c>
    </row>
    <row r="73" spans="2:3" ht="14.1" customHeight="1">
      <c r="C73" s="1817" t="s">
        <v>3053</v>
      </c>
    </row>
    <row r="74" spans="2:3" ht="14.1" customHeight="1">
      <c r="B74" s="2049" t="s">
        <v>205</v>
      </c>
      <c r="C74" s="1817" t="s">
        <v>5604</v>
      </c>
    </row>
    <row r="75" spans="2:3" ht="14.1" customHeight="1">
      <c r="B75" s="2049"/>
      <c r="C75" s="1817" t="s">
        <v>3137</v>
      </c>
    </row>
    <row r="76" spans="2:3" ht="14.1" customHeight="1">
      <c r="B76" s="2049"/>
      <c r="C76" s="1817" t="s">
        <v>3138</v>
      </c>
    </row>
    <row r="77" spans="2:3">
      <c r="B77" s="2049"/>
      <c r="C77" s="1817" t="s">
        <v>3139</v>
      </c>
    </row>
    <row r="78" spans="2:3">
      <c r="B78" s="2049" t="s">
        <v>295</v>
      </c>
      <c r="C78" s="1817" t="s">
        <v>1966</v>
      </c>
    </row>
    <row r="79" spans="2:3">
      <c r="B79" s="2049" t="s">
        <v>296</v>
      </c>
      <c r="C79" s="1817" t="s">
        <v>1967</v>
      </c>
    </row>
    <row r="81" spans="2:9">
      <c r="B81" s="1283" t="s">
        <v>3865</v>
      </c>
    </row>
    <row r="82" spans="2:9">
      <c r="B82" s="2049" t="s">
        <v>294</v>
      </c>
      <c r="C82" s="1817" t="s">
        <v>3866</v>
      </c>
    </row>
    <row r="83" spans="2:9">
      <c r="B83" s="2049"/>
      <c r="C83" s="2256" t="s">
        <v>5677</v>
      </c>
      <c r="D83" s="1276"/>
      <c r="E83" s="1276"/>
      <c r="F83" s="1276"/>
      <c r="G83" s="1276"/>
      <c r="H83" s="1276"/>
      <c r="I83" s="1276"/>
    </row>
    <row r="84" spans="2:9">
      <c r="B84" s="2049"/>
      <c r="C84" s="2256" t="s">
        <v>5678</v>
      </c>
      <c r="D84" s="1276"/>
      <c r="E84" s="1276"/>
      <c r="F84" s="1276"/>
      <c r="G84" s="1276"/>
      <c r="H84" s="1276"/>
      <c r="I84" s="1276"/>
    </row>
    <row r="85" spans="2:9">
      <c r="B85" s="2049"/>
      <c r="C85" s="2256" t="s">
        <v>5679</v>
      </c>
      <c r="D85" s="1276"/>
      <c r="E85" s="1276"/>
      <c r="F85" s="1276"/>
      <c r="G85" s="1276"/>
      <c r="H85" s="1276"/>
      <c r="I85" s="1276"/>
    </row>
    <row r="86" spans="2:9">
      <c r="C86" s="2256" t="s">
        <v>5680</v>
      </c>
      <c r="D86" s="1276"/>
      <c r="E86" s="1276"/>
      <c r="F86" s="1276"/>
      <c r="G86" s="1276"/>
      <c r="H86" s="1276"/>
      <c r="I86" s="1276"/>
    </row>
    <row r="87" spans="2:9" ht="15.75" thickBot="1">
      <c r="C87" s="5839"/>
    </row>
    <row r="88" spans="2:9">
      <c r="C88" s="4013"/>
      <c r="D88" s="1275"/>
    </row>
    <row r="89" spans="2:9">
      <c r="C89" s="4014" t="s">
        <v>3219</v>
      </c>
      <c r="D89" s="1244"/>
    </row>
    <row r="90" spans="2:9" ht="13.5" thickBot="1">
      <c r="C90" s="1676"/>
      <c r="D90" s="1281"/>
    </row>
  </sheetData>
  <sheetProtection password="F07E" sheet="1" objects="1" scenarios="1"/>
  <hyperlinks>
    <hyperlink ref="I18" r:id="rId1" xr:uid="{00000000-0004-0000-0200-000000000000}"/>
    <hyperlink ref="G21" r:id="rId2" xr:uid="{00000000-0004-0000-0200-000001000000}"/>
    <hyperlink ref="C89" location="'Table of Contents'!A1" display="Table of Contents" xr:uid="{00000000-0004-0000-0200-000002000000}"/>
  </hyperlinks>
  <pageMargins left="0.25" right="0.25" top="0.25" bottom="0.5" header="0.3" footer="0.3"/>
  <pageSetup scale="75"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AA86"/>
  <sheetViews>
    <sheetView topLeftCell="B1" zoomScaleNormal="100" zoomScaleSheetLayoutView="100" workbookViewId="0">
      <pane ySplit="1" topLeftCell="A2" activePane="bottomLeft" state="frozen"/>
      <selection pane="bottomLeft" activeCell="C2" sqref="C2"/>
    </sheetView>
  </sheetViews>
  <sheetFormatPr defaultColWidth="9.140625" defaultRowHeight="12.75"/>
  <cols>
    <col min="1" max="1" width="7" style="321" customWidth="1"/>
    <col min="2" max="2" width="37.7109375" customWidth="1"/>
    <col min="3" max="8" width="19.42578125" customWidth="1"/>
    <col min="9" max="9" width="13" customWidth="1"/>
    <col min="10" max="10" width="13.28515625" customWidth="1"/>
    <col min="11" max="11" width="2.140625" customWidth="1"/>
    <col min="12" max="12" width="15.5703125" style="6" customWidth="1"/>
    <col min="13" max="13" width="30.5703125" customWidth="1"/>
    <col min="14" max="14" width="10.85546875" style="1286" customWidth="1"/>
    <col min="15" max="15" width="13.7109375" style="3013" customWidth="1"/>
    <col min="16" max="25" width="9.140625" style="2595"/>
    <col min="26" max="26" width="9.140625" style="5935"/>
    <col min="27" max="27" width="8.140625" style="867" bestFit="1" customWidth="1"/>
  </cols>
  <sheetData>
    <row r="1" spans="1:27" ht="42" customHeight="1" thickBot="1">
      <c r="A1" s="463"/>
      <c r="B1" s="2444" t="s">
        <v>1990</v>
      </c>
      <c r="C1" s="2529"/>
      <c r="D1" s="2530"/>
      <c r="E1" s="2531"/>
      <c r="F1" s="3409" t="s">
        <v>2600</v>
      </c>
      <c r="G1" s="3824">
        <v>142800</v>
      </c>
      <c r="H1" s="3409" t="s">
        <v>2599</v>
      </c>
      <c r="I1" s="3410">
        <v>6.2E-2</v>
      </c>
      <c r="J1" s="3409"/>
      <c r="K1" s="3409" t="s">
        <v>2601</v>
      </c>
      <c r="L1" s="3824">
        <f>MaxSSTaxEarnings*SSTaxRate</f>
        <v>8853.6</v>
      </c>
      <c r="M1" s="3823" t="s">
        <v>3057</v>
      </c>
      <c r="N1" s="5919"/>
      <c r="O1" s="3012" t="s">
        <v>2033</v>
      </c>
    </row>
    <row r="2" spans="1:27" ht="42" customHeight="1" thickTop="1">
      <c r="A2" s="1044"/>
      <c r="B2" s="1282" t="str">
        <f>IF(Name_1st_Yours="","Enter your name on the"&amp;CHAR(10)&amp;"sheet labeled '1040'",NameYours)</f>
        <v>Enter your name on the
sheet labeled '1040'</v>
      </c>
      <c r="C2" s="5809" t="s">
        <v>1188</v>
      </c>
      <c r="D2" s="5810" t="s">
        <v>239</v>
      </c>
      <c r="E2" s="5810" t="s">
        <v>240</v>
      </c>
      <c r="F2" s="5810" t="s">
        <v>201</v>
      </c>
      <c r="G2" s="5809" t="s">
        <v>2279</v>
      </c>
      <c r="H2" s="5809" t="s">
        <v>2280</v>
      </c>
      <c r="I2" s="1044" t="s">
        <v>202</v>
      </c>
      <c r="J2" s="2532" t="s">
        <v>203</v>
      </c>
      <c r="K2" s="321"/>
      <c r="L2" s="2565" t="s">
        <v>1935</v>
      </c>
      <c r="M2" s="2534"/>
      <c r="N2" s="5920"/>
      <c r="O2" s="3855" t="s">
        <v>111</v>
      </c>
    </row>
    <row r="3" spans="1:27" ht="19.5" customHeight="1">
      <c r="A3" s="3966" t="s">
        <v>148</v>
      </c>
      <c r="B3" s="1031" t="s">
        <v>163</v>
      </c>
      <c r="C3" s="2535"/>
      <c r="D3" s="2535"/>
      <c r="E3" s="2536"/>
      <c r="F3" s="2537"/>
      <c r="G3" s="2537"/>
      <c r="H3" s="2537"/>
      <c r="I3" s="5881">
        <f>SUM(ROUND(C3,0),ROUND(D3,0),ROUND(E3,0),ROUND(F3,0),ROUND(G3,0),ROUND(H3,0))</f>
        <v>0</v>
      </c>
      <c r="J3" s="2538"/>
      <c r="K3" s="2538"/>
      <c r="L3" s="2539"/>
      <c r="M3" s="2568"/>
      <c r="N3" s="3959">
        <f>130000</f>
        <v>130000</v>
      </c>
      <c r="Z3" s="5936"/>
      <c r="AA3" s="3959"/>
    </row>
    <row r="4" spans="1:27">
      <c r="A4" s="3967" t="s">
        <v>149</v>
      </c>
      <c r="B4" s="1031" t="s">
        <v>164</v>
      </c>
      <c r="C4" s="2540"/>
      <c r="D4" s="2540"/>
      <c r="E4" s="2540"/>
      <c r="F4" s="2542"/>
      <c r="G4" s="2542"/>
      <c r="H4" s="2542"/>
      <c r="I4" s="5882">
        <f t="shared" ref="I4:I21" si="0">SUM(ROUND(C4,0),ROUND(D4,0),ROUND(E4,0),ROUND(F4,0),ROUND(G4,0),ROUND(H4,0))</f>
        <v>0</v>
      </c>
      <c r="J4" s="2538"/>
      <c r="K4" s="2538"/>
      <c r="L4" s="2543"/>
      <c r="M4" s="2568"/>
      <c r="N4" s="3381">
        <f>0.13*N3</f>
        <v>16900</v>
      </c>
      <c r="Z4" s="5936"/>
      <c r="AA4" s="3959"/>
    </row>
    <row r="5" spans="1:27">
      <c r="A5" s="3967" t="s">
        <v>150</v>
      </c>
      <c r="B5" s="2544" t="s">
        <v>307</v>
      </c>
      <c r="C5" s="2540"/>
      <c r="D5" s="2540"/>
      <c r="E5" s="2540"/>
      <c r="F5" s="2542"/>
      <c r="G5" s="2542"/>
      <c r="H5" s="2542"/>
      <c r="I5" s="5882">
        <f t="shared" si="0"/>
        <v>0</v>
      </c>
      <c r="J5" s="266"/>
      <c r="K5" s="266"/>
      <c r="L5" s="2534" t="s">
        <v>2598</v>
      </c>
      <c r="M5" s="2568"/>
      <c r="N5" s="3381">
        <f>MIN(N3,MaxSSTaxEarnings)</f>
        <v>130000</v>
      </c>
      <c r="Z5" s="5936"/>
      <c r="AA5" s="3959"/>
    </row>
    <row r="6" spans="1:27">
      <c r="A6" s="3967" t="s">
        <v>151</v>
      </c>
      <c r="B6" s="2544" t="s">
        <v>308</v>
      </c>
      <c r="C6" s="2540"/>
      <c r="D6" s="2540"/>
      <c r="E6" s="2540"/>
      <c r="F6" s="2542"/>
      <c r="G6" s="2542"/>
      <c r="H6" s="2542"/>
      <c r="I6" s="5883">
        <f>SUM(C6:H6)</f>
        <v>0</v>
      </c>
      <c r="J6" s="266">
        <f>IF(EmployerCountYou&lt;2,0,IF(AND(EmployerCountYou&gt;1,SUM(I6,-MaxSSTax)&gt;0),SUM(I6,-MaxSSTax),0))</f>
        <v>0</v>
      </c>
      <c r="K6" s="266"/>
      <c r="L6" s="2545"/>
      <c r="M6" s="2568"/>
      <c r="N6" s="3381">
        <f>MIN(SSTaxRate*N3,MaxSSTax)</f>
        <v>8060</v>
      </c>
      <c r="Z6" s="5936"/>
      <c r="AA6" s="3959"/>
    </row>
    <row r="7" spans="1:27">
      <c r="A7" s="3967" t="s">
        <v>200</v>
      </c>
      <c r="B7" s="2544" t="s">
        <v>309</v>
      </c>
      <c r="C7" s="2540"/>
      <c r="D7" s="2540"/>
      <c r="E7" s="2540"/>
      <c r="F7" s="2542"/>
      <c r="G7" s="2542"/>
      <c r="H7" s="2542"/>
      <c r="I7" s="5882">
        <f t="shared" si="0"/>
        <v>0</v>
      </c>
      <c r="J7" s="266"/>
      <c r="K7" s="266"/>
      <c r="L7" s="2543"/>
      <c r="M7" s="2568"/>
      <c r="N7" s="3381">
        <f>N3</f>
        <v>130000</v>
      </c>
      <c r="Z7" s="5936"/>
      <c r="AA7" s="3959"/>
    </row>
    <row r="8" spans="1:27">
      <c r="A8" s="3967" t="s">
        <v>101</v>
      </c>
      <c r="B8" s="2544" t="s">
        <v>310</v>
      </c>
      <c r="C8" s="2540"/>
      <c r="D8" s="2540"/>
      <c r="E8" s="2540"/>
      <c r="F8" s="2540"/>
      <c r="G8" s="2540"/>
      <c r="H8" s="2540"/>
      <c r="I8" s="5882">
        <f t="shared" si="0"/>
        <v>0</v>
      </c>
      <c r="J8" s="266"/>
      <c r="K8" s="266"/>
      <c r="L8" s="2546" t="s">
        <v>708</v>
      </c>
      <c r="M8" s="2568"/>
      <c r="N8" s="3381">
        <f>0.0145*N7</f>
        <v>1885</v>
      </c>
      <c r="Z8" s="5936"/>
      <c r="AA8" s="3959"/>
    </row>
    <row r="9" spans="1:27">
      <c r="A9" s="3967" t="s">
        <v>102</v>
      </c>
      <c r="B9" s="2544" t="s">
        <v>499</v>
      </c>
      <c r="C9" s="2540"/>
      <c r="D9" s="2540"/>
      <c r="E9" s="2541"/>
      <c r="F9" s="2542"/>
      <c r="G9" s="2542"/>
      <c r="H9" s="2542"/>
      <c r="I9" s="5882">
        <f t="shared" si="0"/>
        <v>0</v>
      </c>
      <c r="J9" s="266"/>
      <c r="K9" s="266"/>
      <c r="L9" s="2534" t="s">
        <v>2598</v>
      </c>
      <c r="M9" s="2568"/>
    </row>
    <row r="10" spans="1:27">
      <c r="A10" s="3967" t="s">
        <v>103</v>
      </c>
      <c r="B10" s="2547" t="s">
        <v>500</v>
      </c>
      <c r="C10" s="2540"/>
      <c r="D10" s="2540"/>
      <c r="E10" s="2541"/>
      <c r="F10" s="2542"/>
      <c r="G10" s="2542"/>
      <c r="H10" s="2542"/>
      <c r="I10" s="5882">
        <f t="shared" si="0"/>
        <v>0</v>
      </c>
      <c r="J10" s="266"/>
      <c r="K10" s="266"/>
      <c r="L10" s="2046"/>
      <c r="M10" s="5917"/>
      <c r="P10" s="2601"/>
    </row>
    <row r="11" spans="1:27">
      <c r="A11" s="3967" t="s">
        <v>105</v>
      </c>
      <c r="B11" s="2544" t="s">
        <v>501</v>
      </c>
      <c r="C11" s="2540"/>
      <c r="D11" s="2540"/>
      <c r="E11" s="2541"/>
      <c r="F11" s="2542"/>
      <c r="G11" s="2542"/>
      <c r="H11" s="2542"/>
      <c r="I11" s="5882">
        <f t="shared" si="0"/>
        <v>0</v>
      </c>
      <c r="J11" s="266"/>
      <c r="K11" s="266"/>
      <c r="L11" s="2046"/>
      <c r="M11" s="5917"/>
    </row>
    <row r="12" spans="1:27">
      <c r="A12" s="3967" t="s">
        <v>657</v>
      </c>
      <c r="B12" s="2547" t="s">
        <v>502</v>
      </c>
      <c r="C12" s="2540"/>
      <c r="D12" s="2540"/>
      <c r="E12" s="2541"/>
      <c r="F12" s="2542"/>
      <c r="G12" s="2542"/>
      <c r="H12" s="2542"/>
      <c r="I12" s="5882">
        <f t="shared" si="0"/>
        <v>0</v>
      </c>
      <c r="J12" s="266"/>
      <c r="K12" s="266"/>
      <c r="L12" s="2046"/>
      <c r="M12" s="5917"/>
    </row>
    <row r="13" spans="1:27">
      <c r="A13" s="3982" t="s">
        <v>504</v>
      </c>
      <c r="B13" s="2547" t="s">
        <v>503</v>
      </c>
      <c r="C13" s="2540"/>
      <c r="D13" s="2540"/>
      <c r="E13" s="2541"/>
      <c r="F13" s="2542"/>
      <c r="G13" s="2542"/>
      <c r="H13" s="2542"/>
      <c r="I13" s="5882">
        <f t="shared" si="0"/>
        <v>0</v>
      </c>
      <c r="J13" s="266"/>
      <c r="K13" s="266"/>
      <c r="L13" s="2046"/>
      <c r="M13" s="5917"/>
    </row>
    <row r="14" spans="1:27">
      <c r="A14" s="3982" t="s">
        <v>505</v>
      </c>
      <c r="B14" s="2548"/>
      <c r="C14" s="2540"/>
      <c r="D14" s="2540"/>
      <c r="E14" s="2541"/>
      <c r="F14" s="2542"/>
      <c r="G14" s="2542"/>
      <c r="H14" s="2542"/>
      <c r="I14" s="5882">
        <f t="shared" si="0"/>
        <v>0</v>
      </c>
      <c r="J14" s="266"/>
      <c r="K14" s="266"/>
      <c r="L14" s="2046"/>
      <c r="M14" s="5917"/>
    </row>
    <row r="15" spans="1:27">
      <c r="A15" s="3982" t="s">
        <v>506</v>
      </c>
      <c r="B15" s="2548"/>
      <c r="C15" s="2540"/>
      <c r="D15" s="2540"/>
      <c r="E15" s="2541"/>
      <c r="F15" s="2542"/>
      <c r="G15" s="2542"/>
      <c r="H15" s="2542"/>
      <c r="I15" s="5882">
        <f t="shared" si="0"/>
        <v>0</v>
      </c>
      <c r="J15" s="266"/>
      <c r="K15" s="266"/>
      <c r="L15" s="2046"/>
      <c r="M15" s="5917"/>
    </row>
    <row r="16" spans="1:27">
      <c r="A16" s="3982" t="s">
        <v>507</v>
      </c>
      <c r="B16" s="2548"/>
      <c r="C16" s="2540"/>
      <c r="D16" s="2540"/>
      <c r="E16" s="2541"/>
      <c r="F16" s="2542"/>
      <c r="G16" s="2542"/>
      <c r="H16" s="2542"/>
      <c r="I16" s="5882">
        <f t="shared" si="0"/>
        <v>0</v>
      </c>
      <c r="J16" s="266"/>
      <c r="K16" s="266"/>
      <c r="L16" s="2046"/>
      <c r="M16" s="5917"/>
      <c r="O16" s="3217"/>
    </row>
    <row r="17" spans="1:27">
      <c r="A17" s="3967" t="s">
        <v>658</v>
      </c>
      <c r="B17" s="2547" t="s">
        <v>508</v>
      </c>
      <c r="C17" s="2540"/>
      <c r="D17" s="2540"/>
      <c r="E17" s="2541"/>
      <c r="F17" s="2542"/>
      <c r="G17" s="2542"/>
      <c r="H17" s="2542"/>
      <c r="I17" s="5882">
        <f t="shared" si="0"/>
        <v>0</v>
      </c>
      <c r="J17" s="266"/>
      <c r="K17" s="266"/>
      <c r="L17" s="2046"/>
      <c r="M17" s="5917"/>
    </row>
    <row r="18" spans="1:27">
      <c r="A18" s="3967" t="s">
        <v>661</v>
      </c>
      <c r="B18" s="2547" t="s">
        <v>402</v>
      </c>
      <c r="C18" s="2540"/>
      <c r="D18" s="2540"/>
      <c r="E18" s="2541"/>
      <c r="F18" s="2542"/>
      <c r="G18" s="2542"/>
      <c r="H18" s="2542"/>
      <c r="I18" s="5882">
        <f t="shared" si="0"/>
        <v>0</v>
      </c>
      <c r="J18" s="266"/>
      <c r="K18" s="266"/>
      <c r="L18" s="2046"/>
      <c r="M18" s="5917"/>
      <c r="O18" s="3217"/>
    </row>
    <row r="19" spans="1:27">
      <c r="A19" s="3967" t="s">
        <v>661</v>
      </c>
      <c r="B19" s="2544" t="s">
        <v>2019</v>
      </c>
      <c r="C19" s="2540"/>
      <c r="D19" s="2540"/>
      <c r="E19" s="2541"/>
      <c r="F19" s="2541"/>
      <c r="G19" s="2541"/>
      <c r="H19" s="2541"/>
      <c r="I19" s="5882">
        <f t="shared" si="0"/>
        <v>0</v>
      </c>
      <c r="J19" s="266"/>
      <c r="K19" s="266"/>
      <c r="L19" s="2046"/>
      <c r="M19" s="5917"/>
    </row>
    <row r="20" spans="1:27">
      <c r="A20" s="3967" t="s">
        <v>661</v>
      </c>
      <c r="B20" s="2549" t="s">
        <v>2020</v>
      </c>
      <c r="C20" s="2540"/>
      <c r="D20" s="2540"/>
      <c r="E20" s="2540"/>
      <c r="F20" s="2540"/>
      <c r="G20" s="2540"/>
      <c r="H20" s="2540"/>
      <c r="I20" s="5882">
        <f t="shared" si="0"/>
        <v>0</v>
      </c>
      <c r="J20" s="266"/>
      <c r="K20" s="266"/>
      <c r="L20" s="2046"/>
      <c r="M20" s="5917"/>
    </row>
    <row r="21" spans="1:27">
      <c r="A21" s="3967" t="s">
        <v>1105</v>
      </c>
      <c r="B21" s="2547" t="s">
        <v>509</v>
      </c>
      <c r="C21" s="2540"/>
      <c r="D21" s="2540"/>
      <c r="E21" s="2541"/>
      <c r="F21" s="2541"/>
      <c r="G21" s="2541"/>
      <c r="H21" s="2541"/>
      <c r="I21" s="5882">
        <f t="shared" si="0"/>
        <v>0</v>
      </c>
      <c r="J21" s="266"/>
      <c r="K21" s="266"/>
      <c r="L21" s="2046"/>
      <c r="M21" s="5917"/>
    </row>
    <row r="22" spans="1:27">
      <c r="A22" s="3967" t="s">
        <v>1107</v>
      </c>
      <c r="B22" s="2544" t="s">
        <v>3277</v>
      </c>
      <c r="C22" s="2540"/>
      <c r="D22" s="2540"/>
      <c r="E22" s="2541"/>
      <c r="F22" s="2542"/>
      <c r="G22" s="2542"/>
      <c r="H22" s="2542"/>
      <c r="I22" s="5882">
        <f>SUM(ROUND(C22,0),ROUND(D22,0),ROUND(E22,0),ROUND(F22,0),ROUND(G22,0),ROUND(H22,0))</f>
        <v>0</v>
      </c>
      <c r="J22" s="266"/>
      <c r="K22" s="266"/>
      <c r="L22" s="2046"/>
      <c r="M22" s="5917"/>
      <c r="N22" s="3381">
        <f>0.05*N3</f>
        <v>6500</v>
      </c>
      <c r="Z22" s="5936"/>
    </row>
    <row r="23" spans="1:27">
      <c r="A23" s="3967" t="s">
        <v>1109</v>
      </c>
      <c r="B23" s="2547" t="s">
        <v>510</v>
      </c>
      <c r="C23" s="2540"/>
      <c r="D23" s="2541"/>
      <c r="E23" s="2541"/>
      <c r="F23" s="2542"/>
      <c r="G23" s="2542"/>
      <c r="H23" s="2542"/>
      <c r="I23" s="5882">
        <f>SUM(ROUND(C23,0),ROUND(D23,0),ROUND(E23,0),ROUND(F23,0),ROUND(G23,0),ROUND(H23,0))</f>
        <v>0</v>
      </c>
      <c r="J23" s="266"/>
      <c r="K23" s="266"/>
      <c r="L23" s="2046"/>
      <c r="M23" s="5917"/>
    </row>
    <row r="24" spans="1:27">
      <c r="A24" s="3967" t="s">
        <v>1111</v>
      </c>
      <c r="B24" s="2550" t="s">
        <v>3278</v>
      </c>
      <c r="C24" s="2540"/>
      <c r="D24" s="2552"/>
      <c r="E24" s="2552"/>
      <c r="F24" s="2553"/>
      <c r="G24" s="2553"/>
      <c r="H24" s="2553"/>
      <c r="I24" s="5882">
        <f>SUM(ROUND(C24,0),ROUND(D24,0),ROUND(E24,0),ROUND(F24,0),ROUND(G24,0),ROUND(H24,0))</f>
        <v>0</v>
      </c>
      <c r="J24" s="2554"/>
      <c r="K24" s="266"/>
      <c r="L24" s="2046"/>
      <c r="M24" s="5918"/>
    </row>
    <row r="25" spans="1:27" hidden="1">
      <c r="B25" s="2555" t="s">
        <v>2602</v>
      </c>
      <c r="C25" s="3411">
        <f t="shared" ref="C25:H25" si="1">IF(AND(C6&lt;&gt;"",C6&lt;&gt;0),1,0)</f>
        <v>0</v>
      </c>
      <c r="D25" s="3411">
        <f t="shared" si="1"/>
        <v>0</v>
      </c>
      <c r="E25" s="3411">
        <f t="shared" si="1"/>
        <v>0</v>
      </c>
      <c r="F25" s="3411">
        <f t="shared" si="1"/>
        <v>0</v>
      </c>
      <c r="G25" s="3411">
        <f t="shared" si="1"/>
        <v>0</v>
      </c>
      <c r="H25" s="3411">
        <f t="shared" si="1"/>
        <v>0</v>
      </c>
      <c r="I25" s="3411">
        <f>SUM(C25:H25)</f>
        <v>0</v>
      </c>
      <c r="J25" s="1171"/>
      <c r="K25" s="266"/>
      <c r="L25" s="2046"/>
      <c r="M25" s="857"/>
    </row>
    <row r="26" spans="1:27" s="42" customFormat="1" ht="15" hidden="1" customHeight="1">
      <c r="A26" s="2076"/>
      <c r="B26" s="2555" t="str">
        <f>"Medicare wages and tip &gt; "&amp;TEXT('8959'!$H$24,"$0,000")</f>
        <v>Medicare wages and tip &gt; $200,000</v>
      </c>
      <c r="C26" s="2520" t="b">
        <f>IF(C7&gt;'8959'!$H$24,TRUE,FALSE)</f>
        <v>0</v>
      </c>
      <c r="D26" s="2520" t="b">
        <f>IF(D7&gt;'8959'!$H$24,TRUE,FALSE)</f>
        <v>0</v>
      </c>
      <c r="E26" s="2520" t="b">
        <f>IF(E7&gt;'8959'!$H$24,TRUE,FALSE)</f>
        <v>0</v>
      </c>
      <c r="F26" s="2520" t="b">
        <f>IF(F7&gt;'8959'!$H$24,TRUE,FALSE)</f>
        <v>0</v>
      </c>
      <c r="G26" s="2520" t="b">
        <f>IF(G7&gt;'8959'!$H$24,TRUE,FALSE)</f>
        <v>0</v>
      </c>
      <c r="H26" s="2520" t="b">
        <f>IF(H7&gt;'8959'!$H$24,TRUE,FALSE)</f>
        <v>0</v>
      </c>
      <c r="I26" s="2556"/>
      <c r="J26" s="2556"/>
      <c r="K26" s="321"/>
      <c r="L26" s="2533"/>
      <c r="M26" s="489"/>
      <c r="N26" s="1286"/>
      <c r="O26" s="3013"/>
      <c r="P26" s="2595"/>
      <c r="Q26" s="2595"/>
      <c r="R26" s="2595"/>
      <c r="S26" s="2595"/>
      <c r="T26" s="2595"/>
      <c r="U26" s="2595"/>
      <c r="V26" s="2595"/>
      <c r="W26" s="2595"/>
      <c r="X26" s="2595"/>
      <c r="Y26" s="2595"/>
      <c r="Z26" s="5935"/>
      <c r="AA26" s="867"/>
    </row>
    <row r="27" spans="1:27" s="42" customFormat="1" ht="15" hidden="1" customHeight="1">
      <c r="A27" s="2076"/>
      <c r="B27" s="2555" t="str">
        <f>"RRTA &gt; "&amp;TEXT('8959'!$H$24,"$0,000")</f>
        <v>RRTA &gt; $200,000</v>
      </c>
      <c r="C27" s="2520" t="b">
        <f>IF(C19&gt;'8959'!$H$24,TRUE,FALSE)</f>
        <v>0</v>
      </c>
      <c r="D27" s="2520" t="b">
        <f>IF(D19&gt;'8959'!$H$24,TRUE,FALSE)</f>
        <v>0</v>
      </c>
      <c r="E27" s="2520" t="b">
        <f>IF(E19&gt;'8959'!$H$24,TRUE,FALSE)</f>
        <v>0</v>
      </c>
      <c r="F27" s="2520" t="b">
        <f>IF(F19&gt;'8959'!$H$24,TRUE,FALSE)</f>
        <v>0</v>
      </c>
      <c r="G27" s="2520" t="b">
        <f>IF(G19&gt;'8959'!$H$24,TRUE,FALSE)</f>
        <v>0</v>
      </c>
      <c r="H27" s="2520" t="b">
        <f>IF(H19&gt;'8959'!$H$24,TRUE,FALSE)</f>
        <v>0</v>
      </c>
      <c r="I27" s="2520"/>
      <c r="J27" s="2556"/>
      <c r="K27" s="321"/>
      <c r="L27" s="2533"/>
      <c r="M27" s="489"/>
      <c r="N27" s="1286"/>
      <c r="O27" s="3013"/>
      <c r="P27" s="2595"/>
      <c r="Q27" s="2595"/>
      <c r="R27" s="2595"/>
      <c r="S27" s="2595"/>
      <c r="T27" s="2595"/>
      <c r="U27" s="2595"/>
      <c r="V27" s="2595"/>
      <c r="W27" s="2595"/>
      <c r="X27" s="2595"/>
      <c r="Y27" s="2595"/>
      <c r="Z27" s="5935"/>
      <c r="AA27" s="867"/>
    </row>
    <row r="28" spans="1:27" s="42" customFormat="1" ht="15" customHeight="1">
      <c r="A28" s="2076"/>
      <c r="B28" s="2556"/>
      <c r="C28" s="907" t="str">
        <f>IF(AND(I6&gt;MaxSSTax,EmployerCountYou=1),"Notify your employer that they withheld "&amp;TEXT(SUM(I6,-MaxSSTax),"$0.00")&amp;" too much Social Security Tax or file Form 843, Claim for Refund and Request for Abatement.","")</f>
        <v/>
      </c>
      <c r="D28" s="2556"/>
      <c r="E28" s="2556"/>
      <c r="F28" s="2556"/>
      <c r="G28" s="2556"/>
      <c r="H28" s="2556"/>
      <c r="I28" s="2556"/>
      <c r="J28" s="2556"/>
      <c r="K28" s="321"/>
      <c r="L28" s="2533"/>
      <c r="M28" s="489"/>
      <c r="N28" s="1286"/>
      <c r="O28" s="3013"/>
      <c r="P28" s="2595"/>
      <c r="Q28" s="2595"/>
      <c r="R28" s="2595"/>
      <c r="S28" s="2595"/>
      <c r="T28" s="2595"/>
      <c r="U28" s="2595"/>
      <c r="V28" s="2595"/>
      <c r="W28" s="2595"/>
      <c r="X28" s="2595"/>
      <c r="Y28" s="2595"/>
      <c r="Z28" s="5935"/>
      <c r="AA28" s="867"/>
    </row>
    <row r="29" spans="1:27" s="42" customFormat="1" ht="15" customHeight="1" thickBot="1">
      <c r="A29" s="2076"/>
      <c r="B29" s="2130" t="str">
        <f>IF(OR(AND(C7="",C8&lt;&gt;""),AND(D7="",D8&lt;&gt;""),AND(E7="",E8&lt;&gt;""),AND(F7="",F8&lt;&gt;"")),"CAUTION:  Entering an amount into Line 6 without entering an amount into Line 5 will result in a tax calculation error.","")</f>
        <v/>
      </c>
      <c r="C29" s="2130"/>
      <c r="D29" s="48"/>
      <c r="E29" s="48"/>
      <c r="F29" s="48"/>
      <c r="G29" s="48"/>
      <c r="H29" s="48"/>
      <c r="I29" s="48"/>
      <c r="J29" s="48"/>
      <c r="K29" s="321"/>
      <c r="L29" s="2533"/>
      <c r="M29" s="489"/>
      <c r="N29" s="1286"/>
      <c r="O29" s="3013"/>
      <c r="P29" s="2595"/>
      <c r="Q29" s="2595"/>
      <c r="R29" s="2595"/>
      <c r="S29" s="2595"/>
      <c r="T29" s="2595"/>
      <c r="U29" s="2595"/>
      <c r="V29" s="2595"/>
      <c r="W29" s="2595"/>
      <c r="X29" s="2595"/>
      <c r="Y29" s="2595"/>
      <c r="Z29" s="5935"/>
      <c r="AA29" s="867"/>
    </row>
    <row r="30" spans="1:27" ht="42" customHeight="1" thickTop="1">
      <c r="A30" s="2423"/>
      <c r="B30" s="2445" t="s">
        <v>1990</v>
      </c>
      <c r="C30" s="2557"/>
      <c r="D30" s="2558"/>
      <c r="E30" s="2559"/>
      <c r="F30" s="2558"/>
      <c r="G30" s="2558"/>
      <c r="H30" s="2558"/>
      <c r="I30" s="2558"/>
      <c r="J30" s="2558"/>
      <c r="K30" s="2558"/>
      <c r="L30" s="1007"/>
      <c r="M30" s="2528"/>
      <c r="N30" s="5919"/>
    </row>
    <row r="31" spans="1:27" ht="36.75" customHeight="1">
      <c r="A31" s="48"/>
      <c r="B31" s="2422" t="str">
        <f>IF(Name_1st_Sp="","Enter your spouse's name on"&amp;CHAR(10)&amp;"the sheet labeled '1040'",NameSpouse)</f>
        <v>Enter your spouse's name on
the sheet labeled '1040'</v>
      </c>
      <c r="C31" s="5811" t="s">
        <v>1188</v>
      </c>
      <c r="D31" s="5812" t="s">
        <v>239</v>
      </c>
      <c r="E31" s="5812" t="s">
        <v>240</v>
      </c>
      <c r="F31" s="5812" t="s">
        <v>201</v>
      </c>
      <c r="G31" s="5811" t="s">
        <v>2279</v>
      </c>
      <c r="H31" s="5811" t="s">
        <v>2280</v>
      </c>
      <c r="I31" s="2560" t="s">
        <v>202</v>
      </c>
      <c r="J31" s="2560" t="s">
        <v>203</v>
      </c>
      <c r="K31" s="321"/>
      <c r="L31" s="2565" t="s">
        <v>1935</v>
      </c>
      <c r="M31" s="489"/>
      <c r="N31" s="5921"/>
    </row>
    <row r="32" spans="1:27" ht="18" customHeight="1">
      <c r="A32" s="3966" t="s">
        <v>148</v>
      </c>
      <c r="B32" s="1031" t="s">
        <v>163</v>
      </c>
      <c r="C32" s="2535"/>
      <c r="D32" s="2535"/>
      <c r="E32" s="2536"/>
      <c r="F32" s="2537"/>
      <c r="G32" s="2537"/>
      <c r="H32" s="2537"/>
      <c r="I32" s="5881">
        <f>SUM(ROUND(C32,0),ROUND(D32,0),ROUND(E32,0),ROUND(F32,0),ROUND(G32,0),ROUND(H32,0))</f>
        <v>0</v>
      </c>
      <c r="J32" s="2538"/>
      <c r="K32" s="2538"/>
      <c r="L32" s="2539"/>
      <c r="M32" s="2561"/>
      <c r="N32" s="5922"/>
    </row>
    <row r="33" spans="1:14">
      <c r="A33" s="3967" t="s">
        <v>149</v>
      </c>
      <c r="B33" s="1031" t="s">
        <v>164</v>
      </c>
      <c r="C33" s="2540"/>
      <c r="D33" s="2540"/>
      <c r="E33" s="2541"/>
      <c r="F33" s="2542"/>
      <c r="G33" s="2542"/>
      <c r="H33" s="2542"/>
      <c r="I33" s="5882">
        <f t="shared" ref="I33:I50" si="2">SUM(ROUND(C33,0),ROUND(D33,0),ROUND(E33,0),ROUND(F33,0),ROUND(G33,0),ROUND(H33,0))</f>
        <v>0</v>
      </c>
      <c r="J33" s="2538"/>
      <c r="K33" s="2538"/>
      <c r="L33" s="2562"/>
      <c r="M33" s="857"/>
      <c r="N33" s="5920"/>
    </row>
    <row r="34" spans="1:14">
      <c r="A34" s="3967" t="s">
        <v>150</v>
      </c>
      <c r="B34" s="2544" t="s">
        <v>307</v>
      </c>
      <c r="C34" s="2540"/>
      <c r="D34" s="2540"/>
      <c r="E34" s="2541"/>
      <c r="F34" s="2542"/>
      <c r="G34" s="2542"/>
      <c r="H34" s="2542"/>
      <c r="I34" s="5882">
        <f t="shared" si="2"/>
        <v>0</v>
      </c>
      <c r="J34" s="266"/>
      <c r="K34" s="266"/>
      <c r="L34" s="2534" t="s">
        <v>2598</v>
      </c>
      <c r="M34" s="857"/>
      <c r="N34" s="5920"/>
    </row>
    <row r="35" spans="1:14">
      <c r="A35" s="3967" t="s">
        <v>151</v>
      </c>
      <c r="B35" s="2544" t="s">
        <v>308</v>
      </c>
      <c r="C35" s="2540"/>
      <c r="D35" s="2540"/>
      <c r="E35" s="2541"/>
      <c r="F35" s="2542"/>
      <c r="G35" s="2542"/>
      <c r="H35" s="2542"/>
      <c r="I35" s="5883">
        <f>SUM(C35:H35)</f>
        <v>0</v>
      </c>
      <c r="J35" s="266">
        <f>IF(EmployerCountSpouse&lt;2,0,IF(AND(EmployerCountSpouse&gt;1,SUM(I35,-MaxSSTax)&gt;0),SUM(I35,-MaxSSTax),0))</f>
        <v>0</v>
      </c>
      <c r="K35" s="266"/>
      <c r="L35" s="2563"/>
      <c r="M35" s="2545"/>
      <c r="N35" s="5920"/>
    </row>
    <row r="36" spans="1:14">
      <c r="A36" s="3967" t="s">
        <v>200</v>
      </c>
      <c r="B36" s="2544" t="s">
        <v>309</v>
      </c>
      <c r="C36" s="2540"/>
      <c r="D36" s="2540"/>
      <c r="E36" s="2541"/>
      <c r="F36" s="2542"/>
      <c r="G36" s="2542"/>
      <c r="H36" s="2542"/>
      <c r="I36" s="5882">
        <f t="shared" si="2"/>
        <v>0</v>
      </c>
      <c r="J36" s="266"/>
      <c r="K36" s="266"/>
      <c r="L36" s="2563"/>
      <c r="M36" s="857"/>
      <c r="N36" s="5920"/>
    </row>
    <row r="37" spans="1:14">
      <c r="A37" s="3967" t="s">
        <v>101</v>
      </c>
      <c r="B37" s="2544" t="s">
        <v>310</v>
      </c>
      <c r="C37" s="2540"/>
      <c r="D37" s="2540"/>
      <c r="E37" s="2540"/>
      <c r="F37" s="2540"/>
      <c r="G37" s="2540"/>
      <c r="H37" s="2540"/>
      <c r="I37" s="5882">
        <f t="shared" si="2"/>
        <v>0</v>
      </c>
      <c r="J37" s="42"/>
      <c r="K37" s="42"/>
      <c r="L37" s="2546" t="s">
        <v>708</v>
      </c>
      <c r="M37" s="857"/>
      <c r="N37" s="5920"/>
    </row>
    <row r="38" spans="1:14">
      <c r="A38" s="3967" t="s">
        <v>102</v>
      </c>
      <c r="B38" s="2544" t="s">
        <v>499</v>
      </c>
      <c r="C38" s="2540"/>
      <c r="D38" s="2540"/>
      <c r="E38" s="2541"/>
      <c r="F38" s="2542"/>
      <c r="G38" s="2542"/>
      <c r="H38" s="2542"/>
      <c r="I38" s="5882">
        <f t="shared" si="2"/>
        <v>0</v>
      </c>
      <c r="J38" s="266"/>
      <c r="K38" s="266"/>
      <c r="L38" s="2534" t="s">
        <v>2598</v>
      </c>
      <c r="M38" s="857"/>
      <c r="N38" s="5920"/>
    </row>
    <row r="39" spans="1:14">
      <c r="A39" s="3967" t="s">
        <v>103</v>
      </c>
      <c r="B39" s="2547" t="s">
        <v>500</v>
      </c>
      <c r="C39" s="2540"/>
      <c r="D39" s="2540"/>
      <c r="E39" s="2541"/>
      <c r="F39" s="2542"/>
      <c r="G39" s="2542"/>
      <c r="H39" s="2542"/>
      <c r="I39" s="5882">
        <f t="shared" si="2"/>
        <v>0</v>
      </c>
      <c r="J39" s="266"/>
      <c r="K39" s="266"/>
      <c r="L39" s="2046"/>
      <c r="M39" s="857"/>
      <c r="N39" s="5920"/>
    </row>
    <row r="40" spans="1:14">
      <c r="A40" s="3967" t="s">
        <v>105</v>
      </c>
      <c r="B40" s="2544" t="s">
        <v>501</v>
      </c>
      <c r="C40" s="2540"/>
      <c r="D40" s="2540"/>
      <c r="E40" s="2541"/>
      <c r="F40" s="2542"/>
      <c r="G40" s="2542"/>
      <c r="H40" s="2542"/>
      <c r="I40" s="5882">
        <f t="shared" si="2"/>
        <v>0</v>
      </c>
      <c r="J40" s="266"/>
      <c r="K40" s="266"/>
      <c r="L40" s="2046"/>
      <c r="M40" s="857"/>
      <c r="N40" s="5920"/>
    </row>
    <row r="41" spans="1:14">
      <c r="A41" s="3967" t="s">
        <v>657</v>
      </c>
      <c r="B41" s="2547" t="s">
        <v>502</v>
      </c>
      <c r="C41" s="2540"/>
      <c r="D41" s="2540"/>
      <c r="E41" s="2541"/>
      <c r="F41" s="2542"/>
      <c r="G41" s="2542"/>
      <c r="H41" s="2542"/>
      <c r="I41" s="5882">
        <f t="shared" si="2"/>
        <v>0</v>
      </c>
      <c r="J41" s="266"/>
      <c r="K41" s="266"/>
      <c r="L41" s="2046"/>
      <c r="M41" s="857"/>
      <c r="N41" s="5920"/>
    </row>
    <row r="42" spans="1:14">
      <c r="A42" s="3982" t="s">
        <v>504</v>
      </c>
      <c r="B42" s="2547" t="s">
        <v>503</v>
      </c>
      <c r="C42" s="2540"/>
      <c r="D42" s="2540"/>
      <c r="E42" s="2541"/>
      <c r="F42" s="2542"/>
      <c r="G42" s="2542"/>
      <c r="H42" s="2542"/>
      <c r="I42" s="5882">
        <f t="shared" si="2"/>
        <v>0</v>
      </c>
      <c r="J42" s="266"/>
      <c r="K42" s="266"/>
      <c r="L42" s="2046"/>
      <c r="M42" s="857"/>
      <c r="N42" s="5920"/>
    </row>
    <row r="43" spans="1:14">
      <c r="A43" s="3982" t="s">
        <v>505</v>
      </c>
      <c r="B43" s="2548"/>
      <c r="C43" s="2540"/>
      <c r="D43" s="2540"/>
      <c r="E43" s="2541"/>
      <c r="F43" s="2542"/>
      <c r="G43" s="2542"/>
      <c r="H43" s="2542"/>
      <c r="I43" s="5882">
        <f t="shared" si="2"/>
        <v>0</v>
      </c>
      <c r="J43" s="266"/>
      <c r="K43" s="266"/>
      <c r="L43" s="2046"/>
      <c r="M43" s="857"/>
      <c r="N43" s="5920"/>
    </row>
    <row r="44" spans="1:14">
      <c r="A44" s="3982" t="s">
        <v>506</v>
      </c>
      <c r="B44" s="2548"/>
      <c r="C44" s="2540"/>
      <c r="D44" s="2540"/>
      <c r="E44" s="2541"/>
      <c r="F44" s="2542"/>
      <c r="G44" s="2542"/>
      <c r="H44" s="2542"/>
      <c r="I44" s="5882">
        <f t="shared" si="2"/>
        <v>0</v>
      </c>
      <c r="J44" s="266"/>
      <c r="K44" s="266"/>
      <c r="L44" s="2046"/>
      <c r="M44" s="857"/>
      <c r="N44" s="5920"/>
    </row>
    <row r="45" spans="1:14">
      <c r="A45" s="3982" t="s">
        <v>507</v>
      </c>
      <c r="B45" s="2548"/>
      <c r="C45" s="2540"/>
      <c r="D45" s="2540"/>
      <c r="E45" s="2541"/>
      <c r="F45" s="2542"/>
      <c r="G45" s="2542"/>
      <c r="H45" s="2542"/>
      <c r="I45" s="5882">
        <f t="shared" si="2"/>
        <v>0</v>
      </c>
      <c r="J45" s="266"/>
      <c r="K45" s="266"/>
      <c r="L45" s="2046"/>
      <c r="M45" s="857"/>
      <c r="N45" s="5920"/>
    </row>
    <row r="46" spans="1:14">
      <c r="A46" s="3967" t="s">
        <v>658</v>
      </c>
      <c r="B46" s="2547" t="s">
        <v>508</v>
      </c>
      <c r="C46" s="2540"/>
      <c r="D46" s="2540"/>
      <c r="E46" s="2541"/>
      <c r="F46" s="2542"/>
      <c r="G46" s="2542"/>
      <c r="H46" s="2542"/>
      <c r="I46" s="5882">
        <f t="shared" si="2"/>
        <v>0</v>
      </c>
      <c r="J46" s="266"/>
      <c r="K46" s="266"/>
      <c r="L46" s="2046"/>
      <c r="M46" s="857"/>
      <c r="N46" s="5920"/>
    </row>
    <row r="47" spans="1:14">
      <c r="A47" s="3967" t="s">
        <v>661</v>
      </c>
      <c r="B47" s="2547" t="s">
        <v>402</v>
      </c>
      <c r="C47" s="2540"/>
      <c r="D47" s="2540"/>
      <c r="E47" s="2541"/>
      <c r="F47" s="2542"/>
      <c r="G47" s="2542"/>
      <c r="H47" s="2542"/>
      <c r="I47" s="5882">
        <f t="shared" si="2"/>
        <v>0</v>
      </c>
      <c r="J47" s="266"/>
      <c r="K47" s="266"/>
      <c r="L47" s="2046"/>
      <c r="M47" s="857"/>
      <c r="N47" s="5920"/>
    </row>
    <row r="48" spans="1:14">
      <c r="A48" s="3967" t="s">
        <v>661</v>
      </c>
      <c r="B48" s="2544" t="s">
        <v>2019</v>
      </c>
      <c r="C48" s="2540"/>
      <c r="D48" s="2540"/>
      <c r="E48" s="2541"/>
      <c r="F48" s="2542"/>
      <c r="G48" s="2542"/>
      <c r="H48" s="2542"/>
      <c r="I48" s="5882">
        <f t="shared" si="2"/>
        <v>0</v>
      </c>
      <c r="J48" s="266"/>
      <c r="K48" s="266"/>
      <c r="L48" s="2046"/>
      <c r="M48" s="857"/>
      <c r="N48" s="5920"/>
    </row>
    <row r="49" spans="1:27">
      <c r="A49" s="3967" t="s">
        <v>661</v>
      </c>
      <c r="B49" s="2549" t="s">
        <v>2020</v>
      </c>
      <c r="C49" s="2540"/>
      <c r="D49" s="2540"/>
      <c r="E49" s="2541"/>
      <c r="F49" s="2542"/>
      <c r="G49" s="2542"/>
      <c r="H49" s="2542"/>
      <c r="I49" s="5882">
        <f t="shared" si="2"/>
        <v>0</v>
      </c>
      <c r="J49" s="266"/>
      <c r="K49" s="266"/>
      <c r="L49" s="2046"/>
      <c r="M49" s="857"/>
      <c r="N49" s="5920"/>
    </row>
    <row r="50" spans="1:27">
      <c r="A50" s="3967" t="s">
        <v>1105</v>
      </c>
      <c r="B50" s="2547" t="s">
        <v>509</v>
      </c>
      <c r="C50" s="2540"/>
      <c r="D50" s="2540"/>
      <c r="E50" s="2541"/>
      <c r="F50" s="2542"/>
      <c r="G50" s="2542"/>
      <c r="H50" s="2542"/>
      <c r="I50" s="5882">
        <f t="shared" si="2"/>
        <v>0</v>
      </c>
      <c r="J50" s="266"/>
      <c r="K50" s="266"/>
      <c r="L50" s="2046"/>
      <c r="M50" s="857"/>
      <c r="N50" s="5920"/>
    </row>
    <row r="51" spans="1:27">
      <c r="A51" s="3967" t="s">
        <v>1107</v>
      </c>
      <c r="B51" s="2544" t="s">
        <v>3277</v>
      </c>
      <c r="C51" s="2540"/>
      <c r="D51" s="2540"/>
      <c r="E51" s="2541"/>
      <c r="F51" s="2542"/>
      <c r="G51" s="2542"/>
      <c r="H51" s="2542"/>
      <c r="I51" s="5882">
        <f>SUM(ROUND(C51,0),ROUND(D51,0),ROUND(E51,0),ROUND(F51,0),ROUND(G51,0),ROUND(H51,0))</f>
        <v>0</v>
      </c>
      <c r="J51" s="42"/>
      <c r="K51" s="42"/>
      <c r="L51" s="2046"/>
      <c r="M51" s="857"/>
      <c r="N51" s="5920"/>
    </row>
    <row r="52" spans="1:27">
      <c r="A52" s="3967" t="s">
        <v>1109</v>
      </c>
      <c r="B52" s="2547" t="s">
        <v>510</v>
      </c>
      <c r="C52" s="2540"/>
      <c r="D52" s="2541"/>
      <c r="E52" s="2541"/>
      <c r="F52" s="2542"/>
      <c r="G52" s="2542"/>
      <c r="H52" s="2542"/>
      <c r="I52" s="5882">
        <f>SUM(ROUND(C52,0),ROUND(D52,0),ROUND(E52,0),ROUND(F52,0),ROUND(G52,0),ROUND(H52,0))</f>
        <v>0</v>
      </c>
      <c r="J52" s="266"/>
      <c r="K52" s="266"/>
      <c r="L52" s="2046"/>
      <c r="M52" s="857"/>
      <c r="N52" s="5920"/>
    </row>
    <row r="53" spans="1:27">
      <c r="A53" s="3967" t="s">
        <v>1111</v>
      </c>
      <c r="B53" s="2550" t="s">
        <v>3278</v>
      </c>
      <c r="C53" s="2551"/>
      <c r="D53" s="2552"/>
      <c r="E53" s="2552"/>
      <c r="F53" s="2553"/>
      <c r="G53" s="2553"/>
      <c r="H53" s="2553"/>
      <c r="I53" s="5882">
        <f>SUM(ROUND(C53,0),ROUND(D53,0),ROUND(E53,0),ROUND(F53,0),ROUND(G53,0),ROUND(H53,0))</f>
        <v>0</v>
      </c>
      <c r="J53" s="2554"/>
      <c r="K53" s="266"/>
      <c r="L53" s="2046"/>
      <c r="M53" s="857"/>
      <c r="N53" s="5920"/>
    </row>
    <row r="54" spans="1:27" hidden="1">
      <c r="B54" s="2555" t="s">
        <v>2603</v>
      </c>
      <c r="C54" s="3411">
        <f t="shared" ref="C54:H54" si="3">IF(AND(C35&lt;&gt;"",C35&lt;&gt;0),1,0)</f>
        <v>0</v>
      </c>
      <c r="D54" s="3411">
        <f t="shared" si="3"/>
        <v>0</v>
      </c>
      <c r="E54" s="3411">
        <f t="shared" si="3"/>
        <v>0</v>
      </c>
      <c r="F54" s="3411">
        <f t="shared" si="3"/>
        <v>0</v>
      </c>
      <c r="G54" s="3411">
        <f t="shared" si="3"/>
        <v>0</v>
      </c>
      <c r="H54" s="3411">
        <f t="shared" si="3"/>
        <v>0</v>
      </c>
      <c r="I54" s="3411">
        <f>SUM(C54:H54)</f>
        <v>0</v>
      </c>
      <c r="J54" s="1171"/>
      <c r="K54" s="266"/>
      <c r="L54" s="2046"/>
      <c r="M54" s="857"/>
      <c r="N54" s="5920"/>
    </row>
    <row r="55" spans="1:27" s="42" customFormat="1" ht="15" hidden="1" customHeight="1">
      <c r="A55" s="2076"/>
      <c r="B55" s="2555" t="str">
        <f>"Medicare wages and tip &gt; "&amp;TEXT('8959'!$H$24,"$0,000")</f>
        <v>Medicare wages and tip &gt; $200,000</v>
      </c>
      <c r="C55" s="2520" t="b">
        <f>IF(C36&gt;'8959'!$H$24,TRUE,FALSE)</f>
        <v>0</v>
      </c>
      <c r="D55" s="2520" t="b">
        <f>IF(D36&gt;'8959'!$H$24,TRUE,FALSE)</f>
        <v>0</v>
      </c>
      <c r="E55" s="2520" t="b">
        <f>IF(E36&gt;'8959'!$H$24,TRUE,FALSE)</f>
        <v>0</v>
      </c>
      <c r="F55" s="2520" t="b">
        <f>IF(F36&gt;'8959'!$H$24,TRUE,FALSE)</f>
        <v>0</v>
      </c>
      <c r="G55" s="2520" t="b">
        <f>IF(G36&gt;'8959'!$H$24,TRUE,FALSE)</f>
        <v>0</v>
      </c>
      <c r="H55" s="2520" t="b">
        <f>IF(H36&gt;'8959'!$H$24,TRUE,FALSE)</f>
        <v>0</v>
      </c>
      <c r="I55" s="2520" t="b">
        <f>OR(C26:H26,C55:H55)</f>
        <v>0</v>
      </c>
      <c r="J55" s="2556"/>
      <c r="K55" s="321"/>
      <c r="L55" s="2533"/>
      <c r="M55" s="489"/>
      <c r="N55" s="5921"/>
      <c r="O55" s="3013"/>
      <c r="P55" s="2595"/>
      <c r="Q55" s="2595"/>
      <c r="R55" s="2595"/>
      <c r="S55" s="2595"/>
      <c r="T55" s="2595"/>
      <c r="U55" s="2595"/>
      <c r="V55" s="2595"/>
      <c r="W55" s="2595"/>
      <c r="X55" s="2595"/>
      <c r="Y55" s="2595"/>
      <c r="Z55" s="5935"/>
      <c r="AA55" s="867"/>
    </row>
    <row r="56" spans="1:27" s="42" customFormat="1" ht="15" hidden="1" customHeight="1">
      <c r="A56" s="2076"/>
      <c r="B56" s="2555" t="str">
        <f>"RRTA &gt; "&amp;TEXT('8959'!$H$24,"$0,000")</f>
        <v>RRTA &gt; $200,000</v>
      </c>
      <c r="C56" s="2520" t="b">
        <f>IF(C48&gt;'8959'!$H$24,TRUE,FALSE)</f>
        <v>0</v>
      </c>
      <c r="D56" s="2520" t="b">
        <f>IF(D48&gt;'8959'!$H$24,TRUE,FALSE)</f>
        <v>0</v>
      </c>
      <c r="E56" s="2520" t="b">
        <f>IF(E48&gt;'8959'!$H$24,TRUE,FALSE)</f>
        <v>0</v>
      </c>
      <c r="F56" s="2520" t="b">
        <f>IF(F48&gt;'8959'!$H$24,TRUE,FALSE)</f>
        <v>0</v>
      </c>
      <c r="G56" s="2520" t="b">
        <f>IF(G48&gt;'8959'!$H$24,TRUE,FALSE)</f>
        <v>0</v>
      </c>
      <c r="H56" s="2520" t="b">
        <f>IF(H48&gt;'8959'!$H$24,TRUE,FALSE)</f>
        <v>0</v>
      </c>
      <c r="I56" s="2520" t="b">
        <f>OR(C27:H27,C56:H56)</f>
        <v>0</v>
      </c>
      <c r="J56" s="2556"/>
      <c r="K56" s="321"/>
      <c r="L56" s="2533"/>
      <c r="M56" s="489"/>
      <c r="N56" s="5921"/>
      <c r="O56" s="3013"/>
      <c r="P56" s="2595"/>
      <c r="Q56" s="2595"/>
      <c r="R56" s="2595"/>
      <c r="S56" s="2595"/>
      <c r="T56" s="2595"/>
      <c r="U56" s="2595"/>
      <c r="V56" s="2595"/>
      <c r="W56" s="2595"/>
      <c r="X56" s="2595"/>
      <c r="Y56" s="2595"/>
      <c r="Z56" s="5935"/>
      <c r="AA56" s="867"/>
    </row>
    <row r="57" spans="1:27" s="42" customFormat="1" ht="15" customHeight="1">
      <c r="A57" s="2076"/>
      <c r="B57" s="2556"/>
      <c r="C57" s="907" t="str">
        <f>IF(AND(I35&gt;MaxSSTax,EmployerCountSpouse=1),"Notify your employer that they withheld "&amp;TEXT(SUM(I35,-MaxSSTax),"$0.00")&amp;" too much Social Security Tax or file Form 843, Claim for Refund and Request for Abatement.","")</f>
        <v/>
      </c>
      <c r="D57" s="2556"/>
      <c r="E57" s="2556"/>
      <c r="F57" s="2556"/>
      <c r="G57" s="2556"/>
      <c r="H57" s="2556"/>
      <c r="I57" s="2556"/>
      <c r="J57" s="2556"/>
      <c r="K57" s="321"/>
      <c r="L57" s="2533"/>
      <c r="M57" s="489"/>
      <c r="N57" s="5921"/>
      <c r="O57" s="3013"/>
      <c r="P57" s="2595"/>
      <c r="Q57" s="2595"/>
      <c r="R57" s="2595"/>
      <c r="S57" s="2595"/>
      <c r="T57" s="2595"/>
      <c r="U57" s="2595"/>
      <c r="V57" s="2595"/>
      <c r="W57" s="2595"/>
      <c r="X57" s="2595"/>
      <c r="Y57" s="2595"/>
      <c r="Z57" s="5935"/>
      <c r="AA57" s="867"/>
    </row>
    <row r="58" spans="1:27" s="42" customFormat="1" ht="15" customHeight="1">
      <c r="A58" s="2076"/>
      <c r="B58" s="2130" t="str">
        <f>IF(OR(AND(C36="",C37&lt;&gt;""),AND(D36="",D37&lt;&gt;""),AND(E36="",E37&lt;&gt;""),AND(F36="",F37&lt;&gt;"")),"CAUTION:  Entering an amount into Line 6 without entering an amount into Line 5 will resutl in a tax calculation error.","")</f>
        <v/>
      </c>
      <c r="C58" s="2130"/>
      <c r="D58" s="48"/>
      <c r="E58" s="48"/>
      <c r="F58" s="48"/>
      <c r="G58" s="48"/>
      <c r="H58" s="48"/>
      <c r="I58" s="48"/>
      <c r="J58" s="2725"/>
      <c r="K58" s="321"/>
      <c r="L58" s="2533"/>
      <c r="M58" s="489"/>
      <c r="N58" s="5921"/>
      <c r="O58" s="3013"/>
      <c r="P58" s="2595"/>
      <c r="Q58" s="2595"/>
      <c r="R58" s="2595"/>
      <c r="S58" s="2595"/>
      <c r="T58" s="2595"/>
      <c r="U58" s="2595"/>
      <c r="V58" s="2595"/>
      <c r="W58" s="2595"/>
      <c r="X58" s="2595"/>
      <c r="Y58" s="2595"/>
      <c r="Z58" s="5935"/>
      <c r="AA58" s="867"/>
    </row>
    <row r="59" spans="1:27" ht="33" customHeight="1">
      <c r="A59" s="2076"/>
      <c r="B59" s="2564" t="s">
        <v>465</v>
      </c>
      <c r="C59" s="2560" t="s">
        <v>465</v>
      </c>
      <c r="D59" s="2565" t="s">
        <v>1935</v>
      </c>
      <c r="E59" s="2565"/>
      <c r="F59" s="2560"/>
      <c r="G59" s="2560"/>
      <c r="H59" s="2560"/>
      <c r="I59" s="2560"/>
      <c r="J59" s="2920" t="s">
        <v>1941</v>
      </c>
      <c r="K59" s="2921"/>
      <c r="L59" s="2565" t="s">
        <v>1935</v>
      </c>
      <c r="M59" s="2566"/>
      <c r="N59" s="5920"/>
    </row>
    <row r="60" spans="1:27" ht="18" customHeight="1">
      <c r="A60" s="3966" t="s">
        <v>148</v>
      </c>
      <c r="B60" s="1031" t="s">
        <v>163</v>
      </c>
      <c r="C60" s="5884">
        <f t="shared" ref="C60:C81" si="4">SUM(I3,I32)</f>
        <v>0</v>
      </c>
      <c r="D60" s="3413" t="s">
        <v>2607</v>
      </c>
      <c r="E60" s="4444"/>
      <c r="F60" s="2567"/>
      <c r="G60" s="2567"/>
      <c r="H60" s="2567"/>
      <c r="I60" s="2568"/>
      <c r="J60" s="2538"/>
      <c r="K60" s="2538"/>
      <c r="L60" s="2562"/>
      <c r="M60" s="857"/>
      <c r="N60" s="5920"/>
    </row>
    <row r="61" spans="1:27">
      <c r="A61" s="3967" t="s">
        <v>149</v>
      </c>
      <c r="B61" s="1031" t="s">
        <v>164</v>
      </c>
      <c r="C61" s="5885">
        <f t="shared" si="4"/>
        <v>0</v>
      </c>
      <c r="D61" s="2399" t="s">
        <v>3950</v>
      </c>
      <c r="E61" s="4445"/>
      <c r="F61" s="2569"/>
      <c r="G61" s="2569"/>
      <c r="H61" s="2569"/>
      <c r="I61" s="2568"/>
      <c r="J61" s="2538"/>
      <c r="K61" s="2538"/>
      <c r="L61" s="2546" t="s">
        <v>708</v>
      </c>
      <c r="M61" s="2561"/>
      <c r="N61" s="5922"/>
    </row>
    <row r="62" spans="1:27">
      <c r="A62" s="3967" t="s">
        <v>150</v>
      </c>
      <c r="B62" s="2570" t="s">
        <v>307</v>
      </c>
      <c r="C62" s="5886">
        <f t="shared" si="4"/>
        <v>0</v>
      </c>
      <c r="D62" s="2399" t="s">
        <v>2598</v>
      </c>
      <c r="E62" s="4445"/>
      <c r="F62" s="2569"/>
      <c r="G62" s="2569"/>
      <c r="H62" s="2569"/>
      <c r="I62" s="2568"/>
      <c r="J62" s="266"/>
      <c r="K62" s="266"/>
      <c r="L62" s="2563"/>
      <c r="M62" s="857"/>
      <c r="N62" s="5920"/>
    </row>
    <row r="63" spans="1:27">
      <c r="A63" s="3967" t="s">
        <v>151</v>
      </c>
      <c r="B63" s="2544" t="s">
        <v>308</v>
      </c>
      <c r="C63" s="5885">
        <f>SUM(ROUND(I6,0),ROUND(I35,0))</f>
        <v>0</v>
      </c>
      <c r="D63" s="2399" t="s">
        <v>3577</v>
      </c>
      <c r="E63" s="4445"/>
      <c r="F63" s="2569"/>
      <c r="G63" s="2569"/>
      <c r="H63" s="2569"/>
      <c r="I63" s="2568"/>
      <c r="J63" s="5889">
        <f>ROUND(SUM(J6,J35),0)</f>
        <v>0</v>
      </c>
      <c r="K63" s="266"/>
      <c r="L63" s="2571" t="s">
        <v>4697</v>
      </c>
      <c r="M63" s="857"/>
      <c r="N63" s="5920"/>
    </row>
    <row r="64" spans="1:27">
      <c r="A64" s="3967" t="s">
        <v>200</v>
      </c>
      <c r="B64" s="2544" t="s">
        <v>309</v>
      </c>
      <c r="C64" s="5885">
        <f t="shared" si="4"/>
        <v>0</v>
      </c>
      <c r="D64" s="2399" t="s">
        <v>2608</v>
      </c>
      <c r="E64" s="4445"/>
      <c r="F64" s="2569"/>
      <c r="G64" s="2569"/>
      <c r="H64" s="2569"/>
      <c r="I64" s="2568"/>
      <c r="J64" s="2572"/>
      <c r="K64" s="266"/>
      <c r="L64" s="2563"/>
      <c r="M64" s="857"/>
      <c r="N64" s="5920"/>
    </row>
    <row r="65" spans="1:14">
      <c r="A65" s="3967" t="s">
        <v>101</v>
      </c>
      <c r="B65" s="2544" t="s">
        <v>310</v>
      </c>
      <c r="C65" s="5885">
        <f t="shared" si="4"/>
        <v>0</v>
      </c>
      <c r="D65" s="2399" t="s">
        <v>3578</v>
      </c>
      <c r="E65" s="4445"/>
      <c r="F65" s="2569"/>
      <c r="G65" s="2569"/>
      <c r="H65" s="2569"/>
      <c r="I65" s="2568"/>
      <c r="J65" s="266"/>
      <c r="K65" s="266"/>
      <c r="L65" s="2546"/>
      <c r="M65" s="857"/>
      <c r="N65" s="5920"/>
    </row>
    <row r="66" spans="1:14">
      <c r="A66" s="3967" t="s">
        <v>102</v>
      </c>
      <c r="B66" s="2547" t="s">
        <v>499</v>
      </c>
      <c r="C66" s="5887">
        <f t="shared" si="4"/>
        <v>0</v>
      </c>
      <c r="D66" s="2399"/>
      <c r="E66" s="4445"/>
      <c r="F66" s="2569"/>
      <c r="G66" s="2569"/>
      <c r="H66" s="2569"/>
      <c r="I66" s="2568"/>
      <c r="J66" s="266"/>
      <c r="K66" s="266"/>
      <c r="L66" s="2046"/>
      <c r="M66" s="857"/>
      <c r="N66" s="5920"/>
    </row>
    <row r="67" spans="1:14">
      <c r="A67" s="3967" t="s">
        <v>103</v>
      </c>
      <c r="B67" s="2547" t="s">
        <v>500</v>
      </c>
      <c r="C67" s="5886">
        <f t="shared" si="4"/>
        <v>0</v>
      </c>
      <c r="D67" s="2399"/>
      <c r="E67" s="4445"/>
      <c r="F67" s="2569"/>
      <c r="G67" s="2569"/>
      <c r="H67" s="2569"/>
      <c r="I67" s="2568"/>
      <c r="J67" s="266"/>
      <c r="K67" s="266"/>
      <c r="L67" s="2046"/>
      <c r="M67" s="857"/>
      <c r="N67" s="5920"/>
    </row>
    <row r="68" spans="1:14">
      <c r="A68" s="3967" t="s">
        <v>105</v>
      </c>
      <c r="B68" s="2544" t="s">
        <v>501</v>
      </c>
      <c r="C68" s="5885">
        <f t="shared" si="4"/>
        <v>0</v>
      </c>
      <c r="D68" s="2399" t="s">
        <v>2609</v>
      </c>
      <c r="E68" s="4445"/>
      <c r="F68" s="2569"/>
      <c r="G68" s="2569"/>
      <c r="H68" s="2569"/>
      <c r="I68" s="2568"/>
      <c r="J68" s="266"/>
      <c r="K68" s="266"/>
      <c r="L68" s="2046"/>
      <c r="M68" s="857"/>
      <c r="N68" s="5920"/>
    </row>
    <row r="69" spans="1:14">
      <c r="A69" s="3967" t="s">
        <v>657</v>
      </c>
      <c r="B69" s="2547" t="s">
        <v>502</v>
      </c>
      <c r="C69" s="5886">
        <f t="shared" si="4"/>
        <v>0</v>
      </c>
      <c r="D69" s="2399"/>
      <c r="E69" s="4445"/>
      <c r="F69" s="2569"/>
      <c r="G69" s="2569"/>
      <c r="H69" s="2569"/>
      <c r="I69" s="2568"/>
      <c r="J69" s="266"/>
      <c r="K69" s="266"/>
      <c r="L69" s="2046"/>
      <c r="M69" s="857"/>
      <c r="N69" s="5920"/>
    </row>
    <row r="70" spans="1:14">
      <c r="A70" s="3982" t="s">
        <v>504</v>
      </c>
      <c r="B70" s="2547" t="s">
        <v>503</v>
      </c>
      <c r="C70" s="5886">
        <f t="shared" si="4"/>
        <v>0</v>
      </c>
      <c r="D70" s="2399"/>
      <c r="E70" s="4445"/>
      <c r="F70" s="2569"/>
      <c r="G70" s="2569"/>
      <c r="H70" s="2569"/>
      <c r="I70" s="2568"/>
      <c r="J70" s="266"/>
      <c r="K70" s="266"/>
      <c r="L70" s="2046"/>
      <c r="M70" s="857"/>
      <c r="N70" s="5920"/>
    </row>
    <row r="71" spans="1:14">
      <c r="A71" s="3982" t="s">
        <v>505</v>
      </c>
      <c r="B71" s="2547"/>
      <c r="C71" s="5886">
        <f t="shared" si="4"/>
        <v>0</v>
      </c>
      <c r="D71" s="2399"/>
      <c r="E71" s="4445"/>
      <c r="F71" s="2569"/>
      <c r="G71" s="2569"/>
      <c r="H71" s="2569"/>
      <c r="I71" s="2568"/>
      <c r="J71" s="266"/>
      <c r="K71" s="266"/>
      <c r="L71" s="2046"/>
      <c r="M71" s="857"/>
      <c r="N71" s="5920"/>
    </row>
    <row r="72" spans="1:14">
      <c r="A72" s="3982" t="s">
        <v>506</v>
      </c>
      <c r="B72" s="2547"/>
      <c r="C72" s="5886">
        <f t="shared" si="4"/>
        <v>0</v>
      </c>
      <c r="D72" s="2399"/>
      <c r="E72" s="4445"/>
      <c r="F72" s="2569"/>
      <c r="G72" s="2569"/>
      <c r="H72" s="2569"/>
      <c r="I72" s="2568"/>
      <c r="J72" s="266"/>
      <c r="K72" s="266"/>
      <c r="L72" s="2046"/>
      <c r="M72" s="857"/>
      <c r="N72" s="5920"/>
    </row>
    <row r="73" spans="1:14">
      <c r="A73" s="3982" t="s">
        <v>507</v>
      </c>
      <c r="B73" s="2547"/>
      <c r="C73" s="5886">
        <f t="shared" si="4"/>
        <v>0</v>
      </c>
      <c r="D73" s="2399"/>
      <c r="E73" s="4445"/>
      <c r="F73" s="2569"/>
      <c r="G73" s="2569"/>
      <c r="H73" s="2569"/>
      <c r="I73" s="2568"/>
      <c r="J73" s="266"/>
      <c r="K73" s="266"/>
      <c r="L73" s="2046"/>
      <c r="M73" s="857"/>
      <c r="N73" s="5920"/>
    </row>
    <row r="74" spans="1:14">
      <c r="A74" s="3967" t="s">
        <v>658</v>
      </c>
      <c r="B74" s="2547" t="s">
        <v>508</v>
      </c>
      <c r="C74" s="5886">
        <f t="shared" si="4"/>
        <v>0</v>
      </c>
      <c r="D74" s="2399"/>
      <c r="E74" s="4445"/>
      <c r="F74" s="2569"/>
      <c r="G74" s="2569"/>
      <c r="H74" s="2569"/>
      <c r="I74" s="2568"/>
      <c r="J74" s="266"/>
      <c r="K74" s="266"/>
      <c r="L74" s="2046"/>
      <c r="M74" s="857"/>
      <c r="N74" s="5920"/>
    </row>
    <row r="75" spans="1:14">
      <c r="A75" s="3967" t="s">
        <v>661</v>
      </c>
      <c r="B75" s="2547" t="s">
        <v>402</v>
      </c>
      <c r="C75" s="5886">
        <f t="shared" si="4"/>
        <v>0</v>
      </c>
      <c r="D75" s="2399"/>
      <c r="E75" s="4445"/>
      <c r="F75" s="2569"/>
      <c r="G75" s="2569"/>
      <c r="H75" s="2569"/>
      <c r="I75" s="2568"/>
      <c r="J75" s="266"/>
      <c r="K75" s="266"/>
      <c r="L75" s="2046"/>
      <c r="M75" s="857"/>
      <c r="N75" s="5920"/>
    </row>
    <row r="76" spans="1:14">
      <c r="A76" s="3967" t="s">
        <v>661</v>
      </c>
      <c r="B76" s="2544" t="s">
        <v>2019</v>
      </c>
      <c r="C76" s="5885">
        <f t="shared" si="4"/>
        <v>0</v>
      </c>
      <c r="D76" s="2399" t="s">
        <v>2604</v>
      </c>
      <c r="E76" s="4445"/>
      <c r="F76" s="2569"/>
      <c r="G76" s="2569"/>
      <c r="H76" s="2569"/>
      <c r="I76" s="2568"/>
      <c r="J76" s="266"/>
      <c r="K76" s="266"/>
      <c r="L76" s="2046"/>
      <c r="M76" s="857"/>
      <c r="N76" s="5920"/>
    </row>
    <row r="77" spans="1:14">
      <c r="A77" s="3967" t="s">
        <v>661</v>
      </c>
      <c r="B77" s="2549" t="s">
        <v>2020</v>
      </c>
      <c r="C77" s="5885">
        <f t="shared" si="4"/>
        <v>0</v>
      </c>
      <c r="D77" s="2399" t="s">
        <v>2605</v>
      </c>
      <c r="E77" s="4445"/>
      <c r="F77" s="2569"/>
      <c r="G77" s="2569"/>
      <c r="H77" s="2569"/>
      <c r="I77" s="2568"/>
      <c r="J77" s="266"/>
      <c r="K77" s="266"/>
      <c r="L77" s="2046"/>
      <c r="M77" s="857"/>
      <c r="N77" s="5920"/>
    </row>
    <row r="78" spans="1:14">
      <c r="A78" s="3967" t="s">
        <v>1105</v>
      </c>
      <c r="B78" s="2547" t="s">
        <v>509</v>
      </c>
      <c r="C78" s="5886">
        <f t="shared" si="4"/>
        <v>0</v>
      </c>
      <c r="D78" s="2399"/>
      <c r="E78" s="4445"/>
      <c r="F78" s="2569"/>
      <c r="G78" s="2569"/>
      <c r="H78" s="2569"/>
      <c r="I78" s="2568"/>
      <c r="J78" s="266"/>
      <c r="K78" s="266"/>
      <c r="L78" s="2046"/>
      <c r="M78" s="857"/>
      <c r="N78" s="5920"/>
    </row>
    <row r="79" spans="1:14">
      <c r="A79" s="3967" t="s">
        <v>1107</v>
      </c>
      <c r="B79" s="2544" t="s">
        <v>3277</v>
      </c>
      <c r="C79" s="5885">
        <f t="shared" si="4"/>
        <v>0</v>
      </c>
      <c r="D79" s="2399" t="s">
        <v>2606</v>
      </c>
      <c r="E79" s="4445"/>
      <c r="F79" s="2569"/>
      <c r="G79" s="2569"/>
      <c r="H79" s="2569"/>
      <c r="I79" s="2568"/>
      <c r="J79" s="266"/>
      <c r="K79" s="266"/>
      <c r="L79" s="2563"/>
      <c r="M79" s="857"/>
      <c r="N79" s="5920"/>
    </row>
    <row r="80" spans="1:14">
      <c r="A80" s="3967" t="s">
        <v>1109</v>
      </c>
      <c r="B80" s="2547" t="s">
        <v>510</v>
      </c>
      <c r="C80" s="5886">
        <f t="shared" si="4"/>
        <v>0</v>
      </c>
      <c r="D80" s="2399"/>
      <c r="E80" s="4445"/>
      <c r="F80" s="2569"/>
      <c r="G80" s="2569"/>
      <c r="H80" s="2569"/>
      <c r="I80" s="2568"/>
      <c r="J80" s="266"/>
      <c r="K80" s="266"/>
      <c r="L80" s="2563"/>
      <c r="M80" s="857"/>
      <c r="N80" s="5920"/>
    </row>
    <row r="81" spans="1:14">
      <c r="A81" s="3967" t="s">
        <v>1111</v>
      </c>
      <c r="B81" s="2550" t="s">
        <v>3278</v>
      </c>
      <c r="C81" s="5888">
        <f t="shared" si="4"/>
        <v>0</v>
      </c>
      <c r="D81" s="3412" t="s">
        <v>2606</v>
      </c>
      <c r="E81" s="4446"/>
      <c r="F81" s="2573"/>
      <c r="G81" s="2573"/>
      <c r="H81" s="2573"/>
      <c r="I81" s="2554"/>
      <c r="J81" s="2574"/>
      <c r="K81" s="42"/>
      <c r="L81" s="2046"/>
      <c r="M81" s="857"/>
      <c r="N81" s="5920"/>
    </row>
    <row r="82" spans="1:14" ht="26.25" customHeight="1">
      <c r="A82" s="48"/>
      <c r="B82" s="282"/>
      <c r="C82" s="282"/>
      <c r="D82" s="282"/>
      <c r="E82" s="282"/>
      <c r="F82" s="282"/>
      <c r="G82" s="282"/>
      <c r="H82" s="282"/>
      <c r="I82" s="282"/>
      <c r="J82" s="282"/>
    </row>
    <row r="83" spans="1:14" ht="13.5" thickBot="1"/>
    <row r="84" spans="1:14">
      <c r="B84" s="4010"/>
    </row>
    <row r="85" spans="1:14">
      <c r="B85" s="4011" t="s">
        <v>3219</v>
      </c>
    </row>
    <row r="86" spans="1:14" ht="13.5" thickBot="1">
      <c r="B86" s="4012"/>
    </row>
  </sheetData>
  <sheetProtection algorithmName="SHA-512" hashValue="EXy13DtpMda0jDosI8lQwzJGF3kPDhBTDp0NvpVDwhTCIwfKMb12LCtAcJDtOkQNj/DWkfHc2s4O7iAOL6w4IQ==" saltValue="EgMG38MDUIFyPdpFJgIlTw==" spinCount="100000" sheet="1" objects="1" scenarios="1"/>
  <phoneticPr fontId="14" type="noConversion"/>
  <conditionalFormatting sqref="C3:C20">
    <cfRule type="expression" dxfId="3127" priority="14">
      <formula>IF(NoColor,1,0)</formula>
    </cfRule>
  </conditionalFormatting>
  <conditionalFormatting sqref="C22:C24">
    <cfRule type="expression" dxfId="3126" priority="1">
      <formula>IF(NoColor,1,0)</formula>
    </cfRule>
  </conditionalFormatting>
  <conditionalFormatting sqref="C60:C81">
    <cfRule type="expression" dxfId="3125" priority="100">
      <formula>IF(NoColor,1,0)</formula>
    </cfRule>
  </conditionalFormatting>
  <conditionalFormatting sqref="C21:D21">
    <cfRule type="expression" dxfId="3124" priority="54">
      <formula>IF(NoColor,1,0)</formula>
    </cfRule>
  </conditionalFormatting>
  <conditionalFormatting sqref="C2:H2">
    <cfRule type="expression" dxfId="3123" priority="75">
      <formula>IF(NoColor,1,0)</formula>
    </cfRule>
  </conditionalFormatting>
  <conditionalFormatting sqref="C31:H53">
    <cfRule type="expression" dxfId="3122" priority="25">
      <formula>IF(NoColor,1,0)</formula>
    </cfRule>
  </conditionalFormatting>
  <conditionalFormatting sqref="C54:I54">
    <cfRule type="expression" dxfId="3121" priority="67">
      <formula>IF(NoColor,1,0)</formula>
    </cfRule>
  </conditionalFormatting>
  <conditionalFormatting sqref="D3:D8">
    <cfRule type="expression" dxfId="3120" priority="24">
      <formula>IF(NoColor,1,0)</formula>
    </cfRule>
  </conditionalFormatting>
  <conditionalFormatting sqref="D19:D20">
    <cfRule type="expression" dxfId="3119" priority="52">
      <formula>IF(NoColor,1,0)</formula>
    </cfRule>
  </conditionalFormatting>
  <conditionalFormatting sqref="D22">
    <cfRule type="expression" dxfId="3118" priority="51">
      <formula>IF(NoColor,1,0)</formula>
    </cfRule>
  </conditionalFormatting>
  <conditionalFormatting sqref="E19:F22">
    <cfRule type="expression" dxfId="3117" priority="105">
      <formula>IF(NoColor,1,0)</formula>
    </cfRule>
  </conditionalFormatting>
  <conditionalFormatting sqref="E4:H8">
    <cfRule type="expression" dxfId="3116" priority="30">
      <formula>IF(NoColor,1,0)</formula>
    </cfRule>
  </conditionalFormatting>
  <conditionalFormatting sqref="E3:I3 D9:H12 D13:I18 D23:F24 C25:I25">
    <cfRule type="expression" dxfId="3115" priority="127">
      <formula>IF(NoColor,1,0)</formula>
    </cfRule>
  </conditionalFormatting>
  <conditionalFormatting sqref="G19:H24">
    <cfRule type="expression" dxfId="3114" priority="70">
      <formula>IF(NoColor,1,0)</formula>
    </cfRule>
  </conditionalFormatting>
  <conditionalFormatting sqref="I4:I24">
    <cfRule type="expression" dxfId="3113" priority="19">
      <formula>IF(NoColor,1,0)</formula>
    </cfRule>
  </conditionalFormatting>
  <conditionalFormatting sqref="I32:I53">
    <cfRule type="expression" dxfId="3112" priority="16">
      <formula>IF(NoColor,1,0)</formula>
    </cfRule>
  </conditionalFormatting>
  <conditionalFormatting sqref="J63">
    <cfRule type="expression" dxfId="3111" priority="114">
      <formula>IF(NoColor,1,0)</formula>
    </cfRule>
  </conditionalFormatting>
  <hyperlinks>
    <hyperlink ref="B85" location="'Table of Contents'!A1" display="Table of Contents" xr:uid="{00000000-0004-0000-0300-000000000000}"/>
  </hyperlinks>
  <printOptions gridLines="1" gridLinesSet="0"/>
  <pageMargins left="0.75" right="0.75" top="1" bottom="1" header="0.5" footer="0.5"/>
  <pageSetup scale="54" fitToHeight="0" orientation="landscape" r:id="rId1"/>
  <headerFooter alignWithMargins="0">
    <oddHeader>&amp;A</oddHeader>
    <oddFooter>Page &amp;P</oddFooter>
  </headerFooter>
  <rowBreaks count="1" manualBreakCount="1">
    <brk id="58"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4"/>
  <sheetViews>
    <sheetView zoomScaleNormal="100" zoomScaleSheetLayoutView="100" workbookViewId="0">
      <pane ySplit="1" topLeftCell="A2" activePane="bottomLeft" state="frozen"/>
      <selection pane="bottomLeft" activeCell="B65" sqref="B65:B83"/>
    </sheetView>
  </sheetViews>
  <sheetFormatPr defaultRowHeight="12.75"/>
  <cols>
    <col min="1" max="1" width="2.5703125" customWidth="1"/>
    <col min="2" max="2" width="4.42578125" customWidth="1"/>
    <col min="3" max="3" width="48" customWidth="1"/>
    <col min="4" max="8" width="26.28515625" customWidth="1"/>
    <col min="9" max="9" width="17.28515625" customWidth="1"/>
    <col min="10" max="10" width="39" customWidth="1"/>
    <col min="11" max="11" width="14" style="5902" customWidth="1"/>
    <col min="12" max="25" width="9.140625" style="2595" customWidth="1"/>
    <col min="27" max="31" width="9.140625" hidden="1" customWidth="1"/>
  </cols>
  <sheetData>
    <row r="1" spans="1:31" ht="42" customHeight="1" thickBot="1">
      <c r="A1" s="1153"/>
      <c r="B1" s="2444" t="s">
        <v>1988</v>
      </c>
      <c r="C1" s="464"/>
      <c r="D1" s="465"/>
      <c r="E1" s="2394"/>
      <c r="F1" s="465"/>
      <c r="G1" s="465"/>
      <c r="H1" s="465"/>
      <c r="I1" s="2291"/>
      <c r="J1" s="2291"/>
      <c r="K1" s="5901" t="s">
        <v>2033</v>
      </c>
    </row>
    <row r="2" spans="1:31" ht="42" customHeight="1" thickTop="1" thickBot="1">
      <c r="A2" s="1154"/>
      <c r="B2" s="830"/>
      <c r="C2" s="1287" t="str">
        <f>IF(Name_1st_Yours="","Enter your name(s) on the"&amp;CHAR(10)&amp;"sheet lableled '1040'",IF(File_Marr_Joint&lt;&gt;"",NameYours&amp;CHAR(10)&amp;" and "&amp;NameSpouse,NameYours))</f>
        <v>Enter your name(s) on the
sheet lableled '1040'</v>
      </c>
      <c r="D2" s="1918" t="s">
        <v>281</v>
      </c>
      <c r="E2" s="1918" t="s">
        <v>282</v>
      </c>
      <c r="F2" s="1918" t="s">
        <v>283</v>
      </c>
      <c r="G2" s="1918" t="s">
        <v>368</v>
      </c>
      <c r="H2" s="1919" t="s">
        <v>1659</v>
      </c>
      <c r="I2" s="542"/>
      <c r="J2" s="542"/>
      <c r="K2" s="5900" t="s">
        <v>2763</v>
      </c>
    </row>
    <row r="3" spans="1:31">
      <c r="A3" s="1145"/>
      <c r="B3" s="2280"/>
      <c r="C3" s="2457" t="s">
        <v>1870</v>
      </c>
      <c r="D3" s="2461"/>
      <c r="E3" s="2462"/>
      <c r="F3" s="2462"/>
      <c r="G3" s="2462"/>
      <c r="H3" s="2463"/>
      <c r="I3" s="2460"/>
      <c r="J3" s="484"/>
    </row>
    <row r="4" spans="1:31">
      <c r="A4" s="1145"/>
      <c r="B4" s="2281"/>
      <c r="C4" s="2458" t="s">
        <v>1869</v>
      </c>
      <c r="D4" s="2492"/>
      <c r="E4" s="2493"/>
      <c r="F4" s="2493"/>
      <c r="G4" s="2493"/>
      <c r="H4" s="2494"/>
      <c r="I4" s="2460"/>
      <c r="J4" s="484"/>
    </row>
    <row r="5" spans="1:31" ht="13.5" thickBot="1">
      <c r="A5" s="1145"/>
      <c r="B5" s="2282"/>
      <c r="C5" s="2459" t="s">
        <v>156</v>
      </c>
      <c r="D5" s="2495"/>
      <c r="E5" s="2496"/>
      <c r="F5" s="2496"/>
      <c r="G5" s="2496"/>
      <c r="H5" s="2497"/>
      <c r="I5" s="2460"/>
      <c r="J5" s="484"/>
    </row>
    <row r="6" spans="1:31" ht="13.5" customHeight="1">
      <c r="A6" s="1145"/>
      <c r="B6" s="3934" t="s">
        <v>148</v>
      </c>
      <c r="C6" s="2283" t="s">
        <v>1854</v>
      </c>
      <c r="D6" s="2465"/>
      <c r="E6" s="2466"/>
      <c r="F6" s="2466"/>
      <c r="G6" s="2575"/>
      <c r="H6" s="2576"/>
      <c r="I6" s="2577"/>
      <c r="J6" s="484"/>
      <c r="AA6" s="4">
        <f>ROUND(D6,0)</f>
        <v>0</v>
      </c>
      <c r="AB6" s="4">
        <f t="shared" ref="AB6:AE8" si="0">ROUND(E6,0)</f>
        <v>0</v>
      </c>
      <c r="AC6" s="4">
        <f t="shared" si="0"/>
        <v>0</v>
      </c>
      <c r="AD6" s="4">
        <f t="shared" si="0"/>
        <v>0</v>
      </c>
      <c r="AE6" s="4">
        <f t="shared" si="0"/>
        <v>0</v>
      </c>
    </row>
    <row r="7" spans="1:31" ht="13.5" customHeight="1">
      <c r="A7" s="1145"/>
      <c r="B7" s="1336" t="s">
        <v>149</v>
      </c>
      <c r="C7" s="2284" t="s">
        <v>1855</v>
      </c>
      <c r="D7" s="2467"/>
      <c r="E7" s="2468"/>
      <c r="F7" s="2468"/>
      <c r="G7" s="2469"/>
      <c r="H7" s="2470"/>
      <c r="I7" s="2292"/>
      <c r="J7" s="484"/>
      <c r="AA7" s="4">
        <f>ROUND(D7,0)</f>
        <v>0</v>
      </c>
      <c r="AB7" s="4">
        <f t="shared" si="0"/>
        <v>0</v>
      </c>
      <c r="AC7" s="4">
        <f t="shared" si="0"/>
        <v>0</v>
      </c>
      <c r="AD7" s="4">
        <f t="shared" si="0"/>
        <v>0</v>
      </c>
      <c r="AE7" s="4">
        <f t="shared" si="0"/>
        <v>0</v>
      </c>
    </row>
    <row r="8" spans="1:31" ht="13.5" customHeight="1">
      <c r="A8" s="1145"/>
      <c r="B8" s="1336" t="s">
        <v>150</v>
      </c>
      <c r="C8" s="2284" t="s">
        <v>1856</v>
      </c>
      <c r="D8" s="2467"/>
      <c r="E8" s="2468"/>
      <c r="F8" s="2468"/>
      <c r="G8" s="2469"/>
      <c r="H8" s="2470"/>
      <c r="I8" s="2292"/>
      <c r="J8" s="484"/>
      <c r="AA8" s="4">
        <f>ROUND(D8,0)</f>
        <v>0</v>
      </c>
      <c r="AB8" s="4">
        <f t="shared" si="0"/>
        <v>0</v>
      </c>
      <c r="AC8" s="4">
        <f t="shared" si="0"/>
        <v>0</v>
      </c>
      <c r="AD8" s="4">
        <f t="shared" si="0"/>
        <v>0</v>
      </c>
      <c r="AE8" s="4">
        <f t="shared" si="0"/>
        <v>0</v>
      </c>
    </row>
    <row r="9" spans="1:31" ht="13.5" customHeight="1">
      <c r="A9" s="1145"/>
      <c r="B9" s="2287" t="s">
        <v>2272</v>
      </c>
      <c r="C9" s="2284" t="s">
        <v>2319</v>
      </c>
      <c r="D9" s="2878" t="s">
        <v>2041</v>
      </c>
      <c r="E9" s="2879" t="s">
        <v>2041</v>
      </c>
      <c r="F9" s="2879" t="s">
        <v>2041</v>
      </c>
      <c r="G9" s="2880" t="s">
        <v>2041</v>
      </c>
      <c r="H9" s="2881" t="s">
        <v>2041</v>
      </c>
      <c r="I9" s="2292"/>
      <c r="J9" s="484"/>
      <c r="AA9" s="4"/>
      <c r="AB9" s="4"/>
      <c r="AC9" s="4"/>
      <c r="AD9" s="4"/>
      <c r="AE9" s="4"/>
    </row>
    <row r="10" spans="1:31" ht="13.5" customHeight="1">
      <c r="A10" s="1145"/>
      <c r="B10" s="1336" t="s">
        <v>151</v>
      </c>
      <c r="C10" s="2578" t="s">
        <v>164</v>
      </c>
      <c r="D10" s="2467"/>
      <c r="E10" s="2468"/>
      <c r="F10" s="2468"/>
      <c r="G10" s="2469"/>
      <c r="H10" s="2470"/>
      <c r="I10" s="2292"/>
      <c r="J10" s="484"/>
      <c r="AA10" s="4">
        <f t="shared" ref="AA10:AA15" si="1">ROUND(D10,0)</f>
        <v>0</v>
      </c>
      <c r="AB10" s="4">
        <f t="shared" ref="AB10:AE15" si="2">ROUND(E10,0)</f>
        <v>0</v>
      </c>
      <c r="AC10" s="4">
        <f t="shared" si="2"/>
        <v>0</v>
      </c>
      <c r="AD10" s="4">
        <f t="shared" si="2"/>
        <v>0</v>
      </c>
      <c r="AE10" s="4">
        <f t="shared" si="2"/>
        <v>0</v>
      </c>
    </row>
    <row r="11" spans="1:31">
      <c r="A11" s="1145"/>
      <c r="B11" s="6046" t="s">
        <v>200</v>
      </c>
      <c r="C11" s="1156" t="s">
        <v>1857</v>
      </c>
      <c r="D11" s="2467"/>
      <c r="E11" s="2468"/>
      <c r="F11" s="2468"/>
      <c r="G11" s="2469"/>
      <c r="H11" s="2470"/>
      <c r="I11" s="2292"/>
      <c r="J11" s="484"/>
      <c r="AA11" s="4">
        <f t="shared" si="1"/>
        <v>0</v>
      </c>
      <c r="AB11" s="4">
        <f t="shared" si="2"/>
        <v>0</v>
      </c>
      <c r="AC11" s="4">
        <f t="shared" si="2"/>
        <v>0</v>
      </c>
      <c r="AD11" s="4">
        <f t="shared" si="2"/>
        <v>0</v>
      </c>
      <c r="AE11" s="4">
        <f t="shared" si="2"/>
        <v>0</v>
      </c>
    </row>
    <row r="12" spans="1:31">
      <c r="A12" s="1145"/>
      <c r="B12" s="1336" t="s">
        <v>101</v>
      </c>
      <c r="C12" s="2578" t="s">
        <v>1858</v>
      </c>
      <c r="D12" s="2467"/>
      <c r="E12" s="2468"/>
      <c r="F12" s="2468"/>
      <c r="G12" s="2469"/>
      <c r="H12" s="2470"/>
      <c r="I12" s="2848" t="str">
        <f>IF(SUM(D12:H12)&gt;0,"Check Form 1116, Foreign Tax Credit","")</f>
        <v/>
      </c>
      <c r="J12" s="484"/>
      <c r="AA12" s="4">
        <f t="shared" si="1"/>
        <v>0</v>
      </c>
      <c r="AB12" s="4">
        <f t="shared" si="2"/>
        <v>0</v>
      </c>
      <c r="AC12" s="4">
        <f t="shared" si="2"/>
        <v>0</v>
      </c>
      <c r="AD12" s="4">
        <f t="shared" si="2"/>
        <v>0</v>
      </c>
      <c r="AE12" s="4">
        <f t="shared" si="2"/>
        <v>0</v>
      </c>
    </row>
    <row r="13" spans="1:31">
      <c r="A13" s="1145"/>
      <c r="B13" s="6046" t="s">
        <v>102</v>
      </c>
      <c r="C13" s="1156" t="s">
        <v>1859</v>
      </c>
      <c r="D13" s="2451"/>
      <c r="E13" s="2452"/>
      <c r="F13" s="2452"/>
      <c r="G13" s="2471"/>
      <c r="H13" s="2472"/>
      <c r="I13" s="2293"/>
      <c r="J13" s="484"/>
      <c r="AA13" s="4">
        <f t="shared" si="1"/>
        <v>0</v>
      </c>
      <c r="AB13" s="4">
        <f t="shared" si="2"/>
        <v>0</v>
      </c>
      <c r="AC13" s="4">
        <f t="shared" si="2"/>
        <v>0</v>
      </c>
      <c r="AD13" s="4">
        <f t="shared" si="2"/>
        <v>0</v>
      </c>
      <c r="AE13" s="4">
        <f t="shared" si="2"/>
        <v>0</v>
      </c>
    </row>
    <row r="14" spans="1:31">
      <c r="A14" s="1145"/>
      <c r="B14" s="1336" t="s">
        <v>103</v>
      </c>
      <c r="C14" s="2578" t="s">
        <v>1860</v>
      </c>
      <c r="D14" s="2467"/>
      <c r="E14" s="2468"/>
      <c r="F14" s="2468"/>
      <c r="G14" s="2469"/>
      <c r="H14" s="2470"/>
      <c r="I14" s="2292"/>
      <c r="J14" s="484"/>
      <c r="AA14" s="4">
        <f t="shared" si="1"/>
        <v>0</v>
      </c>
      <c r="AB14" s="4">
        <f t="shared" si="2"/>
        <v>0</v>
      </c>
      <c r="AC14" s="4">
        <f t="shared" si="2"/>
        <v>0</v>
      </c>
      <c r="AD14" s="4">
        <f t="shared" si="2"/>
        <v>0</v>
      </c>
      <c r="AE14" s="4">
        <f t="shared" si="2"/>
        <v>0</v>
      </c>
    </row>
    <row r="15" spans="1:31">
      <c r="A15" s="1145"/>
      <c r="B15" s="1336" t="s">
        <v>104</v>
      </c>
      <c r="C15" s="2578" t="s">
        <v>1861</v>
      </c>
      <c r="D15" s="2467"/>
      <c r="E15" s="2468"/>
      <c r="F15" s="2468"/>
      <c r="G15" s="2468"/>
      <c r="H15" s="2470"/>
      <c r="I15" s="2294"/>
      <c r="J15" s="484"/>
      <c r="AA15" s="4">
        <f t="shared" si="1"/>
        <v>0</v>
      </c>
      <c r="AB15" s="4">
        <f t="shared" si="2"/>
        <v>0</v>
      </c>
      <c r="AC15" s="4">
        <f t="shared" si="2"/>
        <v>0</v>
      </c>
      <c r="AD15" s="4">
        <f t="shared" si="2"/>
        <v>0</v>
      </c>
      <c r="AE15" s="4">
        <f t="shared" si="2"/>
        <v>0</v>
      </c>
    </row>
    <row r="16" spans="1:31">
      <c r="A16" s="1145"/>
      <c r="B16" s="1155"/>
      <c r="C16" s="1156"/>
      <c r="D16" s="2467"/>
      <c r="E16" s="2468"/>
      <c r="F16" s="2468"/>
      <c r="G16" s="2469"/>
      <c r="H16" s="2470"/>
      <c r="I16" s="2292"/>
      <c r="J16" s="484"/>
      <c r="AA16" s="4"/>
      <c r="AB16" s="4"/>
      <c r="AC16" s="4"/>
      <c r="AD16" s="4"/>
      <c r="AE16" s="4"/>
    </row>
    <row r="17" spans="1:31">
      <c r="A17" s="1145"/>
      <c r="B17" s="1336" t="s">
        <v>105</v>
      </c>
      <c r="C17" s="2578" t="s">
        <v>1862</v>
      </c>
      <c r="D17" s="4404"/>
      <c r="E17" s="2468"/>
      <c r="F17" s="2468"/>
      <c r="G17" s="2469"/>
      <c r="H17" s="2470"/>
      <c r="I17" s="2292"/>
      <c r="J17" s="484"/>
      <c r="AA17" s="4">
        <f>ROUND(D17,0)</f>
        <v>0</v>
      </c>
      <c r="AB17" s="4">
        <f t="shared" ref="AB17:AE21" si="3">ROUND(E17,0)</f>
        <v>0</v>
      </c>
      <c r="AC17" s="4">
        <f t="shared" si="3"/>
        <v>0</v>
      </c>
      <c r="AD17" s="4">
        <f t="shared" si="3"/>
        <v>0</v>
      </c>
      <c r="AE17" s="4">
        <f t="shared" si="3"/>
        <v>0</v>
      </c>
    </row>
    <row r="18" spans="1:31">
      <c r="A18" s="1145"/>
      <c r="B18" s="6046" t="s">
        <v>657</v>
      </c>
      <c r="C18" s="1156" t="s">
        <v>1863</v>
      </c>
      <c r="D18" s="4404"/>
      <c r="E18" s="4405"/>
      <c r="F18" s="4405"/>
      <c r="G18" s="4405"/>
      <c r="H18" s="4406"/>
      <c r="I18" s="2292"/>
      <c r="J18" s="484"/>
      <c r="AA18" s="4">
        <f>ROUND(D18,0)</f>
        <v>0</v>
      </c>
      <c r="AB18" s="4">
        <f t="shared" si="3"/>
        <v>0</v>
      </c>
      <c r="AC18" s="4">
        <f t="shared" si="3"/>
        <v>0</v>
      </c>
      <c r="AD18" s="4">
        <f t="shared" si="3"/>
        <v>0</v>
      </c>
      <c r="AE18" s="4">
        <f t="shared" si="3"/>
        <v>0</v>
      </c>
    </row>
    <row r="19" spans="1:31">
      <c r="A19" s="1145"/>
      <c r="B19" s="6046" t="s">
        <v>220</v>
      </c>
      <c r="C19" s="1156" t="s">
        <v>1864</v>
      </c>
      <c r="D19" s="4404"/>
      <c r="E19" s="4405"/>
      <c r="F19" s="4405"/>
      <c r="G19" s="4405"/>
      <c r="H19" s="4406"/>
      <c r="I19" s="2292"/>
      <c r="J19" s="484"/>
      <c r="AA19" s="4">
        <f>ROUND(D19,0)</f>
        <v>0</v>
      </c>
      <c r="AB19" s="4">
        <f t="shared" si="3"/>
        <v>0</v>
      </c>
      <c r="AC19" s="4">
        <f t="shared" si="3"/>
        <v>0</v>
      </c>
      <c r="AD19" s="4">
        <f t="shared" si="3"/>
        <v>0</v>
      </c>
      <c r="AE19" s="4">
        <f t="shared" si="3"/>
        <v>0</v>
      </c>
    </row>
    <row r="20" spans="1:31">
      <c r="A20" s="1145"/>
      <c r="B20" s="6046" t="s">
        <v>658</v>
      </c>
      <c r="C20" s="1156" t="s">
        <v>1865</v>
      </c>
      <c r="D20" s="4404"/>
      <c r="E20" s="4405"/>
      <c r="F20" s="4405"/>
      <c r="G20" s="4405"/>
      <c r="H20" s="4406"/>
      <c r="I20" s="2293"/>
      <c r="J20" s="484"/>
      <c r="AA20" s="4">
        <f>ROUND(D20,0)</f>
        <v>0</v>
      </c>
      <c r="AB20" s="4">
        <f t="shared" si="3"/>
        <v>0</v>
      </c>
      <c r="AC20" s="4">
        <f t="shared" si="3"/>
        <v>0</v>
      </c>
      <c r="AD20" s="4">
        <f t="shared" si="3"/>
        <v>0</v>
      </c>
      <c r="AE20" s="4">
        <f t="shared" si="3"/>
        <v>0</v>
      </c>
    </row>
    <row r="21" spans="1:31">
      <c r="A21" s="1145"/>
      <c r="B21" s="6046" t="s">
        <v>661</v>
      </c>
      <c r="C21" s="1156" t="s">
        <v>1866</v>
      </c>
      <c r="D21" s="2451"/>
      <c r="E21" s="2452"/>
      <c r="F21" s="2452"/>
      <c r="G21" s="2452"/>
      <c r="H21" s="2472"/>
      <c r="I21" s="2292"/>
      <c r="J21" s="484"/>
      <c r="AA21" s="4">
        <f>ROUND(D21,0)</f>
        <v>0</v>
      </c>
      <c r="AB21" s="4">
        <f t="shared" si="3"/>
        <v>0</v>
      </c>
      <c r="AC21" s="4">
        <f t="shared" si="3"/>
        <v>0</v>
      </c>
      <c r="AD21" s="4">
        <f t="shared" si="3"/>
        <v>0</v>
      </c>
      <c r="AE21" s="4">
        <f t="shared" si="3"/>
        <v>0</v>
      </c>
    </row>
    <row r="22" spans="1:31">
      <c r="A22" s="1145"/>
      <c r="B22" s="6046" t="s">
        <v>662</v>
      </c>
      <c r="C22" s="1156" t="s">
        <v>1867</v>
      </c>
      <c r="D22" s="4403"/>
      <c r="E22" s="4407"/>
      <c r="F22" s="4407"/>
      <c r="G22" s="4407"/>
      <c r="H22" s="4408"/>
      <c r="I22" s="2292"/>
      <c r="J22" s="484"/>
      <c r="AA22" s="4"/>
      <c r="AB22" s="4"/>
      <c r="AC22" s="4"/>
      <c r="AD22" s="4"/>
      <c r="AE22" s="4"/>
    </row>
    <row r="23" spans="1:31">
      <c r="A23" s="1145"/>
      <c r="B23" s="6046" t="s">
        <v>1107</v>
      </c>
      <c r="C23" s="1156" t="s">
        <v>1868</v>
      </c>
      <c r="D23" s="2453"/>
      <c r="E23" s="2454"/>
      <c r="F23" s="2454"/>
      <c r="G23" s="2454"/>
      <c r="H23" s="2456"/>
      <c r="I23" s="2293"/>
      <c r="J23" s="484"/>
      <c r="AA23" s="4"/>
      <c r="AB23" s="4"/>
      <c r="AC23" s="4"/>
      <c r="AD23" s="4"/>
      <c r="AE23" s="4"/>
    </row>
    <row r="24" spans="1:31" ht="13.5" thickBot="1">
      <c r="A24" s="1145"/>
      <c r="B24" s="3936" t="s">
        <v>1107</v>
      </c>
      <c r="C24" s="2579" t="s">
        <v>422</v>
      </c>
      <c r="D24" s="2477"/>
      <c r="E24" s="2478"/>
      <c r="F24" s="2478"/>
      <c r="G24" s="2479"/>
      <c r="H24" s="2480"/>
      <c r="I24" s="2292"/>
      <c r="J24" s="484"/>
      <c r="AA24" s="4">
        <f>ROUND(D24,0)</f>
        <v>0</v>
      </c>
      <c r="AB24" s="4">
        <f>ROUND(E24,0)</f>
        <v>0</v>
      </c>
      <c r="AC24" s="4">
        <f>ROUND(F24,0)</f>
        <v>0</v>
      </c>
      <c r="AD24" s="4">
        <f>ROUND(G24,0)</f>
        <v>0</v>
      </c>
      <c r="AE24" s="4">
        <f>ROUND(H24,0)</f>
        <v>0</v>
      </c>
    </row>
    <row r="25" spans="1:31" ht="17.25" customHeight="1" thickBot="1">
      <c r="A25" s="1145"/>
      <c r="B25" s="2427" t="s">
        <v>1987</v>
      </c>
      <c r="C25" s="1145"/>
      <c r="D25" s="1145"/>
      <c r="E25" s="1145"/>
      <c r="F25" s="1145"/>
      <c r="G25" s="1145"/>
      <c r="H25" s="1145"/>
      <c r="I25" s="1145"/>
      <c r="J25" s="484"/>
      <c r="AA25" s="4"/>
    </row>
    <row r="26" spans="1:31" s="2400" customFormat="1" ht="17.25" hidden="1" customHeight="1">
      <c r="A26" s="2421"/>
      <c r="B26" s="2427"/>
      <c r="C26" s="2421"/>
      <c r="D26" s="2898" t="str">
        <f>IF(OR(LEFT(D9,1)="Y",LEFT(D9,1)="y"),D8,"")</f>
        <v/>
      </c>
      <c r="E26" s="2898" t="str">
        <f>IF(OR(LEFT(E9,1)="Y",LEFT(E9,1)="y"),E8,"")</f>
        <v/>
      </c>
      <c r="F26" s="2898" t="str">
        <f>IF(OR(LEFT(F9,1)="Y",LEFT(F9,1)="y"),F8,"")</f>
        <v/>
      </c>
      <c r="G26" s="2898" t="str">
        <f>IF(OR(LEFT(G9,1)="Y",LEFT(G9,1)="y"),G8,"")</f>
        <v/>
      </c>
      <c r="H26" s="2898" t="str">
        <f>IF(OR(LEFT(H9,1)="Y",LEFT(H9,1)="y"),H8,"")</f>
        <v/>
      </c>
      <c r="I26" s="2421"/>
      <c r="J26" s="2899"/>
      <c r="K26" s="5903"/>
      <c r="L26" s="2900"/>
      <c r="M26" s="2900"/>
      <c r="N26" s="2900"/>
      <c r="O26" s="2900"/>
      <c r="P26" s="2900"/>
      <c r="Q26" s="2900"/>
      <c r="R26" s="2900"/>
      <c r="S26" s="2900"/>
      <c r="T26" s="2900"/>
      <c r="U26" s="2900"/>
      <c r="V26" s="2900"/>
      <c r="W26" s="2900"/>
      <c r="X26" s="2900"/>
      <c r="Y26" s="2900"/>
      <c r="AA26"/>
    </row>
    <row r="27" spans="1:31" s="2483" customFormat="1" ht="13.5" hidden="1" thickBot="1">
      <c r="D27" s="2483" t="str">
        <f>IF(D3&lt;&gt;"",D3,"")</f>
        <v/>
      </c>
      <c r="E27" s="2483" t="str">
        <f>IF(E3&lt;&gt;"",E3,"")</f>
        <v/>
      </c>
      <c r="F27" s="2483" t="str">
        <f>IF(F3&lt;&gt;"",F3,"")</f>
        <v/>
      </c>
      <c r="G27" s="2483" t="str">
        <f>IF(G3&lt;&gt;"",G3,"")</f>
        <v/>
      </c>
      <c r="H27" s="2483" t="str">
        <f>IF(H3&lt;&gt;"",H3,"")</f>
        <v/>
      </c>
      <c r="K27" s="5904"/>
      <c r="L27" s="2829"/>
      <c r="M27" s="2829"/>
      <c r="N27" s="2829"/>
      <c r="O27" s="2829"/>
      <c r="P27" s="2829"/>
      <c r="Q27" s="2829"/>
      <c r="R27" s="2829"/>
      <c r="S27" s="2829"/>
      <c r="T27" s="2829"/>
      <c r="U27" s="2829"/>
      <c r="V27" s="2829"/>
      <c r="W27" s="2829"/>
      <c r="X27" s="2829"/>
      <c r="Y27" s="2829"/>
      <c r="AA27" s="2400"/>
    </row>
    <row r="28" spans="1:31" s="2483" customFormat="1" ht="13.5" hidden="1" thickBot="1">
      <c r="D28" s="2483" t="str">
        <f>IF(D4&lt;&gt;"", " - "&amp;D4,"")</f>
        <v/>
      </c>
      <c r="E28" s="2483" t="str">
        <f>IF(E4&lt;&gt;"", " - "&amp;E4,"")</f>
        <v/>
      </c>
      <c r="F28" s="2483" t="str">
        <f>IF(F4&lt;&gt;"", " - "&amp;F4,"")</f>
        <v/>
      </c>
      <c r="G28" s="2483" t="str">
        <f>IF(G4&lt;&gt;"", " - "&amp;G4,"")</f>
        <v/>
      </c>
      <c r="H28" s="2483" t="str">
        <f>IF(H4&lt;&gt;"", " - "&amp;H4,"")</f>
        <v/>
      </c>
      <c r="K28" s="5904"/>
      <c r="L28" s="2829"/>
      <c r="M28" s="2829"/>
      <c r="N28" s="2829"/>
      <c r="O28" s="2829"/>
      <c r="P28" s="2829"/>
      <c r="Q28" s="2829"/>
      <c r="R28" s="2829"/>
      <c r="S28" s="2829"/>
      <c r="T28" s="2829"/>
      <c r="U28" s="2829"/>
      <c r="V28" s="2829"/>
      <c r="W28" s="2829"/>
      <c r="X28" s="2829"/>
      <c r="Y28" s="2829"/>
    </row>
    <row r="29" spans="1:31" s="2483" customFormat="1" ht="13.5" hidden="1" thickBot="1">
      <c r="D29" s="2483" t="str">
        <f>IF(D5&lt;&gt;""," - "&amp;D5,"")</f>
        <v/>
      </c>
      <c r="E29" s="2483" t="str">
        <f>IF(E5&lt;&gt;""," - "&amp;E5,"")</f>
        <v/>
      </c>
      <c r="F29" s="2483" t="str">
        <f>IF(F5&lt;&gt;""," - "&amp;F5,"")</f>
        <v/>
      </c>
      <c r="G29" s="2483" t="str">
        <f>IF(G5&lt;&gt;""," - "&amp;G5,"")</f>
        <v/>
      </c>
      <c r="H29" s="2483" t="str">
        <f>IF(H5&lt;&gt;""," - "&amp;H5,"")</f>
        <v/>
      </c>
      <c r="K29" s="5904"/>
      <c r="L29" s="2829"/>
      <c r="M29" s="2829"/>
      <c r="N29" s="2829"/>
      <c r="O29" s="2829"/>
      <c r="P29" s="2829"/>
      <c r="Q29" s="2829"/>
      <c r="R29" s="2829"/>
      <c r="S29" s="2829"/>
      <c r="T29" s="2829"/>
      <c r="U29" s="2829"/>
      <c r="V29" s="2829"/>
      <c r="W29" s="2829"/>
      <c r="X29" s="2829"/>
      <c r="Y29" s="2829"/>
    </row>
    <row r="30" spans="1:31" s="2483" customFormat="1" ht="13.5" hidden="1" thickBot="1">
      <c r="D30" s="2830" t="str">
        <f>D27&amp;D28&amp;D29</f>
        <v/>
      </c>
      <c r="E30" s="2830" t="str">
        <f>E27&amp;E28&amp;E29</f>
        <v/>
      </c>
      <c r="F30" s="2830" t="str">
        <f>F27&amp;F28&amp;F29</f>
        <v/>
      </c>
      <c r="G30" s="2830" t="str">
        <f>G27&amp;G28&amp;G29</f>
        <v/>
      </c>
      <c r="H30" s="2830" t="str">
        <f>H27&amp;H28&amp;H29</f>
        <v/>
      </c>
      <c r="K30" s="5904"/>
      <c r="L30" s="2829"/>
      <c r="M30" s="2829"/>
      <c r="N30" s="2829"/>
      <c r="O30" s="2829"/>
      <c r="P30" s="2829"/>
      <c r="Q30" s="2829"/>
      <c r="R30" s="2829"/>
      <c r="S30" s="2829"/>
      <c r="T30" s="2829"/>
      <c r="U30" s="2829"/>
      <c r="V30" s="2829"/>
      <c r="W30" s="2829"/>
      <c r="X30" s="2829"/>
      <c r="Y30" s="2829"/>
    </row>
    <row r="31" spans="1:31" ht="42" customHeight="1" thickTop="1" thickBot="1">
      <c r="A31" s="1154"/>
      <c r="B31" s="830"/>
      <c r="C31" s="1287" t="str">
        <f>IF(Name_1st_Yours="","Enter your name(s) on the"&amp;CHAR(10)&amp;"sheet lableled '1040'",IF(File_Marr_Joint&lt;&gt;"",NameYours&amp;CHAR(10)&amp;" and "&amp;NameSpouse,NameYours))</f>
        <v>Enter your name(s) on the
sheet lableled '1040'</v>
      </c>
      <c r="D31" s="1919" t="s">
        <v>1660</v>
      </c>
      <c r="E31" s="1919" t="s">
        <v>1661</v>
      </c>
      <c r="F31" s="1919" t="s">
        <v>1832</v>
      </c>
      <c r="G31" s="1919" t="s">
        <v>1833</v>
      </c>
      <c r="H31" s="1919" t="s">
        <v>1871</v>
      </c>
      <c r="I31" s="542"/>
      <c r="J31" s="542"/>
      <c r="AA31" s="2483"/>
    </row>
    <row r="32" spans="1:31">
      <c r="A32" s="1145"/>
      <c r="B32" s="2280"/>
      <c r="C32" s="2457" t="s">
        <v>1870</v>
      </c>
      <c r="D32" s="2461"/>
      <c r="E32" s="2462"/>
      <c r="F32" s="2462"/>
      <c r="G32" s="2462"/>
      <c r="H32" s="2463"/>
      <c r="I32" s="2460"/>
      <c r="J32" s="484"/>
    </row>
    <row r="33" spans="1:31">
      <c r="A33" s="1145"/>
      <c r="B33" s="2281"/>
      <c r="C33" s="2458" t="s">
        <v>1869</v>
      </c>
      <c r="D33" s="2492"/>
      <c r="E33" s="2493"/>
      <c r="F33" s="2493"/>
      <c r="G33" s="2493"/>
      <c r="H33" s="2494"/>
      <c r="I33" s="2460"/>
      <c r="J33" s="484"/>
    </row>
    <row r="34" spans="1:31" ht="13.5" thickBot="1">
      <c r="A34" s="1145"/>
      <c r="B34" s="2282"/>
      <c r="C34" s="2459" t="s">
        <v>156</v>
      </c>
      <c r="D34" s="2495"/>
      <c r="E34" s="2496"/>
      <c r="F34" s="2496"/>
      <c r="G34" s="2496"/>
      <c r="H34" s="2497"/>
      <c r="I34" s="2460"/>
      <c r="J34" s="484"/>
    </row>
    <row r="35" spans="1:31" ht="13.5" customHeight="1">
      <c r="A35" s="1145"/>
      <c r="B35" s="3934" t="s">
        <v>148</v>
      </c>
      <c r="C35" s="2283" t="s">
        <v>1854</v>
      </c>
      <c r="D35" s="2465"/>
      <c r="E35" s="2466"/>
      <c r="F35" s="2466"/>
      <c r="G35" s="2575"/>
      <c r="H35" s="2576"/>
      <c r="I35" s="2577"/>
      <c r="J35" s="484"/>
      <c r="AA35" s="4">
        <f t="shared" ref="AA35:AE37" si="4">ROUND(D35,0)</f>
        <v>0</v>
      </c>
      <c r="AB35" s="4">
        <f t="shared" si="4"/>
        <v>0</v>
      </c>
      <c r="AC35" s="4">
        <f t="shared" si="4"/>
        <v>0</v>
      </c>
      <c r="AD35" s="4">
        <f t="shared" si="4"/>
        <v>0</v>
      </c>
      <c r="AE35" s="4">
        <f t="shared" si="4"/>
        <v>0</v>
      </c>
    </row>
    <row r="36" spans="1:31" ht="13.5" customHeight="1">
      <c r="A36" s="1145"/>
      <c r="B36" s="1336" t="s">
        <v>149</v>
      </c>
      <c r="C36" s="2284" t="s">
        <v>1855</v>
      </c>
      <c r="D36" s="2467"/>
      <c r="E36" s="2468"/>
      <c r="F36" s="2468"/>
      <c r="G36" s="2469"/>
      <c r="H36" s="2470"/>
      <c r="I36" s="2292"/>
      <c r="J36" s="484"/>
      <c r="AA36" s="4">
        <f t="shared" si="4"/>
        <v>0</v>
      </c>
      <c r="AB36" s="4">
        <f t="shared" si="4"/>
        <v>0</v>
      </c>
      <c r="AC36" s="4">
        <f t="shared" si="4"/>
        <v>0</v>
      </c>
      <c r="AD36" s="4">
        <f t="shared" si="4"/>
        <v>0</v>
      </c>
      <c r="AE36" s="4">
        <f t="shared" si="4"/>
        <v>0</v>
      </c>
    </row>
    <row r="37" spans="1:31" ht="13.5" customHeight="1">
      <c r="A37" s="1145"/>
      <c r="B37" s="1336" t="s">
        <v>150</v>
      </c>
      <c r="C37" s="2284" t="s">
        <v>1856</v>
      </c>
      <c r="D37" s="2467"/>
      <c r="E37" s="2468"/>
      <c r="F37" s="2468"/>
      <c r="G37" s="2469"/>
      <c r="H37" s="2470"/>
      <c r="I37" s="2292"/>
      <c r="J37" s="484"/>
      <c r="AA37" s="4">
        <f t="shared" si="4"/>
        <v>0</v>
      </c>
      <c r="AB37" s="4">
        <f t="shared" si="4"/>
        <v>0</v>
      </c>
      <c r="AC37" s="4">
        <f t="shared" si="4"/>
        <v>0</v>
      </c>
      <c r="AD37" s="4">
        <f t="shared" si="4"/>
        <v>0</v>
      </c>
      <c r="AE37" s="4">
        <f t="shared" si="4"/>
        <v>0</v>
      </c>
    </row>
    <row r="38" spans="1:31" ht="13.5" customHeight="1">
      <c r="A38" s="1145"/>
      <c r="B38" s="2287" t="s">
        <v>2272</v>
      </c>
      <c r="C38" s="2284" t="s">
        <v>2319</v>
      </c>
      <c r="D38" s="2878" t="s">
        <v>2041</v>
      </c>
      <c r="E38" s="2879" t="s">
        <v>2041</v>
      </c>
      <c r="F38" s="2879" t="s">
        <v>2041</v>
      </c>
      <c r="G38" s="2880" t="s">
        <v>2041</v>
      </c>
      <c r="H38" s="2881" t="s">
        <v>2041</v>
      </c>
      <c r="I38" s="2292"/>
      <c r="J38" s="484"/>
      <c r="AA38" s="4"/>
      <c r="AB38" s="4"/>
      <c r="AC38" s="4"/>
      <c r="AD38" s="4"/>
      <c r="AE38" s="4"/>
    </row>
    <row r="39" spans="1:31" ht="13.5" customHeight="1">
      <c r="A39" s="1145"/>
      <c r="B39" s="1336" t="s">
        <v>151</v>
      </c>
      <c r="C39" s="2578" t="s">
        <v>164</v>
      </c>
      <c r="D39" s="2467"/>
      <c r="E39" s="2468"/>
      <c r="F39" s="2468"/>
      <c r="G39" s="2469"/>
      <c r="H39" s="2470"/>
      <c r="I39" s="2292"/>
      <c r="J39" s="484"/>
      <c r="AA39" s="4">
        <f t="shared" ref="AA39:AA44" si="5">ROUND(D39,0)</f>
        <v>0</v>
      </c>
      <c r="AB39" s="4">
        <f t="shared" ref="AB39:AB44" si="6">ROUND(E39,0)</f>
        <v>0</v>
      </c>
      <c r="AC39" s="4">
        <f t="shared" ref="AC39:AC44" si="7">ROUND(F39,0)</f>
        <v>0</v>
      </c>
      <c r="AD39" s="4">
        <f t="shared" ref="AD39:AD44" si="8">ROUND(G39,0)</f>
        <v>0</v>
      </c>
      <c r="AE39" s="4">
        <f t="shared" ref="AE39:AE44" si="9">ROUND(H39,0)</f>
        <v>0</v>
      </c>
    </row>
    <row r="40" spans="1:31">
      <c r="A40" s="1145"/>
      <c r="B40" s="6046" t="s">
        <v>200</v>
      </c>
      <c r="C40" s="1156" t="s">
        <v>1857</v>
      </c>
      <c r="D40" s="2467"/>
      <c r="E40" s="2468"/>
      <c r="F40" s="2468"/>
      <c r="G40" s="2469"/>
      <c r="H40" s="2470"/>
      <c r="I40" s="2292"/>
      <c r="J40" s="484"/>
      <c r="AA40" s="4">
        <f t="shared" si="5"/>
        <v>0</v>
      </c>
      <c r="AB40" s="4">
        <f t="shared" si="6"/>
        <v>0</v>
      </c>
      <c r="AC40" s="4">
        <f t="shared" si="7"/>
        <v>0</v>
      </c>
      <c r="AD40" s="4">
        <f t="shared" si="8"/>
        <v>0</v>
      </c>
      <c r="AE40" s="4">
        <f t="shared" si="9"/>
        <v>0</v>
      </c>
    </row>
    <row r="41" spans="1:31">
      <c r="A41" s="1145"/>
      <c r="B41" s="1336" t="s">
        <v>101</v>
      </c>
      <c r="C41" s="2578" t="s">
        <v>1858</v>
      </c>
      <c r="D41" s="2467"/>
      <c r="E41" s="2468"/>
      <c r="F41" s="2468"/>
      <c r="G41" s="2469"/>
      <c r="H41" s="2470"/>
      <c r="I41" s="2848" t="str">
        <f>IF(SUM(D41:H41)&gt;0,"Check Form 1116, Foreign Tax Credit","")</f>
        <v/>
      </c>
      <c r="J41" s="484"/>
      <c r="AA41" s="4">
        <f t="shared" si="5"/>
        <v>0</v>
      </c>
      <c r="AB41" s="4">
        <f t="shared" si="6"/>
        <v>0</v>
      </c>
      <c r="AC41" s="4">
        <f t="shared" si="7"/>
        <v>0</v>
      </c>
      <c r="AD41" s="4">
        <f t="shared" si="8"/>
        <v>0</v>
      </c>
      <c r="AE41" s="4">
        <f t="shared" si="9"/>
        <v>0</v>
      </c>
    </row>
    <row r="42" spans="1:31">
      <c r="A42" s="1145"/>
      <c r="B42" s="6046" t="s">
        <v>102</v>
      </c>
      <c r="C42" s="1156" t="s">
        <v>1859</v>
      </c>
      <c r="D42" s="2451"/>
      <c r="E42" s="2452"/>
      <c r="F42" s="2452"/>
      <c r="G42" s="2471"/>
      <c r="H42" s="2472"/>
      <c r="I42" s="2293"/>
      <c r="J42" s="484"/>
      <c r="AA42" s="4">
        <f t="shared" si="5"/>
        <v>0</v>
      </c>
      <c r="AB42" s="4">
        <f t="shared" si="6"/>
        <v>0</v>
      </c>
      <c r="AC42" s="4">
        <f t="shared" si="7"/>
        <v>0</v>
      </c>
      <c r="AD42" s="4">
        <f t="shared" si="8"/>
        <v>0</v>
      </c>
      <c r="AE42" s="4">
        <f t="shared" si="9"/>
        <v>0</v>
      </c>
    </row>
    <row r="43" spans="1:31">
      <c r="A43" s="1145"/>
      <c r="B43" s="1336" t="s">
        <v>103</v>
      </c>
      <c r="C43" s="2578" t="s">
        <v>1860</v>
      </c>
      <c r="D43" s="2467"/>
      <c r="E43" s="2468"/>
      <c r="F43" s="2468"/>
      <c r="G43" s="2469"/>
      <c r="H43" s="2470"/>
      <c r="I43" s="2292"/>
      <c r="J43" s="484"/>
      <c r="AA43" s="4">
        <f t="shared" si="5"/>
        <v>0</v>
      </c>
      <c r="AB43" s="4">
        <f t="shared" si="6"/>
        <v>0</v>
      </c>
      <c r="AC43" s="4">
        <f t="shared" si="7"/>
        <v>0</v>
      </c>
      <c r="AD43" s="4">
        <f t="shared" si="8"/>
        <v>0</v>
      </c>
      <c r="AE43" s="4">
        <f t="shared" si="9"/>
        <v>0</v>
      </c>
    </row>
    <row r="44" spans="1:31">
      <c r="A44" s="1145"/>
      <c r="B44" s="1336" t="s">
        <v>104</v>
      </c>
      <c r="C44" s="2578" t="s">
        <v>1861</v>
      </c>
      <c r="D44" s="2467"/>
      <c r="E44" s="2468"/>
      <c r="F44" s="2468"/>
      <c r="G44" s="2468"/>
      <c r="H44" s="2470"/>
      <c r="I44" s="2294"/>
      <c r="J44" s="484"/>
      <c r="AA44" s="4">
        <f t="shared" si="5"/>
        <v>0</v>
      </c>
      <c r="AB44" s="4">
        <f t="shared" si="6"/>
        <v>0</v>
      </c>
      <c r="AC44" s="4">
        <f t="shared" si="7"/>
        <v>0</v>
      </c>
      <c r="AD44" s="4">
        <f t="shared" si="8"/>
        <v>0</v>
      </c>
      <c r="AE44" s="4">
        <f t="shared" si="9"/>
        <v>0</v>
      </c>
    </row>
    <row r="45" spans="1:31">
      <c r="A45" s="1145"/>
      <c r="B45" s="1155"/>
      <c r="C45" s="1156"/>
      <c r="D45" s="2467"/>
      <c r="E45" s="2468"/>
      <c r="F45" s="2468"/>
      <c r="G45" s="2469"/>
      <c r="H45" s="2470"/>
      <c r="I45" s="2292"/>
      <c r="J45" s="484"/>
      <c r="AA45" s="4"/>
      <c r="AB45" s="4"/>
      <c r="AC45" s="4"/>
      <c r="AD45" s="4"/>
      <c r="AE45" s="4"/>
    </row>
    <row r="46" spans="1:31">
      <c r="A46" s="1145"/>
      <c r="B46" s="1336" t="s">
        <v>105</v>
      </c>
      <c r="C46" s="2578" t="s">
        <v>1862</v>
      </c>
      <c r="D46" s="2467"/>
      <c r="E46" s="2468"/>
      <c r="F46" s="2468"/>
      <c r="G46" s="2469"/>
      <c r="H46" s="2470"/>
      <c r="I46" s="2292"/>
      <c r="J46" s="484"/>
      <c r="AA46" s="4">
        <f t="shared" ref="AA46:AE50" si="10">ROUND(D46,0)</f>
        <v>0</v>
      </c>
      <c r="AB46" s="4">
        <f t="shared" si="10"/>
        <v>0</v>
      </c>
      <c r="AC46" s="4">
        <f t="shared" si="10"/>
        <v>0</v>
      </c>
      <c r="AD46" s="4">
        <f t="shared" si="10"/>
        <v>0</v>
      </c>
      <c r="AE46" s="4">
        <f t="shared" si="10"/>
        <v>0</v>
      </c>
    </row>
    <row r="47" spans="1:31">
      <c r="A47" s="1145"/>
      <c r="B47" s="6046" t="s">
        <v>657</v>
      </c>
      <c r="C47" s="1156" t="s">
        <v>1863</v>
      </c>
      <c r="D47" s="4404"/>
      <c r="E47" s="4405"/>
      <c r="F47" s="4405"/>
      <c r="G47" s="4405"/>
      <c r="H47" s="4406"/>
      <c r="I47" s="2292"/>
      <c r="J47" s="484"/>
      <c r="AA47" s="4">
        <f t="shared" si="10"/>
        <v>0</v>
      </c>
      <c r="AB47" s="4">
        <f t="shared" si="10"/>
        <v>0</v>
      </c>
      <c r="AC47" s="4">
        <f t="shared" si="10"/>
        <v>0</v>
      </c>
      <c r="AD47" s="4">
        <f t="shared" si="10"/>
        <v>0</v>
      </c>
      <c r="AE47" s="4">
        <f t="shared" si="10"/>
        <v>0</v>
      </c>
    </row>
    <row r="48" spans="1:31">
      <c r="A48" s="1145"/>
      <c r="B48" s="6046" t="s">
        <v>220</v>
      </c>
      <c r="C48" s="1156" t="s">
        <v>1864</v>
      </c>
      <c r="D48" s="4404"/>
      <c r="E48" s="4405"/>
      <c r="F48" s="4405"/>
      <c r="G48" s="4405"/>
      <c r="H48" s="4406"/>
      <c r="I48" s="2292"/>
      <c r="J48" s="484"/>
      <c r="AA48" s="4">
        <f t="shared" si="10"/>
        <v>0</v>
      </c>
      <c r="AB48" s="4">
        <f t="shared" si="10"/>
        <v>0</v>
      </c>
      <c r="AC48" s="4">
        <f t="shared" si="10"/>
        <v>0</v>
      </c>
      <c r="AD48" s="4">
        <f t="shared" si="10"/>
        <v>0</v>
      </c>
      <c r="AE48" s="4">
        <f t="shared" si="10"/>
        <v>0</v>
      </c>
    </row>
    <row r="49" spans="1:31">
      <c r="A49" s="1145"/>
      <c r="B49" s="6046" t="s">
        <v>658</v>
      </c>
      <c r="C49" s="1156" t="s">
        <v>1865</v>
      </c>
      <c r="D49" s="4404"/>
      <c r="E49" s="4405"/>
      <c r="F49" s="4405"/>
      <c r="G49" s="4405"/>
      <c r="H49" s="4406"/>
      <c r="I49" s="2293"/>
      <c r="J49" s="484"/>
      <c r="AA49" s="4">
        <f t="shared" si="10"/>
        <v>0</v>
      </c>
      <c r="AB49" s="4">
        <f t="shared" si="10"/>
        <v>0</v>
      </c>
      <c r="AC49" s="4">
        <f t="shared" si="10"/>
        <v>0</v>
      </c>
      <c r="AD49" s="4">
        <f t="shared" si="10"/>
        <v>0</v>
      </c>
      <c r="AE49" s="4">
        <f t="shared" si="10"/>
        <v>0</v>
      </c>
    </row>
    <row r="50" spans="1:31">
      <c r="A50" s="1145"/>
      <c r="B50" s="6046" t="s">
        <v>661</v>
      </c>
      <c r="C50" s="1156" t="s">
        <v>1866</v>
      </c>
      <c r="D50" s="2451"/>
      <c r="E50" s="2452"/>
      <c r="F50" s="2452"/>
      <c r="G50" s="2452"/>
      <c r="H50" s="2472"/>
      <c r="I50" s="2292"/>
      <c r="J50" s="484"/>
      <c r="AA50" s="4">
        <f t="shared" si="10"/>
        <v>0</v>
      </c>
      <c r="AB50" s="4">
        <f t="shared" si="10"/>
        <v>0</v>
      </c>
      <c r="AC50" s="4">
        <f t="shared" si="10"/>
        <v>0</v>
      </c>
      <c r="AD50" s="4">
        <f t="shared" si="10"/>
        <v>0</v>
      </c>
      <c r="AE50" s="4">
        <f t="shared" si="10"/>
        <v>0</v>
      </c>
    </row>
    <row r="51" spans="1:31">
      <c r="A51" s="1145"/>
      <c r="B51" s="6046" t="s">
        <v>662</v>
      </c>
      <c r="C51" s="1156" t="s">
        <v>1867</v>
      </c>
      <c r="D51" s="4403"/>
      <c r="E51" s="4407"/>
      <c r="F51" s="4407"/>
      <c r="G51" s="4407"/>
      <c r="H51" s="4408"/>
      <c r="I51" s="2292"/>
      <c r="J51" s="484"/>
      <c r="AA51" s="4"/>
      <c r="AB51" s="4"/>
      <c r="AC51" s="4"/>
      <c r="AD51" s="4"/>
      <c r="AE51" s="4"/>
    </row>
    <row r="52" spans="1:31">
      <c r="A52" s="1145"/>
      <c r="B52" s="6046" t="s">
        <v>1107</v>
      </c>
      <c r="C52" s="1156" t="s">
        <v>1868</v>
      </c>
      <c r="D52" s="2453"/>
      <c r="E52" s="2454"/>
      <c r="F52" s="2454"/>
      <c r="G52" s="2454"/>
      <c r="H52" s="2456"/>
      <c r="I52" s="2293"/>
      <c r="J52" s="484"/>
      <c r="AA52" s="4"/>
      <c r="AB52" s="4"/>
      <c r="AC52" s="4"/>
      <c r="AD52" s="4"/>
      <c r="AE52" s="4"/>
    </row>
    <row r="53" spans="1:31" ht="13.5" thickBot="1">
      <c r="A53" s="1145"/>
      <c r="B53" s="3936" t="s">
        <v>1107</v>
      </c>
      <c r="C53" s="2579" t="s">
        <v>422</v>
      </c>
      <c r="D53" s="2477"/>
      <c r="E53" s="2478"/>
      <c r="F53" s="2478"/>
      <c r="G53" s="2479"/>
      <c r="H53" s="2480"/>
      <c r="I53" s="2292"/>
      <c r="J53" s="484"/>
      <c r="AA53" s="4">
        <f>ROUND(D53,0)</f>
        <v>0</v>
      </c>
      <c r="AB53" s="4">
        <f>ROUND(E53,0)</f>
        <v>0</v>
      </c>
      <c r="AC53" s="4">
        <f>ROUND(F53,0)</f>
        <v>0</v>
      </c>
      <c r="AD53" s="4">
        <f>ROUND(G53,0)</f>
        <v>0</v>
      </c>
      <c r="AE53" s="4">
        <f>ROUND(H53,0)</f>
        <v>0</v>
      </c>
    </row>
    <row r="54" spans="1:31" ht="17.25" customHeight="1" thickBot="1">
      <c r="A54" s="1145"/>
      <c r="B54" s="2427" t="s">
        <v>1987</v>
      </c>
      <c r="C54" s="1145"/>
      <c r="D54" s="1145"/>
      <c r="E54" s="1145"/>
      <c r="F54" s="1145"/>
      <c r="G54" s="1145"/>
      <c r="H54" s="1145"/>
      <c r="I54" s="1145"/>
      <c r="J54" s="484"/>
    </row>
    <row r="55" spans="1:31" ht="17.25" hidden="1" customHeight="1">
      <c r="A55" s="1145"/>
      <c r="B55" s="2427"/>
      <c r="C55" s="1145"/>
      <c r="D55" s="2882" t="str">
        <f>IF(OR(LEFT(D38,1)="Y",LEFT(D38,1)="y"),D37,"")</f>
        <v/>
      </c>
      <c r="E55" s="2882" t="str">
        <f>IF(OR(LEFT(E38,1)="Y",LEFT(E38,1)="y"),E37,"")</f>
        <v/>
      </c>
      <c r="F55" s="2882" t="str">
        <f>IF(OR(LEFT(F38,1)="Y",LEFT(F38,1)="y"),F37,"")</f>
        <v/>
      </c>
      <c r="G55" s="2882" t="str">
        <f>IF(OR(LEFT(G38,1)="Y",LEFT(G38,1)="y"),G37,"")</f>
        <v/>
      </c>
      <c r="H55" s="2882" t="str">
        <f>IF(OR(LEFT(H38,1)="Y",LEFT(H38,1)="y"),H37,"")</f>
        <v/>
      </c>
      <c r="I55" s="1145"/>
      <c r="J55" s="484"/>
    </row>
    <row r="56" spans="1:31" s="2483" customFormat="1" ht="13.5" hidden="1" thickBot="1">
      <c r="D56" s="2483" t="str">
        <f>IF(D32&lt;&gt;"",D32,"")</f>
        <v/>
      </c>
      <c r="E56" s="2483" t="str">
        <f>IF(E32&lt;&gt;"",E32,"")</f>
        <v/>
      </c>
      <c r="F56" s="2483" t="str">
        <f>IF(F32&lt;&gt;"",F32,"")</f>
        <v/>
      </c>
      <c r="G56" s="2483" t="str">
        <f>IF(G32&lt;&gt;"",G32,"")</f>
        <v/>
      </c>
      <c r="H56" s="2483" t="str">
        <f>IF(H32&lt;&gt;"",H32,"")</f>
        <v/>
      </c>
      <c r="K56" s="5904"/>
      <c r="L56" s="2829"/>
      <c r="M56" s="2829"/>
      <c r="N56" s="2829"/>
      <c r="O56" s="2829"/>
      <c r="P56" s="2829"/>
      <c r="Q56" s="2829"/>
      <c r="R56" s="2829"/>
      <c r="S56" s="2829"/>
      <c r="T56" s="2829"/>
      <c r="U56" s="2829"/>
      <c r="V56" s="2829"/>
      <c r="W56" s="2829"/>
      <c r="X56" s="2829"/>
      <c r="Y56" s="2829"/>
    </row>
    <row r="57" spans="1:31" s="2483" customFormat="1" ht="13.5" hidden="1" thickBot="1">
      <c r="D57" s="2483" t="str">
        <f>IF(D33&lt;&gt;"", " - "&amp;D33,"")</f>
        <v/>
      </c>
      <c r="E57" s="2483" t="str">
        <f>IF(E33&lt;&gt;"", " - "&amp;E33,"")</f>
        <v/>
      </c>
      <c r="F57" s="2483" t="str">
        <f>IF(F33&lt;&gt;"", " - "&amp;F33,"")</f>
        <v/>
      </c>
      <c r="G57" s="2483" t="str">
        <f>IF(G33&lt;&gt;"", " - "&amp;G33,"")</f>
        <v/>
      </c>
      <c r="H57" s="2483" t="str">
        <f>IF(H33&lt;&gt;"", " - "&amp;H33,"")</f>
        <v/>
      </c>
      <c r="K57" s="5904"/>
      <c r="L57" s="2829"/>
      <c r="M57" s="2829"/>
      <c r="N57" s="2829"/>
      <c r="O57" s="2829"/>
      <c r="P57" s="2829"/>
      <c r="Q57" s="2829"/>
      <c r="R57" s="2829"/>
      <c r="S57" s="2829"/>
      <c r="T57" s="2829"/>
      <c r="U57" s="2829"/>
      <c r="V57" s="2829"/>
      <c r="W57" s="2829"/>
      <c r="X57" s="2829"/>
      <c r="Y57" s="2829"/>
    </row>
    <row r="58" spans="1:31" s="2483" customFormat="1" ht="13.5" hidden="1" thickBot="1">
      <c r="D58" s="2483" t="str">
        <f>IF(D34&lt;&gt;""," - "&amp;D34,"")</f>
        <v/>
      </c>
      <c r="E58" s="2483" t="str">
        <f>IF(E34&lt;&gt;""," - "&amp;E34,"")</f>
        <v/>
      </c>
      <c r="F58" s="2483" t="str">
        <f>IF(F34&lt;&gt;""," - "&amp;F34,"")</f>
        <v/>
      </c>
      <c r="G58" s="2483" t="str">
        <f>IF(G34&lt;&gt;""," - "&amp;G34,"")</f>
        <v/>
      </c>
      <c r="H58" s="2483" t="str">
        <f>IF(H34&lt;&gt;""," - "&amp;H34,"")</f>
        <v/>
      </c>
      <c r="K58" s="5904"/>
      <c r="L58" s="2829"/>
      <c r="M58" s="2829"/>
      <c r="N58" s="2829"/>
      <c r="O58" s="2829"/>
      <c r="P58" s="2829"/>
      <c r="Q58" s="2829"/>
      <c r="R58" s="2829"/>
      <c r="S58" s="2829"/>
      <c r="T58" s="2829"/>
      <c r="U58" s="2829"/>
      <c r="V58" s="2829"/>
      <c r="W58" s="2829"/>
      <c r="X58" s="2829"/>
      <c r="Y58" s="2829"/>
    </row>
    <row r="59" spans="1:31" s="2483" customFormat="1" ht="13.5" hidden="1" thickBot="1">
      <c r="D59" s="2830" t="str">
        <f>D56&amp;D57&amp;D58</f>
        <v/>
      </c>
      <c r="E59" s="2830" t="str">
        <f>E56&amp;E57&amp;E58</f>
        <v/>
      </c>
      <c r="F59" s="2830" t="str">
        <f>F56&amp;F57&amp;F58</f>
        <v/>
      </c>
      <c r="G59" s="2830" t="str">
        <f>G56&amp;G57&amp;G58</f>
        <v/>
      </c>
      <c r="H59" s="2830" t="str">
        <f>H56&amp;H57&amp;H58</f>
        <v/>
      </c>
      <c r="K59" s="5904"/>
      <c r="L59" s="2829"/>
      <c r="M59" s="2829"/>
      <c r="N59" s="2829"/>
      <c r="O59" s="2829"/>
      <c r="P59" s="2829"/>
      <c r="Q59" s="2829"/>
      <c r="R59" s="2829"/>
      <c r="S59" s="2829"/>
      <c r="T59" s="2829"/>
      <c r="U59" s="2829"/>
      <c r="V59" s="2829"/>
      <c r="W59" s="2829"/>
      <c r="X59" s="2829"/>
      <c r="Y59" s="2829"/>
    </row>
    <row r="60" spans="1:31" ht="42" customHeight="1" thickTop="1" thickBot="1">
      <c r="A60" s="2423"/>
      <c r="B60" s="2445" t="s">
        <v>1988</v>
      </c>
      <c r="C60" s="2424"/>
      <c r="D60" s="2425"/>
      <c r="E60" s="2426"/>
      <c r="F60" s="2425"/>
      <c r="G60" s="2425"/>
      <c r="H60" s="2425"/>
      <c r="I60" s="2295"/>
      <c r="J60" s="484"/>
    </row>
    <row r="61" spans="1:31" ht="42" customHeight="1" thickTop="1" thickBot="1">
      <c r="A61" s="1145"/>
      <c r="B61" s="462"/>
      <c r="C61" s="1287" t="str">
        <f>IF(Name_1st_Yours="","Enter your name(s) on the"&amp;CHAR(10)&amp;"sheet lableled '1040'",IF(File_Marr_Joint&lt;&gt;"",NameYours&amp;CHAR(10)&amp;" and "&amp;NameSpouse,NameYours))</f>
        <v>Enter your name(s) on the
sheet lableled '1040'</v>
      </c>
      <c r="D61" s="1919" t="s">
        <v>2245</v>
      </c>
      <c r="E61" s="1919" t="s">
        <v>2246</v>
      </c>
      <c r="F61" s="1919" t="s">
        <v>2247</v>
      </c>
      <c r="G61" s="1919" t="s">
        <v>2248</v>
      </c>
      <c r="H61" s="1919" t="s">
        <v>2249</v>
      </c>
      <c r="I61" s="2296" t="s">
        <v>202</v>
      </c>
      <c r="J61" s="2395" t="s">
        <v>1935</v>
      </c>
    </row>
    <row r="62" spans="1:31">
      <c r="A62" s="1145"/>
      <c r="B62" s="2280"/>
      <c r="C62" s="2457" t="s">
        <v>1870</v>
      </c>
      <c r="D62" s="2461"/>
      <c r="E62" s="2462"/>
      <c r="F62" s="2462"/>
      <c r="G62" s="2462"/>
      <c r="H62" s="2463"/>
      <c r="I62" s="2464"/>
      <c r="J62" s="2396"/>
    </row>
    <row r="63" spans="1:31">
      <c r="A63" s="1145"/>
      <c r="B63" s="2281"/>
      <c r="C63" s="2458" t="s">
        <v>1869</v>
      </c>
      <c r="D63" s="2492"/>
      <c r="E63" s="2493"/>
      <c r="F63" s="2493"/>
      <c r="G63" s="2493"/>
      <c r="H63" s="2494"/>
      <c r="I63" s="2580"/>
      <c r="J63" s="2396"/>
    </row>
    <row r="64" spans="1:31" ht="13.5" thickBot="1">
      <c r="A64" s="1145"/>
      <c r="B64" s="2282"/>
      <c r="C64" s="2459" t="s">
        <v>156</v>
      </c>
      <c r="D64" s="2495"/>
      <c r="E64" s="2496"/>
      <c r="F64" s="2496"/>
      <c r="G64" s="2496"/>
      <c r="H64" s="2497"/>
      <c r="I64" s="2581"/>
      <c r="J64" s="2848" t="str">
        <f>IF(AND(ForeignTaxPaid&lt;&gt;"",ForeignTaxPaid&gt;0),"Check Form 1116, Foreign Tax Credit","")</f>
        <v/>
      </c>
    </row>
    <row r="65" spans="1:31" ht="13.5" customHeight="1">
      <c r="A65" s="1145"/>
      <c r="B65" s="3934" t="s">
        <v>148</v>
      </c>
      <c r="C65" s="2283" t="s">
        <v>1854</v>
      </c>
      <c r="D65" s="2465"/>
      <c r="E65" s="2466"/>
      <c r="F65" s="2466"/>
      <c r="G65" s="2575"/>
      <c r="H65" s="2576"/>
      <c r="I65" s="5890">
        <f>SUM(AA6:AE6,AA35:AE35,AA65:AE65)</f>
        <v>0</v>
      </c>
      <c r="J65" s="2397" t="s">
        <v>1938</v>
      </c>
      <c r="AA65" s="4">
        <f t="shared" ref="AA65:AE67" si="11">ROUND(D65,0)</f>
        <v>0</v>
      </c>
      <c r="AB65" s="4">
        <f t="shared" si="11"/>
        <v>0</v>
      </c>
      <c r="AC65" s="4">
        <f t="shared" si="11"/>
        <v>0</v>
      </c>
      <c r="AD65" s="4">
        <f t="shared" si="11"/>
        <v>0</v>
      </c>
      <c r="AE65" s="4">
        <f t="shared" si="11"/>
        <v>0</v>
      </c>
    </row>
    <row r="66" spans="1:31" ht="13.5" customHeight="1">
      <c r="A66" s="1145"/>
      <c r="B66" s="1336" t="s">
        <v>149</v>
      </c>
      <c r="C66" s="2284" t="s">
        <v>1855</v>
      </c>
      <c r="D66" s="2467"/>
      <c r="E66" s="2468"/>
      <c r="F66" s="2468"/>
      <c r="G66" s="2469"/>
      <c r="H66" s="2470"/>
      <c r="I66" s="4386">
        <f t="shared" ref="I66:I78" si="12">SUM(AA7:AE7,AA36:AE36,AA66:AE66)</f>
        <v>0</v>
      </c>
      <c r="J66" s="2397" t="s">
        <v>3128</v>
      </c>
      <c r="AA66" s="4">
        <f t="shared" si="11"/>
        <v>0</v>
      </c>
      <c r="AB66" s="4">
        <f t="shared" si="11"/>
        <v>0</v>
      </c>
      <c r="AC66" s="4">
        <f t="shared" si="11"/>
        <v>0</v>
      </c>
      <c r="AD66" s="4">
        <f t="shared" si="11"/>
        <v>0</v>
      </c>
      <c r="AE66" s="4">
        <f t="shared" si="11"/>
        <v>0</v>
      </c>
    </row>
    <row r="67" spans="1:31" ht="13.5" customHeight="1">
      <c r="A67" s="1145"/>
      <c r="B67" s="1336" t="s">
        <v>150</v>
      </c>
      <c r="C67" s="2284" t="s">
        <v>1856</v>
      </c>
      <c r="D67" s="2467"/>
      <c r="E67" s="2468"/>
      <c r="F67" s="2468"/>
      <c r="G67" s="2469"/>
      <c r="H67" s="2470"/>
      <c r="I67" s="5891">
        <f t="shared" si="12"/>
        <v>0</v>
      </c>
      <c r="J67" s="2397" t="s">
        <v>2474</v>
      </c>
      <c r="AA67" s="4">
        <f t="shared" si="11"/>
        <v>0</v>
      </c>
      <c r="AB67" s="4">
        <f t="shared" si="11"/>
        <v>0</v>
      </c>
      <c r="AC67" s="4">
        <f t="shared" si="11"/>
        <v>0</v>
      </c>
      <c r="AD67" s="4">
        <f t="shared" si="11"/>
        <v>0</v>
      </c>
      <c r="AE67" s="4">
        <f t="shared" si="11"/>
        <v>0</v>
      </c>
    </row>
    <row r="68" spans="1:31" ht="13.5" customHeight="1" thickBot="1">
      <c r="A68" s="1145"/>
      <c r="B68" s="2287" t="s">
        <v>2272</v>
      </c>
      <c r="C68" s="2284" t="s">
        <v>2319</v>
      </c>
      <c r="D68" s="2878" t="s">
        <v>2041</v>
      </c>
      <c r="E68" s="2879" t="s">
        <v>2041</v>
      </c>
      <c r="F68" s="2879" t="s">
        <v>2041</v>
      </c>
      <c r="G68" s="2880" t="s">
        <v>2041</v>
      </c>
      <c r="H68" s="2881" t="s">
        <v>2041</v>
      </c>
      <c r="I68" s="5892"/>
      <c r="J68" s="2397"/>
      <c r="AA68" s="4"/>
      <c r="AB68" s="4"/>
      <c r="AC68" s="4"/>
      <c r="AD68" s="4"/>
      <c r="AE68" s="4"/>
    </row>
    <row r="69" spans="1:31" ht="13.5" customHeight="1">
      <c r="A69" s="1145"/>
      <c r="B69" s="1336" t="s">
        <v>151</v>
      </c>
      <c r="C69" s="2578" t="s">
        <v>164</v>
      </c>
      <c r="D69" s="2467"/>
      <c r="E69" s="2468"/>
      <c r="F69" s="2468"/>
      <c r="G69" s="2469"/>
      <c r="H69" s="2470"/>
      <c r="I69" s="4385">
        <f t="shared" si="12"/>
        <v>0</v>
      </c>
      <c r="J69" s="2397" t="s">
        <v>3949</v>
      </c>
      <c r="AA69" s="4">
        <f t="shared" ref="AA69:AA74" si="13">ROUND(D69,0)</f>
        <v>0</v>
      </c>
      <c r="AB69" s="4">
        <f t="shared" ref="AB69:AB74" si="14">ROUND(E69,0)</f>
        <v>0</v>
      </c>
      <c r="AC69" s="4">
        <f t="shared" ref="AC69:AC74" si="15">ROUND(F69,0)</f>
        <v>0</v>
      </c>
      <c r="AD69" s="4">
        <f t="shared" ref="AD69:AD74" si="16">ROUND(G69,0)</f>
        <v>0</v>
      </c>
      <c r="AE69" s="4">
        <f t="shared" ref="AE69:AE74" si="17">ROUND(H69,0)</f>
        <v>0</v>
      </c>
    </row>
    <row r="70" spans="1:31" ht="12.75" customHeight="1">
      <c r="A70" s="1145"/>
      <c r="B70" s="6046" t="s">
        <v>200</v>
      </c>
      <c r="C70" s="1156" t="s">
        <v>1857</v>
      </c>
      <c r="D70" s="2467"/>
      <c r="E70" s="2468"/>
      <c r="F70" s="2468"/>
      <c r="G70" s="2469"/>
      <c r="H70" s="2470"/>
      <c r="I70" s="5891">
        <f t="shared" si="12"/>
        <v>0</v>
      </c>
      <c r="J70" s="2397" t="s">
        <v>3269</v>
      </c>
      <c r="AA70" s="4">
        <f t="shared" si="13"/>
        <v>0</v>
      </c>
      <c r="AB70" s="4">
        <f t="shared" si="14"/>
        <v>0</v>
      </c>
      <c r="AC70" s="4">
        <f t="shared" si="15"/>
        <v>0</v>
      </c>
      <c r="AD70" s="4">
        <f t="shared" si="16"/>
        <v>0</v>
      </c>
      <c r="AE70" s="4">
        <f t="shared" si="17"/>
        <v>0</v>
      </c>
    </row>
    <row r="71" spans="1:31">
      <c r="A71" s="1145"/>
      <c r="B71" s="1336" t="s">
        <v>101</v>
      </c>
      <c r="C71" s="2578" t="s">
        <v>1858</v>
      </c>
      <c r="D71" s="2467"/>
      <c r="E71" s="2468"/>
      <c r="F71" s="2468"/>
      <c r="G71" s="2469"/>
      <c r="H71" s="2470"/>
      <c r="I71" s="4386">
        <f t="shared" si="12"/>
        <v>0</v>
      </c>
      <c r="J71" s="2398" t="s">
        <v>3129</v>
      </c>
      <c r="AA71" s="4">
        <f t="shared" si="13"/>
        <v>0</v>
      </c>
      <c r="AB71" s="4">
        <f t="shared" si="14"/>
        <v>0</v>
      </c>
      <c r="AC71" s="4">
        <f t="shared" si="15"/>
        <v>0</v>
      </c>
      <c r="AD71" s="4">
        <f t="shared" si="16"/>
        <v>0</v>
      </c>
      <c r="AE71" s="4">
        <f t="shared" si="17"/>
        <v>0</v>
      </c>
    </row>
    <row r="72" spans="1:31">
      <c r="A72" s="1145"/>
      <c r="B72" s="6046" t="s">
        <v>102</v>
      </c>
      <c r="C72" s="1156" t="s">
        <v>1859</v>
      </c>
      <c r="D72" s="2451"/>
      <c r="E72" s="2452"/>
      <c r="F72" s="2452"/>
      <c r="G72" s="2471"/>
      <c r="H72" s="2472"/>
      <c r="I72" s="5893" t="str">
        <f>" - - - -"</f>
        <v xml:space="preserve"> - - - -</v>
      </c>
      <c r="J72" s="3554" t="str">
        <f>IF(ForeignTaxPaid_INT&gt;0,"Check Form 1116, Foreign Tax Credit","")</f>
        <v/>
      </c>
      <c r="AA72" s="4">
        <f t="shared" si="13"/>
        <v>0</v>
      </c>
      <c r="AB72" s="4">
        <f t="shared" si="14"/>
        <v>0</v>
      </c>
      <c r="AC72" s="4">
        <f t="shared" si="15"/>
        <v>0</v>
      </c>
      <c r="AD72" s="4">
        <f t="shared" si="16"/>
        <v>0</v>
      </c>
      <c r="AE72" s="4">
        <f t="shared" si="17"/>
        <v>0</v>
      </c>
    </row>
    <row r="73" spans="1:31">
      <c r="A73" s="1145"/>
      <c r="B73" s="1336" t="s">
        <v>103</v>
      </c>
      <c r="C73" s="2578" t="s">
        <v>1860</v>
      </c>
      <c r="D73" s="2467"/>
      <c r="E73" s="2468"/>
      <c r="F73" s="2468"/>
      <c r="G73" s="2469"/>
      <c r="H73" s="2470"/>
      <c r="I73" s="4386">
        <f t="shared" si="12"/>
        <v>0</v>
      </c>
      <c r="J73" s="2397" t="s">
        <v>3180</v>
      </c>
      <c r="AA73" s="4">
        <f t="shared" si="13"/>
        <v>0</v>
      </c>
      <c r="AB73" s="4">
        <f t="shared" si="14"/>
        <v>0</v>
      </c>
      <c r="AC73" s="4">
        <f t="shared" si="15"/>
        <v>0</v>
      </c>
      <c r="AD73" s="4">
        <f t="shared" si="16"/>
        <v>0</v>
      </c>
      <c r="AE73" s="4">
        <f t="shared" si="17"/>
        <v>0</v>
      </c>
    </row>
    <row r="74" spans="1:31">
      <c r="A74" s="1145"/>
      <c r="B74" s="1336" t="s">
        <v>104</v>
      </c>
      <c r="C74" s="2578" t="s">
        <v>1861</v>
      </c>
      <c r="D74" s="2467"/>
      <c r="E74" s="2468"/>
      <c r="F74" s="2468"/>
      <c r="G74" s="2468"/>
      <c r="H74" s="2470"/>
      <c r="I74" s="4386">
        <f t="shared" si="12"/>
        <v>0</v>
      </c>
      <c r="J74" s="2397" t="s">
        <v>3181</v>
      </c>
      <c r="AA74" s="4">
        <f t="shared" si="13"/>
        <v>0</v>
      </c>
      <c r="AB74" s="4">
        <f t="shared" si="14"/>
        <v>0</v>
      </c>
      <c r="AC74" s="4">
        <f t="shared" si="15"/>
        <v>0</v>
      </c>
      <c r="AD74" s="4">
        <f t="shared" si="16"/>
        <v>0</v>
      </c>
      <c r="AE74" s="4">
        <f t="shared" si="17"/>
        <v>0</v>
      </c>
    </row>
    <row r="75" spans="1:31">
      <c r="A75" s="1145"/>
      <c r="B75" s="1155"/>
      <c r="C75" s="1156"/>
      <c r="D75" s="2467"/>
      <c r="E75" s="2468"/>
      <c r="F75" s="2468"/>
      <c r="G75" s="2469"/>
      <c r="H75" s="2470"/>
      <c r="I75" s="5891">
        <f t="shared" si="12"/>
        <v>0</v>
      </c>
      <c r="J75" s="2397"/>
      <c r="AA75" s="4"/>
      <c r="AB75" s="4"/>
      <c r="AC75" s="4"/>
      <c r="AD75" s="4"/>
      <c r="AE75" s="4"/>
    </row>
    <row r="76" spans="1:31">
      <c r="A76" s="1145"/>
      <c r="B76" s="1336" t="s">
        <v>105</v>
      </c>
      <c r="C76" s="2578" t="s">
        <v>1862</v>
      </c>
      <c r="D76" s="2467"/>
      <c r="E76" s="2468"/>
      <c r="F76" s="2468"/>
      <c r="G76" s="2469"/>
      <c r="H76" s="2470"/>
      <c r="I76" s="4386">
        <f t="shared" si="12"/>
        <v>0</v>
      </c>
      <c r="J76" s="2396" t="s">
        <v>1938</v>
      </c>
      <c r="AA76" s="4">
        <f t="shared" ref="AA76:AE80" si="18">ROUND(D76,0)</f>
        <v>0</v>
      </c>
      <c r="AB76" s="4">
        <f t="shared" si="18"/>
        <v>0</v>
      </c>
      <c r="AC76" s="4">
        <f t="shared" si="18"/>
        <v>0</v>
      </c>
      <c r="AD76" s="4">
        <f t="shared" si="18"/>
        <v>0</v>
      </c>
      <c r="AE76" s="4">
        <f t="shared" si="18"/>
        <v>0</v>
      </c>
    </row>
    <row r="77" spans="1:31">
      <c r="A77" s="1145"/>
      <c r="B77" s="6046" t="s">
        <v>657</v>
      </c>
      <c r="C77" s="1156" t="s">
        <v>1863</v>
      </c>
      <c r="D77" s="4404"/>
      <c r="E77" s="4405"/>
      <c r="F77" s="4405"/>
      <c r="G77" s="4405"/>
      <c r="H77" s="4406"/>
      <c r="I77" s="5891">
        <f t="shared" si="12"/>
        <v>0</v>
      </c>
      <c r="J77" s="2396"/>
      <c r="AA77" s="4">
        <f t="shared" si="18"/>
        <v>0</v>
      </c>
      <c r="AB77" s="4">
        <f t="shared" si="18"/>
        <v>0</v>
      </c>
      <c r="AC77" s="4">
        <f t="shared" si="18"/>
        <v>0</v>
      </c>
      <c r="AD77" s="4">
        <f t="shared" si="18"/>
        <v>0</v>
      </c>
      <c r="AE77" s="4">
        <f t="shared" si="18"/>
        <v>0</v>
      </c>
    </row>
    <row r="78" spans="1:31">
      <c r="A78" s="1145"/>
      <c r="B78" s="6046" t="s">
        <v>220</v>
      </c>
      <c r="C78" s="1156" t="s">
        <v>1864</v>
      </c>
      <c r="D78" s="4404"/>
      <c r="E78" s="4405"/>
      <c r="F78" s="4405"/>
      <c r="G78" s="4405"/>
      <c r="H78" s="4406"/>
      <c r="I78" s="5891">
        <f t="shared" si="12"/>
        <v>0</v>
      </c>
      <c r="J78" s="2397"/>
      <c r="AA78" s="4">
        <f t="shared" si="18"/>
        <v>0</v>
      </c>
      <c r="AB78" s="4">
        <f t="shared" si="18"/>
        <v>0</v>
      </c>
      <c r="AC78" s="4">
        <f t="shared" si="18"/>
        <v>0</v>
      </c>
      <c r="AD78" s="4">
        <f t="shared" si="18"/>
        <v>0</v>
      </c>
      <c r="AE78" s="4">
        <f t="shared" si="18"/>
        <v>0</v>
      </c>
    </row>
    <row r="79" spans="1:31">
      <c r="A79" s="1145"/>
      <c r="B79" s="6046" t="s">
        <v>658</v>
      </c>
      <c r="C79" s="1156" t="s">
        <v>1865</v>
      </c>
      <c r="D79" s="4404"/>
      <c r="E79" s="4405"/>
      <c r="F79" s="4405"/>
      <c r="G79" s="4405"/>
      <c r="H79" s="4406"/>
      <c r="I79" s="5893" t="str">
        <f>" - - - -"</f>
        <v xml:space="preserve"> - - - -</v>
      </c>
      <c r="J79" s="2397"/>
      <c r="AA79" s="4">
        <f t="shared" si="18"/>
        <v>0</v>
      </c>
      <c r="AB79" s="4">
        <f t="shared" si="18"/>
        <v>0</v>
      </c>
      <c r="AC79" s="4">
        <f t="shared" si="18"/>
        <v>0</v>
      </c>
      <c r="AD79" s="4">
        <f t="shared" si="18"/>
        <v>0</v>
      </c>
      <c r="AE79" s="4">
        <f t="shared" si="18"/>
        <v>0</v>
      </c>
    </row>
    <row r="80" spans="1:31">
      <c r="A80" s="1145"/>
      <c r="B80" s="6046" t="s">
        <v>661</v>
      </c>
      <c r="C80" s="1156" t="s">
        <v>1866</v>
      </c>
      <c r="D80" s="2451"/>
      <c r="E80" s="2452"/>
      <c r="F80" s="2452"/>
      <c r="G80" s="2452"/>
      <c r="H80" s="2472"/>
      <c r="I80" s="5893" t="str">
        <f>" - - - -"</f>
        <v xml:space="preserve"> - - - -</v>
      </c>
      <c r="J80" s="2397"/>
      <c r="AA80" s="4">
        <f t="shared" si="18"/>
        <v>0</v>
      </c>
      <c r="AB80" s="4">
        <f t="shared" si="18"/>
        <v>0</v>
      </c>
      <c r="AC80" s="4">
        <f t="shared" si="18"/>
        <v>0</v>
      </c>
      <c r="AD80" s="4">
        <f t="shared" si="18"/>
        <v>0</v>
      </c>
      <c r="AE80" s="4">
        <f t="shared" si="18"/>
        <v>0</v>
      </c>
    </row>
    <row r="81" spans="1:31">
      <c r="A81" s="1145"/>
      <c r="B81" s="6046" t="s">
        <v>662</v>
      </c>
      <c r="C81" s="1156" t="s">
        <v>1867</v>
      </c>
      <c r="D81" s="4403"/>
      <c r="E81" s="4407"/>
      <c r="F81" s="4407"/>
      <c r="G81" s="4407"/>
      <c r="H81" s="4408"/>
      <c r="I81" s="5893" t="str">
        <f>" - - - -"</f>
        <v xml:space="preserve"> - - - -</v>
      </c>
      <c r="J81" s="2397"/>
      <c r="AA81" s="4"/>
      <c r="AB81" s="4"/>
      <c r="AC81" s="4"/>
      <c r="AD81" s="4"/>
      <c r="AE81" s="4"/>
    </row>
    <row r="82" spans="1:31" ht="12.75" customHeight="1">
      <c r="A82" s="1145"/>
      <c r="B82" s="6046" t="s">
        <v>1107</v>
      </c>
      <c r="C82" s="1156" t="s">
        <v>1868</v>
      </c>
      <c r="D82" s="2453"/>
      <c r="E82" s="2454"/>
      <c r="F82" s="2454"/>
      <c r="G82" s="2454"/>
      <c r="H82" s="2456"/>
      <c r="I82" s="5893" t="str">
        <f>" - - - -"</f>
        <v xml:space="preserve"> - - - -</v>
      </c>
      <c r="J82" s="2397"/>
      <c r="AA82" s="4"/>
      <c r="AB82" s="4"/>
      <c r="AC82" s="4"/>
      <c r="AD82" s="4"/>
      <c r="AE82" s="4"/>
    </row>
    <row r="83" spans="1:31" ht="13.5" thickBot="1">
      <c r="A83" s="1145"/>
      <c r="B83" s="3936" t="s">
        <v>1107</v>
      </c>
      <c r="C83" s="2579" t="s">
        <v>422</v>
      </c>
      <c r="D83" s="2477"/>
      <c r="E83" s="2478"/>
      <c r="F83" s="2478"/>
      <c r="G83" s="2479"/>
      <c r="H83" s="2480"/>
      <c r="I83" s="5894">
        <f>SUM(D24:H24,D53:H53,D83:H83)</f>
        <v>0</v>
      </c>
      <c r="J83" s="2397" t="s">
        <v>3182</v>
      </c>
      <c r="AA83" s="4">
        <f>ROUND(D83,0)</f>
        <v>0</v>
      </c>
      <c r="AB83" s="4">
        <f>ROUND(E83,0)</f>
        <v>0</v>
      </c>
      <c r="AC83" s="4">
        <f>ROUND(F83,0)</f>
        <v>0</v>
      </c>
      <c r="AD83" s="4">
        <f>ROUND(G83,0)</f>
        <v>0</v>
      </c>
      <c r="AE83" s="4">
        <f>ROUND(H83,0)</f>
        <v>0</v>
      </c>
    </row>
    <row r="84" spans="1:31" ht="17.25" customHeight="1">
      <c r="A84" s="1145"/>
      <c r="B84" s="2421" t="s">
        <v>1987</v>
      </c>
      <c r="C84" s="1145"/>
      <c r="D84" s="1145"/>
      <c r="E84" s="1145"/>
      <c r="F84" s="1145"/>
      <c r="G84" s="1145"/>
      <c r="H84" s="1145"/>
      <c r="I84" s="1145"/>
      <c r="J84" s="1145"/>
    </row>
    <row r="85" spans="1:31" ht="17.25" hidden="1" customHeight="1">
      <c r="A85" s="1145"/>
      <c r="B85" s="2427"/>
      <c r="C85" s="1145"/>
      <c r="D85" s="2882" t="str">
        <f>IF(OR(LEFT(D68,1)="Y",LEFT(D68,1)="y"),D67,"")</f>
        <v/>
      </c>
      <c r="E85" s="2882" t="str">
        <f>IF(OR(LEFT(E68,1)="Y",LEFT(E68,1)="y"),E67,"")</f>
        <v/>
      </c>
      <c r="F85" s="2882" t="str">
        <f>IF(OR(LEFT(F68,1)="Y",LEFT(F68,1)="y"),F67,"")</f>
        <v/>
      </c>
      <c r="G85" s="2882" t="str">
        <f>IF(OR(LEFT(G68,1)="Y",LEFT(G68,1)="y"),G67,"")</f>
        <v/>
      </c>
      <c r="H85" s="2882" t="str">
        <f>IF(OR(LEFT(H68,1)="Y",LEFT(H68,1)="y"),H67,"")</f>
        <v/>
      </c>
      <c r="I85" s="1145"/>
      <c r="J85" s="484"/>
    </row>
    <row r="86" spans="1:31" s="2483" customFormat="1" hidden="1">
      <c r="D86" s="2483" t="str">
        <f>IF(D62&lt;&gt;"",D62,"")</f>
        <v/>
      </c>
      <c r="E86" s="2483" t="str">
        <f>IF(E62&lt;&gt;"",E62,"")</f>
        <v/>
      </c>
      <c r="F86" s="2483" t="str">
        <f>IF(F62&lt;&gt;"",F62,"")</f>
        <v/>
      </c>
      <c r="G86" s="2483" t="str">
        <f>IF(G62&lt;&gt;"",G62,"")</f>
        <v/>
      </c>
      <c r="H86" s="2483" t="str">
        <f>IF(H62&lt;&gt;"",H62,"")</f>
        <v/>
      </c>
      <c r="K86" s="5904"/>
      <c r="L86" s="2829"/>
      <c r="M86" s="2829"/>
      <c r="N86" s="2829"/>
      <c r="O86" s="2829"/>
      <c r="P86" s="2829"/>
      <c r="Q86" s="2829"/>
      <c r="R86" s="2829"/>
      <c r="S86" s="2829"/>
      <c r="T86" s="2829"/>
      <c r="U86" s="2829"/>
      <c r="V86" s="2829"/>
      <c r="W86" s="2829"/>
      <c r="X86" s="2829"/>
      <c r="Y86" s="2829"/>
    </row>
    <row r="87" spans="1:31" s="2483" customFormat="1" hidden="1">
      <c r="D87" s="2483" t="str">
        <f>IF(D63&lt;&gt;"", " - "&amp;D63,"")</f>
        <v/>
      </c>
      <c r="E87" s="2483" t="str">
        <f>IF(E63&lt;&gt;"", " - "&amp;E63,"")</f>
        <v/>
      </c>
      <c r="F87" s="2483" t="str">
        <f>IF(F63&lt;&gt;"", " - "&amp;F63,"")</f>
        <v/>
      </c>
      <c r="G87" s="2483" t="str">
        <f>IF(G63&lt;&gt;"", " - "&amp;G63,"")</f>
        <v/>
      </c>
      <c r="H87" s="2483" t="str">
        <f>IF(H63&lt;&gt;"", " - "&amp;H63,"")</f>
        <v/>
      </c>
      <c r="K87" s="5904"/>
      <c r="L87" s="2829"/>
      <c r="M87" s="2829"/>
      <c r="N87" s="2829"/>
      <c r="O87" s="2829"/>
      <c r="P87" s="2829"/>
      <c r="Q87" s="2829"/>
      <c r="R87" s="2829"/>
      <c r="S87" s="2829"/>
      <c r="T87" s="2829"/>
      <c r="U87" s="2829"/>
      <c r="V87" s="2829"/>
      <c r="W87" s="2829"/>
      <c r="X87" s="2829"/>
      <c r="Y87" s="2829"/>
    </row>
    <row r="88" spans="1:31" s="2483" customFormat="1" hidden="1">
      <c r="D88" s="2483" t="str">
        <f>IF(D64&lt;&gt;""," - "&amp;D64,"")</f>
        <v/>
      </c>
      <c r="E88" s="2483" t="str">
        <f>IF(E64&lt;&gt;""," - "&amp;E64,"")</f>
        <v/>
      </c>
      <c r="F88" s="2483" t="str">
        <f>IF(F64&lt;&gt;""," - "&amp;F64,"")</f>
        <v/>
      </c>
      <c r="G88" s="2483" t="str">
        <f>IF(G64&lt;&gt;""," - "&amp;G64,"")</f>
        <v/>
      </c>
      <c r="H88" s="2483" t="str">
        <f>IF(H64&lt;&gt;""," - "&amp;H64,"")</f>
        <v/>
      </c>
      <c r="K88" s="5904"/>
      <c r="L88" s="2829"/>
      <c r="M88" s="2829"/>
      <c r="N88" s="2829"/>
      <c r="O88" s="2829"/>
      <c r="P88" s="2829"/>
      <c r="Q88" s="2829"/>
      <c r="R88" s="2829"/>
      <c r="S88" s="2829"/>
      <c r="T88" s="2829"/>
      <c r="U88" s="2829"/>
      <c r="V88" s="2829"/>
      <c r="W88" s="2829"/>
      <c r="X88" s="2829"/>
      <c r="Y88" s="2829"/>
    </row>
    <row r="89" spans="1:31" s="2483" customFormat="1" hidden="1">
      <c r="D89" s="2830" t="str">
        <f>D86&amp;D87&amp;D88</f>
        <v/>
      </c>
      <c r="E89" s="2830" t="str">
        <f>E86&amp;E87&amp;E88</f>
        <v/>
      </c>
      <c r="F89" s="2830" t="str">
        <f>F86&amp;F87&amp;F88</f>
        <v/>
      </c>
      <c r="G89" s="2830" t="str">
        <f>G86&amp;G87&amp;G88</f>
        <v/>
      </c>
      <c r="H89" s="2830" t="str">
        <f>H86&amp;H87&amp;H88</f>
        <v/>
      </c>
      <c r="K89" s="5904"/>
      <c r="L89" s="2829"/>
      <c r="M89" s="2829"/>
      <c r="N89" s="2829"/>
      <c r="O89" s="2829"/>
      <c r="P89" s="2829"/>
      <c r="Q89" s="2829"/>
      <c r="R89" s="2829"/>
      <c r="S89" s="2829"/>
      <c r="T89" s="2829"/>
      <c r="U89" s="2829"/>
      <c r="V89" s="2829"/>
      <c r="W89" s="2829"/>
      <c r="X89" s="2829"/>
      <c r="Y89" s="2829"/>
    </row>
    <row r="91" spans="1:31" ht="13.5" thickBot="1"/>
    <row r="92" spans="1:31">
      <c r="C92" s="4010"/>
    </row>
    <row r="93" spans="1:31">
      <c r="C93" s="4011" t="s">
        <v>3219</v>
      </c>
    </row>
    <row r="94" spans="1:31" ht="13.5" thickBot="1">
      <c r="C94" s="4012"/>
    </row>
  </sheetData>
  <sheetProtection algorithmName="SHA-512" hashValue="yMbROfX0pakbSSY3TYHDEkD7XLyGMsWH8taPkMio9iqITpBQ0fxw4xzfbau4OiKd7liL2F1jDb4sY56nWAQN0Q==" saltValue="UY1QGLq7FTLRrDfT+GaqSQ==" spinCount="100000" sheet="1" objects="1" scenarios="1"/>
  <conditionalFormatting sqref="D2:H24">
    <cfRule type="expression" dxfId="3110" priority="6">
      <formula>IF(NoColor,1,0)</formula>
    </cfRule>
  </conditionalFormatting>
  <conditionalFormatting sqref="D31:H53">
    <cfRule type="expression" dxfId="3109" priority="2">
      <formula>IF(NoColor,1,0)</formula>
    </cfRule>
  </conditionalFormatting>
  <conditionalFormatting sqref="D61:H83">
    <cfRule type="expression" dxfId="3108" priority="1">
      <formula>IF(NoColor,1,0)</formula>
    </cfRule>
  </conditionalFormatting>
  <conditionalFormatting sqref="I62:I83">
    <cfRule type="expression" dxfId="3107" priority="3">
      <formula>NoColor</formula>
    </cfRule>
  </conditionalFormatting>
  <hyperlinks>
    <hyperlink ref="C93" location="'Table of Contents'!A1" display="Table of Contents" xr:uid="{00000000-0004-0000-0400-000000000000}"/>
  </hyperlinks>
  <printOptions gridLines="1" gridLinesSet="0"/>
  <pageMargins left="0.75" right="0.75" top="1" bottom="1" header="0.5" footer="0.5"/>
  <pageSetup scale="49" fitToHeight="0" orientation="landscape" r:id="rId1"/>
  <headerFooter alignWithMargins="0">
    <oddHeader>&amp;A</oddHeader>
    <oddFooter>Page &amp;P</oddFooter>
  </headerFooter>
  <rowBreaks count="1" manualBreakCount="1">
    <brk id="59"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120"/>
  <sheetViews>
    <sheetView zoomScaleNormal="100" zoomScaleSheetLayoutView="100" workbookViewId="0">
      <pane ySplit="1" topLeftCell="A2" activePane="bottomLeft" state="frozen"/>
      <selection pane="bottomLeft" activeCell="D3" sqref="D3"/>
    </sheetView>
  </sheetViews>
  <sheetFormatPr defaultRowHeight="12.75"/>
  <cols>
    <col min="1" max="1" width="2.5703125" customWidth="1"/>
    <col min="2" max="2" width="4.42578125" customWidth="1"/>
    <col min="3" max="3" width="45.7109375" customWidth="1"/>
    <col min="4" max="8" width="26.28515625" customWidth="1"/>
    <col min="9" max="9" width="37.140625" bestFit="1" customWidth="1"/>
    <col min="10" max="10" width="5.5703125" customWidth="1"/>
    <col min="11" max="11" width="13.140625" style="3445" customWidth="1"/>
    <col min="12" max="25" width="9.140625" style="2593" customWidth="1"/>
    <col min="27" max="31" width="9.140625" hidden="1" customWidth="1"/>
  </cols>
  <sheetData>
    <row r="1" spans="1:31" ht="42" customHeight="1" thickBot="1">
      <c r="A1" s="1153"/>
      <c r="B1" s="2444" t="s">
        <v>1989</v>
      </c>
      <c r="C1" s="464"/>
      <c r="D1" s="465"/>
      <c r="E1" s="2394"/>
      <c r="F1" s="465"/>
      <c r="G1" s="465"/>
      <c r="H1" s="465"/>
      <c r="I1" s="465"/>
      <c r="J1" s="2527"/>
      <c r="K1" s="3443" t="s">
        <v>2033</v>
      </c>
    </row>
    <row r="2" spans="1:31" ht="42" customHeight="1" thickTop="1" thickBot="1">
      <c r="A2" s="1154"/>
      <c r="B2" s="830"/>
      <c r="C2" s="1287" t="str">
        <f>IF(Name_1st_Yours="","Enter your name(s) on the"&amp;CHAR(10)&amp;"sheet labeled '1040'",Names)</f>
        <v>Enter your name(s) on the
sheet labeled '1040'</v>
      </c>
      <c r="D2" s="1918" t="s">
        <v>281</v>
      </c>
      <c r="E2" s="1918" t="s">
        <v>282</v>
      </c>
      <c r="F2" s="1918" t="s">
        <v>283</v>
      </c>
      <c r="G2" s="1918" t="s">
        <v>368</v>
      </c>
      <c r="H2" s="1919" t="s">
        <v>1659</v>
      </c>
      <c r="I2" s="85"/>
      <c r="J2" s="484"/>
      <c r="K2" s="5900" t="s">
        <v>2763</v>
      </c>
    </row>
    <row r="3" spans="1:31">
      <c r="A3" s="1145"/>
      <c r="B3" s="2280"/>
      <c r="C3" s="2288" t="s">
        <v>1870</v>
      </c>
      <c r="D3" s="2461"/>
      <c r="E3" s="2462"/>
      <c r="F3" s="2462"/>
      <c r="G3" s="2462"/>
      <c r="H3" s="2462"/>
      <c r="I3" s="128"/>
      <c r="J3" s="484"/>
    </row>
    <row r="4" spans="1:31">
      <c r="A4" s="1145"/>
      <c r="B4" s="2281"/>
      <c r="C4" s="2289" t="s">
        <v>1869</v>
      </c>
      <c r="D4" s="2492"/>
      <c r="E4" s="2493"/>
      <c r="F4" s="2493"/>
      <c r="G4" s="2493"/>
      <c r="H4" s="2493"/>
      <c r="I4" s="128"/>
      <c r="J4" s="484"/>
    </row>
    <row r="5" spans="1:31" ht="13.5" thickBot="1">
      <c r="A5" s="1145"/>
      <c r="B5" s="2282"/>
      <c r="C5" s="2290" t="s">
        <v>156</v>
      </c>
      <c r="D5" s="2495"/>
      <c r="E5" s="2496"/>
      <c r="F5" s="2496"/>
      <c r="G5" s="2496"/>
      <c r="H5" s="2496"/>
      <c r="I5" s="128"/>
      <c r="J5" s="484"/>
    </row>
    <row r="6" spans="1:31" ht="13.5" customHeight="1">
      <c r="A6" s="1145"/>
      <c r="B6" s="2286" t="s">
        <v>12</v>
      </c>
      <c r="C6" s="2283" t="s">
        <v>1872</v>
      </c>
      <c r="D6" s="4238"/>
      <c r="E6" s="2575"/>
      <c r="F6" s="2466"/>
      <c r="G6" s="2466"/>
      <c r="H6" s="2466"/>
      <c r="I6" s="4240" t="str">
        <f>IF(I25,"Error: All qualified dividends must be included in","")</f>
        <v/>
      </c>
      <c r="J6" s="484"/>
      <c r="AA6" s="4">
        <f t="shared" ref="AA6:AA16" si="0">ROUND(D6,2)</f>
        <v>0</v>
      </c>
      <c r="AB6" s="4">
        <f t="shared" ref="AB6:AB16" si="1">ROUND(E6,2)</f>
        <v>0</v>
      </c>
      <c r="AC6" s="4">
        <f t="shared" ref="AC6:AC16" si="2">ROUND(F6,2)</f>
        <v>0</v>
      </c>
      <c r="AD6" s="4">
        <f t="shared" ref="AD6:AD16" si="3">ROUND(G6,2)</f>
        <v>0</v>
      </c>
      <c r="AE6" s="4">
        <f t="shared" ref="AE6:AE16" si="4">ROUND(H6,2)</f>
        <v>0</v>
      </c>
    </row>
    <row r="7" spans="1:31" ht="13.5" customHeight="1">
      <c r="A7" s="1145"/>
      <c r="B7" s="2287" t="s">
        <v>15</v>
      </c>
      <c r="C7" s="2284" t="s">
        <v>487</v>
      </c>
      <c r="D7" s="4239"/>
      <c r="E7" s="2469"/>
      <c r="F7" s="2468"/>
      <c r="G7" s="2468"/>
      <c r="H7" s="2468"/>
      <c r="I7" s="4240" t="str">
        <f>IF(I25,"the Total ordinary dividend amount.","")</f>
        <v/>
      </c>
      <c r="J7" s="484"/>
      <c r="AA7" s="4">
        <f t="shared" si="0"/>
        <v>0</v>
      </c>
      <c r="AB7" s="4">
        <f t="shared" si="1"/>
        <v>0</v>
      </c>
      <c r="AC7" s="4">
        <f t="shared" si="2"/>
        <v>0</v>
      </c>
      <c r="AD7" s="4">
        <f t="shared" si="3"/>
        <v>0</v>
      </c>
      <c r="AE7" s="4">
        <f t="shared" si="4"/>
        <v>0</v>
      </c>
    </row>
    <row r="8" spans="1:31" ht="13.5" customHeight="1">
      <c r="A8" s="1145"/>
      <c r="B8" s="2287" t="s">
        <v>341</v>
      </c>
      <c r="C8" s="2284" t="s">
        <v>1875</v>
      </c>
      <c r="D8" s="2467"/>
      <c r="E8" s="2468"/>
      <c r="F8" s="2468"/>
      <c r="G8" s="2468"/>
      <c r="H8" s="2468"/>
      <c r="I8" s="400"/>
      <c r="J8" s="484"/>
      <c r="AA8" s="4">
        <f t="shared" si="0"/>
        <v>0</v>
      </c>
      <c r="AB8" s="4">
        <f t="shared" si="1"/>
        <v>0</v>
      </c>
      <c r="AC8" s="4">
        <f t="shared" si="2"/>
        <v>0</v>
      </c>
      <c r="AD8" s="4">
        <f t="shared" si="3"/>
        <v>0</v>
      </c>
      <c r="AE8" s="4">
        <f t="shared" si="4"/>
        <v>0</v>
      </c>
    </row>
    <row r="9" spans="1:31" ht="13.5" customHeight="1">
      <c r="A9" s="1145"/>
      <c r="B9" s="1157" t="s">
        <v>342</v>
      </c>
      <c r="C9" s="1156" t="s">
        <v>1876</v>
      </c>
      <c r="D9" s="2467"/>
      <c r="E9" s="2468"/>
      <c r="F9" s="2468"/>
      <c r="G9" s="2468"/>
      <c r="H9" s="2468"/>
      <c r="I9" s="400"/>
      <c r="J9" s="484"/>
      <c r="AA9" s="4">
        <f t="shared" si="0"/>
        <v>0</v>
      </c>
      <c r="AB9" s="4">
        <f t="shared" si="1"/>
        <v>0</v>
      </c>
      <c r="AC9" s="4">
        <f t="shared" si="2"/>
        <v>0</v>
      </c>
      <c r="AD9" s="4">
        <f t="shared" si="3"/>
        <v>0</v>
      </c>
      <c r="AE9" s="4">
        <f t="shared" si="4"/>
        <v>0</v>
      </c>
    </row>
    <row r="10" spans="1:31">
      <c r="A10" s="1145"/>
      <c r="B10" s="1157" t="s">
        <v>1873</v>
      </c>
      <c r="C10" s="2285" t="s">
        <v>1877</v>
      </c>
      <c r="D10" s="2467"/>
      <c r="E10" s="2468"/>
      <c r="F10" s="2468"/>
      <c r="G10" s="2468"/>
      <c r="H10" s="2468"/>
      <c r="I10" s="128"/>
      <c r="J10" s="484"/>
      <c r="AA10" s="4">
        <f t="shared" si="0"/>
        <v>0</v>
      </c>
      <c r="AB10" s="4">
        <f t="shared" si="1"/>
        <v>0</v>
      </c>
      <c r="AC10" s="4">
        <f t="shared" si="2"/>
        <v>0</v>
      </c>
      <c r="AD10" s="4">
        <f t="shared" si="3"/>
        <v>0</v>
      </c>
      <c r="AE10" s="4">
        <f t="shared" si="4"/>
        <v>0</v>
      </c>
    </row>
    <row r="11" spans="1:31">
      <c r="A11" s="1145"/>
      <c r="B11" s="2287" t="s">
        <v>1874</v>
      </c>
      <c r="C11" s="2284" t="s">
        <v>1878</v>
      </c>
      <c r="D11" s="2467"/>
      <c r="E11" s="2468"/>
      <c r="F11" s="2468"/>
      <c r="G11" s="2468"/>
      <c r="H11" s="2468"/>
      <c r="I11" s="128"/>
      <c r="J11" s="484"/>
      <c r="AA11" s="4">
        <f t="shared" si="0"/>
        <v>0</v>
      </c>
      <c r="AB11" s="4">
        <f t="shared" si="1"/>
        <v>0</v>
      </c>
      <c r="AC11" s="4">
        <f t="shared" si="2"/>
        <v>0</v>
      </c>
      <c r="AD11" s="4">
        <f t="shared" si="3"/>
        <v>0</v>
      </c>
      <c r="AE11" s="4">
        <f t="shared" si="4"/>
        <v>0</v>
      </c>
    </row>
    <row r="12" spans="1:31">
      <c r="A12" s="1145"/>
      <c r="B12" s="6046" t="s">
        <v>150</v>
      </c>
      <c r="C12" s="1156" t="s">
        <v>1879</v>
      </c>
      <c r="D12" s="2467"/>
      <c r="E12" s="2468"/>
      <c r="F12" s="2468"/>
      <c r="G12" s="2468"/>
      <c r="H12" s="2468"/>
      <c r="I12" s="128"/>
      <c r="J12" s="484"/>
      <c r="AA12" s="4">
        <f t="shared" si="0"/>
        <v>0</v>
      </c>
      <c r="AB12" s="4">
        <f t="shared" si="1"/>
        <v>0</v>
      </c>
      <c r="AC12" s="4">
        <f t="shared" si="2"/>
        <v>0</v>
      </c>
      <c r="AD12" s="4">
        <f t="shared" si="3"/>
        <v>0</v>
      </c>
      <c r="AE12" s="4">
        <f t="shared" si="4"/>
        <v>0</v>
      </c>
    </row>
    <row r="13" spans="1:31">
      <c r="A13" s="1145"/>
      <c r="B13" s="1336" t="s">
        <v>151</v>
      </c>
      <c r="C13" s="2284" t="s">
        <v>164</v>
      </c>
      <c r="D13" s="2467"/>
      <c r="E13" s="2468"/>
      <c r="F13" s="2468"/>
      <c r="G13" s="2468"/>
      <c r="H13" s="2468"/>
      <c r="I13" s="128"/>
      <c r="J13" s="484"/>
      <c r="AA13" s="4">
        <f t="shared" si="0"/>
        <v>0</v>
      </c>
      <c r="AB13" s="4">
        <f t="shared" si="1"/>
        <v>0</v>
      </c>
      <c r="AC13" s="4">
        <f t="shared" si="2"/>
        <v>0</v>
      </c>
      <c r="AD13" s="4">
        <f t="shared" si="3"/>
        <v>0</v>
      </c>
      <c r="AE13" s="4">
        <f t="shared" si="4"/>
        <v>0</v>
      </c>
    </row>
    <row r="14" spans="1:31">
      <c r="A14" s="1145"/>
      <c r="B14" s="1336" t="s">
        <v>200</v>
      </c>
      <c r="C14" s="2284" t="s">
        <v>2558</v>
      </c>
      <c r="D14" s="2467"/>
      <c r="E14" s="2468"/>
      <c r="F14" s="2468"/>
      <c r="G14" s="2468"/>
      <c r="H14" s="2468"/>
      <c r="I14" s="128"/>
      <c r="J14" s="484"/>
      <c r="AA14" s="4">
        <f t="shared" si="0"/>
        <v>0</v>
      </c>
      <c r="AB14" s="4">
        <f t="shared" si="1"/>
        <v>0</v>
      </c>
      <c r="AC14" s="4">
        <f t="shared" si="2"/>
        <v>0</v>
      </c>
      <c r="AD14" s="4">
        <f t="shared" si="3"/>
        <v>0</v>
      </c>
      <c r="AE14" s="4">
        <f t="shared" si="4"/>
        <v>0</v>
      </c>
    </row>
    <row r="15" spans="1:31">
      <c r="A15" s="1145"/>
      <c r="B15" s="6046" t="s">
        <v>101</v>
      </c>
      <c r="C15" s="1156" t="s">
        <v>1857</v>
      </c>
      <c r="D15" s="2467"/>
      <c r="E15" s="2468"/>
      <c r="F15" s="2468"/>
      <c r="G15" s="2468"/>
      <c r="H15" s="2468"/>
      <c r="I15" s="128"/>
      <c r="J15" s="484"/>
      <c r="AA15" s="4">
        <f t="shared" si="0"/>
        <v>0</v>
      </c>
      <c r="AB15" s="4">
        <f t="shared" si="1"/>
        <v>0</v>
      </c>
      <c r="AC15" s="4">
        <f t="shared" si="2"/>
        <v>0</v>
      </c>
      <c r="AD15" s="4">
        <f t="shared" si="3"/>
        <v>0</v>
      </c>
      <c r="AE15" s="4">
        <f t="shared" si="4"/>
        <v>0</v>
      </c>
    </row>
    <row r="16" spans="1:31">
      <c r="A16" s="1145"/>
      <c r="B16" s="1336" t="s">
        <v>102</v>
      </c>
      <c r="C16" s="2284" t="s">
        <v>1858</v>
      </c>
      <c r="D16" s="2467"/>
      <c r="E16" s="2468"/>
      <c r="F16" s="2468"/>
      <c r="G16" s="2468"/>
      <c r="H16" s="2468"/>
      <c r="I16" s="2848" t="str">
        <f>IF(SUM(D16:H16)&gt;0,"Check Form 1116, Foreign Tax Credit","")</f>
        <v/>
      </c>
      <c r="J16" s="484"/>
      <c r="AA16" s="4">
        <f t="shared" si="0"/>
        <v>0</v>
      </c>
      <c r="AB16" s="4">
        <f t="shared" si="1"/>
        <v>0</v>
      </c>
      <c r="AC16" s="4">
        <f t="shared" si="2"/>
        <v>0</v>
      </c>
      <c r="AD16" s="4">
        <f t="shared" si="3"/>
        <v>0</v>
      </c>
      <c r="AE16" s="4">
        <f t="shared" si="4"/>
        <v>0</v>
      </c>
    </row>
    <row r="17" spans="1:31">
      <c r="A17" s="1145"/>
      <c r="B17" s="6046" t="s">
        <v>103</v>
      </c>
      <c r="C17" s="1156" t="s">
        <v>1859</v>
      </c>
      <c r="D17" s="2467"/>
      <c r="E17" s="2468"/>
      <c r="F17" s="2468"/>
      <c r="G17" s="2468"/>
      <c r="H17" s="2468"/>
      <c r="I17" s="128"/>
      <c r="J17" s="484"/>
      <c r="AA17" s="4"/>
      <c r="AB17" s="4"/>
      <c r="AC17" s="4"/>
      <c r="AD17" s="4"/>
      <c r="AE17" s="4"/>
    </row>
    <row r="18" spans="1:31">
      <c r="A18" s="1145"/>
      <c r="B18" s="6046" t="s">
        <v>104</v>
      </c>
      <c r="C18" s="1156" t="s">
        <v>1880</v>
      </c>
      <c r="D18" s="2467"/>
      <c r="E18" s="2468"/>
      <c r="F18" s="2468"/>
      <c r="G18" s="2468"/>
      <c r="H18" s="2468"/>
      <c r="I18" s="128"/>
      <c r="J18" s="484"/>
      <c r="AA18" s="4">
        <f t="shared" ref="AA18:AE21" si="5">ROUND(D18,2)</f>
        <v>0</v>
      </c>
      <c r="AB18" s="4">
        <f t="shared" si="5"/>
        <v>0</v>
      </c>
      <c r="AC18" s="4">
        <f t="shared" si="5"/>
        <v>0</v>
      </c>
      <c r="AD18" s="4">
        <f t="shared" si="5"/>
        <v>0</v>
      </c>
      <c r="AE18" s="4">
        <f t="shared" si="5"/>
        <v>0</v>
      </c>
    </row>
    <row r="19" spans="1:31">
      <c r="A19" s="1145"/>
      <c r="B19" s="6046" t="s">
        <v>105</v>
      </c>
      <c r="C19" s="1156" t="s">
        <v>1881</v>
      </c>
      <c r="D19" s="2467"/>
      <c r="E19" s="2468"/>
      <c r="F19" s="2468"/>
      <c r="G19" s="2468"/>
      <c r="H19" s="2468"/>
      <c r="I19" s="128"/>
      <c r="J19" s="484"/>
      <c r="AA19" s="4">
        <f t="shared" si="5"/>
        <v>0</v>
      </c>
      <c r="AB19" s="4">
        <f t="shared" si="5"/>
        <v>0</v>
      </c>
      <c r="AC19" s="4">
        <f t="shared" si="5"/>
        <v>0</v>
      </c>
      <c r="AD19" s="4">
        <f t="shared" si="5"/>
        <v>0</v>
      </c>
      <c r="AE19" s="4">
        <f t="shared" si="5"/>
        <v>0</v>
      </c>
    </row>
    <row r="20" spans="1:31">
      <c r="A20" s="1145"/>
      <c r="B20" s="1336" t="s">
        <v>657</v>
      </c>
      <c r="C20" s="2284" t="s">
        <v>1882</v>
      </c>
      <c r="D20" s="2467"/>
      <c r="E20" s="2468"/>
      <c r="F20" s="2468"/>
      <c r="G20" s="2468"/>
      <c r="H20" s="2468"/>
      <c r="I20" s="128"/>
      <c r="J20" s="484"/>
      <c r="AA20" s="4">
        <f t="shared" si="5"/>
        <v>0</v>
      </c>
      <c r="AB20" s="4">
        <f t="shared" si="5"/>
        <v>0</v>
      </c>
      <c r="AC20" s="4">
        <f t="shared" si="5"/>
        <v>0</v>
      </c>
      <c r="AD20" s="4">
        <f t="shared" si="5"/>
        <v>0</v>
      </c>
      <c r="AE20" s="4">
        <f t="shared" si="5"/>
        <v>0</v>
      </c>
    </row>
    <row r="21" spans="1:31">
      <c r="A21" s="1145"/>
      <c r="B21" s="1336" t="s">
        <v>220</v>
      </c>
      <c r="C21" s="2284" t="s">
        <v>1883</v>
      </c>
      <c r="D21" s="2467"/>
      <c r="E21" s="2468"/>
      <c r="F21" s="2468"/>
      <c r="G21" s="2468"/>
      <c r="H21" s="2468"/>
      <c r="I21" s="128"/>
      <c r="J21" s="484"/>
      <c r="AA21" s="4">
        <f t="shared" si="5"/>
        <v>0</v>
      </c>
      <c r="AB21" s="4">
        <f t="shared" si="5"/>
        <v>0</v>
      </c>
      <c r="AC21" s="4">
        <f t="shared" si="5"/>
        <v>0</v>
      </c>
      <c r="AD21" s="4">
        <f t="shared" si="5"/>
        <v>0</v>
      </c>
      <c r="AE21" s="4">
        <f t="shared" si="5"/>
        <v>0</v>
      </c>
    </row>
    <row r="22" spans="1:31">
      <c r="A22" s="1145"/>
      <c r="B22" s="6046" t="s">
        <v>658</v>
      </c>
      <c r="C22" s="1156" t="s">
        <v>1867</v>
      </c>
      <c r="D22" s="2451"/>
      <c r="E22" s="2452"/>
      <c r="F22" s="2452"/>
      <c r="G22" s="2452"/>
      <c r="H22" s="2452"/>
      <c r="I22" s="128"/>
      <c r="J22" s="484"/>
      <c r="AA22" s="4"/>
      <c r="AB22" s="4"/>
      <c r="AC22" s="4"/>
      <c r="AD22" s="4"/>
      <c r="AE22" s="4"/>
    </row>
    <row r="23" spans="1:31">
      <c r="A23" s="1145"/>
      <c r="B23" s="6046" t="s">
        <v>661</v>
      </c>
      <c r="C23" s="1156" t="s">
        <v>1868</v>
      </c>
      <c r="D23" s="2453"/>
      <c r="E23" s="2454"/>
      <c r="F23" s="2454"/>
      <c r="G23" s="2454"/>
      <c r="H23" s="2454"/>
      <c r="I23" s="128"/>
      <c r="J23" s="484"/>
      <c r="AA23" s="4"/>
      <c r="AB23" s="4"/>
      <c r="AC23" s="4"/>
      <c r="AD23" s="4"/>
      <c r="AE23" s="4"/>
    </row>
    <row r="24" spans="1:31" ht="13.5" thickBot="1">
      <c r="A24" s="1145"/>
      <c r="B24" s="3936" t="s">
        <v>662</v>
      </c>
      <c r="C24" s="2297" t="s">
        <v>422</v>
      </c>
      <c r="D24" s="2477"/>
      <c r="E24" s="2478"/>
      <c r="F24" s="2478"/>
      <c r="G24" s="2478"/>
      <c r="H24" s="2478"/>
      <c r="I24" s="128"/>
      <c r="J24" s="484"/>
      <c r="AA24" s="4">
        <f>ROUND(D24,2)</f>
        <v>0</v>
      </c>
      <c r="AB24" s="4">
        <f>ROUND(E24,2)</f>
        <v>0</v>
      </c>
      <c r="AC24" s="4">
        <f>ROUND(F24,2)</f>
        <v>0</v>
      </c>
      <c r="AD24" s="4">
        <f>ROUND(G24,2)</f>
        <v>0</v>
      </c>
      <c r="AE24" s="4">
        <f>ROUND(H24,2)</f>
        <v>0</v>
      </c>
    </row>
    <row r="25" spans="1:31" ht="17.25" customHeight="1" thickBot="1">
      <c r="A25" s="1145"/>
      <c r="B25" s="2421" t="s">
        <v>1987</v>
      </c>
      <c r="C25" s="1145"/>
      <c r="D25" s="2243" t="b">
        <f>D7&gt;D6</f>
        <v>0</v>
      </c>
      <c r="E25" s="2243" t="b">
        <f>E7&gt;E6</f>
        <v>0</v>
      </c>
      <c r="F25" s="2243" t="b">
        <f>F7&gt;F6</f>
        <v>0</v>
      </c>
      <c r="G25" s="2243" t="b">
        <f>G7&gt;G6</f>
        <v>0</v>
      </c>
      <c r="H25" s="2243" t="b">
        <f>H7&gt;H6</f>
        <v>0</v>
      </c>
      <c r="I25" s="4241" t="b">
        <f>OR(D25:H25)</f>
        <v>0</v>
      </c>
      <c r="J25" s="484"/>
    </row>
    <row r="26" spans="1:31" s="2483" customFormat="1" hidden="1">
      <c r="D26" s="2483" t="str">
        <f>IF(D3&lt;&gt;"",D3,"")</f>
        <v/>
      </c>
      <c r="E26" s="2483" t="str">
        <f>IF(E3&lt;&gt;"",E3,"")</f>
        <v/>
      </c>
      <c r="F26" s="2483" t="str">
        <f>IF(F3&lt;&gt;"",F3,"")</f>
        <v/>
      </c>
      <c r="G26" s="2483" t="str">
        <f>IF(G3&lt;&gt;"",G3,"")</f>
        <v/>
      </c>
      <c r="H26" s="2483" t="str">
        <f>IF(H3&lt;&gt;"",H3,"")</f>
        <v/>
      </c>
      <c r="I26" s="128"/>
      <c r="J26" s="484"/>
      <c r="K26" s="5899"/>
      <c r="L26" s="2829"/>
      <c r="M26" s="2829"/>
      <c r="N26" s="2829"/>
      <c r="O26" s="2829"/>
      <c r="P26" s="2829"/>
      <c r="Q26" s="2829"/>
      <c r="R26" s="2829"/>
      <c r="S26" s="2829"/>
      <c r="T26" s="2829"/>
      <c r="U26" s="2829"/>
      <c r="V26" s="2829"/>
      <c r="W26" s="2829"/>
      <c r="X26" s="2829"/>
      <c r="Y26" s="2829"/>
    </row>
    <row r="27" spans="1:31" s="2483" customFormat="1" hidden="1">
      <c r="D27" s="2483" t="str">
        <f>IF(D4&lt;&gt;"", " - "&amp;D4,"")</f>
        <v/>
      </c>
      <c r="E27" s="2483" t="str">
        <f>IF(E4&lt;&gt;"", " - "&amp;E4,"")</f>
        <v/>
      </c>
      <c r="F27" s="2483" t="str">
        <f>IF(F4&lt;&gt;"", " - "&amp;F4,"")</f>
        <v/>
      </c>
      <c r="G27" s="2483" t="str">
        <f>IF(G4&lt;&gt;"", " - "&amp;G4,"")</f>
        <v/>
      </c>
      <c r="H27" s="2483" t="str">
        <f>IF(H4&lt;&gt;"", " - "&amp;H4,"")</f>
        <v/>
      </c>
      <c r="I27" s="128"/>
      <c r="J27" s="484"/>
      <c r="K27" s="5899"/>
      <c r="L27" s="2829"/>
      <c r="M27" s="2829"/>
      <c r="N27" s="2829"/>
      <c r="O27" s="2829"/>
      <c r="P27" s="2829"/>
      <c r="Q27" s="2829"/>
      <c r="R27" s="2829"/>
      <c r="S27" s="2829"/>
      <c r="T27" s="2829"/>
      <c r="U27" s="2829"/>
      <c r="V27" s="2829"/>
      <c r="W27" s="2829"/>
      <c r="X27" s="2829"/>
      <c r="Y27" s="2829"/>
    </row>
    <row r="28" spans="1:31" s="2483" customFormat="1" hidden="1">
      <c r="D28" s="2483" t="str">
        <f>IF(D5&lt;&gt;""," - "&amp;D5,"")</f>
        <v/>
      </c>
      <c r="E28" s="2483" t="str">
        <f>IF(E5&lt;&gt;""," - "&amp;E5,"")</f>
        <v/>
      </c>
      <c r="F28" s="2483" t="str">
        <f>IF(F5&lt;&gt;""," - "&amp;F5,"")</f>
        <v/>
      </c>
      <c r="G28" s="2483" t="str">
        <f>IF(G5&lt;&gt;""," - "&amp;G5,"")</f>
        <v/>
      </c>
      <c r="H28" s="2483" t="str">
        <f>IF(H5&lt;&gt;""," - "&amp;H5,"")</f>
        <v/>
      </c>
      <c r="I28" s="128"/>
      <c r="J28" s="484"/>
      <c r="K28" s="5899"/>
      <c r="L28" s="2829"/>
      <c r="M28" s="2829"/>
      <c r="N28" s="2829"/>
      <c r="O28" s="2829"/>
      <c r="P28" s="2829"/>
      <c r="Q28" s="2829"/>
      <c r="R28" s="2829"/>
      <c r="S28" s="2829"/>
      <c r="T28" s="2829"/>
      <c r="U28" s="2829"/>
      <c r="V28" s="2829"/>
      <c r="W28" s="2829"/>
      <c r="X28" s="2829"/>
      <c r="Y28" s="2829"/>
    </row>
    <row r="29" spans="1:31" s="2483" customFormat="1" ht="13.5" hidden="1" thickBot="1">
      <c r="D29" s="2830" t="str">
        <f>IF(D6="","",D26&amp;D27&amp;D28)</f>
        <v/>
      </c>
      <c r="E29" s="2830" t="str">
        <f>IF(E6="","",E26&amp;E27&amp;E28)</f>
        <v/>
      </c>
      <c r="F29" s="2830" t="str">
        <f>IF(F6="","",F26&amp;F27&amp;F28)</f>
        <v/>
      </c>
      <c r="G29" s="2830" t="str">
        <f>IF(G6="","",G26&amp;G27&amp;G28)</f>
        <v/>
      </c>
      <c r="H29" s="2830" t="str">
        <f>IF(H6="","",H26&amp;H27&amp;H28)</f>
        <v/>
      </c>
      <c r="I29" s="128"/>
      <c r="J29" s="484"/>
      <c r="K29" s="5899"/>
      <c r="L29" s="2829"/>
      <c r="M29" s="2829"/>
      <c r="N29" s="2829"/>
      <c r="O29" s="2829"/>
      <c r="P29" s="2829"/>
      <c r="Q29" s="2829"/>
      <c r="R29" s="2829"/>
      <c r="S29" s="2829"/>
      <c r="T29" s="2829"/>
      <c r="U29" s="2829"/>
      <c r="V29" s="2829"/>
      <c r="W29" s="2829"/>
      <c r="X29" s="2829"/>
      <c r="Y29" s="2829"/>
    </row>
    <row r="30" spans="1:31" ht="42" customHeight="1" thickTop="1" thickBot="1">
      <c r="A30" s="1154"/>
      <c r="B30" s="830"/>
      <c r="C30" s="1287" t="str">
        <f>IF(Name_1st_Yours="","Enter your name(s) on the"&amp;CHAR(10)&amp;"sheet labeled '1040'",Names)</f>
        <v>Enter your name(s) on the
sheet labeled '1040'</v>
      </c>
      <c r="D30" s="1919" t="s">
        <v>1660</v>
      </c>
      <c r="E30" s="1919" t="s">
        <v>1661</v>
      </c>
      <c r="F30" s="1919" t="s">
        <v>1832</v>
      </c>
      <c r="G30" s="1919" t="s">
        <v>1833</v>
      </c>
      <c r="H30" s="1919" t="s">
        <v>1871</v>
      </c>
      <c r="I30" s="85"/>
      <c r="J30" s="484"/>
    </row>
    <row r="31" spans="1:31">
      <c r="A31" s="1145"/>
      <c r="B31" s="2280"/>
      <c r="C31" s="2288" t="s">
        <v>1870</v>
      </c>
      <c r="D31" s="2461"/>
      <c r="E31" s="2462"/>
      <c r="F31" s="2462"/>
      <c r="G31" s="2462"/>
      <c r="H31" s="2462"/>
      <c r="I31" s="128"/>
      <c r="J31" s="484"/>
    </row>
    <row r="32" spans="1:31">
      <c r="A32" s="1145"/>
      <c r="B32" s="2281"/>
      <c r="C32" s="2289" t="s">
        <v>1869</v>
      </c>
      <c r="D32" s="2492"/>
      <c r="E32" s="2493"/>
      <c r="F32" s="2493"/>
      <c r="G32" s="2493"/>
      <c r="H32" s="2493"/>
      <c r="I32" s="128"/>
      <c r="J32" s="484"/>
    </row>
    <row r="33" spans="1:31" ht="13.5" thickBot="1">
      <c r="A33" s="1145"/>
      <c r="B33" s="2282"/>
      <c r="C33" s="2290" t="s">
        <v>156</v>
      </c>
      <c r="D33" s="2495"/>
      <c r="E33" s="2496"/>
      <c r="F33" s="2496"/>
      <c r="G33" s="2496"/>
      <c r="H33" s="2496"/>
      <c r="I33" s="128"/>
      <c r="J33" s="484"/>
    </row>
    <row r="34" spans="1:31" ht="13.5" customHeight="1">
      <c r="A34" s="1145"/>
      <c r="B34" s="2286" t="s">
        <v>12</v>
      </c>
      <c r="C34" s="2283" t="s">
        <v>1872</v>
      </c>
      <c r="D34" s="2465"/>
      <c r="E34" s="2466"/>
      <c r="F34" s="2466"/>
      <c r="G34" s="2466"/>
      <c r="H34" s="2466"/>
      <c r="I34" s="4240" t="str">
        <f>IF(I53,"Error: All qualified dividends must be included in","")</f>
        <v/>
      </c>
      <c r="J34" s="484"/>
      <c r="AA34" s="4">
        <f t="shared" ref="AA34:AA44" si="6">ROUND(D34,2)</f>
        <v>0</v>
      </c>
      <c r="AB34" s="4">
        <f t="shared" ref="AB34:AB44" si="7">ROUND(E34,2)</f>
        <v>0</v>
      </c>
      <c r="AC34" s="4">
        <f t="shared" ref="AC34:AC44" si="8">ROUND(F34,2)</f>
        <v>0</v>
      </c>
      <c r="AD34" s="4">
        <f t="shared" ref="AD34:AD44" si="9">ROUND(G34,2)</f>
        <v>0</v>
      </c>
      <c r="AE34" s="4">
        <f t="shared" ref="AE34:AE44" si="10">ROUND(H34,2)</f>
        <v>0</v>
      </c>
    </row>
    <row r="35" spans="1:31" ht="13.5" customHeight="1">
      <c r="A35" s="1145"/>
      <c r="B35" s="2287" t="s">
        <v>15</v>
      </c>
      <c r="C35" s="2284" t="s">
        <v>487</v>
      </c>
      <c r="D35" s="2467"/>
      <c r="E35" s="2468"/>
      <c r="F35" s="2468"/>
      <c r="G35" s="2468"/>
      <c r="H35" s="2468"/>
      <c r="I35" s="4240" t="str">
        <f>IF(I53,"the Total ordinary dividend amount.","")</f>
        <v/>
      </c>
      <c r="J35" s="484"/>
      <c r="AA35" s="4">
        <f t="shared" si="6"/>
        <v>0</v>
      </c>
      <c r="AB35" s="4">
        <f t="shared" si="7"/>
        <v>0</v>
      </c>
      <c r="AC35" s="4">
        <f t="shared" si="8"/>
        <v>0</v>
      </c>
      <c r="AD35" s="4">
        <f t="shared" si="9"/>
        <v>0</v>
      </c>
      <c r="AE35" s="4">
        <f t="shared" si="10"/>
        <v>0</v>
      </c>
    </row>
    <row r="36" spans="1:31" ht="13.5" customHeight="1">
      <c r="A36" s="1145"/>
      <c r="B36" s="2287" t="s">
        <v>341</v>
      </c>
      <c r="C36" s="2284" t="s">
        <v>1875</v>
      </c>
      <c r="D36" s="2467"/>
      <c r="E36" s="2468"/>
      <c r="F36" s="2468"/>
      <c r="G36" s="2468"/>
      <c r="H36" s="2468"/>
      <c r="I36" s="400"/>
      <c r="J36" s="484"/>
      <c r="AA36" s="4">
        <f t="shared" si="6"/>
        <v>0</v>
      </c>
      <c r="AB36" s="4">
        <f t="shared" si="7"/>
        <v>0</v>
      </c>
      <c r="AC36" s="4">
        <f t="shared" si="8"/>
        <v>0</v>
      </c>
      <c r="AD36" s="4">
        <f t="shared" si="9"/>
        <v>0</v>
      </c>
      <c r="AE36" s="4">
        <f t="shared" si="10"/>
        <v>0</v>
      </c>
    </row>
    <row r="37" spans="1:31" ht="13.5" customHeight="1">
      <c r="A37" s="1145"/>
      <c r="B37" s="1157" t="s">
        <v>342</v>
      </c>
      <c r="C37" s="1156" t="s">
        <v>1876</v>
      </c>
      <c r="D37" s="2467"/>
      <c r="E37" s="2468"/>
      <c r="F37" s="2468"/>
      <c r="G37" s="2468"/>
      <c r="H37" s="2468"/>
      <c r="I37" s="400"/>
      <c r="J37" s="484"/>
      <c r="AA37" s="4">
        <f t="shared" si="6"/>
        <v>0</v>
      </c>
      <c r="AB37" s="4">
        <f t="shared" si="7"/>
        <v>0</v>
      </c>
      <c r="AC37" s="4">
        <f t="shared" si="8"/>
        <v>0</v>
      </c>
      <c r="AD37" s="4">
        <f t="shared" si="9"/>
        <v>0</v>
      </c>
      <c r="AE37" s="4">
        <f t="shared" si="10"/>
        <v>0</v>
      </c>
    </row>
    <row r="38" spans="1:31">
      <c r="A38" s="1145"/>
      <c r="B38" s="1157" t="s">
        <v>1873</v>
      </c>
      <c r="C38" s="2285" t="s">
        <v>1877</v>
      </c>
      <c r="D38" s="2467"/>
      <c r="E38" s="2468"/>
      <c r="F38" s="2468"/>
      <c r="G38" s="2468"/>
      <c r="H38" s="2468"/>
      <c r="I38" s="128"/>
      <c r="J38" s="484"/>
      <c r="AA38" s="4">
        <f t="shared" si="6"/>
        <v>0</v>
      </c>
      <c r="AB38" s="4">
        <f t="shared" si="7"/>
        <v>0</v>
      </c>
      <c r="AC38" s="4">
        <f t="shared" si="8"/>
        <v>0</v>
      </c>
      <c r="AD38" s="4">
        <f t="shared" si="9"/>
        <v>0</v>
      </c>
      <c r="AE38" s="4">
        <f t="shared" si="10"/>
        <v>0</v>
      </c>
    </row>
    <row r="39" spans="1:31">
      <c r="A39" s="1145"/>
      <c r="B39" s="2287" t="s">
        <v>1874</v>
      </c>
      <c r="C39" s="2284" t="s">
        <v>1878</v>
      </c>
      <c r="D39" s="2467"/>
      <c r="E39" s="2468"/>
      <c r="F39" s="2468"/>
      <c r="G39" s="2468"/>
      <c r="H39" s="2468"/>
      <c r="I39" s="128"/>
      <c r="J39" s="484"/>
      <c r="AA39" s="4">
        <f t="shared" si="6"/>
        <v>0</v>
      </c>
      <c r="AB39" s="4">
        <f t="shared" si="7"/>
        <v>0</v>
      </c>
      <c r="AC39" s="4">
        <f t="shared" si="8"/>
        <v>0</v>
      </c>
      <c r="AD39" s="4">
        <f t="shared" si="9"/>
        <v>0</v>
      </c>
      <c r="AE39" s="4">
        <f t="shared" si="10"/>
        <v>0</v>
      </c>
    </row>
    <row r="40" spans="1:31">
      <c r="A40" s="1145"/>
      <c r="B40" s="6046" t="s">
        <v>150</v>
      </c>
      <c r="C40" s="1156" t="s">
        <v>1879</v>
      </c>
      <c r="D40" s="2467"/>
      <c r="E40" s="2468"/>
      <c r="F40" s="2468"/>
      <c r="G40" s="2468"/>
      <c r="H40" s="2468"/>
      <c r="I40" s="128"/>
      <c r="J40" s="484"/>
      <c r="AA40" s="4">
        <f t="shared" si="6"/>
        <v>0</v>
      </c>
      <c r="AB40" s="4">
        <f t="shared" si="7"/>
        <v>0</v>
      </c>
      <c r="AC40" s="4">
        <f t="shared" si="8"/>
        <v>0</v>
      </c>
      <c r="AD40" s="4">
        <f t="shared" si="9"/>
        <v>0</v>
      </c>
      <c r="AE40" s="4">
        <f t="shared" si="10"/>
        <v>0</v>
      </c>
    </row>
    <row r="41" spans="1:31">
      <c r="A41" s="1145"/>
      <c r="B41" s="1336" t="s">
        <v>151</v>
      </c>
      <c r="C41" s="2284" t="s">
        <v>164</v>
      </c>
      <c r="D41" s="2467"/>
      <c r="E41" s="2468"/>
      <c r="F41" s="2468"/>
      <c r="G41" s="2468"/>
      <c r="H41" s="2468"/>
      <c r="I41" s="128"/>
      <c r="J41" s="484"/>
      <c r="AA41" s="4">
        <f t="shared" si="6"/>
        <v>0</v>
      </c>
      <c r="AB41" s="4">
        <f t="shared" si="7"/>
        <v>0</v>
      </c>
      <c r="AC41" s="4">
        <f t="shared" si="8"/>
        <v>0</v>
      </c>
      <c r="AD41" s="4">
        <f t="shared" si="9"/>
        <v>0</v>
      </c>
      <c r="AE41" s="4">
        <f t="shared" si="10"/>
        <v>0</v>
      </c>
    </row>
    <row r="42" spans="1:31">
      <c r="A42" s="1145"/>
      <c r="B42" s="1336" t="s">
        <v>200</v>
      </c>
      <c r="C42" s="2284" t="s">
        <v>2558</v>
      </c>
      <c r="D42" s="2467"/>
      <c r="E42" s="2468"/>
      <c r="F42" s="2468"/>
      <c r="G42" s="2468"/>
      <c r="H42" s="2468"/>
      <c r="I42" s="128"/>
      <c r="J42" s="484"/>
      <c r="AA42" s="4">
        <f t="shared" si="6"/>
        <v>0</v>
      </c>
      <c r="AB42" s="4">
        <f t="shared" si="7"/>
        <v>0</v>
      </c>
      <c r="AC42" s="4">
        <f t="shared" si="8"/>
        <v>0</v>
      </c>
      <c r="AD42" s="4">
        <f t="shared" si="9"/>
        <v>0</v>
      </c>
      <c r="AE42" s="4">
        <f t="shared" si="10"/>
        <v>0</v>
      </c>
    </row>
    <row r="43" spans="1:31">
      <c r="A43" s="1145"/>
      <c r="B43" s="6046" t="s">
        <v>101</v>
      </c>
      <c r="C43" s="1156" t="s">
        <v>1857</v>
      </c>
      <c r="D43" s="2467"/>
      <c r="E43" s="2468"/>
      <c r="F43" s="2468"/>
      <c r="G43" s="2468"/>
      <c r="H43" s="2468"/>
      <c r="I43" s="128"/>
      <c r="J43" s="484"/>
      <c r="AA43" s="4">
        <f t="shared" si="6"/>
        <v>0</v>
      </c>
      <c r="AB43" s="4">
        <f t="shared" si="7"/>
        <v>0</v>
      </c>
      <c r="AC43" s="4">
        <f t="shared" si="8"/>
        <v>0</v>
      </c>
      <c r="AD43" s="4">
        <f t="shared" si="9"/>
        <v>0</v>
      </c>
      <c r="AE43" s="4">
        <f t="shared" si="10"/>
        <v>0</v>
      </c>
    </row>
    <row r="44" spans="1:31">
      <c r="A44" s="1145"/>
      <c r="B44" s="1336" t="s">
        <v>102</v>
      </c>
      <c r="C44" s="2284" t="s">
        <v>1858</v>
      </c>
      <c r="D44" s="2467"/>
      <c r="E44" s="2468"/>
      <c r="F44" s="2468"/>
      <c r="G44" s="2468"/>
      <c r="H44" s="2468"/>
      <c r="I44" s="2848" t="str">
        <f>IF(SUM(D44:H44)&gt;0,"Check Form 1116, Foreign Tax Credit","")</f>
        <v/>
      </c>
      <c r="J44" s="484"/>
      <c r="AA44" s="4">
        <f t="shared" si="6"/>
        <v>0</v>
      </c>
      <c r="AB44" s="4">
        <f t="shared" si="7"/>
        <v>0</v>
      </c>
      <c r="AC44" s="4">
        <f t="shared" si="8"/>
        <v>0</v>
      </c>
      <c r="AD44" s="4">
        <f t="shared" si="9"/>
        <v>0</v>
      </c>
      <c r="AE44" s="4">
        <f t="shared" si="10"/>
        <v>0</v>
      </c>
    </row>
    <row r="45" spans="1:31">
      <c r="A45" s="1145"/>
      <c r="B45" s="6046" t="s">
        <v>103</v>
      </c>
      <c r="C45" s="1156" t="s">
        <v>1859</v>
      </c>
      <c r="D45" s="2467"/>
      <c r="E45" s="2468"/>
      <c r="F45" s="2468"/>
      <c r="G45" s="2468"/>
      <c r="H45" s="2468"/>
      <c r="I45" s="128"/>
      <c r="J45" s="484"/>
      <c r="AA45" s="4"/>
      <c r="AB45" s="4"/>
      <c r="AC45" s="4"/>
      <c r="AD45" s="4"/>
      <c r="AE45" s="4"/>
    </row>
    <row r="46" spans="1:31">
      <c r="A46" s="1145"/>
      <c r="B46" s="6046" t="s">
        <v>104</v>
      </c>
      <c r="C46" s="1156" t="s">
        <v>1880</v>
      </c>
      <c r="D46" s="2467"/>
      <c r="E46" s="2468"/>
      <c r="F46" s="2468"/>
      <c r="G46" s="2468"/>
      <c r="H46" s="2468"/>
      <c r="I46" s="128"/>
      <c r="J46" s="484"/>
      <c r="AA46" s="4">
        <f t="shared" ref="AA46:AE49" si="11">ROUND(D46,2)</f>
        <v>0</v>
      </c>
      <c r="AB46" s="4">
        <f t="shared" si="11"/>
        <v>0</v>
      </c>
      <c r="AC46" s="4">
        <f t="shared" si="11"/>
        <v>0</v>
      </c>
      <c r="AD46" s="4">
        <f t="shared" si="11"/>
        <v>0</v>
      </c>
      <c r="AE46" s="4">
        <f t="shared" si="11"/>
        <v>0</v>
      </c>
    </row>
    <row r="47" spans="1:31">
      <c r="A47" s="1145"/>
      <c r="B47" s="6046" t="s">
        <v>105</v>
      </c>
      <c r="C47" s="1156" t="s">
        <v>1881</v>
      </c>
      <c r="D47" s="2467"/>
      <c r="E47" s="2468"/>
      <c r="F47" s="2468"/>
      <c r="G47" s="2468"/>
      <c r="H47" s="2468"/>
      <c r="I47" s="128"/>
      <c r="J47" s="484"/>
      <c r="AA47" s="4">
        <f t="shared" si="11"/>
        <v>0</v>
      </c>
      <c r="AB47" s="4">
        <f t="shared" si="11"/>
        <v>0</v>
      </c>
      <c r="AC47" s="4">
        <f t="shared" si="11"/>
        <v>0</v>
      </c>
      <c r="AD47" s="4">
        <f t="shared" si="11"/>
        <v>0</v>
      </c>
      <c r="AE47" s="4">
        <f t="shared" si="11"/>
        <v>0</v>
      </c>
    </row>
    <row r="48" spans="1:31">
      <c r="A48" s="1145"/>
      <c r="B48" s="1336" t="s">
        <v>657</v>
      </c>
      <c r="C48" s="2284" t="s">
        <v>1882</v>
      </c>
      <c r="D48" s="2467"/>
      <c r="E48" s="2468"/>
      <c r="F48" s="2468"/>
      <c r="G48" s="2468"/>
      <c r="H48" s="2468"/>
      <c r="I48" s="128"/>
      <c r="J48" s="484"/>
      <c r="AA48" s="4">
        <f t="shared" si="11"/>
        <v>0</v>
      </c>
      <c r="AB48" s="4">
        <f t="shared" si="11"/>
        <v>0</v>
      </c>
      <c r="AC48" s="4">
        <f t="shared" si="11"/>
        <v>0</v>
      </c>
      <c r="AD48" s="4">
        <f t="shared" si="11"/>
        <v>0</v>
      </c>
      <c r="AE48" s="4">
        <f t="shared" si="11"/>
        <v>0</v>
      </c>
    </row>
    <row r="49" spans="1:31">
      <c r="A49" s="1145"/>
      <c r="B49" s="1336" t="s">
        <v>220</v>
      </c>
      <c r="C49" s="2284" t="s">
        <v>1883</v>
      </c>
      <c r="D49" s="2467"/>
      <c r="E49" s="2468"/>
      <c r="F49" s="2468"/>
      <c r="G49" s="2468"/>
      <c r="H49" s="2468"/>
      <c r="I49" s="128"/>
      <c r="J49" s="484"/>
      <c r="AA49" s="4">
        <f t="shared" si="11"/>
        <v>0</v>
      </c>
      <c r="AB49" s="4">
        <f t="shared" si="11"/>
        <v>0</v>
      </c>
      <c r="AC49" s="4">
        <f t="shared" si="11"/>
        <v>0</v>
      </c>
      <c r="AD49" s="4">
        <f t="shared" si="11"/>
        <v>0</v>
      </c>
      <c r="AE49" s="4">
        <f t="shared" si="11"/>
        <v>0</v>
      </c>
    </row>
    <row r="50" spans="1:31">
      <c r="A50" s="1145"/>
      <c r="B50" s="6046" t="s">
        <v>658</v>
      </c>
      <c r="C50" s="1156" t="s">
        <v>1867</v>
      </c>
      <c r="D50" s="2451"/>
      <c r="E50" s="2452"/>
      <c r="F50" s="2452"/>
      <c r="G50" s="2452"/>
      <c r="H50" s="2452"/>
      <c r="I50" s="128"/>
      <c r="J50" s="484"/>
      <c r="AA50" s="4"/>
      <c r="AB50" s="4"/>
      <c r="AC50" s="4"/>
      <c r="AD50" s="4"/>
      <c r="AE50" s="4"/>
    </row>
    <row r="51" spans="1:31">
      <c r="A51" s="1145"/>
      <c r="B51" s="6046" t="s">
        <v>661</v>
      </c>
      <c r="C51" s="1156" t="s">
        <v>1868</v>
      </c>
      <c r="D51" s="2453"/>
      <c r="E51" s="2454"/>
      <c r="F51" s="2454"/>
      <c r="G51" s="2454"/>
      <c r="H51" s="2454"/>
      <c r="I51" s="128"/>
      <c r="J51" s="484"/>
      <c r="AA51" s="4"/>
      <c r="AB51" s="4"/>
      <c r="AC51" s="4"/>
      <c r="AD51" s="4"/>
      <c r="AE51" s="4"/>
    </row>
    <row r="52" spans="1:31" ht="13.5" thickBot="1">
      <c r="A52" s="1145"/>
      <c r="B52" s="3936" t="s">
        <v>662</v>
      </c>
      <c r="C52" s="2297" t="s">
        <v>422</v>
      </c>
      <c r="D52" s="2477"/>
      <c r="E52" s="2478"/>
      <c r="F52" s="2478"/>
      <c r="G52" s="2478"/>
      <c r="H52" s="2478"/>
      <c r="I52" s="128"/>
      <c r="J52" s="484"/>
      <c r="AA52" s="4">
        <f>ROUND(D52,2)</f>
        <v>0</v>
      </c>
      <c r="AB52" s="4">
        <f>ROUND(E52,2)</f>
        <v>0</v>
      </c>
      <c r="AC52" s="4">
        <f>ROUND(F52,2)</f>
        <v>0</v>
      </c>
      <c r="AD52" s="4">
        <f>ROUND(G52,2)</f>
        <v>0</v>
      </c>
      <c r="AE52" s="4">
        <f>ROUND(H52,2)</f>
        <v>0</v>
      </c>
    </row>
    <row r="53" spans="1:31" ht="17.25" customHeight="1" thickBot="1">
      <c r="A53" s="1145"/>
      <c r="B53" s="2421" t="s">
        <v>1987</v>
      </c>
      <c r="C53" s="1145"/>
      <c r="D53" s="2243" t="b">
        <f>D35&gt;D34</f>
        <v>0</v>
      </c>
      <c r="E53" s="2243" t="b">
        <f>E35&gt;E34</f>
        <v>0</v>
      </c>
      <c r="F53" s="2243" t="b">
        <f>F35&gt;F34</f>
        <v>0</v>
      </c>
      <c r="G53" s="2243" t="b">
        <f>G35&gt;G34</f>
        <v>0</v>
      </c>
      <c r="H53" s="2243" t="b">
        <f>H35&gt;H34</f>
        <v>0</v>
      </c>
      <c r="I53" s="4241" t="b">
        <f>OR(D53:H53)</f>
        <v>0</v>
      </c>
      <c r="J53" s="484"/>
    </row>
    <row r="54" spans="1:31" s="2483" customFormat="1" hidden="1">
      <c r="D54" s="2483" t="str">
        <f>IF(D31&lt;&gt;"",D31,"")</f>
        <v/>
      </c>
      <c r="E54" s="2483" t="str">
        <f>IF(E31&lt;&gt;"",E31,"")</f>
        <v/>
      </c>
      <c r="F54" s="2483" t="str">
        <f>IF(F31&lt;&gt;"",F31,"")</f>
        <v/>
      </c>
      <c r="G54" s="2483" t="str">
        <f>IF(G31&lt;&gt;"",G31,"")</f>
        <v/>
      </c>
      <c r="H54" s="2483" t="str">
        <f>IF(H31&lt;&gt;"",H31,"")</f>
        <v/>
      </c>
      <c r="I54" s="128"/>
      <c r="J54" s="484"/>
      <c r="K54" s="5899"/>
      <c r="L54" s="2829"/>
      <c r="M54" s="2829"/>
      <c r="N54" s="2829"/>
      <c r="O54" s="2829"/>
      <c r="P54" s="2829"/>
      <c r="Q54" s="2829"/>
      <c r="R54" s="2829"/>
      <c r="S54" s="2829"/>
      <c r="T54" s="2829"/>
      <c r="U54" s="2829"/>
      <c r="V54" s="2829"/>
      <c r="W54" s="2829"/>
      <c r="X54" s="2829"/>
      <c r="Y54" s="2829"/>
    </row>
    <row r="55" spans="1:31" s="2483" customFormat="1" hidden="1">
      <c r="D55" s="2483" t="str">
        <f>IF(D32&lt;&gt;"", " - "&amp;D32,"")</f>
        <v/>
      </c>
      <c r="E55" s="2483" t="str">
        <f>IF(E32&lt;&gt;"", " - "&amp;E32,"")</f>
        <v/>
      </c>
      <c r="F55" s="2483" t="str">
        <f>IF(F32&lt;&gt;"", " - "&amp;F32,"")</f>
        <v/>
      </c>
      <c r="G55" s="2483" t="str">
        <f>IF(G32&lt;&gt;"", " - "&amp;G32,"")</f>
        <v/>
      </c>
      <c r="H55" s="2483" t="str">
        <f>IF(H32&lt;&gt;"", " - "&amp;H32,"")</f>
        <v/>
      </c>
      <c r="I55" s="128"/>
      <c r="J55" s="484"/>
      <c r="K55" s="5899"/>
      <c r="L55" s="2829"/>
      <c r="M55" s="2829"/>
      <c r="N55" s="2829"/>
      <c r="O55" s="2829"/>
      <c r="P55" s="2829"/>
      <c r="Q55" s="2829"/>
      <c r="R55" s="2829"/>
      <c r="S55" s="2829"/>
      <c r="T55" s="2829"/>
      <c r="U55" s="2829"/>
      <c r="V55" s="2829"/>
      <c r="W55" s="2829"/>
      <c r="X55" s="2829"/>
      <c r="Y55" s="2829"/>
    </row>
    <row r="56" spans="1:31" s="2483" customFormat="1" hidden="1">
      <c r="D56" s="2483" t="str">
        <f>IF(D33&lt;&gt;""," - "&amp;D33,"")</f>
        <v/>
      </c>
      <c r="E56" s="2483" t="str">
        <f>IF(E33&lt;&gt;""," - "&amp;E33,"")</f>
        <v/>
      </c>
      <c r="F56" s="2483" t="str">
        <f>IF(F33&lt;&gt;""," - "&amp;F33,"")</f>
        <v/>
      </c>
      <c r="G56" s="2483" t="str">
        <f>IF(G33&lt;&gt;""," - "&amp;G33,"")</f>
        <v/>
      </c>
      <c r="H56" s="2483" t="str">
        <f>IF(H33&lt;&gt;""," - "&amp;H33,"")</f>
        <v/>
      </c>
      <c r="I56" s="128"/>
      <c r="J56" s="484"/>
      <c r="K56" s="5899"/>
      <c r="L56" s="2829"/>
      <c r="M56" s="2829"/>
      <c r="N56" s="2829"/>
      <c r="O56" s="2829"/>
      <c r="P56" s="2829"/>
      <c r="Q56" s="2829"/>
      <c r="R56" s="2829"/>
      <c r="S56" s="2829"/>
      <c r="T56" s="2829"/>
      <c r="U56" s="2829"/>
      <c r="V56" s="2829"/>
      <c r="W56" s="2829"/>
      <c r="X56" s="2829"/>
      <c r="Y56" s="2829"/>
    </row>
    <row r="57" spans="1:31" s="2483" customFormat="1" ht="13.5" hidden="1" thickBot="1">
      <c r="D57" s="2830" t="str">
        <f>IF(D34="","",D54&amp;D55&amp;D56)</f>
        <v/>
      </c>
      <c r="E57" s="2830" t="str">
        <f>IF(E34="","",E54&amp;E55&amp;E56)</f>
        <v/>
      </c>
      <c r="F57" s="2830" t="str">
        <f>IF(F34="","",F54&amp;F55&amp;F56)</f>
        <v/>
      </c>
      <c r="G57" s="2830" t="str">
        <f>IF(G34="","",G54&amp;G55&amp;G56)</f>
        <v/>
      </c>
      <c r="H57" s="2830" t="str">
        <f>IF(H34="","",H54&amp;H55&amp;H56)</f>
        <v/>
      </c>
      <c r="I57" s="128"/>
      <c r="J57" s="484"/>
      <c r="K57" s="5899"/>
      <c r="L57" s="2829"/>
      <c r="M57" s="2829"/>
      <c r="N57" s="2829"/>
      <c r="O57" s="2829"/>
      <c r="P57" s="2829"/>
      <c r="Q57" s="2829"/>
      <c r="R57" s="2829"/>
      <c r="S57" s="2829"/>
      <c r="T57" s="2829"/>
      <c r="U57" s="2829"/>
      <c r="V57" s="2829"/>
      <c r="W57" s="2829"/>
      <c r="X57" s="2829"/>
      <c r="Y57" s="2829"/>
    </row>
    <row r="58" spans="1:31" ht="42" customHeight="1" thickTop="1" thickBot="1">
      <c r="A58" s="1154"/>
      <c r="B58" s="830"/>
      <c r="C58" s="1287" t="str">
        <f>IF(Name_1st_Yours="","Enter your name(s) on the"&amp;CHAR(10)&amp;"sheet labeled '1040'",Names)</f>
        <v>Enter your name(s) on the
sheet labeled '1040'</v>
      </c>
      <c r="D58" s="1919" t="s">
        <v>2245</v>
      </c>
      <c r="E58" s="1919" t="s">
        <v>2246</v>
      </c>
      <c r="F58" s="1919" t="s">
        <v>2247</v>
      </c>
      <c r="G58" s="1919" t="s">
        <v>2248</v>
      </c>
      <c r="H58" s="1919" t="s">
        <v>2249</v>
      </c>
      <c r="I58" s="85"/>
      <c r="J58" s="484"/>
    </row>
    <row r="59" spans="1:31">
      <c r="A59" s="1145"/>
      <c r="B59" s="2280"/>
      <c r="C59" s="2288" t="s">
        <v>1870</v>
      </c>
      <c r="D59" s="2461"/>
      <c r="E59" s="2462"/>
      <c r="F59" s="2462"/>
      <c r="G59" s="2461"/>
      <c r="H59" s="2462"/>
      <c r="I59" s="128"/>
      <c r="J59" s="484"/>
    </row>
    <row r="60" spans="1:31">
      <c r="A60" s="1145"/>
      <c r="B60" s="2281"/>
      <c r="C60" s="2289" t="s">
        <v>1869</v>
      </c>
      <c r="D60" s="2492"/>
      <c r="E60" s="2493"/>
      <c r="F60" s="2493"/>
      <c r="G60" s="2493"/>
      <c r="H60" s="2493"/>
      <c r="I60" s="128"/>
      <c r="J60" s="484"/>
    </row>
    <row r="61" spans="1:31" ht="13.5" thickBot="1">
      <c r="A61" s="1145"/>
      <c r="B61" s="2282"/>
      <c r="C61" s="2290" t="s">
        <v>156</v>
      </c>
      <c r="D61" s="2495"/>
      <c r="E61" s="2496"/>
      <c r="F61" s="2496"/>
      <c r="G61" s="2496"/>
      <c r="H61" s="2496"/>
      <c r="I61" s="128"/>
      <c r="J61" s="484"/>
    </row>
    <row r="62" spans="1:31" ht="13.5" customHeight="1">
      <c r="A62" s="1145"/>
      <c r="B62" s="2286" t="s">
        <v>12</v>
      </c>
      <c r="C62" s="2283" t="s">
        <v>1872</v>
      </c>
      <c r="D62" s="2465"/>
      <c r="E62" s="2466"/>
      <c r="F62" s="2466"/>
      <c r="G62" s="2466"/>
      <c r="H62" s="2466"/>
      <c r="I62" s="4240" t="str">
        <f>IF(I81,"Error: All qualified dividends must be included in","")</f>
        <v/>
      </c>
      <c r="J62" s="484"/>
      <c r="AA62" s="4">
        <f t="shared" ref="AA62:AA72" si="12">ROUND(D62,2)</f>
        <v>0</v>
      </c>
      <c r="AB62" s="4">
        <f t="shared" ref="AB62:AB72" si="13">ROUND(E62,2)</f>
        <v>0</v>
      </c>
      <c r="AC62" s="4">
        <f t="shared" ref="AC62:AC72" si="14">ROUND(F62,2)</f>
        <v>0</v>
      </c>
      <c r="AD62" s="4">
        <f t="shared" ref="AD62:AD72" si="15">ROUND(G62,2)</f>
        <v>0</v>
      </c>
      <c r="AE62" s="4">
        <f t="shared" ref="AE62:AE72" si="16">ROUND(H62,2)</f>
        <v>0</v>
      </c>
    </row>
    <row r="63" spans="1:31" ht="13.5" customHeight="1">
      <c r="A63" s="1145"/>
      <c r="B63" s="2287" t="s">
        <v>15</v>
      </c>
      <c r="C63" s="2284" t="s">
        <v>487</v>
      </c>
      <c r="D63" s="2467"/>
      <c r="E63" s="2468"/>
      <c r="F63" s="2468"/>
      <c r="G63" s="2468"/>
      <c r="H63" s="2468"/>
      <c r="I63" s="4240" t="str">
        <f>IF(I81,"the Total ordinary dividend amount.","")</f>
        <v/>
      </c>
      <c r="J63" s="484"/>
      <c r="AA63" s="4">
        <f t="shared" si="12"/>
        <v>0</v>
      </c>
      <c r="AB63" s="4">
        <f t="shared" si="13"/>
        <v>0</v>
      </c>
      <c r="AC63" s="4">
        <f t="shared" si="14"/>
        <v>0</v>
      </c>
      <c r="AD63" s="4">
        <f t="shared" si="15"/>
        <v>0</v>
      </c>
      <c r="AE63" s="4">
        <f t="shared" si="16"/>
        <v>0</v>
      </c>
    </row>
    <row r="64" spans="1:31" ht="13.5" customHeight="1">
      <c r="A64" s="1145"/>
      <c r="B64" s="2287" t="s">
        <v>341</v>
      </c>
      <c r="C64" s="2284" t="s">
        <v>1875</v>
      </c>
      <c r="D64" s="2467"/>
      <c r="E64" s="2468"/>
      <c r="F64" s="2468"/>
      <c r="G64" s="2468"/>
      <c r="H64" s="2468"/>
      <c r="I64" s="400"/>
      <c r="J64" s="484"/>
      <c r="AA64" s="4">
        <f t="shared" si="12"/>
        <v>0</v>
      </c>
      <c r="AB64" s="4">
        <f t="shared" si="13"/>
        <v>0</v>
      </c>
      <c r="AC64" s="4">
        <f t="shared" si="14"/>
        <v>0</v>
      </c>
      <c r="AD64" s="4">
        <f t="shared" si="15"/>
        <v>0</v>
      </c>
      <c r="AE64" s="4">
        <f t="shared" si="16"/>
        <v>0</v>
      </c>
    </row>
    <row r="65" spans="1:31" ht="13.5" customHeight="1">
      <c r="A65" s="1145"/>
      <c r="B65" s="1157" t="s">
        <v>342</v>
      </c>
      <c r="C65" s="1156" t="s">
        <v>1876</v>
      </c>
      <c r="D65" s="2467"/>
      <c r="E65" s="2468"/>
      <c r="F65" s="2468"/>
      <c r="G65" s="2468"/>
      <c r="H65" s="2468"/>
      <c r="I65" s="400"/>
      <c r="J65" s="484"/>
      <c r="AA65" s="4">
        <f t="shared" si="12"/>
        <v>0</v>
      </c>
      <c r="AB65" s="4">
        <f t="shared" si="13"/>
        <v>0</v>
      </c>
      <c r="AC65" s="4">
        <f t="shared" si="14"/>
        <v>0</v>
      </c>
      <c r="AD65" s="4">
        <f t="shared" si="15"/>
        <v>0</v>
      </c>
      <c r="AE65" s="4">
        <f t="shared" si="16"/>
        <v>0</v>
      </c>
    </row>
    <row r="66" spans="1:31">
      <c r="A66" s="1145"/>
      <c r="B66" s="1157" t="s">
        <v>1873</v>
      </c>
      <c r="C66" s="2285" t="s">
        <v>1877</v>
      </c>
      <c r="D66" s="2467"/>
      <c r="E66" s="2468"/>
      <c r="F66" s="2468"/>
      <c r="G66" s="2468"/>
      <c r="H66" s="2468"/>
      <c r="I66" s="128"/>
      <c r="J66" s="484"/>
      <c r="AA66" s="4">
        <f t="shared" si="12"/>
        <v>0</v>
      </c>
      <c r="AB66" s="4">
        <f t="shared" si="13"/>
        <v>0</v>
      </c>
      <c r="AC66" s="4">
        <f t="shared" si="14"/>
        <v>0</v>
      </c>
      <c r="AD66" s="4">
        <f t="shared" si="15"/>
        <v>0</v>
      </c>
      <c r="AE66" s="4">
        <f t="shared" si="16"/>
        <v>0</v>
      </c>
    </row>
    <row r="67" spans="1:31">
      <c r="A67" s="1145"/>
      <c r="B67" s="2287" t="s">
        <v>1874</v>
      </c>
      <c r="C67" s="2284" t="s">
        <v>1878</v>
      </c>
      <c r="D67" s="2467"/>
      <c r="E67" s="2468"/>
      <c r="F67" s="2468"/>
      <c r="G67" s="2468"/>
      <c r="H67" s="2468"/>
      <c r="I67" s="128"/>
      <c r="J67" s="484"/>
      <c r="AA67" s="4">
        <f t="shared" si="12"/>
        <v>0</v>
      </c>
      <c r="AB67" s="4">
        <f t="shared" si="13"/>
        <v>0</v>
      </c>
      <c r="AC67" s="4">
        <f t="shared" si="14"/>
        <v>0</v>
      </c>
      <c r="AD67" s="4">
        <f t="shared" si="15"/>
        <v>0</v>
      </c>
      <c r="AE67" s="4">
        <f t="shared" si="16"/>
        <v>0</v>
      </c>
    </row>
    <row r="68" spans="1:31">
      <c r="A68" s="1145"/>
      <c r="B68" s="6046" t="s">
        <v>150</v>
      </c>
      <c r="C68" s="1156" t="s">
        <v>1879</v>
      </c>
      <c r="D68" s="2467"/>
      <c r="E68" s="2468"/>
      <c r="F68" s="2468"/>
      <c r="G68" s="2468"/>
      <c r="H68" s="2468"/>
      <c r="I68" s="128"/>
      <c r="J68" s="484"/>
      <c r="AA68" s="4">
        <f t="shared" si="12"/>
        <v>0</v>
      </c>
      <c r="AB68" s="4">
        <f t="shared" si="13"/>
        <v>0</v>
      </c>
      <c r="AC68" s="4">
        <f t="shared" si="14"/>
        <v>0</v>
      </c>
      <c r="AD68" s="4">
        <f t="shared" si="15"/>
        <v>0</v>
      </c>
      <c r="AE68" s="4">
        <f t="shared" si="16"/>
        <v>0</v>
      </c>
    </row>
    <row r="69" spans="1:31">
      <c r="A69" s="1145"/>
      <c r="B69" s="1336" t="s">
        <v>151</v>
      </c>
      <c r="C69" s="2284" t="s">
        <v>164</v>
      </c>
      <c r="D69" s="2467"/>
      <c r="E69" s="2468"/>
      <c r="F69" s="2468"/>
      <c r="G69" s="2468"/>
      <c r="H69" s="2468"/>
      <c r="I69" s="128"/>
      <c r="J69" s="484"/>
      <c r="AA69" s="4">
        <f t="shared" si="12"/>
        <v>0</v>
      </c>
      <c r="AB69" s="4">
        <f t="shared" si="13"/>
        <v>0</v>
      </c>
      <c r="AC69" s="4">
        <f t="shared" si="14"/>
        <v>0</v>
      </c>
      <c r="AD69" s="4">
        <f t="shared" si="15"/>
        <v>0</v>
      </c>
      <c r="AE69" s="4">
        <f t="shared" si="16"/>
        <v>0</v>
      </c>
    </row>
    <row r="70" spans="1:31">
      <c r="A70" s="1145"/>
      <c r="B70" s="1336" t="s">
        <v>200</v>
      </c>
      <c r="C70" s="2284" t="s">
        <v>2558</v>
      </c>
      <c r="D70" s="2467"/>
      <c r="E70" s="2468"/>
      <c r="F70" s="2468"/>
      <c r="G70" s="2468"/>
      <c r="H70" s="2468"/>
      <c r="I70" s="128"/>
      <c r="J70" s="484"/>
      <c r="AA70" s="4">
        <f t="shared" si="12"/>
        <v>0</v>
      </c>
      <c r="AB70" s="4">
        <f t="shared" si="13"/>
        <v>0</v>
      </c>
      <c r="AC70" s="4">
        <f t="shared" si="14"/>
        <v>0</v>
      </c>
      <c r="AD70" s="4">
        <f t="shared" si="15"/>
        <v>0</v>
      </c>
      <c r="AE70" s="4">
        <f t="shared" si="16"/>
        <v>0</v>
      </c>
    </row>
    <row r="71" spans="1:31">
      <c r="A71" s="1145"/>
      <c r="B71" s="6046" t="s">
        <v>101</v>
      </c>
      <c r="C71" s="1156" t="s">
        <v>1857</v>
      </c>
      <c r="D71" s="2467"/>
      <c r="E71" s="2468"/>
      <c r="F71" s="2468"/>
      <c r="G71" s="2468"/>
      <c r="H71" s="2468"/>
      <c r="I71" s="128"/>
      <c r="J71" s="484"/>
      <c r="AA71" s="4">
        <f t="shared" si="12"/>
        <v>0</v>
      </c>
      <c r="AB71" s="4">
        <f t="shared" si="13"/>
        <v>0</v>
      </c>
      <c r="AC71" s="4">
        <f t="shared" si="14"/>
        <v>0</v>
      </c>
      <c r="AD71" s="4">
        <f t="shared" si="15"/>
        <v>0</v>
      </c>
      <c r="AE71" s="4">
        <f t="shared" si="16"/>
        <v>0</v>
      </c>
    </row>
    <row r="72" spans="1:31">
      <c r="A72" s="1145"/>
      <c r="B72" s="1336" t="s">
        <v>102</v>
      </c>
      <c r="C72" s="2284" t="s">
        <v>1858</v>
      </c>
      <c r="D72" s="2467"/>
      <c r="E72" s="2468"/>
      <c r="F72" s="2468"/>
      <c r="G72" s="2468"/>
      <c r="H72" s="2468"/>
      <c r="I72" s="2848" t="str">
        <f>IF(SUM(D72:H72)&gt;0,"Check Form 1116, Foreign Tax Credit","")</f>
        <v/>
      </c>
      <c r="J72" s="484"/>
      <c r="AA72" s="4">
        <f t="shared" si="12"/>
        <v>0</v>
      </c>
      <c r="AB72" s="4">
        <f t="shared" si="13"/>
        <v>0</v>
      </c>
      <c r="AC72" s="4">
        <f t="shared" si="14"/>
        <v>0</v>
      </c>
      <c r="AD72" s="4">
        <f t="shared" si="15"/>
        <v>0</v>
      </c>
      <c r="AE72" s="4">
        <f t="shared" si="16"/>
        <v>0</v>
      </c>
    </row>
    <row r="73" spans="1:31">
      <c r="A73" s="1145"/>
      <c r="B73" s="6046" t="s">
        <v>103</v>
      </c>
      <c r="C73" s="1156" t="s">
        <v>1859</v>
      </c>
      <c r="D73" s="2467"/>
      <c r="E73" s="2468"/>
      <c r="F73" s="2468"/>
      <c r="G73" s="2468"/>
      <c r="H73" s="2468"/>
      <c r="I73" s="128"/>
      <c r="J73" s="484"/>
      <c r="AA73" s="4"/>
      <c r="AB73" s="4"/>
      <c r="AC73" s="4"/>
      <c r="AD73" s="4"/>
      <c r="AE73" s="4"/>
    </row>
    <row r="74" spans="1:31">
      <c r="A74" s="1145"/>
      <c r="B74" s="6046" t="s">
        <v>104</v>
      </c>
      <c r="C74" s="1156" t="s">
        <v>1880</v>
      </c>
      <c r="D74" s="2467"/>
      <c r="E74" s="2468"/>
      <c r="F74" s="2468"/>
      <c r="G74" s="2468"/>
      <c r="H74" s="2468"/>
      <c r="I74" s="128"/>
      <c r="J74" s="484"/>
      <c r="AA74" s="4">
        <f t="shared" ref="AA74:AE77" si="17">ROUND(D74,2)</f>
        <v>0</v>
      </c>
      <c r="AB74" s="4">
        <f t="shared" si="17"/>
        <v>0</v>
      </c>
      <c r="AC74" s="4">
        <f t="shared" si="17"/>
        <v>0</v>
      </c>
      <c r="AD74" s="4">
        <f t="shared" si="17"/>
        <v>0</v>
      </c>
      <c r="AE74" s="4">
        <f t="shared" si="17"/>
        <v>0</v>
      </c>
    </row>
    <row r="75" spans="1:31">
      <c r="A75" s="1145"/>
      <c r="B75" s="6046" t="s">
        <v>105</v>
      </c>
      <c r="C75" s="1156" t="s">
        <v>1881</v>
      </c>
      <c r="D75" s="2467"/>
      <c r="E75" s="2468"/>
      <c r="F75" s="2468"/>
      <c r="G75" s="2468"/>
      <c r="H75" s="2468"/>
      <c r="I75" s="128"/>
      <c r="J75" s="484"/>
      <c r="AA75" s="4">
        <f t="shared" si="17"/>
        <v>0</v>
      </c>
      <c r="AB75" s="4">
        <f t="shared" si="17"/>
        <v>0</v>
      </c>
      <c r="AC75" s="4">
        <f t="shared" si="17"/>
        <v>0</v>
      </c>
      <c r="AD75" s="4">
        <f t="shared" si="17"/>
        <v>0</v>
      </c>
      <c r="AE75" s="4">
        <f t="shared" si="17"/>
        <v>0</v>
      </c>
    </row>
    <row r="76" spans="1:31">
      <c r="A76" s="1145"/>
      <c r="B76" s="1336" t="s">
        <v>657</v>
      </c>
      <c r="C76" s="2284" t="s">
        <v>1882</v>
      </c>
      <c r="D76" s="2467"/>
      <c r="E76" s="2468"/>
      <c r="F76" s="2468"/>
      <c r="G76" s="2468"/>
      <c r="H76" s="2468"/>
      <c r="I76" s="128"/>
      <c r="J76" s="484"/>
      <c r="AA76" s="4">
        <f t="shared" si="17"/>
        <v>0</v>
      </c>
      <c r="AB76" s="4">
        <f t="shared" si="17"/>
        <v>0</v>
      </c>
      <c r="AC76" s="4">
        <f t="shared" si="17"/>
        <v>0</v>
      </c>
      <c r="AD76" s="4">
        <f t="shared" si="17"/>
        <v>0</v>
      </c>
      <c r="AE76" s="4">
        <f t="shared" si="17"/>
        <v>0</v>
      </c>
    </row>
    <row r="77" spans="1:31">
      <c r="A77" s="1145"/>
      <c r="B77" s="1336" t="s">
        <v>220</v>
      </c>
      <c r="C77" s="2284" t="s">
        <v>1883</v>
      </c>
      <c r="D77" s="2467"/>
      <c r="E77" s="2468"/>
      <c r="F77" s="2468"/>
      <c r="G77" s="2468"/>
      <c r="H77" s="2468"/>
      <c r="I77" s="128"/>
      <c r="J77" s="484"/>
      <c r="AA77" s="4">
        <f t="shared" si="17"/>
        <v>0</v>
      </c>
      <c r="AB77" s="4">
        <f t="shared" si="17"/>
        <v>0</v>
      </c>
      <c r="AC77" s="4">
        <f t="shared" si="17"/>
        <v>0</v>
      </c>
      <c r="AD77" s="4">
        <f t="shared" si="17"/>
        <v>0</v>
      </c>
      <c r="AE77" s="4">
        <f t="shared" si="17"/>
        <v>0</v>
      </c>
    </row>
    <row r="78" spans="1:31">
      <c r="A78" s="1145"/>
      <c r="B78" s="6046" t="s">
        <v>658</v>
      </c>
      <c r="C78" s="1156" t="s">
        <v>1867</v>
      </c>
      <c r="D78" s="2451"/>
      <c r="E78" s="2452"/>
      <c r="F78" s="2452"/>
      <c r="G78" s="2452"/>
      <c r="H78" s="2452"/>
      <c r="I78" s="128"/>
      <c r="J78" s="484"/>
      <c r="AA78" s="4"/>
      <c r="AB78" s="4"/>
      <c r="AC78" s="4"/>
      <c r="AD78" s="4"/>
      <c r="AE78" s="4"/>
    </row>
    <row r="79" spans="1:31">
      <c r="A79" s="1145"/>
      <c r="B79" s="6046" t="s">
        <v>661</v>
      </c>
      <c r="C79" s="1156" t="s">
        <v>1868</v>
      </c>
      <c r="D79" s="2453"/>
      <c r="E79" s="2454"/>
      <c r="F79" s="2454"/>
      <c r="G79" s="2454"/>
      <c r="H79" s="2454"/>
      <c r="I79" s="128"/>
      <c r="J79" s="484"/>
      <c r="AA79" s="4"/>
      <c r="AB79" s="4"/>
      <c r="AC79" s="4"/>
      <c r="AD79" s="4"/>
      <c r="AE79" s="4"/>
    </row>
    <row r="80" spans="1:31" ht="13.5" thickBot="1">
      <c r="A80" s="1145"/>
      <c r="B80" s="3936" t="s">
        <v>662</v>
      </c>
      <c r="C80" s="2297" t="s">
        <v>422</v>
      </c>
      <c r="D80" s="2477"/>
      <c r="E80" s="2478"/>
      <c r="F80" s="2478"/>
      <c r="G80" s="2478"/>
      <c r="H80" s="2478"/>
      <c r="I80" s="128"/>
      <c r="J80" s="484"/>
      <c r="AA80" s="4">
        <f>ROUND(D80,2)</f>
        <v>0</v>
      </c>
      <c r="AB80" s="4">
        <f>ROUND(E80,2)</f>
        <v>0</v>
      </c>
      <c r="AC80" s="4">
        <f>ROUND(F80,2)</f>
        <v>0</v>
      </c>
      <c r="AD80" s="4">
        <f>ROUND(G80,2)</f>
        <v>0</v>
      </c>
      <c r="AE80" s="4">
        <f>ROUND(H80,2)</f>
        <v>0</v>
      </c>
    </row>
    <row r="81" spans="1:31" ht="17.25" customHeight="1" thickBot="1">
      <c r="A81" s="1145"/>
      <c r="B81" s="2421" t="s">
        <v>1987</v>
      </c>
      <c r="C81" s="1145"/>
      <c r="D81" s="2243" t="b">
        <f>D63&gt;D62</f>
        <v>0</v>
      </c>
      <c r="E81" s="2243" t="b">
        <f>E63&gt;E62</f>
        <v>0</v>
      </c>
      <c r="F81" s="2243" t="b">
        <f>F63&gt;F62</f>
        <v>0</v>
      </c>
      <c r="G81" s="2243" t="b">
        <f>G63&gt;G62</f>
        <v>0</v>
      </c>
      <c r="H81" s="2243" t="b">
        <f>H63&gt;H62</f>
        <v>0</v>
      </c>
      <c r="I81" s="4241" t="b">
        <f>OR(D81:H81)</f>
        <v>0</v>
      </c>
      <c r="J81" s="484"/>
    </row>
    <row r="82" spans="1:31" s="2483" customFormat="1" hidden="1">
      <c r="D82" s="2483" t="str">
        <f>IF(D59&lt;&gt;"",D59,"")</f>
        <v/>
      </c>
      <c r="E82" s="2483" t="str">
        <f>IF(E59&lt;&gt;"",E59,"")</f>
        <v/>
      </c>
      <c r="F82" s="2483" t="str">
        <f>IF(F59&lt;&gt;"",F59,"")</f>
        <v/>
      </c>
      <c r="G82" s="2483" t="str">
        <f>IF(G59&lt;&gt;"",G59,"")</f>
        <v/>
      </c>
      <c r="H82" s="2483" t="str">
        <f>IF(H59&lt;&gt;"",H59,"")</f>
        <v/>
      </c>
      <c r="I82" s="128"/>
      <c r="K82" s="5899"/>
      <c r="L82" s="2829"/>
      <c r="M82" s="2829"/>
      <c r="N82" s="2829"/>
      <c r="O82" s="2829"/>
      <c r="P82" s="2829"/>
      <c r="Q82" s="2829"/>
      <c r="R82" s="2829"/>
      <c r="S82" s="2829"/>
      <c r="T82" s="2829"/>
      <c r="U82" s="2829"/>
      <c r="V82" s="2829"/>
      <c r="W82" s="2829"/>
      <c r="X82" s="2829"/>
      <c r="Y82" s="2829"/>
    </row>
    <row r="83" spans="1:31" s="2483" customFormat="1" hidden="1">
      <c r="D83" s="2483" t="str">
        <f>IF(D60&lt;&gt;"", " - "&amp;D60,"")</f>
        <v/>
      </c>
      <c r="E83" s="2483" t="str">
        <f>IF(E60&lt;&gt;"", " - "&amp;E60,"")</f>
        <v/>
      </c>
      <c r="F83" s="2483" t="str">
        <f>IF(F60&lt;&gt;"", " - "&amp;F60,"")</f>
        <v/>
      </c>
      <c r="G83" s="2483" t="str">
        <f>IF(G60&lt;&gt;"", " - "&amp;G60,"")</f>
        <v/>
      </c>
      <c r="H83" s="2483" t="str">
        <f>IF(H60&lt;&gt;"", " - "&amp;H60,"")</f>
        <v/>
      </c>
      <c r="I83" s="128"/>
      <c r="K83" s="5899"/>
      <c r="L83" s="2829"/>
      <c r="M83" s="2829"/>
      <c r="N83" s="2829"/>
      <c r="O83" s="2829"/>
      <c r="P83" s="2829"/>
      <c r="Q83" s="2829"/>
      <c r="R83" s="2829"/>
      <c r="S83" s="2829"/>
      <c r="T83" s="2829"/>
      <c r="U83" s="2829"/>
      <c r="V83" s="2829"/>
      <c r="W83" s="2829"/>
      <c r="X83" s="2829"/>
      <c r="Y83" s="2829"/>
    </row>
    <row r="84" spans="1:31" s="2483" customFormat="1" hidden="1">
      <c r="D84" s="2483" t="str">
        <f>IF(D61&lt;&gt;""," - "&amp;D61,"")</f>
        <v/>
      </c>
      <c r="E84" s="2483" t="str">
        <f>IF(E61&lt;&gt;""," - "&amp;E61,"")</f>
        <v/>
      </c>
      <c r="F84" s="2483" t="str">
        <f>IF(F61&lt;&gt;""," - "&amp;F61,"")</f>
        <v/>
      </c>
      <c r="G84" s="2483" t="str">
        <f>IF(G61&lt;&gt;""," - "&amp;G61,"")</f>
        <v/>
      </c>
      <c r="H84" s="2483" t="str">
        <f>IF(H61&lt;&gt;""," - "&amp;H61,"")</f>
        <v/>
      </c>
      <c r="I84" s="128"/>
      <c r="J84"/>
      <c r="K84" s="5899"/>
      <c r="L84" s="2829"/>
      <c r="M84" s="2829"/>
      <c r="N84" s="2829"/>
      <c r="O84" s="2829"/>
      <c r="P84" s="2829"/>
      <c r="Q84" s="2829"/>
      <c r="R84" s="2829"/>
      <c r="S84" s="2829"/>
      <c r="T84" s="2829"/>
      <c r="U84" s="2829"/>
      <c r="V84" s="2829"/>
      <c r="W84" s="2829"/>
      <c r="X84" s="2829"/>
      <c r="Y84" s="2829"/>
    </row>
    <row r="85" spans="1:31" s="2483" customFormat="1" ht="13.5" hidden="1" thickBot="1">
      <c r="D85" s="2830" t="str">
        <f>IF(D62="","",D82&amp;D83&amp;D84)</f>
        <v/>
      </c>
      <c r="E85" s="2830" t="str">
        <f>IF(E62="","",E82&amp;E83&amp;E84)</f>
        <v/>
      </c>
      <c r="F85" s="2830" t="str">
        <f>IF(F62="","",F82&amp;F83&amp;F84)</f>
        <v/>
      </c>
      <c r="G85" s="2830" t="str">
        <f>IF(G62="","",G82&amp;G83&amp;G84)</f>
        <v/>
      </c>
      <c r="H85" s="2830" t="str">
        <f>IF(H62="","",H82&amp;H83&amp;H84)</f>
        <v/>
      </c>
      <c r="I85" s="128"/>
      <c r="J85"/>
      <c r="K85" s="5899"/>
      <c r="L85" s="2829"/>
      <c r="M85" s="2829"/>
      <c r="N85" s="2829"/>
      <c r="O85" s="2829"/>
      <c r="P85" s="2829"/>
      <c r="Q85" s="2829"/>
      <c r="R85" s="2829"/>
      <c r="S85" s="2829"/>
      <c r="T85" s="2829"/>
      <c r="U85" s="2829"/>
      <c r="V85" s="2829"/>
      <c r="W85" s="2829"/>
      <c r="X85" s="2829"/>
      <c r="Y85" s="2829"/>
    </row>
    <row r="86" spans="1:31" ht="42" customHeight="1" thickTop="1" thickBot="1">
      <c r="A86" s="1154"/>
      <c r="B86" s="830"/>
      <c r="C86" s="1287" t="str">
        <f>IF(Name_1st_Yours="","Enter your name(s) on the"&amp;CHAR(10)&amp;"sheet labeled '1040'",Names)</f>
        <v>Enter your name(s) on the
sheet labeled '1040'</v>
      </c>
      <c r="D86" s="1919" t="s">
        <v>2285</v>
      </c>
      <c r="E86" s="1919" t="s">
        <v>2286</v>
      </c>
      <c r="F86" s="1919" t="s">
        <v>2287</v>
      </c>
      <c r="G86" s="1919" t="s">
        <v>2288</v>
      </c>
      <c r="H86" s="1919" t="s">
        <v>202</v>
      </c>
      <c r="I86" s="85" t="s">
        <v>1935</v>
      </c>
      <c r="J86" s="484"/>
    </row>
    <row r="87" spans="1:31">
      <c r="A87" s="1145"/>
      <c r="B87" s="2280"/>
      <c r="C87" s="2288" t="s">
        <v>1870</v>
      </c>
      <c r="D87" s="2461"/>
      <c r="E87" s="2462"/>
      <c r="F87" s="2462"/>
      <c r="G87" s="2462"/>
      <c r="H87" s="3553"/>
      <c r="I87" s="2849"/>
      <c r="J87" s="1145"/>
    </row>
    <row r="88" spans="1:31">
      <c r="A88" s="1145"/>
      <c r="B88" s="2281"/>
      <c r="C88" s="2289" t="s">
        <v>1869</v>
      </c>
      <c r="D88" s="2492"/>
      <c r="E88" s="2493"/>
      <c r="F88" s="2493"/>
      <c r="G88" s="2493"/>
      <c r="H88" s="3918"/>
      <c r="I88" s="2582"/>
      <c r="J88" s="1145"/>
    </row>
    <row r="89" spans="1:31" ht="13.5" thickBot="1">
      <c r="A89" s="1145"/>
      <c r="B89" s="2282"/>
      <c r="C89" s="2290" t="s">
        <v>156</v>
      </c>
      <c r="D89" s="2495"/>
      <c r="E89" s="2496"/>
      <c r="F89" s="2496"/>
      <c r="G89" s="2496"/>
      <c r="H89" s="3919"/>
      <c r="I89" s="2582">
        <f>SUM(ForeignTaxPaid_INT,ForeignTaxPaid_DIV)</f>
        <v>0</v>
      </c>
      <c r="J89" s="1145"/>
    </row>
    <row r="90" spans="1:31" ht="13.5" customHeight="1">
      <c r="A90" s="1145"/>
      <c r="B90" s="2286" t="s">
        <v>12</v>
      </c>
      <c r="C90" s="2283" t="s">
        <v>1872</v>
      </c>
      <c r="D90" s="2465"/>
      <c r="E90" s="2466"/>
      <c r="F90" s="2466"/>
      <c r="G90" s="2466"/>
      <c r="H90" s="5897">
        <f>SUM(AA6:AE6,AA34:AE34,AA62:AE62,AA90:AD90)</f>
        <v>0</v>
      </c>
      <c r="I90" s="2397" t="str">
        <f>IF(I109,"Error: All qualified dividends must be included in","Sch. B, Line 5")</f>
        <v>Sch. B, Line 5</v>
      </c>
      <c r="J90" s="1145"/>
      <c r="Z90" s="1357"/>
      <c r="AA90" s="4">
        <f t="shared" ref="AA90:AA100" si="18">ROUND(D90,2)</f>
        <v>0</v>
      </c>
      <c r="AB90" s="4">
        <f t="shared" ref="AB90:AB100" si="19">ROUND(E90,2)</f>
        <v>0</v>
      </c>
      <c r="AC90" s="4">
        <f t="shared" ref="AC90:AC100" si="20">ROUND(F90,2)</f>
        <v>0</v>
      </c>
      <c r="AD90" s="4">
        <f t="shared" ref="AD90:AD100" si="21">ROUND(G90,2)</f>
        <v>0</v>
      </c>
      <c r="AE90" s="4"/>
    </row>
    <row r="91" spans="1:31" ht="13.5" customHeight="1">
      <c r="A91" s="1145"/>
      <c r="B91" s="2287" t="s">
        <v>15</v>
      </c>
      <c r="C91" s="2284" t="s">
        <v>487</v>
      </c>
      <c r="D91" s="2467"/>
      <c r="E91" s="2468"/>
      <c r="F91" s="2468"/>
      <c r="G91" s="2468"/>
      <c r="H91" s="5898">
        <f t="shared" ref="H91:H100" si="22">SUM(AA7:AE7,AA35:AE35,AA63:AE63,AA91:AD91)</f>
        <v>0</v>
      </c>
      <c r="I91" s="2397" t="str">
        <f>IF(I109,"the Total ordinary dividend amount.","Form 1040, Line 3a and 3b")</f>
        <v>Form 1040, Line 3a and 3b</v>
      </c>
      <c r="J91" s="1145"/>
      <c r="Z91" s="1357"/>
      <c r="AA91" s="4">
        <f t="shared" si="18"/>
        <v>0</v>
      </c>
      <c r="AB91" s="4">
        <f t="shared" si="19"/>
        <v>0</v>
      </c>
      <c r="AC91" s="4">
        <f t="shared" si="20"/>
        <v>0</v>
      </c>
      <c r="AD91" s="4">
        <f t="shared" si="21"/>
        <v>0</v>
      </c>
      <c r="AE91" s="4"/>
    </row>
    <row r="92" spans="1:31" ht="13.5" customHeight="1">
      <c r="A92" s="1145"/>
      <c r="B92" s="2287" t="s">
        <v>341</v>
      </c>
      <c r="C92" s="2284" t="s">
        <v>1875</v>
      </c>
      <c r="D92" s="2467"/>
      <c r="E92" s="2468"/>
      <c r="F92" s="2468"/>
      <c r="G92" s="2468"/>
      <c r="H92" s="5898">
        <f t="shared" si="22"/>
        <v>0</v>
      </c>
      <c r="I92" s="2397" t="s">
        <v>1939</v>
      </c>
      <c r="J92" s="1145"/>
      <c r="Z92" s="1357"/>
      <c r="AA92" s="4">
        <f t="shared" si="18"/>
        <v>0</v>
      </c>
      <c r="AB92" s="4">
        <f t="shared" si="19"/>
        <v>0</v>
      </c>
      <c r="AC92" s="4">
        <f t="shared" si="20"/>
        <v>0</v>
      </c>
      <c r="AD92" s="4">
        <f t="shared" si="21"/>
        <v>0</v>
      </c>
      <c r="AE92" s="4"/>
    </row>
    <row r="93" spans="1:31" ht="13.5" customHeight="1">
      <c r="A93" s="1145"/>
      <c r="B93" s="1155" t="s">
        <v>342</v>
      </c>
      <c r="C93" s="1156" t="s">
        <v>1876</v>
      </c>
      <c r="D93" s="2467"/>
      <c r="E93" s="2468"/>
      <c r="F93" s="2468"/>
      <c r="G93" s="2468"/>
      <c r="H93" s="5895">
        <f t="shared" si="22"/>
        <v>0</v>
      </c>
      <c r="I93" s="2397"/>
      <c r="J93" s="1145"/>
      <c r="AA93" s="4">
        <f t="shared" si="18"/>
        <v>0</v>
      </c>
      <c r="AB93" s="4">
        <f t="shared" si="19"/>
        <v>0</v>
      </c>
      <c r="AC93" s="4">
        <f t="shared" si="20"/>
        <v>0</v>
      </c>
      <c r="AD93" s="4">
        <f t="shared" si="21"/>
        <v>0</v>
      </c>
      <c r="AE93" s="4"/>
    </row>
    <row r="94" spans="1:31" ht="26.25" customHeight="1">
      <c r="A94" s="1145"/>
      <c r="B94" s="1157" t="s">
        <v>1873</v>
      </c>
      <c r="C94" s="2285" t="s">
        <v>1877</v>
      </c>
      <c r="D94" s="2467"/>
      <c r="E94" s="2468"/>
      <c r="F94" s="2468"/>
      <c r="G94" s="2468"/>
      <c r="H94" s="5895">
        <f t="shared" si="22"/>
        <v>0</v>
      </c>
      <c r="I94" s="2144"/>
      <c r="J94" s="1145"/>
      <c r="AA94" s="4">
        <f t="shared" si="18"/>
        <v>0</v>
      </c>
      <c r="AB94" s="4">
        <f t="shared" si="19"/>
        <v>0</v>
      </c>
      <c r="AC94" s="4">
        <f t="shared" si="20"/>
        <v>0</v>
      </c>
      <c r="AD94" s="4">
        <f t="shared" si="21"/>
        <v>0</v>
      </c>
      <c r="AE94" s="4"/>
    </row>
    <row r="95" spans="1:31">
      <c r="A95" s="1145"/>
      <c r="B95" s="2287" t="s">
        <v>1874</v>
      </c>
      <c r="C95" s="2284" t="s">
        <v>1878</v>
      </c>
      <c r="D95" s="2467"/>
      <c r="E95" s="2468"/>
      <c r="F95" s="2468"/>
      <c r="G95" s="2468"/>
      <c r="H95" s="5898">
        <f t="shared" si="22"/>
        <v>0</v>
      </c>
      <c r="I95" s="2397" t="s">
        <v>1940</v>
      </c>
      <c r="J95" s="1145"/>
      <c r="Z95" s="1357"/>
      <c r="AA95" s="4">
        <f t="shared" si="18"/>
        <v>0</v>
      </c>
      <c r="AB95" s="4">
        <f t="shared" si="19"/>
        <v>0</v>
      </c>
      <c r="AC95" s="4">
        <f t="shared" si="20"/>
        <v>0</v>
      </c>
      <c r="AD95" s="4">
        <f t="shared" si="21"/>
        <v>0</v>
      </c>
      <c r="AE95" s="4"/>
    </row>
    <row r="96" spans="1:31">
      <c r="A96" s="1145"/>
      <c r="B96" s="6046" t="s">
        <v>150</v>
      </c>
      <c r="C96" s="1156" t="s">
        <v>1879</v>
      </c>
      <c r="D96" s="2467"/>
      <c r="E96" s="2468"/>
      <c r="F96" s="2468"/>
      <c r="G96" s="2468"/>
      <c r="H96" s="5895">
        <f t="shared" si="22"/>
        <v>0</v>
      </c>
      <c r="I96" s="2397"/>
      <c r="J96" s="1145"/>
      <c r="AA96" s="4">
        <f t="shared" si="18"/>
        <v>0</v>
      </c>
      <c r="AB96" s="4">
        <f t="shared" si="19"/>
        <v>0</v>
      </c>
      <c r="AC96" s="4">
        <f t="shared" si="20"/>
        <v>0</v>
      </c>
      <c r="AD96" s="4">
        <f t="shared" si="21"/>
        <v>0</v>
      </c>
      <c r="AE96" s="4"/>
    </row>
    <row r="97" spans="1:31">
      <c r="A97" s="1145"/>
      <c r="B97" s="1336" t="s">
        <v>151</v>
      </c>
      <c r="C97" s="2284" t="s">
        <v>164</v>
      </c>
      <c r="D97" s="2467"/>
      <c r="E97" s="2468"/>
      <c r="F97" s="2468"/>
      <c r="G97" s="2468"/>
      <c r="H97" s="5898">
        <f t="shared" si="22"/>
        <v>0</v>
      </c>
      <c r="I97" s="2397" t="s">
        <v>4437</v>
      </c>
      <c r="J97" s="1145"/>
      <c r="Z97" s="1357"/>
      <c r="AA97" s="4">
        <f t="shared" si="18"/>
        <v>0</v>
      </c>
      <c r="AB97" s="4">
        <f t="shared" si="19"/>
        <v>0</v>
      </c>
      <c r="AC97" s="4">
        <f t="shared" si="20"/>
        <v>0</v>
      </c>
      <c r="AD97" s="4">
        <f t="shared" si="21"/>
        <v>0</v>
      </c>
      <c r="AE97" s="4"/>
    </row>
    <row r="98" spans="1:31">
      <c r="A98" s="1145"/>
      <c r="B98" s="1336" t="s">
        <v>200</v>
      </c>
      <c r="C98" s="2284" t="s">
        <v>2558</v>
      </c>
      <c r="D98" s="2467"/>
      <c r="E98" s="2468"/>
      <c r="F98" s="2468"/>
      <c r="G98" s="2468"/>
      <c r="H98" s="5898">
        <f t="shared" si="22"/>
        <v>0</v>
      </c>
      <c r="I98" s="2397" t="s">
        <v>4434</v>
      </c>
      <c r="J98" s="1145"/>
      <c r="Z98" s="1357"/>
      <c r="AA98" s="4">
        <f t="shared" si="18"/>
        <v>0</v>
      </c>
      <c r="AB98" s="4">
        <f t="shared" si="19"/>
        <v>0</v>
      </c>
      <c r="AC98" s="4">
        <f t="shared" si="20"/>
        <v>0</v>
      </c>
      <c r="AD98" s="4">
        <f t="shared" si="21"/>
        <v>0</v>
      </c>
      <c r="AE98" s="4"/>
    </row>
    <row r="99" spans="1:31">
      <c r="A99" s="1145"/>
      <c r="B99" s="6046" t="s">
        <v>101</v>
      </c>
      <c r="C99" s="1156" t="s">
        <v>1857</v>
      </c>
      <c r="D99" s="2467"/>
      <c r="E99" s="2468"/>
      <c r="F99" s="2468"/>
      <c r="G99" s="2468"/>
      <c r="H99" s="5895">
        <f t="shared" si="22"/>
        <v>0</v>
      </c>
      <c r="I99" s="2397"/>
      <c r="J99" s="1145"/>
      <c r="AA99" s="4">
        <f t="shared" si="18"/>
        <v>0</v>
      </c>
      <c r="AB99" s="4">
        <f t="shared" si="19"/>
        <v>0</v>
      </c>
      <c r="AC99" s="4">
        <f t="shared" si="20"/>
        <v>0</v>
      </c>
      <c r="AD99" s="4">
        <f t="shared" si="21"/>
        <v>0</v>
      </c>
      <c r="AE99" s="4"/>
    </row>
    <row r="100" spans="1:31">
      <c r="A100" s="1145"/>
      <c r="B100" s="1336" t="s">
        <v>102</v>
      </c>
      <c r="C100" s="2284" t="s">
        <v>1858</v>
      </c>
      <c r="D100" s="2467"/>
      <c r="E100" s="2468"/>
      <c r="F100" s="2468"/>
      <c r="G100" s="2468"/>
      <c r="H100" s="5898">
        <f t="shared" si="22"/>
        <v>0</v>
      </c>
      <c r="I100" s="2398" t="s">
        <v>3864</v>
      </c>
      <c r="J100" s="1145"/>
      <c r="AA100" s="4">
        <f t="shared" si="18"/>
        <v>0</v>
      </c>
      <c r="AB100" s="4">
        <f t="shared" si="19"/>
        <v>0</v>
      </c>
      <c r="AC100" s="4">
        <f t="shared" si="20"/>
        <v>0</v>
      </c>
      <c r="AD100" s="4">
        <f t="shared" si="21"/>
        <v>0</v>
      </c>
      <c r="AE100" s="4"/>
    </row>
    <row r="101" spans="1:31">
      <c r="A101" s="1145"/>
      <c r="B101" s="6046" t="s">
        <v>103</v>
      </c>
      <c r="C101" s="1156" t="s">
        <v>1859</v>
      </c>
      <c r="D101" s="2467"/>
      <c r="E101" s="2468"/>
      <c r="F101" s="2468"/>
      <c r="G101" s="2468"/>
      <c r="H101" s="5896" t="str">
        <f>" - - - -"</f>
        <v xml:space="preserve"> - - - -</v>
      </c>
      <c r="I101" s="3554" t="str">
        <f>IF(ForeignTaxPaid_DIV&gt;0,"Check Form 1116, Foreign Tax Credit","")</f>
        <v/>
      </c>
      <c r="J101" s="1145"/>
      <c r="AA101" s="4"/>
      <c r="AB101" s="4"/>
      <c r="AC101" s="4"/>
      <c r="AD101" s="4"/>
      <c r="AE101" s="4"/>
    </row>
    <row r="102" spans="1:31">
      <c r="A102" s="1145"/>
      <c r="B102" s="6046" t="s">
        <v>104</v>
      </c>
      <c r="C102" s="1156" t="s">
        <v>1880</v>
      </c>
      <c r="D102" s="2467"/>
      <c r="E102" s="2468"/>
      <c r="F102" s="2468"/>
      <c r="G102" s="2468"/>
      <c r="H102" s="5895">
        <f>SUM(AA18:AE18,AA46:AE46,AA74:AE74,AA102:AD102)</f>
        <v>0</v>
      </c>
      <c r="I102" s="2848"/>
      <c r="J102" s="1145"/>
      <c r="AA102" s="4">
        <f t="shared" ref="AA102:AD105" si="23">ROUND(D102,2)</f>
        <v>0</v>
      </c>
      <c r="AB102" s="4">
        <f t="shared" si="23"/>
        <v>0</v>
      </c>
      <c r="AC102" s="4">
        <f t="shared" si="23"/>
        <v>0</v>
      </c>
      <c r="AD102" s="4">
        <f t="shared" si="23"/>
        <v>0</v>
      </c>
      <c r="AE102" s="4"/>
    </row>
    <row r="103" spans="1:31">
      <c r="A103" s="1145"/>
      <c r="B103" s="6046" t="s">
        <v>105</v>
      </c>
      <c r="C103" s="1156" t="s">
        <v>1881</v>
      </c>
      <c r="D103" s="2467"/>
      <c r="E103" s="2468"/>
      <c r="F103" s="2468"/>
      <c r="G103" s="2468"/>
      <c r="H103" s="5895">
        <f>SUM(AA19:AE19,AA47:AE47,AA75:AE75,AA103:AD103)</f>
        <v>0</v>
      </c>
      <c r="I103" s="2397"/>
      <c r="J103" s="1145"/>
      <c r="AA103" s="4">
        <f t="shared" si="23"/>
        <v>0</v>
      </c>
      <c r="AB103" s="4">
        <f t="shared" si="23"/>
        <v>0</v>
      </c>
      <c r="AC103" s="4">
        <f t="shared" si="23"/>
        <v>0</v>
      </c>
      <c r="AD103" s="4">
        <f t="shared" si="23"/>
        <v>0</v>
      </c>
      <c r="AE103" s="4"/>
    </row>
    <row r="104" spans="1:31">
      <c r="A104" s="1145"/>
      <c r="B104" s="1336" t="s">
        <v>657</v>
      </c>
      <c r="C104" s="2284" t="s">
        <v>1882</v>
      </c>
      <c r="D104" s="2467"/>
      <c r="E104" s="2468"/>
      <c r="F104" s="2468"/>
      <c r="G104" s="2468"/>
      <c r="H104" s="5898">
        <f>SUM(AA20:AE20,AA48:AE48,AA76:AE76,AA104:AD104)</f>
        <v>0</v>
      </c>
      <c r="I104" s="2397" t="s">
        <v>3180</v>
      </c>
      <c r="J104" s="1145"/>
      <c r="Z104" s="1357"/>
      <c r="AA104" s="4">
        <f t="shared" si="23"/>
        <v>0</v>
      </c>
      <c r="AB104" s="4">
        <f t="shared" si="23"/>
        <v>0</v>
      </c>
      <c r="AC104" s="4">
        <f t="shared" si="23"/>
        <v>0</v>
      </c>
      <c r="AD104" s="4">
        <f t="shared" si="23"/>
        <v>0</v>
      </c>
      <c r="AE104" s="4"/>
    </row>
    <row r="105" spans="1:31">
      <c r="A105" s="1145"/>
      <c r="B105" s="1336" t="s">
        <v>220</v>
      </c>
      <c r="C105" s="2284" t="s">
        <v>1883</v>
      </c>
      <c r="D105" s="2467"/>
      <c r="E105" s="2468"/>
      <c r="F105" s="2468"/>
      <c r="G105" s="2468"/>
      <c r="H105" s="5898">
        <f>SUM(AA21:AE21,AA49:AE49,AA77:AE77,AA105:AD105)</f>
        <v>0</v>
      </c>
      <c r="I105" s="2397" t="s">
        <v>3181</v>
      </c>
      <c r="J105" s="1145"/>
      <c r="Z105" s="1357"/>
      <c r="AA105" s="4">
        <f t="shared" si="23"/>
        <v>0</v>
      </c>
      <c r="AB105" s="4">
        <f t="shared" si="23"/>
        <v>0</v>
      </c>
      <c r="AC105" s="4">
        <f t="shared" si="23"/>
        <v>0</v>
      </c>
      <c r="AD105" s="4">
        <f t="shared" si="23"/>
        <v>0</v>
      </c>
      <c r="AE105" s="4"/>
    </row>
    <row r="106" spans="1:31">
      <c r="A106" s="1145"/>
      <c r="B106" s="6046" t="s">
        <v>658</v>
      </c>
      <c r="C106" s="1156" t="s">
        <v>1867</v>
      </c>
      <c r="D106" s="2451"/>
      <c r="E106" s="2452"/>
      <c r="F106" s="2452"/>
      <c r="G106" s="2452"/>
      <c r="H106" s="5896" t="str">
        <f>" - - - -"</f>
        <v xml:space="preserve"> - - - -</v>
      </c>
      <c r="I106" s="2397"/>
      <c r="J106" s="1145"/>
      <c r="AA106" s="4"/>
      <c r="AB106" s="4"/>
      <c r="AC106" s="4"/>
      <c r="AD106" s="4"/>
      <c r="AE106" s="4"/>
    </row>
    <row r="107" spans="1:31">
      <c r="A107" s="1145"/>
      <c r="B107" s="6046" t="s">
        <v>661</v>
      </c>
      <c r="C107" s="1156" t="s">
        <v>1868</v>
      </c>
      <c r="D107" s="2453"/>
      <c r="E107" s="2454"/>
      <c r="F107" s="2454"/>
      <c r="G107" s="2454"/>
      <c r="H107" s="5896" t="str">
        <f>" - - - -"</f>
        <v xml:space="preserve"> - - - -</v>
      </c>
      <c r="I107" s="2397"/>
      <c r="J107" s="1145"/>
      <c r="AA107" s="4"/>
      <c r="AB107" s="4"/>
      <c r="AC107" s="4"/>
      <c r="AD107" s="4"/>
      <c r="AE107" s="4"/>
    </row>
    <row r="108" spans="1:31" ht="13.5" thickBot="1">
      <c r="A108" s="1145"/>
      <c r="B108" s="3936" t="s">
        <v>662</v>
      </c>
      <c r="C108" s="2297" t="s">
        <v>422</v>
      </c>
      <c r="D108" s="2477"/>
      <c r="E108" s="2478"/>
      <c r="F108" s="2478"/>
      <c r="G108" s="2478"/>
      <c r="H108" s="5898">
        <f>SUM(AA24:AE24,AA52:AE52,AA80:AE80,AA108:AD108)</f>
        <v>0</v>
      </c>
      <c r="I108" s="2397" t="s">
        <v>3182</v>
      </c>
      <c r="J108" s="1145"/>
      <c r="Z108" s="1357"/>
      <c r="AA108" s="4">
        <f>ROUND(D108,2)</f>
        <v>0</v>
      </c>
      <c r="AB108" s="4">
        <f>ROUND(E108,2)</f>
        <v>0</v>
      </c>
      <c r="AC108" s="4">
        <f>ROUND(F108,2)</f>
        <v>0</v>
      </c>
      <c r="AD108" s="4">
        <f>ROUND(G108,2)</f>
        <v>0</v>
      </c>
      <c r="AE108" s="4"/>
    </row>
    <row r="109" spans="1:31" ht="17.25" customHeight="1" thickBot="1">
      <c r="A109" s="23"/>
      <c r="B109" s="2421" t="s">
        <v>1987</v>
      </c>
      <c r="C109" s="23"/>
      <c r="D109" s="2243" t="b">
        <f>D91&gt;D90</f>
        <v>0</v>
      </c>
      <c r="E109" s="2243" t="b">
        <f>E91&gt;E90</f>
        <v>0</v>
      </c>
      <c r="F109" s="2243" t="b">
        <f>F91&gt;F90</f>
        <v>0</v>
      </c>
      <c r="G109" s="2243" t="b">
        <f>G91&gt;G90</f>
        <v>0</v>
      </c>
      <c r="H109" s="1176"/>
      <c r="I109" s="4241" t="b">
        <f>OR(D109:G109)</f>
        <v>0</v>
      </c>
      <c r="J109" s="1145"/>
    </row>
    <row r="110" spans="1:31" s="2483" customFormat="1" hidden="1">
      <c r="D110" s="2483" t="str">
        <f>IF(D87&lt;&gt;"",D87,"")</f>
        <v/>
      </c>
      <c r="E110" s="2483" t="str">
        <f>IF(E87&lt;&gt;"",E87,"")</f>
        <v/>
      </c>
      <c r="F110" s="2483" t="str">
        <f>IF(F87&lt;&gt;"",F87,"")</f>
        <v/>
      </c>
      <c r="G110" s="2483" t="str">
        <f>IF(G87&lt;&gt;"",G87,"")</f>
        <v/>
      </c>
      <c r="J110"/>
      <c r="K110" s="5899"/>
      <c r="L110" s="2829"/>
      <c r="M110" s="2829"/>
      <c r="N110" s="2829"/>
      <c r="O110" s="2829"/>
      <c r="P110" s="2829"/>
      <c r="Q110" s="2829"/>
      <c r="R110" s="2829"/>
      <c r="S110" s="2829"/>
      <c r="T110" s="2829"/>
      <c r="U110" s="2829"/>
      <c r="V110" s="2829"/>
      <c r="W110" s="2829"/>
      <c r="X110" s="2829"/>
      <c r="Y110" s="2593"/>
    </row>
    <row r="111" spans="1:31" s="2483" customFormat="1" hidden="1">
      <c r="D111" s="2483" t="str">
        <f>IF(D88&lt;&gt;"", " - "&amp;D88,"")</f>
        <v/>
      </c>
      <c r="E111" s="2483" t="str">
        <f>IF(E88&lt;&gt;"", " - "&amp;E88,"")</f>
        <v/>
      </c>
      <c r="F111" s="2483" t="str">
        <f>IF(F88&lt;&gt;"", " - "&amp;F88,"")</f>
        <v/>
      </c>
      <c r="G111" s="2483" t="str">
        <f>IF(G88&lt;&gt;"", " - "&amp;G88,"")</f>
        <v/>
      </c>
      <c r="J111"/>
      <c r="K111" s="5899"/>
      <c r="L111" s="2829"/>
      <c r="M111" s="2829"/>
      <c r="N111" s="2829"/>
      <c r="O111" s="2829"/>
      <c r="P111" s="2829"/>
      <c r="Q111" s="2829"/>
      <c r="R111" s="2829"/>
      <c r="S111" s="2829"/>
      <c r="T111" s="2829"/>
      <c r="U111" s="2829"/>
      <c r="V111" s="2829"/>
      <c r="W111" s="2829"/>
      <c r="X111" s="2829"/>
      <c r="Y111" s="2593"/>
    </row>
    <row r="112" spans="1:31" s="2483" customFormat="1" hidden="1">
      <c r="D112" s="2483" t="str">
        <f>IF(D89&lt;&gt;""," - "&amp;D89,"")</f>
        <v/>
      </c>
      <c r="E112" s="2483" t="str">
        <f>IF(E89&lt;&gt;""," - "&amp;E89,"")</f>
        <v/>
      </c>
      <c r="F112" s="2483" t="str">
        <f>IF(F89&lt;&gt;""," - "&amp;F89,"")</f>
        <v/>
      </c>
      <c r="G112" s="2483" t="str">
        <f>IF(G89&lt;&gt;""," - "&amp;G89,"")</f>
        <v/>
      </c>
      <c r="J112"/>
      <c r="K112" s="5899"/>
      <c r="L112" s="2829"/>
      <c r="M112" s="2829"/>
      <c r="N112" s="2829"/>
      <c r="O112" s="2829"/>
      <c r="P112" s="2829"/>
      <c r="Q112" s="2829"/>
      <c r="R112" s="2829"/>
      <c r="S112" s="2829"/>
      <c r="T112" s="2829"/>
      <c r="U112" s="2829"/>
      <c r="V112" s="2829"/>
      <c r="W112" s="2829"/>
      <c r="X112" s="2829"/>
      <c r="Y112" s="2593"/>
    </row>
    <row r="113" spans="1:25" s="2483" customFormat="1" ht="13.5" hidden="1" thickBot="1">
      <c r="D113" s="2830" t="str">
        <f>IF(D90="","",D110&amp;D111&amp;D112)</f>
        <v/>
      </c>
      <c r="E113" s="2830" t="str">
        <f>IF(E90="","",E110&amp;E111&amp;E112)</f>
        <v/>
      </c>
      <c r="F113" s="2830" t="str">
        <f>IF(F90="","",F110&amp;F111&amp;F112)</f>
        <v/>
      </c>
      <c r="G113" s="2830" t="str">
        <f>IF(G90="","",G110&amp;G111&amp;G112)</f>
        <v/>
      </c>
      <c r="H113" s="2830" t="str">
        <f>IF(H90="","",H110&amp;H111&amp;H112)</f>
        <v/>
      </c>
      <c r="J113"/>
      <c r="K113" s="5899"/>
      <c r="L113" s="2829"/>
      <c r="M113" s="2829"/>
      <c r="N113" s="2829"/>
      <c r="O113" s="2829"/>
      <c r="P113" s="2829"/>
      <c r="Q113" s="2829"/>
      <c r="R113" s="2829"/>
      <c r="S113" s="2829"/>
      <c r="T113" s="2829"/>
      <c r="U113" s="2829"/>
      <c r="V113" s="2829"/>
      <c r="W113" s="2829"/>
      <c r="X113" s="2829"/>
      <c r="Y113" s="2593"/>
    </row>
    <row r="114" spans="1:25" ht="13.5" thickTop="1">
      <c r="A114" s="2931"/>
      <c r="G114" s="4093" t="s">
        <v>3336</v>
      </c>
      <c r="H114" s="4">
        <f>SUM(ROUND('1099-INT'!I65,0),ROUND('1099-DIV'!H90,0))</f>
        <v>0</v>
      </c>
      <c r="I114" s="1357" t="str">
        <f>"Sch. B required if &gt;"&amp;TEXT(H115,"$0,000")&amp;"."</f>
        <v>Sch. B required if &gt;$1,500.</v>
      </c>
    </row>
    <row r="115" spans="1:25">
      <c r="H115" s="1660">
        <v>1500</v>
      </c>
      <c r="I115" s="4094" t="b">
        <f>H114&gt;H115</f>
        <v>0</v>
      </c>
    </row>
    <row r="117" spans="1:25" ht="13.5" thickBot="1"/>
    <row r="118" spans="1:25">
      <c r="C118" s="4015"/>
    </row>
    <row r="119" spans="1:25">
      <c r="C119" s="4011" t="s">
        <v>3219</v>
      </c>
    </row>
    <row r="120" spans="1:25" ht="13.5" thickBot="1">
      <c r="C120" s="4016"/>
    </row>
  </sheetData>
  <sheetProtection password="F07E" sheet="1" objects="1" scenarios="1"/>
  <conditionalFormatting sqref="D8:D20">
    <cfRule type="expression" dxfId="3106" priority="28">
      <formula>IF(NoColor,1,0)</formula>
    </cfRule>
  </conditionalFormatting>
  <conditionalFormatting sqref="D87:G108">
    <cfRule type="expression" dxfId="3105" priority="1">
      <formula>IF(NoColor,1,0)</formula>
    </cfRule>
  </conditionalFormatting>
  <conditionalFormatting sqref="D90:G91">
    <cfRule type="expression" dxfId="3104" priority="6">
      <formula>D$109</formula>
    </cfRule>
  </conditionalFormatting>
  <conditionalFormatting sqref="D2:H7 D21:H24">
    <cfRule type="expression" dxfId="3103" priority="46">
      <formula>IF(NoColor,1,0)</formula>
    </cfRule>
  </conditionalFormatting>
  <conditionalFormatting sqref="D6:H7">
    <cfRule type="expression" dxfId="3102" priority="18">
      <formula>D$25</formula>
    </cfRule>
  </conditionalFormatting>
  <conditionalFormatting sqref="D30:H52">
    <cfRule type="expression" dxfId="3101" priority="3">
      <formula>IF(NoColor,1,0)</formula>
    </cfRule>
  </conditionalFormatting>
  <conditionalFormatting sqref="D34:H35">
    <cfRule type="expression" dxfId="3100" priority="14">
      <formula>D$53</formula>
    </cfRule>
  </conditionalFormatting>
  <conditionalFormatting sqref="D58:H80">
    <cfRule type="expression" dxfId="3099" priority="2">
      <formula>IF(NoColor,1,0)</formula>
    </cfRule>
  </conditionalFormatting>
  <conditionalFormatting sqref="D62:H63">
    <cfRule type="expression" dxfId="3098" priority="10">
      <formula>D$81</formula>
    </cfRule>
  </conditionalFormatting>
  <conditionalFormatting sqref="D86:H86">
    <cfRule type="expression" dxfId="3097" priority="21">
      <formula>IF(NoColor,1,0)</formula>
    </cfRule>
  </conditionalFormatting>
  <conditionalFormatting sqref="E6:H20">
    <cfRule type="expression" dxfId="3096" priority="29">
      <formula>IF(NoColor,1,0)</formula>
    </cfRule>
  </conditionalFormatting>
  <conditionalFormatting sqref="H87:H108">
    <cfRule type="expression" dxfId="3095" priority="20">
      <formula>NoColor</formula>
    </cfRule>
  </conditionalFormatting>
  <conditionalFormatting sqref="I90:I91">
    <cfRule type="expression" dxfId="3094" priority="4">
      <formula>I$109</formula>
    </cfRule>
  </conditionalFormatting>
  <hyperlinks>
    <hyperlink ref="C119" location="'Table of Contents'!A1" display="Table of Contents" xr:uid="{00000000-0004-0000-0500-000000000000}"/>
  </hyperlinks>
  <printOptions gridLines="1" gridLinesSet="0"/>
  <pageMargins left="0.75" right="0.75" top="1" bottom="1" header="0.5" footer="0.5"/>
  <pageSetup scale="52" fitToHeight="0" orientation="landscape" r:id="rId1"/>
  <headerFooter alignWithMargins="0">
    <oddHeader>&amp;A</oddHeader>
    <oddFooter>Page &amp;P</oddFooter>
  </headerFooter>
  <rowBreaks count="1" manualBreakCount="1">
    <brk id="53"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44"/>
  <sheetViews>
    <sheetView zoomScaleNormal="100" zoomScaleSheetLayoutView="100" workbookViewId="0">
      <pane ySplit="1" topLeftCell="A2" activePane="bottomLeft" state="frozen"/>
      <selection pane="bottomLeft" activeCell="B3" sqref="B3"/>
    </sheetView>
  </sheetViews>
  <sheetFormatPr defaultRowHeight="12.75"/>
  <cols>
    <col min="1" max="1" width="2.5703125" customWidth="1"/>
    <col min="2" max="2" width="4.42578125" customWidth="1"/>
    <col min="3" max="3" width="45.7109375" customWidth="1"/>
    <col min="4" max="9" width="19.85546875" customWidth="1"/>
    <col min="10" max="10" width="46.42578125" customWidth="1"/>
    <col min="11" max="11" width="5.5703125" customWidth="1"/>
    <col min="12" max="26" width="9.140625" style="4030"/>
  </cols>
  <sheetData>
    <row r="1" spans="1:26" ht="42" customHeight="1" thickBot="1">
      <c r="A1" s="1153"/>
      <c r="B1" s="2444" t="s">
        <v>3151</v>
      </c>
      <c r="C1" s="464"/>
      <c r="D1" s="465"/>
      <c r="E1" s="5111" t="str">
        <f>IF(FALSE,"After Form 1040 and Schedule 1 are complete,"&amp;CHAR(10)&amp;" be sure to review 'Sch. 1 Line 8 WS', line 1.",IF(FALSE,"'Sch. 1 Line 8 WS', line 1, has been Updated.",""))</f>
        <v/>
      </c>
      <c r="F1" s="465"/>
      <c r="G1" s="465"/>
      <c r="H1" s="465"/>
      <c r="I1" s="465"/>
      <c r="J1" s="465"/>
      <c r="K1" s="2527"/>
      <c r="L1" s="2592" t="s">
        <v>2033</v>
      </c>
      <c r="M1" s="2593"/>
      <c r="N1" s="2593"/>
      <c r="O1" s="2593"/>
      <c r="P1" s="2593"/>
      <c r="Q1" s="2593"/>
      <c r="R1" s="2593"/>
      <c r="S1" s="2593"/>
      <c r="T1" s="2593"/>
      <c r="U1" s="2593"/>
      <c r="V1" s="2593"/>
      <c r="W1" s="2593"/>
      <c r="X1" s="2593"/>
      <c r="Y1" s="2593"/>
      <c r="Z1" s="2593"/>
    </row>
    <row r="2" spans="1:26" ht="42" customHeight="1" thickTop="1" thickBot="1">
      <c r="A2" s="1154"/>
      <c r="B2" s="830"/>
      <c r="C2" s="1287" t="str">
        <f>IF(Name_1st_Yours="","Enter your name on the"&amp;CHAR(10)&amp;"sheet labeled '1040'",NameYours)</f>
        <v>Enter your name on the
sheet labeled '1040'</v>
      </c>
      <c r="D2" s="1918" t="s">
        <v>281</v>
      </c>
      <c r="E2" s="1918" t="s">
        <v>282</v>
      </c>
      <c r="F2" s="1918" t="s">
        <v>283</v>
      </c>
      <c r="G2" s="1918" t="s">
        <v>368</v>
      </c>
      <c r="H2" s="1919" t="s">
        <v>1659</v>
      </c>
      <c r="I2" s="1919" t="s">
        <v>4694</v>
      </c>
      <c r="J2" s="2395" t="s">
        <v>1935</v>
      </c>
      <c r="K2" s="484"/>
      <c r="L2" s="2593"/>
      <c r="M2" s="2593"/>
      <c r="N2" s="2593"/>
      <c r="O2" s="2593"/>
      <c r="P2" s="2593"/>
      <c r="Q2" s="2593"/>
      <c r="R2" s="2593"/>
      <c r="S2" s="2593"/>
      <c r="T2" s="2593"/>
      <c r="U2" s="2593"/>
      <c r="V2" s="2593"/>
      <c r="W2" s="2593"/>
      <c r="X2" s="2593"/>
      <c r="Y2" s="2593"/>
      <c r="Z2" s="2593"/>
    </row>
    <row r="3" spans="1:26" ht="12.75" customHeight="1">
      <c r="A3" s="1145"/>
      <c r="B3" s="2280"/>
      <c r="C3" s="2288" t="s">
        <v>1870</v>
      </c>
      <c r="D3" s="2461"/>
      <c r="E3" s="2462"/>
      <c r="F3" s="2462"/>
      <c r="G3" s="2462"/>
      <c r="H3" s="2462"/>
      <c r="I3" s="3553"/>
      <c r="J3" s="128"/>
      <c r="K3" s="484"/>
      <c r="L3" s="2593"/>
      <c r="M3" s="2593"/>
      <c r="N3" s="2593"/>
      <c r="O3" s="2593"/>
      <c r="P3" s="2593"/>
      <c r="Q3" s="2593"/>
      <c r="R3" s="2593"/>
      <c r="S3" s="2593"/>
      <c r="T3" s="2593"/>
      <c r="U3" s="2593"/>
      <c r="V3" s="2593"/>
      <c r="W3" s="2593"/>
      <c r="X3" s="2593"/>
      <c r="Y3" s="2593"/>
      <c r="Z3" s="2593"/>
    </row>
    <row r="4" spans="1:26">
      <c r="A4" s="1145"/>
      <c r="B4" s="2281"/>
      <c r="C4" s="2289" t="s">
        <v>3152</v>
      </c>
      <c r="D4" s="2492"/>
      <c r="E4" s="2493"/>
      <c r="F4" s="2493"/>
      <c r="G4" s="2493"/>
      <c r="H4" s="2493"/>
      <c r="I4" s="3918"/>
      <c r="J4" s="128"/>
      <c r="K4" s="484"/>
      <c r="L4" s="2593"/>
      <c r="M4" s="2593"/>
      <c r="N4" s="2593"/>
      <c r="O4" s="2593"/>
      <c r="P4" s="2593"/>
      <c r="Q4" s="2593"/>
      <c r="R4" s="2593"/>
      <c r="S4" s="2593"/>
      <c r="T4" s="2593"/>
      <c r="U4" s="2593"/>
      <c r="V4" s="2593"/>
      <c r="W4" s="2593"/>
      <c r="X4" s="2593"/>
      <c r="Y4" s="2593"/>
      <c r="Z4" s="2593"/>
    </row>
    <row r="5" spans="1:26" ht="13.5" thickBot="1">
      <c r="A5" s="1145"/>
      <c r="B5" s="2282"/>
      <c r="C5" s="2290" t="s">
        <v>156</v>
      </c>
      <c r="D5" s="2495"/>
      <c r="E5" s="2496"/>
      <c r="F5" s="2496"/>
      <c r="G5" s="2496"/>
      <c r="H5" s="2496"/>
      <c r="I5" s="3919"/>
      <c r="J5" s="128"/>
      <c r="K5" s="484"/>
      <c r="L5" s="2593"/>
      <c r="M5" s="2593"/>
      <c r="N5" s="2593"/>
      <c r="O5" s="2593"/>
      <c r="P5" s="2593"/>
      <c r="Q5" s="2593"/>
      <c r="R5" s="2593"/>
      <c r="S5" s="2593"/>
      <c r="T5" s="2593"/>
      <c r="U5" s="2593"/>
      <c r="V5" s="2593"/>
      <c r="W5" s="2593"/>
      <c r="X5" s="2593"/>
      <c r="Y5" s="2593"/>
      <c r="Z5" s="2593"/>
    </row>
    <row r="6" spans="1:26" ht="13.5" customHeight="1">
      <c r="A6" s="1145"/>
      <c r="B6" s="3934" t="s">
        <v>148</v>
      </c>
      <c r="C6" s="2283" t="s">
        <v>3153</v>
      </c>
      <c r="D6" s="2465"/>
      <c r="E6" s="2466"/>
      <c r="F6" s="2466"/>
      <c r="G6" s="2466"/>
      <c r="H6" s="2466"/>
      <c r="I6" s="2827">
        <f>ROUND(SUM(D6:H6),0)</f>
        <v>0</v>
      </c>
      <c r="J6" s="5106" t="s">
        <v>4695</v>
      </c>
      <c r="K6" s="484"/>
      <c r="L6" s="2593"/>
      <c r="M6" s="2593"/>
      <c r="N6" s="2593"/>
      <c r="O6" s="2593"/>
      <c r="P6" s="2593"/>
      <c r="Q6" s="2593"/>
      <c r="R6" s="2593"/>
      <c r="S6" s="2593"/>
      <c r="T6" s="2593"/>
      <c r="U6" s="2593"/>
      <c r="V6" s="2593"/>
      <c r="W6" s="2593"/>
      <c r="X6" s="2593"/>
      <c r="Y6" s="2593"/>
      <c r="Z6" s="2593"/>
    </row>
    <row r="7" spans="1:26" ht="13.5" customHeight="1">
      <c r="A7" s="1145"/>
      <c r="B7" s="1336" t="s">
        <v>149</v>
      </c>
      <c r="C7" s="2284" t="s">
        <v>3154</v>
      </c>
      <c r="D7" s="2467"/>
      <c r="E7" s="2468"/>
      <c r="F7" s="2468"/>
      <c r="G7" s="2468"/>
      <c r="H7" s="2468"/>
      <c r="I7" s="2828">
        <f>ROUND(SUM(D7:H7),0)</f>
        <v>0</v>
      </c>
      <c r="J7" s="3832" t="str">
        <f>IF(Needs_SALT,"  See sheet labeled","   'Sch. 1, Line 1 (SALT)', line 1   [State &amp; local tax]")</f>
        <v xml:space="preserve">   'Sch. 1, Line 1 (SALT)', line 1   [State &amp; local tax]</v>
      </c>
      <c r="K7" s="484"/>
      <c r="L7" s="2593"/>
      <c r="M7" s="2593"/>
      <c r="N7" s="2593"/>
      <c r="O7" s="2593"/>
      <c r="P7" s="2593"/>
      <c r="Q7" s="2593"/>
      <c r="R7" s="2593"/>
      <c r="S7" s="2593"/>
      <c r="T7" s="2593"/>
      <c r="U7" s="2593"/>
      <c r="V7" s="2593"/>
      <c r="W7" s="2593"/>
      <c r="X7" s="2593"/>
      <c r="Y7" s="2593"/>
      <c r="Z7" s="2593"/>
    </row>
    <row r="8" spans="1:26" ht="13.5" customHeight="1">
      <c r="A8" s="1145"/>
      <c r="B8" s="3935" t="s">
        <v>150</v>
      </c>
      <c r="C8" s="2285" t="s">
        <v>3155</v>
      </c>
      <c r="D8" s="3939"/>
      <c r="E8" s="3940"/>
      <c r="F8" s="3940"/>
      <c r="G8" s="3940"/>
      <c r="H8" s="3940"/>
      <c r="I8" s="3941" t="s">
        <v>709</v>
      </c>
      <c r="J8" s="2848" t="str">
        <f>IF(Needs_SALT,"'Sch. 1, Line 1 (SALT)'. (State &amp; Local Tax)","")</f>
        <v/>
      </c>
      <c r="K8" s="484"/>
      <c r="L8" s="2593"/>
      <c r="M8" s="2593"/>
      <c r="N8" s="2593"/>
      <c r="O8" s="2593"/>
      <c r="P8" s="2593"/>
      <c r="Q8" s="2593"/>
      <c r="R8" s="2593"/>
      <c r="S8" s="2593"/>
      <c r="T8" s="2593"/>
      <c r="U8" s="2593"/>
      <c r="V8" s="2593"/>
      <c r="W8" s="2593"/>
      <c r="X8" s="2593"/>
      <c r="Y8" s="2593"/>
      <c r="Z8" s="2593"/>
    </row>
    <row r="9" spans="1:26" ht="13.5" customHeight="1">
      <c r="A9" s="1145"/>
      <c r="B9" s="1336" t="s">
        <v>151</v>
      </c>
      <c r="C9" s="2284" t="s">
        <v>164</v>
      </c>
      <c r="D9" s="2467"/>
      <c r="E9" s="2468"/>
      <c r="F9" s="2468"/>
      <c r="G9" s="2468"/>
      <c r="H9" s="2468"/>
      <c r="I9" s="2828">
        <f>ROUND(SUM(D9:H9),0)</f>
        <v>0</v>
      </c>
      <c r="J9" s="400"/>
      <c r="K9" s="484"/>
      <c r="L9" s="2593"/>
      <c r="M9" s="2593"/>
      <c r="N9" s="2593"/>
      <c r="O9" s="2593"/>
      <c r="P9" s="2593"/>
      <c r="Q9" s="2593"/>
      <c r="R9" s="2593"/>
      <c r="S9" s="2593"/>
      <c r="T9" s="2593"/>
      <c r="U9" s="2593"/>
      <c r="V9" s="2593"/>
      <c r="W9" s="2593"/>
      <c r="X9" s="2593"/>
      <c r="Y9" s="2593"/>
      <c r="Z9" s="2593"/>
    </row>
    <row r="10" spans="1:26">
      <c r="A10" s="1145"/>
      <c r="B10" s="1336" t="s">
        <v>200</v>
      </c>
      <c r="C10" s="2284" t="s">
        <v>3156</v>
      </c>
      <c r="D10" s="2467"/>
      <c r="E10" s="2468"/>
      <c r="F10" s="2468"/>
      <c r="G10" s="2468"/>
      <c r="H10" s="2468"/>
      <c r="I10" s="2828">
        <f>ROUND(SUM(D10:H10),0)</f>
        <v>0</v>
      </c>
      <c r="J10" s="128"/>
      <c r="K10" s="484"/>
      <c r="L10" s="2593"/>
      <c r="M10" s="2593"/>
      <c r="N10" s="2593"/>
      <c r="O10" s="2593"/>
      <c r="P10" s="2593"/>
      <c r="Q10" s="2593"/>
      <c r="R10" s="2593"/>
      <c r="S10" s="2593"/>
      <c r="T10" s="2593"/>
      <c r="U10" s="2593"/>
      <c r="V10" s="2593"/>
      <c r="W10" s="2593"/>
      <c r="X10" s="2593"/>
      <c r="Y10" s="2593"/>
      <c r="Z10" s="2593"/>
    </row>
    <row r="11" spans="1:26">
      <c r="B11" s="3378" t="s">
        <v>101</v>
      </c>
      <c r="C11" s="4032" t="s">
        <v>3157</v>
      </c>
      <c r="D11" s="2467"/>
      <c r="E11" s="2468"/>
      <c r="F11" s="2468"/>
      <c r="G11" s="2468"/>
      <c r="H11" s="2468"/>
      <c r="I11" s="2828">
        <f>ROUND(SUM(D11:H11),0)</f>
        <v>0</v>
      </c>
      <c r="J11" s="128"/>
      <c r="K11" s="484"/>
      <c r="L11" s="2593"/>
      <c r="M11" s="2593"/>
      <c r="N11" s="2593"/>
      <c r="O11" s="2593"/>
      <c r="P11" s="2593"/>
      <c r="Q11" s="2593"/>
      <c r="R11" s="2593"/>
      <c r="S11" s="2593"/>
      <c r="T11" s="2593"/>
      <c r="U11" s="2593"/>
      <c r="V11" s="2593"/>
      <c r="W11" s="2593"/>
      <c r="X11" s="2593"/>
      <c r="Y11" s="2593"/>
      <c r="Z11" s="2593"/>
    </row>
    <row r="12" spans="1:26" s="4030" customFormat="1">
      <c r="A12"/>
      <c r="B12" s="3378" t="s">
        <v>265</v>
      </c>
      <c r="C12" s="4032" t="s">
        <v>3162</v>
      </c>
      <c r="D12" s="2467"/>
      <c r="E12" s="2468"/>
      <c r="F12" s="2468"/>
      <c r="G12" s="2468"/>
      <c r="H12" s="2468"/>
      <c r="I12" s="2828">
        <f>ROUND(SUM(D12:H12),0)</f>
        <v>0</v>
      </c>
      <c r="J12" s="128"/>
      <c r="K12" s="484"/>
      <c r="L12" s="2593"/>
      <c r="M12" s="2593"/>
      <c r="N12" s="2593"/>
      <c r="O12" s="2593"/>
      <c r="P12" s="2593"/>
      <c r="Q12" s="2593"/>
      <c r="R12" s="2593"/>
      <c r="S12" s="2593"/>
      <c r="T12" s="2593"/>
      <c r="U12" s="2593"/>
      <c r="V12" s="2593"/>
      <c r="W12" s="2593"/>
      <c r="X12" s="2593"/>
      <c r="Y12" s="2593"/>
      <c r="Z12" s="2593"/>
    </row>
    <row r="13" spans="1:26" s="4030" customFormat="1">
      <c r="A13"/>
      <c r="B13" s="3378" t="s">
        <v>39</v>
      </c>
      <c r="C13" s="4032" t="s">
        <v>3163</v>
      </c>
      <c r="D13" s="2467"/>
      <c r="E13" s="2468"/>
      <c r="F13" s="2468"/>
      <c r="G13" s="2468"/>
      <c r="H13" s="2468"/>
      <c r="I13" s="2828">
        <f>ROUND(SUM(D13:H13),0)</f>
        <v>0</v>
      </c>
      <c r="J13" s="4241" t="b">
        <f>AND(D13="",E13="",F13="",G13="",I13="")</f>
        <v>0</v>
      </c>
      <c r="K13" s="484"/>
      <c r="L13" s="2593"/>
      <c r="M13" s="2593"/>
      <c r="N13" s="2593"/>
      <c r="O13" s="2593"/>
      <c r="P13" s="2593"/>
      <c r="Q13" s="2593"/>
      <c r="R13" s="2593"/>
      <c r="S13" s="2593"/>
      <c r="T13" s="2593"/>
      <c r="U13" s="2593"/>
      <c r="V13" s="2593"/>
      <c r="W13" s="2593"/>
      <c r="X13" s="2593"/>
      <c r="Y13" s="2593"/>
      <c r="Z13" s="2593"/>
    </row>
    <row r="14" spans="1:26" s="4030" customFormat="1">
      <c r="A14"/>
      <c r="B14" s="4033" t="s">
        <v>103</v>
      </c>
      <c r="C14" s="4034" t="s">
        <v>3158</v>
      </c>
      <c r="D14" s="2883"/>
      <c r="E14" s="2884"/>
      <c r="F14" s="2884"/>
      <c r="G14" s="2884"/>
      <c r="H14" s="2884"/>
      <c r="I14" s="2879"/>
      <c r="J14" s="128"/>
      <c r="K14" s="484"/>
      <c r="L14" s="2593"/>
      <c r="M14" s="2593"/>
      <c r="N14" s="2593"/>
      <c r="O14" s="2593"/>
      <c r="P14" s="2593"/>
      <c r="Q14" s="2593"/>
      <c r="R14" s="2593"/>
      <c r="S14" s="2593"/>
      <c r="T14" s="2593"/>
      <c r="U14" s="2593"/>
      <c r="V14" s="2593"/>
      <c r="W14" s="2593"/>
      <c r="X14" s="2593"/>
      <c r="Y14" s="2593"/>
      <c r="Z14" s="2593"/>
    </row>
    <row r="15" spans="1:26" s="4030" customFormat="1">
      <c r="A15"/>
      <c r="B15" s="3378" t="s">
        <v>104</v>
      </c>
      <c r="C15" s="4032" t="s">
        <v>3159</v>
      </c>
      <c r="D15" s="2467"/>
      <c r="E15" s="2468"/>
      <c r="F15" s="2468"/>
      <c r="G15" s="2468"/>
      <c r="H15" s="2468"/>
      <c r="I15" s="2828">
        <f>ROUND(SUM(D15:H15),0)</f>
        <v>0</v>
      </c>
      <c r="J15" s="4241" t="b">
        <f>AND(D15="",E15="",F15="",G15="",I15="")</f>
        <v>0</v>
      </c>
      <c r="K15" s="484"/>
      <c r="L15" s="2593"/>
      <c r="M15" s="2593"/>
      <c r="N15" s="2593"/>
      <c r="O15" s="2593"/>
      <c r="P15" s="2593"/>
      <c r="Q15" s="2593"/>
      <c r="R15" s="2593"/>
      <c r="S15" s="2593"/>
      <c r="T15" s="2593"/>
      <c r="U15" s="2593"/>
      <c r="V15" s="2593"/>
      <c r="W15" s="2593"/>
      <c r="X15" s="2593"/>
      <c r="Y15" s="2593"/>
      <c r="Z15" s="2593"/>
    </row>
    <row r="16" spans="1:26" s="4030" customFormat="1">
      <c r="A16"/>
      <c r="B16" s="4033" t="s">
        <v>3160</v>
      </c>
      <c r="C16" s="4034" t="s">
        <v>1867</v>
      </c>
      <c r="D16" s="2451"/>
      <c r="E16" s="2452"/>
      <c r="F16" s="2452"/>
      <c r="G16" s="2452"/>
      <c r="H16" s="2452"/>
      <c r="I16" s="2828"/>
      <c r="J16" s="128"/>
      <c r="K16" s="484"/>
      <c r="L16" s="2593"/>
      <c r="M16" s="2593"/>
      <c r="N16" s="2593"/>
      <c r="O16" s="2593"/>
      <c r="P16" s="2593"/>
      <c r="Q16" s="2593"/>
      <c r="R16" s="2593"/>
      <c r="S16" s="2593"/>
      <c r="T16" s="2593"/>
      <c r="U16" s="2593"/>
      <c r="V16" s="2593"/>
      <c r="W16" s="2593"/>
      <c r="X16" s="2593"/>
      <c r="Y16" s="2593"/>
      <c r="Z16" s="2593"/>
    </row>
    <row r="17" spans="1:26" s="4030" customFormat="1" ht="15">
      <c r="A17"/>
      <c r="B17" s="4033" t="s">
        <v>3161</v>
      </c>
      <c r="C17" s="4034" t="s">
        <v>1868</v>
      </c>
      <c r="D17" s="2453"/>
      <c r="E17" s="2454"/>
      <c r="F17" s="2454"/>
      <c r="G17" s="2454"/>
      <c r="H17" s="2454"/>
      <c r="I17" s="2828"/>
      <c r="J17" s="5109"/>
      <c r="K17" s="484"/>
      <c r="L17" s="2593"/>
      <c r="M17" s="2593"/>
      <c r="N17" s="2593"/>
      <c r="O17" s="2593"/>
      <c r="P17" s="2593"/>
      <c r="Q17" s="2593"/>
      <c r="R17" s="2593"/>
      <c r="S17" s="2593"/>
      <c r="T17" s="2593"/>
      <c r="U17" s="2593"/>
      <c r="V17" s="2593"/>
      <c r="W17" s="2593"/>
      <c r="X17" s="2593"/>
      <c r="Y17" s="2593"/>
      <c r="Z17" s="2593"/>
    </row>
    <row r="18" spans="1:26" ht="13.5" customHeight="1" thickBot="1">
      <c r="A18" s="1145"/>
      <c r="B18" s="3936" t="s">
        <v>657</v>
      </c>
      <c r="C18" s="2297" t="s">
        <v>183</v>
      </c>
      <c r="D18" s="2477"/>
      <c r="E18" s="2478"/>
      <c r="F18" s="2478"/>
      <c r="G18" s="2478"/>
      <c r="H18" s="2478"/>
      <c r="I18" s="3938">
        <f>ROUND(SUM(D18:H18),0)</f>
        <v>0</v>
      </c>
      <c r="J18" s="5822"/>
      <c r="K18" s="484"/>
      <c r="L18" s="2593"/>
      <c r="M18" s="2593"/>
      <c r="N18" s="2593"/>
      <c r="O18" s="2593"/>
      <c r="P18" s="2593"/>
      <c r="Q18" s="2593"/>
      <c r="R18" s="2593"/>
      <c r="S18" s="2593"/>
      <c r="T18" s="2593"/>
      <c r="U18" s="2593"/>
      <c r="V18" s="2593"/>
      <c r="W18" s="2593"/>
      <c r="X18" s="2593"/>
      <c r="Y18" s="2593"/>
      <c r="Z18" s="2593"/>
    </row>
    <row r="19" spans="1:26" ht="17.25" customHeight="1">
      <c r="A19" s="1145"/>
      <c r="B19" s="2421" t="s">
        <v>1987</v>
      </c>
      <c r="C19" s="1145"/>
      <c r="D19" s="1145"/>
      <c r="E19" s="1145"/>
      <c r="F19" s="1145"/>
      <c r="G19" s="1145"/>
      <c r="H19" s="1145"/>
      <c r="I19" s="1145"/>
      <c r="J19" s="5822"/>
      <c r="K19" s="484"/>
      <c r="L19" s="2593"/>
      <c r="M19" s="2593"/>
      <c r="N19" s="2593"/>
      <c r="O19" s="2593"/>
      <c r="P19" s="2593"/>
      <c r="Q19" s="2593"/>
      <c r="R19" s="2593"/>
      <c r="S19" s="2593"/>
      <c r="T19" s="2593"/>
      <c r="U19" s="2593"/>
      <c r="V19" s="2593"/>
      <c r="W19" s="2593"/>
      <c r="X19" s="2593"/>
      <c r="Y19" s="2593"/>
      <c r="Z19" s="2593"/>
    </row>
    <row r="20" spans="1:26" s="2483" customFormat="1" ht="13.5" customHeight="1" thickBot="1">
      <c r="A20" s="4018"/>
      <c r="B20" s="4018"/>
      <c r="C20" s="4018"/>
      <c r="D20" s="4018"/>
      <c r="E20" s="4018"/>
      <c r="F20" s="4018"/>
      <c r="G20" s="4018"/>
      <c r="H20" s="4018"/>
      <c r="I20" s="4018" t="str">
        <f>IF(I3&lt;&gt;"",I3,"")</f>
        <v/>
      </c>
      <c r="J20" s="5822"/>
      <c r="K20" s="484"/>
      <c r="L20" s="2829"/>
      <c r="M20" s="2829"/>
      <c r="N20" s="2829"/>
      <c r="O20" s="2829"/>
      <c r="P20" s="2829"/>
      <c r="Q20" s="2829"/>
      <c r="R20" s="2829"/>
      <c r="S20" s="2829"/>
      <c r="T20" s="2829"/>
      <c r="U20" s="2829"/>
      <c r="V20" s="2829"/>
      <c r="W20" s="2829"/>
      <c r="X20" s="2829"/>
      <c r="Y20" s="2829"/>
      <c r="Z20" s="2829"/>
    </row>
    <row r="21" spans="1:26" ht="42" customHeight="1" thickTop="1" thickBot="1">
      <c r="A21" s="1154"/>
      <c r="B21" s="830"/>
      <c r="C21" s="1287" t="str">
        <f>IF(Name_1st_Sp="","Enter your spouse's name on"&amp;CHAR(10)&amp;"the sheet labeled '1040'",NameSpouse)</f>
        <v>Enter your spouse's name on
the sheet labeled '1040'</v>
      </c>
      <c r="D21" s="1919" t="s">
        <v>281</v>
      </c>
      <c r="E21" s="1919" t="s">
        <v>282</v>
      </c>
      <c r="F21" s="1919" t="s">
        <v>283</v>
      </c>
      <c r="G21" s="1919" t="s">
        <v>368</v>
      </c>
      <c r="H21" s="1919" t="s">
        <v>4693</v>
      </c>
      <c r="I21" s="1919" t="s">
        <v>202</v>
      </c>
      <c r="J21" s="2395" t="s">
        <v>1935</v>
      </c>
      <c r="K21" s="484"/>
      <c r="L21" s="2593"/>
      <c r="M21" s="2593"/>
      <c r="N21" s="2593"/>
      <c r="O21" s="2593"/>
      <c r="P21" s="2593"/>
      <c r="Q21" s="2593"/>
      <c r="R21" s="2593"/>
      <c r="S21" s="2593"/>
      <c r="T21" s="2593"/>
      <c r="U21" s="2593"/>
      <c r="V21" s="2593"/>
      <c r="W21" s="2593"/>
      <c r="X21" s="2593"/>
      <c r="Y21" s="2593"/>
      <c r="Z21" s="2593"/>
    </row>
    <row r="22" spans="1:26">
      <c r="A22" s="1145"/>
      <c r="B22" s="2280"/>
      <c r="C22" s="2288" t="s">
        <v>1870</v>
      </c>
      <c r="D22" s="2461"/>
      <c r="E22" s="2462"/>
      <c r="F22" s="2462"/>
      <c r="G22" s="2462"/>
      <c r="H22" s="3553"/>
      <c r="I22" s="3553"/>
      <c r="J22" s="2849"/>
      <c r="K22" s="1145"/>
      <c r="L22" s="2593"/>
      <c r="M22" s="2593"/>
      <c r="N22" s="2593"/>
      <c r="O22" s="2593"/>
      <c r="P22" s="2593"/>
      <c r="Q22" s="2593"/>
      <c r="R22" s="2593"/>
      <c r="S22" s="2593"/>
      <c r="T22" s="2593"/>
      <c r="U22" s="2593"/>
      <c r="V22" s="2593"/>
      <c r="W22" s="2593"/>
      <c r="X22" s="2593"/>
      <c r="Y22" s="2593"/>
      <c r="Z22" s="4031"/>
    </row>
    <row r="23" spans="1:26">
      <c r="A23" s="1145"/>
      <c r="B23" s="2281"/>
      <c r="C23" s="2289" t="s">
        <v>1869</v>
      </c>
      <c r="D23" s="2492"/>
      <c r="E23" s="2493"/>
      <c r="F23" s="2493"/>
      <c r="G23" s="2493"/>
      <c r="H23" s="3918"/>
      <c r="I23" s="3918"/>
      <c r="J23" s="2582"/>
      <c r="K23" s="1145"/>
      <c r="L23" s="2593"/>
      <c r="M23" s="2593"/>
      <c r="N23" s="2593"/>
      <c r="O23" s="2593"/>
      <c r="P23" s="2593"/>
      <c r="Q23" s="2593"/>
      <c r="R23" s="2593"/>
      <c r="S23" s="2593"/>
      <c r="T23" s="2593"/>
      <c r="U23" s="2593"/>
      <c r="V23" s="2593"/>
      <c r="W23" s="2593"/>
      <c r="X23" s="2593"/>
      <c r="Y23" s="2593"/>
      <c r="Z23" s="4031"/>
    </row>
    <row r="24" spans="1:26" ht="13.5" thickBot="1">
      <c r="A24" s="1145"/>
      <c r="B24" s="2282"/>
      <c r="C24" s="2290" t="s">
        <v>156</v>
      </c>
      <c r="D24" s="2495"/>
      <c r="E24" s="2496"/>
      <c r="F24" s="2496"/>
      <c r="G24" s="2496"/>
      <c r="H24" s="3919"/>
      <c r="I24" s="3919"/>
      <c r="J24" s="2582">
        <f>SUM(ForeignTaxPaid_INT,ForeignTaxPaid_DIV)</f>
        <v>0</v>
      </c>
      <c r="K24" s="1145"/>
      <c r="L24" s="2593"/>
      <c r="M24" s="2593"/>
      <c r="N24" s="2593"/>
      <c r="O24" s="2593"/>
      <c r="P24" s="2593"/>
      <c r="Q24" s="2593"/>
      <c r="R24" s="2593"/>
      <c r="S24" s="2593"/>
      <c r="T24" s="2593"/>
      <c r="U24" s="2593"/>
      <c r="V24" s="2593"/>
      <c r="W24" s="2593"/>
      <c r="X24" s="2593"/>
      <c r="Y24" s="2593"/>
      <c r="Z24" s="4031"/>
    </row>
    <row r="25" spans="1:26" ht="13.5" customHeight="1">
      <c r="A25" s="1145"/>
      <c r="B25" s="3934" t="s">
        <v>148</v>
      </c>
      <c r="C25" s="2283" t="s">
        <v>3153</v>
      </c>
      <c r="D25" s="2465"/>
      <c r="E25" s="2466"/>
      <c r="F25" s="2466"/>
      <c r="G25" s="2466"/>
      <c r="H25" s="2827">
        <f>ROUND(SUM(D25:G25),0)</f>
        <v>0</v>
      </c>
      <c r="I25" s="2827">
        <f>SUM(UCE_You,UCE_Spouse)</f>
        <v>0</v>
      </c>
      <c r="J25" s="5107" t="s">
        <v>4696</v>
      </c>
      <c r="K25" s="1145"/>
      <c r="L25" s="2593"/>
      <c r="M25" s="2593"/>
      <c r="N25" s="2593"/>
      <c r="O25" s="2593"/>
      <c r="P25" s="2593"/>
      <c r="Q25" s="2593"/>
      <c r="R25" s="2593"/>
      <c r="S25" s="2593"/>
      <c r="T25" s="2593"/>
      <c r="U25" s="2593"/>
      <c r="V25" s="2593"/>
      <c r="W25" s="2593"/>
      <c r="X25" s="2593"/>
      <c r="Y25" s="2593"/>
      <c r="Z25" s="4031"/>
    </row>
    <row r="26" spans="1:26" ht="13.5" customHeight="1">
      <c r="A26" s="1145"/>
      <c r="B26" s="1336" t="s">
        <v>149</v>
      </c>
      <c r="C26" s="2284" t="s">
        <v>3154</v>
      </c>
      <c r="D26" s="2467"/>
      <c r="E26" s="2468"/>
      <c r="F26" s="2468"/>
      <c r="G26" s="2468"/>
      <c r="H26" s="2828">
        <f>ROUND(SUM(D26:G26),0)</f>
        <v>0</v>
      </c>
      <c r="I26" s="2828">
        <f>SUM(I7,H26)</f>
        <v>0</v>
      </c>
      <c r="J26" s="3832" t="str">
        <f>IF(Needs_SALT,"  See sheet labeled","   'Sch. 1, Line 1 (SALT)', line 1   [State &amp; local tax]")</f>
        <v xml:space="preserve">   'Sch. 1, Line 1 (SALT)', line 1   [State &amp; local tax]</v>
      </c>
      <c r="K26" s="1145"/>
      <c r="L26" s="2593"/>
      <c r="M26" s="2593"/>
      <c r="N26" s="2593"/>
      <c r="O26" s="2593"/>
      <c r="P26" s="2593"/>
      <c r="Q26" s="2593"/>
      <c r="R26" s="2593"/>
      <c r="S26" s="2593"/>
      <c r="T26" s="2593"/>
      <c r="U26" s="2593"/>
      <c r="V26" s="2593"/>
      <c r="W26" s="2593"/>
      <c r="X26" s="2593"/>
      <c r="Y26" s="2593"/>
      <c r="Z26" s="4031"/>
    </row>
    <row r="27" spans="1:26" ht="13.5" customHeight="1">
      <c r="A27" s="1145"/>
      <c r="B27" s="3935" t="s">
        <v>150</v>
      </c>
      <c r="C27" s="2285" t="s">
        <v>3155</v>
      </c>
      <c r="D27" s="2451"/>
      <c r="E27" s="2452"/>
      <c r="F27" s="2452"/>
      <c r="G27" s="2452"/>
      <c r="H27" s="3941" t="s">
        <v>709</v>
      </c>
      <c r="I27" s="3941" t="s">
        <v>709</v>
      </c>
      <c r="J27" s="2848" t="str">
        <f>IF(Needs_SALT,"      'Sch. 1, Line 1 (SALT)'. (State &amp; Local Tax)","")</f>
        <v/>
      </c>
      <c r="K27" s="1145"/>
      <c r="L27" s="2593"/>
      <c r="M27" s="2593"/>
      <c r="N27" s="2593"/>
      <c r="O27" s="2593"/>
      <c r="P27" s="2593"/>
      <c r="Q27" s="2593"/>
      <c r="R27" s="2593"/>
      <c r="S27" s="2593"/>
      <c r="T27" s="2593"/>
      <c r="U27" s="2593"/>
      <c r="V27" s="2593"/>
      <c r="W27" s="2593"/>
      <c r="X27" s="2593"/>
      <c r="Y27" s="2593"/>
      <c r="Z27" s="4031"/>
    </row>
    <row r="28" spans="1:26" ht="13.5" customHeight="1">
      <c r="A28" s="1145"/>
      <c r="B28" s="1336" t="s">
        <v>151</v>
      </c>
      <c r="C28" s="2284" t="s">
        <v>164</v>
      </c>
      <c r="D28" s="2467"/>
      <c r="E28" s="2468"/>
      <c r="F28" s="2468"/>
      <c r="G28" s="2468"/>
      <c r="H28" s="2828">
        <f>ROUND(SUM(D28:G28),0)</f>
        <v>0</v>
      </c>
      <c r="I28" s="2828">
        <f>SUM(I9,H28)</f>
        <v>0</v>
      </c>
      <c r="J28" s="2397" t="s">
        <v>4437</v>
      </c>
      <c r="K28" s="1145"/>
      <c r="L28" s="2593"/>
      <c r="M28" s="2593"/>
      <c r="N28" s="2593"/>
      <c r="O28" s="2593"/>
      <c r="P28" s="2593"/>
      <c r="Q28" s="2593"/>
      <c r="R28" s="2593"/>
      <c r="S28" s="2593"/>
      <c r="T28" s="2593"/>
      <c r="U28" s="2593"/>
      <c r="V28" s="2593"/>
      <c r="W28" s="2593"/>
      <c r="X28" s="2593"/>
      <c r="Y28" s="2593"/>
      <c r="Z28" s="4031"/>
    </row>
    <row r="29" spans="1:26" ht="26.25" customHeight="1">
      <c r="A29" s="1145"/>
      <c r="B29" s="1336" t="s">
        <v>200</v>
      </c>
      <c r="C29" s="2284" t="s">
        <v>3156</v>
      </c>
      <c r="D29" s="2467"/>
      <c r="E29" s="2468"/>
      <c r="F29" s="2468"/>
      <c r="G29" s="2468"/>
      <c r="H29" s="2828">
        <f>ROUND(SUM(D29:G29),0)</f>
        <v>0</v>
      </c>
      <c r="I29" s="2828">
        <f>SUM(I10,H29)</f>
        <v>0</v>
      </c>
      <c r="J29" s="2397" t="s">
        <v>3655</v>
      </c>
      <c r="K29" s="1145"/>
      <c r="L29" s="2593"/>
      <c r="M29" s="2593"/>
      <c r="N29" s="2593"/>
      <c r="O29" s="2593"/>
      <c r="P29" s="2593"/>
      <c r="Q29" s="2593"/>
      <c r="R29" s="2593"/>
      <c r="S29" s="2593"/>
      <c r="T29" s="2593"/>
      <c r="U29" s="2593"/>
      <c r="V29" s="2593"/>
      <c r="W29" s="2593"/>
      <c r="X29" s="2593"/>
      <c r="Y29" s="2593"/>
      <c r="Z29" s="4031"/>
    </row>
    <row r="30" spans="1:26">
      <c r="A30" s="1145"/>
      <c r="B30" s="3378" t="s">
        <v>101</v>
      </c>
      <c r="C30" s="2284" t="s">
        <v>3157</v>
      </c>
      <c r="D30" s="2467"/>
      <c r="E30" s="2468"/>
      <c r="F30" s="2468"/>
      <c r="G30" s="2468"/>
      <c r="H30" s="2828">
        <f>ROUND(SUM(D30:G30),0)</f>
        <v>0</v>
      </c>
      <c r="I30" s="2828">
        <f>SUM(I11,H30)</f>
        <v>0</v>
      </c>
      <c r="J30" s="2397" t="s">
        <v>3656</v>
      </c>
      <c r="K30" s="1145"/>
      <c r="L30" s="2593"/>
      <c r="M30" s="2593"/>
      <c r="N30" s="2593"/>
      <c r="O30" s="2593"/>
      <c r="P30" s="2593"/>
      <c r="Q30" s="2593"/>
      <c r="R30" s="2593"/>
      <c r="S30" s="2593"/>
      <c r="T30" s="2593"/>
      <c r="U30" s="2593"/>
      <c r="V30" s="2593"/>
      <c r="W30" s="2593"/>
      <c r="X30" s="2593"/>
      <c r="Y30" s="2593"/>
      <c r="Z30" s="4031"/>
    </row>
    <row r="31" spans="1:26">
      <c r="A31" s="1145"/>
      <c r="B31" s="3378" t="s">
        <v>265</v>
      </c>
      <c r="C31" s="2284" t="s">
        <v>3162</v>
      </c>
      <c r="D31" s="2467"/>
      <c r="E31" s="2468"/>
      <c r="F31" s="2468"/>
      <c r="G31" s="2468"/>
      <c r="H31" s="2828">
        <f>ROUND(SUM(D31:G31),0)</f>
        <v>0</v>
      </c>
      <c r="I31" s="2828">
        <f>SUM(I12,H31)</f>
        <v>0</v>
      </c>
      <c r="J31" s="2397" t="s">
        <v>3165</v>
      </c>
      <c r="K31" s="1145"/>
      <c r="L31" s="2593"/>
      <c r="M31" s="2593"/>
      <c r="N31" s="2593"/>
      <c r="O31" s="2593"/>
      <c r="P31" s="2593"/>
      <c r="Q31" s="2593"/>
      <c r="R31" s="2593"/>
      <c r="S31" s="2593"/>
      <c r="T31" s="2593"/>
      <c r="U31" s="2593"/>
      <c r="V31" s="2593"/>
      <c r="W31" s="2593"/>
      <c r="X31" s="2593"/>
      <c r="Y31" s="2593"/>
      <c r="Z31" s="4031"/>
    </row>
    <row r="32" spans="1:26">
      <c r="A32" s="1145"/>
      <c r="B32" s="3378" t="s">
        <v>39</v>
      </c>
      <c r="C32" s="2284" t="s">
        <v>3163</v>
      </c>
      <c r="D32" s="2467"/>
      <c r="E32" s="2468"/>
      <c r="F32" s="2468"/>
      <c r="G32" s="2468"/>
      <c r="H32" s="2828">
        <f>ROUND(SUM(D32:G32),0)</f>
        <v>0</v>
      </c>
      <c r="I32" s="2828">
        <f>SUM(I13,H32)</f>
        <v>0</v>
      </c>
      <c r="J32" s="2397" t="s">
        <v>3164</v>
      </c>
      <c r="K32" s="1145"/>
      <c r="L32" s="2593"/>
      <c r="M32" s="2593"/>
      <c r="N32" s="2593"/>
      <c r="O32" s="2593"/>
      <c r="P32" s="2593"/>
      <c r="Q32" s="2593"/>
      <c r="R32" s="2593"/>
      <c r="S32" s="2593"/>
      <c r="T32" s="2593"/>
      <c r="U32" s="2593"/>
      <c r="V32" s="2593"/>
      <c r="W32" s="2593"/>
      <c r="X32" s="2593"/>
      <c r="Y32" s="2593"/>
      <c r="Z32" s="4031"/>
    </row>
    <row r="33" spans="1:26">
      <c r="A33" s="1145"/>
      <c r="B33" s="4033" t="s">
        <v>103</v>
      </c>
      <c r="C33" s="2285" t="s">
        <v>3158</v>
      </c>
      <c r="D33" s="2878"/>
      <c r="E33" s="2879"/>
      <c r="F33" s="2879"/>
      <c r="G33" s="2879"/>
      <c r="H33" s="2879"/>
      <c r="I33" s="2879"/>
      <c r="J33" s="4521" t="b">
        <f>AND(J13,D31="",E31="",F31="",G31="")</f>
        <v>0</v>
      </c>
      <c r="K33" s="1145"/>
      <c r="L33" s="2593"/>
      <c r="M33" s="2593"/>
      <c r="N33" s="2593"/>
      <c r="O33" s="2593"/>
      <c r="P33" s="2593"/>
      <c r="Q33" s="2593"/>
      <c r="R33" s="2593"/>
      <c r="S33" s="2593"/>
      <c r="T33" s="2593"/>
      <c r="U33" s="2593"/>
      <c r="V33" s="2593"/>
      <c r="W33" s="2593"/>
      <c r="X33" s="2593"/>
      <c r="Y33" s="2593"/>
      <c r="Z33" s="4031"/>
    </row>
    <row r="34" spans="1:26">
      <c r="A34" s="1145"/>
      <c r="B34" s="3378" t="s">
        <v>104</v>
      </c>
      <c r="C34" s="2284" t="s">
        <v>3159</v>
      </c>
      <c r="D34" s="2467"/>
      <c r="E34" s="2468"/>
      <c r="F34" s="2468"/>
      <c r="G34" s="2468"/>
      <c r="H34" s="2828">
        <f>ROUND(SUM(D34:G34),0)</f>
        <v>0</v>
      </c>
      <c r="I34" s="2828">
        <f>SUM(I15,H34)</f>
        <v>0</v>
      </c>
      <c r="J34" s="2397" t="s">
        <v>3164</v>
      </c>
      <c r="K34" s="1145"/>
      <c r="L34" s="2593"/>
      <c r="M34" s="2593"/>
      <c r="N34" s="2593"/>
      <c r="O34" s="2593"/>
      <c r="P34" s="2593"/>
      <c r="Q34" s="2593"/>
      <c r="R34" s="2593"/>
      <c r="S34" s="2593"/>
      <c r="T34" s="2593"/>
      <c r="U34" s="2593"/>
      <c r="V34" s="2593"/>
      <c r="W34" s="2593"/>
      <c r="X34" s="2593"/>
      <c r="Y34" s="2593"/>
      <c r="Z34" s="4031"/>
    </row>
    <row r="35" spans="1:26">
      <c r="A35" s="1145"/>
      <c r="B35" s="4033" t="s">
        <v>3160</v>
      </c>
      <c r="C35" s="2285" t="s">
        <v>1867</v>
      </c>
      <c r="D35" s="2451"/>
      <c r="E35" s="2452"/>
      <c r="F35" s="2452"/>
      <c r="G35" s="2452"/>
      <c r="H35" s="2828"/>
      <c r="I35" s="2828"/>
      <c r="J35" s="4521" t="b">
        <f>AND(J15,D33="",E33="",F33="",G33="")</f>
        <v>0</v>
      </c>
      <c r="K35" s="1145"/>
      <c r="L35" s="2593"/>
      <c r="M35" s="2593"/>
      <c r="N35" s="2593"/>
      <c r="O35" s="2593"/>
      <c r="P35" s="2593"/>
      <c r="Q35" s="2593"/>
      <c r="R35" s="2593"/>
      <c r="S35" s="2593"/>
      <c r="T35" s="2593"/>
      <c r="U35" s="2593"/>
      <c r="V35" s="2593"/>
      <c r="W35" s="2593"/>
      <c r="X35" s="2593"/>
      <c r="Y35" s="2593"/>
      <c r="Z35" s="4031"/>
    </row>
    <row r="36" spans="1:26">
      <c r="A36" s="1145"/>
      <c r="B36" s="4033" t="s">
        <v>3161</v>
      </c>
      <c r="C36" s="2285" t="s">
        <v>1868</v>
      </c>
      <c r="D36" s="2453"/>
      <c r="E36" s="2454"/>
      <c r="F36" s="2454"/>
      <c r="G36" s="2454"/>
      <c r="H36" s="2828"/>
      <c r="I36" s="2828"/>
      <c r="J36" s="3937"/>
      <c r="K36" s="1145"/>
      <c r="L36" s="2593"/>
      <c r="M36" s="2593"/>
      <c r="N36" s="2593"/>
      <c r="O36" s="2593"/>
      <c r="P36" s="2593"/>
      <c r="Q36" s="2593"/>
      <c r="R36" s="2593"/>
      <c r="S36" s="2593"/>
      <c r="T36" s="2593"/>
      <c r="U36" s="2593"/>
      <c r="V36" s="2593"/>
      <c r="W36" s="2593"/>
      <c r="X36" s="2593"/>
      <c r="Y36" s="2593"/>
      <c r="Z36" s="4031"/>
    </row>
    <row r="37" spans="1:26" ht="13.5" thickBot="1">
      <c r="A37" s="1145"/>
      <c r="B37" s="3936" t="s">
        <v>657</v>
      </c>
      <c r="C37" s="2297" t="s">
        <v>183</v>
      </c>
      <c r="D37" s="2477"/>
      <c r="E37" s="2478"/>
      <c r="F37" s="2478"/>
      <c r="G37" s="2478"/>
      <c r="H37" s="3938">
        <f>ROUND(SUM(D37:G37),0)</f>
        <v>0</v>
      </c>
      <c r="I37" s="3938">
        <f>SUM(I18,H37)</f>
        <v>0</v>
      </c>
      <c r="J37" s="2397" t="s">
        <v>2774</v>
      </c>
      <c r="K37" s="1145"/>
      <c r="L37" s="2593"/>
      <c r="M37" s="2593"/>
      <c r="N37" s="2593"/>
      <c r="O37" s="2593"/>
      <c r="P37" s="2593"/>
      <c r="Q37" s="2593"/>
      <c r="R37" s="2593"/>
      <c r="S37" s="2593"/>
      <c r="T37" s="2593"/>
      <c r="U37" s="2593"/>
      <c r="V37" s="2593"/>
      <c r="W37" s="2593"/>
      <c r="X37" s="2593"/>
      <c r="Y37" s="2593"/>
      <c r="Z37" s="4031"/>
    </row>
    <row r="38" spans="1:26" ht="17.25" customHeight="1" thickBot="1">
      <c r="A38" s="23"/>
      <c r="B38" s="2421" t="s">
        <v>1987</v>
      </c>
      <c r="C38" s="23"/>
      <c r="D38" s="23"/>
      <c r="E38" s="23"/>
      <c r="F38" s="23"/>
      <c r="G38" s="23"/>
      <c r="H38" s="23"/>
      <c r="I38" s="23"/>
      <c r="J38" s="23"/>
      <c r="K38" s="1145"/>
      <c r="L38" s="2593"/>
      <c r="M38" s="2593"/>
      <c r="N38" s="2593"/>
      <c r="O38" s="2593"/>
      <c r="P38" s="2593"/>
      <c r="Q38" s="2593"/>
      <c r="R38" s="2593"/>
      <c r="S38" s="2593"/>
      <c r="T38" s="2593"/>
      <c r="U38" s="2593"/>
      <c r="V38" s="2593"/>
      <c r="W38" s="2593"/>
      <c r="X38" s="2593"/>
      <c r="Y38" s="2593"/>
      <c r="Z38" s="4031"/>
    </row>
    <row r="39" spans="1:26" ht="13.5" thickTop="1">
      <c r="A39" s="2931"/>
      <c r="Z39"/>
    </row>
    <row r="40" spans="1:26">
      <c r="Z40"/>
    </row>
    <row r="41" spans="1:26" ht="13.5" thickBot="1">
      <c r="Z41"/>
    </row>
    <row r="42" spans="1:26">
      <c r="C42" s="4015"/>
      <c r="Z42"/>
    </row>
    <row r="43" spans="1:26">
      <c r="C43" s="4011" t="s">
        <v>3219</v>
      </c>
    </row>
    <row r="44" spans="1:26" ht="13.5" thickBot="1">
      <c r="C44" s="4016"/>
    </row>
  </sheetData>
  <sheetProtection algorithmName="SHA-512" hashValue="oVTWwRGPp7N/4t1R3IzjjY1uRF5UFD8Fl8xWeD8UHlAk8KuSsz6f0gioIKKLQaoFJlweceqXpMenwWOoS4r9Mg==" saltValue="yMgVcnBzOK30RddbfQ9OBg==" spinCount="100000" sheet="1" objects="1" scenarios="1"/>
  <conditionalFormatting sqref="D21:G37">
    <cfRule type="expression" dxfId="3093" priority="19">
      <formula>IF(NoColor,1,0)</formula>
    </cfRule>
  </conditionalFormatting>
  <conditionalFormatting sqref="D2:H18">
    <cfRule type="expression" dxfId="3092" priority="11">
      <formula>IF(NoColor,1,0)</formula>
    </cfRule>
  </conditionalFormatting>
  <conditionalFormatting sqref="H21:I21">
    <cfRule type="expression" dxfId="3091" priority="14">
      <formula>IF(NoColor,1,0)</formula>
    </cfRule>
  </conditionalFormatting>
  <conditionalFormatting sqref="H22:I32">
    <cfRule type="expression" dxfId="3090" priority="3">
      <formula>NoColor</formula>
    </cfRule>
  </conditionalFormatting>
  <conditionalFormatting sqref="H33:I33">
    <cfRule type="expression" dxfId="3089" priority="10">
      <formula>IF(NoColor,1,0)</formula>
    </cfRule>
  </conditionalFormatting>
  <conditionalFormatting sqref="H34:I37">
    <cfRule type="expression" dxfId="3088" priority="13">
      <formula>NoColor</formula>
    </cfRule>
  </conditionalFormatting>
  <conditionalFormatting sqref="I2">
    <cfRule type="expression" dxfId="3087" priority="9">
      <formula>IF(NoColor,1,0)</formula>
    </cfRule>
  </conditionalFormatting>
  <conditionalFormatting sqref="I3:I13">
    <cfRule type="expression" dxfId="3086" priority="5">
      <formula>NoColor</formula>
    </cfRule>
  </conditionalFormatting>
  <conditionalFormatting sqref="I14">
    <cfRule type="expression" dxfId="3085" priority="6">
      <formula>IF(NoColor,1,0)</formula>
    </cfRule>
  </conditionalFormatting>
  <conditionalFormatting sqref="I15:I18">
    <cfRule type="expression" dxfId="3084" priority="8">
      <formula>NoColor</formula>
    </cfRule>
  </conditionalFormatting>
  <conditionalFormatting sqref="J7">
    <cfRule type="expression" dxfId="3083" priority="17">
      <formula>Needs_SALT</formula>
    </cfRule>
  </conditionalFormatting>
  <conditionalFormatting sqref="J17">
    <cfRule type="expression" dxfId="3082" priority="4066">
      <formula>AND(#REF!,OR(#REF!="""",#REF!=""""))</formula>
    </cfRule>
  </conditionalFormatting>
  <conditionalFormatting sqref="J18 J20">
    <cfRule type="expression" dxfId="3081" priority="2">
      <formula>"AND('Sch. 1 Line 8 WS'!AP2,'Sch. 1 Line 8 WS'!AI7="""")"</formula>
    </cfRule>
  </conditionalFormatting>
  <conditionalFormatting sqref="J26">
    <cfRule type="expression" dxfId="3080" priority="23">
      <formula>Needs_SALT</formula>
    </cfRule>
  </conditionalFormatting>
  <hyperlinks>
    <hyperlink ref="C43" location="'Table of Contents'!A1" display="Table of Contents" xr:uid="{00000000-0004-0000-0600-000000000000}"/>
  </hyperlinks>
  <printOptions gridLines="1" gridLinesSet="0"/>
  <pageMargins left="0.75" right="0.75" top="1" bottom="1" header="0.5" footer="0.5"/>
  <pageSetup scale="60" fitToHeight="0" orientation="landscape"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74"/>
  <sheetViews>
    <sheetView workbookViewId="0"/>
  </sheetViews>
  <sheetFormatPr defaultRowHeight="12.75"/>
  <cols>
    <col min="1" max="1" width="3" customWidth="1"/>
    <col min="2" max="2" width="5.7109375" customWidth="1"/>
    <col min="15" max="15" width="3.28515625" customWidth="1"/>
  </cols>
  <sheetData>
    <row r="1" spans="1:15" ht="13.5" thickBot="1">
      <c r="A1" s="2842"/>
      <c r="B1" s="2842"/>
      <c r="C1" s="2842"/>
      <c r="D1" s="2842"/>
      <c r="E1" s="2842"/>
      <c r="F1" s="2842"/>
      <c r="G1" s="2842"/>
      <c r="H1" s="2842"/>
      <c r="I1" s="2842"/>
      <c r="J1" s="2842"/>
      <c r="K1" s="2842"/>
      <c r="L1" s="2842"/>
      <c r="M1" s="2842"/>
      <c r="N1" s="2842"/>
      <c r="O1" s="2842"/>
    </row>
    <row r="2" spans="1:15" ht="13.5" thickTop="1">
      <c r="A2" s="2842"/>
      <c r="B2" s="2835"/>
      <c r="C2" s="1154"/>
      <c r="D2" s="1154"/>
      <c r="E2" s="1154"/>
      <c r="F2" s="1154"/>
      <c r="G2" s="1154"/>
      <c r="H2" s="1154"/>
      <c r="I2" s="1154"/>
      <c r="J2" s="1154"/>
      <c r="K2" s="1154"/>
      <c r="L2" s="1154"/>
      <c r="M2" s="1154"/>
      <c r="N2" s="2836"/>
      <c r="O2" s="2842"/>
    </row>
    <row r="3" spans="1:15">
      <c r="A3" s="2842"/>
      <c r="B3" s="2837"/>
      <c r="C3" s="1416" t="s">
        <v>2255</v>
      </c>
      <c r="D3" s="1145"/>
      <c r="E3" s="1145"/>
      <c r="F3" s="1145"/>
      <c r="G3" s="1145"/>
      <c r="H3" s="1145"/>
      <c r="I3" s="1145"/>
      <c r="J3" s="1145"/>
      <c r="K3" s="1145"/>
      <c r="L3" s="1145"/>
      <c r="M3" s="1145"/>
      <c r="N3" s="2838"/>
      <c r="O3" s="2842"/>
    </row>
    <row r="4" spans="1:15">
      <c r="A4" s="2842"/>
      <c r="B4" s="2837"/>
      <c r="C4" s="1145"/>
      <c r="D4" s="1145"/>
      <c r="E4" s="1145"/>
      <c r="F4" s="1145"/>
      <c r="G4" s="1145"/>
      <c r="H4" s="1145"/>
      <c r="I4" s="1145"/>
      <c r="J4" s="1145"/>
      <c r="K4" s="1145"/>
      <c r="L4" s="1145"/>
      <c r="M4" s="1145"/>
      <c r="N4" s="2838"/>
      <c r="O4" s="2842"/>
    </row>
    <row r="5" spans="1:15">
      <c r="A5" s="2842"/>
      <c r="B5" s="2837"/>
      <c r="C5" s="1410" t="s">
        <v>2256</v>
      </c>
      <c r="D5" s="1145"/>
      <c r="E5" s="1145"/>
      <c r="F5" s="1145"/>
      <c r="G5" s="1145"/>
      <c r="H5" s="1145"/>
      <c r="I5" s="1145"/>
      <c r="J5" s="1145"/>
      <c r="K5" s="1145"/>
      <c r="L5" s="1145"/>
      <c r="M5" s="1145"/>
      <c r="N5" s="2838"/>
      <c r="O5" s="2842"/>
    </row>
    <row r="6" spans="1:15">
      <c r="A6" s="2842"/>
      <c r="B6" s="2837"/>
      <c r="C6" s="1145"/>
      <c r="D6" s="1145"/>
      <c r="E6" s="1145"/>
      <c r="F6" s="1145"/>
      <c r="G6" s="1145"/>
      <c r="H6" s="1145"/>
      <c r="I6" s="1145"/>
      <c r="J6" s="1145"/>
      <c r="K6" s="1145"/>
      <c r="L6" s="1145"/>
      <c r="M6" s="1145"/>
      <c r="N6" s="2838"/>
      <c r="O6" s="2842"/>
    </row>
    <row r="7" spans="1:15">
      <c r="A7" s="2842"/>
      <c r="B7" s="2837"/>
      <c r="C7" s="1416" t="s">
        <v>1715</v>
      </c>
      <c r="D7" s="2843" t="s">
        <v>3780</v>
      </c>
      <c r="E7" s="1145"/>
      <c r="F7" s="1145"/>
      <c r="G7" s="1145"/>
      <c r="H7" s="1145"/>
      <c r="I7" s="1145"/>
      <c r="J7" s="1145"/>
      <c r="K7" s="1145"/>
      <c r="L7" s="1145"/>
      <c r="M7" s="1145"/>
      <c r="N7" s="2838"/>
      <c r="O7" s="2842"/>
    </row>
    <row r="8" spans="1:15">
      <c r="A8" s="2842"/>
      <c r="B8" s="2837"/>
      <c r="C8" s="1145"/>
      <c r="D8" s="1410"/>
      <c r="E8" s="1145"/>
      <c r="F8" s="1145"/>
      <c r="G8" s="1145"/>
      <c r="H8" s="1145"/>
      <c r="I8" s="1145"/>
      <c r="J8" s="1145"/>
      <c r="K8" s="1145"/>
      <c r="L8" s="1145"/>
      <c r="M8" s="1145"/>
      <c r="N8" s="2838"/>
      <c r="O8" s="2842"/>
    </row>
    <row r="9" spans="1:15">
      <c r="A9" s="2842"/>
      <c r="B9" s="2837"/>
      <c r="C9" s="1416" t="str">
        <f>"Instructions for Form 1099-MISC may be downloaded from the IRS:"</f>
        <v>Instructions for Form 1099-MISC may be downloaded from the IRS:</v>
      </c>
      <c r="D9" s="1145"/>
      <c r="E9" s="1145"/>
      <c r="F9" s="1145"/>
      <c r="G9" s="1145"/>
      <c r="H9" s="1145"/>
      <c r="I9" s="1145"/>
      <c r="J9" s="1145"/>
      <c r="K9" s="1145"/>
      <c r="L9" s="1145"/>
      <c r="M9" s="1145"/>
      <c r="N9" s="2838"/>
      <c r="O9" s="2842"/>
    </row>
    <row r="10" spans="1:15">
      <c r="A10" s="2842"/>
      <c r="B10" s="2837"/>
      <c r="C10" s="2844" t="s">
        <v>2254</v>
      </c>
      <c r="D10" s="1145"/>
      <c r="E10" s="1145"/>
      <c r="F10" s="1145"/>
      <c r="G10" s="1145"/>
      <c r="H10" s="1145"/>
      <c r="I10" s="1145"/>
      <c r="J10" s="1145"/>
      <c r="K10" s="1145"/>
      <c r="L10" s="1145"/>
      <c r="M10" s="1145"/>
      <c r="N10" s="2838"/>
      <c r="O10" s="2842"/>
    </row>
    <row r="11" spans="1:15">
      <c r="A11" s="2842"/>
      <c r="B11" s="2837"/>
      <c r="C11" s="1145"/>
      <c r="D11" s="1145"/>
      <c r="E11" s="1145"/>
      <c r="F11" s="1145"/>
      <c r="G11" s="1145"/>
      <c r="H11" s="1145"/>
      <c r="I11" s="1145"/>
      <c r="J11" s="1145"/>
      <c r="K11" s="1145"/>
      <c r="L11" s="1145"/>
      <c r="M11" s="1145"/>
      <c r="N11" s="2838"/>
      <c r="O11" s="2842"/>
    </row>
    <row r="12" spans="1:15">
      <c r="A12" s="2842"/>
      <c r="B12" s="2837"/>
      <c r="C12" s="1416" t="str">
        <f>"Form 1099-MISC may be downloaded from the IRS:"</f>
        <v>Form 1099-MISC may be downloaded from the IRS:</v>
      </c>
      <c r="D12" s="1145"/>
      <c r="E12" s="1145"/>
      <c r="F12" s="1145"/>
      <c r="G12" s="1145"/>
      <c r="H12" s="1145"/>
      <c r="I12" s="1145"/>
      <c r="J12" s="1145"/>
      <c r="K12" s="1145"/>
      <c r="L12" s="1145"/>
      <c r="M12" s="1145"/>
      <c r="N12" s="2838"/>
      <c r="O12" s="2842"/>
    </row>
    <row r="13" spans="1:15">
      <c r="A13" s="2842"/>
      <c r="B13" s="2837"/>
      <c r="C13" s="2844" t="s">
        <v>5653</v>
      </c>
      <c r="D13" s="1145"/>
      <c r="E13" s="1145"/>
      <c r="F13" s="1145"/>
      <c r="G13" s="1145"/>
      <c r="H13" s="1145"/>
      <c r="I13" s="1145"/>
      <c r="J13" s="1145"/>
      <c r="K13" s="1145"/>
      <c r="L13" s="1145"/>
      <c r="M13" s="1145"/>
      <c r="N13" s="2838"/>
      <c r="O13" s="2842"/>
    </row>
    <row r="14" spans="1:15">
      <c r="A14" s="2842"/>
      <c r="B14" s="2837"/>
      <c r="C14" s="1145"/>
      <c r="D14" s="1145"/>
      <c r="E14" s="1145"/>
      <c r="F14" s="1145"/>
      <c r="G14" s="1145"/>
      <c r="H14" s="1145"/>
      <c r="I14" s="1145"/>
      <c r="J14" s="1145"/>
      <c r="K14" s="1145"/>
      <c r="L14" s="1145"/>
      <c r="M14" s="1145"/>
      <c r="N14" s="2838"/>
      <c r="O14" s="2842"/>
    </row>
    <row r="15" spans="1:15">
      <c r="A15" s="2842"/>
      <c r="B15" s="2837"/>
      <c r="C15" s="1145"/>
      <c r="D15" s="1145"/>
      <c r="E15" s="1145"/>
      <c r="F15" s="1145"/>
      <c r="G15" s="1145"/>
      <c r="H15" s="1145"/>
      <c r="I15" s="1145"/>
      <c r="J15" s="1145"/>
      <c r="K15" s="1145"/>
      <c r="L15" s="1145"/>
      <c r="M15" s="1145"/>
      <c r="N15" s="2838"/>
      <c r="O15" s="2842"/>
    </row>
    <row r="16" spans="1:15">
      <c r="A16" s="2842"/>
      <c r="B16" s="2837"/>
      <c r="C16" s="1145"/>
      <c r="D16" s="1145"/>
      <c r="E16" s="1145"/>
      <c r="F16" s="1145"/>
      <c r="G16" s="1145"/>
      <c r="H16" s="1145"/>
      <c r="I16" s="1145"/>
      <c r="J16" s="1145"/>
      <c r="K16" s="1145"/>
      <c r="L16" s="1145"/>
      <c r="M16" s="1145"/>
      <c r="N16" s="2838"/>
      <c r="O16" s="2842"/>
    </row>
    <row r="17" spans="1:15">
      <c r="A17" s="2842"/>
      <c r="B17" s="2837"/>
      <c r="C17" s="1145"/>
      <c r="D17" s="1145"/>
      <c r="E17" s="1145"/>
      <c r="F17" s="1145"/>
      <c r="G17" s="1145"/>
      <c r="H17" s="1145"/>
      <c r="I17" s="1145"/>
      <c r="J17" s="1145"/>
      <c r="K17" s="1145"/>
      <c r="L17" s="1145"/>
      <c r="M17" s="1145"/>
      <c r="N17" s="2838"/>
      <c r="O17" s="2842"/>
    </row>
    <row r="18" spans="1:15">
      <c r="A18" s="2842"/>
      <c r="B18" s="2837"/>
      <c r="C18" s="1145"/>
      <c r="D18" s="1145"/>
      <c r="E18" s="1145"/>
      <c r="F18" s="1145"/>
      <c r="G18" s="1145"/>
      <c r="H18" s="1145"/>
      <c r="I18" s="1145"/>
      <c r="J18" s="1145"/>
      <c r="K18" s="1145"/>
      <c r="L18" s="1145"/>
      <c r="M18" s="1145"/>
      <c r="N18" s="2838"/>
      <c r="O18" s="2842"/>
    </row>
    <row r="19" spans="1:15">
      <c r="A19" s="2842"/>
      <c r="B19" s="2837"/>
      <c r="C19" s="1145"/>
      <c r="D19" s="1145"/>
      <c r="E19" s="1145"/>
      <c r="F19" s="1145"/>
      <c r="G19" s="1145"/>
      <c r="H19" s="1145"/>
      <c r="I19" s="1145"/>
      <c r="J19" s="1145"/>
      <c r="K19" s="1145"/>
      <c r="L19" s="1145"/>
      <c r="M19" s="1145"/>
      <c r="N19" s="2838"/>
      <c r="O19" s="2842"/>
    </row>
    <row r="20" spans="1:15">
      <c r="A20" s="2842"/>
      <c r="B20" s="2837"/>
      <c r="C20" s="1145"/>
      <c r="D20" s="1145"/>
      <c r="E20" s="1145"/>
      <c r="F20" s="1145"/>
      <c r="G20" s="1145"/>
      <c r="H20" s="1145"/>
      <c r="I20" s="1145"/>
      <c r="J20" s="1145"/>
      <c r="K20" s="1145"/>
      <c r="L20" s="1145"/>
      <c r="M20" s="1145"/>
      <c r="N20" s="2838"/>
      <c r="O20" s="2842"/>
    </row>
    <row r="21" spans="1:15">
      <c r="A21" s="2842"/>
      <c r="B21" s="2837"/>
      <c r="C21" s="1145"/>
      <c r="D21" s="1145"/>
      <c r="E21" s="1145"/>
      <c r="F21" s="1145"/>
      <c r="G21" s="1145"/>
      <c r="H21" s="1145"/>
      <c r="I21" s="1145"/>
      <c r="J21" s="1145"/>
      <c r="K21" s="1145"/>
      <c r="L21" s="1145"/>
      <c r="M21" s="1145"/>
      <c r="N21" s="2838"/>
      <c r="O21" s="2842"/>
    </row>
    <row r="22" spans="1:15">
      <c r="A22" s="2842"/>
      <c r="B22" s="2837"/>
      <c r="C22" s="1145"/>
      <c r="D22" s="1145"/>
      <c r="E22" s="1145"/>
      <c r="F22" s="1145"/>
      <c r="G22" s="1145"/>
      <c r="H22" s="1145"/>
      <c r="I22" s="1145"/>
      <c r="J22" s="1145"/>
      <c r="K22" s="1145"/>
      <c r="L22" s="1145"/>
      <c r="M22" s="1145"/>
      <c r="N22" s="2838"/>
      <c r="O22" s="2842"/>
    </row>
    <row r="23" spans="1:15">
      <c r="A23" s="2842"/>
      <c r="B23" s="2837"/>
      <c r="C23" s="1145"/>
      <c r="D23" s="1145"/>
      <c r="E23" s="1145"/>
      <c r="F23" s="1145"/>
      <c r="G23" s="1145"/>
      <c r="H23" s="1145"/>
      <c r="I23" s="1145"/>
      <c r="J23" s="1145"/>
      <c r="K23" s="1145"/>
      <c r="L23" s="1145"/>
      <c r="M23" s="1145"/>
      <c r="N23" s="2838"/>
      <c r="O23" s="2842"/>
    </row>
    <row r="24" spans="1:15">
      <c r="A24" s="2842"/>
      <c r="B24" s="2837"/>
      <c r="C24" s="1145"/>
      <c r="D24" s="1145"/>
      <c r="E24" s="1145"/>
      <c r="F24" s="1145"/>
      <c r="G24" s="1145"/>
      <c r="H24" s="1145"/>
      <c r="I24" s="1145"/>
      <c r="J24" s="1145"/>
      <c r="K24" s="1145"/>
      <c r="L24" s="1145"/>
      <c r="M24" s="1145"/>
      <c r="N24" s="2838"/>
      <c r="O24" s="2842"/>
    </row>
    <row r="25" spans="1:15">
      <c r="A25" s="2842"/>
      <c r="B25" s="2837"/>
      <c r="C25" s="1145"/>
      <c r="D25" s="1145"/>
      <c r="E25" s="1145"/>
      <c r="F25" s="1145"/>
      <c r="G25" s="1145"/>
      <c r="H25" s="1145"/>
      <c r="I25" s="1145"/>
      <c r="J25" s="1145"/>
      <c r="K25" s="1145"/>
      <c r="L25" s="1145"/>
      <c r="M25" s="1145"/>
      <c r="N25" s="2838"/>
      <c r="O25" s="2842"/>
    </row>
    <row r="26" spans="1:15">
      <c r="A26" s="2842"/>
      <c r="B26" s="2837"/>
      <c r="C26" s="1145"/>
      <c r="D26" s="1145"/>
      <c r="E26" s="1145"/>
      <c r="F26" s="1145"/>
      <c r="G26" s="1145"/>
      <c r="H26" s="1145"/>
      <c r="I26" s="1145"/>
      <c r="J26" s="1145"/>
      <c r="K26" s="1145"/>
      <c r="L26" s="1145"/>
      <c r="M26" s="1145"/>
      <c r="N26" s="2838"/>
      <c r="O26" s="2842"/>
    </row>
    <row r="27" spans="1:15">
      <c r="A27" s="2842"/>
      <c r="B27" s="2837"/>
      <c r="C27" s="1145"/>
      <c r="D27" s="1145"/>
      <c r="E27" s="1145"/>
      <c r="F27" s="1145"/>
      <c r="G27" s="1145"/>
      <c r="H27" s="1145"/>
      <c r="I27" s="1145"/>
      <c r="J27" s="1145"/>
      <c r="K27" s="1145"/>
      <c r="L27" s="1145"/>
      <c r="M27" s="1145"/>
      <c r="N27" s="2838"/>
      <c r="O27" s="2842"/>
    </row>
    <row r="28" spans="1:15">
      <c r="A28" s="2842"/>
      <c r="B28" s="2837"/>
      <c r="C28" s="1145"/>
      <c r="D28" s="1145"/>
      <c r="E28" s="1145"/>
      <c r="F28" s="1145"/>
      <c r="G28" s="1145"/>
      <c r="H28" s="1145"/>
      <c r="I28" s="1145"/>
      <c r="J28" s="1145"/>
      <c r="K28" s="1145"/>
      <c r="L28" s="1145"/>
      <c r="M28" s="1145"/>
      <c r="N28" s="2838"/>
      <c r="O28" s="2842"/>
    </row>
    <row r="29" spans="1:15">
      <c r="A29" s="2842"/>
      <c r="B29" s="2837"/>
      <c r="C29" s="1145"/>
      <c r="D29" s="1145"/>
      <c r="E29" s="1145"/>
      <c r="F29" s="1145"/>
      <c r="G29" s="1145"/>
      <c r="H29" s="1145"/>
      <c r="I29" s="1145"/>
      <c r="J29" s="1145"/>
      <c r="K29" s="1145"/>
      <c r="L29" s="1145"/>
      <c r="M29" s="1145"/>
      <c r="N29" s="2838"/>
      <c r="O29" s="2842"/>
    </row>
    <row r="30" spans="1:15">
      <c r="A30" s="2842"/>
      <c r="B30" s="2837"/>
      <c r="C30" s="1145"/>
      <c r="D30" s="1145"/>
      <c r="E30" s="1145"/>
      <c r="F30" s="1145"/>
      <c r="G30" s="1145"/>
      <c r="H30" s="1145"/>
      <c r="I30" s="1145"/>
      <c r="J30" s="1145"/>
      <c r="K30" s="1145"/>
      <c r="L30" s="1145"/>
      <c r="M30" s="1145"/>
      <c r="N30" s="2838"/>
      <c r="O30" s="2842"/>
    </row>
    <row r="31" spans="1:15">
      <c r="A31" s="2842"/>
      <c r="B31" s="2837"/>
      <c r="C31" s="1145"/>
      <c r="D31" s="1145"/>
      <c r="E31" s="1145"/>
      <c r="F31" s="1145"/>
      <c r="G31" s="1145"/>
      <c r="H31" s="1145"/>
      <c r="I31" s="1145"/>
      <c r="J31" s="1145"/>
      <c r="K31" s="1145"/>
      <c r="L31" s="1145"/>
      <c r="M31" s="1145"/>
      <c r="N31" s="2838"/>
      <c r="O31" s="2842"/>
    </row>
    <row r="32" spans="1:15">
      <c r="A32" s="2842"/>
      <c r="B32" s="2837"/>
      <c r="C32" s="1145"/>
      <c r="D32" s="1145"/>
      <c r="E32" s="1145"/>
      <c r="F32" s="1145"/>
      <c r="G32" s="1145"/>
      <c r="H32" s="1145"/>
      <c r="I32" s="1145"/>
      <c r="J32" s="1145"/>
      <c r="K32" s="1145"/>
      <c r="L32" s="1145"/>
      <c r="M32" s="1145"/>
      <c r="N32" s="2838"/>
      <c r="O32" s="2842"/>
    </row>
    <row r="33" spans="1:15">
      <c r="A33" s="2842"/>
      <c r="B33" s="2837"/>
      <c r="C33" s="1145"/>
      <c r="D33" s="1145"/>
      <c r="E33" s="1145"/>
      <c r="F33" s="1145"/>
      <c r="G33" s="1145"/>
      <c r="H33" s="1145"/>
      <c r="I33" s="1145"/>
      <c r="J33" s="1145"/>
      <c r="K33" s="1145"/>
      <c r="L33" s="1145"/>
      <c r="M33" s="1145"/>
      <c r="N33" s="2838"/>
      <c r="O33" s="2842"/>
    </row>
    <row r="34" spans="1:15">
      <c r="A34" s="2842"/>
      <c r="B34" s="2837"/>
      <c r="C34" s="1145"/>
      <c r="D34" s="1145"/>
      <c r="E34" s="1145"/>
      <c r="F34" s="1145"/>
      <c r="G34" s="1145"/>
      <c r="H34" s="1145"/>
      <c r="I34" s="1145"/>
      <c r="J34" s="1145"/>
      <c r="K34" s="1145"/>
      <c r="L34" s="1145"/>
      <c r="M34" s="1145"/>
      <c r="N34" s="2838"/>
      <c r="O34" s="2842"/>
    </row>
    <row r="35" spans="1:15">
      <c r="A35" s="2842"/>
      <c r="B35" s="2837"/>
      <c r="C35" s="1145"/>
      <c r="D35" s="1145"/>
      <c r="E35" s="1145"/>
      <c r="F35" s="1145"/>
      <c r="G35" s="1145"/>
      <c r="H35" s="1145"/>
      <c r="I35" s="1145"/>
      <c r="J35" s="1145"/>
      <c r="K35" s="1145"/>
      <c r="L35" s="1145"/>
      <c r="M35" s="1145"/>
      <c r="N35" s="2838"/>
      <c r="O35" s="2842"/>
    </row>
    <row r="36" spans="1:15">
      <c r="A36" s="2842"/>
      <c r="B36" s="2837"/>
      <c r="C36" s="1145"/>
      <c r="D36" s="1145"/>
      <c r="E36" s="1145"/>
      <c r="F36" s="1145"/>
      <c r="G36" s="1145"/>
      <c r="H36" s="1145"/>
      <c r="I36" s="1145"/>
      <c r="J36" s="1145"/>
      <c r="K36" s="1145"/>
      <c r="L36" s="1145"/>
      <c r="M36" s="1145"/>
      <c r="N36" s="2838"/>
      <c r="O36" s="2842"/>
    </row>
    <row r="37" spans="1:15">
      <c r="A37" s="2842"/>
      <c r="B37" s="2837"/>
      <c r="C37" s="1145"/>
      <c r="D37" s="1145"/>
      <c r="E37" s="1145"/>
      <c r="F37" s="1145"/>
      <c r="G37" s="1145"/>
      <c r="H37" s="1145"/>
      <c r="I37" s="1145"/>
      <c r="J37" s="1145"/>
      <c r="K37" s="1145"/>
      <c r="L37" s="1145"/>
      <c r="M37" s="1145"/>
      <c r="N37" s="2838"/>
      <c r="O37" s="2842"/>
    </row>
    <row r="38" spans="1:15">
      <c r="A38" s="2842"/>
      <c r="B38" s="2837"/>
      <c r="C38" s="1145"/>
      <c r="D38" s="1145"/>
      <c r="E38" s="1145"/>
      <c r="F38" s="1145"/>
      <c r="G38" s="1145"/>
      <c r="H38" s="1145"/>
      <c r="I38" s="1145"/>
      <c r="J38" s="1145"/>
      <c r="K38" s="1145"/>
      <c r="L38" s="1145"/>
      <c r="M38" s="1145"/>
      <c r="N38" s="2838"/>
      <c r="O38" s="2842"/>
    </row>
    <row r="39" spans="1:15">
      <c r="A39" s="2842"/>
      <c r="B39" s="2837"/>
      <c r="C39" s="1145"/>
      <c r="D39" s="1145"/>
      <c r="E39" s="1145"/>
      <c r="F39" s="1145"/>
      <c r="G39" s="1145"/>
      <c r="H39" s="1145"/>
      <c r="I39" s="1145"/>
      <c r="J39" s="1145"/>
      <c r="K39" s="1145"/>
      <c r="L39" s="1145"/>
      <c r="M39" s="1145"/>
      <c r="N39" s="2838"/>
      <c r="O39" s="2842"/>
    </row>
    <row r="40" spans="1:15">
      <c r="A40" s="2842"/>
      <c r="B40" s="2837"/>
      <c r="C40" s="1145"/>
      <c r="D40" s="1145"/>
      <c r="E40" s="1145"/>
      <c r="F40" s="1145"/>
      <c r="G40" s="1145"/>
      <c r="H40" s="1145"/>
      <c r="I40" s="1145"/>
      <c r="J40" s="1145"/>
      <c r="K40" s="1145"/>
      <c r="L40" s="1145"/>
      <c r="M40" s="1145"/>
      <c r="N40" s="2838"/>
      <c r="O40" s="2842"/>
    </row>
    <row r="41" spans="1:15">
      <c r="A41" s="2842"/>
      <c r="B41" s="2837"/>
      <c r="C41" s="1145"/>
      <c r="D41" s="1145"/>
      <c r="E41" s="1145"/>
      <c r="F41" s="1145"/>
      <c r="G41" s="1145"/>
      <c r="H41" s="1145"/>
      <c r="I41" s="1145"/>
      <c r="J41" s="1145"/>
      <c r="K41" s="1145"/>
      <c r="L41" s="1145"/>
      <c r="M41" s="1145"/>
      <c r="N41" s="2838"/>
      <c r="O41" s="2842"/>
    </row>
    <row r="42" spans="1:15" ht="13.5" thickBot="1">
      <c r="A42" s="2842"/>
      <c r="B42" s="2839"/>
      <c r="C42" s="2840"/>
      <c r="D42" s="2840"/>
      <c r="E42" s="2840"/>
      <c r="F42" s="2840"/>
      <c r="G42" s="2840"/>
      <c r="H42" s="2840"/>
      <c r="I42" s="2840"/>
      <c r="J42" s="2840"/>
      <c r="K42" s="2840"/>
      <c r="L42" s="2840"/>
      <c r="M42" s="2840"/>
      <c r="N42" s="2841"/>
      <c r="O42" s="2842"/>
    </row>
    <row r="43" spans="1:15" ht="21.75" customHeight="1" thickTop="1">
      <c r="A43" s="2842"/>
      <c r="B43" s="2842"/>
      <c r="C43" s="2842"/>
      <c r="D43" s="2842"/>
      <c r="E43" s="2842"/>
      <c r="F43" s="2842"/>
      <c r="G43" s="2842"/>
      <c r="H43" s="2842"/>
      <c r="I43" s="2842"/>
      <c r="J43" s="2842"/>
      <c r="K43" s="2842"/>
      <c r="L43" s="2842"/>
      <c r="M43" s="2842"/>
      <c r="N43" s="2842"/>
      <c r="O43" s="2842"/>
    </row>
    <row r="44" spans="1:15">
      <c r="A44" s="2842"/>
      <c r="B44" s="2842"/>
      <c r="C44" s="2842"/>
      <c r="D44" s="2842"/>
      <c r="E44" s="2842"/>
      <c r="F44" s="2842"/>
      <c r="G44" s="2842"/>
      <c r="H44" s="2842"/>
      <c r="I44" s="2842"/>
      <c r="J44" s="2842"/>
      <c r="K44" s="2842"/>
      <c r="L44" s="2842"/>
      <c r="M44" s="2842"/>
      <c r="N44" s="2842"/>
      <c r="O44" s="2842"/>
    </row>
    <row r="45" spans="1:15">
      <c r="A45" s="2842"/>
      <c r="B45" s="2842"/>
      <c r="C45" s="2842"/>
      <c r="D45" s="2842"/>
      <c r="E45" s="2842"/>
      <c r="F45" s="2842"/>
      <c r="G45" s="2842"/>
      <c r="H45" s="2842"/>
      <c r="I45" s="2842"/>
      <c r="J45" s="2842"/>
      <c r="K45" s="2842"/>
      <c r="L45" s="2842"/>
      <c r="M45" s="2842"/>
      <c r="N45" s="2842"/>
      <c r="O45" s="2842"/>
    </row>
    <row r="46" spans="1:15">
      <c r="A46" s="2842"/>
      <c r="B46" s="2842"/>
      <c r="C46" s="2842"/>
      <c r="D46" s="2842"/>
      <c r="E46" s="2842"/>
      <c r="F46" s="2842"/>
      <c r="G46" s="2842"/>
      <c r="H46" s="2842"/>
      <c r="I46" s="2842"/>
      <c r="J46" s="2842"/>
      <c r="K46" s="2842"/>
      <c r="L46" s="2842"/>
      <c r="M46" s="2842"/>
      <c r="N46" s="2842"/>
      <c r="O46" s="2842"/>
    </row>
    <row r="47" spans="1:15">
      <c r="A47" s="2842"/>
      <c r="B47" s="2842"/>
      <c r="C47" s="2842"/>
      <c r="D47" s="2842"/>
      <c r="E47" s="2842"/>
      <c r="F47" s="2842"/>
      <c r="G47" s="2842"/>
      <c r="H47" s="2842"/>
      <c r="I47" s="2842"/>
      <c r="J47" s="2842"/>
      <c r="K47" s="2842"/>
      <c r="L47" s="2842"/>
      <c r="M47" s="2842"/>
      <c r="N47" s="2842"/>
      <c r="O47" s="2842"/>
    </row>
    <row r="48" spans="1:15">
      <c r="A48" s="2842"/>
      <c r="B48" s="2842"/>
      <c r="C48" s="2842"/>
      <c r="D48" s="2842"/>
      <c r="E48" s="2842"/>
      <c r="F48" s="2842"/>
      <c r="G48" s="2842"/>
      <c r="H48" s="2842"/>
      <c r="I48" s="2842"/>
      <c r="J48" s="2842"/>
      <c r="K48" s="2842"/>
      <c r="L48" s="2842"/>
      <c r="M48" s="2842"/>
      <c r="N48" s="2842"/>
      <c r="O48" s="2842"/>
    </row>
    <row r="49" spans="1:15">
      <c r="A49" s="2842"/>
      <c r="B49" s="2842"/>
      <c r="C49" s="2842"/>
      <c r="D49" s="2842"/>
      <c r="E49" s="2842"/>
      <c r="F49" s="2842"/>
      <c r="G49" s="2842"/>
      <c r="H49" s="2842"/>
      <c r="I49" s="2842"/>
      <c r="J49" s="2842"/>
      <c r="K49" s="2842"/>
      <c r="L49" s="2842"/>
      <c r="M49" s="2842"/>
      <c r="N49" s="2842"/>
      <c r="O49" s="2842"/>
    </row>
    <row r="50" spans="1:15">
      <c r="A50" s="2842"/>
      <c r="B50" s="2842"/>
      <c r="C50" s="2842"/>
      <c r="D50" s="2842"/>
      <c r="E50" s="2842"/>
      <c r="F50" s="2842"/>
      <c r="G50" s="2842"/>
      <c r="H50" s="2842"/>
      <c r="I50" s="2842"/>
      <c r="J50" s="2842"/>
      <c r="K50" s="2842"/>
      <c r="L50" s="2842"/>
      <c r="M50" s="2842"/>
      <c r="N50" s="2842"/>
      <c r="O50" s="2842"/>
    </row>
    <row r="51" spans="1:15">
      <c r="A51" s="2842"/>
      <c r="B51" s="2842"/>
      <c r="C51" s="2842"/>
      <c r="D51" s="2842"/>
      <c r="E51" s="2842"/>
      <c r="F51" s="2842"/>
      <c r="G51" s="2842"/>
      <c r="H51" s="2842"/>
      <c r="I51" s="2842"/>
      <c r="J51" s="2842"/>
      <c r="K51" s="2842"/>
      <c r="L51" s="2842"/>
      <c r="M51" s="2842"/>
      <c r="N51" s="2842"/>
      <c r="O51" s="2842"/>
    </row>
    <row r="52" spans="1:15">
      <c r="A52" s="2842"/>
      <c r="B52" s="2842"/>
      <c r="C52" s="2842"/>
      <c r="D52" s="2842"/>
      <c r="E52" s="2842"/>
      <c r="F52" s="2842"/>
      <c r="G52" s="2842"/>
      <c r="H52" s="2842"/>
      <c r="I52" s="2842"/>
      <c r="J52" s="2842"/>
      <c r="K52" s="2842"/>
      <c r="L52" s="2842"/>
      <c r="M52" s="2842"/>
      <c r="N52" s="2842"/>
      <c r="O52" s="2842"/>
    </row>
    <row r="53" spans="1:15">
      <c r="A53" s="2842"/>
      <c r="B53" s="2842"/>
      <c r="C53" s="2842"/>
      <c r="D53" s="2842"/>
      <c r="E53" s="2842"/>
      <c r="F53" s="2842"/>
      <c r="G53" s="2842"/>
      <c r="H53" s="2842"/>
      <c r="I53" s="2842"/>
      <c r="J53" s="2842"/>
      <c r="K53" s="2842"/>
      <c r="L53" s="2842"/>
      <c r="M53" s="2842"/>
      <c r="N53" s="2842"/>
      <c r="O53" s="2842"/>
    </row>
    <row r="54" spans="1:15">
      <c r="A54" s="2842"/>
      <c r="B54" s="2842"/>
      <c r="C54" s="2842"/>
      <c r="D54" s="2842"/>
      <c r="E54" s="2842"/>
      <c r="F54" s="2842"/>
      <c r="G54" s="2842"/>
      <c r="H54" s="2842"/>
      <c r="I54" s="2842"/>
      <c r="J54" s="2842"/>
      <c r="K54" s="2842"/>
      <c r="L54" s="2842"/>
      <c r="M54" s="2842"/>
      <c r="N54" s="2842"/>
      <c r="O54" s="2842"/>
    </row>
    <row r="55" spans="1:15">
      <c r="A55" s="2842"/>
      <c r="B55" s="2842"/>
      <c r="C55" s="2842"/>
      <c r="D55" s="2842"/>
      <c r="E55" s="2842"/>
      <c r="F55" s="2842"/>
      <c r="G55" s="2842"/>
      <c r="H55" s="2842"/>
      <c r="I55" s="2842"/>
      <c r="J55" s="2842"/>
      <c r="K55" s="2842"/>
      <c r="L55" s="2842"/>
      <c r="M55" s="2842"/>
      <c r="N55" s="2842"/>
      <c r="O55" s="2842"/>
    </row>
    <row r="56" spans="1:15">
      <c r="A56" s="2842"/>
      <c r="B56" s="2842"/>
      <c r="C56" s="2842"/>
      <c r="D56" s="2842"/>
      <c r="E56" s="2842"/>
      <c r="F56" s="2842"/>
      <c r="G56" s="2842"/>
      <c r="H56" s="2842"/>
      <c r="I56" s="2842"/>
      <c r="J56" s="2842"/>
      <c r="K56" s="2842"/>
      <c r="L56" s="2842"/>
      <c r="M56" s="2842"/>
      <c r="N56" s="2842"/>
      <c r="O56" s="2842"/>
    </row>
    <row r="57" spans="1:15">
      <c r="A57" s="2842"/>
      <c r="B57" s="2842"/>
      <c r="C57" s="2842"/>
      <c r="D57" s="2842"/>
      <c r="E57" s="2842"/>
      <c r="F57" s="2842"/>
      <c r="G57" s="2842"/>
      <c r="H57" s="2842"/>
      <c r="I57" s="2842"/>
      <c r="J57" s="2842"/>
      <c r="K57" s="2842"/>
      <c r="L57" s="2842"/>
      <c r="M57" s="2842"/>
      <c r="N57" s="2842"/>
      <c r="O57" s="2842"/>
    </row>
    <row r="58" spans="1:15">
      <c r="A58" s="2842"/>
      <c r="B58" s="2842"/>
      <c r="C58" s="2842"/>
      <c r="D58" s="2842"/>
      <c r="E58" s="2842"/>
      <c r="F58" s="2842"/>
      <c r="G58" s="2842"/>
      <c r="H58" s="2842"/>
      <c r="I58" s="2842"/>
      <c r="J58" s="2842"/>
      <c r="K58" s="2842"/>
      <c r="L58" s="2842"/>
      <c r="M58" s="2842"/>
      <c r="N58" s="2842"/>
      <c r="O58" s="2842"/>
    </row>
    <row r="59" spans="1:15">
      <c r="A59" s="2842"/>
      <c r="B59" s="2842"/>
      <c r="C59" s="2842"/>
      <c r="D59" s="2842"/>
      <c r="E59" s="2842"/>
      <c r="F59" s="2842"/>
      <c r="G59" s="2842"/>
      <c r="H59" s="2842"/>
      <c r="I59" s="2842"/>
      <c r="J59" s="2842"/>
      <c r="K59" s="2842"/>
      <c r="L59" s="2842"/>
      <c r="M59" s="2842"/>
      <c r="N59" s="2842"/>
      <c r="O59" s="2842"/>
    </row>
    <row r="60" spans="1:15">
      <c r="A60" s="2842"/>
      <c r="B60" s="2842"/>
      <c r="C60" s="2842"/>
      <c r="D60" s="2842"/>
      <c r="E60" s="2842"/>
      <c r="F60" s="2842"/>
      <c r="G60" s="2842"/>
      <c r="H60" s="2842"/>
      <c r="I60" s="2842"/>
      <c r="J60" s="2842"/>
      <c r="K60" s="2842"/>
      <c r="L60" s="2842"/>
      <c r="M60" s="2842"/>
      <c r="N60" s="2842"/>
      <c r="O60" s="2842"/>
    </row>
    <row r="61" spans="1:15">
      <c r="A61" s="2842"/>
      <c r="B61" s="2842"/>
      <c r="C61" s="2842"/>
      <c r="D61" s="2842"/>
      <c r="E61" s="2842"/>
      <c r="F61" s="2842"/>
      <c r="G61" s="2842"/>
      <c r="H61" s="2842"/>
      <c r="I61" s="2842"/>
      <c r="J61" s="2842"/>
      <c r="K61" s="2842"/>
      <c r="L61" s="2842"/>
      <c r="M61" s="2842"/>
      <c r="N61" s="2842"/>
      <c r="O61" s="2842"/>
    </row>
    <row r="62" spans="1:15">
      <c r="A62" s="2842"/>
      <c r="B62" s="2842"/>
      <c r="C62" s="2842"/>
      <c r="D62" s="2842"/>
      <c r="E62" s="2842"/>
      <c r="F62" s="2842"/>
      <c r="G62" s="2842"/>
      <c r="H62" s="2842"/>
      <c r="I62" s="2842"/>
      <c r="J62" s="2842"/>
      <c r="K62" s="2842"/>
      <c r="L62" s="2842"/>
      <c r="M62" s="2842"/>
      <c r="N62" s="2842"/>
      <c r="O62" s="2842"/>
    </row>
    <row r="63" spans="1:15">
      <c r="A63" s="2842"/>
      <c r="B63" s="2842"/>
      <c r="C63" s="2842"/>
      <c r="D63" s="2842"/>
      <c r="E63" s="2842"/>
      <c r="F63" s="2842"/>
      <c r="G63" s="2842"/>
      <c r="H63" s="2842"/>
      <c r="I63" s="2842"/>
      <c r="J63" s="2842"/>
      <c r="K63" s="2842"/>
      <c r="L63" s="2842"/>
      <c r="M63" s="2842"/>
      <c r="N63" s="2842"/>
      <c r="O63" s="2842"/>
    </row>
    <row r="64" spans="1:15">
      <c r="A64" s="2842"/>
      <c r="B64" s="2842"/>
      <c r="C64" s="2842"/>
      <c r="D64" s="2842"/>
      <c r="E64" s="2842"/>
      <c r="F64" s="2842"/>
      <c r="G64" s="2842"/>
      <c r="H64" s="2842"/>
      <c r="I64" s="2842"/>
      <c r="J64" s="2842"/>
      <c r="K64" s="2842"/>
      <c r="L64" s="2842"/>
      <c r="M64" s="2842"/>
      <c r="N64" s="2842"/>
      <c r="O64" s="2842"/>
    </row>
    <row r="65" spans="1:15">
      <c r="A65" s="2842"/>
      <c r="B65" s="2842"/>
      <c r="C65" s="2842"/>
      <c r="D65" s="2842"/>
      <c r="E65" s="2842"/>
      <c r="F65" s="2842"/>
      <c r="G65" s="2842"/>
      <c r="H65" s="2842"/>
      <c r="I65" s="2842"/>
      <c r="J65" s="2842"/>
      <c r="K65" s="2842"/>
      <c r="L65" s="2842"/>
      <c r="M65" s="2842"/>
      <c r="N65" s="2842"/>
      <c r="O65" s="2842"/>
    </row>
    <row r="66" spans="1:15">
      <c r="A66" s="2842"/>
      <c r="B66" s="2842"/>
      <c r="C66" s="2842"/>
      <c r="D66" s="2842"/>
      <c r="E66" s="2842"/>
      <c r="F66" s="2842"/>
      <c r="G66" s="2842"/>
      <c r="H66" s="2842"/>
      <c r="I66" s="2842"/>
      <c r="J66" s="2842"/>
      <c r="K66" s="2842"/>
      <c r="L66" s="2842"/>
      <c r="M66" s="2842"/>
      <c r="N66" s="2842"/>
      <c r="O66" s="2842"/>
    </row>
    <row r="67" spans="1:15">
      <c r="A67" s="2842"/>
      <c r="B67" s="2842"/>
      <c r="C67" s="2842"/>
      <c r="D67" s="2842"/>
      <c r="E67" s="2842"/>
      <c r="F67" s="2842"/>
      <c r="G67" s="2842"/>
      <c r="H67" s="2842"/>
      <c r="I67" s="2842"/>
      <c r="J67" s="2842"/>
      <c r="K67" s="2842"/>
      <c r="L67" s="2842"/>
      <c r="M67" s="2842"/>
      <c r="N67" s="2842"/>
      <c r="O67" s="2842"/>
    </row>
    <row r="68" spans="1:15">
      <c r="A68" s="2842"/>
      <c r="B68" s="2842"/>
      <c r="C68" s="2842"/>
      <c r="D68" s="2842"/>
      <c r="E68" s="2842"/>
      <c r="F68" s="2842"/>
      <c r="G68" s="2842"/>
      <c r="H68" s="2842"/>
      <c r="I68" s="2842"/>
      <c r="J68" s="2842"/>
      <c r="K68" s="2842"/>
      <c r="L68" s="2842"/>
      <c r="M68" s="2842"/>
      <c r="N68" s="2842"/>
      <c r="O68" s="2842"/>
    </row>
    <row r="69" spans="1:15">
      <c r="A69" s="2842"/>
      <c r="B69" s="2842"/>
      <c r="C69" s="2842"/>
      <c r="D69" s="2842"/>
      <c r="E69" s="2842"/>
      <c r="F69" s="2842"/>
      <c r="G69" s="2842"/>
      <c r="H69" s="2842"/>
      <c r="I69" s="2842"/>
      <c r="J69" s="2842"/>
      <c r="K69" s="2842"/>
      <c r="L69" s="2842"/>
      <c r="M69" s="2842"/>
      <c r="N69" s="2842"/>
      <c r="O69" s="2842"/>
    </row>
    <row r="70" spans="1:15" ht="20.25" customHeight="1">
      <c r="A70" s="2842"/>
      <c r="B70" s="2842"/>
      <c r="C70" s="2842"/>
      <c r="D70" s="2842"/>
      <c r="E70" s="2842"/>
      <c r="F70" s="2842"/>
      <c r="G70" s="2842"/>
      <c r="H70" s="2842"/>
      <c r="I70" s="2842"/>
      <c r="J70" s="2842"/>
      <c r="K70" s="2842"/>
      <c r="L70" s="2842"/>
      <c r="M70" s="2842"/>
      <c r="N70" s="2842"/>
      <c r="O70" s="2842"/>
    </row>
    <row r="71" spans="1:15" ht="18" customHeight="1" thickBot="1"/>
    <row r="72" spans="1:15">
      <c r="C72" s="6154" t="s">
        <v>3219</v>
      </c>
      <c r="D72" s="6155"/>
    </row>
    <row r="73" spans="1:15">
      <c r="C73" s="6156"/>
      <c r="D73" s="6157"/>
    </row>
    <row r="74" spans="1:15" ht="13.5" thickBot="1">
      <c r="C74" s="6158"/>
      <c r="D74" s="6159"/>
    </row>
  </sheetData>
  <sheetProtection algorithmName="SHA-512" hashValue="96db/qEWTg32ArwnLKEDwmurJMWJmP4J5f64uckpqwh7ZVZHolQzmZIeiCFJpv1tLfti3XlpBKWIe4NKtPco1A==" saltValue="wwKwprYOFlvWcpbl7D2e6A==" spinCount="100000" sheet="1" objects="1" scenarios="1"/>
  <mergeCells count="1">
    <mergeCell ref="C72:D74"/>
  </mergeCells>
  <hyperlinks>
    <hyperlink ref="C10" r:id="rId1" xr:uid="{00000000-0004-0000-0700-000000000000}"/>
    <hyperlink ref="C72" location="'Table of Contents'!A1" display="Table of Contents" xr:uid="{00000000-0004-0000-0700-000001000000}"/>
  </hyperlinks>
  <pageMargins left="0.7" right="0.7" top="0.75" bottom="0.75" header="0.3" footer="0.3"/>
  <pageSetup scale="7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pageSetUpPr fitToPage="1"/>
  </sheetPr>
  <dimension ref="A1:BF87"/>
  <sheetViews>
    <sheetView zoomScaleNormal="100" zoomScaleSheetLayoutView="100" workbookViewId="0">
      <pane ySplit="1" topLeftCell="A2" activePane="bottomLeft" state="frozen"/>
      <selection pane="bottomLeft" activeCell="D2" sqref="D2"/>
    </sheetView>
  </sheetViews>
  <sheetFormatPr defaultRowHeight="12.75"/>
  <cols>
    <col min="1" max="1" width="2.5703125" customWidth="1"/>
    <col min="2" max="2" width="4.42578125" customWidth="1"/>
    <col min="3" max="3" width="44" customWidth="1"/>
    <col min="4" max="12" width="13.140625" customWidth="1"/>
    <col min="13" max="13" width="13.42578125" customWidth="1"/>
    <col min="14" max="15" width="12.42578125" customWidth="1"/>
    <col min="16" max="16" width="6.7109375" customWidth="1"/>
    <col min="17" max="25" width="9.140625" hidden="1" customWidth="1"/>
    <col min="26" max="26" width="6.42578125" hidden="1" customWidth="1"/>
    <col min="27" max="35" width="9.140625" hidden="1" customWidth="1"/>
    <col min="36" max="36" width="6.42578125" hidden="1" customWidth="1"/>
    <col min="37" max="45" width="9.140625" hidden="1" customWidth="1"/>
    <col min="46" max="58" width="9.140625" style="2595"/>
  </cols>
  <sheetData>
    <row r="1" spans="1:58" s="2443" customFormat="1" ht="36.75" customHeight="1" thickBot="1">
      <c r="A1" s="422"/>
      <c r="B1" s="2446" t="s">
        <v>1991</v>
      </c>
      <c r="C1" s="2439"/>
      <c r="D1" s="2440"/>
      <c r="E1" s="2440"/>
      <c r="F1" s="2440"/>
      <c r="G1" s="2440"/>
      <c r="H1" s="2440"/>
      <c r="I1" s="2440"/>
      <c r="J1" s="2440"/>
      <c r="K1" s="2440"/>
      <c r="L1" s="2440"/>
      <c r="M1" s="2440"/>
      <c r="N1" s="2440"/>
      <c r="O1" s="2440"/>
      <c r="P1" s="2441"/>
      <c r="Q1" s="2442"/>
      <c r="R1" s="2442"/>
      <c r="S1" s="2442"/>
      <c r="T1" s="2442"/>
      <c r="U1" s="2442"/>
      <c r="V1" s="2442"/>
      <c r="W1" s="2442"/>
      <c r="X1" s="2442"/>
      <c r="Y1" s="2442"/>
      <c r="Z1" s="2441"/>
      <c r="AA1" s="2442"/>
      <c r="AB1" s="2442"/>
      <c r="AC1" s="2442"/>
      <c r="AD1" s="2442"/>
      <c r="AE1" s="2442"/>
      <c r="AF1" s="2442"/>
      <c r="AG1" s="2442"/>
      <c r="AH1" s="2442"/>
      <c r="AI1" s="2442"/>
      <c r="AJ1" s="2441"/>
      <c r="AK1" s="2442"/>
      <c r="AL1" s="2442"/>
      <c r="AM1" s="2442"/>
      <c r="AN1" s="2442"/>
      <c r="AO1" s="2442"/>
      <c r="AP1" s="2442"/>
      <c r="AQ1" s="2442"/>
      <c r="AR1" s="2442"/>
      <c r="AS1" s="2442"/>
      <c r="AT1" s="2594" t="s">
        <v>2033</v>
      </c>
      <c r="AU1" s="2600"/>
      <c r="AV1" s="2600"/>
      <c r="AW1" s="2600"/>
      <c r="AX1" s="2600"/>
      <c r="AY1" s="2600"/>
      <c r="AZ1" s="2600"/>
      <c r="BA1" s="2600"/>
      <c r="BB1" s="2600"/>
      <c r="BC1" s="2600"/>
      <c r="BD1" s="2600"/>
      <c r="BE1" s="2600"/>
      <c r="BF1" s="2600"/>
    </row>
    <row r="2" spans="1:58" ht="41.25" customHeight="1" thickTop="1" thickBot="1">
      <c r="A2" s="1154"/>
      <c r="B2" s="830"/>
      <c r="C2" s="1287" t="str">
        <f>IF(Name_1st_Yours="","Enter your name on the"&amp;CHAR(10)&amp;"sheet labeled '1040'",NameYours)</f>
        <v>Enter your name on the
sheet labeled '1040'</v>
      </c>
      <c r="D2" s="1919" t="s">
        <v>2291</v>
      </c>
      <c r="E2" s="1918" t="s">
        <v>282</v>
      </c>
      <c r="F2" s="1918" t="s">
        <v>283</v>
      </c>
      <c r="G2" s="1918" t="s">
        <v>368</v>
      </c>
      <c r="H2" s="1919" t="s">
        <v>1659</v>
      </c>
      <c r="I2" s="1919" t="s">
        <v>1660</v>
      </c>
      <c r="J2" s="1919" t="s">
        <v>1661</v>
      </c>
      <c r="K2" s="1919" t="s">
        <v>1832</v>
      </c>
      <c r="L2" s="1919" t="s">
        <v>1833</v>
      </c>
      <c r="M2" s="2939" t="s">
        <v>2290</v>
      </c>
      <c r="N2" s="2527" t="s">
        <v>4659</v>
      </c>
      <c r="O2" s="2527" t="s">
        <v>4478</v>
      </c>
      <c r="P2" s="85"/>
      <c r="Q2" s="350"/>
      <c r="R2" s="350"/>
      <c r="S2" s="350"/>
      <c r="T2" s="350"/>
      <c r="U2" s="4919" t="s">
        <v>410</v>
      </c>
      <c r="V2" s="350"/>
      <c r="W2" s="350"/>
      <c r="X2" s="350"/>
      <c r="Y2" s="350"/>
      <c r="Z2" s="85"/>
      <c r="AA2" s="350"/>
      <c r="AB2" s="350"/>
      <c r="AC2" s="350"/>
      <c r="AD2" s="350"/>
      <c r="AE2" s="4919" t="s">
        <v>393</v>
      </c>
      <c r="AF2" s="350"/>
      <c r="AG2" s="350"/>
      <c r="AH2" s="350"/>
      <c r="AI2" s="350"/>
      <c r="AJ2" s="85"/>
      <c r="AK2" s="350"/>
      <c r="AL2" s="350"/>
      <c r="AM2" s="350"/>
      <c r="AN2" s="350"/>
      <c r="AO2" s="4919" t="s">
        <v>4476</v>
      </c>
      <c r="AP2" s="350"/>
      <c r="AQ2" s="350"/>
      <c r="AR2" s="350"/>
      <c r="AS2" s="350"/>
    </row>
    <row r="3" spans="1:58" ht="13.5" thickBot="1">
      <c r="A3" s="1145"/>
      <c r="B3" s="1147"/>
      <c r="C3" s="1148" t="s">
        <v>4683</v>
      </c>
      <c r="D3" s="1920"/>
      <c r="E3" s="1920"/>
      <c r="F3" s="1920"/>
      <c r="G3" s="1920"/>
      <c r="H3" s="1920"/>
      <c r="I3" s="1920"/>
      <c r="J3" s="1920"/>
      <c r="K3" s="1920"/>
      <c r="L3" s="1920"/>
      <c r="M3" s="5872" t="s">
        <v>410</v>
      </c>
      <c r="N3" s="5872" t="s">
        <v>393</v>
      </c>
      <c r="O3" s="5873" t="s">
        <v>4476</v>
      </c>
      <c r="P3" s="2583"/>
      <c r="Q3" s="42" t="b">
        <f t="shared" ref="Q3:Y3" si="0">NOT(AND(ISERROR(FIND("IRA",D3,1)),ISERROR(FIND("ira",D3,1))))</f>
        <v>0</v>
      </c>
      <c r="R3" s="42" t="b">
        <f t="shared" si="0"/>
        <v>0</v>
      </c>
      <c r="S3" s="42" t="b">
        <f t="shared" si="0"/>
        <v>0</v>
      </c>
      <c r="T3" s="42" t="b">
        <f t="shared" si="0"/>
        <v>0</v>
      </c>
      <c r="U3" s="42" t="b">
        <f t="shared" si="0"/>
        <v>0</v>
      </c>
      <c r="V3" s="42" t="b">
        <f t="shared" si="0"/>
        <v>0</v>
      </c>
      <c r="W3" s="42" t="b">
        <f t="shared" si="0"/>
        <v>0</v>
      </c>
      <c r="X3" s="42" t="b">
        <f t="shared" si="0"/>
        <v>0</v>
      </c>
      <c r="Y3" s="2574" t="b">
        <f t="shared" si="0"/>
        <v>0</v>
      </c>
      <c r="Z3" s="128"/>
      <c r="AA3" s="42" t="b">
        <f t="shared" ref="AA3:AI3" si="1">NOT(AND(ISERROR(FIND("P/A",D3,1)),ISERROR(FIND("p/a",D3,1))))</f>
        <v>0</v>
      </c>
      <c r="AB3" s="42" t="b">
        <f t="shared" si="1"/>
        <v>0</v>
      </c>
      <c r="AC3" s="42" t="b">
        <f t="shared" si="1"/>
        <v>0</v>
      </c>
      <c r="AD3" s="42" t="b">
        <f t="shared" si="1"/>
        <v>0</v>
      </c>
      <c r="AE3" s="42" t="b">
        <f t="shared" si="1"/>
        <v>0</v>
      </c>
      <c r="AF3" s="42" t="b">
        <f t="shared" si="1"/>
        <v>0</v>
      </c>
      <c r="AG3" s="42" t="b">
        <f t="shared" si="1"/>
        <v>0</v>
      </c>
      <c r="AH3" s="42" t="b">
        <f t="shared" si="1"/>
        <v>0</v>
      </c>
      <c r="AI3" s="42" t="b">
        <f t="shared" si="1"/>
        <v>0</v>
      </c>
      <c r="AJ3" s="128"/>
      <c r="AK3" s="42" t="b">
        <f>NOT(AND(ISERROR(FIND("CONV",D3,1)),ISERROR(FIND("conv",D3,1))))</f>
        <v>0</v>
      </c>
      <c r="AL3" s="42" t="b">
        <f t="shared" ref="AL3:AS3" si="2">NOT(AND(ISERROR(FIND("CONV",E3,1)),ISERROR(FIND("conv",E3,1))))</f>
        <v>0</v>
      </c>
      <c r="AM3" s="42" t="b">
        <f t="shared" si="2"/>
        <v>0</v>
      </c>
      <c r="AN3" s="42" t="b">
        <f t="shared" si="2"/>
        <v>0</v>
      </c>
      <c r="AO3" s="42" t="b">
        <f t="shared" si="2"/>
        <v>0</v>
      </c>
      <c r="AP3" s="42" t="b">
        <f t="shared" si="2"/>
        <v>0</v>
      </c>
      <c r="AQ3" s="42" t="b">
        <f t="shared" si="2"/>
        <v>0</v>
      </c>
      <c r="AR3" s="42" t="b">
        <f t="shared" si="2"/>
        <v>0</v>
      </c>
      <c r="AS3" s="42" t="b">
        <f t="shared" si="2"/>
        <v>0</v>
      </c>
    </row>
    <row r="4" spans="1:58" ht="13.5" customHeight="1" thickBot="1">
      <c r="A4" s="1145"/>
      <c r="B4" s="3934" t="s">
        <v>148</v>
      </c>
      <c r="C4" s="2584" t="s">
        <v>471</v>
      </c>
      <c r="D4" s="2465"/>
      <c r="E4" s="2466"/>
      <c r="F4" s="2466"/>
      <c r="G4" s="2466"/>
      <c r="H4" s="2466"/>
      <c r="I4" s="2466"/>
      <c r="J4" s="2466"/>
      <c r="K4" s="2466"/>
      <c r="L4" s="2466"/>
      <c r="M4" s="5874">
        <f>SUM(Q4:Y4)</f>
        <v>0</v>
      </c>
      <c r="N4" s="5874">
        <f>SUM(AA4:AI4)</f>
        <v>0</v>
      </c>
      <c r="O4" s="5874">
        <f>SUM(AK4:AS4)</f>
        <v>0</v>
      </c>
      <c r="P4" s="400"/>
      <c r="Q4" s="5868">
        <f t="shared" ref="Q4:Y4" si="3">IF(Q$3,ROUND(D4,0),0)</f>
        <v>0</v>
      </c>
      <c r="R4" s="5868">
        <f t="shared" si="3"/>
        <v>0</v>
      </c>
      <c r="S4" s="5868">
        <f t="shared" si="3"/>
        <v>0</v>
      </c>
      <c r="T4" s="5868">
        <f t="shared" si="3"/>
        <v>0</v>
      </c>
      <c r="U4" s="5868">
        <f t="shared" si="3"/>
        <v>0</v>
      </c>
      <c r="V4" s="5868">
        <f t="shared" si="3"/>
        <v>0</v>
      </c>
      <c r="W4" s="5868">
        <f t="shared" si="3"/>
        <v>0</v>
      </c>
      <c r="X4" s="5868">
        <f t="shared" si="3"/>
        <v>0</v>
      </c>
      <c r="Y4" s="5868">
        <f t="shared" si="3"/>
        <v>0</v>
      </c>
      <c r="Z4" s="4823"/>
      <c r="AA4" s="5868">
        <f>IF(AA$3,ROUND(D4,0),0)</f>
        <v>0</v>
      </c>
      <c r="AB4" s="5868">
        <f>IF(AB$3,ROUND(E4,0),0)</f>
        <v>0</v>
      </c>
      <c r="AC4" s="5868">
        <f t="shared" ref="AC4:AI5" si="4">IF(AC$3,ROUND(F4,0),0)</f>
        <v>0</v>
      </c>
      <c r="AD4" s="5868">
        <f t="shared" si="4"/>
        <v>0</v>
      </c>
      <c r="AE4" s="5868">
        <f t="shared" si="4"/>
        <v>0</v>
      </c>
      <c r="AF4" s="5868">
        <f t="shared" si="4"/>
        <v>0</v>
      </c>
      <c r="AG4" s="5868">
        <f t="shared" si="4"/>
        <v>0</v>
      </c>
      <c r="AH4" s="5868">
        <f t="shared" si="4"/>
        <v>0</v>
      </c>
      <c r="AI4" s="5868">
        <f t="shared" si="4"/>
        <v>0</v>
      </c>
      <c r="AJ4" s="4823"/>
      <c r="AK4" s="5868">
        <f>IF(AK$3,ROUND(D4,0),0)</f>
        <v>0</v>
      </c>
      <c r="AL4" s="5868">
        <f t="shared" ref="AL4:AS4" si="5">IF(AL$3,ROUND(E4,0),0)</f>
        <v>0</v>
      </c>
      <c r="AM4" s="5868">
        <f t="shared" si="5"/>
        <v>0</v>
      </c>
      <c r="AN4" s="5868">
        <f t="shared" si="5"/>
        <v>0</v>
      </c>
      <c r="AO4" s="5868">
        <f t="shared" si="5"/>
        <v>0</v>
      </c>
      <c r="AP4" s="5868">
        <f t="shared" si="5"/>
        <v>0</v>
      </c>
      <c r="AQ4" s="5868">
        <f t="shared" si="5"/>
        <v>0</v>
      </c>
      <c r="AR4" s="5868">
        <f t="shared" si="5"/>
        <v>0</v>
      </c>
      <c r="AS4" s="5868">
        <f t="shared" si="5"/>
        <v>0</v>
      </c>
    </row>
    <row r="5" spans="1:58" ht="13.5" customHeight="1">
      <c r="A5" s="1145"/>
      <c r="B5" s="453" t="s">
        <v>341</v>
      </c>
      <c r="C5" s="2578" t="s">
        <v>280</v>
      </c>
      <c r="D5" s="2467"/>
      <c r="E5" s="2468"/>
      <c r="F5" s="2468"/>
      <c r="G5" s="2468"/>
      <c r="H5" s="2468"/>
      <c r="I5" s="2468"/>
      <c r="J5" s="2468"/>
      <c r="K5" s="2468"/>
      <c r="L5" s="2468"/>
      <c r="M5" s="5870">
        <f>SUM(Q5:Y5)</f>
        <v>0</v>
      </c>
      <c r="N5" s="5870">
        <f>SUM(AA5:AI5)</f>
        <v>0</v>
      </c>
      <c r="O5" s="5874">
        <f>SUM(AK5:AS5)</f>
        <v>0</v>
      </c>
      <c r="P5" s="400"/>
      <c r="Q5" s="5868">
        <f t="shared" ref="Q5:Y24" si="6">IF(Q$3,ROUND(D5,0),0)</f>
        <v>0</v>
      </c>
      <c r="R5" s="5868">
        <f t="shared" si="6"/>
        <v>0</v>
      </c>
      <c r="S5" s="5868">
        <f t="shared" si="6"/>
        <v>0</v>
      </c>
      <c r="T5" s="5868">
        <f t="shared" si="6"/>
        <v>0</v>
      </c>
      <c r="U5" s="5868">
        <f t="shared" si="6"/>
        <v>0</v>
      </c>
      <c r="V5" s="5868">
        <f t="shared" si="6"/>
        <v>0</v>
      </c>
      <c r="W5" s="5868">
        <f t="shared" si="6"/>
        <v>0</v>
      </c>
      <c r="X5" s="5868">
        <f t="shared" si="6"/>
        <v>0</v>
      </c>
      <c r="Y5" s="5868">
        <f t="shared" si="6"/>
        <v>0</v>
      </c>
      <c r="Z5" s="4823"/>
      <c r="AA5" s="5868">
        <f t="shared" ref="AA5:AI24" si="7">IF(AA$3,ROUND(D5,0),0)</f>
        <v>0</v>
      </c>
      <c r="AB5" s="5868">
        <f t="shared" si="7"/>
        <v>0</v>
      </c>
      <c r="AC5" s="5868">
        <f t="shared" si="4"/>
        <v>0</v>
      </c>
      <c r="AD5" s="5868">
        <f t="shared" si="4"/>
        <v>0</v>
      </c>
      <c r="AE5" s="5868">
        <f t="shared" si="4"/>
        <v>0</v>
      </c>
      <c r="AF5" s="5868">
        <f t="shared" si="4"/>
        <v>0</v>
      </c>
      <c r="AG5" s="5868">
        <f t="shared" si="4"/>
        <v>0</v>
      </c>
      <c r="AH5" s="5868">
        <f t="shared" si="4"/>
        <v>0</v>
      </c>
      <c r="AI5" s="5868">
        <f t="shared" si="4"/>
        <v>0</v>
      </c>
      <c r="AJ5" s="4823"/>
      <c r="AK5" s="5868">
        <f>IF(AK$3,ROUND(D5,0),0)</f>
        <v>0</v>
      </c>
      <c r="AL5" s="5868">
        <f t="shared" ref="AL5:AS5" si="8">IF(AL$3,ROUND(E5,0),0)</f>
        <v>0</v>
      </c>
      <c r="AM5" s="5868">
        <f t="shared" si="8"/>
        <v>0</v>
      </c>
      <c r="AN5" s="5868">
        <f t="shared" si="8"/>
        <v>0</v>
      </c>
      <c r="AO5" s="5868">
        <f t="shared" si="8"/>
        <v>0</v>
      </c>
      <c r="AP5" s="5868">
        <f t="shared" si="8"/>
        <v>0</v>
      </c>
      <c r="AQ5" s="5868">
        <f t="shared" si="8"/>
        <v>0</v>
      </c>
      <c r="AR5" s="5868">
        <f t="shared" si="8"/>
        <v>0</v>
      </c>
      <c r="AS5" s="5868">
        <f t="shared" si="8"/>
        <v>0</v>
      </c>
    </row>
    <row r="6" spans="1:58" ht="13.5" customHeight="1">
      <c r="A6" s="1145"/>
      <c r="B6" s="1155" t="s">
        <v>342</v>
      </c>
      <c r="C6" s="1156" t="s">
        <v>3050</v>
      </c>
      <c r="D6" s="2467"/>
      <c r="E6" s="2468"/>
      <c r="F6" s="2468"/>
      <c r="G6" s="2469"/>
      <c r="H6" s="2469"/>
      <c r="I6" s="2469"/>
      <c r="J6" s="2469"/>
      <c r="K6" s="2469"/>
      <c r="L6" s="2470"/>
      <c r="M6" s="1159" t="str">
        <f>" - - - -"</f>
        <v xml:space="preserve"> - - - -</v>
      </c>
      <c r="N6" s="1159" t="str">
        <f>" - - - -"</f>
        <v xml:space="preserve"> - - - -</v>
      </c>
      <c r="O6" s="1159" t="str">
        <f>" - - - -"</f>
        <v xml:space="preserve"> - - - -</v>
      </c>
      <c r="P6" s="400"/>
      <c r="Q6" s="5868"/>
      <c r="R6" s="5868"/>
      <c r="S6" s="5868"/>
      <c r="T6" s="5868"/>
      <c r="U6" s="5868"/>
      <c r="V6" s="5868"/>
      <c r="W6" s="5868"/>
      <c r="X6" s="5868"/>
      <c r="Y6" s="5868"/>
      <c r="Z6" s="4823"/>
      <c r="AA6" s="5868"/>
      <c r="AB6" s="5868"/>
      <c r="AC6" s="5868"/>
      <c r="AD6" s="5868"/>
      <c r="AE6" s="5868"/>
      <c r="AF6" s="5868"/>
      <c r="AG6" s="5868"/>
      <c r="AH6" s="5868"/>
      <c r="AI6" s="5868"/>
      <c r="AJ6" s="4823"/>
      <c r="AK6" s="5868"/>
      <c r="AL6" s="5868"/>
      <c r="AM6" s="5868"/>
      <c r="AN6" s="5868"/>
      <c r="AO6" s="5868"/>
      <c r="AP6" s="5868"/>
      <c r="AQ6" s="5868"/>
      <c r="AR6" s="5868"/>
      <c r="AS6" s="5868"/>
    </row>
    <row r="7" spans="1:58" ht="13.5" customHeight="1">
      <c r="A7" s="1145"/>
      <c r="B7" s="6046" t="s">
        <v>150</v>
      </c>
      <c r="C7" s="1156" t="s">
        <v>3279</v>
      </c>
      <c r="D7" s="2467"/>
      <c r="E7" s="2468"/>
      <c r="F7" s="2468"/>
      <c r="G7" s="2469"/>
      <c r="H7" s="2469"/>
      <c r="I7" s="2469"/>
      <c r="J7" s="2469"/>
      <c r="K7" s="2469"/>
      <c r="L7" s="2470"/>
      <c r="M7" s="5870">
        <f>SUM(Q7:Y7)</f>
        <v>0</v>
      </c>
      <c r="N7" s="5870">
        <f>SUM(AA7:AI7)</f>
        <v>0</v>
      </c>
      <c r="O7" s="5870">
        <f>SUM(AK7:AS7)</f>
        <v>0</v>
      </c>
      <c r="P7" s="400"/>
      <c r="Q7" s="5868">
        <f t="shared" si="6"/>
        <v>0</v>
      </c>
      <c r="R7" s="5868">
        <f t="shared" si="6"/>
        <v>0</v>
      </c>
      <c r="S7" s="5868">
        <f t="shared" si="6"/>
        <v>0</v>
      </c>
      <c r="T7" s="5868">
        <f t="shared" si="6"/>
        <v>0</v>
      </c>
      <c r="U7" s="5868">
        <f t="shared" si="6"/>
        <v>0</v>
      </c>
      <c r="V7" s="5868">
        <f t="shared" si="6"/>
        <v>0</v>
      </c>
      <c r="W7" s="5868">
        <f t="shared" si="6"/>
        <v>0</v>
      </c>
      <c r="X7" s="5868">
        <f t="shared" si="6"/>
        <v>0</v>
      </c>
      <c r="Y7" s="5868">
        <f t="shared" si="6"/>
        <v>0</v>
      </c>
      <c r="Z7" s="4823"/>
      <c r="AA7" s="5868">
        <f t="shared" si="7"/>
        <v>0</v>
      </c>
      <c r="AB7" s="5868">
        <f t="shared" si="7"/>
        <v>0</v>
      </c>
      <c r="AC7" s="5868">
        <f t="shared" si="7"/>
        <v>0</v>
      </c>
      <c r="AD7" s="5868">
        <f t="shared" si="7"/>
        <v>0</v>
      </c>
      <c r="AE7" s="5868">
        <f t="shared" si="7"/>
        <v>0</v>
      </c>
      <c r="AF7" s="5868">
        <f t="shared" si="7"/>
        <v>0</v>
      </c>
      <c r="AG7" s="5868">
        <f t="shared" si="7"/>
        <v>0</v>
      </c>
      <c r="AH7" s="5868">
        <f t="shared" si="7"/>
        <v>0</v>
      </c>
      <c r="AI7" s="5868">
        <f t="shared" si="7"/>
        <v>0</v>
      </c>
      <c r="AJ7" s="4823"/>
      <c r="AK7" s="5868">
        <f t="shared" ref="AK7:AS12" si="9">IF(AK$3,ROUND(D7,0),0)</f>
        <v>0</v>
      </c>
      <c r="AL7" s="5868">
        <f t="shared" si="9"/>
        <v>0</v>
      </c>
      <c r="AM7" s="5868">
        <f t="shared" si="9"/>
        <v>0</v>
      </c>
      <c r="AN7" s="5868">
        <f t="shared" si="9"/>
        <v>0</v>
      </c>
      <c r="AO7" s="5868">
        <f t="shared" si="9"/>
        <v>0</v>
      </c>
      <c r="AP7" s="5868">
        <f t="shared" si="9"/>
        <v>0</v>
      </c>
      <c r="AQ7" s="5868">
        <f t="shared" si="9"/>
        <v>0</v>
      </c>
      <c r="AR7" s="5868">
        <f t="shared" si="9"/>
        <v>0</v>
      </c>
      <c r="AS7" s="5868">
        <f t="shared" si="9"/>
        <v>0</v>
      </c>
    </row>
    <row r="8" spans="1:58" ht="13.5" customHeight="1">
      <c r="A8" s="1145"/>
      <c r="B8" s="1336" t="s">
        <v>151</v>
      </c>
      <c r="C8" s="2578" t="s">
        <v>164</v>
      </c>
      <c r="D8" s="2467"/>
      <c r="E8" s="2468"/>
      <c r="F8" s="2468"/>
      <c r="G8" s="2469"/>
      <c r="H8" s="2469"/>
      <c r="I8" s="2469"/>
      <c r="J8" s="2469"/>
      <c r="K8" s="2469"/>
      <c r="L8" s="2470"/>
      <c r="M8" s="5870">
        <f>SUM(Q8:Y8)</f>
        <v>0</v>
      </c>
      <c r="N8" s="5870">
        <f>SUM(AA8:AI8)</f>
        <v>0</v>
      </c>
      <c r="O8" s="5870">
        <f>SUM(AK8:AS8)</f>
        <v>0</v>
      </c>
      <c r="P8" s="400"/>
      <c r="Q8" s="5868">
        <f t="shared" si="6"/>
        <v>0</v>
      </c>
      <c r="R8" s="5868">
        <f t="shared" si="6"/>
        <v>0</v>
      </c>
      <c r="S8" s="5868">
        <f t="shared" si="6"/>
        <v>0</v>
      </c>
      <c r="T8" s="5868">
        <f t="shared" si="6"/>
        <v>0</v>
      </c>
      <c r="U8" s="5868">
        <f t="shared" si="6"/>
        <v>0</v>
      </c>
      <c r="V8" s="5868">
        <f t="shared" si="6"/>
        <v>0</v>
      </c>
      <c r="W8" s="5868">
        <f t="shared" si="6"/>
        <v>0</v>
      </c>
      <c r="X8" s="5868">
        <f t="shared" si="6"/>
        <v>0</v>
      </c>
      <c r="Y8" s="5868">
        <f t="shared" si="6"/>
        <v>0</v>
      </c>
      <c r="Z8" s="4823"/>
      <c r="AA8" s="5868">
        <f t="shared" si="7"/>
        <v>0</v>
      </c>
      <c r="AB8" s="5868">
        <f t="shared" si="7"/>
        <v>0</v>
      </c>
      <c r="AC8" s="5868">
        <f t="shared" si="7"/>
        <v>0</v>
      </c>
      <c r="AD8" s="5868">
        <f t="shared" si="7"/>
        <v>0</v>
      </c>
      <c r="AE8" s="5868">
        <f t="shared" si="7"/>
        <v>0</v>
      </c>
      <c r="AF8" s="5868">
        <f t="shared" si="7"/>
        <v>0</v>
      </c>
      <c r="AG8" s="5868">
        <f t="shared" si="7"/>
        <v>0</v>
      </c>
      <c r="AH8" s="5868">
        <f t="shared" si="7"/>
        <v>0</v>
      </c>
      <c r="AI8" s="5868">
        <f t="shared" si="7"/>
        <v>0</v>
      </c>
      <c r="AJ8" s="4823"/>
      <c r="AK8" s="5868">
        <f t="shared" si="9"/>
        <v>0</v>
      </c>
      <c r="AL8" s="5868">
        <f t="shared" si="9"/>
        <v>0</v>
      </c>
      <c r="AM8" s="5868">
        <f t="shared" si="9"/>
        <v>0</v>
      </c>
      <c r="AN8" s="5868">
        <f t="shared" si="9"/>
        <v>0</v>
      </c>
      <c r="AO8" s="5868">
        <f t="shared" si="9"/>
        <v>0</v>
      </c>
      <c r="AP8" s="5868">
        <f t="shared" si="9"/>
        <v>0</v>
      </c>
      <c r="AQ8" s="5868">
        <f t="shared" si="9"/>
        <v>0</v>
      </c>
      <c r="AR8" s="5868">
        <f t="shared" si="9"/>
        <v>0</v>
      </c>
      <c r="AS8" s="5868">
        <f t="shared" si="9"/>
        <v>0</v>
      </c>
    </row>
    <row r="9" spans="1:58" ht="27" customHeight="1">
      <c r="A9" s="1145"/>
      <c r="B9" s="3935" t="s">
        <v>200</v>
      </c>
      <c r="C9" s="1158" t="s">
        <v>705</v>
      </c>
      <c r="D9" s="5113"/>
      <c r="E9" s="5114"/>
      <c r="F9" s="5114"/>
      <c r="G9" s="5114"/>
      <c r="H9" s="5114"/>
      <c r="I9" s="5114"/>
      <c r="J9" s="5114"/>
      <c r="K9" s="5114"/>
      <c r="L9" s="5115"/>
      <c r="M9" s="5870">
        <f>SUM(Q9:Y9)</f>
        <v>0</v>
      </c>
      <c r="N9" s="5870">
        <f>SUM(AA9:AI9)</f>
        <v>0</v>
      </c>
      <c r="O9" s="5870">
        <f>SUM(AK9:AS9)</f>
        <v>0</v>
      </c>
      <c r="P9" s="128"/>
      <c r="Q9" s="5868">
        <f t="shared" si="6"/>
        <v>0</v>
      </c>
      <c r="R9" s="5868">
        <f t="shared" si="6"/>
        <v>0</v>
      </c>
      <c r="S9" s="5868">
        <f t="shared" si="6"/>
        <v>0</v>
      </c>
      <c r="T9" s="5868">
        <f t="shared" si="6"/>
        <v>0</v>
      </c>
      <c r="U9" s="5868">
        <f t="shared" si="6"/>
        <v>0</v>
      </c>
      <c r="V9" s="5868">
        <f t="shared" si="6"/>
        <v>0</v>
      </c>
      <c r="W9" s="5868">
        <f t="shared" si="6"/>
        <v>0</v>
      </c>
      <c r="X9" s="5868">
        <f t="shared" si="6"/>
        <v>0</v>
      </c>
      <c r="Y9" s="5868">
        <f t="shared" si="6"/>
        <v>0</v>
      </c>
      <c r="Z9" s="128"/>
      <c r="AA9" s="5868">
        <f t="shared" si="7"/>
        <v>0</v>
      </c>
      <c r="AB9" s="5868">
        <f t="shared" si="7"/>
        <v>0</v>
      </c>
      <c r="AC9" s="5868">
        <f t="shared" si="7"/>
        <v>0</v>
      </c>
      <c r="AD9" s="5868">
        <f t="shared" si="7"/>
        <v>0</v>
      </c>
      <c r="AE9" s="5868">
        <f t="shared" si="7"/>
        <v>0</v>
      </c>
      <c r="AF9" s="5868">
        <f t="shared" si="7"/>
        <v>0</v>
      </c>
      <c r="AG9" s="5868">
        <f t="shared" si="7"/>
        <v>0</v>
      </c>
      <c r="AH9" s="5868">
        <f t="shared" si="7"/>
        <v>0</v>
      </c>
      <c r="AI9" s="5868">
        <f t="shared" si="7"/>
        <v>0</v>
      </c>
      <c r="AJ9" s="128"/>
      <c r="AK9" s="5868">
        <f t="shared" si="9"/>
        <v>0</v>
      </c>
      <c r="AL9" s="5868">
        <f t="shared" si="9"/>
        <v>0</v>
      </c>
      <c r="AM9" s="5868">
        <f t="shared" si="9"/>
        <v>0</v>
      </c>
      <c r="AN9" s="5868">
        <f t="shared" si="9"/>
        <v>0</v>
      </c>
      <c r="AO9" s="5868">
        <f t="shared" si="9"/>
        <v>0</v>
      </c>
      <c r="AP9" s="5868">
        <f t="shared" si="9"/>
        <v>0</v>
      </c>
      <c r="AQ9" s="5868">
        <f t="shared" si="9"/>
        <v>0</v>
      </c>
      <c r="AR9" s="5868">
        <f t="shared" si="9"/>
        <v>0</v>
      </c>
      <c r="AS9" s="5868">
        <f t="shared" si="9"/>
        <v>0</v>
      </c>
    </row>
    <row r="10" spans="1:58">
      <c r="A10" s="1145"/>
      <c r="B10" s="6046" t="s">
        <v>101</v>
      </c>
      <c r="C10" s="1156" t="s">
        <v>100</v>
      </c>
      <c r="D10" s="2467"/>
      <c r="E10" s="2468"/>
      <c r="F10" s="2468"/>
      <c r="G10" s="2469"/>
      <c r="H10" s="2469"/>
      <c r="I10" s="2469"/>
      <c r="J10" s="2469"/>
      <c r="K10" s="2469"/>
      <c r="L10" s="2470"/>
      <c r="M10" s="5870">
        <f>SUM(Q10:Y10)</f>
        <v>0</v>
      </c>
      <c r="N10" s="5870">
        <f>SUM(AA10:AI10)</f>
        <v>0</v>
      </c>
      <c r="O10" s="5870">
        <f>SUM(AK10:AS10)</f>
        <v>0</v>
      </c>
      <c r="P10" s="128"/>
      <c r="Q10" s="5868">
        <f t="shared" si="6"/>
        <v>0</v>
      </c>
      <c r="R10" s="5868">
        <f t="shared" si="6"/>
        <v>0</v>
      </c>
      <c r="S10" s="5868">
        <f t="shared" si="6"/>
        <v>0</v>
      </c>
      <c r="T10" s="5868">
        <f t="shared" si="6"/>
        <v>0</v>
      </c>
      <c r="U10" s="5868">
        <f t="shared" si="6"/>
        <v>0</v>
      </c>
      <c r="V10" s="5868">
        <f t="shared" si="6"/>
        <v>0</v>
      </c>
      <c r="W10" s="5868">
        <f t="shared" si="6"/>
        <v>0</v>
      </c>
      <c r="X10" s="5868">
        <f t="shared" si="6"/>
        <v>0</v>
      </c>
      <c r="Y10" s="5868">
        <f t="shared" si="6"/>
        <v>0</v>
      </c>
      <c r="Z10" s="128"/>
      <c r="AA10" s="5868">
        <f t="shared" si="7"/>
        <v>0</v>
      </c>
      <c r="AB10" s="5868">
        <f t="shared" si="7"/>
        <v>0</v>
      </c>
      <c r="AC10" s="5868">
        <f t="shared" si="7"/>
        <v>0</v>
      </c>
      <c r="AD10" s="5868">
        <f t="shared" si="7"/>
        <v>0</v>
      </c>
      <c r="AE10" s="5868">
        <f t="shared" si="7"/>
        <v>0</v>
      </c>
      <c r="AF10" s="5868">
        <f t="shared" si="7"/>
        <v>0</v>
      </c>
      <c r="AG10" s="5868">
        <f t="shared" si="7"/>
        <v>0</v>
      </c>
      <c r="AH10" s="5868">
        <f t="shared" si="7"/>
        <v>0</v>
      </c>
      <c r="AI10" s="5868">
        <f t="shared" si="7"/>
        <v>0</v>
      </c>
      <c r="AJ10" s="128"/>
      <c r="AK10" s="5868">
        <f t="shared" si="9"/>
        <v>0</v>
      </c>
      <c r="AL10" s="5868">
        <f t="shared" si="9"/>
        <v>0</v>
      </c>
      <c r="AM10" s="5868">
        <f t="shared" si="9"/>
        <v>0</v>
      </c>
      <c r="AN10" s="5868">
        <f t="shared" si="9"/>
        <v>0</v>
      </c>
      <c r="AO10" s="5868">
        <f t="shared" si="9"/>
        <v>0</v>
      </c>
      <c r="AP10" s="5868">
        <f t="shared" si="9"/>
        <v>0</v>
      </c>
      <c r="AQ10" s="5868">
        <f t="shared" si="9"/>
        <v>0</v>
      </c>
      <c r="AR10" s="5868">
        <f t="shared" si="9"/>
        <v>0</v>
      </c>
      <c r="AS10" s="5868">
        <f t="shared" si="9"/>
        <v>0</v>
      </c>
    </row>
    <row r="11" spans="1:58">
      <c r="A11" s="1145"/>
      <c r="B11" s="6046" t="s">
        <v>102</v>
      </c>
      <c r="C11" s="1156" t="s">
        <v>2273</v>
      </c>
      <c r="D11" s="2883"/>
      <c r="E11" s="2884"/>
      <c r="F11" s="2884"/>
      <c r="G11" s="2885"/>
      <c r="H11" s="2885"/>
      <c r="I11" s="2885"/>
      <c r="J11" s="2885"/>
      <c r="K11" s="2885"/>
      <c r="L11" s="2886"/>
      <c r="M11" s="2481" t="str">
        <f>" - - - -"</f>
        <v xml:space="preserve"> - - - -</v>
      </c>
      <c r="N11" s="2481" t="str">
        <f>" - - - -"</f>
        <v xml:space="preserve"> - - - -</v>
      </c>
      <c r="O11" s="2481" t="str">
        <f>" - - - -"</f>
        <v xml:space="preserve"> - - - -</v>
      </c>
      <c r="P11" s="128"/>
      <c r="Q11" s="5868"/>
      <c r="R11" s="5868"/>
      <c r="S11" s="5868"/>
      <c r="T11" s="5868"/>
      <c r="U11" s="5868"/>
      <c r="V11" s="5868"/>
      <c r="W11" s="5868"/>
      <c r="X11" s="5868"/>
      <c r="Y11" s="5868"/>
      <c r="Z11" s="128"/>
      <c r="AA11" s="5868"/>
      <c r="AB11" s="5868"/>
      <c r="AC11" s="5868"/>
      <c r="AD11" s="5868"/>
      <c r="AE11" s="5868"/>
      <c r="AF11" s="5868"/>
      <c r="AG11" s="5868"/>
      <c r="AH11" s="5868"/>
      <c r="AI11" s="5868"/>
      <c r="AJ11" s="128"/>
      <c r="AK11" s="5868">
        <f t="shared" si="9"/>
        <v>0</v>
      </c>
      <c r="AL11" s="5868">
        <f t="shared" si="9"/>
        <v>0</v>
      </c>
      <c r="AM11" s="5868">
        <f t="shared" si="9"/>
        <v>0</v>
      </c>
      <c r="AN11" s="5868">
        <f t="shared" si="9"/>
        <v>0</v>
      </c>
      <c r="AO11" s="5868">
        <f t="shared" si="9"/>
        <v>0</v>
      </c>
      <c r="AP11" s="5868">
        <f t="shared" si="9"/>
        <v>0</v>
      </c>
      <c r="AQ11" s="5868">
        <f t="shared" si="9"/>
        <v>0</v>
      </c>
      <c r="AR11" s="5868">
        <f t="shared" si="9"/>
        <v>0</v>
      </c>
      <c r="AS11" s="5868">
        <f t="shared" si="9"/>
        <v>0</v>
      </c>
    </row>
    <row r="12" spans="1:58">
      <c r="A12" s="1145"/>
      <c r="B12" s="6046" t="s">
        <v>103</v>
      </c>
      <c r="C12" s="1156" t="s">
        <v>402</v>
      </c>
      <c r="D12" s="2467"/>
      <c r="E12" s="2468"/>
      <c r="F12" s="2468"/>
      <c r="G12" s="2469"/>
      <c r="H12" s="2469"/>
      <c r="I12" s="2469"/>
      <c r="J12" s="2469"/>
      <c r="K12" s="2469"/>
      <c r="L12" s="2470"/>
      <c r="M12" s="5870">
        <f>SUM(Q12:Y12)</f>
        <v>0</v>
      </c>
      <c r="N12" s="5870">
        <f t="shared" ref="N12:N19" si="10">SUM(AA12:AI12)</f>
        <v>0</v>
      </c>
      <c r="O12" s="5870">
        <f t="shared" ref="O12:O19" si="11">SUM(AK12:AS12)</f>
        <v>0</v>
      </c>
      <c r="P12" s="128"/>
      <c r="Q12" s="5868">
        <f t="shared" si="6"/>
        <v>0</v>
      </c>
      <c r="R12" s="5868">
        <f t="shared" si="6"/>
        <v>0</v>
      </c>
      <c r="S12" s="5868">
        <f t="shared" si="6"/>
        <v>0</v>
      </c>
      <c r="T12" s="5868">
        <f t="shared" si="6"/>
        <v>0</v>
      </c>
      <c r="U12" s="5868">
        <f t="shared" si="6"/>
        <v>0</v>
      </c>
      <c r="V12" s="5868">
        <f t="shared" si="6"/>
        <v>0</v>
      </c>
      <c r="W12" s="5868">
        <f t="shared" si="6"/>
        <v>0</v>
      </c>
      <c r="X12" s="5868">
        <f t="shared" si="6"/>
        <v>0</v>
      </c>
      <c r="Y12" s="5868">
        <f t="shared" si="6"/>
        <v>0</v>
      </c>
      <c r="Z12" s="128"/>
      <c r="AA12" s="5868">
        <f t="shared" si="7"/>
        <v>0</v>
      </c>
      <c r="AB12" s="5868">
        <f t="shared" si="7"/>
        <v>0</v>
      </c>
      <c r="AC12" s="5868">
        <f t="shared" si="7"/>
        <v>0</v>
      </c>
      <c r="AD12" s="5868">
        <f t="shared" si="7"/>
        <v>0</v>
      </c>
      <c r="AE12" s="5868">
        <f t="shared" si="7"/>
        <v>0</v>
      </c>
      <c r="AF12" s="5868">
        <f t="shared" si="7"/>
        <v>0</v>
      </c>
      <c r="AG12" s="5868">
        <f t="shared" si="7"/>
        <v>0</v>
      </c>
      <c r="AH12" s="5868">
        <f t="shared" si="7"/>
        <v>0</v>
      </c>
      <c r="AI12" s="5868">
        <f t="shared" si="7"/>
        <v>0</v>
      </c>
      <c r="AJ12" s="128"/>
      <c r="AK12" s="5868">
        <f t="shared" si="9"/>
        <v>0</v>
      </c>
      <c r="AL12" s="5868">
        <f t="shared" si="9"/>
        <v>0</v>
      </c>
      <c r="AM12" s="5868">
        <f t="shared" si="9"/>
        <v>0</v>
      </c>
      <c r="AN12" s="5868">
        <f t="shared" si="9"/>
        <v>0</v>
      </c>
      <c r="AO12" s="5868">
        <f t="shared" si="9"/>
        <v>0</v>
      </c>
      <c r="AP12" s="5868">
        <f t="shared" si="9"/>
        <v>0</v>
      </c>
      <c r="AQ12" s="5868">
        <f t="shared" si="9"/>
        <v>0</v>
      </c>
      <c r="AR12" s="5868">
        <f t="shared" si="9"/>
        <v>0</v>
      </c>
      <c r="AS12" s="5868">
        <f t="shared" si="9"/>
        <v>0</v>
      </c>
      <c r="AU12" s="2601"/>
    </row>
    <row r="13" spans="1:58">
      <c r="A13" s="1145"/>
      <c r="B13" s="1155" t="s">
        <v>285</v>
      </c>
      <c r="C13" s="1156" t="s">
        <v>287</v>
      </c>
      <c r="D13" s="2473"/>
      <c r="E13" s="2474"/>
      <c r="F13" s="2474"/>
      <c r="G13" s="2475"/>
      <c r="H13" s="2475"/>
      <c r="I13" s="2475"/>
      <c r="J13" s="2475"/>
      <c r="K13" s="2475"/>
      <c r="L13" s="2476"/>
      <c r="M13" s="2482">
        <f>SUM(Q13:Y13)</f>
        <v>0</v>
      </c>
      <c r="N13" s="2482">
        <f t="shared" si="10"/>
        <v>0</v>
      </c>
      <c r="O13" s="2482">
        <f t="shared" si="11"/>
        <v>0</v>
      </c>
      <c r="P13" s="128"/>
      <c r="Q13" s="5869">
        <f t="shared" ref="Q13:Y13" si="12">IF(Q3,D13,0)</f>
        <v>0</v>
      </c>
      <c r="R13" s="5869">
        <f t="shared" si="12"/>
        <v>0</v>
      </c>
      <c r="S13" s="5869">
        <f t="shared" si="12"/>
        <v>0</v>
      </c>
      <c r="T13" s="5869">
        <f t="shared" si="12"/>
        <v>0</v>
      </c>
      <c r="U13" s="5869">
        <f t="shared" si="12"/>
        <v>0</v>
      </c>
      <c r="V13" s="5869">
        <f t="shared" si="12"/>
        <v>0</v>
      </c>
      <c r="W13" s="5869">
        <f t="shared" si="12"/>
        <v>0</v>
      </c>
      <c r="X13" s="5869">
        <f t="shared" si="12"/>
        <v>0</v>
      </c>
      <c r="Y13" s="5869">
        <f t="shared" si="12"/>
        <v>0</v>
      </c>
      <c r="Z13" s="128"/>
      <c r="AA13" s="5869">
        <f t="shared" ref="AA13:AI13" si="13">IF(AA3,D13,0)</f>
        <v>0</v>
      </c>
      <c r="AB13" s="5869">
        <f t="shared" si="13"/>
        <v>0</v>
      </c>
      <c r="AC13" s="5869">
        <f t="shared" si="13"/>
        <v>0</v>
      </c>
      <c r="AD13" s="5869">
        <f t="shared" si="13"/>
        <v>0</v>
      </c>
      <c r="AE13" s="5869">
        <f t="shared" si="13"/>
        <v>0</v>
      </c>
      <c r="AF13" s="5869">
        <f t="shared" si="13"/>
        <v>0</v>
      </c>
      <c r="AG13" s="5869">
        <f t="shared" si="13"/>
        <v>0</v>
      </c>
      <c r="AH13" s="5869">
        <f t="shared" si="13"/>
        <v>0</v>
      </c>
      <c r="AI13" s="5869">
        <f t="shared" si="13"/>
        <v>0</v>
      </c>
      <c r="AJ13" s="128"/>
      <c r="AK13" s="5869">
        <f t="shared" ref="AK13:AS13" si="14">IF(AK3,D13,0)</f>
        <v>0</v>
      </c>
      <c r="AL13" s="5869">
        <f t="shared" si="14"/>
        <v>0</v>
      </c>
      <c r="AM13" s="5869">
        <f t="shared" si="14"/>
        <v>0</v>
      </c>
      <c r="AN13" s="5869">
        <f t="shared" si="14"/>
        <v>0</v>
      </c>
      <c r="AO13" s="5869">
        <f t="shared" si="14"/>
        <v>0</v>
      </c>
      <c r="AP13" s="5869">
        <f t="shared" si="14"/>
        <v>0</v>
      </c>
      <c r="AQ13" s="5869">
        <f t="shared" si="14"/>
        <v>0</v>
      </c>
      <c r="AR13" s="5869">
        <f t="shared" si="14"/>
        <v>0</v>
      </c>
      <c r="AS13" s="5869">
        <f t="shared" si="14"/>
        <v>0</v>
      </c>
    </row>
    <row r="14" spans="1:58">
      <c r="A14" s="1145"/>
      <c r="B14" s="1155" t="s">
        <v>286</v>
      </c>
      <c r="C14" s="1156" t="s">
        <v>421</v>
      </c>
      <c r="D14" s="2467"/>
      <c r="E14" s="2468"/>
      <c r="F14" s="2468"/>
      <c r="G14" s="2469"/>
      <c r="H14" s="2469"/>
      <c r="I14" s="2469"/>
      <c r="J14" s="2469"/>
      <c r="K14" s="2469"/>
      <c r="L14" s="2470"/>
      <c r="M14" s="5870">
        <f t="shared" ref="M14:M19" si="15">SUM(Q14:Y14)</f>
        <v>0</v>
      </c>
      <c r="N14" s="5870">
        <f t="shared" si="10"/>
        <v>0</v>
      </c>
      <c r="O14" s="5870">
        <f t="shared" si="11"/>
        <v>0</v>
      </c>
      <c r="P14" s="128"/>
      <c r="Q14" s="5868">
        <f t="shared" si="6"/>
        <v>0</v>
      </c>
      <c r="R14" s="5868">
        <f t="shared" si="6"/>
        <v>0</v>
      </c>
      <c r="S14" s="5868">
        <f t="shared" si="6"/>
        <v>0</v>
      </c>
      <c r="T14" s="5868">
        <f t="shared" si="6"/>
        <v>0</v>
      </c>
      <c r="U14" s="5868">
        <f t="shared" si="6"/>
        <v>0</v>
      </c>
      <c r="V14" s="5868">
        <f t="shared" si="6"/>
        <v>0</v>
      </c>
      <c r="W14" s="5868">
        <f t="shared" si="6"/>
        <v>0</v>
      </c>
      <c r="X14" s="5868">
        <f t="shared" si="6"/>
        <v>0</v>
      </c>
      <c r="Y14" s="5868">
        <f t="shared" si="6"/>
        <v>0</v>
      </c>
      <c r="Z14" s="128"/>
      <c r="AA14" s="5868">
        <f t="shared" si="7"/>
        <v>0</v>
      </c>
      <c r="AB14" s="5868">
        <f t="shared" si="7"/>
        <v>0</v>
      </c>
      <c r="AC14" s="5868">
        <f t="shared" si="7"/>
        <v>0</v>
      </c>
      <c r="AD14" s="5868">
        <f t="shared" si="7"/>
        <v>0</v>
      </c>
      <c r="AE14" s="5868">
        <f t="shared" si="7"/>
        <v>0</v>
      </c>
      <c r="AF14" s="5868">
        <f t="shared" si="7"/>
        <v>0</v>
      </c>
      <c r="AG14" s="5868">
        <f t="shared" si="7"/>
        <v>0</v>
      </c>
      <c r="AH14" s="5868">
        <f t="shared" si="7"/>
        <v>0</v>
      </c>
      <c r="AI14" s="5868">
        <f t="shared" si="7"/>
        <v>0</v>
      </c>
      <c r="AJ14" s="128"/>
      <c r="AK14" s="5868">
        <f t="shared" ref="AK14:AS24" si="16">IF(AK$3,ROUND(D14,0),0)</f>
        <v>0</v>
      </c>
      <c r="AL14" s="5868">
        <f t="shared" si="16"/>
        <v>0</v>
      </c>
      <c r="AM14" s="5868">
        <f t="shared" si="16"/>
        <v>0</v>
      </c>
      <c r="AN14" s="5868">
        <f t="shared" si="16"/>
        <v>0</v>
      </c>
      <c r="AO14" s="5868">
        <f t="shared" si="16"/>
        <v>0</v>
      </c>
      <c r="AP14" s="5868">
        <f t="shared" si="16"/>
        <v>0</v>
      </c>
      <c r="AQ14" s="5868">
        <f t="shared" si="16"/>
        <v>0</v>
      </c>
      <c r="AR14" s="5868">
        <f t="shared" si="16"/>
        <v>0</v>
      </c>
      <c r="AS14" s="5868">
        <f t="shared" si="16"/>
        <v>0</v>
      </c>
      <c r="AU14" s="2601"/>
    </row>
    <row r="15" spans="1:58">
      <c r="A15" s="1145"/>
      <c r="B15" s="6046" t="s">
        <v>105</v>
      </c>
      <c r="C15" s="1156" t="s">
        <v>706</v>
      </c>
      <c r="D15" s="2467"/>
      <c r="E15" s="2468"/>
      <c r="F15" s="2468"/>
      <c r="G15" s="2469"/>
      <c r="H15" s="2469"/>
      <c r="I15" s="2469"/>
      <c r="J15" s="2469"/>
      <c r="K15" s="2469"/>
      <c r="L15" s="2470"/>
      <c r="M15" s="5870">
        <f t="shared" si="15"/>
        <v>0</v>
      </c>
      <c r="N15" s="5870">
        <f t="shared" si="10"/>
        <v>0</v>
      </c>
      <c r="O15" s="5870">
        <f t="shared" si="11"/>
        <v>0</v>
      </c>
      <c r="P15" s="128"/>
      <c r="Q15" s="5868">
        <f t="shared" si="6"/>
        <v>0</v>
      </c>
      <c r="R15" s="5868">
        <f t="shared" si="6"/>
        <v>0</v>
      </c>
      <c r="S15" s="5868">
        <f t="shared" si="6"/>
        <v>0</v>
      </c>
      <c r="T15" s="5868">
        <f t="shared" si="6"/>
        <v>0</v>
      </c>
      <c r="U15" s="5868">
        <f t="shared" si="6"/>
        <v>0</v>
      </c>
      <c r="V15" s="5868">
        <f t="shared" si="6"/>
        <v>0</v>
      </c>
      <c r="W15" s="5868">
        <f t="shared" si="6"/>
        <v>0</v>
      </c>
      <c r="X15" s="5868">
        <f t="shared" si="6"/>
        <v>0</v>
      </c>
      <c r="Y15" s="5868">
        <f t="shared" si="6"/>
        <v>0</v>
      </c>
      <c r="Z15" s="128"/>
      <c r="AA15" s="5868">
        <f t="shared" si="7"/>
        <v>0</v>
      </c>
      <c r="AB15" s="5868">
        <f t="shared" si="7"/>
        <v>0</v>
      </c>
      <c r="AC15" s="5868">
        <f t="shared" si="7"/>
        <v>0</v>
      </c>
      <c r="AD15" s="5868">
        <f t="shared" si="7"/>
        <v>0</v>
      </c>
      <c r="AE15" s="5868">
        <f t="shared" si="7"/>
        <v>0</v>
      </c>
      <c r="AF15" s="5868">
        <f t="shared" si="7"/>
        <v>0</v>
      </c>
      <c r="AG15" s="5868">
        <f t="shared" si="7"/>
        <v>0</v>
      </c>
      <c r="AH15" s="5868">
        <f t="shared" si="7"/>
        <v>0</v>
      </c>
      <c r="AI15" s="5868">
        <f t="shared" si="7"/>
        <v>0</v>
      </c>
      <c r="AJ15" s="128"/>
      <c r="AK15" s="5868">
        <f t="shared" si="16"/>
        <v>0</v>
      </c>
      <c r="AL15" s="5868">
        <f t="shared" si="16"/>
        <v>0</v>
      </c>
      <c r="AM15" s="5868">
        <f t="shared" si="16"/>
        <v>0</v>
      </c>
      <c r="AN15" s="5868">
        <f t="shared" si="16"/>
        <v>0</v>
      </c>
      <c r="AO15" s="5868">
        <f t="shared" si="16"/>
        <v>0</v>
      </c>
      <c r="AP15" s="5868">
        <f t="shared" si="16"/>
        <v>0</v>
      </c>
      <c r="AQ15" s="5868">
        <f t="shared" si="16"/>
        <v>0</v>
      </c>
      <c r="AR15" s="5868">
        <f t="shared" si="16"/>
        <v>0</v>
      </c>
      <c r="AS15" s="5868">
        <f t="shared" si="16"/>
        <v>0</v>
      </c>
    </row>
    <row r="16" spans="1:58">
      <c r="A16" s="1145"/>
      <c r="B16" s="6046" t="s">
        <v>657</v>
      </c>
      <c r="C16" s="1156" t="s">
        <v>707</v>
      </c>
      <c r="D16" s="2467"/>
      <c r="E16" s="2468"/>
      <c r="F16" s="2468"/>
      <c r="G16" s="2469"/>
      <c r="H16" s="2469"/>
      <c r="I16" s="2469"/>
      <c r="J16" s="2469"/>
      <c r="K16" s="2469"/>
      <c r="L16" s="2470"/>
      <c r="M16" s="5870">
        <f t="shared" si="15"/>
        <v>0</v>
      </c>
      <c r="N16" s="5870">
        <f t="shared" si="10"/>
        <v>0</v>
      </c>
      <c r="O16" s="5870">
        <f t="shared" si="11"/>
        <v>0</v>
      </c>
      <c r="P16" s="128"/>
      <c r="Q16" s="5868">
        <f t="shared" si="6"/>
        <v>0</v>
      </c>
      <c r="R16" s="5868">
        <f t="shared" si="6"/>
        <v>0</v>
      </c>
      <c r="S16" s="5868">
        <f t="shared" si="6"/>
        <v>0</v>
      </c>
      <c r="T16" s="5868">
        <f t="shared" si="6"/>
        <v>0</v>
      </c>
      <c r="U16" s="5868">
        <f t="shared" si="6"/>
        <v>0</v>
      </c>
      <c r="V16" s="5868">
        <f t="shared" si="6"/>
        <v>0</v>
      </c>
      <c r="W16" s="5868">
        <f t="shared" si="6"/>
        <v>0</v>
      </c>
      <c r="X16" s="5868">
        <f t="shared" si="6"/>
        <v>0</v>
      </c>
      <c r="Y16" s="5868">
        <f t="shared" si="6"/>
        <v>0</v>
      </c>
      <c r="Z16" s="128"/>
      <c r="AA16" s="5868">
        <f t="shared" si="7"/>
        <v>0</v>
      </c>
      <c r="AB16" s="5868">
        <f t="shared" si="7"/>
        <v>0</v>
      </c>
      <c r="AC16" s="5868">
        <f t="shared" si="7"/>
        <v>0</v>
      </c>
      <c r="AD16" s="5868">
        <f t="shared" si="7"/>
        <v>0</v>
      </c>
      <c r="AE16" s="5868">
        <f t="shared" si="7"/>
        <v>0</v>
      </c>
      <c r="AF16" s="5868">
        <f t="shared" si="7"/>
        <v>0</v>
      </c>
      <c r="AG16" s="5868">
        <f t="shared" si="7"/>
        <v>0</v>
      </c>
      <c r="AH16" s="5868">
        <f t="shared" si="7"/>
        <v>0</v>
      </c>
      <c r="AI16" s="5868">
        <f t="shared" si="7"/>
        <v>0</v>
      </c>
      <c r="AJ16" s="128"/>
      <c r="AK16" s="5868">
        <f t="shared" si="16"/>
        <v>0</v>
      </c>
      <c r="AL16" s="5868">
        <f t="shared" si="16"/>
        <v>0</v>
      </c>
      <c r="AM16" s="5868">
        <f t="shared" si="16"/>
        <v>0</v>
      </c>
      <c r="AN16" s="5868">
        <f t="shared" si="16"/>
        <v>0</v>
      </c>
      <c r="AO16" s="5868">
        <f t="shared" si="16"/>
        <v>0</v>
      </c>
      <c r="AP16" s="5868">
        <f t="shared" si="16"/>
        <v>0</v>
      </c>
      <c r="AQ16" s="5868">
        <f t="shared" si="16"/>
        <v>0</v>
      </c>
      <c r="AR16" s="5868">
        <f t="shared" si="16"/>
        <v>0</v>
      </c>
      <c r="AS16" s="5868">
        <f t="shared" si="16"/>
        <v>0</v>
      </c>
    </row>
    <row r="17" spans="1:45">
      <c r="A17" s="1145"/>
      <c r="B17" s="6046" t="s">
        <v>220</v>
      </c>
      <c r="C17" s="1156" t="s">
        <v>4663</v>
      </c>
      <c r="D17" s="2467"/>
      <c r="E17" s="2468"/>
      <c r="F17" s="2468"/>
      <c r="G17" s="2469"/>
      <c r="H17" s="2469"/>
      <c r="I17" s="2469"/>
      <c r="J17" s="2469"/>
      <c r="K17" s="2469"/>
      <c r="L17" s="2470"/>
      <c r="M17" s="2481" t="str">
        <f t="shared" ref="M17:O18" si="17">" - - - -"</f>
        <v xml:space="preserve"> - - - -</v>
      </c>
      <c r="N17" s="2481" t="str">
        <f t="shared" si="17"/>
        <v xml:space="preserve"> - - - -</v>
      </c>
      <c r="O17" s="2481" t="str">
        <f t="shared" si="17"/>
        <v xml:space="preserve"> - - - -</v>
      </c>
      <c r="P17" s="128"/>
      <c r="Q17" s="5868">
        <f t="shared" si="6"/>
        <v>0</v>
      </c>
      <c r="R17" s="5868">
        <f t="shared" si="6"/>
        <v>0</v>
      </c>
      <c r="S17" s="5868">
        <f t="shared" si="6"/>
        <v>0</v>
      </c>
      <c r="T17" s="5868">
        <f t="shared" si="6"/>
        <v>0</v>
      </c>
      <c r="U17" s="5868">
        <f t="shared" si="6"/>
        <v>0</v>
      </c>
      <c r="V17" s="5868">
        <f t="shared" si="6"/>
        <v>0</v>
      </c>
      <c r="W17" s="5868">
        <f t="shared" si="6"/>
        <v>0</v>
      </c>
      <c r="X17" s="5868">
        <f t="shared" si="6"/>
        <v>0</v>
      </c>
      <c r="Y17" s="5868">
        <f t="shared" si="6"/>
        <v>0</v>
      </c>
      <c r="Z17" s="128"/>
      <c r="AA17" s="5868">
        <f t="shared" si="7"/>
        <v>0</v>
      </c>
      <c r="AB17" s="5868">
        <f t="shared" si="7"/>
        <v>0</v>
      </c>
      <c r="AC17" s="5868">
        <f t="shared" si="7"/>
        <v>0</v>
      </c>
      <c r="AD17" s="5868">
        <f t="shared" si="7"/>
        <v>0</v>
      </c>
      <c r="AE17" s="5868">
        <f t="shared" si="7"/>
        <v>0</v>
      </c>
      <c r="AF17" s="5868">
        <f t="shared" si="7"/>
        <v>0</v>
      </c>
      <c r="AG17" s="5868">
        <f t="shared" si="7"/>
        <v>0</v>
      </c>
      <c r="AH17" s="5868">
        <f t="shared" si="7"/>
        <v>0</v>
      </c>
      <c r="AI17" s="5868">
        <f t="shared" si="7"/>
        <v>0</v>
      </c>
      <c r="AJ17" s="128"/>
      <c r="AK17" s="5868">
        <f t="shared" si="16"/>
        <v>0</v>
      </c>
      <c r="AL17" s="5868">
        <f t="shared" si="16"/>
        <v>0</v>
      </c>
      <c r="AM17" s="5868">
        <f t="shared" si="16"/>
        <v>0</v>
      </c>
      <c r="AN17" s="5868">
        <f t="shared" si="16"/>
        <v>0</v>
      </c>
      <c r="AO17" s="5868">
        <f t="shared" si="16"/>
        <v>0</v>
      </c>
      <c r="AP17" s="5868">
        <f t="shared" si="16"/>
        <v>0</v>
      </c>
      <c r="AQ17" s="5868">
        <f t="shared" si="16"/>
        <v>0</v>
      </c>
      <c r="AR17" s="5868">
        <f t="shared" si="16"/>
        <v>0</v>
      </c>
      <c r="AS17" s="5868">
        <f t="shared" si="16"/>
        <v>0</v>
      </c>
    </row>
    <row r="18" spans="1:45">
      <c r="A18" s="1145"/>
      <c r="B18" s="6046" t="s">
        <v>658</v>
      </c>
      <c r="C18" s="1156" t="s">
        <v>4664</v>
      </c>
      <c r="D18" s="2467"/>
      <c r="E18" s="2468"/>
      <c r="F18" s="2468"/>
      <c r="G18" s="2469"/>
      <c r="H18" s="2469"/>
      <c r="I18" s="2469"/>
      <c r="J18" s="2469"/>
      <c r="K18" s="2469"/>
      <c r="L18" s="2470"/>
      <c r="M18" s="2481" t="str">
        <f t="shared" si="17"/>
        <v xml:space="preserve"> - - - -</v>
      </c>
      <c r="N18" s="2481" t="str">
        <f t="shared" si="17"/>
        <v xml:space="preserve"> - - - -</v>
      </c>
      <c r="O18" s="2481" t="str">
        <f t="shared" si="17"/>
        <v xml:space="preserve"> - - - -</v>
      </c>
      <c r="P18" s="128"/>
      <c r="Q18" s="5868">
        <f t="shared" si="6"/>
        <v>0</v>
      </c>
      <c r="R18" s="5868">
        <f t="shared" si="6"/>
        <v>0</v>
      </c>
      <c r="S18" s="5868">
        <f t="shared" si="6"/>
        <v>0</v>
      </c>
      <c r="T18" s="5868">
        <f t="shared" si="6"/>
        <v>0</v>
      </c>
      <c r="U18" s="5868">
        <f t="shared" si="6"/>
        <v>0</v>
      </c>
      <c r="V18" s="5868">
        <f t="shared" si="6"/>
        <v>0</v>
      </c>
      <c r="W18" s="5868">
        <f t="shared" si="6"/>
        <v>0</v>
      </c>
      <c r="X18" s="5868">
        <f t="shared" si="6"/>
        <v>0</v>
      </c>
      <c r="Y18" s="5868">
        <f t="shared" si="6"/>
        <v>0</v>
      </c>
      <c r="Z18" s="128"/>
      <c r="AA18" s="5868">
        <f t="shared" si="7"/>
        <v>0</v>
      </c>
      <c r="AB18" s="5868">
        <f t="shared" si="7"/>
        <v>0</v>
      </c>
      <c r="AC18" s="5868">
        <f t="shared" si="7"/>
        <v>0</v>
      </c>
      <c r="AD18" s="5868">
        <f t="shared" si="7"/>
        <v>0</v>
      </c>
      <c r="AE18" s="5868">
        <f t="shared" si="7"/>
        <v>0</v>
      </c>
      <c r="AF18" s="5868">
        <f t="shared" si="7"/>
        <v>0</v>
      </c>
      <c r="AG18" s="5868">
        <f t="shared" si="7"/>
        <v>0</v>
      </c>
      <c r="AH18" s="5868">
        <f t="shared" si="7"/>
        <v>0</v>
      </c>
      <c r="AI18" s="5868">
        <f t="shared" si="7"/>
        <v>0</v>
      </c>
      <c r="AJ18" s="128"/>
      <c r="AK18" s="5868">
        <f t="shared" si="16"/>
        <v>0</v>
      </c>
      <c r="AL18" s="5868">
        <f t="shared" si="16"/>
        <v>0</v>
      </c>
      <c r="AM18" s="5868">
        <f t="shared" si="16"/>
        <v>0</v>
      </c>
      <c r="AN18" s="5868">
        <f t="shared" si="16"/>
        <v>0</v>
      </c>
      <c r="AO18" s="5868">
        <f t="shared" si="16"/>
        <v>0</v>
      </c>
      <c r="AP18" s="5868">
        <f t="shared" si="16"/>
        <v>0</v>
      </c>
      <c r="AQ18" s="5868">
        <f t="shared" si="16"/>
        <v>0</v>
      </c>
      <c r="AR18" s="5868">
        <f t="shared" si="16"/>
        <v>0</v>
      </c>
      <c r="AS18" s="5868">
        <f t="shared" si="16"/>
        <v>0</v>
      </c>
    </row>
    <row r="19" spans="1:45">
      <c r="A19" s="1145"/>
      <c r="B19" s="1336" t="s">
        <v>661</v>
      </c>
      <c r="C19" s="2578" t="s">
        <v>422</v>
      </c>
      <c r="D19" s="2467"/>
      <c r="E19" s="2468"/>
      <c r="F19" s="2468"/>
      <c r="G19" s="2469"/>
      <c r="H19" s="2469"/>
      <c r="I19" s="2469"/>
      <c r="J19" s="2469"/>
      <c r="K19" s="2469"/>
      <c r="L19" s="2470"/>
      <c r="M19" s="5870">
        <f t="shared" si="15"/>
        <v>0</v>
      </c>
      <c r="N19" s="5870">
        <f t="shared" si="10"/>
        <v>0</v>
      </c>
      <c r="O19" s="5870">
        <f t="shared" si="11"/>
        <v>0</v>
      </c>
      <c r="P19" s="128"/>
      <c r="Q19" s="5868">
        <f t="shared" si="6"/>
        <v>0</v>
      </c>
      <c r="R19" s="5868">
        <f t="shared" si="6"/>
        <v>0</v>
      </c>
      <c r="S19" s="5868">
        <f t="shared" si="6"/>
        <v>0</v>
      </c>
      <c r="T19" s="5868">
        <f t="shared" si="6"/>
        <v>0</v>
      </c>
      <c r="U19" s="5868">
        <f t="shared" si="6"/>
        <v>0</v>
      </c>
      <c r="V19" s="5868">
        <f t="shared" si="6"/>
        <v>0</v>
      </c>
      <c r="W19" s="5868">
        <f t="shared" si="6"/>
        <v>0</v>
      </c>
      <c r="X19" s="5868">
        <f t="shared" si="6"/>
        <v>0</v>
      </c>
      <c r="Y19" s="5868">
        <f t="shared" si="6"/>
        <v>0</v>
      </c>
      <c r="Z19" s="128"/>
      <c r="AA19" s="5868">
        <f t="shared" si="7"/>
        <v>0</v>
      </c>
      <c r="AB19" s="5868">
        <f t="shared" si="7"/>
        <v>0</v>
      </c>
      <c r="AC19" s="5868">
        <f t="shared" si="7"/>
        <v>0</v>
      </c>
      <c r="AD19" s="5868">
        <f t="shared" si="7"/>
        <v>0</v>
      </c>
      <c r="AE19" s="5868">
        <f t="shared" si="7"/>
        <v>0</v>
      </c>
      <c r="AF19" s="5868">
        <f t="shared" si="7"/>
        <v>0</v>
      </c>
      <c r="AG19" s="5868">
        <f t="shared" si="7"/>
        <v>0</v>
      </c>
      <c r="AH19" s="5868">
        <f t="shared" si="7"/>
        <v>0</v>
      </c>
      <c r="AI19" s="5868">
        <f t="shared" si="7"/>
        <v>0</v>
      </c>
      <c r="AJ19" s="128"/>
      <c r="AK19" s="5868">
        <f t="shared" si="16"/>
        <v>0</v>
      </c>
      <c r="AL19" s="5868">
        <f t="shared" si="16"/>
        <v>0</v>
      </c>
      <c r="AM19" s="5868">
        <f t="shared" si="16"/>
        <v>0</v>
      </c>
      <c r="AN19" s="5868">
        <f t="shared" si="16"/>
        <v>0</v>
      </c>
      <c r="AO19" s="5868">
        <f t="shared" si="16"/>
        <v>0</v>
      </c>
      <c r="AP19" s="5868">
        <f t="shared" si="16"/>
        <v>0</v>
      </c>
      <c r="AQ19" s="5868">
        <f t="shared" si="16"/>
        <v>0</v>
      </c>
      <c r="AR19" s="5868">
        <f t="shared" si="16"/>
        <v>0</v>
      </c>
      <c r="AS19" s="5868">
        <f t="shared" si="16"/>
        <v>0</v>
      </c>
    </row>
    <row r="20" spans="1:45">
      <c r="A20" s="1145"/>
      <c r="B20" s="6046" t="s">
        <v>662</v>
      </c>
      <c r="C20" s="1156" t="s">
        <v>322</v>
      </c>
      <c r="D20" s="2453"/>
      <c r="E20" s="2454"/>
      <c r="F20" s="2454"/>
      <c r="G20" s="2455"/>
      <c r="H20" s="2455"/>
      <c r="I20" s="2455"/>
      <c r="J20" s="2455"/>
      <c r="K20" s="2455"/>
      <c r="L20" s="2456"/>
      <c r="M20" s="2481" t="str">
        <f>" - - - -"</f>
        <v xml:space="preserve"> - - - -</v>
      </c>
      <c r="N20" s="2481" t="str">
        <f>" - - - -"</f>
        <v xml:space="preserve"> - - - -</v>
      </c>
      <c r="O20" s="2481" t="str">
        <f>" - - - -"</f>
        <v xml:space="preserve"> - - - -</v>
      </c>
      <c r="P20" s="128"/>
      <c r="Q20" s="5868"/>
      <c r="R20" s="5868"/>
      <c r="S20" s="5868"/>
      <c r="T20" s="5868"/>
      <c r="U20" s="5868"/>
      <c r="V20" s="5868"/>
      <c r="W20" s="5868"/>
      <c r="X20" s="5868"/>
      <c r="Y20" s="5868"/>
      <c r="Z20" s="128"/>
      <c r="AA20" s="5868"/>
      <c r="AB20" s="5868"/>
      <c r="AC20" s="5868"/>
      <c r="AD20" s="5868"/>
      <c r="AE20" s="5868"/>
      <c r="AF20" s="5868"/>
      <c r="AG20" s="5868"/>
      <c r="AH20" s="5868"/>
      <c r="AI20" s="5868"/>
      <c r="AJ20" s="128"/>
      <c r="AK20" s="5868"/>
      <c r="AL20" s="5868"/>
      <c r="AM20" s="5868"/>
      <c r="AN20" s="5868"/>
      <c r="AO20" s="5868"/>
      <c r="AP20" s="5868"/>
      <c r="AQ20" s="5868"/>
      <c r="AR20" s="5868"/>
      <c r="AS20" s="5868"/>
    </row>
    <row r="21" spans="1:45">
      <c r="A21" s="1145"/>
      <c r="B21" s="6046" t="s">
        <v>1105</v>
      </c>
      <c r="C21" s="1156" t="s">
        <v>36</v>
      </c>
      <c r="D21" s="2467"/>
      <c r="E21" s="2468"/>
      <c r="F21" s="2468"/>
      <c r="G21" s="2469"/>
      <c r="H21" s="2469"/>
      <c r="I21" s="2469"/>
      <c r="J21" s="2469"/>
      <c r="K21" s="2469"/>
      <c r="L21" s="2470"/>
      <c r="M21" s="5870">
        <f>SUM(Q21:Y21)</f>
        <v>0</v>
      </c>
      <c r="N21" s="5870">
        <f>SUM(AA21:AI21)</f>
        <v>0</v>
      </c>
      <c r="O21" s="5870">
        <f>SUM(AK21:AS21)</f>
        <v>0</v>
      </c>
      <c r="P21" s="128"/>
      <c r="Q21" s="5868">
        <f t="shared" si="6"/>
        <v>0</v>
      </c>
      <c r="R21" s="5868">
        <f t="shared" si="6"/>
        <v>0</v>
      </c>
      <c r="S21" s="5868">
        <f t="shared" si="6"/>
        <v>0</v>
      </c>
      <c r="T21" s="5868">
        <f t="shared" si="6"/>
        <v>0</v>
      </c>
      <c r="U21" s="5868">
        <f t="shared" si="6"/>
        <v>0</v>
      </c>
      <c r="V21" s="5868">
        <f t="shared" si="6"/>
        <v>0</v>
      </c>
      <c r="W21" s="5868">
        <f t="shared" si="6"/>
        <v>0</v>
      </c>
      <c r="X21" s="5868">
        <f t="shared" si="6"/>
        <v>0</v>
      </c>
      <c r="Y21" s="5868">
        <f t="shared" si="6"/>
        <v>0</v>
      </c>
      <c r="Z21" s="128"/>
      <c r="AA21" s="5868">
        <f t="shared" si="7"/>
        <v>0</v>
      </c>
      <c r="AB21" s="5868">
        <f t="shared" si="7"/>
        <v>0</v>
      </c>
      <c r="AC21" s="5868">
        <f t="shared" si="7"/>
        <v>0</v>
      </c>
      <c r="AD21" s="5868">
        <f t="shared" si="7"/>
        <v>0</v>
      </c>
      <c r="AE21" s="5868">
        <f t="shared" si="7"/>
        <v>0</v>
      </c>
      <c r="AF21" s="5868">
        <f t="shared" si="7"/>
        <v>0</v>
      </c>
      <c r="AG21" s="5868">
        <f t="shared" si="7"/>
        <v>0</v>
      </c>
      <c r="AH21" s="5868">
        <f t="shared" si="7"/>
        <v>0</v>
      </c>
      <c r="AI21" s="5868">
        <f t="shared" si="7"/>
        <v>0</v>
      </c>
      <c r="AJ21" s="128"/>
      <c r="AK21" s="5868">
        <f t="shared" si="16"/>
        <v>0</v>
      </c>
      <c r="AL21" s="5868">
        <f t="shared" si="16"/>
        <v>0</v>
      </c>
      <c r="AM21" s="5868">
        <f t="shared" si="16"/>
        <v>0</v>
      </c>
      <c r="AN21" s="5868">
        <f t="shared" si="16"/>
        <v>0</v>
      </c>
      <c r="AO21" s="5868">
        <f t="shared" si="16"/>
        <v>0</v>
      </c>
      <c r="AP21" s="5868">
        <f t="shared" si="16"/>
        <v>0</v>
      </c>
      <c r="AQ21" s="5868">
        <f t="shared" si="16"/>
        <v>0</v>
      </c>
      <c r="AR21" s="5868">
        <f t="shared" si="16"/>
        <v>0</v>
      </c>
      <c r="AS21" s="5868">
        <f t="shared" si="16"/>
        <v>0</v>
      </c>
    </row>
    <row r="22" spans="1:45">
      <c r="A22" s="1145"/>
      <c r="B22" s="1336" t="s">
        <v>1107</v>
      </c>
      <c r="C22" s="2578" t="s">
        <v>222</v>
      </c>
      <c r="D22" s="2467"/>
      <c r="E22" s="2468"/>
      <c r="F22" s="2468"/>
      <c r="G22" s="2469"/>
      <c r="H22" s="2469"/>
      <c r="I22" s="2469"/>
      <c r="J22" s="2469"/>
      <c r="K22" s="2469"/>
      <c r="L22" s="2470"/>
      <c r="M22" s="5870">
        <f>SUM(Q22:Y22)</f>
        <v>0</v>
      </c>
      <c r="N22" s="5870">
        <f>SUM(AA22:AI22)</f>
        <v>0</v>
      </c>
      <c r="O22" s="5870">
        <f>SUM(AK22:AS22)</f>
        <v>0</v>
      </c>
      <c r="P22" s="128"/>
      <c r="Q22" s="5868">
        <f t="shared" si="6"/>
        <v>0</v>
      </c>
      <c r="R22" s="5868">
        <f t="shared" si="6"/>
        <v>0</v>
      </c>
      <c r="S22" s="5868">
        <f t="shared" si="6"/>
        <v>0</v>
      </c>
      <c r="T22" s="5868">
        <f t="shared" si="6"/>
        <v>0</v>
      </c>
      <c r="U22" s="5868">
        <f t="shared" si="6"/>
        <v>0</v>
      </c>
      <c r="V22" s="5868">
        <f t="shared" si="6"/>
        <v>0</v>
      </c>
      <c r="W22" s="5868">
        <f t="shared" si="6"/>
        <v>0</v>
      </c>
      <c r="X22" s="5868">
        <f t="shared" si="6"/>
        <v>0</v>
      </c>
      <c r="Y22" s="5868">
        <f t="shared" si="6"/>
        <v>0</v>
      </c>
      <c r="Z22" s="128"/>
      <c r="AA22" s="5868">
        <f t="shared" si="7"/>
        <v>0</v>
      </c>
      <c r="AB22" s="5868">
        <f t="shared" si="7"/>
        <v>0</v>
      </c>
      <c r="AC22" s="5868">
        <f t="shared" si="7"/>
        <v>0</v>
      </c>
      <c r="AD22" s="5868">
        <f t="shared" si="7"/>
        <v>0</v>
      </c>
      <c r="AE22" s="5868">
        <f t="shared" si="7"/>
        <v>0</v>
      </c>
      <c r="AF22" s="5868">
        <f t="shared" si="7"/>
        <v>0</v>
      </c>
      <c r="AG22" s="5868">
        <f t="shared" si="7"/>
        <v>0</v>
      </c>
      <c r="AH22" s="5868">
        <f t="shared" si="7"/>
        <v>0</v>
      </c>
      <c r="AI22" s="5868">
        <f t="shared" si="7"/>
        <v>0</v>
      </c>
      <c r="AJ22" s="128"/>
      <c r="AK22" s="5868">
        <f t="shared" si="16"/>
        <v>0</v>
      </c>
      <c r="AL22" s="5868">
        <f t="shared" si="16"/>
        <v>0</v>
      </c>
      <c r="AM22" s="5868">
        <f t="shared" si="16"/>
        <v>0</v>
      </c>
      <c r="AN22" s="5868">
        <f t="shared" si="16"/>
        <v>0</v>
      </c>
      <c r="AO22" s="5868">
        <f t="shared" si="16"/>
        <v>0</v>
      </c>
      <c r="AP22" s="5868">
        <f t="shared" si="16"/>
        <v>0</v>
      </c>
      <c r="AQ22" s="5868">
        <f t="shared" si="16"/>
        <v>0</v>
      </c>
      <c r="AR22" s="5868">
        <f t="shared" si="16"/>
        <v>0</v>
      </c>
      <c r="AS22" s="5868">
        <f t="shared" si="16"/>
        <v>0</v>
      </c>
    </row>
    <row r="23" spans="1:45">
      <c r="A23" s="1145"/>
      <c r="B23" s="6046" t="s">
        <v>1109</v>
      </c>
      <c r="C23" s="1156" t="s">
        <v>223</v>
      </c>
      <c r="D23" s="5831" t="b">
        <f>OR(D3="CONV",D3="conv")</f>
        <v>0</v>
      </c>
      <c r="E23" s="5832" t="b">
        <f>OR(E3="CONV",E3="conv")</f>
        <v>0</v>
      </c>
      <c r="F23" s="5832" t="b">
        <f t="shared" ref="F23:L23" si="18">OR(F3="CONV",F3="conv")</f>
        <v>0</v>
      </c>
      <c r="G23" s="5832" t="b">
        <f t="shared" si="18"/>
        <v>0</v>
      </c>
      <c r="H23" s="5832" t="b">
        <f t="shared" si="18"/>
        <v>0</v>
      </c>
      <c r="I23" s="5832" t="b">
        <f t="shared" si="18"/>
        <v>0</v>
      </c>
      <c r="J23" s="5832" t="b">
        <f t="shared" si="18"/>
        <v>0</v>
      </c>
      <c r="K23" s="5832" t="b">
        <f t="shared" si="18"/>
        <v>0</v>
      </c>
      <c r="L23" s="5832" t="b">
        <f t="shared" si="18"/>
        <v>0</v>
      </c>
      <c r="M23" s="2481" t="str">
        <f>" - - - -"</f>
        <v xml:space="preserve"> - - - -</v>
      </c>
      <c r="N23" s="2481" t="str">
        <f>" - - - -"</f>
        <v xml:space="preserve"> - - - -</v>
      </c>
      <c r="O23" s="2481" t="str">
        <f>" - - - -"</f>
        <v xml:space="preserve"> - - - -</v>
      </c>
      <c r="P23" s="128"/>
      <c r="Q23" s="5868"/>
      <c r="R23" s="5868"/>
      <c r="S23" s="5868"/>
      <c r="T23" s="5868"/>
      <c r="U23" s="5868"/>
      <c r="V23" s="5868"/>
      <c r="W23" s="5868"/>
      <c r="X23" s="5868"/>
      <c r="Y23" s="5868"/>
      <c r="Z23" s="128"/>
      <c r="AA23" s="5868"/>
      <c r="AB23" s="5868"/>
      <c r="AC23" s="5868"/>
      <c r="AD23" s="5868"/>
      <c r="AE23" s="5868"/>
      <c r="AF23" s="5868"/>
      <c r="AG23" s="5868"/>
      <c r="AH23" s="5868"/>
      <c r="AI23" s="5868"/>
      <c r="AJ23" s="128"/>
      <c r="AK23" s="5868"/>
      <c r="AL23" s="5868"/>
      <c r="AM23" s="5868"/>
      <c r="AN23" s="5868"/>
      <c r="AO23" s="5868"/>
      <c r="AP23" s="5868"/>
      <c r="AQ23" s="5868"/>
      <c r="AR23" s="5868"/>
      <c r="AS23" s="5868"/>
    </row>
    <row r="24" spans="1:45" ht="13.5" thickBot="1">
      <c r="A24" s="1145"/>
      <c r="B24" s="6047" t="s">
        <v>1111</v>
      </c>
      <c r="C24" s="2585" t="s">
        <v>224</v>
      </c>
      <c r="D24" s="2477"/>
      <c r="E24" s="2478"/>
      <c r="F24" s="2478"/>
      <c r="G24" s="2479"/>
      <c r="H24" s="2479"/>
      <c r="I24" s="2479"/>
      <c r="J24" s="2479"/>
      <c r="K24" s="2479"/>
      <c r="L24" s="2480"/>
      <c r="M24" s="5871">
        <f>SUM(Q24:Y24)</f>
        <v>0</v>
      </c>
      <c r="N24" s="5871">
        <f>SUM(AA24:AI24)</f>
        <v>0</v>
      </c>
      <c r="O24" s="5871">
        <f>SUM(AK24:AS24)</f>
        <v>0</v>
      </c>
      <c r="P24" s="128"/>
      <c r="Q24" s="5868">
        <f t="shared" si="6"/>
        <v>0</v>
      </c>
      <c r="R24" s="5868">
        <f t="shared" si="6"/>
        <v>0</v>
      </c>
      <c r="S24" s="5868">
        <f t="shared" si="6"/>
        <v>0</v>
      </c>
      <c r="T24" s="5868">
        <f t="shared" si="6"/>
        <v>0</v>
      </c>
      <c r="U24" s="5868">
        <f t="shared" si="6"/>
        <v>0</v>
      </c>
      <c r="V24" s="5868">
        <f t="shared" si="6"/>
        <v>0</v>
      </c>
      <c r="W24" s="5868">
        <f t="shared" si="6"/>
        <v>0</v>
      </c>
      <c r="X24" s="5868">
        <f t="shared" si="6"/>
        <v>0</v>
      </c>
      <c r="Y24" s="5868">
        <f t="shared" si="6"/>
        <v>0</v>
      </c>
      <c r="Z24" s="128"/>
      <c r="AA24" s="5868">
        <f t="shared" si="7"/>
        <v>0</v>
      </c>
      <c r="AB24" s="5868">
        <f t="shared" si="7"/>
        <v>0</v>
      </c>
      <c r="AC24" s="5868">
        <f t="shared" si="7"/>
        <v>0</v>
      </c>
      <c r="AD24" s="5868">
        <f t="shared" si="7"/>
        <v>0</v>
      </c>
      <c r="AE24" s="5868">
        <f t="shared" si="7"/>
        <v>0</v>
      </c>
      <c r="AF24" s="5868">
        <f t="shared" si="7"/>
        <v>0</v>
      </c>
      <c r="AG24" s="5868">
        <f t="shared" si="7"/>
        <v>0</v>
      </c>
      <c r="AH24" s="5868">
        <f t="shared" si="7"/>
        <v>0</v>
      </c>
      <c r="AI24" s="5868">
        <f t="shared" si="7"/>
        <v>0</v>
      </c>
      <c r="AJ24" s="128"/>
      <c r="AK24" s="5868">
        <f t="shared" si="16"/>
        <v>0</v>
      </c>
      <c r="AL24" s="5868">
        <f t="shared" si="16"/>
        <v>0</v>
      </c>
      <c r="AM24" s="5868">
        <f t="shared" si="16"/>
        <v>0</v>
      </c>
      <c r="AN24" s="5868">
        <f t="shared" si="16"/>
        <v>0</v>
      </c>
      <c r="AO24" s="5868">
        <f t="shared" si="16"/>
        <v>0</v>
      </c>
      <c r="AP24" s="5868">
        <f t="shared" si="16"/>
        <v>0</v>
      </c>
      <c r="AQ24" s="5868">
        <f t="shared" si="16"/>
        <v>0</v>
      </c>
      <c r="AR24" s="5868">
        <f t="shared" si="16"/>
        <v>0</v>
      </c>
      <c r="AS24" s="5868">
        <f t="shared" si="16"/>
        <v>0</v>
      </c>
    </row>
    <row r="25" spans="1:45" ht="17.25" customHeight="1" thickBot="1">
      <c r="A25" s="1145"/>
      <c r="B25" s="2887" t="s">
        <v>708</v>
      </c>
      <c r="C25" s="2888"/>
      <c r="D25" s="5833" t="b">
        <f>OR(D23:L23)</f>
        <v>0</v>
      </c>
      <c r="E25" s="6102"/>
      <c r="F25" s="6102"/>
      <c r="G25" s="6102"/>
      <c r="H25" s="6102"/>
      <c r="I25" s="6102"/>
      <c r="J25" s="6102"/>
      <c r="K25" s="6102"/>
      <c r="L25" s="6102"/>
      <c r="M25" s="1145"/>
      <c r="N25" s="1145"/>
      <c r="O25" s="1145"/>
      <c r="P25" s="1171"/>
      <c r="Q25" s="236"/>
      <c r="R25" s="236"/>
      <c r="S25" s="236"/>
      <c r="T25" s="236"/>
      <c r="U25" s="236"/>
      <c r="V25" s="236"/>
      <c r="W25" s="236"/>
      <c r="X25" s="236"/>
      <c r="Y25" s="236"/>
      <c r="Z25" s="1171"/>
      <c r="AA25" s="236"/>
      <c r="AB25" s="236"/>
      <c r="AC25" s="236"/>
      <c r="AD25" s="236"/>
      <c r="AE25" s="236"/>
      <c r="AF25" s="236"/>
      <c r="AG25" s="236"/>
      <c r="AH25" s="236"/>
      <c r="AI25" s="236"/>
      <c r="AJ25" s="1171"/>
      <c r="AK25" s="236"/>
      <c r="AL25" s="236"/>
      <c r="AM25" s="236"/>
      <c r="AN25" s="236"/>
      <c r="AO25" s="236"/>
      <c r="AP25" s="236"/>
      <c r="AQ25" s="236"/>
      <c r="AR25" s="236"/>
      <c r="AS25" s="236"/>
    </row>
    <row r="26" spans="1:45" ht="17.25" hidden="1" customHeight="1">
      <c r="A26" s="1145"/>
      <c r="B26" s="2887"/>
      <c r="C26" s="2888"/>
      <c r="D26" s="2882" t="str">
        <f t="shared" ref="D26:L26" si="19">IF(OR(LEFT(D11,1)="D",LEFT(D11,1)="d"),D5,"")</f>
        <v/>
      </c>
      <c r="E26" s="2882" t="str">
        <f t="shared" si="19"/>
        <v/>
      </c>
      <c r="F26" s="2882" t="str">
        <f t="shared" si="19"/>
        <v/>
      </c>
      <c r="G26" s="2882" t="str">
        <f t="shared" si="19"/>
        <v/>
      </c>
      <c r="H26" s="2882" t="str">
        <f t="shared" si="19"/>
        <v/>
      </c>
      <c r="I26" s="2882" t="str">
        <f t="shared" si="19"/>
        <v/>
      </c>
      <c r="J26" s="2882" t="str">
        <f t="shared" si="19"/>
        <v/>
      </c>
      <c r="K26" s="2882" t="str">
        <f t="shared" si="19"/>
        <v/>
      </c>
      <c r="L26" s="2882" t="str">
        <f t="shared" si="19"/>
        <v/>
      </c>
      <c r="M26" s="1145"/>
      <c r="N26" s="2882">
        <f>SUM(D26:L26)</f>
        <v>0</v>
      </c>
      <c r="O26" s="2882">
        <f>SUM(E26:M26)</f>
        <v>0</v>
      </c>
      <c r="P26" s="1171"/>
      <c r="Q26" s="236"/>
      <c r="R26" s="236"/>
      <c r="S26" s="236"/>
      <c r="T26" s="236"/>
      <c r="U26" s="236"/>
      <c r="V26" s="236"/>
      <c r="W26" s="236"/>
      <c r="X26" s="236"/>
      <c r="Y26" s="236"/>
      <c r="Z26" s="1171"/>
      <c r="AA26" s="236"/>
      <c r="AB26" s="236"/>
      <c r="AC26" s="236"/>
      <c r="AD26" s="236"/>
      <c r="AE26" s="236"/>
      <c r="AF26" s="236"/>
      <c r="AG26" s="236"/>
      <c r="AH26" s="236"/>
      <c r="AI26" s="236"/>
      <c r="AJ26" s="1171"/>
      <c r="AK26" s="236"/>
      <c r="AL26" s="236"/>
      <c r="AM26" s="236"/>
      <c r="AN26" s="236"/>
      <c r="AO26" s="236"/>
      <c r="AP26" s="236"/>
      <c r="AQ26" s="236"/>
      <c r="AR26" s="236"/>
      <c r="AS26" s="236"/>
    </row>
    <row r="27" spans="1:45" ht="17.25" hidden="1" customHeight="1" thickBot="1">
      <c r="A27" s="1145"/>
      <c r="B27" s="2887"/>
      <c r="C27" s="2888"/>
      <c r="D27" s="2882" t="str">
        <f>IF(OR(LEFT(D11,1)="D",LEFT(D11,1)="d"),SUM(D19,D22),"")</f>
        <v/>
      </c>
      <c r="E27" s="2882" t="str">
        <f t="shared" ref="E27:L27" si="20">IF(OR(LEFT(E11,1)="D",LEFT(E11,1)="d"),SUM(E19,E22),"")</f>
        <v/>
      </c>
      <c r="F27" s="2882" t="str">
        <f t="shared" si="20"/>
        <v/>
      </c>
      <c r="G27" s="2882" t="str">
        <f t="shared" si="20"/>
        <v/>
      </c>
      <c r="H27" s="2882" t="str">
        <f t="shared" si="20"/>
        <v/>
      </c>
      <c r="I27" s="2882" t="str">
        <f t="shared" si="20"/>
        <v/>
      </c>
      <c r="J27" s="2882" t="str">
        <f t="shared" si="20"/>
        <v/>
      </c>
      <c r="K27" s="2882" t="str">
        <f t="shared" si="20"/>
        <v/>
      </c>
      <c r="L27" s="2882" t="str">
        <f t="shared" si="20"/>
        <v/>
      </c>
      <c r="M27" s="1145"/>
      <c r="N27" s="2882">
        <f>SUM(D27:L27)</f>
        <v>0</v>
      </c>
      <c r="O27" s="2882">
        <f>SUM(E27:M27)</f>
        <v>0</v>
      </c>
      <c r="P27" s="1171"/>
      <c r="Q27" s="236"/>
      <c r="R27" s="236"/>
      <c r="S27" s="236"/>
      <c r="T27" s="236"/>
      <c r="U27" s="236"/>
      <c r="V27" s="236"/>
      <c r="W27" s="236"/>
      <c r="X27" s="236"/>
      <c r="Y27" s="236"/>
      <c r="Z27" s="1171"/>
      <c r="AA27" s="236"/>
      <c r="AB27" s="236"/>
      <c r="AC27" s="236"/>
      <c r="AD27" s="236"/>
      <c r="AE27" s="236"/>
      <c r="AF27" s="236"/>
      <c r="AG27" s="236"/>
      <c r="AH27" s="236"/>
      <c r="AI27" s="236"/>
      <c r="AJ27" s="1171"/>
      <c r="AK27" s="236"/>
      <c r="AL27" s="236"/>
      <c r="AM27" s="236"/>
      <c r="AN27" s="236"/>
      <c r="AO27" s="236"/>
      <c r="AP27" s="236"/>
      <c r="AQ27" s="236"/>
      <c r="AR27" s="236"/>
      <c r="AS27" s="236"/>
    </row>
    <row r="28" spans="1:45" ht="42" customHeight="1" thickTop="1">
      <c r="A28" s="2433"/>
      <c r="B28" s="2447" t="s">
        <v>1991</v>
      </c>
      <c r="C28" s="2434"/>
      <c r="D28" s="2435"/>
      <c r="E28" s="2436"/>
      <c r="F28" s="2435"/>
      <c r="G28" s="2435"/>
      <c r="H28" s="2435"/>
      <c r="I28" s="2437"/>
      <c r="J28" s="2437"/>
      <c r="K28" s="2438"/>
      <c r="L28" s="2438"/>
      <c r="M28" s="2438"/>
      <c r="N28" s="2438"/>
      <c r="O28" s="2438"/>
    </row>
    <row r="29" spans="1:45" ht="48" customHeight="1" thickBot="1">
      <c r="A29" s="1145"/>
      <c r="B29" s="462"/>
      <c r="C29" s="1287" t="str">
        <f>IF(Name_1st_Sp="","Enter your spouse's name on the"&amp;CHAR(10)&amp;"sheet labeled '1040'",NameSpouse)</f>
        <v>Enter your spouse's name on the
sheet labeled '1040'</v>
      </c>
      <c r="D29" s="1918" t="s">
        <v>281</v>
      </c>
      <c r="E29" s="1918" t="s">
        <v>282</v>
      </c>
      <c r="F29" s="1918" t="s">
        <v>283</v>
      </c>
      <c r="G29" s="1918" t="s">
        <v>368</v>
      </c>
      <c r="H29" s="1919" t="s">
        <v>1659</v>
      </c>
      <c r="I29" s="1919" t="s">
        <v>1660</v>
      </c>
      <c r="J29" s="1919" t="s">
        <v>1661</v>
      </c>
      <c r="K29" s="1919" t="s">
        <v>1832</v>
      </c>
      <c r="L29" s="1919" t="s">
        <v>1833</v>
      </c>
      <c r="M29" s="2939" t="s">
        <v>2290</v>
      </c>
      <c r="N29" s="2527" t="s">
        <v>4659</v>
      </c>
      <c r="O29" s="2527" t="s">
        <v>4477</v>
      </c>
      <c r="P29" s="85"/>
      <c r="Q29" s="350"/>
      <c r="R29" s="350"/>
      <c r="S29" s="350"/>
      <c r="T29" s="350"/>
      <c r="U29" s="350"/>
      <c r="V29" s="350"/>
      <c r="W29" s="350"/>
      <c r="X29" s="350"/>
      <c r="Y29" s="350"/>
      <c r="Z29" s="85"/>
      <c r="AA29" s="350"/>
      <c r="AB29" s="350"/>
      <c r="AC29" s="350"/>
      <c r="AD29" s="350"/>
      <c r="AE29" s="350"/>
      <c r="AF29" s="350"/>
      <c r="AG29" s="350"/>
      <c r="AH29" s="350"/>
      <c r="AI29" s="350"/>
      <c r="AJ29" s="85"/>
      <c r="AK29" s="350"/>
      <c r="AL29" s="350"/>
      <c r="AM29" s="350"/>
      <c r="AN29" s="350"/>
      <c r="AO29" s="350"/>
      <c r="AP29" s="350"/>
      <c r="AQ29" s="350"/>
      <c r="AR29" s="350"/>
      <c r="AS29" s="350"/>
    </row>
    <row r="30" spans="1:45" ht="13.5" thickBot="1">
      <c r="A30" s="1145"/>
      <c r="B30" s="1147"/>
      <c r="C30" s="1148" t="s">
        <v>4683</v>
      </c>
      <c r="D30" s="1920"/>
      <c r="E30" s="2251"/>
      <c r="F30" s="2251"/>
      <c r="G30" s="4921"/>
      <c r="H30" s="4921"/>
      <c r="I30" s="4921"/>
      <c r="J30" s="4921"/>
      <c r="K30" s="4921"/>
      <c r="L30" s="4921"/>
      <c r="M30" s="1149" t="s">
        <v>410</v>
      </c>
      <c r="N30" s="1146" t="s">
        <v>393</v>
      </c>
      <c r="O30" s="4920" t="s">
        <v>4476</v>
      </c>
      <c r="P30" s="23"/>
      <c r="Q30" s="42" t="b">
        <f t="shared" ref="Q30:Y30" si="21">NOT(AND(ISERROR(FIND("IRA",D30,1)),ISERROR(FIND("ira",D30,1))))</f>
        <v>0</v>
      </c>
      <c r="R30" s="42" t="b">
        <f t="shared" si="21"/>
        <v>0</v>
      </c>
      <c r="S30" s="42" t="b">
        <f t="shared" si="21"/>
        <v>0</v>
      </c>
      <c r="T30" s="42" t="b">
        <f t="shared" si="21"/>
        <v>0</v>
      </c>
      <c r="U30" s="42" t="b">
        <f t="shared" si="21"/>
        <v>0</v>
      </c>
      <c r="V30" s="42" t="b">
        <f t="shared" si="21"/>
        <v>0</v>
      </c>
      <c r="W30" s="42" t="b">
        <f t="shared" si="21"/>
        <v>0</v>
      </c>
      <c r="X30" s="42" t="b">
        <f t="shared" si="21"/>
        <v>0</v>
      </c>
      <c r="Y30" s="42" t="b">
        <f t="shared" si="21"/>
        <v>0</v>
      </c>
      <c r="Z30" s="23"/>
      <c r="AA30" s="42" t="b">
        <f t="shared" ref="AA30:AI30" si="22">NOT(AND(ISERROR(FIND("P/A",D30,1)),ISERROR(FIND("p/a",D30,1))))</f>
        <v>0</v>
      </c>
      <c r="AB30" s="42" t="b">
        <f t="shared" si="22"/>
        <v>0</v>
      </c>
      <c r="AC30" s="42" t="b">
        <f t="shared" si="22"/>
        <v>0</v>
      </c>
      <c r="AD30" s="42" t="b">
        <f t="shared" si="22"/>
        <v>0</v>
      </c>
      <c r="AE30" s="42" t="b">
        <f t="shared" si="22"/>
        <v>0</v>
      </c>
      <c r="AF30" s="42" t="b">
        <f t="shared" si="22"/>
        <v>0</v>
      </c>
      <c r="AG30" s="42" t="b">
        <f t="shared" si="22"/>
        <v>0</v>
      </c>
      <c r="AH30" s="42" t="b">
        <f t="shared" si="22"/>
        <v>0</v>
      </c>
      <c r="AI30" s="42" t="b">
        <f t="shared" si="22"/>
        <v>0</v>
      </c>
      <c r="AJ30" s="23"/>
      <c r="AK30" s="42" t="b">
        <f t="shared" ref="AK30:AS30" si="23">NOT(AND(ISERROR(FIND("CONV",D30,1)),ISERROR(FIND("conv",D30,1))))</f>
        <v>0</v>
      </c>
      <c r="AL30" s="42" t="b">
        <f t="shared" si="23"/>
        <v>0</v>
      </c>
      <c r="AM30" s="42" t="b">
        <f t="shared" si="23"/>
        <v>0</v>
      </c>
      <c r="AN30" s="42" t="b">
        <f t="shared" si="23"/>
        <v>0</v>
      </c>
      <c r="AO30" s="42" t="b">
        <f t="shared" si="23"/>
        <v>0</v>
      </c>
      <c r="AP30" s="42" t="b">
        <f t="shared" si="23"/>
        <v>0</v>
      </c>
      <c r="AQ30" s="42" t="b">
        <f t="shared" si="23"/>
        <v>0</v>
      </c>
      <c r="AR30" s="42" t="b">
        <f t="shared" si="23"/>
        <v>0</v>
      </c>
      <c r="AS30" s="42" t="b">
        <f t="shared" si="23"/>
        <v>0</v>
      </c>
    </row>
    <row r="31" spans="1:45" ht="13.5" customHeight="1" thickBot="1">
      <c r="A31" s="1145"/>
      <c r="B31" s="3934" t="s">
        <v>148</v>
      </c>
      <c r="C31" s="2584" t="s">
        <v>471</v>
      </c>
      <c r="D31" s="2465"/>
      <c r="E31" s="2466"/>
      <c r="F31" s="2466"/>
      <c r="G31" s="2466"/>
      <c r="H31" s="2466"/>
      <c r="I31" s="2466"/>
      <c r="J31" s="2466"/>
      <c r="K31" s="2466"/>
      <c r="L31" s="2466"/>
      <c r="M31" s="5874">
        <f>SUM(Q31:Y31)</f>
        <v>0</v>
      </c>
      <c r="N31" s="5874">
        <f>SUM(AA31:AI31)</f>
        <v>0</v>
      </c>
      <c r="O31" s="5874">
        <f>SUM(AK31:AS31)</f>
        <v>0</v>
      </c>
      <c r="P31" s="38"/>
      <c r="Q31" s="5868">
        <f>IF(Q$30,ROUND(D31,0),0)</f>
        <v>0</v>
      </c>
      <c r="R31" s="5868">
        <f t="shared" ref="R31:Y32" si="24">IF(R$30,ROUND(E31,0),0)</f>
        <v>0</v>
      </c>
      <c r="S31" s="5868">
        <f t="shared" si="24"/>
        <v>0</v>
      </c>
      <c r="T31" s="5868">
        <f t="shared" si="24"/>
        <v>0</v>
      </c>
      <c r="U31" s="5868">
        <f t="shared" si="24"/>
        <v>0</v>
      </c>
      <c r="V31" s="5868">
        <f t="shared" si="24"/>
        <v>0</v>
      </c>
      <c r="W31" s="5868">
        <f t="shared" si="24"/>
        <v>0</v>
      </c>
      <c r="X31" s="5868">
        <f t="shared" si="24"/>
        <v>0</v>
      </c>
      <c r="Y31" s="5868">
        <f t="shared" si="24"/>
        <v>0</v>
      </c>
      <c r="Z31" s="4823"/>
      <c r="AA31" s="5868">
        <f>IF(AA$30,ROUND(D31,0),0)</f>
        <v>0</v>
      </c>
      <c r="AB31" s="5868">
        <f t="shared" ref="AB31:AI32" si="25">IF(AB$30,ROUND(E31,0),0)</f>
        <v>0</v>
      </c>
      <c r="AC31" s="5868">
        <f t="shared" si="25"/>
        <v>0</v>
      </c>
      <c r="AD31" s="5868">
        <f t="shared" si="25"/>
        <v>0</v>
      </c>
      <c r="AE31" s="5868">
        <f t="shared" si="25"/>
        <v>0</v>
      </c>
      <c r="AF31" s="5868">
        <f t="shared" si="25"/>
        <v>0</v>
      </c>
      <c r="AG31" s="5868">
        <f t="shared" si="25"/>
        <v>0</v>
      </c>
      <c r="AH31" s="5868">
        <f t="shared" si="25"/>
        <v>0</v>
      </c>
      <c r="AI31" s="5868">
        <f t="shared" si="25"/>
        <v>0</v>
      </c>
      <c r="AJ31" s="4823"/>
      <c r="AK31" s="5868">
        <f>IF(AK$30,ROUND(D31,0),0)</f>
        <v>0</v>
      </c>
      <c r="AL31" s="5868">
        <f t="shared" ref="AL31:AS31" si="26">IF(AL$30,ROUND(E31,0),0)</f>
        <v>0</v>
      </c>
      <c r="AM31" s="5868">
        <f t="shared" si="26"/>
        <v>0</v>
      </c>
      <c r="AN31" s="5868">
        <f t="shared" si="26"/>
        <v>0</v>
      </c>
      <c r="AO31" s="5868">
        <f t="shared" si="26"/>
        <v>0</v>
      </c>
      <c r="AP31" s="5868">
        <f t="shared" si="26"/>
        <v>0</v>
      </c>
      <c r="AQ31" s="5868">
        <f t="shared" si="26"/>
        <v>0</v>
      </c>
      <c r="AR31" s="5868">
        <f t="shared" si="26"/>
        <v>0</v>
      </c>
      <c r="AS31" s="5868">
        <f t="shared" si="26"/>
        <v>0</v>
      </c>
    </row>
    <row r="32" spans="1:45" ht="13.5" customHeight="1">
      <c r="A32" s="1145"/>
      <c r="B32" s="453" t="s">
        <v>341</v>
      </c>
      <c r="C32" s="2578" t="s">
        <v>280</v>
      </c>
      <c r="D32" s="2467"/>
      <c r="E32" s="2468"/>
      <c r="F32" s="2468"/>
      <c r="G32" s="2468"/>
      <c r="H32" s="2468"/>
      <c r="I32" s="2468"/>
      <c r="J32" s="2468"/>
      <c r="K32" s="2468"/>
      <c r="L32" s="2470"/>
      <c r="M32" s="5870">
        <f>SUM(Q32:Y32)</f>
        <v>0</v>
      </c>
      <c r="N32" s="5870">
        <f>SUM(AA32:AI32)</f>
        <v>0</v>
      </c>
      <c r="O32" s="5874">
        <f>SUM(AK32:AS32)</f>
        <v>0</v>
      </c>
      <c r="P32" s="38"/>
      <c r="Q32" s="5868">
        <f t="shared" ref="Q32:Y39" si="27">IF(Q$30,ROUND(D32,0),0)</f>
        <v>0</v>
      </c>
      <c r="R32" s="5868">
        <f t="shared" si="24"/>
        <v>0</v>
      </c>
      <c r="S32" s="5868">
        <f t="shared" si="24"/>
        <v>0</v>
      </c>
      <c r="T32" s="5868">
        <f t="shared" si="24"/>
        <v>0</v>
      </c>
      <c r="U32" s="5868">
        <f t="shared" si="24"/>
        <v>0</v>
      </c>
      <c r="V32" s="5868">
        <f t="shared" si="24"/>
        <v>0</v>
      </c>
      <c r="W32" s="5868">
        <f t="shared" si="24"/>
        <v>0</v>
      </c>
      <c r="X32" s="5868">
        <f t="shared" si="24"/>
        <v>0</v>
      </c>
      <c r="Y32" s="5868">
        <f t="shared" si="24"/>
        <v>0</v>
      </c>
      <c r="Z32" s="4823"/>
      <c r="AA32" s="5868">
        <f t="shared" ref="AA32:AI39" si="28">IF(AA$30,ROUND(D32,0),0)</f>
        <v>0</v>
      </c>
      <c r="AB32" s="5868">
        <f t="shared" si="25"/>
        <v>0</v>
      </c>
      <c r="AC32" s="5868">
        <f t="shared" si="25"/>
        <v>0</v>
      </c>
      <c r="AD32" s="5868">
        <f t="shared" si="25"/>
        <v>0</v>
      </c>
      <c r="AE32" s="5868">
        <f t="shared" si="25"/>
        <v>0</v>
      </c>
      <c r="AF32" s="5868">
        <f t="shared" si="25"/>
        <v>0</v>
      </c>
      <c r="AG32" s="5868">
        <f t="shared" si="25"/>
        <v>0</v>
      </c>
      <c r="AH32" s="5868">
        <f t="shared" si="25"/>
        <v>0</v>
      </c>
      <c r="AI32" s="5868">
        <f t="shared" si="25"/>
        <v>0</v>
      </c>
      <c r="AJ32" s="4823"/>
      <c r="AK32" s="5868">
        <f>IF(AK$30,ROUND(D32,0),0)</f>
        <v>0</v>
      </c>
      <c r="AL32" s="5868">
        <f t="shared" ref="AL32:AS32" si="29">IF(AL$30,ROUND(E32,0),0)</f>
        <v>0</v>
      </c>
      <c r="AM32" s="5868">
        <f t="shared" si="29"/>
        <v>0</v>
      </c>
      <c r="AN32" s="5868">
        <f t="shared" si="29"/>
        <v>0</v>
      </c>
      <c r="AO32" s="5868">
        <f t="shared" si="29"/>
        <v>0</v>
      </c>
      <c r="AP32" s="5868">
        <f t="shared" si="29"/>
        <v>0</v>
      </c>
      <c r="AQ32" s="5868">
        <f t="shared" si="29"/>
        <v>0</v>
      </c>
      <c r="AR32" s="5868">
        <f t="shared" si="29"/>
        <v>0</v>
      </c>
      <c r="AS32" s="5868">
        <f t="shared" si="29"/>
        <v>0</v>
      </c>
    </row>
    <row r="33" spans="1:45" ht="13.5" customHeight="1">
      <c r="A33" s="1145"/>
      <c r="B33" s="1155" t="s">
        <v>342</v>
      </c>
      <c r="C33" s="1156" t="s">
        <v>3050</v>
      </c>
      <c r="D33" s="2467"/>
      <c r="E33" s="2468"/>
      <c r="F33" s="2468"/>
      <c r="G33" s="2469"/>
      <c r="H33" s="2469"/>
      <c r="I33" s="2469"/>
      <c r="J33" s="2469"/>
      <c r="K33" s="2469"/>
      <c r="L33" s="2470"/>
      <c r="M33" s="1159" t="str">
        <f>" - - - -"</f>
        <v xml:space="preserve"> - - - -</v>
      </c>
      <c r="N33" s="1159" t="str">
        <f>" - - - -"</f>
        <v xml:space="preserve"> - - - -</v>
      </c>
      <c r="O33" s="1159" t="str">
        <f>" - - - -"</f>
        <v xml:space="preserve"> - - - -</v>
      </c>
      <c r="P33" s="400"/>
      <c r="Q33" s="5868"/>
      <c r="R33" s="5868"/>
      <c r="S33" s="5868"/>
      <c r="T33" s="5868"/>
      <c r="U33" s="5868"/>
      <c r="V33" s="5868"/>
      <c r="W33" s="5868"/>
      <c r="X33" s="5868"/>
      <c r="Y33" s="5868"/>
      <c r="Z33" s="4823"/>
      <c r="AA33" s="5868"/>
      <c r="AB33" s="5868"/>
      <c r="AC33" s="5868"/>
      <c r="AD33" s="5868"/>
      <c r="AE33" s="5868"/>
      <c r="AF33" s="5868"/>
      <c r="AG33" s="5868"/>
      <c r="AH33" s="5868"/>
      <c r="AI33" s="5868"/>
      <c r="AJ33" s="4823"/>
      <c r="AK33" s="5868"/>
      <c r="AL33" s="5868"/>
      <c r="AM33" s="5868"/>
      <c r="AN33" s="5868"/>
      <c r="AO33" s="5868"/>
      <c r="AP33" s="5868"/>
      <c r="AQ33" s="5868"/>
      <c r="AR33" s="5868"/>
      <c r="AS33" s="5868"/>
    </row>
    <row r="34" spans="1:45" ht="13.5" customHeight="1">
      <c r="A34" s="1145"/>
      <c r="B34" s="6046" t="s">
        <v>150</v>
      </c>
      <c r="C34" s="1156" t="s">
        <v>704</v>
      </c>
      <c r="D34" s="2467"/>
      <c r="E34" s="2468"/>
      <c r="F34" s="2468"/>
      <c r="G34" s="2469"/>
      <c r="H34" s="2469"/>
      <c r="I34" s="2469"/>
      <c r="J34" s="2469"/>
      <c r="K34" s="2469"/>
      <c r="L34" s="2470"/>
      <c r="M34" s="5870">
        <f>SUM(Q34:Y34)</f>
        <v>0</v>
      </c>
      <c r="N34" s="5870">
        <f>SUM(AA34:AI34)</f>
        <v>0</v>
      </c>
      <c r="O34" s="5870">
        <f>SUM(AK34:AS34)</f>
        <v>0</v>
      </c>
      <c r="P34" s="38"/>
      <c r="Q34" s="5868">
        <f t="shared" si="27"/>
        <v>0</v>
      </c>
      <c r="R34" s="5868">
        <f t="shared" si="27"/>
        <v>0</v>
      </c>
      <c r="S34" s="5868">
        <f t="shared" si="27"/>
        <v>0</v>
      </c>
      <c r="T34" s="5868">
        <f t="shared" si="27"/>
        <v>0</v>
      </c>
      <c r="U34" s="5868">
        <f t="shared" si="27"/>
        <v>0</v>
      </c>
      <c r="V34" s="5868">
        <f t="shared" si="27"/>
        <v>0</v>
      </c>
      <c r="W34" s="5868">
        <f t="shared" si="27"/>
        <v>0</v>
      </c>
      <c r="X34" s="5868">
        <f t="shared" si="27"/>
        <v>0</v>
      </c>
      <c r="Y34" s="5868">
        <f t="shared" si="27"/>
        <v>0</v>
      </c>
      <c r="Z34" s="4823"/>
      <c r="AA34" s="5868">
        <f t="shared" si="28"/>
        <v>0</v>
      </c>
      <c r="AB34" s="5868">
        <f t="shared" si="28"/>
        <v>0</v>
      </c>
      <c r="AC34" s="5868">
        <f t="shared" si="28"/>
        <v>0</v>
      </c>
      <c r="AD34" s="5868">
        <f t="shared" si="28"/>
        <v>0</v>
      </c>
      <c r="AE34" s="5868">
        <f t="shared" si="28"/>
        <v>0</v>
      </c>
      <c r="AF34" s="5868">
        <f t="shared" si="28"/>
        <v>0</v>
      </c>
      <c r="AG34" s="5868">
        <f t="shared" si="28"/>
        <v>0</v>
      </c>
      <c r="AH34" s="5868">
        <f t="shared" si="28"/>
        <v>0</v>
      </c>
      <c r="AI34" s="5868">
        <f t="shared" si="28"/>
        <v>0</v>
      </c>
      <c r="AJ34" s="4823"/>
      <c r="AK34" s="5868">
        <f t="shared" ref="AK34:AS39" si="30">IF(AK$30,ROUND(D34,0),0)</f>
        <v>0</v>
      </c>
      <c r="AL34" s="5868">
        <f t="shared" si="30"/>
        <v>0</v>
      </c>
      <c r="AM34" s="5868">
        <f t="shared" si="30"/>
        <v>0</v>
      </c>
      <c r="AN34" s="5868">
        <f t="shared" si="30"/>
        <v>0</v>
      </c>
      <c r="AO34" s="5868">
        <f t="shared" si="30"/>
        <v>0</v>
      </c>
      <c r="AP34" s="5868">
        <f t="shared" si="30"/>
        <v>0</v>
      </c>
      <c r="AQ34" s="5868">
        <f t="shared" si="30"/>
        <v>0</v>
      </c>
      <c r="AR34" s="5868">
        <f t="shared" si="30"/>
        <v>0</v>
      </c>
      <c r="AS34" s="5868">
        <f t="shared" si="30"/>
        <v>0</v>
      </c>
    </row>
    <row r="35" spans="1:45" ht="13.5" customHeight="1">
      <c r="A35" s="1145"/>
      <c r="B35" s="1336" t="s">
        <v>151</v>
      </c>
      <c r="C35" s="2578" t="s">
        <v>164</v>
      </c>
      <c r="D35" s="2467"/>
      <c r="E35" s="2468"/>
      <c r="F35" s="2468"/>
      <c r="G35" s="2469"/>
      <c r="H35" s="2469"/>
      <c r="I35" s="2469"/>
      <c r="J35" s="2469"/>
      <c r="K35" s="2469"/>
      <c r="L35" s="2470"/>
      <c r="M35" s="5870">
        <f>SUM(Q35:Y35)</f>
        <v>0</v>
      </c>
      <c r="N35" s="5870">
        <f>SUM(AA35:AI35)</f>
        <v>0</v>
      </c>
      <c r="O35" s="5870">
        <f>SUM(AK35:AS35)</f>
        <v>0</v>
      </c>
      <c r="P35" s="38"/>
      <c r="Q35" s="5868">
        <f t="shared" si="27"/>
        <v>0</v>
      </c>
      <c r="R35" s="5868">
        <f t="shared" si="27"/>
        <v>0</v>
      </c>
      <c r="S35" s="5868">
        <f t="shared" si="27"/>
        <v>0</v>
      </c>
      <c r="T35" s="5868">
        <f t="shared" si="27"/>
        <v>0</v>
      </c>
      <c r="U35" s="5868">
        <f t="shared" si="27"/>
        <v>0</v>
      </c>
      <c r="V35" s="5868">
        <f t="shared" si="27"/>
        <v>0</v>
      </c>
      <c r="W35" s="5868">
        <f t="shared" si="27"/>
        <v>0</v>
      </c>
      <c r="X35" s="5868">
        <f t="shared" si="27"/>
        <v>0</v>
      </c>
      <c r="Y35" s="5868">
        <f t="shared" si="27"/>
        <v>0</v>
      </c>
      <c r="Z35" s="4823"/>
      <c r="AA35" s="5868">
        <f t="shared" si="28"/>
        <v>0</v>
      </c>
      <c r="AB35" s="5868">
        <f t="shared" si="28"/>
        <v>0</v>
      </c>
      <c r="AC35" s="5868">
        <f t="shared" si="28"/>
        <v>0</v>
      </c>
      <c r="AD35" s="5868">
        <f t="shared" si="28"/>
        <v>0</v>
      </c>
      <c r="AE35" s="5868">
        <f t="shared" si="28"/>
        <v>0</v>
      </c>
      <c r="AF35" s="5868">
        <f t="shared" si="28"/>
        <v>0</v>
      </c>
      <c r="AG35" s="5868">
        <f t="shared" si="28"/>
        <v>0</v>
      </c>
      <c r="AH35" s="5868">
        <f t="shared" si="28"/>
        <v>0</v>
      </c>
      <c r="AI35" s="5868">
        <f t="shared" si="28"/>
        <v>0</v>
      </c>
      <c r="AJ35" s="4823"/>
      <c r="AK35" s="5868">
        <f t="shared" si="30"/>
        <v>0</v>
      </c>
      <c r="AL35" s="5868">
        <f t="shared" si="30"/>
        <v>0</v>
      </c>
      <c r="AM35" s="5868">
        <f t="shared" si="30"/>
        <v>0</v>
      </c>
      <c r="AN35" s="5868">
        <f t="shared" si="30"/>
        <v>0</v>
      </c>
      <c r="AO35" s="5868">
        <f t="shared" si="30"/>
        <v>0</v>
      </c>
      <c r="AP35" s="5868">
        <f t="shared" si="30"/>
        <v>0</v>
      </c>
      <c r="AQ35" s="5868">
        <f t="shared" si="30"/>
        <v>0</v>
      </c>
      <c r="AR35" s="5868">
        <f t="shared" si="30"/>
        <v>0</v>
      </c>
      <c r="AS35" s="5868">
        <f t="shared" si="30"/>
        <v>0</v>
      </c>
    </row>
    <row r="36" spans="1:45" ht="26.25" customHeight="1">
      <c r="A36" s="1145"/>
      <c r="B36" s="3935" t="s">
        <v>200</v>
      </c>
      <c r="C36" s="1158" t="s">
        <v>705</v>
      </c>
      <c r="D36" s="5113"/>
      <c r="E36" s="5114"/>
      <c r="F36" s="5114"/>
      <c r="G36" s="5114"/>
      <c r="H36" s="5114"/>
      <c r="I36" s="5114"/>
      <c r="J36" s="5114"/>
      <c r="K36" s="5114"/>
      <c r="L36" s="5115"/>
      <c r="M36" s="5870">
        <f>SUM(Q36:Y36)</f>
        <v>0</v>
      </c>
      <c r="N36" s="5870">
        <f>SUM(AA36:AI36)</f>
        <v>0</v>
      </c>
      <c r="O36" s="5870">
        <f>SUM(AK36:AS36)</f>
        <v>0</v>
      </c>
      <c r="P36" s="23"/>
      <c r="Q36" s="5868">
        <f t="shared" si="27"/>
        <v>0</v>
      </c>
      <c r="R36" s="5868">
        <f t="shared" si="27"/>
        <v>0</v>
      </c>
      <c r="S36" s="5868">
        <f t="shared" si="27"/>
        <v>0</v>
      </c>
      <c r="T36" s="5868">
        <f t="shared" si="27"/>
        <v>0</v>
      </c>
      <c r="U36" s="5868">
        <f t="shared" si="27"/>
        <v>0</v>
      </c>
      <c r="V36" s="5868">
        <f t="shared" si="27"/>
        <v>0</v>
      </c>
      <c r="W36" s="5868">
        <f t="shared" si="27"/>
        <v>0</v>
      </c>
      <c r="X36" s="5868">
        <f t="shared" si="27"/>
        <v>0</v>
      </c>
      <c r="Y36" s="5868">
        <f t="shared" si="27"/>
        <v>0</v>
      </c>
      <c r="Z36" s="128"/>
      <c r="AA36" s="5868">
        <f t="shared" si="28"/>
        <v>0</v>
      </c>
      <c r="AB36" s="5868">
        <f t="shared" si="28"/>
        <v>0</v>
      </c>
      <c r="AC36" s="5868">
        <f t="shared" si="28"/>
        <v>0</v>
      </c>
      <c r="AD36" s="5868">
        <f t="shared" si="28"/>
        <v>0</v>
      </c>
      <c r="AE36" s="5868">
        <f t="shared" si="28"/>
        <v>0</v>
      </c>
      <c r="AF36" s="5868">
        <f t="shared" si="28"/>
        <v>0</v>
      </c>
      <c r="AG36" s="5868">
        <f t="shared" si="28"/>
        <v>0</v>
      </c>
      <c r="AH36" s="5868">
        <f t="shared" si="28"/>
        <v>0</v>
      </c>
      <c r="AI36" s="5868">
        <f t="shared" si="28"/>
        <v>0</v>
      </c>
      <c r="AJ36" s="128"/>
      <c r="AK36" s="5868">
        <f t="shared" si="30"/>
        <v>0</v>
      </c>
      <c r="AL36" s="5868">
        <f t="shared" si="30"/>
        <v>0</v>
      </c>
      <c r="AM36" s="5868">
        <f t="shared" si="30"/>
        <v>0</v>
      </c>
      <c r="AN36" s="5868">
        <f t="shared" si="30"/>
        <v>0</v>
      </c>
      <c r="AO36" s="5868">
        <f t="shared" si="30"/>
        <v>0</v>
      </c>
      <c r="AP36" s="5868">
        <f t="shared" si="30"/>
        <v>0</v>
      </c>
      <c r="AQ36" s="5868">
        <f t="shared" si="30"/>
        <v>0</v>
      </c>
      <c r="AR36" s="5868">
        <f t="shared" si="30"/>
        <v>0</v>
      </c>
      <c r="AS36" s="5868">
        <f t="shared" si="30"/>
        <v>0</v>
      </c>
    </row>
    <row r="37" spans="1:45">
      <c r="A37" s="1145"/>
      <c r="B37" s="6046" t="s">
        <v>101</v>
      </c>
      <c r="C37" s="1156" t="s">
        <v>100</v>
      </c>
      <c r="D37" s="2467"/>
      <c r="E37" s="2468"/>
      <c r="F37" s="2468"/>
      <c r="G37" s="2469"/>
      <c r="H37" s="2469"/>
      <c r="I37" s="2469"/>
      <c r="J37" s="2469"/>
      <c r="K37" s="2469"/>
      <c r="L37" s="2470"/>
      <c r="M37" s="5870">
        <f>SUM(Q37:Y37)</f>
        <v>0</v>
      </c>
      <c r="N37" s="5870">
        <f>SUM(AA37:AI37)</f>
        <v>0</v>
      </c>
      <c r="O37" s="5870">
        <f>SUM(AK37:AS37)</f>
        <v>0</v>
      </c>
      <c r="P37" s="23"/>
      <c r="Q37" s="5868">
        <f t="shared" si="27"/>
        <v>0</v>
      </c>
      <c r="R37" s="5868">
        <f t="shared" si="27"/>
        <v>0</v>
      </c>
      <c r="S37" s="5868">
        <f t="shared" si="27"/>
        <v>0</v>
      </c>
      <c r="T37" s="5868">
        <f t="shared" si="27"/>
        <v>0</v>
      </c>
      <c r="U37" s="5868">
        <f t="shared" si="27"/>
        <v>0</v>
      </c>
      <c r="V37" s="5868">
        <f t="shared" si="27"/>
        <v>0</v>
      </c>
      <c r="W37" s="5868">
        <f t="shared" si="27"/>
        <v>0</v>
      </c>
      <c r="X37" s="5868">
        <f t="shared" si="27"/>
        <v>0</v>
      </c>
      <c r="Y37" s="5868">
        <f t="shared" si="27"/>
        <v>0</v>
      </c>
      <c r="Z37" s="128"/>
      <c r="AA37" s="5868">
        <f t="shared" si="28"/>
        <v>0</v>
      </c>
      <c r="AB37" s="5868">
        <f t="shared" si="28"/>
        <v>0</v>
      </c>
      <c r="AC37" s="5868">
        <f t="shared" si="28"/>
        <v>0</v>
      </c>
      <c r="AD37" s="5868">
        <f t="shared" si="28"/>
        <v>0</v>
      </c>
      <c r="AE37" s="5868">
        <f t="shared" si="28"/>
        <v>0</v>
      </c>
      <c r="AF37" s="5868">
        <f t="shared" si="28"/>
        <v>0</v>
      </c>
      <c r="AG37" s="5868">
        <f t="shared" si="28"/>
        <v>0</v>
      </c>
      <c r="AH37" s="5868">
        <f t="shared" si="28"/>
        <v>0</v>
      </c>
      <c r="AI37" s="5868">
        <f t="shared" si="28"/>
        <v>0</v>
      </c>
      <c r="AJ37" s="128"/>
      <c r="AK37" s="5868">
        <f t="shared" si="30"/>
        <v>0</v>
      </c>
      <c r="AL37" s="5868">
        <f t="shared" si="30"/>
        <v>0</v>
      </c>
      <c r="AM37" s="5868">
        <f t="shared" si="30"/>
        <v>0</v>
      </c>
      <c r="AN37" s="5868">
        <f t="shared" si="30"/>
        <v>0</v>
      </c>
      <c r="AO37" s="5868">
        <f t="shared" si="30"/>
        <v>0</v>
      </c>
      <c r="AP37" s="5868">
        <f t="shared" si="30"/>
        <v>0</v>
      </c>
      <c r="AQ37" s="5868">
        <f t="shared" si="30"/>
        <v>0</v>
      </c>
      <c r="AR37" s="5868">
        <f t="shared" si="30"/>
        <v>0</v>
      </c>
      <c r="AS37" s="5868">
        <f t="shared" si="30"/>
        <v>0</v>
      </c>
    </row>
    <row r="38" spans="1:45">
      <c r="A38" s="1145"/>
      <c r="B38" s="6046" t="s">
        <v>102</v>
      </c>
      <c r="C38" s="1156" t="s">
        <v>2273</v>
      </c>
      <c r="D38" s="2883"/>
      <c r="E38" s="2884"/>
      <c r="F38" s="2884"/>
      <c r="G38" s="2885"/>
      <c r="H38" s="2885"/>
      <c r="I38" s="2885"/>
      <c r="J38" s="2885"/>
      <c r="K38" s="2885"/>
      <c r="L38" s="2886"/>
      <c r="M38" s="2481" t="str">
        <f>" - - - -"</f>
        <v xml:space="preserve"> - - - -</v>
      </c>
      <c r="N38" s="2481" t="str">
        <f>" - - - -"</f>
        <v xml:space="preserve"> - - - -</v>
      </c>
      <c r="O38" s="2481" t="str">
        <f>" - - - -"</f>
        <v xml:space="preserve"> - - - -</v>
      </c>
      <c r="P38" s="128"/>
      <c r="Q38" s="5868"/>
      <c r="R38" s="5868"/>
      <c r="S38" s="5868"/>
      <c r="T38" s="5868"/>
      <c r="U38" s="5868"/>
      <c r="V38" s="5868"/>
      <c r="W38" s="5868"/>
      <c r="X38" s="5868"/>
      <c r="Y38" s="5868"/>
      <c r="Z38" s="128"/>
      <c r="AA38" s="5868"/>
      <c r="AB38" s="5868"/>
      <c r="AC38" s="5868"/>
      <c r="AD38" s="5868"/>
      <c r="AE38" s="5868"/>
      <c r="AF38" s="5868"/>
      <c r="AG38" s="5868"/>
      <c r="AH38" s="5868"/>
      <c r="AI38" s="5868"/>
      <c r="AJ38" s="128"/>
      <c r="AK38" s="5868"/>
      <c r="AL38" s="5868"/>
      <c r="AM38" s="5868"/>
      <c r="AN38" s="5868"/>
      <c r="AO38" s="5868"/>
      <c r="AP38" s="5868"/>
      <c r="AQ38" s="5868"/>
      <c r="AR38" s="5868"/>
      <c r="AS38" s="5868"/>
    </row>
    <row r="39" spans="1:45">
      <c r="A39" s="1145"/>
      <c r="B39" s="6046" t="s">
        <v>103</v>
      </c>
      <c r="C39" s="1156" t="s">
        <v>402</v>
      </c>
      <c r="D39" s="2467"/>
      <c r="E39" s="2468"/>
      <c r="F39" s="2468"/>
      <c r="G39" s="2469"/>
      <c r="H39" s="2469"/>
      <c r="I39" s="2469"/>
      <c r="J39" s="2469"/>
      <c r="K39" s="2469"/>
      <c r="L39" s="2470"/>
      <c r="M39" s="5870">
        <f>SUM(Q39:Y39)</f>
        <v>0</v>
      </c>
      <c r="N39" s="5870">
        <f t="shared" ref="N39:N46" si="31">SUM(AA39:AI39)</f>
        <v>0</v>
      </c>
      <c r="O39" s="5870">
        <f t="shared" ref="O39:O46" si="32">SUM(AK39:AS39)</f>
        <v>0</v>
      </c>
      <c r="P39" s="23"/>
      <c r="Q39" s="5868">
        <f t="shared" si="27"/>
        <v>0</v>
      </c>
      <c r="R39" s="5868">
        <f t="shared" si="27"/>
        <v>0</v>
      </c>
      <c r="S39" s="5868">
        <f t="shared" si="27"/>
        <v>0</v>
      </c>
      <c r="T39" s="5868">
        <f t="shared" si="27"/>
        <v>0</v>
      </c>
      <c r="U39" s="5868">
        <f t="shared" si="27"/>
        <v>0</v>
      </c>
      <c r="V39" s="5868">
        <f t="shared" si="27"/>
        <v>0</v>
      </c>
      <c r="W39" s="5868">
        <f t="shared" si="27"/>
        <v>0</v>
      </c>
      <c r="X39" s="5868">
        <f t="shared" si="27"/>
        <v>0</v>
      </c>
      <c r="Y39" s="5868">
        <f t="shared" si="27"/>
        <v>0</v>
      </c>
      <c r="Z39" s="128"/>
      <c r="AA39" s="5868">
        <f t="shared" si="28"/>
        <v>0</v>
      </c>
      <c r="AB39" s="5868">
        <f t="shared" si="28"/>
        <v>0</v>
      </c>
      <c r="AC39" s="5868">
        <f t="shared" si="28"/>
        <v>0</v>
      </c>
      <c r="AD39" s="5868">
        <f t="shared" si="28"/>
        <v>0</v>
      </c>
      <c r="AE39" s="5868">
        <f t="shared" si="28"/>
        <v>0</v>
      </c>
      <c r="AF39" s="5868">
        <f t="shared" si="28"/>
        <v>0</v>
      </c>
      <c r="AG39" s="5868">
        <f t="shared" si="28"/>
        <v>0</v>
      </c>
      <c r="AH39" s="5868">
        <f t="shared" si="28"/>
        <v>0</v>
      </c>
      <c r="AI39" s="5868">
        <f t="shared" si="28"/>
        <v>0</v>
      </c>
      <c r="AJ39" s="128"/>
      <c r="AK39" s="5868">
        <f t="shared" si="30"/>
        <v>0</v>
      </c>
      <c r="AL39" s="5868">
        <f t="shared" si="30"/>
        <v>0</v>
      </c>
      <c r="AM39" s="5868">
        <f t="shared" si="30"/>
        <v>0</v>
      </c>
      <c r="AN39" s="5868">
        <f t="shared" si="30"/>
        <v>0</v>
      </c>
      <c r="AO39" s="5868">
        <f t="shared" si="30"/>
        <v>0</v>
      </c>
      <c r="AP39" s="5868">
        <f t="shared" si="30"/>
        <v>0</v>
      </c>
      <c r="AQ39" s="5868">
        <f t="shared" si="30"/>
        <v>0</v>
      </c>
      <c r="AR39" s="5868">
        <f t="shared" si="30"/>
        <v>0</v>
      </c>
      <c r="AS39" s="5868">
        <f t="shared" si="30"/>
        <v>0</v>
      </c>
    </row>
    <row r="40" spans="1:45">
      <c r="A40" s="1145"/>
      <c r="B40" s="1155" t="s">
        <v>285</v>
      </c>
      <c r="C40" s="1156" t="s">
        <v>287</v>
      </c>
      <c r="D40" s="2473"/>
      <c r="E40" s="2474"/>
      <c r="F40" s="2474"/>
      <c r="G40" s="2475"/>
      <c r="H40" s="2475"/>
      <c r="I40" s="2475"/>
      <c r="J40" s="2475"/>
      <c r="K40" s="2475"/>
      <c r="L40" s="2476"/>
      <c r="M40" s="2482">
        <f>SUM(Q40:Y40)</f>
        <v>0</v>
      </c>
      <c r="N40" s="2482">
        <f t="shared" si="31"/>
        <v>0</v>
      </c>
      <c r="O40" s="2482">
        <f t="shared" si="32"/>
        <v>0</v>
      </c>
      <c r="P40" s="23"/>
      <c r="Q40" s="5869">
        <f t="shared" ref="Q40:Y40" si="33">IF(Q30,D40,0)</f>
        <v>0</v>
      </c>
      <c r="R40" s="5869">
        <f t="shared" si="33"/>
        <v>0</v>
      </c>
      <c r="S40" s="5869">
        <f t="shared" si="33"/>
        <v>0</v>
      </c>
      <c r="T40" s="5869">
        <f t="shared" si="33"/>
        <v>0</v>
      </c>
      <c r="U40" s="5869">
        <f t="shared" si="33"/>
        <v>0</v>
      </c>
      <c r="V40" s="5869">
        <f t="shared" si="33"/>
        <v>0</v>
      </c>
      <c r="W40" s="5869">
        <f t="shared" si="33"/>
        <v>0</v>
      </c>
      <c r="X40" s="5869">
        <f t="shared" si="33"/>
        <v>0</v>
      </c>
      <c r="Y40" s="5869">
        <f t="shared" si="33"/>
        <v>0</v>
      </c>
      <c r="Z40" s="128"/>
      <c r="AA40" s="5869">
        <f t="shared" ref="AA40:AI40" si="34">IF(AA30,D40,0)</f>
        <v>0</v>
      </c>
      <c r="AB40" s="5869">
        <f t="shared" si="34"/>
        <v>0</v>
      </c>
      <c r="AC40" s="5869">
        <f t="shared" si="34"/>
        <v>0</v>
      </c>
      <c r="AD40" s="5869">
        <f t="shared" si="34"/>
        <v>0</v>
      </c>
      <c r="AE40" s="5869">
        <f t="shared" si="34"/>
        <v>0</v>
      </c>
      <c r="AF40" s="5869">
        <f t="shared" si="34"/>
        <v>0</v>
      </c>
      <c r="AG40" s="5869">
        <f t="shared" si="34"/>
        <v>0</v>
      </c>
      <c r="AH40" s="5869">
        <f t="shared" si="34"/>
        <v>0</v>
      </c>
      <c r="AI40" s="5869">
        <f t="shared" si="34"/>
        <v>0</v>
      </c>
      <c r="AJ40" s="128"/>
      <c r="AK40" s="5869">
        <f t="shared" ref="AK40:AS40" si="35">IF(AK30,D40,0)</f>
        <v>0</v>
      </c>
      <c r="AL40" s="5869">
        <f t="shared" si="35"/>
        <v>0</v>
      </c>
      <c r="AM40" s="5869">
        <f t="shared" si="35"/>
        <v>0</v>
      </c>
      <c r="AN40" s="5869">
        <f t="shared" si="35"/>
        <v>0</v>
      </c>
      <c r="AO40" s="5869">
        <f t="shared" si="35"/>
        <v>0</v>
      </c>
      <c r="AP40" s="5869">
        <f t="shared" si="35"/>
        <v>0</v>
      </c>
      <c r="AQ40" s="5869">
        <f t="shared" si="35"/>
        <v>0</v>
      </c>
      <c r="AR40" s="5869">
        <f t="shared" si="35"/>
        <v>0</v>
      </c>
      <c r="AS40" s="5869">
        <f t="shared" si="35"/>
        <v>0</v>
      </c>
    </row>
    <row r="41" spans="1:45">
      <c r="A41" s="1145"/>
      <c r="B41" s="1155" t="s">
        <v>286</v>
      </c>
      <c r="C41" s="1156" t="s">
        <v>421</v>
      </c>
      <c r="D41" s="2467"/>
      <c r="E41" s="2468"/>
      <c r="F41" s="2468"/>
      <c r="G41" s="2469"/>
      <c r="H41" s="2469"/>
      <c r="I41" s="2469"/>
      <c r="J41" s="2469"/>
      <c r="K41" s="2469"/>
      <c r="L41" s="2470"/>
      <c r="M41" s="5870">
        <f t="shared" ref="M41:M46" si="36">SUM(Q41:Y41)</f>
        <v>0</v>
      </c>
      <c r="N41" s="5870">
        <f t="shared" si="31"/>
        <v>0</v>
      </c>
      <c r="O41" s="5870">
        <f t="shared" si="32"/>
        <v>0</v>
      </c>
      <c r="P41" s="23"/>
      <c r="Q41" s="5868">
        <f t="shared" ref="Q41:Y51" si="37">IF(Q$30,ROUND(D41,0),0)</f>
        <v>0</v>
      </c>
      <c r="R41" s="5868">
        <f t="shared" si="37"/>
        <v>0</v>
      </c>
      <c r="S41" s="5868">
        <f t="shared" si="37"/>
        <v>0</v>
      </c>
      <c r="T41" s="5868">
        <f t="shared" si="37"/>
        <v>0</v>
      </c>
      <c r="U41" s="5868">
        <f t="shared" si="37"/>
        <v>0</v>
      </c>
      <c r="V41" s="5868">
        <f t="shared" si="37"/>
        <v>0</v>
      </c>
      <c r="W41" s="5868">
        <f t="shared" si="37"/>
        <v>0</v>
      </c>
      <c r="X41" s="5868">
        <f t="shared" si="37"/>
        <v>0</v>
      </c>
      <c r="Y41" s="5868">
        <f t="shared" si="37"/>
        <v>0</v>
      </c>
      <c r="Z41" s="128"/>
      <c r="AA41" s="5868">
        <f t="shared" ref="AA41:AI51" si="38">IF(AA$30,ROUND(D41,0),0)</f>
        <v>0</v>
      </c>
      <c r="AB41" s="5868">
        <f t="shared" si="38"/>
        <v>0</v>
      </c>
      <c r="AC41" s="5868">
        <f t="shared" si="38"/>
        <v>0</v>
      </c>
      <c r="AD41" s="5868">
        <f t="shared" si="38"/>
        <v>0</v>
      </c>
      <c r="AE41" s="5868">
        <f t="shared" si="38"/>
        <v>0</v>
      </c>
      <c r="AF41" s="5868">
        <f t="shared" si="38"/>
        <v>0</v>
      </c>
      <c r="AG41" s="5868">
        <f t="shared" si="38"/>
        <v>0</v>
      </c>
      <c r="AH41" s="5868">
        <f t="shared" si="38"/>
        <v>0</v>
      </c>
      <c r="AI41" s="5868">
        <f t="shared" si="38"/>
        <v>0</v>
      </c>
      <c r="AJ41" s="128"/>
      <c r="AK41" s="5868">
        <f t="shared" ref="AK41:AS51" si="39">IF(AK$30,ROUND(D41,0),0)</f>
        <v>0</v>
      </c>
      <c r="AL41" s="5868">
        <f t="shared" si="39"/>
        <v>0</v>
      </c>
      <c r="AM41" s="5868">
        <f t="shared" si="39"/>
        <v>0</v>
      </c>
      <c r="AN41" s="5868">
        <f t="shared" si="39"/>
        <v>0</v>
      </c>
      <c r="AO41" s="5868">
        <f t="shared" si="39"/>
        <v>0</v>
      </c>
      <c r="AP41" s="5868">
        <f t="shared" si="39"/>
        <v>0</v>
      </c>
      <c r="AQ41" s="5868">
        <f t="shared" si="39"/>
        <v>0</v>
      </c>
      <c r="AR41" s="5868">
        <f t="shared" si="39"/>
        <v>0</v>
      </c>
      <c r="AS41" s="5868">
        <f t="shared" si="39"/>
        <v>0</v>
      </c>
    </row>
    <row r="42" spans="1:45">
      <c r="A42" s="1145"/>
      <c r="B42" s="6046" t="s">
        <v>105</v>
      </c>
      <c r="C42" s="1156" t="s">
        <v>706</v>
      </c>
      <c r="D42" s="2467"/>
      <c r="E42" s="2468"/>
      <c r="F42" s="2468"/>
      <c r="G42" s="2469"/>
      <c r="H42" s="2469"/>
      <c r="I42" s="2469"/>
      <c r="J42" s="2469"/>
      <c r="K42" s="2469"/>
      <c r="L42" s="2470"/>
      <c r="M42" s="5870">
        <f t="shared" si="36"/>
        <v>0</v>
      </c>
      <c r="N42" s="5870">
        <f t="shared" si="31"/>
        <v>0</v>
      </c>
      <c r="O42" s="5870">
        <f t="shared" si="32"/>
        <v>0</v>
      </c>
      <c r="P42" s="128"/>
      <c r="Q42" s="5868">
        <f t="shared" si="37"/>
        <v>0</v>
      </c>
      <c r="R42" s="5868">
        <f t="shared" si="37"/>
        <v>0</v>
      </c>
      <c r="S42" s="5868">
        <f t="shared" si="37"/>
        <v>0</v>
      </c>
      <c r="T42" s="5868">
        <f t="shared" si="37"/>
        <v>0</v>
      </c>
      <c r="U42" s="5868">
        <f t="shared" si="37"/>
        <v>0</v>
      </c>
      <c r="V42" s="5868">
        <f t="shared" si="37"/>
        <v>0</v>
      </c>
      <c r="W42" s="5868">
        <f t="shared" si="37"/>
        <v>0</v>
      </c>
      <c r="X42" s="5868">
        <f t="shared" si="37"/>
        <v>0</v>
      </c>
      <c r="Y42" s="5868">
        <f t="shared" si="37"/>
        <v>0</v>
      </c>
      <c r="Z42" s="128"/>
      <c r="AA42" s="5868">
        <f t="shared" si="38"/>
        <v>0</v>
      </c>
      <c r="AB42" s="5868">
        <f t="shared" si="38"/>
        <v>0</v>
      </c>
      <c r="AC42" s="5868">
        <f t="shared" si="38"/>
        <v>0</v>
      </c>
      <c r="AD42" s="5868">
        <f t="shared" si="38"/>
        <v>0</v>
      </c>
      <c r="AE42" s="5868">
        <f t="shared" si="38"/>
        <v>0</v>
      </c>
      <c r="AF42" s="5868">
        <f t="shared" si="38"/>
        <v>0</v>
      </c>
      <c r="AG42" s="5868">
        <f t="shared" si="38"/>
        <v>0</v>
      </c>
      <c r="AH42" s="5868">
        <f t="shared" si="38"/>
        <v>0</v>
      </c>
      <c r="AI42" s="5868">
        <f t="shared" si="38"/>
        <v>0</v>
      </c>
      <c r="AJ42" s="128"/>
      <c r="AK42" s="5868">
        <f t="shared" si="39"/>
        <v>0</v>
      </c>
      <c r="AL42" s="5868">
        <f t="shared" si="39"/>
        <v>0</v>
      </c>
      <c r="AM42" s="5868">
        <f t="shared" si="39"/>
        <v>0</v>
      </c>
      <c r="AN42" s="5868">
        <f t="shared" si="39"/>
        <v>0</v>
      </c>
      <c r="AO42" s="5868">
        <f t="shared" si="39"/>
        <v>0</v>
      </c>
      <c r="AP42" s="5868">
        <f t="shared" si="39"/>
        <v>0</v>
      </c>
      <c r="AQ42" s="5868">
        <f t="shared" si="39"/>
        <v>0</v>
      </c>
      <c r="AR42" s="5868">
        <f t="shared" si="39"/>
        <v>0</v>
      </c>
      <c r="AS42" s="5868">
        <f t="shared" si="39"/>
        <v>0</v>
      </c>
    </row>
    <row r="43" spans="1:45">
      <c r="A43" s="1145"/>
      <c r="B43" s="6046" t="s">
        <v>657</v>
      </c>
      <c r="C43" s="1156" t="s">
        <v>707</v>
      </c>
      <c r="D43" s="2467"/>
      <c r="E43" s="2468"/>
      <c r="F43" s="2468"/>
      <c r="G43" s="2469"/>
      <c r="H43" s="2469"/>
      <c r="I43" s="2469"/>
      <c r="J43" s="2469"/>
      <c r="K43" s="2469"/>
      <c r="L43" s="2470"/>
      <c r="M43" s="5870">
        <f t="shared" si="36"/>
        <v>0</v>
      </c>
      <c r="N43" s="5870">
        <f t="shared" si="31"/>
        <v>0</v>
      </c>
      <c r="O43" s="5870">
        <f t="shared" si="32"/>
        <v>0</v>
      </c>
      <c r="P43" s="128"/>
      <c r="Q43" s="5868">
        <f t="shared" si="37"/>
        <v>0</v>
      </c>
      <c r="R43" s="5868">
        <f t="shared" si="37"/>
        <v>0</v>
      </c>
      <c r="S43" s="5868">
        <f t="shared" si="37"/>
        <v>0</v>
      </c>
      <c r="T43" s="5868">
        <f t="shared" si="37"/>
        <v>0</v>
      </c>
      <c r="U43" s="5868">
        <f t="shared" si="37"/>
        <v>0</v>
      </c>
      <c r="V43" s="5868">
        <f t="shared" si="37"/>
        <v>0</v>
      </c>
      <c r="W43" s="5868">
        <f t="shared" si="37"/>
        <v>0</v>
      </c>
      <c r="X43" s="5868">
        <f t="shared" si="37"/>
        <v>0</v>
      </c>
      <c r="Y43" s="5868">
        <f t="shared" si="37"/>
        <v>0</v>
      </c>
      <c r="Z43" s="128"/>
      <c r="AA43" s="5868">
        <f t="shared" si="38"/>
        <v>0</v>
      </c>
      <c r="AB43" s="5868">
        <f t="shared" si="38"/>
        <v>0</v>
      </c>
      <c r="AC43" s="5868">
        <f t="shared" si="38"/>
        <v>0</v>
      </c>
      <c r="AD43" s="5868">
        <f t="shared" si="38"/>
        <v>0</v>
      </c>
      <c r="AE43" s="5868">
        <f t="shared" si="38"/>
        <v>0</v>
      </c>
      <c r="AF43" s="5868">
        <f t="shared" si="38"/>
        <v>0</v>
      </c>
      <c r="AG43" s="5868">
        <f t="shared" si="38"/>
        <v>0</v>
      </c>
      <c r="AH43" s="5868">
        <f t="shared" si="38"/>
        <v>0</v>
      </c>
      <c r="AI43" s="5868">
        <f t="shared" si="38"/>
        <v>0</v>
      </c>
      <c r="AJ43" s="128"/>
      <c r="AK43" s="5868">
        <f t="shared" si="39"/>
        <v>0</v>
      </c>
      <c r="AL43" s="5868">
        <f t="shared" si="39"/>
        <v>0</v>
      </c>
      <c r="AM43" s="5868">
        <f t="shared" si="39"/>
        <v>0</v>
      </c>
      <c r="AN43" s="5868">
        <f t="shared" si="39"/>
        <v>0</v>
      </c>
      <c r="AO43" s="5868">
        <f t="shared" si="39"/>
        <v>0</v>
      </c>
      <c r="AP43" s="5868">
        <f t="shared" si="39"/>
        <v>0</v>
      </c>
      <c r="AQ43" s="5868">
        <f t="shared" si="39"/>
        <v>0</v>
      </c>
      <c r="AR43" s="5868">
        <f t="shared" si="39"/>
        <v>0</v>
      </c>
      <c r="AS43" s="5868">
        <f t="shared" si="39"/>
        <v>0</v>
      </c>
    </row>
    <row r="44" spans="1:45">
      <c r="A44" s="1145"/>
      <c r="B44" s="6046" t="s">
        <v>220</v>
      </c>
      <c r="C44" s="1156" t="s">
        <v>4663</v>
      </c>
      <c r="D44" s="2467"/>
      <c r="E44" s="2468"/>
      <c r="F44" s="2468"/>
      <c r="G44" s="2469"/>
      <c r="H44" s="2469"/>
      <c r="I44" s="2469"/>
      <c r="J44" s="2469"/>
      <c r="K44" s="2469"/>
      <c r="L44" s="2470"/>
      <c r="M44" s="2481" t="str">
        <f t="shared" ref="M44:O45" si="40">" - - - -"</f>
        <v xml:space="preserve"> - - - -</v>
      </c>
      <c r="N44" s="2481" t="str">
        <f t="shared" si="40"/>
        <v xml:space="preserve"> - - - -</v>
      </c>
      <c r="O44" s="2481" t="str">
        <f t="shared" si="40"/>
        <v xml:space="preserve"> - - - -</v>
      </c>
      <c r="P44" s="128"/>
      <c r="Q44" s="5868">
        <f t="shared" si="37"/>
        <v>0</v>
      </c>
      <c r="R44" s="5868">
        <f t="shared" si="37"/>
        <v>0</v>
      </c>
      <c r="S44" s="5868">
        <f t="shared" si="37"/>
        <v>0</v>
      </c>
      <c r="T44" s="5868">
        <f t="shared" si="37"/>
        <v>0</v>
      </c>
      <c r="U44" s="5868">
        <f t="shared" si="37"/>
        <v>0</v>
      </c>
      <c r="V44" s="5868">
        <f t="shared" si="37"/>
        <v>0</v>
      </c>
      <c r="W44" s="5868">
        <f t="shared" si="37"/>
        <v>0</v>
      </c>
      <c r="X44" s="5868">
        <f t="shared" si="37"/>
        <v>0</v>
      </c>
      <c r="Y44" s="5868">
        <f t="shared" si="37"/>
        <v>0</v>
      </c>
      <c r="Z44" s="128"/>
      <c r="AA44" s="5868">
        <f t="shared" si="38"/>
        <v>0</v>
      </c>
      <c r="AB44" s="5868">
        <f t="shared" si="38"/>
        <v>0</v>
      </c>
      <c r="AC44" s="5868">
        <f t="shared" si="38"/>
        <v>0</v>
      </c>
      <c r="AD44" s="5868">
        <f t="shared" si="38"/>
        <v>0</v>
      </c>
      <c r="AE44" s="5868">
        <f t="shared" si="38"/>
        <v>0</v>
      </c>
      <c r="AF44" s="5868">
        <f t="shared" si="38"/>
        <v>0</v>
      </c>
      <c r="AG44" s="5868">
        <f t="shared" si="38"/>
        <v>0</v>
      </c>
      <c r="AH44" s="5868">
        <f t="shared" si="38"/>
        <v>0</v>
      </c>
      <c r="AI44" s="5868">
        <f t="shared" si="38"/>
        <v>0</v>
      </c>
      <c r="AJ44" s="128"/>
      <c r="AK44" s="5868">
        <f t="shared" si="39"/>
        <v>0</v>
      </c>
      <c r="AL44" s="5868">
        <f t="shared" si="39"/>
        <v>0</v>
      </c>
      <c r="AM44" s="5868">
        <f t="shared" si="39"/>
        <v>0</v>
      </c>
      <c r="AN44" s="5868">
        <f t="shared" si="39"/>
        <v>0</v>
      </c>
      <c r="AO44" s="5868">
        <f t="shared" si="39"/>
        <v>0</v>
      </c>
      <c r="AP44" s="5868">
        <f t="shared" si="39"/>
        <v>0</v>
      </c>
      <c r="AQ44" s="5868">
        <f t="shared" si="39"/>
        <v>0</v>
      </c>
      <c r="AR44" s="5868">
        <f t="shared" si="39"/>
        <v>0</v>
      </c>
      <c r="AS44" s="5868">
        <f t="shared" si="39"/>
        <v>0</v>
      </c>
    </row>
    <row r="45" spans="1:45">
      <c r="A45" s="1145"/>
      <c r="B45" s="6046" t="s">
        <v>658</v>
      </c>
      <c r="C45" s="1156" t="s">
        <v>4664</v>
      </c>
      <c r="D45" s="2467"/>
      <c r="E45" s="2468"/>
      <c r="F45" s="2468"/>
      <c r="G45" s="2469"/>
      <c r="H45" s="2469"/>
      <c r="I45" s="2469"/>
      <c r="J45" s="2469"/>
      <c r="K45" s="2469"/>
      <c r="L45" s="2470"/>
      <c r="M45" s="2481" t="str">
        <f t="shared" si="40"/>
        <v xml:space="preserve"> - - - -</v>
      </c>
      <c r="N45" s="2481" t="str">
        <f t="shared" si="40"/>
        <v xml:space="preserve"> - - - -</v>
      </c>
      <c r="O45" s="2481" t="str">
        <f t="shared" si="40"/>
        <v xml:space="preserve"> - - - -</v>
      </c>
      <c r="P45" s="128"/>
      <c r="Q45" s="5868">
        <f t="shared" si="37"/>
        <v>0</v>
      </c>
      <c r="R45" s="5868">
        <f t="shared" si="37"/>
        <v>0</v>
      </c>
      <c r="S45" s="5868">
        <f t="shared" si="37"/>
        <v>0</v>
      </c>
      <c r="T45" s="5868">
        <f t="shared" si="37"/>
        <v>0</v>
      </c>
      <c r="U45" s="5868">
        <f t="shared" si="37"/>
        <v>0</v>
      </c>
      <c r="V45" s="5868">
        <f t="shared" si="37"/>
        <v>0</v>
      </c>
      <c r="W45" s="5868">
        <f t="shared" si="37"/>
        <v>0</v>
      </c>
      <c r="X45" s="5868">
        <f t="shared" si="37"/>
        <v>0</v>
      </c>
      <c r="Y45" s="5868">
        <f t="shared" si="37"/>
        <v>0</v>
      </c>
      <c r="Z45" s="128"/>
      <c r="AA45" s="5868">
        <f t="shared" si="38"/>
        <v>0</v>
      </c>
      <c r="AB45" s="5868">
        <f t="shared" si="38"/>
        <v>0</v>
      </c>
      <c r="AC45" s="5868">
        <f t="shared" si="38"/>
        <v>0</v>
      </c>
      <c r="AD45" s="5868">
        <f t="shared" si="38"/>
        <v>0</v>
      </c>
      <c r="AE45" s="5868">
        <f t="shared" si="38"/>
        <v>0</v>
      </c>
      <c r="AF45" s="5868">
        <f t="shared" si="38"/>
        <v>0</v>
      </c>
      <c r="AG45" s="5868">
        <f t="shared" si="38"/>
        <v>0</v>
      </c>
      <c r="AH45" s="5868">
        <f t="shared" si="38"/>
        <v>0</v>
      </c>
      <c r="AI45" s="5868">
        <f t="shared" si="38"/>
        <v>0</v>
      </c>
      <c r="AJ45" s="128"/>
      <c r="AK45" s="5868">
        <f t="shared" si="39"/>
        <v>0</v>
      </c>
      <c r="AL45" s="5868">
        <f t="shared" si="39"/>
        <v>0</v>
      </c>
      <c r="AM45" s="5868">
        <f t="shared" si="39"/>
        <v>0</v>
      </c>
      <c r="AN45" s="5868">
        <f t="shared" si="39"/>
        <v>0</v>
      </c>
      <c r="AO45" s="5868">
        <f t="shared" si="39"/>
        <v>0</v>
      </c>
      <c r="AP45" s="5868">
        <f t="shared" si="39"/>
        <v>0</v>
      </c>
      <c r="AQ45" s="5868">
        <f t="shared" si="39"/>
        <v>0</v>
      </c>
      <c r="AR45" s="5868">
        <f t="shared" si="39"/>
        <v>0</v>
      </c>
      <c r="AS45" s="5868">
        <f t="shared" si="39"/>
        <v>0</v>
      </c>
    </row>
    <row r="46" spans="1:45">
      <c r="A46" s="1145"/>
      <c r="B46" s="1336" t="s">
        <v>661</v>
      </c>
      <c r="C46" s="2578" t="s">
        <v>422</v>
      </c>
      <c r="D46" s="2467"/>
      <c r="E46" s="2468"/>
      <c r="F46" s="2468"/>
      <c r="G46" s="2469"/>
      <c r="H46" s="2469"/>
      <c r="I46" s="2469"/>
      <c r="J46" s="2469"/>
      <c r="K46" s="2469"/>
      <c r="L46" s="2470"/>
      <c r="M46" s="5870">
        <f t="shared" si="36"/>
        <v>0</v>
      </c>
      <c r="N46" s="5870">
        <f t="shared" si="31"/>
        <v>0</v>
      </c>
      <c r="O46" s="5870">
        <f t="shared" si="32"/>
        <v>0</v>
      </c>
      <c r="P46" s="23"/>
      <c r="Q46" s="5868">
        <f t="shared" si="37"/>
        <v>0</v>
      </c>
      <c r="R46" s="5868">
        <f t="shared" si="37"/>
        <v>0</v>
      </c>
      <c r="S46" s="5868">
        <f t="shared" si="37"/>
        <v>0</v>
      </c>
      <c r="T46" s="5868">
        <f t="shared" si="37"/>
        <v>0</v>
      </c>
      <c r="U46" s="5868">
        <f t="shared" si="37"/>
        <v>0</v>
      </c>
      <c r="V46" s="5868">
        <f t="shared" si="37"/>
        <v>0</v>
      </c>
      <c r="W46" s="5868">
        <f t="shared" si="37"/>
        <v>0</v>
      </c>
      <c r="X46" s="5868">
        <f t="shared" si="37"/>
        <v>0</v>
      </c>
      <c r="Y46" s="5868">
        <f t="shared" si="37"/>
        <v>0</v>
      </c>
      <c r="Z46" s="128"/>
      <c r="AA46" s="5868">
        <f t="shared" si="38"/>
        <v>0</v>
      </c>
      <c r="AB46" s="5868">
        <f t="shared" si="38"/>
        <v>0</v>
      </c>
      <c r="AC46" s="5868">
        <f t="shared" si="38"/>
        <v>0</v>
      </c>
      <c r="AD46" s="5868">
        <f t="shared" si="38"/>
        <v>0</v>
      </c>
      <c r="AE46" s="5868">
        <f t="shared" si="38"/>
        <v>0</v>
      </c>
      <c r="AF46" s="5868">
        <f t="shared" si="38"/>
        <v>0</v>
      </c>
      <c r="AG46" s="5868">
        <f t="shared" si="38"/>
        <v>0</v>
      </c>
      <c r="AH46" s="5868">
        <f t="shared" si="38"/>
        <v>0</v>
      </c>
      <c r="AI46" s="5868">
        <f t="shared" si="38"/>
        <v>0</v>
      </c>
      <c r="AJ46" s="128"/>
      <c r="AK46" s="5868">
        <f t="shared" si="39"/>
        <v>0</v>
      </c>
      <c r="AL46" s="5868">
        <f t="shared" si="39"/>
        <v>0</v>
      </c>
      <c r="AM46" s="5868">
        <f t="shared" si="39"/>
        <v>0</v>
      </c>
      <c r="AN46" s="5868">
        <f t="shared" si="39"/>
        <v>0</v>
      </c>
      <c r="AO46" s="5868">
        <f t="shared" si="39"/>
        <v>0</v>
      </c>
      <c r="AP46" s="5868">
        <f t="shared" si="39"/>
        <v>0</v>
      </c>
      <c r="AQ46" s="5868">
        <f t="shared" si="39"/>
        <v>0</v>
      </c>
      <c r="AR46" s="5868">
        <f t="shared" si="39"/>
        <v>0</v>
      </c>
      <c r="AS46" s="5868">
        <f t="shared" si="39"/>
        <v>0</v>
      </c>
    </row>
    <row r="47" spans="1:45">
      <c r="A47" s="1145"/>
      <c r="B47" s="6046" t="s">
        <v>662</v>
      </c>
      <c r="C47" s="1156" t="s">
        <v>322</v>
      </c>
      <c r="D47" s="2453"/>
      <c r="E47" s="2454"/>
      <c r="F47" s="2454"/>
      <c r="G47" s="2455"/>
      <c r="H47" s="2455"/>
      <c r="I47" s="2455"/>
      <c r="J47" s="2455"/>
      <c r="K47" s="2455"/>
      <c r="L47" s="2456"/>
      <c r="M47" s="2481" t="str">
        <f>" - - - -"</f>
        <v xml:space="preserve"> - - - -</v>
      </c>
      <c r="N47" s="2481" t="str">
        <f>" - - - -"</f>
        <v xml:space="preserve"> - - - -</v>
      </c>
      <c r="O47" s="2481" t="str">
        <f>" - - - -"</f>
        <v xml:space="preserve"> - - - -</v>
      </c>
      <c r="P47" s="23"/>
      <c r="Q47" s="5868"/>
      <c r="R47" s="5868"/>
      <c r="S47" s="5868"/>
      <c r="T47" s="5868"/>
      <c r="U47" s="5868"/>
      <c r="V47" s="5868"/>
      <c r="W47" s="5868"/>
      <c r="X47" s="5868"/>
      <c r="Y47" s="5868"/>
      <c r="Z47" s="128"/>
      <c r="AA47" s="5868"/>
      <c r="AB47" s="5868"/>
      <c r="AC47" s="5868"/>
      <c r="AD47" s="5868"/>
      <c r="AE47" s="5868"/>
      <c r="AF47" s="5868"/>
      <c r="AG47" s="5868"/>
      <c r="AH47" s="5868"/>
      <c r="AI47" s="5868"/>
      <c r="AJ47" s="128"/>
      <c r="AK47" s="5868"/>
      <c r="AL47" s="5868"/>
      <c r="AM47" s="5868"/>
      <c r="AN47" s="5868"/>
      <c r="AO47" s="5868"/>
      <c r="AP47" s="5868"/>
      <c r="AQ47" s="5868"/>
      <c r="AR47" s="5868"/>
      <c r="AS47" s="5868"/>
    </row>
    <row r="48" spans="1:45">
      <c r="A48" s="1145"/>
      <c r="B48" s="6046" t="s">
        <v>1105</v>
      </c>
      <c r="C48" s="1156" t="s">
        <v>36</v>
      </c>
      <c r="D48" s="2467"/>
      <c r="E48" s="2468"/>
      <c r="F48" s="2468"/>
      <c r="G48" s="2469"/>
      <c r="H48" s="2469"/>
      <c r="I48" s="2469"/>
      <c r="J48" s="2469"/>
      <c r="K48" s="2469"/>
      <c r="L48" s="2470"/>
      <c r="M48" s="5870">
        <f>SUM(Q48:Y48)</f>
        <v>0</v>
      </c>
      <c r="N48" s="5870">
        <f>SUM(AA48:AI48)</f>
        <v>0</v>
      </c>
      <c r="O48" s="5870">
        <f>SUM(AK48:AS48)</f>
        <v>0</v>
      </c>
      <c r="P48" s="23"/>
      <c r="Q48" s="5868">
        <f t="shared" si="37"/>
        <v>0</v>
      </c>
      <c r="R48" s="5868">
        <f t="shared" si="37"/>
        <v>0</v>
      </c>
      <c r="S48" s="5868">
        <f t="shared" si="37"/>
        <v>0</v>
      </c>
      <c r="T48" s="5868">
        <f t="shared" si="37"/>
        <v>0</v>
      </c>
      <c r="U48" s="5868">
        <f t="shared" si="37"/>
        <v>0</v>
      </c>
      <c r="V48" s="5868">
        <f t="shared" si="37"/>
        <v>0</v>
      </c>
      <c r="W48" s="5868">
        <f t="shared" si="37"/>
        <v>0</v>
      </c>
      <c r="X48" s="5868">
        <f t="shared" si="37"/>
        <v>0</v>
      </c>
      <c r="Y48" s="5868">
        <f t="shared" si="37"/>
        <v>0</v>
      </c>
      <c r="Z48" s="128"/>
      <c r="AA48" s="5868">
        <f t="shared" si="38"/>
        <v>0</v>
      </c>
      <c r="AB48" s="5868">
        <f t="shared" si="38"/>
        <v>0</v>
      </c>
      <c r="AC48" s="5868">
        <f t="shared" si="38"/>
        <v>0</v>
      </c>
      <c r="AD48" s="5868">
        <f t="shared" si="38"/>
        <v>0</v>
      </c>
      <c r="AE48" s="5868">
        <f t="shared" si="38"/>
        <v>0</v>
      </c>
      <c r="AF48" s="5868">
        <f t="shared" si="38"/>
        <v>0</v>
      </c>
      <c r="AG48" s="5868">
        <f t="shared" si="38"/>
        <v>0</v>
      </c>
      <c r="AH48" s="5868">
        <f t="shared" si="38"/>
        <v>0</v>
      </c>
      <c r="AI48" s="5868">
        <f t="shared" si="38"/>
        <v>0</v>
      </c>
      <c r="AJ48" s="128"/>
      <c r="AK48" s="5868">
        <f t="shared" si="39"/>
        <v>0</v>
      </c>
      <c r="AL48" s="5868">
        <f t="shared" si="39"/>
        <v>0</v>
      </c>
      <c r="AM48" s="5868">
        <f t="shared" si="39"/>
        <v>0</v>
      </c>
      <c r="AN48" s="5868">
        <f t="shared" si="39"/>
        <v>0</v>
      </c>
      <c r="AO48" s="5868">
        <f t="shared" si="39"/>
        <v>0</v>
      </c>
      <c r="AP48" s="5868">
        <f t="shared" si="39"/>
        <v>0</v>
      </c>
      <c r="AQ48" s="5868">
        <f t="shared" si="39"/>
        <v>0</v>
      </c>
      <c r="AR48" s="5868">
        <f t="shared" si="39"/>
        <v>0</v>
      </c>
      <c r="AS48" s="5868">
        <f t="shared" si="39"/>
        <v>0</v>
      </c>
    </row>
    <row r="49" spans="1:58">
      <c r="A49" s="1145"/>
      <c r="B49" s="1336" t="s">
        <v>1107</v>
      </c>
      <c r="C49" s="2578" t="s">
        <v>222</v>
      </c>
      <c r="D49" s="2467"/>
      <c r="E49" s="2468"/>
      <c r="F49" s="2468"/>
      <c r="G49" s="2469"/>
      <c r="H49" s="2469"/>
      <c r="I49" s="2469"/>
      <c r="J49" s="2469"/>
      <c r="K49" s="2469"/>
      <c r="L49" s="2470"/>
      <c r="M49" s="5870">
        <f>SUM(Q49:Y49)</f>
        <v>0</v>
      </c>
      <c r="N49" s="5870">
        <f>SUM(AA49:AI49)</f>
        <v>0</v>
      </c>
      <c r="O49" s="5870">
        <f>SUM(AK49:AS49)</f>
        <v>0</v>
      </c>
      <c r="P49" s="23"/>
      <c r="Q49" s="5868">
        <f t="shared" si="37"/>
        <v>0</v>
      </c>
      <c r="R49" s="5868">
        <f t="shared" si="37"/>
        <v>0</v>
      </c>
      <c r="S49" s="5868">
        <f t="shared" si="37"/>
        <v>0</v>
      </c>
      <c r="T49" s="5868">
        <f t="shared" si="37"/>
        <v>0</v>
      </c>
      <c r="U49" s="5868">
        <f t="shared" si="37"/>
        <v>0</v>
      </c>
      <c r="V49" s="5868">
        <f t="shared" si="37"/>
        <v>0</v>
      </c>
      <c r="W49" s="5868">
        <f t="shared" si="37"/>
        <v>0</v>
      </c>
      <c r="X49" s="5868">
        <f t="shared" si="37"/>
        <v>0</v>
      </c>
      <c r="Y49" s="5868">
        <f t="shared" si="37"/>
        <v>0</v>
      </c>
      <c r="Z49" s="128"/>
      <c r="AA49" s="5868">
        <f t="shared" si="38"/>
        <v>0</v>
      </c>
      <c r="AB49" s="5868">
        <f t="shared" si="38"/>
        <v>0</v>
      </c>
      <c r="AC49" s="5868">
        <f t="shared" si="38"/>
        <v>0</v>
      </c>
      <c r="AD49" s="5868">
        <f t="shared" si="38"/>
        <v>0</v>
      </c>
      <c r="AE49" s="5868">
        <f t="shared" si="38"/>
        <v>0</v>
      </c>
      <c r="AF49" s="5868">
        <f t="shared" si="38"/>
        <v>0</v>
      </c>
      <c r="AG49" s="5868">
        <f t="shared" si="38"/>
        <v>0</v>
      </c>
      <c r="AH49" s="5868">
        <f t="shared" si="38"/>
        <v>0</v>
      </c>
      <c r="AI49" s="5868">
        <f t="shared" si="38"/>
        <v>0</v>
      </c>
      <c r="AJ49" s="128"/>
      <c r="AK49" s="5868">
        <f t="shared" si="39"/>
        <v>0</v>
      </c>
      <c r="AL49" s="5868">
        <f t="shared" si="39"/>
        <v>0</v>
      </c>
      <c r="AM49" s="5868">
        <f t="shared" si="39"/>
        <v>0</v>
      </c>
      <c r="AN49" s="5868">
        <f t="shared" si="39"/>
        <v>0</v>
      </c>
      <c r="AO49" s="5868">
        <f t="shared" si="39"/>
        <v>0</v>
      </c>
      <c r="AP49" s="5868">
        <f t="shared" si="39"/>
        <v>0</v>
      </c>
      <c r="AQ49" s="5868">
        <f t="shared" si="39"/>
        <v>0</v>
      </c>
      <c r="AR49" s="5868">
        <f t="shared" si="39"/>
        <v>0</v>
      </c>
      <c r="AS49" s="5868">
        <f t="shared" si="39"/>
        <v>0</v>
      </c>
    </row>
    <row r="50" spans="1:58">
      <c r="A50" s="1145"/>
      <c r="B50" s="6046" t="s">
        <v>1109</v>
      </c>
      <c r="C50" s="1156" t="s">
        <v>223</v>
      </c>
      <c r="D50" s="5831" t="b">
        <f>OR(D30="CONV",D30="conv")</f>
        <v>0</v>
      </c>
      <c r="E50" s="5832" t="b">
        <f>OR(E30="CONV",E30="conv")</f>
        <v>0</v>
      </c>
      <c r="F50" s="5832" t="b">
        <f t="shared" ref="F50:L50" si="41">OR(F30="CONV",F30="conv")</f>
        <v>0</v>
      </c>
      <c r="G50" s="5832" t="b">
        <f t="shared" si="41"/>
        <v>0</v>
      </c>
      <c r="H50" s="5832" t="b">
        <f t="shared" si="41"/>
        <v>0</v>
      </c>
      <c r="I50" s="5832" t="b">
        <f t="shared" si="41"/>
        <v>0</v>
      </c>
      <c r="J50" s="5832" t="b">
        <f t="shared" si="41"/>
        <v>0</v>
      </c>
      <c r="K50" s="5832" t="b">
        <f t="shared" si="41"/>
        <v>0</v>
      </c>
      <c r="L50" s="5832" t="b">
        <f t="shared" si="41"/>
        <v>0</v>
      </c>
      <c r="M50" s="2481" t="str">
        <f>" - - - -"</f>
        <v xml:space="preserve"> - - - -</v>
      </c>
      <c r="N50" s="2481" t="str">
        <f>" - - - -"</f>
        <v xml:space="preserve"> - - - -</v>
      </c>
      <c r="O50" s="2481" t="str">
        <f>" - - - -"</f>
        <v xml:space="preserve"> - - - -</v>
      </c>
      <c r="P50" s="23"/>
      <c r="Q50" s="5868">
        <f t="shared" si="37"/>
        <v>0</v>
      </c>
      <c r="R50" s="5868">
        <f t="shared" si="37"/>
        <v>0</v>
      </c>
      <c r="S50" s="5868">
        <f t="shared" si="37"/>
        <v>0</v>
      </c>
      <c r="T50" s="5868">
        <f t="shared" si="37"/>
        <v>0</v>
      </c>
      <c r="U50" s="5868">
        <f t="shared" si="37"/>
        <v>0</v>
      </c>
      <c r="V50" s="5868">
        <f t="shared" si="37"/>
        <v>0</v>
      </c>
      <c r="W50" s="5868">
        <f t="shared" si="37"/>
        <v>0</v>
      </c>
      <c r="X50" s="5868">
        <f t="shared" si="37"/>
        <v>0</v>
      </c>
      <c r="Y50" s="5868">
        <f t="shared" si="37"/>
        <v>0</v>
      </c>
      <c r="Z50" s="128"/>
      <c r="AA50" s="5868"/>
      <c r="AB50" s="5868"/>
      <c r="AC50" s="5868"/>
      <c r="AD50" s="5868"/>
      <c r="AE50" s="5868"/>
      <c r="AF50" s="5868"/>
      <c r="AG50" s="5868"/>
      <c r="AH50" s="5868"/>
      <c r="AI50" s="5868"/>
      <c r="AJ50" s="128"/>
      <c r="AK50" s="5868"/>
      <c r="AL50" s="5868"/>
      <c r="AM50" s="5868"/>
      <c r="AN50" s="5868"/>
      <c r="AO50" s="5868"/>
      <c r="AP50" s="5868"/>
      <c r="AQ50" s="5868"/>
      <c r="AR50" s="5868"/>
      <c r="AS50" s="5868"/>
    </row>
    <row r="51" spans="1:58" ht="13.5" thickBot="1">
      <c r="A51" s="1145"/>
      <c r="B51" s="6047" t="s">
        <v>1111</v>
      </c>
      <c r="C51" s="2585" t="s">
        <v>224</v>
      </c>
      <c r="D51" s="2477"/>
      <c r="E51" s="2478"/>
      <c r="F51" s="2478"/>
      <c r="G51" s="2479"/>
      <c r="H51" s="2479"/>
      <c r="I51" s="2479"/>
      <c r="J51" s="2479"/>
      <c r="K51" s="2479"/>
      <c r="L51" s="2480"/>
      <c r="M51" s="5871">
        <f>SUM(Q51:Y51)</f>
        <v>0</v>
      </c>
      <c r="N51" s="5871">
        <f>SUM(AA51:AI51)</f>
        <v>0</v>
      </c>
      <c r="O51" s="5871">
        <f>SUM(AK51:AS51)</f>
        <v>0</v>
      </c>
      <c r="P51" s="23"/>
      <c r="Q51" s="5868">
        <f t="shared" si="37"/>
        <v>0</v>
      </c>
      <c r="R51" s="5868">
        <f t="shared" si="37"/>
        <v>0</v>
      </c>
      <c r="S51" s="5868">
        <f t="shared" si="37"/>
        <v>0</v>
      </c>
      <c r="T51" s="5868">
        <f t="shared" si="37"/>
        <v>0</v>
      </c>
      <c r="U51" s="5868">
        <f t="shared" si="37"/>
        <v>0</v>
      </c>
      <c r="V51" s="5868">
        <f t="shared" si="37"/>
        <v>0</v>
      </c>
      <c r="W51" s="5868">
        <f t="shared" si="37"/>
        <v>0</v>
      </c>
      <c r="X51" s="5868">
        <f t="shared" si="37"/>
        <v>0</v>
      </c>
      <c r="Y51" s="5868">
        <f t="shared" si="37"/>
        <v>0</v>
      </c>
      <c r="Z51" s="128"/>
      <c r="AA51" s="5868">
        <f t="shared" si="38"/>
        <v>0</v>
      </c>
      <c r="AB51" s="5868">
        <f t="shared" si="38"/>
        <v>0</v>
      </c>
      <c r="AC51" s="5868">
        <f t="shared" si="38"/>
        <v>0</v>
      </c>
      <c r="AD51" s="5868">
        <f t="shared" si="38"/>
        <v>0</v>
      </c>
      <c r="AE51" s="5868">
        <f t="shared" si="38"/>
        <v>0</v>
      </c>
      <c r="AF51" s="5868">
        <f t="shared" si="38"/>
        <v>0</v>
      </c>
      <c r="AG51" s="5868">
        <f t="shared" si="38"/>
        <v>0</v>
      </c>
      <c r="AH51" s="5868">
        <f t="shared" si="38"/>
        <v>0</v>
      </c>
      <c r="AI51" s="5868">
        <f t="shared" si="38"/>
        <v>0</v>
      </c>
      <c r="AJ51" s="128"/>
      <c r="AK51" s="5868">
        <f t="shared" si="39"/>
        <v>0</v>
      </c>
      <c r="AL51" s="5868">
        <f t="shared" si="39"/>
        <v>0</v>
      </c>
      <c r="AM51" s="5868">
        <f t="shared" si="39"/>
        <v>0</v>
      </c>
      <c r="AN51" s="5868">
        <f t="shared" si="39"/>
        <v>0</v>
      </c>
      <c r="AO51" s="5868">
        <f t="shared" si="39"/>
        <v>0</v>
      </c>
      <c r="AP51" s="5868">
        <f t="shared" si="39"/>
        <v>0</v>
      </c>
      <c r="AQ51" s="5868">
        <f t="shared" si="39"/>
        <v>0</v>
      </c>
      <c r="AR51" s="5868">
        <f t="shared" si="39"/>
        <v>0</v>
      </c>
      <c r="AS51" s="5868">
        <f t="shared" si="39"/>
        <v>0</v>
      </c>
    </row>
    <row r="52" spans="1:58" s="586" customFormat="1" ht="17.25" customHeight="1" thickBot="1">
      <c r="A52" s="2367"/>
      <c r="B52" s="2428" t="s">
        <v>708</v>
      </c>
      <c r="C52" s="2429"/>
      <c r="D52" s="5833" t="b">
        <f>OR(D50:L50)</f>
        <v>0</v>
      </c>
      <c r="E52" s="6102"/>
      <c r="F52" s="6102"/>
      <c r="G52" s="6102"/>
      <c r="H52" s="6102"/>
      <c r="I52" s="6102"/>
      <c r="J52" s="6102"/>
      <c r="K52" s="6102"/>
      <c r="L52" s="6102"/>
      <c r="M52" s="2430"/>
      <c r="N52" s="2431"/>
      <c r="O52" s="2431"/>
      <c r="P52" s="100"/>
      <c r="Q52" s="2432"/>
      <c r="R52" s="2432"/>
      <c r="S52" s="2432"/>
      <c r="T52" s="2432"/>
      <c r="U52" s="2432"/>
      <c r="V52" s="2432"/>
      <c r="W52" s="2432"/>
      <c r="X52" s="2432"/>
      <c r="Y52" s="2432"/>
      <c r="Z52" s="100"/>
      <c r="AA52" s="2432"/>
      <c r="AB52" s="2432"/>
      <c r="AC52" s="2432"/>
      <c r="AD52" s="2432"/>
      <c r="AE52" s="2432"/>
      <c r="AF52" s="2432"/>
      <c r="AG52" s="2432"/>
      <c r="AH52" s="2432"/>
      <c r="AI52" s="2432"/>
      <c r="AJ52" s="100"/>
      <c r="AK52" s="2432"/>
      <c r="AL52" s="2432"/>
      <c r="AM52" s="2432"/>
      <c r="AN52" s="2432"/>
      <c r="AO52" s="2432"/>
      <c r="AP52" s="2432"/>
      <c r="AQ52" s="2432"/>
      <c r="AR52" s="2432"/>
      <c r="AS52" s="2432"/>
      <c r="AT52" s="2595"/>
      <c r="AU52" s="2595"/>
      <c r="AV52" s="2595"/>
      <c r="AW52" s="2595"/>
      <c r="AX52" s="2595"/>
      <c r="AY52" s="2595"/>
      <c r="AZ52" s="2599"/>
      <c r="BA52" s="2599"/>
      <c r="BB52" s="2599"/>
      <c r="BC52" s="2599"/>
      <c r="BD52" s="2599"/>
      <c r="BE52" s="2599"/>
      <c r="BF52" s="2599"/>
    </row>
    <row r="53" spans="1:58" ht="17.25" hidden="1" customHeight="1">
      <c r="A53" s="1145"/>
      <c r="B53" s="2887"/>
      <c r="C53" s="2888"/>
      <c r="D53" s="2882" t="str">
        <f>IF(OR(LEFT(D38,1)="D",LEFT(D38,1)="d"),D32,"")</f>
        <v/>
      </c>
      <c r="E53" s="2882" t="str">
        <f t="shared" ref="E53:L53" si="42">IF(OR(LEFT(E38,1)="D",LEFT(E38,1)="d"),E32,"")</f>
        <v/>
      </c>
      <c r="F53" s="2882" t="str">
        <f t="shared" si="42"/>
        <v/>
      </c>
      <c r="G53" s="2882" t="str">
        <f t="shared" si="42"/>
        <v/>
      </c>
      <c r="H53" s="2882" t="str">
        <f t="shared" si="42"/>
        <v/>
      </c>
      <c r="I53" s="2882" t="str">
        <f t="shared" si="42"/>
        <v/>
      </c>
      <c r="J53" s="2882" t="str">
        <f t="shared" si="42"/>
        <v/>
      </c>
      <c r="K53" s="2882" t="str">
        <f t="shared" si="42"/>
        <v/>
      </c>
      <c r="L53" s="2882" t="str">
        <f t="shared" si="42"/>
        <v/>
      </c>
      <c r="M53" s="1145"/>
      <c r="N53" s="2882">
        <f>SUM(D53:L53)</f>
        <v>0</v>
      </c>
      <c r="O53" s="2882">
        <f>SUM(E53:M53)</f>
        <v>0</v>
      </c>
      <c r="P53" s="1171"/>
      <c r="Q53" s="236"/>
      <c r="R53" s="236"/>
      <c r="S53" s="236"/>
      <c r="T53" s="236"/>
      <c r="U53" s="236"/>
      <c r="V53" s="236"/>
      <c r="W53" s="236"/>
      <c r="X53" s="236"/>
      <c r="Y53" s="236"/>
      <c r="Z53" s="1171"/>
      <c r="AA53" s="236"/>
      <c r="AB53" s="236"/>
      <c r="AC53" s="236"/>
      <c r="AD53" s="236"/>
      <c r="AE53" s="236"/>
      <c r="AF53" s="236"/>
      <c r="AG53" s="236"/>
      <c r="AH53" s="236"/>
      <c r="AI53" s="236"/>
      <c r="AJ53" s="1171"/>
      <c r="AK53" s="236"/>
      <c r="AL53" s="236"/>
      <c r="AM53" s="236"/>
      <c r="AN53" s="236"/>
      <c r="AO53" s="236"/>
      <c r="AP53" s="236"/>
      <c r="AQ53" s="236"/>
      <c r="AR53" s="236"/>
      <c r="AS53" s="236"/>
    </row>
    <row r="54" spans="1:58" ht="17.25" hidden="1" customHeight="1" thickBot="1">
      <c r="A54" s="1145"/>
      <c r="B54" s="2887"/>
      <c r="C54" s="2888"/>
      <c r="D54" s="2882" t="str">
        <f>IF(OR(LEFT(D38,1)="D",LEFT(D38,1)="d"),SUM(D46,D49),"")</f>
        <v/>
      </c>
      <c r="E54" s="2882" t="str">
        <f t="shared" ref="E54:L54" si="43">IF(OR(LEFT(E38,1)="D",LEFT(E38,1)="d"),SUM(E46,E49),"")</f>
        <v/>
      </c>
      <c r="F54" s="2882" t="str">
        <f t="shared" si="43"/>
        <v/>
      </c>
      <c r="G54" s="2882" t="str">
        <f t="shared" si="43"/>
        <v/>
      </c>
      <c r="H54" s="2882" t="str">
        <f t="shared" si="43"/>
        <v/>
      </c>
      <c r="I54" s="2882" t="str">
        <f t="shared" si="43"/>
        <v/>
      </c>
      <c r="J54" s="2882" t="str">
        <f t="shared" si="43"/>
        <v/>
      </c>
      <c r="K54" s="2882" t="str">
        <f t="shared" si="43"/>
        <v/>
      </c>
      <c r="L54" s="2882" t="str">
        <f t="shared" si="43"/>
        <v/>
      </c>
      <c r="M54" s="2891"/>
      <c r="N54" s="2882">
        <f>SUM(D54:L54)</f>
        <v>0</v>
      </c>
      <c r="O54" s="2882">
        <f>SUM(E54:M54)</f>
        <v>0</v>
      </c>
      <c r="P54" s="1171"/>
      <c r="Q54" s="236"/>
      <c r="R54" s="236"/>
      <c r="S54" s="236"/>
      <c r="T54" s="236"/>
      <c r="U54" s="236"/>
      <c r="V54" s="236"/>
      <c r="W54" s="236"/>
      <c r="X54" s="236"/>
      <c r="Y54" s="236"/>
      <c r="Z54" s="1171"/>
      <c r="AA54" s="236"/>
      <c r="AB54" s="236"/>
      <c r="AC54" s="236"/>
      <c r="AD54" s="236"/>
      <c r="AE54" s="236"/>
      <c r="AF54" s="236"/>
      <c r="AG54" s="236"/>
      <c r="AH54" s="236"/>
      <c r="AI54" s="236"/>
      <c r="AJ54" s="1171"/>
      <c r="AK54" s="236"/>
      <c r="AL54" s="236"/>
      <c r="AM54" s="236"/>
      <c r="AN54" s="236"/>
      <c r="AO54" s="236"/>
      <c r="AP54" s="236"/>
      <c r="AQ54" s="236"/>
      <c r="AR54" s="236"/>
      <c r="AS54" s="236"/>
    </row>
    <row r="55" spans="1:58" ht="42" customHeight="1" thickTop="1" thickBot="1">
      <c r="A55" s="2433"/>
      <c r="B55" s="2447" t="s">
        <v>1991</v>
      </c>
      <c r="C55" s="2434"/>
      <c r="D55" s="2435"/>
      <c r="E55" s="2436"/>
      <c r="F55" s="2435"/>
      <c r="G55" s="2435"/>
      <c r="H55" s="2435"/>
      <c r="I55" s="2437"/>
      <c r="J55" s="2437"/>
      <c r="K55" s="2438"/>
      <c r="L55" s="2438"/>
      <c r="M55" s="2438"/>
      <c r="N55" s="2438"/>
      <c r="O55" s="2438"/>
    </row>
    <row r="56" spans="1:58" ht="49.5" customHeight="1" thickTop="1" thickBot="1">
      <c r="A56" s="1145"/>
      <c r="B56" s="2889"/>
      <c r="C56" s="2889" t="s">
        <v>225</v>
      </c>
      <c r="D56" s="2890" t="s">
        <v>476</v>
      </c>
      <c r="E56" s="2527" t="s">
        <v>4660</v>
      </c>
      <c r="F56" s="2527" t="s">
        <v>4477</v>
      </c>
      <c r="G56" s="461"/>
      <c r="H56" s="461"/>
      <c r="I56" s="461"/>
      <c r="J56" s="461"/>
      <c r="K56" s="461"/>
      <c r="L56" s="461"/>
      <c r="M56" s="461"/>
      <c r="N56" s="461"/>
      <c r="O56" s="461"/>
      <c r="P56" s="461"/>
      <c r="Q56" s="85"/>
      <c r="R56" s="350"/>
      <c r="S56" s="350"/>
      <c r="T56" s="350"/>
      <c r="U56" s="350"/>
      <c r="V56" s="350"/>
      <c r="W56" s="350"/>
      <c r="X56" s="350"/>
      <c r="Y56" s="350"/>
      <c r="Z56" s="461"/>
      <c r="AA56" s="85"/>
      <c r="AB56" s="350"/>
      <c r="AC56" s="350"/>
      <c r="AD56" s="350"/>
      <c r="AE56" s="350"/>
      <c r="AF56" s="350"/>
      <c r="AG56" s="350"/>
      <c r="AH56" s="350"/>
      <c r="AI56" s="350"/>
      <c r="AJ56" s="461"/>
      <c r="AK56" s="85"/>
      <c r="AL56" s="350"/>
      <c r="AM56" s="350"/>
      <c r="AN56" s="350"/>
      <c r="AO56" s="350"/>
      <c r="AP56" s="350"/>
      <c r="AQ56" s="350"/>
      <c r="AR56" s="350"/>
      <c r="AS56" s="350"/>
    </row>
    <row r="57" spans="1:58" ht="13.5" thickBot="1">
      <c r="A57" s="1145"/>
      <c r="B57" s="1147"/>
      <c r="C57" s="1150"/>
      <c r="D57" s="1151" t="s">
        <v>410</v>
      </c>
      <c r="E57" s="1152" t="s">
        <v>393</v>
      </c>
      <c r="F57" s="4922" t="s">
        <v>4476</v>
      </c>
      <c r="G57" s="2490" t="s">
        <v>1935</v>
      </c>
      <c r="H57" s="128"/>
      <c r="I57" s="461"/>
      <c r="J57" s="3522" t="s">
        <v>3869</v>
      </c>
      <c r="K57" s="416"/>
      <c r="L57" s="128"/>
      <c r="M57" s="23"/>
      <c r="N57" s="460"/>
      <c r="O57" s="460"/>
      <c r="P57" s="23"/>
      <c r="Q57" s="23"/>
      <c r="R57" s="42"/>
      <c r="S57" s="42"/>
      <c r="T57" s="42"/>
      <c r="U57" s="42"/>
      <c r="V57" s="42"/>
      <c r="W57" s="42"/>
      <c r="X57" s="42"/>
      <c r="Y57" s="42"/>
      <c r="Z57" s="23"/>
      <c r="AA57" s="23"/>
      <c r="AB57" s="42"/>
      <c r="AC57" s="42"/>
      <c r="AD57" s="42"/>
      <c r="AE57" s="42"/>
      <c r="AF57" s="42"/>
      <c r="AG57" s="42"/>
      <c r="AH57" s="42"/>
      <c r="AI57" s="42"/>
      <c r="AJ57" s="23"/>
      <c r="AK57" s="23"/>
      <c r="AL57" s="42"/>
      <c r="AM57" s="42"/>
      <c r="AN57" s="42"/>
      <c r="AO57" s="42"/>
      <c r="AP57" s="42"/>
      <c r="AQ57" s="42"/>
      <c r="AR57" s="42"/>
      <c r="AS57" s="42"/>
    </row>
    <row r="58" spans="1:58" ht="13.5" customHeight="1">
      <c r="A58" s="1145"/>
      <c r="B58" s="3934" t="s">
        <v>148</v>
      </c>
      <c r="C58" s="2584" t="s">
        <v>471</v>
      </c>
      <c r="D58" s="5875">
        <f>SUM(M4,M31)</f>
        <v>0</v>
      </c>
      <c r="E58" s="5875">
        <f>SUM(N4,N31)</f>
        <v>0</v>
      </c>
      <c r="F58" s="5875">
        <f>SUM(O4,O31)</f>
        <v>0</v>
      </c>
      <c r="G58" s="2586" t="s">
        <v>4463</v>
      </c>
      <c r="H58" s="400"/>
      <c r="I58" s="1339">
        <f>IF(E58=0,0,ROUND(E58,0))</f>
        <v>0</v>
      </c>
      <c r="J58" s="3522" t="s">
        <v>3871</v>
      </c>
      <c r="K58" s="416"/>
      <c r="L58" s="400"/>
      <c r="M58" s="400"/>
      <c r="N58" s="851"/>
      <c r="O58" s="851"/>
      <c r="P58" s="38"/>
      <c r="Q58" s="38"/>
      <c r="R58" s="236"/>
      <c r="S58" s="236"/>
      <c r="T58" s="236"/>
      <c r="U58" s="236"/>
      <c r="V58" s="236"/>
      <c r="W58" s="236"/>
      <c r="X58" s="236"/>
      <c r="Y58" s="236"/>
      <c r="Z58" s="38"/>
      <c r="AA58" s="38"/>
      <c r="AB58" s="236"/>
      <c r="AC58" s="236"/>
      <c r="AD58" s="236"/>
      <c r="AE58" s="236"/>
      <c r="AF58" s="236"/>
      <c r="AG58" s="236"/>
      <c r="AH58" s="236"/>
      <c r="AI58" s="236"/>
      <c r="AJ58" s="38"/>
      <c r="AK58" s="38"/>
      <c r="AL58" s="236"/>
      <c r="AM58" s="236"/>
      <c r="AN58" s="236"/>
      <c r="AO58" s="236"/>
      <c r="AP58" s="236"/>
      <c r="AQ58" s="236"/>
      <c r="AR58" s="236"/>
      <c r="AS58" s="236"/>
    </row>
    <row r="59" spans="1:58" ht="13.5" customHeight="1">
      <c r="A59" s="1145"/>
      <c r="B59" s="453" t="s">
        <v>341</v>
      </c>
      <c r="C59" s="2578" t="s">
        <v>280</v>
      </c>
      <c r="D59" s="5876">
        <f>SUM(IRA_Taxable_You,IRA_Taxable_Spouse)</f>
        <v>0</v>
      </c>
      <c r="E59" s="5876">
        <f>SUM(PA_Taxable_You,PA_Taxable_Spouse)</f>
        <v>0</v>
      </c>
      <c r="F59" s="1159" t="str">
        <f>" - - - -"</f>
        <v xml:space="preserve"> - - - -</v>
      </c>
      <c r="G59" s="2586" t="s">
        <v>4464</v>
      </c>
      <c r="H59" s="400"/>
      <c r="I59" s="48"/>
      <c r="J59" s="3522" t="s">
        <v>3870</v>
      </c>
      <c r="K59" s="416"/>
      <c r="L59" s="400"/>
      <c r="M59" s="400"/>
      <c r="N59" s="851"/>
      <c r="O59" s="851"/>
      <c r="P59" s="38"/>
      <c r="Q59" s="38"/>
      <c r="R59" s="236"/>
      <c r="S59" s="236"/>
      <c r="T59" s="236"/>
      <c r="U59" s="236"/>
      <c r="V59" s="236"/>
      <c r="W59" s="236"/>
      <c r="X59" s="236"/>
      <c r="Y59" s="236"/>
      <c r="Z59" s="38"/>
      <c r="AA59" s="38"/>
      <c r="AB59" s="236"/>
      <c r="AC59" s="236"/>
      <c r="AD59" s="236"/>
      <c r="AE59" s="236"/>
      <c r="AF59" s="236"/>
      <c r="AG59" s="236"/>
      <c r="AH59" s="236"/>
      <c r="AI59" s="236"/>
      <c r="AJ59" s="38"/>
      <c r="AK59" s="38"/>
      <c r="AL59" s="236"/>
      <c r="AM59" s="236"/>
      <c r="AN59" s="236"/>
      <c r="AO59" s="236"/>
      <c r="AP59" s="236"/>
      <c r="AQ59" s="236"/>
      <c r="AR59" s="236"/>
      <c r="AS59" s="236"/>
    </row>
    <row r="60" spans="1:58" ht="13.5" customHeight="1">
      <c r="A60" s="1145"/>
      <c r="B60" s="1155" t="s">
        <v>342</v>
      </c>
      <c r="C60" s="1156" t="s">
        <v>3050</v>
      </c>
      <c r="D60" s="1159" t="str">
        <f>" - - - -"</f>
        <v xml:space="preserve"> - - - -</v>
      </c>
      <c r="E60" s="1159" t="str">
        <f>" - - - -"</f>
        <v xml:space="preserve"> - - - -</v>
      </c>
      <c r="F60" s="1159" t="str">
        <f>" - - - -"</f>
        <v xml:space="preserve"> - - - -</v>
      </c>
      <c r="G60" s="400"/>
      <c r="H60" s="400"/>
      <c r="I60" s="400"/>
      <c r="J60" s="3522" t="s">
        <v>2776</v>
      </c>
      <c r="K60" s="400"/>
      <c r="L60" s="400"/>
      <c r="M60" s="400"/>
      <c r="N60" s="400"/>
      <c r="O60" s="400"/>
      <c r="P60" s="400"/>
      <c r="Q60" s="38"/>
      <c r="R60" s="236"/>
      <c r="S60" s="236"/>
      <c r="T60" s="236"/>
      <c r="U60" s="236"/>
      <c r="V60" s="236"/>
      <c r="W60" s="236"/>
      <c r="X60" s="236"/>
      <c r="Y60" s="236"/>
      <c r="Z60" s="400"/>
      <c r="AA60" s="38"/>
      <c r="AB60" s="236"/>
      <c r="AC60" s="236"/>
      <c r="AD60" s="236"/>
      <c r="AE60" s="236"/>
      <c r="AF60" s="236"/>
      <c r="AG60" s="236"/>
      <c r="AH60" s="236"/>
      <c r="AI60" s="236"/>
      <c r="AJ60" s="400"/>
      <c r="AK60" s="38"/>
      <c r="AL60" s="236"/>
      <c r="AM60" s="236"/>
      <c r="AN60" s="236"/>
      <c r="AO60" s="236"/>
      <c r="AP60" s="236"/>
      <c r="AQ60" s="236"/>
      <c r="AR60" s="236"/>
      <c r="AS60" s="236"/>
    </row>
    <row r="61" spans="1:58" ht="13.5" customHeight="1">
      <c r="A61" s="1145"/>
      <c r="B61" s="6046" t="s">
        <v>150</v>
      </c>
      <c r="C61" s="1156" t="s">
        <v>704</v>
      </c>
      <c r="D61" s="5877">
        <f t="shared" ref="D61:F64" si="44">SUM(M7,M34)</f>
        <v>0</v>
      </c>
      <c r="E61" s="5877">
        <f t="shared" si="44"/>
        <v>0</v>
      </c>
      <c r="F61" s="5877">
        <f t="shared" si="44"/>
        <v>0</v>
      </c>
      <c r="G61" s="2587"/>
      <c r="H61" s="400"/>
      <c r="I61" s="48"/>
      <c r="J61" s="3522" t="s">
        <v>3872</v>
      </c>
      <c r="K61" s="2491"/>
      <c r="L61" s="400"/>
      <c r="M61" s="400"/>
      <c r="N61" s="851"/>
      <c r="O61" s="851"/>
      <c r="P61" s="38"/>
      <c r="Q61" s="38"/>
      <c r="R61" s="236"/>
      <c r="S61" s="236"/>
      <c r="T61" s="236"/>
      <c r="U61" s="236"/>
      <c r="V61" s="236"/>
      <c r="W61" s="236"/>
      <c r="X61" s="236"/>
      <c r="Y61" s="236"/>
      <c r="Z61" s="38"/>
      <c r="AA61" s="38"/>
      <c r="AB61" s="236"/>
      <c r="AC61" s="236"/>
      <c r="AD61" s="236"/>
      <c r="AE61" s="236"/>
      <c r="AF61" s="236"/>
      <c r="AG61" s="236"/>
      <c r="AH61" s="236"/>
      <c r="AI61" s="236"/>
      <c r="AJ61" s="38"/>
      <c r="AK61" s="38"/>
      <c r="AL61" s="236"/>
      <c r="AM61" s="236"/>
      <c r="AN61" s="236"/>
      <c r="AO61" s="236"/>
      <c r="AP61" s="236"/>
      <c r="AQ61" s="236"/>
      <c r="AR61" s="236"/>
      <c r="AS61" s="236"/>
    </row>
    <row r="62" spans="1:58" ht="13.5" customHeight="1">
      <c r="A62" s="1145"/>
      <c r="B62" s="1336" t="s">
        <v>151</v>
      </c>
      <c r="C62" s="2578" t="s">
        <v>164</v>
      </c>
      <c r="D62" s="5876">
        <f t="shared" si="44"/>
        <v>0</v>
      </c>
      <c r="E62" s="5876">
        <f t="shared" si="44"/>
        <v>0</v>
      </c>
      <c r="F62" s="5876">
        <f t="shared" si="44"/>
        <v>0</v>
      </c>
      <c r="G62" s="2586" t="s">
        <v>4437</v>
      </c>
      <c r="H62" s="400"/>
      <c r="I62" s="48"/>
      <c r="J62" s="3522" t="s">
        <v>4648</v>
      </c>
      <c r="K62" s="400"/>
      <c r="L62" s="400"/>
      <c r="M62" s="400"/>
      <c r="N62" s="851"/>
      <c r="O62" s="851"/>
      <c r="P62" s="38"/>
      <c r="Q62" s="38"/>
      <c r="R62" s="236"/>
      <c r="S62" s="236"/>
      <c r="T62" s="236"/>
      <c r="U62" s="236"/>
      <c r="V62" s="236"/>
      <c r="W62" s="236"/>
      <c r="X62" s="236"/>
      <c r="Y62" s="236"/>
      <c r="Z62" s="38"/>
      <c r="AA62" s="38"/>
      <c r="AB62" s="236"/>
      <c r="AC62" s="236"/>
      <c r="AD62" s="236"/>
      <c r="AE62" s="236"/>
      <c r="AF62" s="236"/>
      <c r="AG62" s="236"/>
      <c r="AH62" s="236"/>
      <c r="AI62" s="236"/>
      <c r="AJ62" s="38"/>
      <c r="AK62" s="38"/>
      <c r="AL62" s="236"/>
      <c r="AM62" s="236"/>
      <c r="AN62" s="236"/>
      <c r="AO62" s="236"/>
      <c r="AP62" s="236"/>
      <c r="AQ62" s="236"/>
      <c r="AR62" s="236"/>
      <c r="AS62" s="236"/>
    </row>
    <row r="63" spans="1:58" ht="26.25" customHeight="1">
      <c r="A63" s="1145"/>
      <c r="B63" s="3935" t="s">
        <v>200</v>
      </c>
      <c r="C63" s="1158" t="s">
        <v>705</v>
      </c>
      <c r="D63" s="5877">
        <f t="shared" si="44"/>
        <v>0</v>
      </c>
      <c r="E63" s="5877">
        <f t="shared" si="44"/>
        <v>0</v>
      </c>
      <c r="F63" s="5877">
        <f t="shared" si="44"/>
        <v>0</v>
      </c>
      <c r="G63" s="2587"/>
      <c r="H63" s="128"/>
      <c r="I63" s="48"/>
      <c r="J63" s="2396"/>
      <c r="K63" s="128"/>
      <c r="L63" s="128"/>
      <c r="M63" s="400"/>
      <c r="N63" s="460"/>
      <c r="O63" s="460"/>
      <c r="P63" s="23"/>
      <c r="Q63" s="23"/>
      <c r="R63" s="42"/>
      <c r="S63" s="42"/>
      <c r="T63" s="42"/>
      <c r="U63" s="42"/>
      <c r="V63" s="42"/>
      <c r="W63" s="42"/>
      <c r="X63" s="42"/>
      <c r="Y63" s="42"/>
      <c r="Z63" s="23"/>
      <c r="AA63" s="23"/>
      <c r="AB63" s="42"/>
      <c r="AC63" s="42"/>
      <c r="AD63" s="42"/>
      <c r="AE63" s="42"/>
      <c r="AF63" s="42"/>
      <c r="AG63" s="42"/>
      <c r="AH63" s="42"/>
      <c r="AI63" s="42"/>
      <c r="AJ63" s="23"/>
      <c r="AK63" s="23"/>
      <c r="AL63" s="42"/>
      <c r="AM63" s="42"/>
      <c r="AN63" s="42"/>
      <c r="AO63" s="42"/>
      <c r="AP63" s="42"/>
      <c r="AQ63" s="42"/>
      <c r="AR63" s="42"/>
      <c r="AS63" s="42"/>
    </row>
    <row r="64" spans="1:58">
      <c r="A64" s="1145"/>
      <c r="B64" s="6046" t="s">
        <v>101</v>
      </c>
      <c r="C64" s="1156" t="s">
        <v>100</v>
      </c>
      <c r="D64" s="5877">
        <f t="shared" si="44"/>
        <v>0</v>
      </c>
      <c r="E64" s="5877">
        <f t="shared" si="44"/>
        <v>0</v>
      </c>
      <c r="F64" s="5877">
        <f t="shared" si="44"/>
        <v>0</v>
      </c>
      <c r="G64" s="2588"/>
      <c r="H64" s="128"/>
      <c r="I64" s="48"/>
      <c r="J64" s="3522" t="s">
        <v>2003</v>
      </c>
      <c r="K64" s="128"/>
      <c r="L64" s="128"/>
      <c r="M64" s="400"/>
      <c r="N64" s="2589"/>
      <c r="O64" s="2589"/>
      <c r="P64" s="14"/>
      <c r="Q64" s="23"/>
      <c r="R64" s="42"/>
      <c r="S64" s="42"/>
      <c r="T64" s="42"/>
      <c r="U64" s="42"/>
      <c r="V64" s="42"/>
      <c r="W64" s="42"/>
      <c r="X64" s="42"/>
      <c r="Y64" s="42"/>
      <c r="Z64" s="14"/>
      <c r="AA64" s="23"/>
      <c r="AB64" s="42"/>
      <c r="AC64" s="42"/>
      <c r="AD64" s="42"/>
      <c r="AE64" s="42"/>
      <c r="AF64" s="42"/>
      <c r="AG64" s="42"/>
      <c r="AH64" s="42"/>
      <c r="AI64" s="42"/>
      <c r="AJ64" s="14"/>
      <c r="AK64" s="23"/>
      <c r="AL64" s="42"/>
      <c r="AM64" s="42"/>
      <c r="AN64" s="42"/>
      <c r="AO64" s="42"/>
      <c r="AP64" s="42"/>
      <c r="AQ64" s="42"/>
      <c r="AR64" s="42"/>
      <c r="AS64" s="42"/>
    </row>
    <row r="65" spans="1:45">
      <c r="A65" s="1145"/>
      <c r="B65" s="6046" t="s">
        <v>102</v>
      </c>
      <c r="C65" s="1156" t="s">
        <v>3060</v>
      </c>
      <c r="D65" s="1159" t="str">
        <f>" - - - -"</f>
        <v xml:space="preserve"> - - - -</v>
      </c>
      <c r="E65" s="5876">
        <f>SUM(N26,N53)</f>
        <v>0</v>
      </c>
      <c r="F65" s="1159" t="str">
        <f>" - - - -"</f>
        <v xml:space="preserve"> - - - -</v>
      </c>
      <c r="G65" s="2892" t="s">
        <v>3059</v>
      </c>
      <c r="H65" s="128"/>
      <c r="I65" s="48"/>
      <c r="J65" s="3522" t="s">
        <v>2004</v>
      </c>
      <c r="K65" s="128"/>
      <c r="L65" s="128"/>
      <c r="M65" s="400"/>
      <c r="N65" s="460"/>
      <c r="O65" s="460"/>
      <c r="P65" s="23"/>
      <c r="Q65" s="23"/>
      <c r="R65" s="42"/>
      <c r="S65" s="42"/>
      <c r="T65" s="42"/>
      <c r="U65" s="42"/>
      <c r="V65" s="42"/>
      <c r="W65" s="42"/>
      <c r="X65" s="42"/>
      <c r="Y65" s="42"/>
      <c r="Z65" s="23"/>
      <c r="AA65" s="23"/>
      <c r="AB65" s="42"/>
      <c r="AC65" s="42"/>
      <c r="AD65" s="42"/>
      <c r="AE65" s="42"/>
      <c r="AF65" s="42"/>
      <c r="AG65" s="42"/>
      <c r="AH65" s="42"/>
      <c r="AI65" s="42"/>
      <c r="AJ65" s="23"/>
      <c r="AK65" s="23"/>
      <c r="AL65" s="42"/>
      <c r="AM65" s="42"/>
      <c r="AN65" s="42"/>
      <c r="AO65" s="42"/>
      <c r="AP65" s="42"/>
      <c r="AQ65" s="42"/>
      <c r="AR65" s="42"/>
      <c r="AS65" s="42"/>
    </row>
    <row r="66" spans="1:45">
      <c r="A66" s="1145"/>
      <c r="B66" s="6046" t="s">
        <v>103</v>
      </c>
      <c r="C66" s="1156" t="s">
        <v>402</v>
      </c>
      <c r="D66" s="1159" t="str">
        <f>" - - - -"</f>
        <v xml:space="preserve"> - - - -</v>
      </c>
      <c r="E66" s="1159" t="str">
        <f>" - - - -"</f>
        <v xml:space="preserve"> - - - -</v>
      </c>
      <c r="F66" s="1159" t="str">
        <f>" - - - -"</f>
        <v xml:space="preserve"> - - - -</v>
      </c>
      <c r="G66" s="2892"/>
      <c r="H66" s="128"/>
      <c r="I66" s="48"/>
      <c r="J66" s="3522" t="s">
        <v>2775</v>
      </c>
      <c r="K66" s="128"/>
      <c r="L66" s="128"/>
      <c r="M66" s="400"/>
      <c r="N66" s="460"/>
      <c r="O66" s="460"/>
      <c r="P66" s="23"/>
      <c r="Q66" s="23"/>
      <c r="R66" s="42"/>
      <c r="S66" s="42"/>
      <c r="T66" s="42"/>
      <c r="U66" s="42"/>
      <c r="V66" s="42"/>
      <c r="W66" s="42"/>
      <c r="X66" s="42"/>
      <c r="Y66" s="42"/>
      <c r="Z66" s="23"/>
      <c r="AA66" s="23"/>
      <c r="AB66" s="42"/>
      <c r="AC66" s="42"/>
      <c r="AD66" s="42"/>
      <c r="AE66" s="42"/>
      <c r="AF66" s="42"/>
      <c r="AG66" s="42"/>
      <c r="AH66" s="42"/>
      <c r="AI66" s="42"/>
      <c r="AJ66" s="23"/>
      <c r="AK66" s="23"/>
      <c r="AL66" s="42"/>
      <c r="AM66" s="42"/>
      <c r="AN66" s="42"/>
      <c r="AO66" s="42"/>
      <c r="AP66" s="42"/>
      <c r="AQ66" s="42"/>
      <c r="AR66" s="42"/>
      <c r="AS66" s="42"/>
    </row>
    <row r="67" spans="1:45">
      <c r="A67" s="1145"/>
      <c r="B67" s="1155" t="s">
        <v>285</v>
      </c>
      <c r="C67" s="1156" t="s">
        <v>166</v>
      </c>
      <c r="D67" s="2590">
        <f t="shared" ref="D67:F70" si="45">SUM(M13,M40)</f>
        <v>0</v>
      </c>
      <c r="E67" s="2590">
        <f t="shared" si="45"/>
        <v>0</v>
      </c>
      <c r="F67" s="2590">
        <f t="shared" si="45"/>
        <v>0</v>
      </c>
      <c r="G67" s="2583"/>
      <c r="H67" s="128"/>
      <c r="I67" s="48"/>
      <c r="J67" s="3522" t="s">
        <v>4649</v>
      </c>
      <c r="K67" s="128"/>
      <c r="L67" s="128"/>
      <c r="M67" s="400"/>
      <c r="N67" s="460"/>
      <c r="O67" s="460"/>
      <c r="P67" s="23"/>
      <c r="Q67" s="23"/>
      <c r="R67" s="42"/>
      <c r="S67" s="42"/>
      <c r="T67" s="42"/>
      <c r="U67" s="42"/>
      <c r="V67" s="42"/>
      <c r="W67" s="42"/>
      <c r="X67" s="42"/>
      <c r="Y67" s="42"/>
      <c r="Z67" s="23"/>
      <c r="AA67" s="23"/>
      <c r="AB67" s="42"/>
      <c r="AC67" s="42"/>
      <c r="AD67" s="42"/>
      <c r="AE67" s="42"/>
      <c r="AF67" s="42"/>
      <c r="AG67" s="42"/>
      <c r="AH67" s="42"/>
      <c r="AI67" s="42"/>
      <c r="AJ67" s="23"/>
      <c r="AK67" s="23"/>
      <c r="AL67" s="42"/>
      <c r="AM67" s="42"/>
      <c r="AN67" s="42"/>
      <c r="AO67" s="42"/>
      <c r="AP67" s="42"/>
      <c r="AQ67" s="42"/>
      <c r="AR67" s="42"/>
      <c r="AS67" s="42"/>
    </row>
    <row r="68" spans="1:45">
      <c r="A68" s="1145"/>
      <c r="B68" s="1155" t="s">
        <v>286</v>
      </c>
      <c r="C68" s="1156" t="s">
        <v>421</v>
      </c>
      <c r="D68" s="5877">
        <f t="shared" si="45"/>
        <v>0</v>
      </c>
      <c r="E68" s="5877">
        <f t="shared" si="45"/>
        <v>0</v>
      </c>
      <c r="F68" s="5877">
        <f t="shared" si="45"/>
        <v>0</v>
      </c>
      <c r="G68" s="2583"/>
      <c r="H68" s="128"/>
      <c r="I68" s="48"/>
      <c r="J68" s="3522" t="s">
        <v>4651</v>
      </c>
      <c r="K68" s="128"/>
      <c r="L68" s="128"/>
      <c r="M68" s="400"/>
      <c r="N68" s="460"/>
      <c r="O68" s="460"/>
      <c r="P68" s="23"/>
      <c r="Q68" s="23"/>
      <c r="R68" s="42"/>
      <c r="S68" s="42"/>
      <c r="T68" s="42"/>
      <c r="U68" s="42"/>
      <c r="V68" s="42"/>
      <c r="W68" s="42"/>
      <c r="X68" s="42"/>
      <c r="Y68" s="42"/>
      <c r="Z68" s="23"/>
      <c r="AA68" s="23"/>
      <c r="AB68" s="42"/>
      <c r="AC68" s="42"/>
      <c r="AD68" s="42"/>
      <c r="AE68" s="42"/>
      <c r="AF68" s="42"/>
      <c r="AG68" s="42"/>
      <c r="AH68" s="42"/>
      <c r="AI68" s="42"/>
      <c r="AJ68" s="23"/>
      <c r="AK68" s="23"/>
      <c r="AL68" s="42"/>
      <c r="AM68" s="42"/>
      <c r="AN68" s="42"/>
      <c r="AO68" s="42"/>
      <c r="AP68" s="42"/>
      <c r="AQ68" s="42"/>
      <c r="AR68" s="42"/>
      <c r="AS68" s="42"/>
    </row>
    <row r="69" spans="1:45">
      <c r="A69" s="1145"/>
      <c r="B69" s="6046" t="s">
        <v>105</v>
      </c>
      <c r="C69" s="1156" t="s">
        <v>706</v>
      </c>
      <c r="D69" s="5877">
        <f t="shared" si="45"/>
        <v>0</v>
      </c>
      <c r="E69" s="5877">
        <f t="shared" si="45"/>
        <v>0</v>
      </c>
      <c r="F69" s="5877">
        <f t="shared" si="45"/>
        <v>0</v>
      </c>
      <c r="G69" s="128"/>
      <c r="H69" s="400"/>
      <c r="I69" s="48"/>
      <c r="J69" s="3522" t="s">
        <v>4650</v>
      </c>
      <c r="K69" s="400"/>
      <c r="L69" s="400"/>
      <c r="M69" s="400"/>
      <c r="N69" s="851"/>
      <c r="O69" s="851"/>
      <c r="P69" s="38"/>
      <c r="Z69" s="38"/>
      <c r="AJ69" s="38"/>
    </row>
    <row r="70" spans="1:45">
      <c r="A70" s="1145"/>
      <c r="B70" s="6046" t="s">
        <v>657</v>
      </c>
      <c r="C70" s="1156" t="s">
        <v>707</v>
      </c>
      <c r="D70" s="5877">
        <f t="shared" si="45"/>
        <v>0</v>
      </c>
      <c r="E70" s="5877">
        <f t="shared" si="45"/>
        <v>0</v>
      </c>
      <c r="F70" s="5877">
        <f t="shared" si="45"/>
        <v>0</v>
      </c>
      <c r="G70" s="128"/>
      <c r="H70" s="400"/>
      <c r="I70" s="48"/>
      <c r="J70" s="2396"/>
      <c r="K70" s="400"/>
      <c r="L70" s="400"/>
      <c r="M70" s="400"/>
      <c r="N70" s="851"/>
      <c r="O70" s="851"/>
      <c r="P70" s="38"/>
      <c r="Z70" s="38"/>
      <c r="AJ70" s="38"/>
    </row>
    <row r="71" spans="1:45">
      <c r="A71" s="1145"/>
      <c r="B71" s="6046" t="s">
        <v>220</v>
      </c>
      <c r="C71" s="1156" t="s">
        <v>4663</v>
      </c>
      <c r="D71" s="1159" t="str">
        <f t="shared" ref="D71:F72" si="46">" - - - -"</f>
        <v xml:space="preserve"> - - - -</v>
      </c>
      <c r="E71" s="1159" t="str">
        <f t="shared" si="46"/>
        <v xml:space="preserve"> - - - -</v>
      </c>
      <c r="F71" s="1159" t="str">
        <f t="shared" si="46"/>
        <v xml:space="preserve"> - - - -</v>
      </c>
      <c r="G71" s="128"/>
      <c r="H71" s="400"/>
      <c r="I71" s="48"/>
      <c r="J71" s="2396"/>
      <c r="K71" s="400"/>
      <c r="L71" s="400"/>
      <c r="M71" s="400"/>
      <c r="N71" s="851"/>
      <c r="O71" s="851"/>
      <c r="P71" s="38"/>
      <c r="Z71" s="38"/>
      <c r="AJ71" s="38"/>
    </row>
    <row r="72" spans="1:45">
      <c r="A72" s="1145"/>
      <c r="B72" s="6046" t="s">
        <v>658</v>
      </c>
      <c r="C72" s="1156" t="s">
        <v>4664</v>
      </c>
      <c r="D72" s="1159" t="str">
        <f t="shared" si="46"/>
        <v xml:space="preserve"> - - - -</v>
      </c>
      <c r="E72" s="1159" t="str">
        <f t="shared" si="46"/>
        <v xml:space="preserve"> - - - -</v>
      </c>
      <c r="F72" s="1159" t="str">
        <f t="shared" si="46"/>
        <v xml:space="preserve"> - - - -</v>
      </c>
      <c r="G72" s="128"/>
      <c r="H72" s="400"/>
      <c r="I72" s="48"/>
      <c r="J72" s="2396"/>
      <c r="K72" s="400"/>
      <c r="L72" s="400"/>
      <c r="M72" s="400"/>
      <c r="N72" s="851"/>
      <c r="O72" s="851"/>
      <c r="P72" s="38"/>
      <c r="Z72" s="38"/>
      <c r="AJ72" s="38"/>
    </row>
    <row r="73" spans="1:45">
      <c r="A73" s="1145"/>
      <c r="B73" s="1336" t="s">
        <v>661</v>
      </c>
      <c r="C73" s="2578" t="s">
        <v>422</v>
      </c>
      <c r="D73" s="5876">
        <f>SUM(M19,M46)</f>
        <v>0</v>
      </c>
      <c r="E73" s="5876">
        <f>SUM(N19,N46)</f>
        <v>0</v>
      </c>
      <c r="F73" s="5876">
        <f>SUM(O19,O46)</f>
        <v>0</v>
      </c>
      <c r="G73" s="2586" t="s">
        <v>2774</v>
      </c>
      <c r="H73" s="128"/>
      <c r="I73" s="48"/>
      <c r="J73" s="3522" t="s">
        <v>4652</v>
      </c>
      <c r="K73" s="128"/>
      <c r="L73" s="128"/>
      <c r="M73" s="400"/>
      <c r="N73" s="460"/>
      <c r="O73" s="460"/>
      <c r="P73" s="23"/>
      <c r="Q73" s="23"/>
      <c r="R73" s="42"/>
      <c r="S73" s="42"/>
      <c r="T73" s="42"/>
      <c r="U73" s="42"/>
      <c r="V73" s="42"/>
      <c r="W73" s="42"/>
      <c r="X73" s="42"/>
      <c r="Y73" s="42"/>
      <c r="Z73" s="23"/>
      <c r="AA73" s="23"/>
      <c r="AB73" s="42"/>
      <c r="AC73" s="42"/>
      <c r="AD73" s="42"/>
      <c r="AE73" s="42"/>
      <c r="AF73" s="42"/>
      <c r="AG73" s="42"/>
      <c r="AH73" s="42"/>
      <c r="AI73" s="42"/>
      <c r="AJ73" s="23"/>
      <c r="AK73" s="23"/>
      <c r="AL73" s="42"/>
      <c r="AM73" s="42"/>
      <c r="AN73" s="42"/>
      <c r="AO73" s="42"/>
      <c r="AP73" s="42"/>
      <c r="AQ73" s="42"/>
      <c r="AR73" s="42"/>
      <c r="AS73" s="42"/>
    </row>
    <row r="74" spans="1:45">
      <c r="A74" s="1145"/>
      <c r="B74" s="6046" t="s">
        <v>662</v>
      </c>
      <c r="C74" s="1156" t="s">
        <v>322</v>
      </c>
      <c r="D74" s="1159" t="str">
        <f>" - - - -"</f>
        <v xml:space="preserve"> - - - -</v>
      </c>
      <c r="E74" s="1159" t="str">
        <f>" - - - -"</f>
        <v xml:space="preserve"> - - - -</v>
      </c>
      <c r="F74" s="1159" t="str">
        <f>" - - - -"</f>
        <v xml:space="preserve"> - - - -</v>
      </c>
      <c r="G74" s="2583"/>
      <c r="H74" s="128"/>
      <c r="I74" s="48"/>
      <c r="J74" s="3522" t="s">
        <v>4653</v>
      </c>
      <c r="K74" s="128"/>
      <c r="L74" s="128"/>
      <c r="M74" s="400"/>
      <c r="N74" s="460"/>
      <c r="O74" s="460"/>
      <c r="P74" s="23"/>
      <c r="Q74" s="23"/>
      <c r="R74" s="42"/>
      <c r="S74" s="42"/>
      <c r="T74" s="42"/>
      <c r="U74" s="42"/>
      <c r="V74" s="42"/>
      <c r="W74" s="42"/>
      <c r="X74" s="42"/>
      <c r="Y74" s="42"/>
      <c r="Z74" s="23"/>
      <c r="AA74" s="23"/>
      <c r="AB74" s="42"/>
      <c r="AC74" s="42"/>
      <c r="AD74" s="42"/>
      <c r="AE74" s="42"/>
      <c r="AF74" s="42"/>
      <c r="AG74" s="42"/>
      <c r="AH74" s="42"/>
      <c r="AI74" s="42"/>
      <c r="AJ74" s="23"/>
      <c r="AK74" s="23"/>
      <c r="AL74" s="42"/>
      <c r="AM74" s="42"/>
      <c r="AN74" s="42"/>
      <c r="AO74" s="42"/>
      <c r="AP74" s="42"/>
      <c r="AQ74" s="42"/>
      <c r="AR74" s="42"/>
      <c r="AS74" s="42"/>
    </row>
    <row r="75" spans="1:45">
      <c r="A75" s="1145"/>
      <c r="B75" s="6046" t="s">
        <v>1105</v>
      </c>
      <c r="C75" s="1156" t="s">
        <v>36</v>
      </c>
      <c r="D75" s="5877">
        <f t="shared" ref="D75:F76" si="47">SUM(M21,M48)</f>
        <v>0</v>
      </c>
      <c r="E75" s="5877">
        <f t="shared" si="47"/>
        <v>0</v>
      </c>
      <c r="F75" s="5877">
        <f t="shared" si="47"/>
        <v>0</v>
      </c>
      <c r="G75" s="2583"/>
      <c r="H75" s="128"/>
      <c r="I75" s="48"/>
      <c r="J75" s="2591"/>
      <c r="K75" s="128"/>
      <c r="L75" s="128"/>
      <c r="M75" s="23"/>
      <c r="N75" s="460"/>
      <c r="O75" s="460"/>
      <c r="P75" s="23"/>
      <c r="Q75" s="23"/>
      <c r="R75" s="42"/>
      <c r="S75" s="42"/>
      <c r="T75" s="42"/>
      <c r="U75" s="42"/>
      <c r="V75" s="42"/>
      <c r="W75" s="42"/>
      <c r="X75" s="42"/>
      <c r="Y75" s="42"/>
      <c r="Z75" s="23"/>
      <c r="AA75" s="23"/>
      <c r="AB75" s="42"/>
      <c r="AC75" s="42"/>
      <c r="AD75" s="42"/>
      <c r="AE75" s="42"/>
      <c r="AF75" s="42"/>
      <c r="AG75" s="42"/>
      <c r="AH75" s="42"/>
      <c r="AI75" s="42"/>
      <c r="AJ75" s="23"/>
      <c r="AK75" s="23"/>
      <c r="AL75" s="42"/>
      <c r="AM75" s="42"/>
      <c r="AN75" s="42"/>
      <c r="AO75" s="42"/>
      <c r="AP75" s="42"/>
      <c r="AQ75" s="42"/>
      <c r="AR75" s="42"/>
      <c r="AS75" s="42"/>
    </row>
    <row r="76" spans="1:45">
      <c r="A76" s="1145"/>
      <c r="B76" s="1336" t="s">
        <v>1107</v>
      </c>
      <c r="C76" s="2578" t="s">
        <v>222</v>
      </c>
      <c r="D76" s="5876">
        <f t="shared" si="47"/>
        <v>0</v>
      </c>
      <c r="E76" s="5876">
        <f t="shared" si="47"/>
        <v>0</v>
      </c>
      <c r="F76" s="5876">
        <f t="shared" si="47"/>
        <v>0</v>
      </c>
      <c r="G76" s="2586" t="s">
        <v>2774</v>
      </c>
      <c r="H76" s="128"/>
      <c r="I76" s="48"/>
      <c r="J76" s="2591"/>
      <c r="K76" s="128"/>
      <c r="L76" s="128"/>
      <c r="M76" s="23"/>
      <c r="N76" s="460"/>
      <c r="O76" s="460"/>
      <c r="P76" s="23"/>
      <c r="Q76" s="23"/>
      <c r="R76" s="42"/>
      <c r="S76" s="42"/>
      <c r="T76" s="42"/>
      <c r="U76" s="42"/>
      <c r="V76" s="42"/>
      <c r="W76" s="42"/>
      <c r="X76" s="42"/>
      <c r="Y76" s="42"/>
      <c r="Z76" s="23"/>
      <c r="AA76" s="23"/>
      <c r="AB76" s="42"/>
      <c r="AC76" s="42"/>
      <c r="AD76" s="42"/>
      <c r="AE76" s="42"/>
      <c r="AF76" s="42"/>
      <c r="AG76" s="42"/>
      <c r="AH76" s="42"/>
      <c r="AI76" s="42"/>
      <c r="AJ76" s="23"/>
      <c r="AK76" s="23"/>
      <c r="AL76" s="42"/>
      <c r="AM76" s="42"/>
      <c r="AN76" s="42"/>
      <c r="AO76" s="42"/>
      <c r="AP76" s="42"/>
      <c r="AQ76" s="42"/>
      <c r="AR76" s="42"/>
      <c r="AS76" s="42"/>
    </row>
    <row r="77" spans="1:45">
      <c r="A77" s="1145"/>
      <c r="B77" s="6046" t="s">
        <v>1109</v>
      </c>
      <c r="C77" s="4447" t="s">
        <v>3061</v>
      </c>
      <c r="D77" s="5878" t="str">
        <f>" - - - -"</f>
        <v xml:space="preserve"> - - - -</v>
      </c>
      <c r="E77" s="5879">
        <f>ROUND(SUM(N27,N54),0)</f>
        <v>0</v>
      </c>
      <c r="F77" s="5879">
        <f>ROUND(SUM(O27,O54),0)</f>
        <v>0</v>
      </c>
      <c r="G77" s="2892"/>
      <c r="H77" s="128"/>
      <c r="I77" s="48"/>
      <c r="J77" s="2591"/>
      <c r="K77" s="128"/>
      <c r="L77" s="128"/>
      <c r="M77" s="23"/>
      <c r="N77" s="460"/>
      <c r="O77" s="460"/>
      <c r="P77" s="23"/>
      <c r="Q77" s="23"/>
      <c r="R77" s="42"/>
      <c r="S77" s="42"/>
      <c r="T77" s="42"/>
      <c r="U77" s="42"/>
      <c r="V77" s="42"/>
      <c r="W77" s="42"/>
      <c r="X77" s="42"/>
      <c r="Y77" s="42"/>
      <c r="Z77" s="23"/>
      <c r="AA77" s="23"/>
      <c r="AB77" s="42"/>
      <c r="AC77" s="42"/>
      <c r="AD77" s="42"/>
      <c r="AE77" s="42"/>
      <c r="AF77" s="42"/>
      <c r="AG77" s="42"/>
      <c r="AH77" s="42"/>
      <c r="AI77" s="42"/>
      <c r="AJ77" s="23"/>
      <c r="AK77" s="23"/>
      <c r="AL77" s="42"/>
      <c r="AM77" s="42"/>
      <c r="AN77" s="42"/>
      <c r="AO77" s="42"/>
      <c r="AP77" s="42"/>
      <c r="AQ77" s="42"/>
      <c r="AR77" s="42"/>
      <c r="AS77" s="42"/>
    </row>
    <row r="78" spans="1:45" ht="13.5" thickBot="1">
      <c r="A78" s="1145"/>
      <c r="B78" s="6047" t="s">
        <v>1111</v>
      </c>
      <c r="C78" s="2585" t="s">
        <v>224</v>
      </c>
      <c r="D78" s="5880">
        <f>SUM(M24,M51)</f>
        <v>0</v>
      </c>
      <c r="E78" s="5880">
        <f>SUM(N24,N51)</f>
        <v>0</v>
      </c>
      <c r="F78" s="5880">
        <f>SUM(O24,O51)</f>
        <v>0</v>
      </c>
      <c r="G78" s="2583"/>
      <c r="H78" s="128"/>
      <c r="I78" s="48"/>
      <c r="J78" s="400"/>
      <c r="K78" s="128"/>
      <c r="L78" s="128"/>
      <c r="M78" s="23"/>
      <c r="N78" s="460"/>
      <c r="O78" s="460"/>
      <c r="P78" s="23"/>
      <c r="Q78" s="23"/>
      <c r="R78" s="42"/>
      <c r="S78" s="42"/>
      <c r="T78" s="42"/>
      <c r="U78" s="42"/>
      <c r="V78" s="42"/>
      <c r="W78" s="42"/>
      <c r="X78" s="42"/>
      <c r="Y78" s="42"/>
      <c r="Z78" s="23"/>
      <c r="AA78" s="23"/>
      <c r="AB78" s="42"/>
      <c r="AC78" s="42"/>
      <c r="AD78" s="42"/>
      <c r="AE78" s="42"/>
      <c r="AF78" s="42"/>
      <c r="AG78" s="42"/>
      <c r="AH78" s="42"/>
      <c r="AI78" s="42"/>
      <c r="AJ78" s="23"/>
      <c r="AK78" s="23"/>
      <c r="AL78" s="42"/>
      <c r="AM78" s="42"/>
      <c r="AN78" s="42"/>
      <c r="AO78" s="42"/>
      <c r="AP78" s="42"/>
      <c r="AQ78" s="42"/>
      <c r="AR78" s="42"/>
      <c r="AS78" s="42"/>
    </row>
    <row r="79" spans="1:45">
      <c r="A79" s="1145"/>
      <c r="B79" s="2888" t="s">
        <v>708</v>
      </c>
      <c r="C79" s="1145"/>
      <c r="D79" s="1145"/>
      <c r="E79" s="1145"/>
      <c r="F79" s="1145"/>
      <c r="G79" s="1145"/>
      <c r="H79" s="1145"/>
      <c r="I79" s="1145"/>
      <c r="J79" s="1145"/>
      <c r="K79" s="1145"/>
      <c r="L79" s="1145"/>
      <c r="M79" s="1145"/>
      <c r="N79" s="1145"/>
      <c r="O79" s="1145"/>
      <c r="P79" s="1145"/>
      <c r="Z79" s="1145"/>
      <c r="AJ79" s="1145"/>
    </row>
    <row r="82" spans="3:8">
      <c r="H82" s="2483"/>
    </row>
    <row r="84" spans="3:8" ht="13.5" thickBot="1"/>
    <row r="85" spans="3:8">
      <c r="C85" s="4015"/>
    </row>
    <row r="86" spans="3:8">
      <c r="C86" s="4011" t="s">
        <v>3219</v>
      </c>
    </row>
    <row r="87" spans="3:8" ht="13.5" thickBot="1">
      <c r="C87" s="4016"/>
    </row>
  </sheetData>
  <sheetProtection password="F07E" sheet="1" objects="1" scenarios="1" formatColumns="0"/>
  <phoneticPr fontId="42" type="noConversion"/>
  <conditionalFormatting sqref="D2:L24">
    <cfRule type="expression" dxfId="3079" priority="1">
      <formula>IF(NoColor,1,0)</formula>
    </cfRule>
  </conditionalFormatting>
  <conditionalFormatting sqref="D9:L9">
    <cfRule type="expression" dxfId="3078" priority="17">
      <formula>OR(D3="conv",D3="CONV")</formula>
    </cfRule>
  </conditionalFormatting>
  <conditionalFormatting sqref="D29:L51">
    <cfRule type="expression" dxfId="3077" priority="8">
      <formula>IF(NoColor,1,0)</formula>
    </cfRule>
  </conditionalFormatting>
  <hyperlinks>
    <hyperlink ref="C86" location="'Table of Contents'!A1" display="Table of Contents" xr:uid="{00000000-0004-0000-0800-000000000000}"/>
  </hyperlinks>
  <printOptions gridLines="1" gridLinesSet="0"/>
  <pageMargins left="0.75" right="0.75" top="1" bottom="1" header="0.5" footer="0.5"/>
  <pageSetup scale="59" fitToHeight="0" orientation="landscape" r:id="rId1"/>
  <headerFooter alignWithMargins="0">
    <oddHeader>&amp;A</oddHeader>
    <oddFooter>Page &amp;P</oddFooter>
  </headerFooter>
  <rowBreaks count="1" manualBreakCount="1">
    <brk id="54"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pageSetUpPr fitToPage="1"/>
  </sheetPr>
  <dimension ref="A1:X43"/>
  <sheetViews>
    <sheetView zoomScaleNormal="100" zoomScaleSheetLayoutView="100" workbookViewId="0">
      <pane ySplit="1" topLeftCell="A2" activePane="bottomLeft" state="frozen"/>
      <selection pane="bottomLeft" activeCell="D3" sqref="D3"/>
    </sheetView>
  </sheetViews>
  <sheetFormatPr defaultColWidth="9.140625" defaultRowHeight="12.75"/>
  <cols>
    <col min="1" max="1" width="2.5703125" style="23" customWidth="1"/>
    <col min="2" max="2" width="4.42578125" style="39" customWidth="1"/>
    <col min="3" max="3" width="37.5703125" style="23" customWidth="1"/>
    <col min="4" max="4" width="15.42578125" style="23" customWidth="1"/>
    <col min="5" max="5" width="33.42578125" style="23" customWidth="1"/>
    <col min="6" max="6" width="3.85546875" style="23" customWidth="1"/>
    <col min="7" max="7" width="12.7109375" style="23" customWidth="1"/>
    <col min="8" max="8" width="3.7109375" style="23" customWidth="1"/>
    <col min="9" max="9" width="12.7109375" style="23" customWidth="1"/>
    <col min="10" max="10" width="2" style="23" customWidth="1"/>
    <col min="11" max="11" width="2.42578125" style="23" customWidth="1"/>
    <col min="12" max="12" width="13.42578125" style="23" customWidth="1"/>
    <col min="13" max="13" width="33.28515625" style="23" customWidth="1"/>
    <col min="14" max="24" width="9.140625" style="2595"/>
    <col min="25" max="16384" width="9.140625" style="42"/>
  </cols>
  <sheetData>
    <row r="1" spans="2:24" s="945" customFormat="1" ht="36.75" customHeight="1" thickBot="1">
      <c r="B1" s="3360" t="s">
        <v>269</v>
      </c>
      <c r="N1" s="2597" t="s">
        <v>2033</v>
      </c>
      <c r="O1" s="2598"/>
      <c r="P1" s="2598"/>
      <c r="Q1" s="2598"/>
      <c r="R1" s="2598"/>
      <c r="S1" s="2598"/>
      <c r="T1" s="2598"/>
      <c r="U1" s="2598"/>
      <c r="V1" s="2598"/>
      <c r="W1" s="2598"/>
      <c r="X1" s="2598"/>
    </row>
    <row r="2" spans="2:24" ht="41.25" customHeight="1" thickBot="1">
      <c r="B2" s="6048" t="s">
        <v>148</v>
      </c>
      <c r="C2" s="2448" t="str">
        <f>IF(Name_1st_Yours="","Enter your name on sheet labeled '1040'",NameYours)</f>
        <v>Enter your name on sheet labeled '1040'</v>
      </c>
      <c r="D2" s="964"/>
      <c r="E2" s="3353"/>
    </row>
    <row r="3" spans="2:24" ht="13.5" customHeight="1">
      <c r="B3" s="3934" t="s">
        <v>150</v>
      </c>
      <c r="C3" s="454" t="str">
        <f>"Benefits Paid in "&amp;TaxYear</f>
        <v>Benefits Paid in 2021</v>
      </c>
      <c r="D3" s="2131"/>
      <c r="E3" s="3353"/>
    </row>
    <row r="4" spans="2:24" ht="13.5" customHeight="1">
      <c r="B4" s="1336" t="s">
        <v>151</v>
      </c>
      <c r="C4" s="455" t="str">
        <f>"Benefits Repaid in "&amp;TaxYear</f>
        <v>Benefits Repaid in 2021</v>
      </c>
      <c r="D4" s="1921"/>
      <c r="E4" s="3353"/>
    </row>
    <row r="5" spans="2:24" ht="13.5" customHeight="1">
      <c r="B5" s="1336" t="s">
        <v>200</v>
      </c>
      <c r="C5" s="455" t="str">
        <f>"Net Benefits for "&amp;TaxYear&amp;" (Box 3 minus Box 4)"</f>
        <v>Net Benefits for 2021 (Box 3 minus Box 4)</v>
      </c>
      <c r="D5" s="2450">
        <f>SUM(D3,-D4)</f>
        <v>0</v>
      </c>
      <c r="E5" s="5061" t="s">
        <v>4657</v>
      </c>
    </row>
    <row r="6" spans="2:24" ht="15.75" thickBot="1">
      <c r="B6" s="3936" t="s">
        <v>101</v>
      </c>
      <c r="C6" s="456" t="s">
        <v>270</v>
      </c>
      <c r="D6" s="1922"/>
      <c r="E6" s="5061" t="s">
        <v>4441</v>
      </c>
      <c r="G6" s="4984">
        <f>ROUND(D6,0)</f>
        <v>0</v>
      </c>
    </row>
    <row r="7" spans="2:24" ht="48" customHeight="1" thickBot="1">
      <c r="B7" s="6048" t="s">
        <v>148</v>
      </c>
      <c r="C7" s="2449" t="str">
        <f>IF(Name_1st_Sp="","Enter your spouse's name on the sheet labeled '1040'",NameSpouse)</f>
        <v>Enter your spouse's name on the sheet labeled '1040'</v>
      </c>
      <c r="D7" s="461"/>
      <c r="E7" s="3353"/>
    </row>
    <row r="8" spans="2:24" ht="13.5" customHeight="1">
      <c r="B8" s="3934" t="s">
        <v>150</v>
      </c>
      <c r="C8" s="454" t="str">
        <f>"Benefits Paid in "&amp;TaxYear</f>
        <v>Benefits Paid in 2021</v>
      </c>
      <c r="D8" s="2131"/>
      <c r="E8" s="3353"/>
    </row>
    <row r="9" spans="2:24" ht="13.5" customHeight="1">
      <c r="B9" s="1336" t="s">
        <v>151</v>
      </c>
      <c r="C9" s="455" t="str">
        <f>"Benefits Repaid in "&amp;TaxYear</f>
        <v>Benefits Repaid in 2021</v>
      </c>
      <c r="D9" s="1921"/>
      <c r="E9" s="3353"/>
    </row>
    <row r="10" spans="2:24" ht="13.5" customHeight="1">
      <c r="B10" s="1336" t="s">
        <v>200</v>
      </c>
      <c r="C10" s="455" t="str">
        <f>"Net Benefits for "&amp;TaxYear&amp;" (Box 3 minus Box 4)"</f>
        <v>Net Benefits for 2021 (Box 3 minus Box 4)</v>
      </c>
      <c r="D10" s="2450">
        <f>SUM(D8,-D9)</f>
        <v>0</v>
      </c>
      <c r="E10" s="5061" t="s">
        <v>4657</v>
      </c>
    </row>
    <row r="11" spans="2:24" ht="15.75" thickBot="1">
      <c r="B11" s="3936" t="s">
        <v>101</v>
      </c>
      <c r="C11" s="456" t="s">
        <v>270</v>
      </c>
      <c r="D11" s="1922"/>
      <c r="E11" s="5061" t="s">
        <v>4441</v>
      </c>
      <c r="G11" s="4984">
        <f>ROUND(D11,0)</f>
        <v>0</v>
      </c>
    </row>
    <row r="12" spans="2:24" ht="13.5" thickBot="1"/>
    <row r="13" spans="2:24" ht="22.5" customHeight="1">
      <c r="B13" s="452"/>
      <c r="C13" s="4062" t="s">
        <v>134</v>
      </c>
      <c r="D13" s="948"/>
      <c r="E13" s="948"/>
      <c r="F13" s="31"/>
      <c r="G13" s="949"/>
      <c r="H13" s="31"/>
      <c r="I13" s="949" t="s">
        <v>176</v>
      </c>
      <c r="J13" s="96"/>
    </row>
    <row r="14" spans="2:24" ht="16.5" thickBot="1">
      <c r="B14" s="453"/>
      <c r="C14" s="29" t="s">
        <v>4656</v>
      </c>
      <c r="D14" s="950"/>
      <c r="E14" s="950"/>
      <c r="F14" s="36"/>
      <c r="G14" s="951"/>
      <c r="H14" s="36"/>
      <c r="I14" s="951" t="s">
        <v>395</v>
      </c>
      <c r="J14" s="97"/>
    </row>
    <row r="15" spans="2:24" ht="24" customHeight="1">
      <c r="B15" s="453"/>
      <c r="C15" s="4061" t="s">
        <v>135</v>
      </c>
      <c r="J15" s="97"/>
    </row>
    <row r="16" spans="2:24" ht="8.25" customHeight="1">
      <c r="B16" s="453"/>
      <c r="J16" s="97"/>
    </row>
    <row r="17" spans="1:24" s="946" customFormat="1" ht="134.44999999999999" customHeight="1">
      <c r="A17" s="100"/>
      <c r="B17" s="952"/>
      <c r="C17" s="953" t="str">
        <f>"If your social security and/or SSI
(supplemental security income)
benefits were your only source of
income for "&amp;TaxYear&amp;", you probably will
not have to file a federal income tax
return. See IRS Pub. 501,
Exemptions, Standard Deduction,
and Filing Information, or your tax
return instructions to find out if you
have to file a return."</f>
        <v>If your social security and/or SSI
(supplemental security income)
benefits were your only source of
income for 2021, you probably will
not have to file a federal income tax
return. See IRS Pub. 501,
Exemptions, Standard Deduction,
and Filing Information, or your tax
return instructions to find out if you
have to file a return.</v>
      </c>
      <c r="D17" s="6164" t="str">
        <f>"We developed this worksheet for you to see if your benefits may be taxable for "&amp;TaxYear&amp;". Fill in lines A through E."&amp;CHAR(10)&amp;CHAR(10)&amp;"Do not use the worksheet below if any of the following apply to you; instead, go directly to IRS Pub. 915, Social Security and Equivalent Railroad Retirement Benefits."&amp;CHAR(10)&amp;CHAR(10)&amp;"o  You received Form RRB-1099, Form SSA-1042S, or Form RRB-1042S."</f>
        <v>We developed this worksheet for you to see if your benefits may be taxable for 2021. Fill in lines A through E.
Do not use the worksheet below if any of the following apply to you; instead, go directly to IRS Pub. 915, Social Security and Equivalent Railroad Retirement Benefits.
o  You received Form RRB-1099, Form SSA-1042S, or Form RRB-1042S.</v>
      </c>
      <c r="E17" s="6164"/>
      <c r="F17" s="823"/>
      <c r="G17" s="6165" t="s">
        <v>2940</v>
      </c>
      <c r="H17" s="6165"/>
      <c r="I17" s="6165"/>
      <c r="J17" s="695"/>
      <c r="K17" s="100"/>
      <c r="L17" s="1018" t="s">
        <v>552</v>
      </c>
      <c r="M17" s="100"/>
      <c r="N17" s="2599"/>
      <c r="O17" s="2599"/>
      <c r="P17" s="2599"/>
      <c r="Q17" s="2599"/>
      <c r="R17" s="2599"/>
      <c r="S17" s="2599"/>
      <c r="T17" s="2599"/>
      <c r="U17" s="2599"/>
      <c r="V17" s="2599"/>
      <c r="W17" s="2599"/>
      <c r="X17" s="2599"/>
    </row>
    <row r="18" spans="1:24" s="2528" customFormat="1" ht="20.100000000000001" customHeight="1">
      <c r="A18" s="122"/>
      <c r="B18" s="3354"/>
      <c r="C18" s="3355" t="s">
        <v>2554</v>
      </c>
      <c r="D18" s="3355"/>
      <c r="E18" s="3355"/>
      <c r="F18" s="122"/>
      <c r="G18" s="122"/>
      <c r="H18" s="122"/>
      <c r="I18" s="122"/>
      <c r="J18" s="3356"/>
      <c r="K18" s="122"/>
      <c r="L18" s="386"/>
      <c r="M18" s="122"/>
      <c r="N18" s="2602"/>
      <c r="O18" s="2602"/>
      <c r="P18" s="2602"/>
      <c r="Q18" s="2602"/>
      <c r="R18" s="2602"/>
      <c r="S18" s="2602"/>
      <c r="T18" s="2602"/>
      <c r="U18" s="2602"/>
      <c r="V18" s="2602"/>
      <c r="W18" s="2602"/>
      <c r="X18" s="2602"/>
    </row>
    <row r="19" spans="1:24">
      <c r="B19" s="453" t="s">
        <v>143</v>
      </c>
      <c r="C19" s="1410" t="s">
        <v>4654</v>
      </c>
      <c r="D19" s="1179"/>
      <c r="E19" s="1179"/>
      <c r="J19" s="97"/>
      <c r="L19" s="385"/>
    </row>
    <row r="20" spans="1:24">
      <c r="B20" s="453"/>
      <c r="C20" s="1410" t="str">
        <f>"full amount of any lump-sum benefit payments received in "&amp;TaxYear&amp;", for "&amp;TaxYear&amp;" and"</f>
        <v>full amount of any lump-sum benefit payments received in 2021, for 2021 and</v>
      </c>
      <c r="D20" s="1179"/>
      <c r="E20" s="1179"/>
      <c r="J20" s="97"/>
      <c r="L20" s="385"/>
      <c r="M20" s="24" t="s">
        <v>4439</v>
      </c>
    </row>
    <row r="21" spans="1:24">
      <c r="B21" s="453"/>
      <c r="C21" s="1276" t="s">
        <v>2108</v>
      </c>
      <c r="D21" s="1560" t="s">
        <v>2107</v>
      </c>
      <c r="E21" s="1560" t="s">
        <v>2107</v>
      </c>
      <c r="F21" s="48" t="s">
        <v>143</v>
      </c>
      <c r="G21" s="870">
        <f>IF(L21&lt;&gt;"",ROUND(L21,0),ROUND(SUM(D5,D10),0))</f>
        <v>0</v>
      </c>
      <c r="I21" s="1176">
        <v>0.5</v>
      </c>
      <c r="J21" s="97"/>
      <c r="L21" s="954"/>
      <c r="M21" s="24" t="s">
        <v>4440</v>
      </c>
    </row>
    <row r="22" spans="1:24" ht="12.75" customHeight="1">
      <c r="B22" s="453" t="s">
        <v>288</v>
      </c>
      <c r="C22" s="70" t="str">
        <f>"Multiply  line  A  by  "&amp;TEXT(I21,"0%")&amp;" ("&amp;TEXT(I21,"0.00")&amp;")"</f>
        <v>Multiply  line  A  by  50% (0.50)</v>
      </c>
      <c r="G22" s="2725" t="s">
        <v>3280</v>
      </c>
      <c r="H22" s="48" t="s">
        <v>288</v>
      </c>
      <c r="I22" s="870">
        <f>ROUND(G21*I21,0)</f>
        <v>0</v>
      </c>
      <c r="J22" s="97"/>
      <c r="L22" s="4346"/>
    </row>
    <row r="23" spans="1:24" s="947" customFormat="1" ht="37.5" customHeight="1">
      <c r="A23" s="956"/>
      <c r="B23" s="952" t="s">
        <v>144</v>
      </c>
      <c r="C23" s="6160" t="s">
        <v>3254</v>
      </c>
      <c r="D23" s="6161"/>
      <c r="E23" s="6161"/>
      <c r="F23" s="6161"/>
      <c r="G23" s="6161"/>
      <c r="H23" s="48"/>
      <c r="I23" s="4006"/>
      <c r="J23" s="955"/>
      <c r="K23" s="956"/>
      <c r="L23" s="4347"/>
      <c r="M23" s="3361"/>
      <c r="N23" s="2599"/>
      <c r="O23" s="2599"/>
      <c r="P23" s="2599"/>
      <c r="Q23" s="2599"/>
      <c r="R23" s="2599"/>
      <c r="S23" s="2599"/>
      <c r="T23" s="2599"/>
      <c r="U23" s="2599"/>
      <c r="V23" s="2599"/>
      <c r="W23" s="2599"/>
      <c r="X23" s="2599"/>
    </row>
    <row r="24" spans="1:24" s="947" customFormat="1">
      <c r="A24" s="956"/>
      <c r="B24" s="952"/>
      <c r="C24" s="6160" t="s">
        <v>3255</v>
      </c>
      <c r="D24" s="6161"/>
      <c r="E24" s="6161"/>
      <c r="F24" s="6161"/>
      <c r="G24" s="6161"/>
      <c r="H24" s="48" t="s">
        <v>144</v>
      </c>
      <c r="I24" s="4007">
        <f>IF(L24&lt;&gt;"",ROUND(L24,0),M24)</f>
        <v>0</v>
      </c>
      <c r="J24" s="955"/>
      <c r="K24" s="956"/>
      <c r="L24" s="954"/>
      <c r="M24" s="3361">
        <f>SUM(Wages,TaxableInterest,OrdinaryDividends,IRA_Taxable,PA_Taxable,CapitalGains,Additional_Income)</f>
        <v>0</v>
      </c>
      <c r="N24" s="4515"/>
      <c r="O24" s="2599"/>
      <c r="P24" s="2599"/>
      <c r="Q24" s="2599"/>
      <c r="R24" s="2599"/>
      <c r="S24" s="2599"/>
      <c r="T24" s="2599"/>
      <c r="U24" s="2599"/>
      <c r="V24" s="2599"/>
      <c r="W24" s="2599"/>
      <c r="X24" s="2599"/>
    </row>
    <row r="25" spans="1:24">
      <c r="B25" s="952" t="s">
        <v>290</v>
      </c>
      <c r="C25" s="23" t="s">
        <v>289</v>
      </c>
      <c r="G25" s="2725" t="s">
        <v>2639</v>
      </c>
      <c r="H25" s="48" t="s">
        <v>290</v>
      </c>
      <c r="I25" s="4008">
        <f>IF(L25&lt;&gt;"",ROUND(L25,0),TaxExemptInt)</f>
        <v>0</v>
      </c>
      <c r="J25" s="97"/>
      <c r="L25" s="954"/>
    </row>
    <row r="26" spans="1:24">
      <c r="B26" s="453" t="s">
        <v>371</v>
      </c>
      <c r="C26" s="70" t="s">
        <v>2941</v>
      </c>
      <c r="G26" s="2725" t="s">
        <v>2942</v>
      </c>
      <c r="H26" s="48" t="s">
        <v>371</v>
      </c>
      <c r="I26" s="4009">
        <f>SUM(I22,I24,I25)</f>
        <v>0</v>
      </c>
      <c r="J26" s="97"/>
      <c r="L26" s="385"/>
      <c r="M26" s="1337">
        <v>32000</v>
      </c>
    </row>
    <row r="27" spans="1:24">
      <c r="B27" s="453"/>
      <c r="C27" s="41"/>
      <c r="D27" s="41"/>
      <c r="E27" s="41"/>
      <c r="F27" s="41"/>
      <c r="G27" s="41"/>
      <c r="H27" s="41"/>
      <c r="I27" s="41"/>
      <c r="J27" s="97"/>
      <c r="L27" s="385"/>
      <c r="M27" s="1337">
        <v>25000</v>
      </c>
    </row>
    <row r="28" spans="1:24">
      <c r="B28" s="453"/>
      <c r="C28" s="14" t="s">
        <v>490</v>
      </c>
      <c r="I28" s="51" t="b">
        <f>AND(M28&lt;&gt;0,I26&gt;M28)</f>
        <v>0</v>
      </c>
      <c r="J28" s="97"/>
      <c r="L28" s="385"/>
      <c r="M28" s="1337">
        <f>IF(OR(File_Single&lt;&gt;"",File_Head&lt;&gt;""),M27,IF(File_Marr_Joint&lt;&gt;"",M26,IF(AND(File_Marr_Sep&lt;&gt;"",LivedApart),M27,0)))</f>
        <v>0</v>
      </c>
    </row>
    <row r="29" spans="1:24" ht="54" customHeight="1">
      <c r="B29" s="453"/>
      <c r="C29" s="3357" t="str">
        <f>"Part of your social security
benefits may be taxable if, for "&amp;TaxYear&amp;", 
item 1, 2, or 3 below applies to you:"</f>
        <v>Part of your social security
benefits may be taxable if, for 2021, 
item 1, 2, or 3 below applies to you:</v>
      </c>
      <c r="D29" s="6166" t="s">
        <v>3170</v>
      </c>
      <c r="E29" s="6167"/>
      <c r="F29" s="1179"/>
      <c r="G29" s="6166" t="s">
        <v>4655</v>
      </c>
      <c r="H29" s="6166"/>
      <c r="I29" s="6166"/>
      <c r="J29" s="97"/>
      <c r="L29" s="385"/>
    </row>
    <row r="30" spans="1:24" ht="50.25" customHeight="1">
      <c r="B30" s="453"/>
      <c r="C30" s="3357" t="str">
        <f>"1. You were single, a head of
household, or a qualifying widow(er)
and line E above is more than
"&amp;TEXT(M27,"$0,000")&amp;"."</f>
        <v>1. You were single, a head of
household, or a qualifying widow(er)
and line E above is more than
$25,000.</v>
      </c>
      <c r="D30" s="6168" t="s">
        <v>4658</v>
      </c>
      <c r="E30" s="6168"/>
      <c r="F30" s="1179"/>
      <c r="G30" s="6170" t="s">
        <v>2555</v>
      </c>
      <c r="H30" s="6170"/>
      <c r="I30" s="6170"/>
      <c r="J30" s="97"/>
      <c r="L30" s="385"/>
    </row>
    <row r="31" spans="1:24" s="946" customFormat="1" ht="109.5" customHeight="1">
      <c r="A31" s="100"/>
      <c r="B31" s="952"/>
      <c r="C31" s="3357" t="str">
        <f>CHAR(10)&amp;"2. You were married, would file jointly, and line E above is more than "&amp;TEXT(M26,"$0,000")&amp;"."&amp;CHAR(10)&amp;CHAR(10)&amp;"3. You were married, would file separately, and line E above is more than zero (more than "&amp;TEXT(M27,"$0,000")&amp;" if you lived apart from your spouse for all of "&amp;TaxYear&amp;")."</f>
        <v xml:space="preserve">
2. You were married, would file jointly, and line E above is more than $32,000.
3. You were married, would file separately, and line E above is more than zero (more than $25,000 if you lived apart from your spouse for all of 2021).</v>
      </c>
      <c r="D31" s="6168" t="str">
        <f>CHAR(10)&amp;"o  If you were married, file separately, and lived apart from your spouse for all of "&amp;TaxYear&amp;", enter “D” to the right of the word “benefits” on Form 1040, line 6a."</f>
        <v xml:space="preserve">
o  If you were married, file separately, and lived apart from your spouse for all of 2021, enter “D” to the right of the word “benefits” on Form 1040, line 6a.</v>
      </c>
      <c r="E31" s="6168"/>
      <c r="F31" s="1179"/>
      <c r="G31" s="6166" t="str">
        <f>"If you still have questions about whether your social security benefits are taxable, see IRS "&amp;CHAR(10)&amp;"Pub. 915 or your "&amp;TaxYear&amp;" federal income tax return instructions, or visit IRS.gov and enter 'social security income' in the search box. 
Go to www.irs.gov/Forms to view, download, or print all of the forms and publications you may need."</f>
        <v>If you still have questions about whether your social security benefits are taxable, see IRS 
Pub. 915 or your 2021 federal income tax return instructions, or visit IRS.gov and enter 'social security income' in the search box. 
Go to www.irs.gov/Forms to view, download, or print all of the forms and publications you may need.</v>
      </c>
      <c r="H31" s="6166"/>
      <c r="I31" s="6166"/>
      <c r="J31" s="695"/>
      <c r="K31" s="100"/>
      <c r="L31" s="385"/>
      <c r="M31" s="100"/>
      <c r="N31" s="2599"/>
      <c r="O31" s="2599"/>
      <c r="P31" s="2599"/>
      <c r="Q31" s="2599"/>
      <c r="R31" s="2599"/>
      <c r="S31" s="2599"/>
      <c r="T31" s="2599"/>
      <c r="U31" s="2599"/>
      <c r="V31" s="2599"/>
      <c r="W31" s="2599"/>
      <c r="X31" s="2599"/>
    </row>
    <row r="32" spans="1:24" s="946" customFormat="1" ht="74.25" customHeight="1">
      <c r="A32" s="100"/>
      <c r="B32" s="2723"/>
      <c r="C32" s="3358" t="str">
        <f>"If your figures show that part of"&amp;CHAR(10)&amp;"your benefits may be taxable, see"&amp;CHAR(10)&amp;"IRS Pub. 915, and Social Security"&amp;CHAR(10)&amp;"Benefits in your "&amp;TaxYear&amp;" federal"&amp;CHAR(10)&amp;"income tax return instructions."</f>
        <v>If your figures show that part of
your benefits may be taxable, see
IRS Pub. 915, and Social Security
Benefits in your 2021 federal
income tax return instructions.</v>
      </c>
      <c r="D32" s="6168" t="str">
        <f>"Note. If your figures show that part of your benefits may be taxable and you received benefits in "&amp;TaxYear&amp;" that were for a prior year, see IRS Pub. 915, Social Security and Equivalent"</f>
        <v>Note. If your figures show that part of your benefits may be taxable and you received benefits in 2021 that were for a prior year, see IRS Pub. 915, Social Security and Equivalent</v>
      </c>
      <c r="E32" s="6168"/>
      <c r="F32" s="3357"/>
      <c r="G32" s="6169"/>
      <c r="H32" s="6169"/>
      <c r="I32" s="6169"/>
      <c r="J32" s="695"/>
      <c r="K32" s="100"/>
      <c r="L32" s="385"/>
      <c r="M32" s="100"/>
      <c r="N32" s="2599"/>
      <c r="O32" s="2599"/>
      <c r="P32" s="2599"/>
      <c r="Q32" s="2599"/>
      <c r="R32" s="2599"/>
      <c r="S32" s="2599"/>
      <c r="T32" s="2599"/>
      <c r="U32" s="2599"/>
      <c r="V32" s="2599"/>
      <c r="W32" s="2599"/>
      <c r="X32" s="2599"/>
    </row>
    <row r="33" spans="1:24" s="946" customFormat="1" ht="16.5" customHeight="1" thickBot="1">
      <c r="A33" s="100"/>
      <c r="B33" s="2723"/>
      <c r="C33" s="3703"/>
      <c r="D33" s="3704" t="s">
        <v>2943</v>
      </c>
      <c r="E33" s="3705"/>
      <c r="F33" s="3706"/>
      <c r="G33" s="3707"/>
      <c r="H33" s="3707"/>
      <c r="I33" s="3707"/>
      <c r="J33" s="695"/>
      <c r="K33" s="100"/>
      <c r="L33" s="385"/>
      <c r="M33" s="100"/>
      <c r="N33" s="2599"/>
      <c r="O33" s="2599"/>
      <c r="P33" s="2599"/>
      <c r="Q33" s="2599"/>
      <c r="R33" s="2599"/>
      <c r="S33" s="2599"/>
      <c r="T33" s="2599"/>
      <c r="U33" s="2599"/>
      <c r="V33" s="2599"/>
      <c r="W33" s="2599"/>
      <c r="X33" s="2599"/>
    </row>
    <row r="34" spans="1:24" s="946" customFormat="1" ht="24" customHeight="1" thickBot="1">
      <c r="A34" s="100"/>
      <c r="B34" s="2724"/>
      <c r="C34" s="3708" t="s">
        <v>2944</v>
      </c>
      <c r="D34" s="6162"/>
      <c r="E34" s="6162"/>
      <c r="F34" s="6163"/>
      <c r="G34" s="6163"/>
      <c r="H34" s="3359"/>
      <c r="I34" s="3709" t="s">
        <v>2945</v>
      </c>
      <c r="J34" s="963"/>
      <c r="K34" s="100"/>
      <c r="L34" s="385"/>
      <c r="M34" s="100"/>
      <c r="N34" s="2599"/>
      <c r="O34" s="2599"/>
      <c r="P34" s="2599"/>
      <c r="Q34" s="2599"/>
      <c r="R34" s="2599"/>
      <c r="S34" s="2599"/>
      <c r="T34" s="2599"/>
      <c r="U34" s="2599"/>
      <c r="V34" s="2599"/>
      <c r="W34" s="2599"/>
      <c r="X34" s="2599"/>
    </row>
    <row r="37" spans="1:24" ht="13.5" thickBot="1"/>
    <row r="38" spans="1:24">
      <c r="C38" s="4015"/>
    </row>
    <row r="39" spans="1:24">
      <c r="C39" s="4011" t="s">
        <v>3219</v>
      </c>
    </row>
    <row r="40" spans="1:24" ht="13.5" thickBot="1">
      <c r="C40" s="4016"/>
    </row>
    <row r="43" spans="1:24">
      <c r="C43" s="956"/>
    </row>
  </sheetData>
  <sheetProtection algorithmName="SHA-512" hashValue="L8Sc8HGuqBM5FLlvMKhwk4bs0xt4n1bKAlaltSmUdcF3KjcqPRmHMa1YOPn34X4JdT7pTFcOyNY/SL9/oSdq2w==" saltValue="FXYRfPIDzgmg/EKNxpOYMA==" spinCount="100000" sheet="1" objects="1" scenarios="1"/>
  <mergeCells count="12">
    <mergeCell ref="C24:G24"/>
    <mergeCell ref="D34:G34"/>
    <mergeCell ref="D17:E17"/>
    <mergeCell ref="G17:I17"/>
    <mergeCell ref="D29:E29"/>
    <mergeCell ref="D30:E30"/>
    <mergeCell ref="D31:E31"/>
    <mergeCell ref="D32:E32"/>
    <mergeCell ref="G29:I29"/>
    <mergeCell ref="C23:G23"/>
    <mergeCell ref="G31:I32"/>
    <mergeCell ref="G30:I30"/>
  </mergeCells>
  <phoneticPr fontId="0" type="noConversion"/>
  <conditionalFormatting sqref="C28">
    <cfRule type="expression" dxfId="3076" priority="14" stopIfTrue="1">
      <formula>I28</formula>
    </cfRule>
  </conditionalFormatting>
  <conditionalFormatting sqref="D3:D4">
    <cfRule type="expression" dxfId="3075" priority="13">
      <formula>IF(NoColor,1,0)</formula>
    </cfRule>
  </conditionalFormatting>
  <conditionalFormatting sqref="D3:D6">
    <cfRule type="expression" dxfId="3074" priority="4">
      <formula>NoColor</formula>
    </cfRule>
  </conditionalFormatting>
  <conditionalFormatting sqref="D6">
    <cfRule type="expression" dxfId="3073" priority="10">
      <formula>IF(NoColor,1,0)</formula>
    </cfRule>
  </conditionalFormatting>
  <conditionalFormatting sqref="D8:D9">
    <cfRule type="expression" dxfId="3072" priority="3">
      <formula>IF(NoColor,1,0)</formula>
    </cfRule>
  </conditionalFormatting>
  <conditionalFormatting sqref="D8:D11">
    <cfRule type="expression" dxfId="3071" priority="1">
      <formula>NoColor</formula>
    </cfRule>
  </conditionalFormatting>
  <conditionalFormatting sqref="D11">
    <cfRule type="expression" dxfId="3070" priority="2">
      <formula>IF(NoColor,1,0)</formula>
    </cfRule>
  </conditionalFormatting>
  <hyperlinks>
    <hyperlink ref="C39" location="'Table of Contents'!A1" display="Table of Contents" xr:uid="{00000000-0004-0000-0900-000000000000}"/>
  </hyperlinks>
  <printOptions gridLines="1" gridLinesSet="0"/>
  <pageMargins left="0.51" right="0.35" top="0.77" bottom="0.52" header="0.4" footer="0.3"/>
  <pageSetup scale="75" fitToHeight="0" orientation="portrait" r:id="rId1"/>
  <headerFooter alignWithMargins="0">
    <oddHeader>&amp;A</oddHeader>
    <oddFooter>Page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pageSetUpPr fitToPage="1"/>
  </sheetPr>
  <dimension ref="A1:BU174"/>
  <sheetViews>
    <sheetView zoomScaleNormal="100" zoomScaleSheetLayoutView="120" workbookViewId="0"/>
  </sheetViews>
  <sheetFormatPr defaultRowHeight="12.75"/>
  <cols>
    <col min="1" max="1" width="3" customWidth="1"/>
    <col min="2" max="2" width="2.5703125" customWidth="1"/>
    <col min="3" max="3" width="11.28515625" customWidth="1"/>
    <col min="4" max="4" width="3.140625" customWidth="1"/>
    <col min="5" max="5" width="3.5703125" customWidth="1"/>
    <col min="6" max="6" width="2.85546875" customWidth="1"/>
    <col min="7" max="7" width="2.5703125" customWidth="1"/>
    <col min="8" max="8" width="9" customWidth="1"/>
    <col min="9" max="9" width="4.140625" customWidth="1"/>
    <col min="10" max="10" width="3.5703125" customWidth="1"/>
    <col min="11" max="11" width="4.7109375" customWidth="1"/>
    <col min="12" max="12" width="3.140625" customWidth="1"/>
    <col min="13" max="13" width="2.7109375" customWidth="1"/>
    <col min="14" max="15" width="3.85546875" customWidth="1"/>
    <col min="16" max="16" width="3.5703125" customWidth="1"/>
    <col min="17" max="17" width="2.7109375" customWidth="1"/>
    <col min="18" max="18" width="2.85546875" customWidth="1"/>
    <col min="19" max="19" width="5.42578125" customWidth="1"/>
    <col min="20" max="20" width="3.5703125" customWidth="1"/>
    <col min="21" max="21" width="4.28515625" customWidth="1"/>
    <col min="22" max="22" width="3.42578125" customWidth="1"/>
    <col min="23" max="23" width="2.85546875" customWidth="1"/>
    <col min="24" max="24" width="4.140625" customWidth="1"/>
    <col min="25" max="25" width="6.28515625" customWidth="1"/>
    <col min="26" max="26" width="3" customWidth="1"/>
    <col min="27" max="27" width="3.7109375" customWidth="1"/>
    <col min="28" max="28" width="4.5703125" customWidth="1"/>
    <col min="29" max="29" width="3.28515625" customWidth="1"/>
    <col min="30" max="31" width="3" customWidth="1"/>
    <col min="32" max="32" width="3.5703125" customWidth="1"/>
    <col min="33" max="33" width="4.42578125" customWidth="1"/>
    <col min="34" max="34" width="4" customWidth="1"/>
    <col min="35" max="35" width="2.85546875" customWidth="1"/>
    <col min="36" max="36" width="12" customWidth="1"/>
    <col min="37" max="37" width="2.85546875" customWidth="1"/>
    <col min="38" max="38" width="10.85546875" customWidth="1"/>
    <col min="39" max="41" width="15.85546875" customWidth="1"/>
    <col min="42" max="42" width="8.140625" customWidth="1"/>
    <col min="43" max="43" width="10.85546875" customWidth="1"/>
    <col min="44" max="44" width="11" customWidth="1"/>
    <col min="45" max="45" width="9.28515625" customWidth="1"/>
    <col min="46" max="46" width="9.42578125" customWidth="1"/>
    <col min="47" max="49" width="9.28515625" hidden="1" customWidth="1"/>
    <col min="50" max="50" width="11.5703125" hidden="1" customWidth="1"/>
    <col min="51" max="51" width="13.85546875" hidden="1" customWidth="1"/>
    <col min="52" max="52" width="17.7109375" hidden="1" customWidth="1"/>
    <col min="53" max="59" width="11.5703125" hidden="1" customWidth="1"/>
    <col min="60" max="60" width="4.28515625" customWidth="1"/>
    <col min="61" max="61" width="13.140625" style="3403" customWidth="1"/>
    <col min="62" max="73" width="9.140625" style="3402"/>
  </cols>
  <sheetData>
    <row r="1" spans="1:73" ht="15" customHeight="1">
      <c r="A1" s="588"/>
      <c r="B1" s="588"/>
      <c r="C1" s="1890">
        <f>RevDateTime</f>
        <v>46003.399305555555</v>
      </c>
      <c r="D1" s="1890"/>
      <c r="E1" s="77"/>
      <c r="F1" s="78"/>
      <c r="G1" s="792" t="s">
        <v>306</v>
      </c>
      <c r="H1" s="793"/>
      <c r="I1" s="793"/>
      <c r="J1" s="793"/>
      <c r="K1" s="793"/>
      <c r="L1" s="793"/>
      <c r="M1" s="793"/>
      <c r="N1" s="793"/>
      <c r="O1" s="793"/>
      <c r="P1" s="793"/>
      <c r="Q1" s="794"/>
      <c r="R1" s="794"/>
      <c r="S1" s="794"/>
      <c r="T1" s="794"/>
      <c r="U1" s="795"/>
      <c r="V1" s="795"/>
      <c r="W1" s="795"/>
      <c r="X1" s="795"/>
      <c r="Y1" s="795"/>
      <c r="Z1" s="80"/>
      <c r="AA1" s="80"/>
      <c r="AB1" s="80"/>
      <c r="AC1" s="81"/>
      <c r="AD1" s="81"/>
      <c r="AE1" s="81"/>
      <c r="AF1" s="81"/>
      <c r="AG1" s="81"/>
      <c r="AH1" s="82"/>
      <c r="AI1" s="83"/>
      <c r="AJ1" s="3052">
        <f>IF(File_Single&lt;&gt;"",1,0)</f>
        <v>0</v>
      </c>
      <c r="AK1" s="1179"/>
      <c r="AL1" s="1179"/>
      <c r="AM1" s="1179"/>
      <c r="AN1" s="1179"/>
      <c r="AO1" s="1179"/>
      <c r="AP1" s="1179"/>
      <c r="AQ1" s="1179"/>
      <c r="AR1" s="1179"/>
      <c r="AS1" s="1179"/>
      <c r="AT1" s="1179"/>
      <c r="AU1" s="1179"/>
      <c r="AV1" s="1179"/>
      <c r="AW1" s="1179"/>
      <c r="AX1" s="2057"/>
      <c r="AY1" s="2057"/>
      <c r="AZ1" s="2057"/>
      <c r="BA1" s="1179"/>
      <c r="BB1" s="1179"/>
      <c r="BC1" s="1179"/>
      <c r="BD1" s="1179"/>
      <c r="BE1" s="1179"/>
      <c r="BF1" s="1179"/>
      <c r="BG1" s="1145"/>
      <c r="BH1" s="1145"/>
      <c r="BI1" s="3443" t="s">
        <v>2033</v>
      </c>
      <c r="BJ1" s="2595"/>
      <c r="BK1" s="2595"/>
      <c r="BL1" s="2595"/>
      <c r="BM1" s="2595"/>
      <c r="BN1" s="2595"/>
      <c r="BO1" s="2595"/>
      <c r="BP1" s="2595"/>
      <c r="BQ1" s="2595"/>
      <c r="BR1" s="2595"/>
      <c r="BS1" s="2595"/>
      <c r="BT1" s="2595"/>
      <c r="BU1" s="2595"/>
    </row>
    <row r="2" spans="1:73" ht="15.75" customHeight="1" thickBot="1">
      <c r="A2" s="588"/>
      <c r="B2" s="588"/>
      <c r="C2" s="1544">
        <f>RevDateTime</f>
        <v>46003.399305555555</v>
      </c>
      <c r="D2" s="1544"/>
      <c r="E2" s="77"/>
      <c r="F2" s="78"/>
      <c r="G2" s="6370" t="s">
        <v>5757</v>
      </c>
      <c r="H2" s="6371"/>
      <c r="I2" s="6371"/>
      <c r="J2" s="6371"/>
      <c r="K2" s="6371"/>
      <c r="L2" s="6371"/>
      <c r="M2" s="6371"/>
      <c r="N2" s="6371"/>
      <c r="O2" s="6371"/>
      <c r="P2" s="6371"/>
      <c r="Q2" s="794"/>
      <c r="R2" s="794"/>
      <c r="S2" s="794"/>
      <c r="T2" s="277"/>
      <c r="U2" s="79"/>
      <c r="V2" s="79"/>
      <c r="W2" s="79"/>
      <c r="X2" s="79"/>
      <c r="Y2" s="518"/>
      <c r="Z2" s="620"/>
      <c r="AA2" s="620"/>
      <c r="AB2" s="620"/>
      <c r="AC2" s="620"/>
      <c r="AD2" s="620"/>
      <c r="AE2" s="620"/>
      <c r="AF2" s="620"/>
      <c r="AG2" s="620"/>
      <c r="AH2" s="82" t="s">
        <v>5098</v>
      </c>
      <c r="AI2" s="620"/>
      <c r="AJ2" s="3052">
        <f>IF(File_Marr_Joint&lt;&gt;"",1,0)</f>
        <v>0</v>
      </c>
      <c r="AK2" s="3231"/>
      <c r="AL2" s="3680" t="s">
        <v>2923</v>
      </c>
      <c r="AM2" s="3237"/>
      <c r="AN2" s="3237"/>
      <c r="AO2" s="3237"/>
      <c r="AP2" s="2258" t="b">
        <f>(AK2&lt;&gt;"")</f>
        <v>0</v>
      </c>
      <c r="AQ2" s="3237"/>
      <c r="AR2" s="3237"/>
      <c r="AS2" s="3237"/>
      <c r="AT2" s="3237"/>
      <c r="AU2" s="3237"/>
      <c r="AV2" s="3237"/>
      <c r="AW2" s="3237"/>
      <c r="AX2" s="3236">
        <f>DATEVALUE("1-JAN-"&amp;TaxYear)</f>
        <v>44197</v>
      </c>
      <c r="AY2" s="1276" t="b">
        <f>IF(BA2&gt;365,TRUE,FALSE)</f>
        <v>0</v>
      </c>
      <c r="AZ2" s="3236">
        <f>DATEVALUE("1-JAN-"&amp;TaxYear+1)-1</f>
        <v>44561</v>
      </c>
      <c r="BA2" s="1276">
        <f>EndOfTaxYear+1-BeginningOfTaxYear</f>
        <v>365</v>
      </c>
      <c r="BB2" s="1179"/>
      <c r="BC2" s="2057" t="s">
        <v>1093</v>
      </c>
      <c r="BD2" s="2057" t="s">
        <v>1094</v>
      </c>
      <c r="BE2" s="2057" t="s">
        <v>2619</v>
      </c>
      <c r="BF2" s="2057" t="s">
        <v>2620</v>
      </c>
      <c r="BG2" s="2057" t="s">
        <v>2621</v>
      </c>
      <c r="BH2" s="1145"/>
      <c r="BI2" s="3444" t="s">
        <v>111</v>
      </c>
      <c r="BJ2" s="2595"/>
      <c r="BK2" s="2595"/>
      <c r="BL2" s="2595"/>
      <c r="BM2" s="2595"/>
      <c r="BN2" s="2595"/>
      <c r="BO2" s="2595"/>
      <c r="BP2" s="2595"/>
      <c r="BQ2" s="2595"/>
      <c r="BR2" s="2595"/>
      <c r="BS2" s="2595"/>
      <c r="BT2" s="2595"/>
      <c r="BU2" s="2595"/>
    </row>
    <row r="3" spans="1:73" ht="16.5" customHeight="1">
      <c r="A3" s="588"/>
      <c r="B3" s="6377" t="s">
        <v>291</v>
      </c>
      <c r="C3" s="6379" t="s">
        <v>2470</v>
      </c>
      <c r="D3" s="6379"/>
      <c r="E3" s="5319"/>
      <c r="F3" s="5319" t="str">
        <f>IF(FilingStatusError,"Please check only ONE filing status box.","Department of the Treasury––Internal Revenue Service          (99)")</f>
        <v>Department of the Treasury––Internal Revenue Service          (99)</v>
      </c>
      <c r="G3" s="5319"/>
      <c r="H3" s="5306"/>
      <c r="I3" s="5306"/>
      <c r="J3" s="5306"/>
      <c r="K3" s="5306"/>
      <c r="L3" s="5306"/>
      <c r="M3" s="5306"/>
      <c r="N3" s="5306"/>
      <c r="O3" s="5306"/>
      <c r="P3" s="5320"/>
      <c r="Q3" s="5320"/>
      <c r="R3" s="6390">
        <v>2021</v>
      </c>
      <c r="S3" s="6391"/>
      <c r="T3" s="6391"/>
      <c r="U3" s="6392"/>
      <c r="V3" s="6398"/>
      <c r="W3" s="6399"/>
      <c r="X3" s="6399"/>
      <c r="Y3" s="6400"/>
      <c r="Z3" s="6381"/>
      <c r="AA3" s="6382"/>
      <c r="AB3" s="6382"/>
      <c r="AC3" s="6382"/>
      <c r="AD3" s="6382"/>
      <c r="AE3" s="6382"/>
      <c r="AF3" s="6382"/>
      <c r="AG3" s="6382"/>
      <c r="AH3" s="6382"/>
      <c r="AI3" s="646"/>
      <c r="AJ3" s="3052">
        <f>IF(File_Marr_Sep&lt;&gt;"",1,0)</f>
        <v>0</v>
      </c>
      <c r="AK3" s="3231"/>
      <c r="AL3" s="3680" t="s">
        <v>3256</v>
      </c>
      <c r="AM3" s="1284"/>
      <c r="AN3" s="1284"/>
      <c r="AO3" s="3236"/>
      <c r="AP3" s="2258" t="b">
        <f>(AK3&lt;&gt;"")</f>
        <v>0</v>
      </c>
      <c r="AQ3" s="1179"/>
      <c r="AR3" s="1179"/>
      <c r="AS3" s="1179"/>
      <c r="AT3" s="1179"/>
      <c r="AU3" s="1179"/>
      <c r="AV3" s="1179"/>
      <c r="AW3" s="1179"/>
      <c r="AX3" s="1179"/>
      <c r="AY3" s="1179"/>
      <c r="AZ3" s="1179"/>
      <c r="BA3" s="1179"/>
      <c r="BB3" s="1179"/>
      <c r="BC3" s="2341" t="b">
        <f>IF(ISERROR(FIND("ALASKA",State)),FALSE,TRUE)</f>
        <v>0</v>
      </c>
      <c r="BD3" s="2342" t="b">
        <f>IF(ISERROR(FIND("HAWAII",State)),FALSE,TRUE)</f>
        <v>0</v>
      </c>
      <c r="BE3" s="2342" t="b">
        <f>IF(ISERROR(FIND("MAINE",State)),FALSE,TRUE)</f>
        <v>0</v>
      </c>
      <c r="BF3" s="2342" t="b">
        <f>IF(ISERROR(FIND("MASSACHUSETTS",State)),FALSE,TRUE)</f>
        <v>0</v>
      </c>
      <c r="BG3" s="2342" t="b">
        <f>IF(ISERROR(FIND("DISTRICT",State)),FALSE,TRUE)</f>
        <v>0</v>
      </c>
      <c r="BH3" s="1145"/>
      <c r="BI3" s="3445"/>
      <c r="BJ3" s="2595"/>
      <c r="BK3" s="2595"/>
      <c r="BL3" s="2595"/>
      <c r="BM3" s="2595"/>
      <c r="BN3" s="2595"/>
      <c r="BO3" s="2595"/>
      <c r="BP3" s="2595"/>
      <c r="BQ3" s="2595"/>
      <c r="BR3" s="2595"/>
      <c r="BS3" s="2595"/>
      <c r="BT3" s="2595"/>
      <c r="BU3" s="2595"/>
    </row>
    <row r="4" spans="1:73" ht="21" customHeight="1" thickBot="1">
      <c r="A4" s="588"/>
      <c r="B4" s="6378"/>
      <c r="C4" s="6380"/>
      <c r="D4" s="6380"/>
      <c r="E4" s="5321"/>
      <c r="F4" s="5321" t="str">
        <f>IF(NumFileStatusBoxes=0,"Check one FILING STATUS box.","U.S. Individual Income Tax Return")</f>
        <v>Check one FILING STATUS box.</v>
      </c>
      <c r="G4" s="5322"/>
      <c r="H4" s="5322"/>
      <c r="I4" s="5322"/>
      <c r="J4" s="5322"/>
      <c r="K4" s="5322"/>
      <c r="L4" s="5322"/>
      <c r="M4" s="5322"/>
      <c r="N4" s="5322"/>
      <c r="O4" s="5322"/>
      <c r="P4" s="5322"/>
      <c r="Q4" s="5322"/>
      <c r="R4" s="6393"/>
      <c r="S4" s="6394"/>
      <c r="T4" s="6394"/>
      <c r="U4" s="6395"/>
      <c r="V4" s="6387" t="s">
        <v>152</v>
      </c>
      <c r="W4" s="6388"/>
      <c r="X4" s="6388"/>
      <c r="Y4" s="6389"/>
      <c r="Z4" s="6385" t="str">
        <f>IF(FilingStatusError,"Check only ONE filing status block","IRS Use Only—Do not write or staple in this space.")</f>
        <v>IRS Use Only—Do not write or staple in this space.</v>
      </c>
      <c r="AA4" s="6386"/>
      <c r="AB4" s="6386"/>
      <c r="AC4" s="6386"/>
      <c r="AD4" s="6386"/>
      <c r="AE4" s="6386"/>
      <c r="AF4" s="6386"/>
      <c r="AG4" s="6386"/>
      <c r="AH4" s="6386"/>
      <c r="AI4" s="647"/>
      <c r="AJ4" s="3052">
        <f>IF(File_Head&lt;&gt;"",1,0)</f>
        <v>0</v>
      </c>
      <c r="AK4" s="3232" t="s">
        <v>2324</v>
      </c>
      <c r="AL4" s="3233"/>
      <c r="AM4" s="3234" t="str">
        <f>IF(NumFileStatusBoxes=0,"Filing status not indicated.",IF(FilingStatusError,"Check only ONE filing status box.",IF(File_Single&lt;&gt;"","Single",IF(File_Marr_Joint&lt;&gt;"","Married - Filing Jointly",IF(File_Marr_Sep&lt;&gt;"","Married - Filing Separately",IF(File_Head&lt;&gt;"","Head of Household",IF(File_Qual_Widow&lt;&gt;"","Qualifying Widow(er)","")))))))</f>
        <v>Filing status not indicated.</v>
      </c>
      <c r="AN4" s="3122"/>
      <c r="AO4" s="1179"/>
      <c r="AP4" s="1179"/>
      <c r="AQ4" s="1179"/>
      <c r="AR4" s="1179"/>
      <c r="AS4" s="1179"/>
      <c r="AT4" s="1179"/>
      <c r="AU4" s="1179"/>
      <c r="AV4" s="1179"/>
      <c r="AW4" s="1179"/>
      <c r="AX4" s="1179"/>
      <c r="AY4" s="1179"/>
      <c r="AZ4" s="1179"/>
      <c r="BA4" s="1179"/>
      <c r="BB4" s="1179"/>
      <c r="BC4" s="2343" t="b">
        <f>IF(ISERROR(FIND("AK",State)),FALSE,TRUE)</f>
        <v>0</v>
      </c>
      <c r="BD4" s="2344" t="b">
        <f>IF(ISERROR(FIND("HI",State)),FALSE,TRUE)</f>
        <v>0</v>
      </c>
      <c r="BE4" s="2344" t="b">
        <f>IF(ISERROR(FIND("ME",State)),FALSE,TRUE)</f>
        <v>0</v>
      </c>
      <c r="BF4" s="2344" t="b">
        <f>IF(ISERROR(FIND("MA",State)),FALSE,TRUE)</f>
        <v>0</v>
      </c>
      <c r="BG4" s="2344" t="b">
        <f>IF(ISERROR(FIND("DC",State)),FALSE,TRUE)</f>
        <v>0</v>
      </c>
      <c r="BH4" s="1145"/>
      <c r="BI4" s="3445"/>
      <c r="BJ4" s="2595"/>
      <c r="BK4" s="2595"/>
      <c r="BL4" s="2595"/>
      <c r="BM4" s="2595"/>
      <c r="BN4" s="2595"/>
      <c r="BO4" s="2595"/>
      <c r="BP4" s="2595"/>
      <c r="BQ4" s="2595"/>
      <c r="BR4" s="2595"/>
      <c r="BS4" s="2595"/>
      <c r="BT4" s="2595"/>
      <c r="BU4" s="2595"/>
    </row>
    <row r="5" spans="1:73" ht="5.25" customHeight="1" thickTop="1">
      <c r="A5" s="588"/>
      <c r="B5" s="4564"/>
      <c r="C5" s="4565"/>
      <c r="D5" s="4565"/>
      <c r="E5" s="5323"/>
      <c r="F5" s="5323"/>
      <c r="G5" s="5324"/>
      <c r="H5" s="5324"/>
      <c r="I5" s="5324"/>
      <c r="J5" s="5324"/>
      <c r="K5" s="5324"/>
      <c r="L5" s="5324"/>
      <c r="M5" s="5324"/>
      <c r="N5" s="5324"/>
      <c r="O5" s="5324"/>
      <c r="P5" s="5324"/>
      <c r="Q5" s="5324"/>
      <c r="R5" s="5324"/>
      <c r="S5" s="5324"/>
      <c r="T5" s="5324"/>
      <c r="U5" s="5324"/>
      <c r="V5" s="5325"/>
      <c r="W5" s="5324"/>
      <c r="X5" s="5324"/>
      <c r="Y5" s="5324"/>
      <c r="Z5" s="5326"/>
      <c r="AA5" s="5327"/>
      <c r="AB5" s="5327"/>
      <c r="AC5" s="5327"/>
      <c r="AD5" s="5327"/>
      <c r="AE5" s="5327"/>
      <c r="AF5" s="5327"/>
      <c r="AG5" s="5327"/>
      <c r="AH5" s="5327"/>
      <c r="AI5" s="647"/>
      <c r="AJ5" s="3052"/>
      <c r="AK5" s="4566"/>
      <c r="AL5" s="4567"/>
      <c r="AM5" s="4568"/>
      <c r="AN5" s="1179"/>
      <c r="AO5" s="1179"/>
      <c r="AP5" s="1179"/>
      <c r="AQ5" s="1179"/>
      <c r="AR5" s="1179"/>
      <c r="AS5" s="1179"/>
      <c r="AT5" s="1179"/>
      <c r="AU5" s="1179"/>
      <c r="AV5" s="1179"/>
      <c r="AW5" s="1179"/>
      <c r="AX5" s="1179"/>
      <c r="AY5" s="1179"/>
      <c r="AZ5" s="1179"/>
      <c r="BA5" s="1179"/>
      <c r="BB5" s="1179"/>
      <c r="BC5" s="2343"/>
      <c r="BD5" s="2344"/>
      <c r="BE5" s="2344"/>
      <c r="BF5" s="2344"/>
      <c r="BG5" s="2344"/>
      <c r="BH5" s="1145"/>
      <c r="BI5" s="3445"/>
      <c r="BJ5" s="2595"/>
      <c r="BK5" s="2595"/>
      <c r="BL5" s="2595"/>
      <c r="BM5" s="2595"/>
      <c r="BN5" s="2595"/>
      <c r="BO5" s="2595"/>
      <c r="BP5" s="2595"/>
      <c r="BQ5" s="2595"/>
      <c r="BR5" s="2595"/>
      <c r="BS5" s="2595"/>
      <c r="BT5" s="2595"/>
      <c r="BU5" s="2595"/>
    </row>
    <row r="6" spans="1:73" ht="14.25" customHeight="1">
      <c r="A6" s="588"/>
      <c r="B6" s="1379"/>
      <c r="C6" s="1925" t="s">
        <v>70</v>
      </c>
      <c r="D6" s="4569"/>
      <c r="E6" s="1180"/>
      <c r="F6" s="5328" t="s">
        <v>3318</v>
      </c>
      <c r="G6" s="5319"/>
      <c r="H6" s="5329"/>
      <c r="I6" s="1180"/>
      <c r="J6" s="5328" t="s">
        <v>3319</v>
      </c>
      <c r="K6" s="5319"/>
      <c r="L6" s="5319"/>
      <c r="M6" s="5319"/>
      <c r="N6" s="5329"/>
      <c r="O6" s="1180"/>
      <c r="P6" s="5330" t="s">
        <v>3297</v>
      </c>
      <c r="Q6" s="5319"/>
      <c r="R6" s="5319"/>
      <c r="S6" s="5319"/>
      <c r="T6" s="5319"/>
      <c r="U6" s="5329"/>
      <c r="V6" s="1180"/>
      <c r="W6" s="5330" t="s">
        <v>3298</v>
      </c>
      <c r="X6" s="5319"/>
      <c r="Y6" s="5319"/>
      <c r="Z6" s="5319"/>
      <c r="AA6" s="5329"/>
      <c r="AB6" s="1180"/>
      <c r="AC6" s="5330" t="s">
        <v>4867</v>
      </c>
      <c r="AD6" s="5319"/>
      <c r="AE6" s="5319"/>
      <c r="AF6" s="5319"/>
      <c r="AG6" s="5319"/>
      <c r="AH6" s="5319"/>
      <c r="AI6" s="647"/>
      <c r="AJ6" s="3052">
        <f>IF(File_Qual_Widow&lt;&gt;"",1,0)</f>
        <v>0</v>
      </c>
      <c r="AK6" s="3228"/>
      <c r="AL6" s="3227" t="str">
        <f>IF(File_Marr_Sep&lt;&gt;"","Yes.      Did you live apart from your spouse for all of "&amp;TEXT(TaxYear,"0")&amp;"?","")</f>
        <v/>
      </c>
      <c r="AM6" s="3158"/>
      <c r="AN6" s="1179"/>
      <c r="AO6" s="1179"/>
      <c r="AP6" s="1284" t="b">
        <f>AND(File_Marr_Sep&lt;&gt;"",OR(AK6&lt;&gt;"",AK7&lt;&gt;""),NOT(AND(AK6&lt;&gt;"",AK7&lt;&gt;"")))</f>
        <v>0</v>
      </c>
      <c r="AQ6" s="1179"/>
      <c r="AR6" s="1179"/>
      <c r="AS6" s="1179"/>
      <c r="AT6" s="1179"/>
      <c r="AU6" s="1179"/>
      <c r="AV6" s="1179"/>
      <c r="AW6" s="1179"/>
      <c r="AX6" s="1179"/>
      <c r="AY6" s="1179"/>
      <c r="AZ6" s="1179"/>
      <c r="BA6" s="1179"/>
      <c r="BB6" s="1179"/>
      <c r="BC6" s="2345" t="b">
        <f>IF(ISERROR(FIND("Alaska",State)),FALSE,TRUE)</f>
        <v>0</v>
      </c>
      <c r="BD6" s="2346" t="b">
        <f>IF(ISERROR(FIND("Hawaii",State)),FALSE,TRUE)</f>
        <v>0</v>
      </c>
      <c r="BE6" s="2346" t="b">
        <f>IF(ISERROR(FIND("Maine",State)),FALSE,TRUE)</f>
        <v>0</v>
      </c>
      <c r="BF6" s="2346" t="b">
        <f>IF(ISERROR(FIND("Massachusetts",State)),FALSE,TRUE)</f>
        <v>0</v>
      </c>
      <c r="BG6" s="2346" t="b">
        <f>IF(ISERROR(FIND("D.C.",State)),FALSE,TRUE)</f>
        <v>0</v>
      </c>
      <c r="BH6" s="1145"/>
      <c r="BI6" s="3445"/>
      <c r="BJ6" s="2595"/>
      <c r="BK6" s="2595"/>
      <c r="BL6" s="2595"/>
      <c r="BM6" s="2595"/>
      <c r="BN6" s="2595"/>
      <c r="BO6" s="2595"/>
      <c r="BP6" s="2595"/>
      <c r="BQ6" s="2595"/>
      <c r="BR6" s="2595"/>
      <c r="BS6" s="2595"/>
      <c r="BT6" s="2595"/>
      <c r="BU6" s="2595"/>
    </row>
    <row r="7" spans="1:73" ht="14.25" customHeight="1" thickBot="1">
      <c r="A7" s="588"/>
      <c r="B7" s="1379"/>
      <c r="C7" s="1857" t="s">
        <v>3299</v>
      </c>
      <c r="D7" s="1379"/>
      <c r="E7" s="5191" t="s">
        <v>3301</v>
      </c>
      <c r="F7" s="5319"/>
      <c r="G7" s="5319"/>
      <c r="H7" s="5319"/>
      <c r="I7" s="5319"/>
      <c r="J7" s="5319"/>
      <c r="K7" s="5319"/>
      <c r="L7" s="5319"/>
      <c r="M7" s="5319"/>
      <c r="N7" s="5319"/>
      <c r="O7" s="5255"/>
      <c r="P7" s="5255"/>
      <c r="Q7" s="5191"/>
      <c r="R7" s="5191"/>
      <c r="S7" s="5319"/>
      <c r="T7" s="5319"/>
      <c r="U7" s="5319"/>
      <c r="V7" s="5319"/>
      <c r="W7" s="5319"/>
      <c r="X7" s="5319"/>
      <c r="Y7" s="5319"/>
      <c r="Z7" s="5319"/>
      <c r="AA7" s="5319"/>
      <c r="AB7" s="5319"/>
      <c r="AC7" s="5319"/>
      <c r="AD7" s="5319"/>
      <c r="AE7" s="5319"/>
      <c r="AF7" s="5319"/>
      <c r="AG7" s="5319"/>
      <c r="AH7" s="5500" t="s">
        <v>4885</v>
      </c>
      <c r="AI7" s="647"/>
      <c r="AJ7" s="3052">
        <f>SUM(AJ1:AJ6)</f>
        <v>0</v>
      </c>
      <c r="AK7" s="3228"/>
      <c r="AL7" s="3227" t="str">
        <f>IF(OR(AND(AK6&lt;&gt;"",AK7&lt;&gt;""),AND(File_Marr_Sep&lt;&gt;"",AK6="",AK7="")),"No.       Please check ONE box.",IF(File_Marr_Sep&lt;&gt;"","No.",""))</f>
        <v/>
      </c>
      <c r="AM7" s="1284"/>
      <c r="AN7" s="1179"/>
      <c r="AO7" s="1179"/>
      <c r="AP7" s="1284" t="b">
        <f>AND(File_Marr_Sep,AK6&lt;&gt;"",AK7="")</f>
        <v>0</v>
      </c>
      <c r="AQ7" s="2258" t="b">
        <f>AND(DependentYOU="",OR(File_Single&lt;&gt;"",File_Marr_Joint&lt;&gt;"",File_Marr_Sep&lt;&gt;"",File_Head&lt;&gt;"",File_Qual_Widow&lt;&gt;""))</f>
        <v>0</v>
      </c>
      <c r="AR7" s="1179"/>
      <c r="AS7" s="1179"/>
      <c r="AT7" s="1179"/>
      <c r="AU7" s="1179"/>
      <c r="AV7" s="1179"/>
      <c r="AW7" s="1179"/>
      <c r="AX7" s="1179"/>
      <c r="AY7" s="1179"/>
      <c r="AZ7" s="1179"/>
      <c r="BA7" s="1179"/>
      <c r="BB7" s="1179"/>
      <c r="BC7" s="2347" t="b">
        <f>OR(BC3,BC4,BC6)</f>
        <v>0</v>
      </c>
      <c r="BD7" s="2348" t="b">
        <f>OR(BD3,BD4,BD6)</f>
        <v>0</v>
      </c>
      <c r="BE7" s="2348" t="b">
        <f>OR(BE3,BE4,BE6)</f>
        <v>0</v>
      </c>
      <c r="BF7" s="2348" t="b">
        <f>OR(BF3,BF4,BF6)</f>
        <v>0</v>
      </c>
      <c r="BG7" s="2348" t="b">
        <f>OR(BG3,BG4,BG6)</f>
        <v>0</v>
      </c>
      <c r="BH7" s="1145"/>
      <c r="BI7" s="3445"/>
      <c r="BJ7" s="2595"/>
      <c r="BK7" s="2595"/>
      <c r="BL7" s="2595"/>
      <c r="BM7" s="2595"/>
      <c r="BN7" s="2595"/>
      <c r="BO7" s="2595"/>
      <c r="BP7" s="2595"/>
      <c r="BQ7" s="2595"/>
      <c r="BR7" s="2595"/>
      <c r="BS7" s="2595"/>
      <c r="BT7" s="2595"/>
      <c r="BU7" s="2595"/>
    </row>
    <row r="8" spans="1:73" ht="17.25" customHeight="1">
      <c r="A8" s="588"/>
      <c r="B8" s="4067"/>
      <c r="C8" s="4595" t="s">
        <v>3300</v>
      </c>
      <c r="D8" s="4068"/>
      <c r="E8" s="5337" t="s">
        <v>4886</v>
      </c>
      <c r="F8" s="5318"/>
      <c r="G8" s="5318"/>
      <c r="H8" s="5318"/>
      <c r="I8" s="5318"/>
      <c r="J8" s="5318"/>
      <c r="K8" s="5318"/>
      <c r="L8" s="5318"/>
      <c r="M8" s="5318"/>
      <c r="N8" s="5318"/>
      <c r="O8" s="6443"/>
      <c r="P8" s="6443"/>
      <c r="Q8" s="6443"/>
      <c r="R8" s="6443"/>
      <c r="S8" s="6443"/>
      <c r="T8" s="6443"/>
      <c r="U8" s="6443"/>
      <c r="V8" s="6443"/>
      <c r="W8" s="6443"/>
      <c r="X8" s="6443"/>
      <c r="Y8" s="6443"/>
      <c r="Z8" s="6443"/>
      <c r="AA8" s="6443"/>
      <c r="AB8" s="6443"/>
      <c r="AC8" s="6443"/>
      <c r="AD8" s="6443"/>
      <c r="AE8" s="6443"/>
      <c r="AF8" s="6443"/>
      <c r="AG8" s="6443"/>
      <c r="AH8" s="6443"/>
      <c r="AI8" s="647"/>
      <c r="AJ8" s="2523" t="b">
        <f>NumFileStatusBoxes&gt;1</f>
        <v>0</v>
      </c>
      <c r="AK8" s="3228"/>
      <c r="AL8" s="4236" t="str">
        <f>IF(File_Marr_Sep&lt;&gt;"","Check here if you spouse had no income and is NOT filing a tax return.","")</f>
        <v/>
      </c>
      <c r="AM8" s="4057"/>
      <c r="AN8" s="4057"/>
      <c r="AO8" s="4057"/>
      <c r="AP8" s="1179"/>
      <c r="AQ8" s="2258" t="b">
        <f>AND(DependentSPOUSE="",File_Marr_Joint&lt;&gt;"")</f>
        <v>0</v>
      </c>
      <c r="AR8" s="1179"/>
      <c r="AS8" s="1179"/>
      <c r="AT8" s="1179"/>
      <c r="AU8" s="1179"/>
      <c r="AV8" s="1179"/>
      <c r="AW8" s="1179"/>
      <c r="AX8" s="1284"/>
      <c r="AY8" s="1284"/>
      <c r="AZ8" s="1179"/>
      <c r="BA8" s="1179"/>
      <c r="BB8" s="1179"/>
      <c r="BC8" s="1179"/>
      <c r="BD8" s="1179"/>
      <c r="BE8" s="1179"/>
      <c r="BF8" s="1179" t="b">
        <f>OR(BE7,BF7,BG7)</f>
        <v>0</v>
      </c>
      <c r="BG8" s="1145"/>
      <c r="BH8" s="1145"/>
      <c r="BI8" s="3445"/>
      <c r="BJ8" s="2595"/>
      <c r="BK8" s="2595"/>
      <c r="BL8" s="2595"/>
      <c r="BM8" s="2595"/>
      <c r="BN8" s="2595"/>
      <c r="BO8" s="2595"/>
      <c r="BP8" s="2595"/>
      <c r="BQ8" s="2595"/>
      <c r="BR8" s="2595"/>
      <c r="BS8" s="2595"/>
      <c r="BT8" s="2595"/>
      <c r="BU8" s="2595"/>
    </row>
    <row r="9" spans="1:73" ht="16.5" customHeight="1">
      <c r="A9" s="588"/>
      <c r="B9" s="23"/>
      <c r="C9" s="56" t="s">
        <v>3302</v>
      </c>
      <c r="D9" s="30"/>
      <c r="E9" s="3041"/>
      <c r="F9" s="23"/>
      <c r="G9" s="30"/>
      <c r="H9" s="472"/>
      <c r="I9" s="472"/>
      <c r="J9" s="472"/>
      <c r="K9" s="30"/>
      <c r="L9" s="472"/>
      <c r="M9" s="4561" t="str">
        <f>IF(AND(File_Marr_Sep&lt;&gt;"",OR(NOT(LivedApartAnswered),K8="")),"Please answer questions at right regarding your spouse.","   Last name")</f>
        <v xml:space="preserve">   Last name</v>
      </c>
      <c r="N9" s="472"/>
      <c r="O9" s="472"/>
      <c r="P9" s="30"/>
      <c r="Q9" s="472"/>
      <c r="R9" s="472"/>
      <c r="S9" s="472"/>
      <c r="T9" s="30"/>
      <c r="U9" s="30"/>
      <c r="V9" s="30"/>
      <c r="W9" s="472"/>
      <c r="X9" s="472"/>
      <c r="Y9" s="472"/>
      <c r="Z9" s="6372" t="s">
        <v>89</v>
      </c>
      <c r="AA9" s="6373"/>
      <c r="AB9" s="6374"/>
      <c r="AC9" s="6374"/>
      <c r="AD9" s="6374"/>
      <c r="AE9" s="6374"/>
      <c r="AF9" s="6374"/>
      <c r="AG9" s="6374"/>
      <c r="AH9" s="6374"/>
      <c r="AI9" s="78"/>
      <c r="AJ9" s="2258" t="b">
        <f>(NumFileStatusBoxes&gt;1)</f>
        <v>0</v>
      </c>
      <c r="AK9" s="1284"/>
      <c r="AL9" s="2258" t="b">
        <f>IF(AND(OR(File_Single&lt;&gt;"",File_Head&lt;&gt;""),OR(sp_over_64&lt;&gt;"",sp_blind&lt;&gt;"",DependentSPOUSE&lt;&gt;"",Dual_Status_Alien&lt;&gt;"")),TRUE,FALSE)</f>
        <v>0</v>
      </c>
      <c r="AM9" s="1284" t="str">
        <f>IF(AND(Name_1st_Yours&lt;&gt;"",Name_1st_Sp&lt;&gt;""),Name_1st_Yours&amp;" "&amp;Name_Last_Yours&amp;" &amp; "&amp;Name_1st_Sp&amp;" "&amp;Name_Last_Sp,IF(Name_Last_Yours&lt;&gt;"",Name_1st_Yours&amp;" "&amp;Name_Last_Yours,""))</f>
        <v/>
      </c>
      <c r="AN9" s="1179"/>
      <c r="AO9" s="1179"/>
      <c r="AP9" s="1179"/>
      <c r="AQ9" s="1179"/>
      <c r="AR9" s="1179"/>
      <c r="AS9" s="1179"/>
      <c r="AT9" s="1179"/>
      <c r="AU9" s="1179"/>
      <c r="AV9" s="1179"/>
      <c r="AW9" s="1179"/>
      <c r="AX9" s="1179"/>
      <c r="AY9" s="1284"/>
      <c r="AZ9" s="1284"/>
      <c r="BA9" s="1179"/>
      <c r="BB9" s="1179"/>
      <c r="BC9" s="1179"/>
      <c r="BD9" s="1179"/>
      <c r="BE9" s="1179"/>
      <c r="BF9" s="3432" t="s">
        <v>2623</v>
      </c>
      <c r="BG9" s="1179"/>
      <c r="BH9" s="1145"/>
      <c r="BI9" s="3445"/>
      <c r="BJ9" s="2595"/>
      <c r="BK9" s="2595"/>
      <c r="BL9" s="2595"/>
      <c r="BM9" s="2595"/>
      <c r="BN9" s="2595"/>
      <c r="BO9" s="2595"/>
      <c r="BP9" s="2595"/>
      <c r="BQ9" s="2595"/>
      <c r="BR9" s="2595"/>
      <c r="BS9" s="2595"/>
      <c r="BT9" s="2595"/>
      <c r="BU9" s="2595"/>
    </row>
    <row r="10" spans="1:73" ht="16.5" customHeight="1">
      <c r="A10" s="588"/>
      <c r="B10" s="6318"/>
      <c r="C10" s="6318"/>
      <c r="D10" s="6318"/>
      <c r="E10" s="6319"/>
      <c r="F10" s="6319"/>
      <c r="G10" s="6319"/>
      <c r="H10" s="6319"/>
      <c r="I10" s="6319"/>
      <c r="J10" s="6319"/>
      <c r="K10" s="6320"/>
      <c r="L10" s="6321"/>
      <c r="M10" s="6324"/>
      <c r="N10" s="6325"/>
      <c r="O10" s="6325"/>
      <c r="P10" s="6325"/>
      <c r="Q10" s="6325"/>
      <c r="R10" s="6325"/>
      <c r="S10" s="6325"/>
      <c r="T10" s="6325"/>
      <c r="U10" s="6325"/>
      <c r="V10" s="6325"/>
      <c r="W10" s="6325"/>
      <c r="X10" s="6325"/>
      <c r="Y10" s="6326"/>
      <c r="Z10" s="6359">
        <v>1010001</v>
      </c>
      <c r="AA10" s="6360"/>
      <c r="AB10" s="6360"/>
      <c r="AC10" s="6360"/>
      <c r="AD10" s="6360"/>
      <c r="AE10" s="6360"/>
      <c r="AF10" s="6360"/>
      <c r="AG10" s="6360"/>
      <c r="AH10" s="6360"/>
      <c r="AI10" s="47"/>
      <c r="AJ10" s="2260" t="b">
        <f>IF(AND(OR(File_Single&lt;&gt;"",File_Head&lt;&gt;""),OR(sp_over_64&lt;&gt;"",sp_blind&lt;&gt;"")),TRUE,FALSE)</f>
        <v>0</v>
      </c>
      <c r="AK10" s="1284"/>
      <c r="AL10" s="2260" t="b">
        <f>IF(OR(File_Marr_Joint&lt;&gt;"",File_Marr_Sep&lt;&gt;"",File_Qual_Widow&lt;&gt;""),TRUE,FALSE)</f>
        <v>0</v>
      </c>
      <c r="AM10" s="1284" t="str">
        <f>Name_1st_Yours&amp;" "&amp;Name_Last_Yours</f>
        <v xml:space="preserve"> </v>
      </c>
      <c r="AN10" s="1284" t="str">
        <f>Name_1st_Sp&amp;" "&amp;Name_Last_Sp</f>
        <v xml:space="preserve"> </v>
      </c>
      <c r="AO10" s="1179"/>
      <c r="AP10" s="1179"/>
      <c r="AQ10" s="1179"/>
      <c r="AR10" s="1179"/>
      <c r="AS10" s="1179"/>
      <c r="AT10" s="1179"/>
      <c r="AU10" s="1179"/>
      <c r="AV10" s="1179"/>
      <c r="AW10" s="1179"/>
      <c r="AX10" s="1276"/>
      <c r="AY10" s="1284"/>
      <c r="AZ10" s="1179"/>
      <c r="BA10" s="1179"/>
      <c r="BB10" s="1179"/>
      <c r="BC10" s="1179"/>
      <c r="BD10" s="1179"/>
      <c r="BE10" s="1179"/>
      <c r="BF10" s="1276" t="s">
        <v>2622</v>
      </c>
      <c r="BG10" s="1145"/>
      <c r="BI10" s="3445"/>
      <c r="BJ10" s="2595"/>
      <c r="BK10" s="2595"/>
      <c r="BL10" s="2595"/>
      <c r="BM10" s="2595"/>
      <c r="BN10" s="2595"/>
      <c r="BO10" s="2595"/>
      <c r="BP10" s="2595"/>
      <c r="BQ10" s="2595"/>
      <c r="BR10" s="2595"/>
      <c r="BS10" s="2595"/>
      <c r="BT10" s="2595"/>
      <c r="BU10" s="2595"/>
    </row>
    <row r="11" spans="1:73" ht="16.5" customHeight="1">
      <c r="A11" s="588"/>
      <c r="B11" s="1027"/>
      <c r="C11" s="4059" t="s">
        <v>3303</v>
      </c>
      <c r="D11" s="37"/>
      <c r="E11" s="1028"/>
      <c r="F11" s="54"/>
      <c r="G11" s="37"/>
      <c r="H11" s="37"/>
      <c r="I11" s="37"/>
      <c r="J11" s="37"/>
      <c r="K11" s="37"/>
      <c r="L11" s="388"/>
      <c r="M11" s="4562" t="s">
        <v>170</v>
      </c>
      <c r="N11" s="37"/>
      <c r="O11" s="37"/>
      <c r="P11" s="37"/>
      <c r="Q11" s="37"/>
      <c r="R11" s="37"/>
      <c r="S11" s="37"/>
      <c r="T11" s="37"/>
      <c r="U11" s="37"/>
      <c r="V11" s="37"/>
      <c r="W11" s="37"/>
      <c r="X11" s="37"/>
      <c r="Y11" s="388"/>
      <c r="Z11" s="6402" t="str">
        <f>IF(AND(File_Marr_Sep&lt;&gt;"",SS_Spouse=""),"Enter spouse's Soc. Sec. number","Spouse's social security number")</f>
        <v>Spouse's social security number</v>
      </c>
      <c r="AA11" s="6403"/>
      <c r="AB11" s="6404"/>
      <c r="AC11" s="6404"/>
      <c r="AD11" s="6404"/>
      <c r="AE11" s="6404"/>
      <c r="AF11" s="6404"/>
      <c r="AG11" s="6404"/>
      <c r="AH11" s="6404"/>
      <c r="AI11" s="47"/>
      <c r="AJ11" s="2260"/>
      <c r="AK11" s="1284"/>
      <c r="AL11" s="2260"/>
      <c r="AM11" s="4081"/>
      <c r="AN11" s="4081"/>
      <c r="AO11" s="1179"/>
      <c r="AP11" s="1179"/>
      <c r="AQ11" s="1179"/>
      <c r="AR11" s="1179"/>
      <c r="AS11" s="1179"/>
      <c r="AT11" s="1179"/>
      <c r="AU11" s="2086">
        <f>IF(you_over_64&lt;&gt;"",1,0)</f>
        <v>0</v>
      </c>
      <c r="AV11" s="1179"/>
      <c r="AW11" s="1179"/>
      <c r="AX11" s="1284"/>
      <c r="AY11" s="1284"/>
      <c r="AZ11" s="1179"/>
      <c r="BA11" s="1179"/>
      <c r="BB11" s="1179"/>
      <c r="BC11" s="1179"/>
      <c r="BD11" s="1179"/>
      <c r="BE11" s="1179"/>
      <c r="BF11" s="1179"/>
      <c r="BG11" s="1179"/>
      <c r="BH11" s="1145"/>
      <c r="BI11" s="3445"/>
      <c r="BJ11" s="2595"/>
      <c r="BK11" s="2595"/>
      <c r="BL11" s="2595"/>
      <c r="BM11" s="2595"/>
      <c r="BN11" s="2595"/>
      <c r="BO11" s="2595"/>
      <c r="BP11" s="2595"/>
      <c r="BQ11" s="2595"/>
      <c r="BR11" s="2595"/>
      <c r="BS11" s="2595"/>
      <c r="BT11" s="2595"/>
      <c r="BU11" s="2595"/>
    </row>
    <row r="12" spans="1:73" ht="16.5" customHeight="1" thickBot="1">
      <c r="A12" s="588"/>
      <c r="B12" s="6322"/>
      <c r="C12" s="6323"/>
      <c r="D12" s="6323"/>
      <c r="E12" s="6323"/>
      <c r="F12" s="6323"/>
      <c r="G12" s="6323"/>
      <c r="H12" s="6323"/>
      <c r="I12" s="6323"/>
      <c r="J12" s="6323"/>
      <c r="K12" s="6320"/>
      <c r="L12" s="6321"/>
      <c r="M12" s="6324"/>
      <c r="N12" s="6325"/>
      <c r="O12" s="6325"/>
      <c r="P12" s="6325"/>
      <c r="Q12" s="6325"/>
      <c r="R12" s="6325"/>
      <c r="S12" s="6325"/>
      <c r="T12" s="6325"/>
      <c r="U12" s="6325"/>
      <c r="V12" s="6325"/>
      <c r="W12" s="6325"/>
      <c r="X12" s="6325"/>
      <c r="Y12" s="6326"/>
      <c r="Z12" s="6359">
        <v>1010002</v>
      </c>
      <c r="AA12" s="6360"/>
      <c r="AB12" s="6360"/>
      <c r="AC12" s="6360"/>
      <c r="AD12" s="6360"/>
      <c r="AE12" s="6360"/>
      <c r="AF12" s="6360"/>
      <c r="AG12" s="6360"/>
      <c r="AH12" s="6360"/>
      <c r="AI12" s="648"/>
      <c r="AJ12" s="2260"/>
      <c r="AK12" s="1284"/>
      <c r="AL12" s="2260"/>
      <c r="AM12" s="1284"/>
      <c r="AN12" s="1284"/>
      <c r="AO12" s="1179"/>
      <c r="AP12" s="1179"/>
      <c r="AQ12" s="1179"/>
      <c r="AR12" s="1179"/>
      <c r="AS12" s="1179"/>
      <c r="AT12" s="1179"/>
      <c r="AU12" s="2086">
        <f>IF(you_blind&lt;&gt;"",1,0)</f>
        <v>0</v>
      </c>
      <c r="AV12" s="2057"/>
      <c r="AW12" s="2057"/>
      <c r="AX12" s="1276" t="b">
        <f>IF(OR(YourBirthMonth="",YourBirthDay="",YourBirthYear=""),FALSE,TRUE)</f>
        <v>0</v>
      </c>
      <c r="AY12" s="1276" t="str">
        <f>IF(OR(YourBirthMonth="",YourBirthDay="",YourBirthYear=""),"Enter your birthdate",IF(BA102,"Your birthdate appears to be in error.",IF(AX13,"For IRS purposes, you were "&amp;YourAge&amp;" years old on December 31, "&amp;TaxYear&amp;".","You were "&amp;YourAge&amp;" years old on December 31, "&amp;TaxYear&amp;".")))</f>
        <v>Enter your birthdate</v>
      </c>
      <c r="AZ12" s="1179"/>
      <c r="BA12" s="1179"/>
      <c r="BB12" s="1179"/>
      <c r="BC12" s="1179"/>
      <c r="BD12" s="1179"/>
      <c r="BE12" s="1179"/>
      <c r="BF12" s="1179"/>
      <c r="BG12" s="1179"/>
      <c r="BH12" s="1179"/>
      <c r="BI12" s="3445"/>
      <c r="BJ12" s="2595"/>
      <c r="BK12" s="2595"/>
      <c r="BL12" s="2595"/>
      <c r="BM12" s="2595"/>
      <c r="BN12" s="2595"/>
      <c r="BO12" s="2595"/>
      <c r="BP12" s="2595"/>
      <c r="BQ12" s="2595"/>
      <c r="BR12" s="2595"/>
      <c r="BS12" s="2595"/>
      <c r="BT12" s="2595"/>
      <c r="BU12" s="2595"/>
    </row>
    <row r="13" spans="1:73" ht="16.5" customHeight="1">
      <c r="A13" s="588"/>
      <c r="B13" s="4059"/>
      <c r="C13" s="56" t="s">
        <v>486</v>
      </c>
      <c r="D13" s="30"/>
      <c r="E13" s="1026"/>
      <c r="F13" s="23"/>
      <c r="G13" s="30"/>
      <c r="H13" s="30"/>
      <c r="I13" s="30"/>
      <c r="J13" s="30"/>
      <c r="K13" s="37"/>
      <c r="L13" s="37"/>
      <c r="M13" s="37"/>
      <c r="N13" s="37"/>
      <c r="O13" s="37"/>
      <c r="P13" s="37"/>
      <c r="Q13" s="37"/>
      <c r="R13" s="37"/>
      <c r="S13" s="37"/>
      <c r="T13" s="37"/>
      <c r="U13" s="37"/>
      <c r="V13" s="37"/>
      <c r="W13" s="4562" t="s">
        <v>169</v>
      </c>
      <c r="X13" s="37"/>
      <c r="Y13" s="388"/>
      <c r="Z13" s="6375" t="s">
        <v>3305</v>
      </c>
      <c r="AA13" s="6376"/>
      <c r="AB13" s="6376"/>
      <c r="AC13" s="6376"/>
      <c r="AD13" s="6376"/>
      <c r="AE13" s="6376"/>
      <c r="AF13" s="6376"/>
      <c r="AG13" s="6376"/>
      <c r="AH13" s="6376"/>
      <c r="AI13" s="637"/>
      <c r="AJ13" s="2523"/>
      <c r="AK13" s="2060"/>
      <c r="AL13" s="2088" t="str">
        <f>IF(AND($AL$10,AX12,AX14),"Birthdates",IF($AL$10,"Enter your birthdate and your spouse's birthdate.",IF(AX12,"Birthdate","Enter your birthdate.")))</f>
        <v>Enter your birthdate.</v>
      </c>
      <c r="AM13" s="1274"/>
      <c r="AN13" s="1274"/>
      <c r="AO13" s="1274"/>
      <c r="AP13" s="1275"/>
      <c r="AQ13" s="1179"/>
      <c r="AR13" s="1179"/>
      <c r="AS13" s="1179"/>
      <c r="AT13" s="1179"/>
      <c r="AU13" s="2086">
        <f>IF(AND(OR(File_Marr_Joint&lt;&gt;"",MFS_Spouse_NotFiling&lt;&gt;""),sp_over_64&lt;&gt;""),1,0)</f>
        <v>0</v>
      </c>
      <c r="AV13" s="2056"/>
      <c r="AW13" s="2056"/>
      <c r="AX13" s="1276" t="b">
        <f>AND(YourBirthMonth=1,YourBirthDay=1)</f>
        <v>0</v>
      </c>
      <c r="AY13" s="1284"/>
      <c r="AZ13" s="1179"/>
      <c r="BA13" s="1179"/>
      <c r="BB13" s="1179"/>
      <c r="BC13" s="1179"/>
      <c r="BD13" s="1179"/>
      <c r="BE13" s="1179"/>
      <c r="BF13" s="1179"/>
      <c r="BG13" s="1179"/>
      <c r="BH13" s="1179"/>
      <c r="BI13" s="3445"/>
      <c r="BJ13" s="2595"/>
      <c r="BK13" s="2595"/>
      <c r="BL13" s="2595"/>
      <c r="BM13" s="2595"/>
      <c r="BN13" s="2595"/>
      <c r="BO13" s="2595"/>
      <c r="BP13" s="2595"/>
      <c r="BQ13" s="2595"/>
      <c r="BR13" s="2595"/>
      <c r="BS13" s="2595"/>
      <c r="BT13" s="2595"/>
      <c r="BU13" s="2595"/>
    </row>
    <row r="14" spans="1:73" ht="16.5" customHeight="1" thickBot="1">
      <c r="A14" s="588"/>
      <c r="B14" s="6323"/>
      <c r="C14" s="6323"/>
      <c r="D14" s="6323"/>
      <c r="E14" s="6323"/>
      <c r="F14" s="6323"/>
      <c r="G14" s="6323"/>
      <c r="H14" s="6323"/>
      <c r="I14" s="6323"/>
      <c r="J14" s="6323"/>
      <c r="K14" s="6323"/>
      <c r="L14" s="6323"/>
      <c r="M14" s="6323"/>
      <c r="N14" s="6323"/>
      <c r="O14" s="6323"/>
      <c r="P14" s="6323"/>
      <c r="Q14" s="6323"/>
      <c r="R14" s="6323"/>
      <c r="S14" s="6323"/>
      <c r="T14" s="6323"/>
      <c r="U14" s="6323"/>
      <c r="V14" s="6330"/>
      <c r="W14" s="6214"/>
      <c r="X14" s="6361"/>
      <c r="Y14" s="6362"/>
      <c r="Z14" s="6327" t="s">
        <v>3896</v>
      </c>
      <c r="AA14" s="6328"/>
      <c r="AB14" s="6328"/>
      <c r="AC14" s="6328"/>
      <c r="AD14" s="6328"/>
      <c r="AE14" s="6328"/>
      <c r="AF14" s="6328"/>
      <c r="AG14" s="6328"/>
      <c r="AH14" s="6328"/>
      <c r="AI14" s="637"/>
      <c r="AJ14" s="3218"/>
      <c r="AK14" s="2061"/>
      <c r="AL14" s="2057"/>
      <c r="AM14" s="2057" t="s">
        <v>2281</v>
      </c>
      <c r="AN14" s="2057" t="s">
        <v>2282</v>
      </c>
      <c r="AO14" s="2057" t="s">
        <v>3678</v>
      </c>
      <c r="AP14" s="1760"/>
      <c r="AQ14" s="2057"/>
      <c r="AR14" s="1179"/>
      <c r="AS14" s="2057"/>
      <c r="AT14" s="2057"/>
      <c r="AU14" s="2086">
        <f>IF(sp_blind&lt;&gt;"",1,0)</f>
        <v>0</v>
      </c>
      <c r="AV14" s="2058"/>
      <c r="AW14" s="2058"/>
      <c r="AX14" s="1276" t="b">
        <f>AND(OR(File_Marr_Sep&lt;&gt;"",File_Marr_Joint&lt;&gt;""),SpouseBirthMonth&lt;&gt;"",SpouseBirthDay&lt;&gt;"",SpouseBirthYear&lt;&gt;"")</f>
        <v>0</v>
      </c>
      <c r="AY14" s="1276" t="str">
        <f>IF(AND(File_Marr_Sep="",File_Marr_Joint=""),"",IF(AND(OR(File_Marr_Sep&lt;&gt;"",File_Marr_Joint&lt;&gt;""),OR(SpouseBirthMonth="",SpouseBirthDay="",SpouseBirthYear="")),"Enter spouse's birthdate.",IF(BA122,"Your birthdate appears to be in error.",IF(AX15,"For IRS purposes, you were "&amp;SpouseAge&amp;" years old on December 31, "&amp;TaxYear&amp;".","Your spouse was "&amp;SpouseAge&amp;" years old on December 31, "&amp;TaxYear&amp;"."))))</f>
        <v/>
      </c>
      <c r="AZ14" s="1179"/>
      <c r="BA14" s="1179"/>
      <c r="BB14" s="1179"/>
      <c r="BC14" s="1179"/>
      <c r="BD14" s="1179"/>
      <c r="BE14" s="1179"/>
      <c r="BF14" s="1179"/>
      <c r="BG14" s="1179"/>
      <c r="BH14" s="1179"/>
      <c r="BI14" s="3445"/>
      <c r="BJ14" s="2595"/>
      <c r="BK14" s="2595"/>
      <c r="BL14" s="2595"/>
      <c r="BM14" s="2595"/>
      <c r="BN14" s="2595"/>
      <c r="BO14" s="2595"/>
      <c r="BP14" s="2595"/>
      <c r="BQ14" s="2595"/>
      <c r="BR14" s="2595"/>
      <c r="BS14" s="2595"/>
      <c r="BT14" s="2595"/>
      <c r="BU14" s="2595"/>
    </row>
    <row r="15" spans="1:73" ht="16.5" customHeight="1" thickBot="1">
      <c r="A15" s="588"/>
      <c r="B15" s="37"/>
      <c r="C15" s="4059" t="s">
        <v>3938</v>
      </c>
      <c r="D15" s="37"/>
      <c r="E15" s="1029"/>
      <c r="F15" s="54"/>
      <c r="G15" s="37"/>
      <c r="H15" s="37"/>
      <c r="I15" s="37"/>
      <c r="J15" s="37"/>
      <c r="K15" s="37"/>
      <c r="L15" s="37"/>
      <c r="M15" s="37"/>
      <c r="N15" s="37"/>
      <c r="O15" s="37"/>
      <c r="P15" s="37"/>
      <c r="Q15" s="37"/>
      <c r="R15" s="6342" t="s">
        <v>1867</v>
      </c>
      <c r="S15" s="6343"/>
      <c r="T15" s="6343"/>
      <c r="U15" s="6344"/>
      <c r="V15" s="6342" t="s">
        <v>3937</v>
      </c>
      <c r="W15" s="6343"/>
      <c r="X15" s="6343"/>
      <c r="Y15" s="6344"/>
      <c r="Z15" s="6327"/>
      <c r="AA15" s="6328"/>
      <c r="AB15" s="6328"/>
      <c r="AC15" s="6328"/>
      <c r="AD15" s="6328"/>
      <c r="AE15" s="6328"/>
      <c r="AF15" s="6328"/>
      <c r="AG15" s="6328"/>
      <c r="AH15" s="6328"/>
      <c r="AI15" s="637"/>
      <c r="AJ15" s="3218"/>
      <c r="AK15" s="1405"/>
      <c r="AL15" s="2065" t="s">
        <v>1885</v>
      </c>
      <c r="AM15" s="6062"/>
      <c r="AN15" s="6062"/>
      <c r="AO15" s="6062"/>
      <c r="AP15" s="2062"/>
      <c r="AQ15" s="2056"/>
      <c r="AR15" s="1179"/>
      <c r="AS15" s="2056"/>
      <c r="AT15" s="2056"/>
      <c r="AU15" s="2086">
        <f>IF(OR(AND(OR(File_Single&lt;&gt;"",File_Head&lt;&gt;""),OR(sp_over_64&lt;&gt;"",sp_blind&lt;&gt;"")),NumFileStatusBoxes=0),0,SUM(AU11:AU14))</f>
        <v>0</v>
      </c>
      <c r="AV15" s="2056"/>
      <c r="AW15" s="2056"/>
      <c r="AX15" s="1276" t="b">
        <f>AND(SpouseBirthMonth=1,SpouseBirthDay=1)</f>
        <v>0</v>
      </c>
      <c r="AY15" s="1284"/>
      <c r="AZ15" s="1179"/>
      <c r="BA15" s="1179"/>
      <c r="BB15" s="1179"/>
      <c r="BC15" s="1179"/>
      <c r="BD15" s="1179"/>
      <c r="BE15" s="1179"/>
      <c r="BF15" s="1179"/>
      <c r="BG15" s="1179"/>
      <c r="BH15" s="1179"/>
      <c r="BI15" s="3445"/>
      <c r="BJ15" s="2595"/>
      <c r="BK15" s="2595"/>
      <c r="BL15" s="2595"/>
      <c r="BM15" s="2595"/>
      <c r="BN15" s="2595"/>
      <c r="BO15" s="2595"/>
      <c r="BP15" s="2595"/>
      <c r="BQ15" s="2595"/>
      <c r="BR15" s="2595"/>
      <c r="BS15" s="2595"/>
      <c r="BT15" s="2595"/>
      <c r="BU15" s="2595"/>
    </row>
    <row r="16" spans="1:73" ht="16.5" customHeight="1" thickBot="1">
      <c r="A16" s="588"/>
      <c r="B16" s="6345"/>
      <c r="C16" s="6346"/>
      <c r="D16" s="6346"/>
      <c r="E16" s="6346"/>
      <c r="F16" s="6346"/>
      <c r="G16" s="6346"/>
      <c r="H16" s="6346"/>
      <c r="I16" s="6346"/>
      <c r="J16" s="6346"/>
      <c r="K16" s="6346"/>
      <c r="L16" s="6346"/>
      <c r="M16" s="6346"/>
      <c r="N16" s="6346"/>
      <c r="O16" s="6346"/>
      <c r="P16" s="6346"/>
      <c r="Q16" s="6347"/>
      <c r="R16" s="6339"/>
      <c r="S16" s="6340"/>
      <c r="T16" s="6340"/>
      <c r="U16" s="6341"/>
      <c r="V16" s="6339"/>
      <c r="W16" s="6340"/>
      <c r="X16" s="6340"/>
      <c r="Y16" s="6341"/>
      <c r="Z16" s="6327"/>
      <c r="AA16" s="6328"/>
      <c r="AB16" s="6328"/>
      <c r="AC16" s="6328"/>
      <c r="AD16" s="6328"/>
      <c r="AE16" s="6328"/>
      <c r="AF16" s="6328"/>
      <c r="AG16" s="6328"/>
      <c r="AH16" s="6328"/>
      <c r="AI16" s="637"/>
      <c r="AJ16" s="4066"/>
      <c r="AK16" s="2063"/>
      <c r="AL16" s="2057"/>
      <c r="AM16" s="2254" t="str">
        <f>AY12</f>
        <v>Enter your birthdate</v>
      </c>
      <c r="AN16" s="2058"/>
      <c r="AO16" s="2058"/>
      <c r="AP16" s="2064"/>
      <c r="AQ16" s="2058"/>
      <c r="AR16" s="1179"/>
      <c r="AS16" s="2058"/>
      <c r="AT16" s="2058"/>
      <c r="AU16" s="2059"/>
      <c r="AV16" s="2059"/>
      <c r="AW16" s="2059"/>
      <c r="AX16" s="1179" t="b">
        <f>AND($AL$25,SpouseDeathYear&lt;&gt;"",SpouseDeathYear=TaxYear)</f>
        <v>0</v>
      </c>
      <c r="AY16" s="1276" t="s">
        <v>2624</v>
      </c>
      <c r="AZ16" s="1179"/>
      <c r="BA16" s="1179"/>
      <c r="BB16" s="1179"/>
      <c r="BC16" s="1179"/>
      <c r="BD16" s="1179"/>
      <c r="BE16" s="1179"/>
      <c r="BF16" s="1179"/>
      <c r="BG16" s="1145"/>
      <c r="BH16" s="1179"/>
      <c r="BI16" s="3445"/>
      <c r="BJ16" s="2595"/>
      <c r="BK16" s="2595"/>
      <c r="BL16" s="2595"/>
      <c r="BM16" s="2595"/>
      <c r="BN16" s="2595"/>
      <c r="BO16" s="2595"/>
      <c r="BP16" s="2595"/>
      <c r="BQ16" s="2595"/>
      <c r="BR16" s="2595"/>
      <c r="BS16" s="2595"/>
      <c r="BT16" s="2595"/>
      <c r="BU16" s="2595"/>
    </row>
    <row r="17" spans="1:73" ht="16.5" customHeight="1" thickBot="1">
      <c r="A17" s="588"/>
      <c r="B17" s="37"/>
      <c r="C17" s="37" t="s">
        <v>583</v>
      </c>
      <c r="D17" s="37"/>
      <c r="E17" s="1029"/>
      <c r="F17" s="54"/>
      <c r="G17" s="37"/>
      <c r="H17" s="37"/>
      <c r="I17" s="37"/>
      <c r="J17" s="37"/>
      <c r="K17" s="37"/>
      <c r="L17" s="37"/>
      <c r="M17" s="37"/>
      <c r="N17" s="389" t="s">
        <v>3304</v>
      </c>
      <c r="O17" s="37"/>
      <c r="P17" s="37"/>
      <c r="Q17" s="37"/>
      <c r="R17" s="37"/>
      <c r="S17" s="37"/>
      <c r="T17" s="37"/>
      <c r="U17" s="37"/>
      <c r="V17" s="389" t="s">
        <v>584</v>
      </c>
      <c r="W17" s="37"/>
      <c r="X17" s="37"/>
      <c r="Y17" s="388"/>
      <c r="Z17" s="6327"/>
      <c r="AA17" s="6328"/>
      <c r="AB17" s="6328"/>
      <c r="AC17" s="6328"/>
      <c r="AD17" s="6328"/>
      <c r="AE17" s="6328"/>
      <c r="AF17" s="6328"/>
      <c r="AG17" s="6328"/>
      <c r="AH17" s="6328"/>
      <c r="AI17" s="637"/>
      <c r="AJ17" s="3433"/>
      <c r="AK17" s="3440"/>
      <c r="AL17" s="2065" t="str">
        <f>IF($AL$10,"Spouse ","")</f>
        <v/>
      </c>
      <c r="AM17" s="6062"/>
      <c r="AN17" s="6062"/>
      <c r="AO17" s="6062"/>
      <c r="AP17" s="2062"/>
      <c r="AQ17" s="2056"/>
      <c r="AR17" s="1179"/>
      <c r="AS17" s="2056"/>
      <c r="AT17" s="2056"/>
      <c r="AU17" s="1179"/>
      <c r="AV17" s="1179"/>
      <c r="AW17" s="1179"/>
      <c r="AX17" s="1179" t="b">
        <f>AND($AL$25,OR(SpouseDeathMonth&lt;SpouseBirthMonth,AND(SpouseDeathMonth=SpouseBirthMonth,SpouseDeathDay&lt;SpouseBirthDay)))</f>
        <v>0</v>
      </c>
      <c r="AY17" s="1179"/>
      <c r="AZ17" s="1179"/>
      <c r="BA17" s="1179"/>
      <c r="BB17" s="1179"/>
      <c r="BC17" s="1179"/>
      <c r="BD17" s="1179"/>
      <c r="BE17" s="1179"/>
      <c r="BF17" s="1179"/>
      <c r="BG17" s="1145"/>
      <c r="BH17" s="1145"/>
      <c r="BI17" s="3445"/>
      <c r="BJ17" s="2595"/>
      <c r="BK17" s="2595"/>
      <c r="BL17" s="2595"/>
      <c r="BM17" s="2595"/>
      <c r="BN17" s="2595"/>
      <c r="BO17" s="2595"/>
      <c r="BP17" s="2595"/>
      <c r="BQ17" s="2595"/>
      <c r="BR17" s="2595"/>
      <c r="BS17" s="2595"/>
      <c r="BT17" s="2595"/>
      <c r="BU17" s="2595"/>
    </row>
    <row r="18" spans="1:73" ht="12.75" customHeight="1">
      <c r="A18" s="588"/>
      <c r="B18" s="6322"/>
      <c r="C18" s="6322"/>
      <c r="D18" s="6322"/>
      <c r="E18" s="6322"/>
      <c r="F18" s="6322"/>
      <c r="G18" s="6322"/>
      <c r="H18" s="6322"/>
      <c r="I18" s="6322"/>
      <c r="J18" s="6322"/>
      <c r="K18" s="6322"/>
      <c r="L18" s="6322"/>
      <c r="M18" s="6329"/>
      <c r="N18" s="6331"/>
      <c r="O18" s="6322"/>
      <c r="P18" s="6322"/>
      <c r="Q18" s="6322"/>
      <c r="R18" s="6322"/>
      <c r="S18" s="6322"/>
      <c r="T18" s="6322"/>
      <c r="U18" s="6329"/>
      <c r="V18" s="6333"/>
      <c r="W18" s="6334"/>
      <c r="X18" s="6334"/>
      <c r="Y18" s="6335"/>
      <c r="Z18" s="5313"/>
      <c r="AA18" s="5261"/>
      <c r="AB18" s="5261"/>
      <c r="AC18" s="1180"/>
      <c r="AD18" s="5212" t="s">
        <v>1720</v>
      </c>
      <c r="AE18" s="5261"/>
      <c r="AF18" s="1180"/>
      <c r="AG18" s="5212" t="s">
        <v>1735</v>
      </c>
      <c r="AH18" s="5218"/>
      <c r="AI18" s="637"/>
      <c r="AJ18" s="2086"/>
      <c r="AK18" s="6396" t="str">
        <f>IF(File_Marr_Joint&lt;&gt;"","Check "&amp;CHAR(10)&amp;"if deceased","")</f>
        <v/>
      </c>
      <c r="AL18" s="6397"/>
      <c r="AM18" s="3434" t="str">
        <f>AY14</f>
        <v/>
      </c>
      <c r="AN18" s="2059"/>
      <c r="AO18" s="2059"/>
      <c r="AP18" s="3435"/>
      <c r="AQ18" s="2059"/>
      <c r="AR18" s="1179"/>
      <c r="AS18" s="2059"/>
      <c r="AT18" s="2059"/>
      <c r="AU18" s="1179"/>
      <c r="AV18" s="1179"/>
      <c r="AW18" s="1179"/>
      <c r="AX18" s="1179"/>
      <c r="AY18" s="1179"/>
      <c r="AZ18" s="1179"/>
      <c r="BA18" s="1145"/>
      <c r="BB18" s="1145"/>
      <c r="BC18" s="1145"/>
      <c r="BD18" s="2340"/>
      <c r="BE18" s="2340"/>
      <c r="BF18" s="2340"/>
      <c r="BG18" s="1145"/>
      <c r="BH18" s="1145"/>
      <c r="BI18" s="3445"/>
      <c r="BJ18" s="2595"/>
      <c r="BK18" s="2595"/>
      <c r="BL18" s="2595"/>
      <c r="BM18" s="2595"/>
      <c r="BN18" s="2595"/>
      <c r="BO18" s="2595"/>
      <c r="BP18" s="2595"/>
      <c r="BQ18" s="2595"/>
      <c r="BR18" s="2595"/>
      <c r="BS18" s="2595"/>
      <c r="BT18" s="2595"/>
      <c r="BU18" s="2595"/>
    </row>
    <row r="19" spans="1:73" ht="3.75" customHeight="1">
      <c r="A19" s="588"/>
      <c r="B19" s="6323"/>
      <c r="C19" s="6323"/>
      <c r="D19" s="6323"/>
      <c r="E19" s="6323"/>
      <c r="F19" s="6323"/>
      <c r="G19" s="6323"/>
      <c r="H19" s="6323"/>
      <c r="I19" s="6323"/>
      <c r="J19" s="6323"/>
      <c r="K19" s="6323"/>
      <c r="L19" s="6323"/>
      <c r="M19" s="6330"/>
      <c r="N19" s="6332"/>
      <c r="O19" s="6323"/>
      <c r="P19" s="6323"/>
      <c r="Q19" s="6323"/>
      <c r="R19" s="6323"/>
      <c r="S19" s="6323"/>
      <c r="T19" s="6323"/>
      <c r="U19" s="6330"/>
      <c r="V19" s="6336"/>
      <c r="W19" s="6337"/>
      <c r="X19" s="6337"/>
      <c r="Y19" s="6338"/>
      <c r="Z19" s="5314"/>
      <c r="AA19" s="5315"/>
      <c r="AB19" s="5315"/>
      <c r="AC19" s="5317"/>
      <c r="AD19" s="5315"/>
      <c r="AE19" s="5315"/>
      <c r="AF19" s="4571"/>
      <c r="AG19" s="5315"/>
      <c r="AH19" s="5316"/>
      <c r="AI19" s="637"/>
      <c r="AJ19" s="2086"/>
      <c r="AK19" s="4070"/>
      <c r="AL19" s="1314"/>
      <c r="AM19" s="2254"/>
      <c r="AN19" s="2059"/>
      <c r="AO19" s="2059"/>
      <c r="AP19" s="3435"/>
      <c r="AQ19" s="2059"/>
      <c r="AR19" s="1179"/>
      <c r="AS19" s="2059"/>
      <c r="AT19" s="2059"/>
      <c r="AU19" s="1179"/>
      <c r="AV19" s="1179"/>
      <c r="AW19" s="1179"/>
      <c r="AX19" s="1179"/>
      <c r="AY19" s="1179"/>
      <c r="AZ19" s="1179"/>
      <c r="BA19" s="1145"/>
      <c r="BB19" s="1145"/>
      <c r="BC19" s="1145"/>
      <c r="BD19" s="2340"/>
      <c r="BE19" s="2340"/>
      <c r="BF19" s="2340"/>
      <c r="BG19" s="1145"/>
      <c r="BH19" s="1145"/>
      <c r="BI19" s="3445"/>
      <c r="BJ19" s="2595"/>
      <c r="BK19" s="2595"/>
      <c r="BL19" s="2595"/>
      <c r="BM19" s="2595"/>
      <c r="BN19" s="2595"/>
      <c r="BO19" s="2595"/>
      <c r="BP19" s="2595"/>
      <c r="BQ19" s="2595"/>
      <c r="BR19" s="2595"/>
      <c r="BS19" s="2595"/>
      <c r="BT19" s="2595"/>
      <c r="BU19" s="2595"/>
    </row>
    <row r="20" spans="1:73" ht="3.75" customHeight="1">
      <c r="A20" s="588"/>
      <c r="B20" s="5258"/>
      <c r="C20" s="5258"/>
      <c r="D20" s="5258"/>
      <c r="E20" s="5258"/>
      <c r="F20" s="5258"/>
      <c r="G20" s="5258"/>
      <c r="H20" s="5258"/>
      <c r="I20" s="5258"/>
      <c r="J20" s="5258"/>
      <c r="K20" s="5258"/>
      <c r="L20" s="5258"/>
      <c r="M20" s="5258"/>
      <c r="N20" s="5258"/>
      <c r="O20" s="5258"/>
      <c r="P20" s="5258"/>
      <c r="Q20" s="5258"/>
      <c r="R20" s="5258"/>
      <c r="S20" s="5258"/>
      <c r="T20" s="5258"/>
      <c r="U20" s="5258"/>
      <c r="V20" s="5258"/>
      <c r="W20" s="5258"/>
      <c r="X20" s="5258"/>
      <c r="Y20" s="5258"/>
      <c r="Z20" s="5258"/>
      <c r="AA20" s="5258"/>
      <c r="AB20" s="5258"/>
      <c r="AC20" s="5258"/>
      <c r="AD20" s="5258"/>
      <c r="AE20" s="5258"/>
      <c r="AF20" s="5258"/>
      <c r="AG20" s="5258"/>
      <c r="AH20" s="5218"/>
      <c r="AI20" s="637"/>
      <c r="AJ20" s="2086"/>
      <c r="AK20" s="4070"/>
      <c r="AL20" s="1314"/>
      <c r="AM20" s="2254"/>
      <c r="AN20" s="2059"/>
      <c r="AO20" s="2059"/>
      <c r="AP20" s="3435"/>
      <c r="AQ20" s="2059"/>
      <c r="AR20" s="1179"/>
      <c r="AS20" s="2059"/>
      <c r="AT20" s="2059"/>
      <c r="AU20" s="1179"/>
      <c r="AV20" s="1179"/>
      <c r="AW20" s="1179"/>
      <c r="AX20" s="1179"/>
      <c r="AY20" s="1179"/>
      <c r="AZ20" s="1179"/>
      <c r="BA20" s="1145"/>
      <c r="BB20" s="1145"/>
      <c r="BC20" s="1145"/>
      <c r="BD20" s="2340"/>
      <c r="BE20" s="2340"/>
      <c r="BF20" s="2340"/>
      <c r="BG20" s="1145"/>
      <c r="BH20" s="1145"/>
      <c r="BI20" s="3445"/>
      <c r="BJ20" s="2595"/>
      <c r="BK20" s="2595"/>
      <c r="BL20" s="2595"/>
      <c r="BM20" s="2595"/>
      <c r="BN20" s="2595"/>
      <c r="BO20" s="2595"/>
      <c r="BP20" s="2595"/>
      <c r="BQ20" s="2595"/>
      <c r="BR20" s="2595"/>
      <c r="BS20" s="2595"/>
      <c r="BT20" s="2595"/>
      <c r="BU20" s="2595"/>
    </row>
    <row r="21" spans="1:73" ht="12.75" customHeight="1">
      <c r="A21" s="588"/>
      <c r="B21" s="5257" t="str">
        <f>"At any time during "&amp;TaxYear&amp;", did you receive, sell, send, exchange, or otherwise acquire any financial interest in any virtual currency?"</f>
        <v>At any time during 2021, did you receive, sell, send, exchange, or otherwise acquire any financial interest in any virtual currency?</v>
      </c>
      <c r="C21" s="5258"/>
      <c r="D21" s="5258"/>
      <c r="E21" s="5258"/>
      <c r="F21" s="5258"/>
      <c r="G21" s="5258"/>
      <c r="H21" s="5258"/>
      <c r="I21" s="5258"/>
      <c r="J21" s="5258"/>
      <c r="K21" s="5258"/>
      <c r="L21" s="5258"/>
      <c r="M21" s="5258"/>
      <c r="N21" s="5258"/>
      <c r="O21" s="5258"/>
      <c r="P21" s="5258"/>
      <c r="Q21" s="5258"/>
      <c r="R21" s="5258"/>
      <c r="S21" s="5258"/>
      <c r="T21" s="5258"/>
      <c r="U21" s="5258"/>
      <c r="V21" s="5258"/>
      <c r="W21" s="5258"/>
      <c r="X21" s="5258"/>
      <c r="Y21" s="5258"/>
      <c r="Z21" s="5258"/>
      <c r="AA21" s="5258"/>
      <c r="AB21" s="5258"/>
      <c r="AC21" s="1180"/>
      <c r="AD21" s="5212" t="s">
        <v>271</v>
      </c>
      <c r="AE21" s="5258"/>
      <c r="AF21" s="1180"/>
      <c r="AG21" s="5212" t="s">
        <v>272</v>
      </c>
      <c r="AH21" s="5218"/>
      <c r="AI21" s="637"/>
      <c r="AJ21" s="2086"/>
      <c r="AK21" s="4070"/>
      <c r="AL21" s="1314"/>
      <c r="AM21" s="2254"/>
      <c r="AN21" s="2059"/>
      <c r="AO21" s="2059"/>
      <c r="AP21" s="3435"/>
      <c r="AQ21" s="2059"/>
      <c r="AR21" s="1179"/>
      <c r="AS21" s="2059"/>
      <c r="AT21" s="2059"/>
      <c r="AU21" s="1179"/>
      <c r="AV21" s="1179"/>
      <c r="AW21" s="1179"/>
      <c r="AX21" s="1179"/>
      <c r="AY21" s="1179"/>
      <c r="AZ21" s="1179"/>
      <c r="BA21" s="1145"/>
      <c r="BB21" s="1145"/>
      <c r="BC21" s="1145"/>
      <c r="BD21" s="2340"/>
      <c r="BE21" s="2340"/>
      <c r="BF21" s="2340"/>
      <c r="BG21" s="1145"/>
      <c r="BH21" s="1145"/>
      <c r="BI21" s="3445"/>
      <c r="BJ21" s="2595"/>
      <c r="BK21" s="2595"/>
      <c r="BL21" s="2595"/>
      <c r="BM21" s="2595"/>
      <c r="BN21" s="2595"/>
      <c r="BO21" s="2595"/>
      <c r="BP21" s="2595"/>
      <c r="BQ21" s="2595"/>
      <c r="BR21" s="2595"/>
      <c r="BS21" s="2595"/>
      <c r="BT21" s="2595"/>
      <c r="BU21" s="2595"/>
    </row>
    <row r="22" spans="1:73" ht="5.25" customHeight="1">
      <c r="A22" s="588"/>
      <c r="B22" s="5260"/>
      <c r="C22" s="5260"/>
      <c r="D22" s="5260"/>
      <c r="E22" s="5260"/>
      <c r="F22" s="5260"/>
      <c r="G22" s="5260"/>
      <c r="H22" s="5260"/>
      <c r="I22" s="5260"/>
      <c r="J22" s="5260"/>
      <c r="K22" s="5260"/>
      <c r="L22" s="5260"/>
      <c r="M22" s="5260"/>
      <c r="N22" s="5260"/>
      <c r="O22" s="5260"/>
      <c r="P22" s="5260"/>
      <c r="Q22" s="5260"/>
      <c r="R22" s="5260"/>
      <c r="S22" s="5260"/>
      <c r="T22" s="5260"/>
      <c r="U22" s="5260"/>
      <c r="V22" s="5260"/>
      <c r="W22" s="5260"/>
      <c r="X22" s="5260"/>
      <c r="Y22" s="5260"/>
      <c r="Z22" s="5260"/>
      <c r="AA22" s="5260"/>
      <c r="AB22" s="5260"/>
      <c r="AC22" s="5260"/>
      <c r="AD22" s="5260"/>
      <c r="AE22" s="5312"/>
      <c r="AF22" s="5312"/>
      <c r="AG22" s="5312"/>
      <c r="AH22" s="5312"/>
      <c r="AI22" s="637"/>
      <c r="AJ22" s="2086"/>
      <c r="AK22" s="4070"/>
      <c r="AL22" s="1314"/>
      <c r="AM22" s="2254"/>
      <c r="AN22" s="2059"/>
      <c r="AO22" s="2059"/>
      <c r="AP22" s="3435"/>
      <c r="AQ22" s="2059"/>
      <c r="AR22" s="1179"/>
      <c r="AS22" s="2059"/>
      <c r="AT22" s="2059"/>
      <c r="AU22" s="1179"/>
      <c r="AV22" s="1179"/>
      <c r="AW22" s="1179"/>
      <c r="AX22" s="1179"/>
      <c r="AY22" s="1179"/>
      <c r="AZ22" s="1179"/>
      <c r="BA22" s="1145"/>
      <c r="BB22" s="1145"/>
      <c r="BC22" s="1145"/>
      <c r="BD22" s="2340"/>
      <c r="BE22" s="2340"/>
      <c r="BF22" s="2340"/>
      <c r="BG22" s="1145"/>
      <c r="BH22" s="1145"/>
      <c r="BI22" s="3445"/>
      <c r="BJ22" s="2595"/>
      <c r="BK22" s="2595"/>
      <c r="BL22" s="2595"/>
      <c r="BM22" s="2595"/>
      <c r="BN22" s="2595"/>
      <c r="BO22" s="2595"/>
      <c r="BP22" s="2595"/>
      <c r="BQ22" s="2595"/>
      <c r="BR22" s="2595"/>
      <c r="BS22" s="2595"/>
      <c r="BT22" s="2595"/>
      <c r="BU22" s="2595"/>
    </row>
    <row r="23" spans="1:73" ht="5.25" customHeight="1" thickBot="1">
      <c r="A23" s="588"/>
      <c r="B23" s="5259"/>
      <c r="C23" s="5259"/>
      <c r="D23" s="5259"/>
      <c r="E23" s="5259"/>
      <c r="F23" s="5259"/>
      <c r="G23" s="5259"/>
      <c r="H23" s="5259"/>
      <c r="I23" s="5260"/>
      <c r="J23" s="5259"/>
      <c r="K23" s="5259"/>
      <c r="L23" s="5259"/>
      <c r="M23" s="5259"/>
      <c r="N23" s="5259"/>
      <c r="O23" s="5260"/>
      <c r="P23" s="5259"/>
      <c r="Q23" s="5259"/>
      <c r="R23" s="5259"/>
      <c r="S23" s="5259"/>
      <c r="T23" s="5259"/>
      <c r="U23" s="5259"/>
      <c r="V23" s="5259"/>
      <c r="W23" s="5259"/>
      <c r="X23" s="5259"/>
      <c r="Y23" s="5259"/>
      <c r="Z23" s="5259"/>
      <c r="AA23" s="5259"/>
      <c r="AB23" s="5259"/>
      <c r="AC23" s="5259"/>
      <c r="AD23" s="5259"/>
      <c r="AE23" s="5261"/>
      <c r="AF23" s="5261"/>
      <c r="AG23" s="5261"/>
      <c r="AH23" s="5261"/>
      <c r="AI23" s="637"/>
      <c r="AJ23" s="2086"/>
      <c r="AK23" s="4070"/>
      <c r="AL23" s="1314"/>
      <c r="AM23" s="4071"/>
      <c r="AN23" s="2059"/>
      <c r="AO23" s="2059"/>
      <c r="AP23" s="3435"/>
      <c r="AQ23" s="2059"/>
      <c r="AR23" s="1179"/>
      <c r="AS23" s="2059"/>
      <c r="AT23" s="2059"/>
      <c r="AU23" s="1179"/>
      <c r="AV23" s="1179"/>
      <c r="AW23" s="1179"/>
      <c r="AX23" s="1179"/>
      <c r="AY23" s="1179"/>
      <c r="AZ23" s="1179"/>
      <c r="BA23" s="1145"/>
      <c r="BB23" s="1145"/>
      <c r="BC23" s="1145"/>
      <c r="BD23" s="2340"/>
      <c r="BE23" s="2340"/>
      <c r="BF23" s="2340"/>
      <c r="BG23" s="1145"/>
      <c r="BH23" s="1145"/>
      <c r="BI23" s="3445"/>
      <c r="BJ23" s="2595"/>
      <c r="BK23" s="2595"/>
      <c r="BL23" s="2595"/>
      <c r="BM23" s="2595"/>
      <c r="BN23" s="2595"/>
      <c r="BO23" s="2595"/>
      <c r="BP23" s="2595"/>
      <c r="BQ23" s="2595"/>
      <c r="BR23" s="2595"/>
      <c r="BS23" s="2595"/>
      <c r="BT23" s="2595"/>
      <c r="BU23" s="2595"/>
    </row>
    <row r="24" spans="1:73" ht="12.75" customHeight="1" thickBot="1">
      <c r="A24" s="588"/>
      <c r="B24" s="6401" t="s">
        <v>3311</v>
      </c>
      <c r="C24" s="6401"/>
      <c r="D24" s="6401"/>
      <c r="E24" s="5212" t="s">
        <v>3306</v>
      </c>
      <c r="F24" s="5192"/>
      <c r="G24" s="5192"/>
      <c r="H24" s="5192"/>
      <c r="I24" s="4570"/>
      <c r="J24" s="5266" t="s">
        <v>3897</v>
      </c>
      <c r="K24" s="5265"/>
      <c r="L24" s="5265"/>
      <c r="M24" s="5265"/>
      <c r="N24" s="5265"/>
      <c r="O24" s="4570"/>
      <c r="P24" s="5267" t="s">
        <v>3677</v>
      </c>
      <c r="Q24" s="5265"/>
      <c r="R24" s="5265"/>
      <c r="S24" s="5265"/>
      <c r="T24" s="5265"/>
      <c r="U24" s="5265"/>
      <c r="V24" s="5265"/>
      <c r="W24" s="5265"/>
      <c r="X24" s="5265"/>
      <c r="Y24" s="5265"/>
      <c r="Z24" s="5265"/>
      <c r="AA24" s="5265"/>
      <c r="AB24" s="5265"/>
      <c r="AC24" s="5265"/>
      <c r="AD24" s="5265"/>
      <c r="AE24" s="5265"/>
      <c r="AF24" s="5265"/>
      <c r="AG24" s="5265"/>
      <c r="AH24" s="5265"/>
      <c r="AI24" s="637"/>
      <c r="AJ24" s="3218"/>
      <c r="AK24" s="3436"/>
      <c r="AL24" s="2065" t="str">
        <f>IF(AL25,"Date of death","")</f>
        <v/>
      </c>
      <c r="AM24" s="6062"/>
      <c r="AN24" s="6062"/>
      <c r="AO24" s="6062"/>
      <c r="AP24" s="3418" t="b">
        <f>AND(SpouseDeceased&lt;&gt;"",SpouseDeathYear&lt;&gt;"",SpouseDeathYear&lt;&gt;TaxYear)</f>
        <v>0</v>
      </c>
      <c r="AQ24" s="1179"/>
      <c r="AR24" s="1179"/>
      <c r="AS24" s="1179"/>
      <c r="AT24" s="1179"/>
      <c r="AU24" s="1179"/>
      <c r="AV24" s="1179"/>
      <c r="AW24" s="1179"/>
      <c r="AX24" s="1171"/>
      <c r="AY24" s="1171"/>
      <c r="AZ24" s="1171"/>
      <c r="BA24" s="2340"/>
      <c r="BB24" s="2340"/>
      <c r="BC24" s="2340"/>
      <c r="BD24" s="2340"/>
      <c r="BE24" s="2340"/>
      <c r="BF24" s="2340"/>
      <c r="BG24" s="1145"/>
      <c r="BH24" s="1145"/>
      <c r="BI24" s="3445"/>
      <c r="BJ24" s="2595"/>
      <c r="BK24" s="2595"/>
      <c r="BL24" s="2595"/>
      <c r="BM24" s="2595"/>
      <c r="BN24" s="2595"/>
      <c r="BO24" s="2595"/>
      <c r="BP24" s="2595"/>
      <c r="BQ24" s="2595"/>
      <c r="BR24" s="2595"/>
      <c r="BS24" s="2595"/>
      <c r="BT24" s="2595"/>
      <c r="BU24" s="2595"/>
    </row>
    <row r="25" spans="1:73" ht="15" customHeight="1">
      <c r="A25" s="588"/>
      <c r="B25" s="6401"/>
      <c r="C25" s="6401"/>
      <c r="D25" s="6401"/>
      <c r="E25" s="5262"/>
      <c r="F25" s="1180"/>
      <c r="G25" s="5263" t="s">
        <v>3312</v>
      </c>
      <c r="H25" s="5264"/>
      <c r="I25" s="5265"/>
      <c r="J25" s="5265"/>
      <c r="K25" s="5265"/>
      <c r="L25" s="5265"/>
      <c r="M25" s="5265"/>
      <c r="N25" s="5265"/>
      <c r="O25" s="5265"/>
      <c r="P25" s="5192"/>
      <c r="Q25" s="5192"/>
      <c r="R25" s="5192"/>
      <c r="S25" s="5192"/>
      <c r="T25" s="5192"/>
      <c r="U25" s="5192"/>
      <c r="V25" s="5192"/>
      <c r="W25" s="5192"/>
      <c r="X25" s="5192"/>
      <c r="Y25" s="5192"/>
      <c r="Z25" s="6348"/>
      <c r="AA25" s="6349"/>
      <c r="AB25" s="6349"/>
      <c r="AC25" s="6349"/>
      <c r="AD25" s="6349"/>
      <c r="AE25" s="6349"/>
      <c r="AF25" s="6349"/>
      <c r="AG25" s="6349"/>
      <c r="AH25" s="6349"/>
      <c r="AI25" s="649"/>
      <c r="AJ25" s="3216"/>
      <c r="AK25" s="3436"/>
      <c r="AL25" s="3439" t="b">
        <f>AND($AK$17&lt;&gt;"",$AL$10)</f>
        <v>0</v>
      </c>
      <c r="AM25" s="1185" t="str">
        <f>IF(AND(SpouseDeceased&lt;&gt;"",OR(SpouseDeathMonth="",SpouseDeathDay="",SpouseDeathYear="")),"Enter date of spouse's death.",IF(AP24,"Error: Death of spouse was not during "&amp;TaxYear&amp;".",IF(BadDeathDate,"The date of death appears to be in error.","")))</f>
        <v/>
      </c>
      <c r="AN25" s="1179"/>
      <c r="AO25" s="1179"/>
      <c r="AP25" s="1244"/>
      <c r="AQ25" s="1179"/>
      <c r="AR25" s="1179"/>
      <c r="AS25" s="1179"/>
      <c r="AT25" s="1179"/>
      <c r="AU25" s="1179"/>
      <c r="AV25" s="1179"/>
      <c r="AW25" s="1179"/>
      <c r="AX25" s="1179"/>
      <c r="AY25" s="1171"/>
      <c r="AZ25" s="1171"/>
      <c r="BA25" s="1171"/>
      <c r="BB25" s="1145"/>
      <c r="BC25" s="1145"/>
      <c r="BD25" s="2340"/>
      <c r="BE25" s="2340"/>
      <c r="BF25" s="1145"/>
      <c r="BG25" s="1145"/>
      <c r="BH25" s="1145"/>
      <c r="BI25" s="3445"/>
      <c r="BJ25" s="2595"/>
      <c r="BK25" s="2595"/>
      <c r="BL25" s="2595"/>
      <c r="BM25" s="2595"/>
      <c r="BN25" s="2595"/>
      <c r="BO25" s="2595"/>
      <c r="BP25" s="2595"/>
      <c r="BQ25" s="2595"/>
      <c r="BR25" s="2595"/>
      <c r="BS25" s="2595"/>
      <c r="BT25" s="2595"/>
      <c r="BU25" s="2595"/>
    </row>
    <row r="26" spans="1:73" ht="6.75" customHeight="1">
      <c r="A26" s="588"/>
      <c r="B26" s="6401"/>
      <c r="C26" s="6401"/>
      <c r="D26" s="6401"/>
      <c r="E26" s="5268"/>
      <c r="F26" s="5268"/>
      <c r="G26" s="5268"/>
      <c r="H26" s="5268"/>
      <c r="I26" s="5269"/>
      <c r="J26" s="5269"/>
      <c r="K26" s="5269"/>
      <c r="L26" s="5269"/>
      <c r="M26" s="5269"/>
      <c r="N26" s="5269"/>
      <c r="O26" s="5269"/>
      <c r="P26" s="5270"/>
      <c r="Q26" s="5270"/>
      <c r="R26" s="5270"/>
      <c r="S26" s="5270"/>
      <c r="T26" s="5270"/>
      <c r="U26" s="5270"/>
      <c r="V26" s="5270"/>
      <c r="W26" s="5270"/>
      <c r="X26" s="5270"/>
      <c r="Y26" s="5270"/>
      <c r="Z26" s="5270"/>
      <c r="AA26" s="5270"/>
      <c r="AB26" s="5270"/>
      <c r="AC26" s="5270"/>
      <c r="AD26" s="5270"/>
      <c r="AE26" s="5270"/>
      <c r="AF26" s="5270"/>
      <c r="AG26" s="5270"/>
      <c r="AH26" s="5270"/>
      <c r="AI26" s="649"/>
      <c r="AJ26" s="3216"/>
      <c r="AK26" s="3436"/>
      <c r="AL26" s="3439"/>
      <c r="AM26" s="1185"/>
      <c r="AN26" s="1179"/>
      <c r="AO26" s="1179"/>
      <c r="AP26" s="1244"/>
      <c r="AQ26" s="1179"/>
      <c r="AR26" s="1179"/>
      <c r="AS26" s="1179"/>
      <c r="AT26" s="1179"/>
      <c r="AU26" s="1179"/>
      <c r="AV26" s="1179"/>
      <c r="AW26" s="1179"/>
      <c r="AX26" s="1179"/>
      <c r="AY26" s="1171"/>
      <c r="AZ26" s="1171"/>
      <c r="BA26" s="1171"/>
      <c r="BB26" s="1145"/>
      <c r="BC26" s="1145"/>
      <c r="BD26" s="2340"/>
      <c r="BE26" s="2340"/>
      <c r="BF26" s="1145"/>
      <c r="BG26" s="1145"/>
      <c r="BH26" s="1145"/>
      <c r="BI26" s="3445"/>
      <c r="BJ26" s="2595"/>
      <c r="BK26" s="2595"/>
      <c r="BL26" s="2595"/>
      <c r="BM26" s="2595"/>
      <c r="BN26" s="2595"/>
      <c r="BO26" s="2595"/>
      <c r="BP26" s="2595"/>
      <c r="BQ26" s="2595"/>
      <c r="BR26" s="2595"/>
      <c r="BS26" s="2595"/>
      <c r="BT26" s="2595"/>
      <c r="BU26" s="2595"/>
    </row>
    <row r="27" spans="1:73" ht="6.75" customHeight="1">
      <c r="A27" s="588"/>
      <c r="B27" s="6401"/>
      <c r="C27" s="6401"/>
      <c r="D27" s="6401"/>
      <c r="E27" s="5271"/>
      <c r="F27" s="5271"/>
      <c r="G27" s="5271"/>
      <c r="H27" s="5271"/>
      <c r="I27" s="5272"/>
      <c r="J27" s="5272"/>
      <c r="K27" s="5272"/>
      <c r="L27" s="5272"/>
      <c r="M27" s="5272"/>
      <c r="N27" s="5272"/>
      <c r="O27" s="5272"/>
      <c r="P27" s="5273"/>
      <c r="Q27" s="5273"/>
      <c r="R27" s="5273"/>
      <c r="S27" s="5273"/>
      <c r="T27" s="5273"/>
      <c r="U27" s="5273"/>
      <c r="V27" s="5273"/>
      <c r="W27" s="5273"/>
      <c r="X27" s="5273"/>
      <c r="Y27" s="5273"/>
      <c r="Z27" s="5273"/>
      <c r="AA27" s="5273"/>
      <c r="AB27" s="5273"/>
      <c r="AC27" s="5273"/>
      <c r="AD27" s="5273"/>
      <c r="AE27" s="5273"/>
      <c r="AF27" s="5273"/>
      <c r="AG27" s="5273"/>
      <c r="AH27" s="5273"/>
      <c r="AI27" s="649"/>
      <c r="AJ27" s="3216"/>
      <c r="AK27" s="3436"/>
      <c r="AL27" s="3439"/>
      <c r="AM27" s="1185"/>
      <c r="AN27" s="1179"/>
      <c r="AO27" s="1179"/>
      <c r="AP27" s="1244"/>
      <c r="AQ27" s="1179"/>
      <c r="AR27" s="1179"/>
      <c r="AS27" s="1179"/>
      <c r="AT27" s="1179"/>
      <c r="AU27" s="1179"/>
      <c r="AV27" s="1179"/>
      <c r="AW27" s="1179"/>
      <c r="AX27" s="1179"/>
      <c r="AY27" s="1171"/>
      <c r="AZ27" s="1171"/>
      <c r="BA27" s="1171"/>
      <c r="BB27" s="1145"/>
      <c r="BC27" s="1145"/>
      <c r="BD27" s="2340"/>
      <c r="BE27" s="2340"/>
      <c r="BF27" s="1145"/>
      <c r="BG27" s="1145"/>
      <c r="BH27" s="1145"/>
      <c r="BI27" s="3445"/>
      <c r="BJ27" s="2595"/>
      <c r="BK27" s="2595"/>
      <c r="BL27" s="2595"/>
      <c r="BM27" s="2595"/>
      <c r="BN27" s="2595"/>
      <c r="BO27" s="2595"/>
      <c r="BP27" s="2595"/>
      <c r="BQ27" s="2595"/>
      <c r="BR27" s="2595"/>
      <c r="BS27" s="2595"/>
      <c r="BT27" s="2595"/>
      <c r="BU27" s="2595"/>
    </row>
    <row r="28" spans="1:73" ht="15.75" customHeight="1" thickBot="1">
      <c r="A28" s="588"/>
      <c r="B28" s="6478" t="s">
        <v>3309</v>
      </c>
      <c r="C28" s="6478"/>
      <c r="D28" s="6478"/>
      <c r="E28" s="6482" t="s">
        <v>3307</v>
      </c>
      <c r="F28" s="6483"/>
      <c r="G28" s="2151" t="str">
        <f>IF(BadBirthdate_Yours,"",IF(YourBirthDate&lt;$AY$111,"X",""))</f>
        <v/>
      </c>
      <c r="H28" s="6352" t="str">
        <f>IF(AND(Name_1st_Yours&lt;&gt;"",NOT($AX$12))," Enter your birthdate in box at right."," Were born before January 2, "&amp;TaxYear-64)</f>
        <v xml:space="preserve"> Were born before January 2, 1957</v>
      </c>
      <c r="I28" s="6353"/>
      <c r="J28" s="6353"/>
      <c r="K28" s="6353"/>
      <c r="L28" s="6353"/>
      <c r="M28" s="6353"/>
      <c r="N28" s="6354"/>
      <c r="O28" s="1180"/>
      <c r="P28" s="5274" t="s">
        <v>3315</v>
      </c>
      <c r="Q28" s="5275"/>
      <c r="R28" s="5192"/>
      <c r="S28" s="5276"/>
      <c r="T28" s="5192"/>
      <c r="U28" s="5214" t="s">
        <v>3310</v>
      </c>
      <c r="V28" s="2151" t="str">
        <f>IF(OR(File_Single&lt;&gt;"",File_Head&lt;&gt;"",AND(File_Marr_Sep&lt;&gt;"",MFS_Spouse_NotFiling=""),BadBirthdate_Spouse,AP24),"",IF(BG119,"X",IF(AND(SpouseDeceased&lt;&gt;"",NOT(BG119)),"",IF(AND(OR(File_Marr_Joint&lt;&gt;"",MFS_Spouse_NotFiling&lt;&gt;""),SpouseBirthDate&lt;$AY$111),"X",""))))</f>
        <v/>
      </c>
      <c r="W28" s="5274" t="str">
        <f>IF(AND(File_Marr_Joint&lt;&gt;"",NOT($AX$14))," Enter spouse birthdate (in box at right)."," Was born before January 2, "&amp;TaxYear-64)</f>
        <v xml:space="preserve"> Was born before January 2, 1957</v>
      </c>
      <c r="X28" s="5192"/>
      <c r="Y28" s="5192"/>
      <c r="Z28" s="5192"/>
      <c r="AA28" s="5192"/>
      <c r="AB28" s="5192"/>
      <c r="AC28" s="5192"/>
      <c r="AD28" s="5276"/>
      <c r="AE28" s="1180"/>
      <c r="AF28" s="5274" t="s">
        <v>3308</v>
      </c>
      <c r="AG28" s="5276"/>
      <c r="AH28" s="5276"/>
      <c r="AI28" s="649"/>
      <c r="AJ28" s="3439"/>
      <c r="AK28" s="3437"/>
      <c r="AL28" s="3438"/>
      <c r="AM28" s="1280"/>
      <c r="AN28" s="1280"/>
      <c r="AO28" s="1280"/>
      <c r="AP28" s="1281"/>
      <c r="AQ28" s="1179"/>
      <c r="AR28" s="2086"/>
      <c r="AS28" s="1179"/>
      <c r="AT28" s="1179"/>
      <c r="AU28" s="1179"/>
      <c r="AV28" s="1179"/>
      <c r="AW28" s="1179"/>
      <c r="AX28" s="1179"/>
      <c r="AY28" s="1171"/>
      <c r="AZ28" s="1171"/>
      <c r="BA28" s="1171"/>
      <c r="BB28" s="1145"/>
      <c r="BC28" s="1145"/>
      <c r="BD28" s="2340"/>
      <c r="BE28" s="2340"/>
      <c r="BF28" s="1145"/>
      <c r="BG28" s="1145"/>
      <c r="BH28" s="1145"/>
      <c r="BI28" s="3445"/>
      <c r="BJ28" s="2595"/>
      <c r="BK28" s="2595"/>
      <c r="BL28" s="2595"/>
      <c r="BM28" s="2595"/>
      <c r="BN28" s="2595"/>
      <c r="BO28" s="2595"/>
      <c r="BP28" s="2595"/>
      <c r="BQ28" s="2595"/>
      <c r="BR28" s="2595"/>
      <c r="BS28" s="2595"/>
      <c r="BT28" s="2595"/>
      <c r="BU28" s="2595"/>
    </row>
    <row r="29" spans="1:73" ht="5.25" customHeight="1">
      <c r="A29" s="588"/>
      <c r="B29" s="4069"/>
      <c r="C29" s="4069"/>
      <c r="D29" s="4069"/>
      <c r="E29" s="5268"/>
      <c r="F29" s="5268"/>
      <c r="G29" s="5268"/>
      <c r="H29" s="5268"/>
      <c r="I29" s="5269"/>
      <c r="J29" s="5269"/>
      <c r="K29" s="5269"/>
      <c r="L29" s="5269"/>
      <c r="M29" s="5269"/>
      <c r="N29" s="5269"/>
      <c r="O29" s="5269"/>
      <c r="P29" s="5270"/>
      <c r="Q29" s="5270"/>
      <c r="R29" s="5270"/>
      <c r="S29" s="5270"/>
      <c r="T29" s="5270"/>
      <c r="U29" s="5270"/>
      <c r="V29" s="5270"/>
      <c r="W29" s="5270"/>
      <c r="X29" s="5270"/>
      <c r="Y29" s="5270"/>
      <c r="Z29" s="5270"/>
      <c r="AA29" s="5270"/>
      <c r="AB29" s="5270"/>
      <c r="AC29" s="5270"/>
      <c r="AD29" s="5270"/>
      <c r="AE29" s="5270"/>
      <c r="AF29" s="5270"/>
      <c r="AG29" s="5270"/>
      <c r="AH29" s="5270"/>
      <c r="AI29" s="649"/>
      <c r="AJ29" s="450"/>
      <c r="AK29" s="450"/>
      <c r="AL29" s="450"/>
      <c r="AM29" s="1179"/>
      <c r="AN29" s="1179"/>
      <c r="AO29" s="1179"/>
      <c r="AP29" s="1179"/>
      <c r="AQ29" s="1179"/>
      <c r="AR29" s="2086"/>
      <c r="AS29" s="1179"/>
      <c r="AT29" s="1179"/>
      <c r="AU29" s="1179"/>
      <c r="AV29" s="1179"/>
      <c r="AW29" s="1179"/>
      <c r="AX29" s="1179"/>
      <c r="AY29" s="1171"/>
      <c r="AZ29" s="1171"/>
      <c r="BA29" s="1171"/>
      <c r="BB29" s="1145"/>
      <c r="BC29" s="1145"/>
      <c r="BD29" s="2340"/>
      <c r="BE29" s="2340"/>
      <c r="BF29" s="1145"/>
      <c r="BG29" s="1145"/>
      <c r="BH29" s="1145"/>
      <c r="BI29" s="3445"/>
      <c r="BJ29" s="2595"/>
      <c r="BK29" s="2595"/>
      <c r="BL29" s="2595"/>
      <c r="BM29" s="2595"/>
      <c r="BN29" s="2595"/>
      <c r="BO29" s="2595"/>
      <c r="BP29" s="2595"/>
      <c r="BQ29" s="2595"/>
      <c r="BR29" s="2595"/>
      <c r="BS29" s="2595"/>
      <c r="BT29" s="2595"/>
      <c r="BU29" s="2595"/>
    </row>
    <row r="30" spans="1:73" ht="6.75" customHeight="1">
      <c r="A30" s="588"/>
      <c r="B30" s="6357" t="s">
        <v>3898</v>
      </c>
      <c r="C30" s="6357"/>
      <c r="D30" s="6357"/>
      <c r="E30" s="5271"/>
      <c r="F30" s="5271"/>
      <c r="G30" s="5271"/>
      <c r="H30" s="5271"/>
      <c r="I30" s="5272"/>
      <c r="J30" s="5272"/>
      <c r="K30" s="5272"/>
      <c r="L30" s="5277"/>
      <c r="M30" s="6460" t="s">
        <v>3900</v>
      </c>
      <c r="N30" s="6461"/>
      <c r="O30" s="6461"/>
      <c r="P30" s="6461"/>
      <c r="Q30" s="6461"/>
      <c r="R30" s="6462"/>
      <c r="S30" s="6469" t="s">
        <v>3901</v>
      </c>
      <c r="T30" s="6470"/>
      <c r="U30" s="6470"/>
      <c r="V30" s="6470"/>
      <c r="W30" s="6470"/>
      <c r="X30" s="6471"/>
      <c r="Y30" s="5278"/>
      <c r="Z30" s="5273"/>
      <c r="AA30" s="5273"/>
      <c r="AB30" s="5273"/>
      <c r="AC30" s="5273"/>
      <c r="AD30" s="5273"/>
      <c r="AE30" s="5273"/>
      <c r="AF30" s="5273"/>
      <c r="AG30" s="5273"/>
      <c r="AH30" s="5273"/>
      <c r="AI30" s="649"/>
      <c r="AJ30" s="450"/>
      <c r="AK30" s="450"/>
      <c r="AL30" s="450"/>
      <c r="AM30" s="1179"/>
      <c r="AN30" s="1179"/>
      <c r="AO30" s="1179"/>
      <c r="AP30" s="1179"/>
      <c r="AQ30" s="1179"/>
      <c r="AR30" s="2086"/>
      <c r="AS30" s="1179"/>
      <c r="AT30" s="1179"/>
      <c r="AU30" s="1179"/>
      <c r="AV30" s="1179"/>
      <c r="AW30" s="1179"/>
      <c r="AX30" s="1179"/>
      <c r="AY30" s="1171"/>
      <c r="AZ30" s="1171"/>
      <c r="BA30" s="1171"/>
      <c r="BB30" s="1145"/>
      <c r="BC30" s="1145"/>
      <c r="BD30" s="2340"/>
      <c r="BE30" s="2340"/>
      <c r="BF30" s="1145"/>
      <c r="BG30" s="1145"/>
      <c r="BH30" s="1145"/>
      <c r="BI30" s="3445"/>
      <c r="BJ30" s="2595"/>
      <c r="BK30" s="2595"/>
      <c r="BL30" s="2595"/>
      <c r="BM30" s="2595"/>
      <c r="BN30" s="2595"/>
      <c r="BO30" s="2595"/>
      <c r="BP30" s="2595"/>
      <c r="BQ30" s="2595"/>
      <c r="BR30" s="2595"/>
      <c r="BS30" s="2595"/>
      <c r="BT30" s="2595"/>
      <c r="BU30" s="2595"/>
    </row>
    <row r="31" spans="1:73" ht="12.75" customHeight="1">
      <c r="A31" s="588"/>
      <c r="B31" s="6358"/>
      <c r="C31" s="6358"/>
      <c r="D31" s="6358"/>
      <c r="E31" s="5264" t="s">
        <v>3899</v>
      </c>
      <c r="F31" s="5264"/>
      <c r="G31" s="5264"/>
      <c r="H31" s="5264"/>
      <c r="I31" s="5264"/>
      <c r="J31" s="5264"/>
      <c r="K31" s="5264"/>
      <c r="L31" s="5279"/>
      <c r="M31" s="6463"/>
      <c r="N31" s="6464"/>
      <c r="O31" s="6464"/>
      <c r="P31" s="6464"/>
      <c r="Q31" s="6464"/>
      <c r="R31" s="6465"/>
      <c r="S31" s="6472"/>
      <c r="T31" s="6473"/>
      <c r="U31" s="6473"/>
      <c r="V31" s="6473"/>
      <c r="W31" s="6473"/>
      <c r="X31" s="6474"/>
      <c r="Y31" s="5280"/>
      <c r="Z31" s="5281" t="s">
        <v>3313</v>
      </c>
      <c r="AA31" s="5265"/>
      <c r="AB31" s="5282" t="s">
        <v>3314</v>
      </c>
      <c r="AC31" s="5265"/>
      <c r="AD31" s="5265"/>
      <c r="AE31" s="5265"/>
      <c r="AF31" s="5265"/>
      <c r="AG31" s="5265"/>
      <c r="AH31" s="5265"/>
      <c r="AI31" s="649"/>
      <c r="AJ31" s="3218"/>
      <c r="AK31" s="1179"/>
      <c r="AL31" s="5451" t="s">
        <v>5979</v>
      </c>
      <c r="AM31" s="1179"/>
      <c r="AN31" s="1179"/>
      <c r="AO31" s="1179"/>
      <c r="AP31" s="1179"/>
      <c r="AQ31" s="5088">
        <f>IF(Z33&lt;&gt;"",1,0)</f>
        <v>0</v>
      </c>
      <c r="AR31" s="2523" t="b">
        <f>(AND(E33&lt;&gt;"",Z33="",AF33=""))</f>
        <v>1</v>
      </c>
      <c r="AS31" s="5089"/>
      <c r="AT31" s="3439">
        <f>IF(Z33&lt;&gt;"",1,0)</f>
        <v>0</v>
      </c>
      <c r="AU31" s="1179"/>
      <c r="AV31" s="1179"/>
      <c r="AW31" s="1179"/>
      <c r="AX31" s="1179"/>
      <c r="AY31" s="1179"/>
      <c r="AZ31" s="2057"/>
      <c r="BA31" s="1179"/>
      <c r="BB31" s="1145"/>
      <c r="BC31" s="1145"/>
      <c r="BD31" s="1145"/>
      <c r="BE31" s="2340"/>
      <c r="BF31" s="1145"/>
      <c r="BG31" s="1145"/>
      <c r="BH31" s="1145"/>
      <c r="BI31" s="3445"/>
      <c r="BJ31" s="2595"/>
      <c r="BK31" s="2595"/>
      <c r="BL31" s="2595"/>
      <c r="BM31" s="2595"/>
      <c r="BN31" s="2595"/>
      <c r="BO31" s="2595"/>
      <c r="BP31" s="2595"/>
      <c r="BQ31" s="2595"/>
      <c r="BR31" s="2595"/>
      <c r="BS31" s="2595"/>
      <c r="BT31" s="2595"/>
      <c r="BU31" s="2595"/>
    </row>
    <row r="32" spans="1:73" ht="17.25" customHeight="1" thickBot="1">
      <c r="A32" s="588"/>
      <c r="B32" s="6479" t="s">
        <v>3902</v>
      </c>
      <c r="C32" s="6479"/>
      <c r="D32" s="6479"/>
      <c r="E32" s="6355" t="s">
        <v>3939</v>
      </c>
      <c r="F32" s="6355"/>
      <c r="G32" s="6355"/>
      <c r="H32" s="6355"/>
      <c r="I32" s="6355" t="s">
        <v>459</v>
      </c>
      <c r="J32" s="6355"/>
      <c r="K32" s="6355"/>
      <c r="L32" s="6356"/>
      <c r="M32" s="6466"/>
      <c r="N32" s="6467"/>
      <c r="O32" s="6467"/>
      <c r="P32" s="6467"/>
      <c r="Q32" s="6467"/>
      <c r="R32" s="6468"/>
      <c r="S32" s="6475"/>
      <c r="T32" s="6476"/>
      <c r="U32" s="6476"/>
      <c r="V32" s="6476"/>
      <c r="W32" s="6476"/>
      <c r="X32" s="6477"/>
      <c r="Y32" s="6383" t="s">
        <v>4887</v>
      </c>
      <c r="Z32" s="6384"/>
      <c r="AA32" s="6384"/>
      <c r="AB32" s="6384"/>
      <c r="AC32" s="6383" t="s">
        <v>2325</v>
      </c>
      <c r="AD32" s="6384"/>
      <c r="AE32" s="6384"/>
      <c r="AF32" s="6384"/>
      <c r="AG32" s="6384"/>
      <c r="AH32" s="6384"/>
      <c r="AI32" s="649"/>
      <c r="AJ32" s="6303" t="s">
        <v>5093</v>
      </c>
      <c r="AK32" s="1179"/>
      <c r="AL32" s="1179"/>
      <c r="AM32" s="1179"/>
      <c r="AN32" s="1179"/>
      <c r="AO32" s="1179"/>
      <c r="AP32" s="1179"/>
      <c r="AQ32" s="5088">
        <f>IF(Z34&lt;&gt;"",1,0)</f>
        <v>0</v>
      </c>
      <c r="AR32" s="2523" t="b">
        <f>(AND(E34&lt;&gt;"",Z34="",AF34=""))</f>
        <v>1</v>
      </c>
      <c r="AS32" s="4279" t="b">
        <f>OR(AR31,AR32,AR33,AR34)</f>
        <v>1</v>
      </c>
      <c r="AT32" s="3439">
        <f>IF(Z34&lt;&gt;"",1,0)</f>
        <v>0</v>
      </c>
      <c r="AU32" s="1179"/>
      <c r="AV32" s="1179"/>
      <c r="AW32" s="1179"/>
      <c r="AX32" s="2057"/>
      <c r="AY32" s="2057"/>
      <c r="AZ32" s="2057"/>
      <c r="BA32" s="1179"/>
      <c r="BB32" s="1179"/>
      <c r="BC32" s="1179"/>
      <c r="BD32" s="1179"/>
      <c r="BE32" s="1179"/>
      <c r="BF32" s="1145"/>
      <c r="BG32" s="1145"/>
      <c r="BH32" s="1145"/>
      <c r="BI32" s="3445"/>
      <c r="BJ32" s="2595"/>
      <c r="BK32" s="2595"/>
      <c r="BL32" s="2595"/>
      <c r="BM32" s="2595"/>
      <c r="BN32" s="2595"/>
      <c r="BO32" s="2595"/>
      <c r="BP32" s="2595"/>
      <c r="BQ32" s="2595"/>
      <c r="BR32" s="2595"/>
      <c r="BS32" s="2595"/>
      <c r="BT32" s="2595"/>
      <c r="BU32" s="2595"/>
    </row>
    <row r="33" spans="1:73" ht="16.5" customHeight="1" thickBot="1">
      <c r="A33" s="588"/>
      <c r="B33" s="6479"/>
      <c r="C33" s="6479"/>
      <c r="D33" s="6479"/>
      <c r="E33" s="6487" t="str">
        <f>Dependents!E7&amp;" "&amp;Dependents!I7</f>
        <v xml:space="preserve"> </v>
      </c>
      <c r="F33" s="6487"/>
      <c r="G33" s="6487"/>
      <c r="H33" s="6487"/>
      <c r="I33" s="6487"/>
      <c r="J33" s="6487"/>
      <c r="K33" s="6487"/>
      <c r="L33" s="6488"/>
      <c r="M33" s="6277" t="str">
        <f>IF(OR(Dependents!M7="",Dependents!M7=0),"",Dependents!M7)</f>
        <v/>
      </c>
      <c r="N33" s="6278"/>
      <c r="O33" s="6278"/>
      <c r="P33" s="6278"/>
      <c r="Q33" s="6278"/>
      <c r="R33" s="6279"/>
      <c r="S33" s="6280" t="str">
        <f>IF(Dependents!S7="","",Dependents!S7)</f>
        <v/>
      </c>
      <c r="T33" s="6281"/>
      <c r="U33" s="6281"/>
      <c r="V33" s="6281"/>
      <c r="W33" s="6281"/>
      <c r="X33" s="6282"/>
      <c r="Y33" s="4072"/>
      <c r="Z33" s="2151" t="str">
        <f>IF(Dependents!Z7="","",Dependents!Z7)</f>
        <v/>
      </c>
      <c r="AA33" s="4073"/>
      <c r="AB33" s="4074"/>
      <c r="AC33" s="4072"/>
      <c r="AD33" s="4074"/>
      <c r="AE33" s="4074"/>
      <c r="AF33" s="2151" t="str">
        <f>IF(Dependents!AF7="","",Dependents!AF7)</f>
        <v/>
      </c>
      <c r="AG33" s="4075"/>
      <c r="AH33" s="4075"/>
      <c r="AI33" s="5829"/>
      <c r="AJ33" s="6303"/>
      <c r="AK33" s="4349">
        <f>IF(AF33&lt;&gt;"",1,0)</f>
        <v>0</v>
      </c>
      <c r="AL33" s="5482">
        <f>Dependents!AQ36</f>
        <v>0</v>
      </c>
      <c r="AM33" s="5483" t="s">
        <v>2577</v>
      </c>
      <c r="AN33" s="3122"/>
      <c r="AO33" s="1179"/>
      <c r="AP33" s="1179"/>
      <c r="AQ33" s="5088">
        <f>IF(Z35&lt;&gt;"",1,0)</f>
        <v>0</v>
      </c>
      <c r="AR33" s="2523" t="b">
        <f>(AND(E35&lt;&gt;"",Z35="",AF35=""))</f>
        <v>1</v>
      </c>
      <c r="AS33" s="3216">
        <f>IF(DependentYOU="",1,0)</f>
        <v>1</v>
      </c>
      <c r="AT33" s="3439">
        <f>IF(Z35&lt;&gt;"",1,0)</f>
        <v>0</v>
      </c>
      <c r="AU33" s="1179"/>
      <c r="AV33" s="1179"/>
      <c r="AW33" s="1179"/>
      <c r="AX33" s="5447"/>
      <c r="AY33" s="1179"/>
      <c r="AZ33" s="1927"/>
      <c r="BA33" s="1171"/>
      <c r="BB33" s="1179"/>
      <c r="BC33" s="1179"/>
      <c r="BD33" s="1179"/>
      <c r="BE33" s="1179"/>
      <c r="BF33" s="1179"/>
      <c r="BG33" s="1145"/>
      <c r="BH33" s="1410"/>
      <c r="BI33" s="3445"/>
      <c r="BJ33" s="2595"/>
      <c r="BK33" s="2595"/>
      <c r="BL33" s="2595"/>
      <c r="BM33" s="2595"/>
      <c r="BN33" s="2595"/>
      <c r="BO33" s="2595"/>
      <c r="BP33" s="2595"/>
      <c r="BQ33" s="2595"/>
      <c r="BR33" s="2595"/>
      <c r="BS33" s="2595"/>
      <c r="BT33" s="2595"/>
      <c r="BU33" s="2595"/>
    </row>
    <row r="34" spans="1:73" ht="13.5" customHeight="1" thickBot="1">
      <c r="A34" s="588"/>
      <c r="B34" s="6479"/>
      <c r="C34" s="6479"/>
      <c r="D34" s="6479"/>
      <c r="E34" s="6487" t="str">
        <f>Dependents!E8&amp;" "&amp;Dependents!I8</f>
        <v xml:space="preserve"> </v>
      </c>
      <c r="F34" s="6487"/>
      <c r="G34" s="6487"/>
      <c r="H34" s="6487"/>
      <c r="I34" s="6487"/>
      <c r="J34" s="6487"/>
      <c r="K34" s="6487"/>
      <c r="L34" s="6488"/>
      <c r="M34" s="6277" t="str">
        <f>IF(OR(Dependents!M8="",Dependents!M8=0),"",Dependents!M8)</f>
        <v/>
      </c>
      <c r="N34" s="6278"/>
      <c r="O34" s="6278"/>
      <c r="P34" s="6278"/>
      <c r="Q34" s="6278"/>
      <c r="R34" s="6279"/>
      <c r="S34" s="6280" t="str">
        <f>IF(Dependents!S8="","",Dependents!S8)</f>
        <v/>
      </c>
      <c r="T34" s="6281"/>
      <c r="U34" s="6281"/>
      <c r="V34" s="6281"/>
      <c r="W34" s="6281"/>
      <c r="X34" s="6282"/>
      <c r="Y34" s="4072"/>
      <c r="Z34" s="2151" t="str">
        <f>IF(Dependents!Z8="","",Dependents!Z8)</f>
        <v/>
      </c>
      <c r="AA34" s="4073"/>
      <c r="AB34" s="4074"/>
      <c r="AC34" s="4072"/>
      <c r="AD34" s="4074"/>
      <c r="AE34" s="4074"/>
      <c r="AF34" s="2151" t="str">
        <f>IF(Dependents!AF8="","",Dependents!AF8)</f>
        <v/>
      </c>
      <c r="AG34" s="4075"/>
      <c r="AH34" s="4075"/>
      <c r="AI34" s="5829"/>
      <c r="AJ34" s="6303"/>
      <c r="AK34" s="4349">
        <f>IF(AF34&lt;&gt;"",1,0)</f>
        <v>0</v>
      </c>
      <c r="AL34" s="5482">
        <f>Dependents!AQ37</f>
        <v>0</v>
      </c>
      <c r="AM34" s="4080" t="s">
        <v>2578</v>
      </c>
      <c r="AN34" s="3122"/>
      <c r="AO34" s="1179"/>
      <c r="AP34" s="1179"/>
      <c r="AQ34" s="5088">
        <f>IF(Z36&lt;&gt;"",1,0)</f>
        <v>0</v>
      </c>
      <c r="AR34" s="2523" t="b">
        <f>(AND(E36&lt;&gt;"",Z36="",AF36=""))</f>
        <v>1</v>
      </c>
      <c r="AS34" s="3216">
        <f>IF(AND(File_Marr_Joint&lt;&gt;"",DependentSPOUSE=""),1,0)</f>
        <v>0</v>
      </c>
      <c r="AT34" s="3439">
        <f>IF(Z36&lt;&gt;"",1,0)</f>
        <v>0</v>
      </c>
      <c r="AU34" s="1179"/>
      <c r="AV34" s="1179"/>
      <c r="AW34" s="1179"/>
      <c r="AX34" s="5447"/>
      <c r="AY34" s="1179"/>
      <c r="AZ34" s="1927"/>
      <c r="BA34" s="1171"/>
      <c r="BB34" s="1179"/>
      <c r="BC34" s="1179"/>
      <c r="BD34" s="1179"/>
      <c r="BE34" s="1179"/>
      <c r="BF34" s="1179"/>
      <c r="BG34" s="1145"/>
      <c r="BH34" s="1410"/>
      <c r="BI34" s="3445"/>
      <c r="BJ34" s="2595"/>
      <c r="BK34" s="2595"/>
      <c r="BL34" s="2595"/>
      <c r="BM34" s="2595"/>
      <c r="BN34" s="2595"/>
      <c r="BO34" s="2595"/>
      <c r="BP34" s="2595"/>
      <c r="BQ34" s="2595"/>
      <c r="BR34" s="2595"/>
      <c r="BS34" s="2595"/>
      <c r="BT34" s="2595"/>
      <c r="BU34" s="2595"/>
    </row>
    <row r="35" spans="1:73" ht="13.5" customHeight="1" thickBot="1">
      <c r="A35" s="588"/>
      <c r="B35" s="6479"/>
      <c r="C35" s="6479"/>
      <c r="D35" s="6479"/>
      <c r="E35" s="6487" t="str">
        <f>Dependents!E9&amp;" "&amp;Dependents!I9</f>
        <v xml:space="preserve"> </v>
      </c>
      <c r="F35" s="6487"/>
      <c r="G35" s="6487"/>
      <c r="H35" s="6487"/>
      <c r="I35" s="6487"/>
      <c r="J35" s="6487"/>
      <c r="K35" s="6487"/>
      <c r="L35" s="6488"/>
      <c r="M35" s="6277" t="str">
        <f>IF(OR(Dependents!M9="",Dependents!M9=0),"",Dependents!M9)</f>
        <v/>
      </c>
      <c r="N35" s="6278"/>
      <c r="O35" s="6278"/>
      <c r="P35" s="6278"/>
      <c r="Q35" s="6278"/>
      <c r="R35" s="6279"/>
      <c r="S35" s="6280" t="str">
        <f>IF(Dependents!S9="","",Dependents!S9)</f>
        <v/>
      </c>
      <c r="T35" s="6281"/>
      <c r="U35" s="6281"/>
      <c r="V35" s="6281"/>
      <c r="W35" s="6281"/>
      <c r="X35" s="6282"/>
      <c r="Y35" s="4072"/>
      <c r="Z35" s="2151" t="str">
        <f>IF(Dependents!Z9="","",Dependents!Z9)</f>
        <v/>
      </c>
      <c r="AA35" s="4073"/>
      <c r="AB35" s="4074"/>
      <c r="AC35" s="4072"/>
      <c r="AD35" s="4074"/>
      <c r="AE35" s="4074"/>
      <c r="AF35" s="2151" t="str">
        <f>IF(Dependents!AF9="","",Dependents!AF9)</f>
        <v/>
      </c>
      <c r="AG35" s="4075"/>
      <c r="AH35" s="4075"/>
      <c r="AI35" s="5829"/>
      <c r="AJ35" s="6303"/>
      <c r="AK35" s="4349">
        <f>IF(AF35&lt;&gt;"",1,0)</f>
        <v>0</v>
      </c>
      <c r="AL35" s="1179"/>
      <c r="AM35" s="1179"/>
      <c r="AN35" s="5830" t="b">
        <f>OR(AM37&lt;&gt;"",AM38&lt;&gt;"",AN38&lt;&gt;"",AM39&lt;&gt;"",AN39&lt;&gt;"",AM40&lt;&gt;"",AN40&lt;&gt;"",AM41&lt;&gt;"",AN41&lt;&gt;"",AM42&lt;&gt;"",AN42&lt;&gt;"")</f>
        <v>0</v>
      </c>
      <c r="AO35" s="3414">
        <f>IF(OR(NumFileStatusBoxes=0,NumFileStatusBoxes&gt;1),0,SUM(AS33,AS34,AL33,AL34,SUM(AI33:AI36)))</f>
        <v>0</v>
      </c>
      <c r="AP35" s="4083" t="s">
        <v>3778</v>
      </c>
      <c r="AQ35" s="1280"/>
      <c r="AR35" s="1280"/>
      <c r="AS35" s="1280"/>
      <c r="AT35" s="1179"/>
      <c r="AU35" s="1179"/>
      <c r="AV35" s="1179"/>
      <c r="AW35" s="1179"/>
      <c r="AX35" s="5447"/>
      <c r="AY35" s="1179"/>
      <c r="AZ35" s="1927"/>
      <c r="BA35" s="1171"/>
      <c r="BB35" s="1179"/>
      <c r="BC35" s="1179"/>
      <c r="BD35" s="1179"/>
      <c r="BE35" s="1179"/>
      <c r="BF35" s="1179"/>
      <c r="BG35" s="1145"/>
      <c r="BH35" s="1145"/>
      <c r="BI35" s="3445"/>
      <c r="BJ35" s="2595"/>
      <c r="BK35" s="2595"/>
      <c r="BL35" s="2595"/>
      <c r="BM35" s="2595"/>
      <c r="BN35" s="2595"/>
      <c r="BO35" s="2595"/>
      <c r="BP35" s="2595"/>
      <c r="BQ35" s="2595"/>
      <c r="BR35" s="2595"/>
      <c r="BS35" s="2595"/>
      <c r="BT35" s="2595"/>
      <c r="BU35" s="2595"/>
    </row>
    <row r="36" spans="1:73" ht="13.5" customHeight="1" thickBot="1">
      <c r="A36" s="588"/>
      <c r="B36" s="6492" t="s">
        <v>2436</v>
      </c>
      <c r="C36" s="6492"/>
      <c r="D36" s="5452" t="str">
        <f>IF(Dependents!D10="","",Dependents!D10)</f>
        <v/>
      </c>
      <c r="E36" s="6489" t="str">
        <f>Dependents!E10&amp;" "&amp;Dependents!I10</f>
        <v xml:space="preserve"> </v>
      </c>
      <c r="F36" s="6490"/>
      <c r="G36" s="6490"/>
      <c r="H36" s="6490"/>
      <c r="I36" s="6490"/>
      <c r="J36" s="6490"/>
      <c r="K36" s="6490"/>
      <c r="L36" s="6491"/>
      <c r="M36" s="6283" t="str">
        <f>IF(OR(Dependents!M10="",Dependents!M10=0),"",Dependents!M10)</f>
        <v/>
      </c>
      <c r="N36" s="6284"/>
      <c r="O36" s="6284"/>
      <c r="P36" s="6284"/>
      <c r="Q36" s="6284"/>
      <c r="R36" s="6285"/>
      <c r="S36" s="6286" t="str">
        <f>IF(Dependents!S10="","",Dependents!S10)</f>
        <v/>
      </c>
      <c r="T36" s="6287"/>
      <c r="U36" s="6287"/>
      <c r="V36" s="6287"/>
      <c r="W36" s="6287"/>
      <c r="X36" s="6288"/>
      <c r="Y36" s="4574"/>
      <c r="Z36" s="5452" t="str">
        <f>IF(Dependents!Z10="","",Dependents!Z10)</f>
        <v/>
      </c>
      <c r="AA36" s="4575"/>
      <c r="AB36" s="4576"/>
      <c r="AC36" s="4574"/>
      <c r="AD36" s="4576"/>
      <c r="AE36" s="4576"/>
      <c r="AF36" s="5452" t="str">
        <f>IF(Dependents!AF10="","",Dependents!AF10)</f>
        <v/>
      </c>
      <c r="AG36" s="4577"/>
      <c r="AH36" s="4577"/>
      <c r="AI36" s="5829"/>
      <c r="AJ36" s="6303"/>
      <c r="AK36" s="4349">
        <f>IF(AF36&lt;&gt;"",1,0)</f>
        <v>0</v>
      </c>
      <c r="AL36" s="1179"/>
      <c r="AM36" s="3681" t="s">
        <v>1736</v>
      </c>
      <c r="AN36" s="4082" t="s">
        <v>1736</v>
      </c>
      <c r="AO36" s="6363" t="s">
        <v>3777</v>
      </c>
      <c r="AP36" s="6364"/>
      <c r="AQ36" s="6364"/>
      <c r="AR36" s="6364"/>
      <c r="AS36" s="6365"/>
      <c r="AT36" s="1179"/>
      <c r="AU36" s="1179"/>
      <c r="AV36" s="1179"/>
      <c r="AW36" s="1179"/>
      <c r="AX36" s="5447"/>
      <c r="AY36" s="1179"/>
      <c r="AZ36" s="1927"/>
      <c r="BA36" s="1171"/>
      <c r="BB36" s="1179"/>
      <c r="BC36" s="1179"/>
      <c r="BD36" s="1179"/>
      <c r="BE36" s="1179"/>
      <c r="BF36" s="1179"/>
      <c r="BG36" s="1145"/>
      <c r="BH36" s="1145"/>
      <c r="BI36" s="3445"/>
      <c r="BJ36" s="2595"/>
      <c r="BK36" s="2595"/>
      <c r="BL36" s="2595"/>
      <c r="BM36" s="2595"/>
      <c r="BN36" s="2595"/>
      <c r="BO36" s="2595"/>
      <c r="BP36" s="2595"/>
      <c r="BQ36" s="2595"/>
      <c r="BR36" s="2595"/>
      <c r="BS36" s="2595"/>
      <c r="BT36" s="2595"/>
      <c r="BU36" s="2595"/>
    </row>
    <row r="37" spans="1:73" ht="15" customHeight="1" thickTop="1">
      <c r="A37" s="588"/>
      <c r="B37" s="5467"/>
      <c r="C37" s="4582"/>
      <c r="D37" s="4583"/>
      <c r="E37" s="5194" t="s">
        <v>148</v>
      </c>
      <c r="F37" s="5208"/>
      <c r="G37" s="5207" t="s">
        <v>516</v>
      </c>
      <c r="H37" s="5204"/>
      <c r="I37" s="5204"/>
      <c r="J37" s="5204"/>
      <c r="K37" s="5204"/>
      <c r="L37" s="5204"/>
      <c r="M37" s="5204"/>
      <c r="N37" s="5204"/>
      <c r="O37" s="5204"/>
      <c r="P37" s="5204"/>
      <c r="Q37" s="5204"/>
      <c r="R37" s="5204"/>
      <c r="S37" s="6315" t="str">
        <f>AJ37&amp;"     "&amp;AJ38&amp;"     "&amp;AJ39</f>
        <v xml:space="preserve">          </v>
      </c>
      <c r="T37" s="6316"/>
      <c r="U37" s="6316"/>
      <c r="V37" s="6316"/>
      <c r="W37" s="6316"/>
      <c r="X37" s="6316"/>
      <c r="Y37" s="6316"/>
      <c r="Z37" s="6316"/>
      <c r="AA37" s="5235"/>
      <c r="AB37" s="5256" t="str">
        <f>E37</f>
        <v>1</v>
      </c>
      <c r="AC37" s="6293">
        <f>IF(AM37&lt;&gt;"",ROUND(AM37,0),ROUND(SUM(W2_Wages,Dependent_Care),0))</f>
        <v>0</v>
      </c>
      <c r="AD37" s="6294"/>
      <c r="AE37" s="6294"/>
      <c r="AF37" s="6294"/>
      <c r="AG37" s="6294"/>
      <c r="AH37" s="451"/>
      <c r="AI37" s="3380"/>
      <c r="AJ37" s="2523" t="str">
        <f>IF(InmateIncome&gt;0,"PRI  "&amp;TEXT(InmateIncome,"$0"),"")</f>
        <v/>
      </c>
      <c r="AK37" s="5056" t="s">
        <v>116</v>
      </c>
      <c r="AL37" s="5057" t="b">
        <f>AND(CONV2ROTH=0,ROUND(IRA_Gross,0)=IRA_Taxable)</f>
        <v>1</v>
      </c>
      <c r="AM37" s="2868"/>
      <c r="AN37" s="4596"/>
      <c r="AO37" s="6366"/>
      <c r="AP37" s="6364"/>
      <c r="AQ37" s="6364"/>
      <c r="AR37" s="6364"/>
      <c r="AS37" s="6365"/>
      <c r="AT37" s="1179"/>
      <c r="AU37" s="1179"/>
      <c r="AV37" s="1179"/>
      <c r="AW37" s="1179"/>
      <c r="AX37" s="1179"/>
      <c r="AY37" s="1179"/>
      <c r="AZ37" s="1179"/>
      <c r="BA37" s="1179"/>
      <c r="BB37" s="1179"/>
      <c r="BC37" s="1179"/>
      <c r="BD37" s="1179"/>
      <c r="BE37" s="1179"/>
      <c r="BF37" s="1179"/>
      <c r="BG37" s="1145"/>
      <c r="BH37" s="1145"/>
      <c r="BI37" s="3445"/>
      <c r="BJ37" s="2595"/>
      <c r="BK37" s="2595"/>
      <c r="BL37" s="2595"/>
      <c r="BM37" s="2595"/>
      <c r="BN37" s="2595"/>
      <c r="BO37" s="2595"/>
      <c r="BP37" s="2595"/>
      <c r="BQ37" s="2595"/>
      <c r="BR37" s="2595"/>
      <c r="BS37" s="2595"/>
      <c r="BT37" s="2595"/>
      <c r="BU37" s="2595"/>
    </row>
    <row r="38" spans="1:73" ht="15" customHeight="1">
      <c r="A38" s="588"/>
      <c r="B38" s="5468"/>
      <c r="C38" s="6449" t="s">
        <v>5103</v>
      </c>
      <c r="D38" s="37"/>
      <c r="E38" s="6049" t="s">
        <v>149</v>
      </c>
      <c r="F38" s="4578" t="s">
        <v>33</v>
      </c>
      <c r="G38" s="5207" t="s">
        <v>1860</v>
      </c>
      <c r="H38" s="5236"/>
      <c r="I38" s="5236"/>
      <c r="J38" s="5236"/>
      <c r="K38" s="5200" t="s">
        <v>697</v>
      </c>
      <c r="L38" s="6480" t="str">
        <f>E38&amp;"a"</f>
        <v>2a</v>
      </c>
      <c r="M38" s="6481"/>
      <c r="N38" s="6289">
        <f>IF(AM38&lt;&gt;"",ROUND(AM38,0),SUM(TaxExemptInterest,Exempt_Interest_DIV))</f>
        <v>0</v>
      </c>
      <c r="O38" s="6290"/>
      <c r="P38" s="6290"/>
      <c r="Q38" s="6290"/>
      <c r="R38" s="6290"/>
      <c r="S38" s="5189" t="s">
        <v>47</v>
      </c>
      <c r="T38" s="5255" t="s">
        <v>5100</v>
      </c>
      <c r="U38" s="5203"/>
      <c r="V38" s="5208"/>
      <c r="W38" s="5208"/>
      <c r="X38" s="5236"/>
      <c r="Y38" s="5208"/>
      <c r="Z38" s="5208"/>
      <c r="AA38" s="5200" t="s">
        <v>629</v>
      </c>
      <c r="AB38" s="5197" t="str">
        <f>E38&amp;"b"</f>
        <v>2b</v>
      </c>
      <c r="AC38" s="6291">
        <f>IF(AN38&lt;&gt;"",ROUND(AN38,0),Interest_Inc)</f>
        <v>0</v>
      </c>
      <c r="AD38" s="6304"/>
      <c r="AE38" s="6304"/>
      <c r="AF38" s="6304"/>
      <c r="AG38" s="6304"/>
      <c r="AH38" s="341"/>
      <c r="AI38" s="4887"/>
      <c r="AJ38" s="2523" t="str">
        <f>IF(DeferredIncomeNQ&gt;0,"DFC  "&amp;TEXT(DeferredIncomeNQ,"$0"),"")</f>
        <v/>
      </c>
      <c r="AK38" s="5056" t="s">
        <v>369</v>
      </c>
      <c r="AL38" s="5057" t="b">
        <f>ROUND(PA_Gross,0)=PA_Taxable</f>
        <v>1</v>
      </c>
      <c r="AM38" s="4276"/>
      <c r="AN38" s="4275"/>
      <c r="AO38" s="6366"/>
      <c r="AP38" s="6364"/>
      <c r="AQ38" s="6364"/>
      <c r="AR38" s="6364"/>
      <c r="AS38" s="6365"/>
      <c r="AT38" s="1179"/>
      <c r="AU38" s="1179"/>
      <c r="AV38" s="1179"/>
      <c r="AW38" s="1179"/>
      <c r="AX38" s="1179"/>
      <c r="AY38" s="1179"/>
      <c r="AZ38" s="1179"/>
      <c r="BA38" s="1179"/>
      <c r="BB38" s="1179"/>
      <c r="BC38" s="1179"/>
      <c r="BD38" s="1179"/>
      <c r="BE38" s="1179"/>
      <c r="BF38" s="1179"/>
      <c r="BG38" s="1179"/>
      <c r="BH38" s="1145"/>
      <c r="BI38" s="3445"/>
      <c r="BJ38" s="2595"/>
      <c r="BK38" s="2595"/>
      <c r="BL38" s="2595"/>
      <c r="BM38" s="2595"/>
      <c r="BN38" s="2595"/>
      <c r="BO38" s="2595"/>
      <c r="BP38" s="2595"/>
      <c r="BQ38" s="2595"/>
      <c r="BR38" s="2595"/>
      <c r="BS38" s="2595"/>
      <c r="BT38" s="2595"/>
      <c r="BU38" s="2595"/>
    </row>
    <row r="39" spans="1:73" ht="15" customHeight="1" thickBot="1">
      <c r="A39" s="588"/>
      <c r="B39" s="5469"/>
      <c r="C39" s="6453"/>
      <c r="D39" s="30"/>
      <c r="E39" s="6050" t="s">
        <v>150</v>
      </c>
      <c r="F39" s="4579" t="s">
        <v>33</v>
      </c>
      <c r="G39" s="5207" t="s">
        <v>487</v>
      </c>
      <c r="H39" s="5236"/>
      <c r="I39" s="5236"/>
      <c r="J39" s="5236"/>
      <c r="K39" s="5200" t="s">
        <v>697</v>
      </c>
      <c r="L39" s="6350" t="str">
        <f>E39&amp;"a"</f>
        <v>3a</v>
      </c>
      <c r="M39" s="6351"/>
      <c r="N39" s="6289">
        <f>IF(AM39&lt;&gt;"",ROUND(AM39,0),ROUND(QualDiv_1099DIV,0))</f>
        <v>0</v>
      </c>
      <c r="O39" s="6290"/>
      <c r="P39" s="6290"/>
      <c r="Q39" s="6290"/>
      <c r="R39" s="6290"/>
      <c r="S39" s="5189" t="s">
        <v>47</v>
      </c>
      <c r="T39" s="5255" t="s">
        <v>5099</v>
      </c>
      <c r="U39" s="5203"/>
      <c r="V39" s="5208"/>
      <c r="W39" s="5208"/>
      <c r="X39" s="5236"/>
      <c r="Y39" s="5208"/>
      <c r="Z39" s="5208"/>
      <c r="AA39" s="5200" t="s">
        <v>529</v>
      </c>
      <c r="AB39" s="5197" t="str">
        <f>E39&amp;"b"</f>
        <v>3b</v>
      </c>
      <c r="AC39" s="6293">
        <f>IF(AN39&lt;&gt;"",ROUND(AN39,0),Dividend_Inc)</f>
        <v>0</v>
      </c>
      <c r="AD39" s="6294"/>
      <c r="AE39" s="6294"/>
      <c r="AF39" s="6294"/>
      <c r="AG39" s="6294"/>
      <c r="AH39" s="341"/>
      <c r="AI39" s="4887"/>
      <c r="AJ39" s="2523" t="str">
        <f>IF(AND(Dependent_Care&lt;&gt;"",Dependent_Care&lt;&gt;0),"DCB","")</f>
        <v/>
      </c>
      <c r="AK39" s="1179"/>
      <c r="AL39" s="1284" t="b">
        <f>AJ40&lt;&gt;""</f>
        <v>0</v>
      </c>
      <c r="AM39" s="4276"/>
      <c r="AN39" s="4275"/>
      <c r="AO39" s="6366"/>
      <c r="AP39" s="6364"/>
      <c r="AQ39" s="6364"/>
      <c r="AR39" s="6364"/>
      <c r="AS39" s="6365"/>
      <c r="AT39" s="1824" t="s">
        <v>91</v>
      </c>
      <c r="AU39" s="1179"/>
      <c r="AV39" s="1179"/>
      <c r="AW39" s="1179"/>
      <c r="AX39" s="1179"/>
      <c r="AY39" s="1179"/>
      <c r="AZ39" s="1179"/>
      <c r="BA39" s="1179"/>
      <c r="BB39" s="1179"/>
      <c r="BC39" s="1179"/>
      <c r="BD39" s="1179"/>
      <c r="BE39" s="1179"/>
      <c r="BF39" s="1179"/>
      <c r="BG39" s="1179"/>
      <c r="BH39" s="1179"/>
      <c r="BI39" s="3445"/>
      <c r="BJ39" s="2595"/>
      <c r="BK39" s="2595"/>
      <c r="BL39" s="2595"/>
      <c r="BM39" s="2595"/>
      <c r="BN39" s="2595"/>
      <c r="BO39" s="2595"/>
      <c r="BP39" s="2595"/>
      <c r="BQ39" s="2595"/>
      <c r="BR39" s="2595"/>
      <c r="BS39" s="2595"/>
      <c r="BT39" s="2595"/>
      <c r="BU39" s="2595"/>
    </row>
    <row r="40" spans="1:73" ht="13.5" customHeight="1" thickBot="1">
      <c r="A40" s="588"/>
      <c r="B40" s="1031" t="s">
        <v>277</v>
      </c>
      <c r="C40" s="4580"/>
      <c r="D40" s="4581"/>
      <c r="E40" s="5194" t="s">
        <v>151</v>
      </c>
      <c r="F40" s="5190" t="s">
        <v>33</v>
      </c>
      <c r="G40" s="5207" t="s">
        <v>3320</v>
      </c>
      <c r="H40" s="5236"/>
      <c r="I40" s="5236"/>
      <c r="J40" s="5237"/>
      <c r="K40" s="5200" t="s">
        <v>697</v>
      </c>
      <c r="L40" s="6350" t="str">
        <f>E40&amp;"a"</f>
        <v>4a</v>
      </c>
      <c r="M40" s="6351"/>
      <c r="N40" s="6289" t="str">
        <f>IF(AM40&lt;&gt;"",ROUND(AM40,0),IF(AL37,"",SUM(ROUND(IRA_Gross,0),ROUND(CONV2ROTH,0))))</f>
        <v/>
      </c>
      <c r="O40" s="6290"/>
      <c r="P40" s="6290"/>
      <c r="Q40" s="6290"/>
      <c r="R40" s="6290"/>
      <c r="S40" s="5189" t="s">
        <v>47</v>
      </c>
      <c r="T40" s="5255" t="s">
        <v>280</v>
      </c>
      <c r="U40" s="5203"/>
      <c r="V40" s="5208"/>
      <c r="W40" s="5208"/>
      <c r="X40" s="5236"/>
      <c r="Y40" s="5208"/>
      <c r="Z40" s="5208"/>
      <c r="AA40" s="5200" t="str">
        <f>IF(AT40&lt;&gt;"",".   .   .   . "&amp;AT40&amp;" ",IF(AI40&lt;&gt;"",".   .   .   . Rollover ",".   .   .   .   .   .   .   .   .   . "))</f>
        <v xml:space="preserve">.   .   .   .   .   .   .   .   .   . </v>
      </c>
      <c r="AB40" s="5197" t="str">
        <f>E40&amp;"b"</f>
        <v>4b</v>
      </c>
      <c r="AC40" s="6293">
        <f>IF(AN40&lt;&gt;"",ROUND(AN40,0),ROUND(SUM(IRA_Taxable_1099R,IRAContrib_Taxable1,IRAContrib_Taxable2,IRAConvert_Taxable1,IRAConvert_Taxable2,RothIRADist_Taxable1,RothIRADist_Taxable2),0))</f>
        <v>0</v>
      </c>
      <c r="AD40" s="6294"/>
      <c r="AE40" s="6294"/>
      <c r="AF40" s="6294"/>
      <c r="AG40" s="6294"/>
      <c r="AH40" s="341"/>
      <c r="AI40" s="4888"/>
      <c r="AJ40" s="6415" t="str">
        <f>IF(OrdinaryDividends&lt;Qualified_Dividends,"Error: Qualified dividends "&amp;CHAR(10)&amp;"(line 3a)"&amp;CHAR(10)&amp;"must be included in"&amp;CHAR(10)&amp;"ordinary dividends "&amp;CHAR(10)&amp;"(line 3b).",IF(AND(OrdinaryDividends&lt;&gt;0,Qualified_Dividends&lt;&gt;"",OrdinaryDividends&lt;&gt;Qualified_Dividends),"Caution: Be sure to include all of line 3a, Qualified Dividends, in line 3b, Ordinary Dividend, amount.",IF(AND(IRA_Taxable&lt;&gt;0,AL37,PA_Taxable&lt;&gt;0,AL38),"Lines 4a and 5a"&amp;CHAR(10)&amp;"are blank per"&amp;CHAR(10)&amp;"IRS instructions.",IF(AND(IRA_Taxable&lt;&gt;0,AL37),"Line 4a is blank per"&amp;CHAR(10)&amp;"IRS instructions.",IF(AND(PA_Taxable&lt;&gt;0,AL38),"Line 5a is blank per"&amp;CHAR(10)&amp;"IRS instructions.",IF(AN35,"Use Sheets W-2, "&amp;CHAR(10)&amp;"1099-INT, 1099-DIV, 1099-R, and "&amp;CHAR(10)&amp;"SSA-1099 for accurate results.",""))))))</f>
        <v/>
      </c>
      <c r="AK40" s="6415"/>
      <c r="AL40" s="6416"/>
      <c r="AM40" s="4276"/>
      <c r="AN40" s="4275"/>
      <c r="AO40" s="6366"/>
      <c r="AP40" s="6364"/>
      <c r="AQ40" s="6364"/>
      <c r="AR40" s="6364"/>
      <c r="AS40" s="6365"/>
      <c r="AT40" s="5116"/>
      <c r="AU40" s="1582"/>
      <c r="AV40" s="1179"/>
      <c r="AW40" s="1179"/>
      <c r="AX40" s="1179"/>
      <c r="AY40" s="1179"/>
      <c r="AZ40" s="1179"/>
      <c r="BA40" s="1179"/>
      <c r="BB40" s="1179"/>
      <c r="BC40" s="1179"/>
      <c r="BD40" s="1179"/>
      <c r="BE40" s="1179"/>
      <c r="BF40" s="1179"/>
      <c r="BG40" s="1179"/>
      <c r="BH40" s="1179"/>
      <c r="BI40" s="3445"/>
      <c r="BJ40" s="2595"/>
      <c r="BK40" s="2595"/>
      <c r="BL40" s="2595"/>
      <c r="BM40" s="2595"/>
      <c r="BN40" s="2595"/>
      <c r="BO40" s="2595"/>
      <c r="BP40" s="2595"/>
      <c r="BQ40" s="2595"/>
      <c r="BR40" s="2595"/>
      <c r="BS40" s="2595"/>
      <c r="BT40" s="2595"/>
      <c r="BU40" s="2595"/>
    </row>
    <row r="41" spans="1:73" ht="14.25" customHeight="1" thickBot="1">
      <c r="A41" s="588"/>
      <c r="B41" s="1031" t="s">
        <v>585</v>
      </c>
      <c r="C41" s="30"/>
      <c r="D41" s="3026"/>
      <c r="E41" s="5194" t="s">
        <v>200</v>
      </c>
      <c r="F41" s="5190" t="s">
        <v>33</v>
      </c>
      <c r="G41" s="5207" t="s">
        <v>3321</v>
      </c>
      <c r="H41" s="5236"/>
      <c r="I41" s="5236"/>
      <c r="J41" s="5236"/>
      <c r="K41" s="5200" t="s">
        <v>1784</v>
      </c>
      <c r="L41" s="6350" t="s">
        <v>369</v>
      </c>
      <c r="M41" s="6351"/>
      <c r="N41" s="6289" t="str">
        <f>IF(AM41&lt;&gt;"",ROUND(AM41,0),IF(AL38,"",ROUND(PA_Gross,0)))</f>
        <v/>
      </c>
      <c r="O41" s="6290"/>
      <c r="P41" s="6290"/>
      <c r="Q41" s="6290"/>
      <c r="R41" s="6290"/>
      <c r="S41" s="5189" t="s">
        <v>47</v>
      </c>
      <c r="T41" s="5255" t="s">
        <v>280</v>
      </c>
      <c r="U41" s="5203"/>
      <c r="V41" s="5208"/>
      <c r="W41" s="5208"/>
      <c r="X41" s="5236"/>
      <c r="Y41" s="5208"/>
      <c r="Z41" s="5208"/>
      <c r="AA41" s="5200" t="str">
        <f>IF(AI41&lt;&gt;"",".   .   .   .Rollover",".   .   .   .   .   .   .   .   .   . ")</f>
        <v xml:space="preserve">.   .   .   .   .   .   .   .   .   . </v>
      </c>
      <c r="AB41" s="5197" t="str">
        <f>E41&amp;"b"</f>
        <v>5b</v>
      </c>
      <c r="AC41" s="6293">
        <f>IF(AN41&lt;&gt;"",ROUND(AN41,0),ROUND(PA_Taxable_1099R,0))</f>
        <v>0</v>
      </c>
      <c r="AD41" s="6294"/>
      <c r="AE41" s="6294"/>
      <c r="AF41" s="6294"/>
      <c r="AG41" s="6294"/>
      <c r="AH41" s="341"/>
      <c r="AI41" s="4888"/>
      <c r="AJ41" s="6415"/>
      <c r="AK41" s="6415"/>
      <c r="AL41" s="6416"/>
      <c r="AM41" s="4276"/>
      <c r="AN41" s="4275"/>
      <c r="AO41" s="6366"/>
      <c r="AP41" s="6364"/>
      <c r="AQ41" s="6364"/>
      <c r="AR41" s="6364"/>
      <c r="AS41" s="6365"/>
      <c r="AT41" s="2057" t="s">
        <v>4698</v>
      </c>
      <c r="AU41" s="1179"/>
      <c r="AV41" s="1179"/>
      <c r="AW41" s="1179"/>
      <c r="AX41" s="1179"/>
      <c r="AY41" s="1179"/>
      <c r="AZ41" s="1179"/>
      <c r="BA41" s="1179"/>
      <c r="BB41" s="1179"/>
      <c r="BC41" s="1179"/>
      <c r="BD41" s="1179"/>
      <c r="BE41" s="1179"/>
      <c r="BF41" s="1179"/>
      <c r="BG41" s="1179"/>
      <c r="BH41" s="1179"/>
      <c r="BI41" s="3445"/>
      <c r="BJ41" s="2595"/>
      <c r="BK41" s="2595"/>
      <c r="BL41" s="2595"/>
      <c r="BM41" s="2595"/>
      <c r="BN41" s="2595"/>
      <c r="BO41" s="2595"/>
      <c r="BP41" s="2595"/>
      <c r="BQ41" s="2595"/>
      <c r="BR41" s="2595"/>
      <c r="BS41" s="2595"/>
      <c r="BT41" s="2595"/>
      <c r="BU41" s="2595"/>
    </row>
    <row r="42" spans="1:73" ht="14.25" customHeight="1">
      <c r="A42" s="588"/>
      <c r="B42" s="1034" t="s">
        <v>593</v>
      </c>
      <c r="C42" s="30" t="s">
        <v>2320</v>
      </c>
      <c r="D42" s="3026"/>
      <c r="E42" s="5194" t="s">
        <v>101</v>
      </c>
      <c r="F42" s="5190" t="s">
        <v>33</v>
      </c>
      <c r="G42" s="5207" t="s">
        <v>323</v>
      </c>
      <c r="H42" s="5236"/>
      <c r="I42" s="5236"/>
      <c r="J42" s="5236"/>
      <c r="K42" s="5214" t="str">
        <f>IF(LivedApart,"D   ",".   .   . ")</f>
        <v xml:space="preserve">.   .   . </v>
      </c>
      <c r="L42" s="6350" t="str">
        <f>E42&amp;"a"</f>
        <v>6a</v>
      </c>
      <c r="M42" s="6351"/>
      <c r="N42" s="6289">
        <f>IF(AM42&lt;&gt;"",ROUND(AM42,0),ROUND('Line 6ab (SS Bene)'!G14,0))</f>
        <v>0</v>
      </c>
      <c r="O42" s="6290"/>
      <c r="P42" s="6290"/>
      <c r="Q42" s="6290"/>
      <c r="R42" s="6290"/>
      <c r="S42" s="5189" t="s">
        <v>47</v>
      </c>
      <c r="T42" s="5255" t="s">
        <v>280</v>
      </c>
      <c r="U42" s="5203"/>
      <c r="V42" s="5208"/>
      <c r="W42" s="5208"/>
      <c r="X42" s="5236"/>
      <c r="Y42" s="5208"/>
      <c r="Z42" s="5208"/>
      <c r="AA42" s="5200" t="s">
        <v>560</v>
      </c>
      <c r="AB42" s="5197" t="str">
        <f>E42&amp;"b"</f>
        <v>6b</v>
      </c>
      <c r="AC42" s="6293">
        <f>IF(AN42&lt;&gt;"",ROUND(AN42,0),IF(ISERROR(ROUND(Tax_SS_Benefits,0)),"See 'Line 5' sheet.",ROUND(Tax_SS_Benefits,0)))</f>
        <v>0</v>
      </c>
      <c r="AD42" s="6294"/>
      <c r="AE42" s="6294"/>
      <c r="AF42" s="6294"/>
      <c r="AG42" s="6294"/>
      <c r="AH42" s="341"/>
      <c r="AI42" s="6305" t="s">
        <v>4443</v>
      </c>
      <c r="AJ42" s="6415"/>
      <c r="AK42" s="6415"/>
      <c r="AL42" s="6416"/>
      <c r="AM42" s="4276"/>
      <c r="AN42" s="4275"/>
      <c r="AO42" s="6366"/>
      <c r="AP42" s="6364"/>
      <c r="AQ42" s="6364"/>
      <c r="AR42" s="6364"/>
      <c r="AS42" s="6365"/>
      <c r="AT42" s="2057" t="s">
        <v>4699</v>
      </c>
      <c r="AU42" s="1179"/>
      <c r="AV42" s="1179"/>
      <c r="AW42" s="1171"/>
      <c r="AX42" s="3051" t="s">
        <v>2329</v>
      </c>
      <c r="AY42" s="3050"/>
      <c r="AZ42" s="1553"/>
      <c r="BA42" s="1179"/>
      <c r="BB42" s="1179"/>
      <c r="BC42" s="1179"/>
      <c r="BD42" s="1179"/>
      <c r="BE42" s="1179"/>
      <c r="BF42" s="1179"/>
      <c r="BG42" s="1179"/>
      <c r="BH42" s="1179"/>
      <c r="BI42" s="3445"/>
      <c r="BJ42" s="2595"/>
      <c r="BK42" s="2595"/>
      <c r="BL42" s="2595"/>
      <c r="BM42" s="2595"/>
      <c r="BN42" s="2595"/>
      <c r="BO42" s="2595"/>
      <c r="BP42" s="2595"/>
      <c r="BQ42" s="2595"/>
      <c r="BR42" s="2595"/>
      <c r="BS42" s="2595"/>
      <c r="BT42" s="2595"/>
      <c r="BU42" s="2595"/>
    </row>
    <row r="43" spans="1:73" ht="14.25" customHeight="1">
      <c r="A43" s="588"/>
      <c r="B43" s="34"/>
      <c r="C43" s="30" t="s">
        <v>4888</v>
      </c>
      <c r="D43" s="3027"/>
      <c r="E43" s="5194" t="s">
        <v>102</v>
      </c>
      <c r="F43" s="5208"/>
      <c r="G43" s="5207" t="s">
        <v>3317</v>
      </c>
      <c r="H43" s="5204"/>
      <c r="I43" s="5204"/>
      <c r="J43" s="5204"/>
      <c r="K43" s="5204"/>
      <c r="L43" s="5204"/>
      <c r="M43" s="5204"/>
      <c r="N43" s="5204"/>
      <c r="O43" s="5204"/>
      <c r="P43" s="5204"/>
      <c r="Q43" s="5204"/>
      <c r="R43" s="5204"/>
      <c r="S43" s="5204"/>
      <c r="T43" s="5204"/>
      <c r="U43" s="5208"/>
      <c r="V43" s="5208"/>
      <c r="W43" s="5208"/>
      <c r="X43" s="5208"/>
      <c r="Y43" s="5200" t="s">
        <v>5101</v>
      </c>
      <c r="Z43" s="1180"/>
      <c r="AA43" s="5200"/>
      <c r="AB43" s="5244" t="str">
        <f>E43</f>
        <v>7</v>
      </c>
      <c r="AC43" s="6293" t="str">
        <f>IF(AM43&lt;&gt;"",ROUND(AM43,0),IF(Z43&lt;&gt;"",'1099-DIV'!H92,IF('Sch. D'!A61,SchDLine16,'Sch. D'!O89)))</f>
        <v/>
      </c>
      <c r="AD43" s="6294"/>
      <c r="AE43" s="6294"/>
      <c r="AF43" s="6294"/>
      <c r="AG43" s="6294"/>
      <c r="AH43" s="451"/>
      <c r="AI43" s="6306"/>
      <c r="AJ43" s="6415"/>
      <c r="AK43" s="6415"/>
      <c r="AL43" s="6416"/>
      <c r="AM43" s="2867"/>
      <c r="AN43" s="4274"/>
      <c r="AO43" s="6367"/>
      <c r="AP43" s="6368"/>
      <c r="AQ43" s="6368"/>
      <c r="AR43" s="6368"/>
      <c r="AS43" s="6369"/>
      <c r="AT43" s="2057" t="s">
        <v>4347</v>
      </c>
      <c r="AU43" s="2070"/>
      <c r="AV43" s="2070"/>
      <c r="AW43" s="2070"/>
      <c r="AX43" s="1689"/>
      <c r="AY43" s="1145"/>
      <c r="AZ43" s="1690"/>
      <c r="BA43" s="1179"/>
      <c r="BB43" s="1179"/>
      <c r="BC43" s="1179"/>
      <c r="BD43" s="1179"/>
      <c r="BE43" s="1179"/>
      <c r="BF43" s="1179"/>
      <c r="BG43" s="1179"/>
      <c r="BH43" s="1179"/>
      <c r="BI43" s="3445"/>
      <c r="BJ43" s="2595"/>
      <c r="BK43" s="2595"/>
      <c r="BL43" s="2595"/>
      <c r="BM43" s="2595"/>
      <c r="BN43" s="2595"/>
      <c r="BO43" s="2595"/>
      <c r="BP43" s="2595"/>
      <c r="BQ43" s="2595"/>
      <c r="BR43" s="2595"/>
      <c r="BS43" s="2595"/>
      <c r="BT43" s="2595"/>
      <c r="BU43" s="2595"/>
    </row>
    <row r="44" spans="1:73" ht="15.75" customHeight="1" thickBot="1">
      <c r="A44" s="588"/>
      <c r="B44" s="34"/>
      <c r="C44" s="4572">
        <v>12550</v>
      </c>
      <c r="D44" s="3026"/>
      <c r="E44" s="5194" t="s">
        <v>103</v>
      </c>
      <c r="F44" s="5190"/>
      <c r="G44" s="5207" t="s">
        <v>5605</v>
      </c>
      <c r="H44" s="5204"/>
      <c r="I44" s="5204"/>
      <c r="J44" s="5204"/>
      <c r="K44" s="5204"/>
      <c r="L44" s="5204"/>
      <c r="M44" s="5204"/>
      <c r="N44" s="5204"/>
      <c r="O44" s="5204"/>
      <c r="P44" s="5204"/>
      <c r="Q44" s="5204"/>
      <c r="R44" s="5204"/>
      <c r="S44" s="5204"/>
      <c r="T44" s="5204"/>
      <c r="U44" s="5208"/>
      <c r="V44" s="5208"/>
      <c r="W44" s="5208"/>
      <c r="X44" s="5208"/>
      <c r="Y44" s="5208"/>
      <c r="Z44" s="5208"/>
      <c r="AA44" s="5200" t="s">
        <v>94</v>
      </c>
      <c r="AB44" s="5245">
        <v>8</v>
      </c>
      <c r="AC44" s="6293">
        <f>IF(AM44&lt;&gt;"",ROUND(AM44,0),Additional_Income)</f>
        <v>0</v>
      </c>
      <c r="AD44" s="6294"/>
      <c r="AE44" s="6294"/>
      <c r="AF44" s="6294"/>
      <c r="AG44" s="6294"/>
      <c r="AH44" s="451"/>
      <c r="AI44" s="6306"/>
      <c r="AJ44" s="6415"/>
      <c r="AK44" s="6415"/>
      <c r="AL44" s="6416"/>
      <c r="AM44" s="2867"/>
      <c r="AN44" s="4269" t="b">
        <f>Z43&lt;&gt;""</f>
        <v>0</v>
      </c>
      <c r="AO44" s="1179"/>
      <c r="AP44" s="1179"/>
      <c r="AQ44" s="1179"/>
      <c r="AR44" s="1179"/>
      <c r="AS44" s="1179"/>
      <c r="AT44" s="1179"/>
      <c r="AU44" s="1179"/>
      <c r="AV44" s="1179"/>
      <c r="AW44" s="1179"/>
      <c r="AX44" s="2822">
        <f>IF(File_Single&lt;&gt;"",LOOKUP(Over_65_or_Blind,AO49:AO53,AP49:AP53),IF(OR(File_Marr_Joint&lt;&gt;"",File_Qual_Widow&lt;&gt;""),LOOKUP(Over_65_or_Blind,AO49:AO53,AQ49:AQ53),IF(File_Marr_Sep&lt;&gt;"",LOOKUP(Over_65_or_Blind,AO49:AO53,AR49:AR53),IF(File_Head&lt;&gt;"",LOOKUP(Over_65_or_Blind,AO49:AO53,AS49:AS53),0))))</f>
        <v>0</v>
      </c>
      <c r="AY44" s="1503" t="b">
        <f>SchA_Filed</f>
        <v>0</v>
      </c>
      <c r="AZ44" s="1690" t="b">
        <f>NOT(ItemizedDeduct)</f>
        <v>1</v>
      </c>
      <c r="BA44" s="1179"/>
      <c r="BB44" s="1179"/>
      <c r="BC44" s="1179"/>
      <c r="BD44" s="1179"/>
      <c r="BE44" s="1179"/>
      <c r="BF44" s="1179"/>
      <c r="BG44" s="1179"/>
      <c r="BH44" s="1145"/>
      <c r="BI44" s="3445"/>
      <c r="BJ44" s="2595"/>
      <c r="BK44" s="2595"/>
      <c r="BL44" s="2595"/>
      <c r="BM44" s="2595"/>
      <c r="BN44" s="2595"/>
      <c r="BO44" s="2595"/>
      <c r="BP44" s="2595"/>
      <c r="BQ44" s="2595"/>
      <c r="BR44" s="2595"/>
      <c r="BS44" s="2595"/>
      <c r="BT44" s="2595"/>
      <c r="BU44" s="2595"/>
    </row>
    <row r="45" spans="1:73" ht="14.25" customHeight="1">
      <c r="A45" s="588"/>
      <c r="B45" s="1034" t="s">
        <v>593</v>
      </c>
      <c r="C45" s="30" t="s">
        <v>2847</v>
      </c>
      <c r="D45" s="3027"/>
      <c r="E45" s="5194" t="s">
        <v>104</v>
      </c>
      <c r="F45" s="5190"/>
      <c r="G45" s="5207" t="s">
        <v>4442</v>
      </c>
      <c r="H45" s="5204"/>
      <c r="I45" s="5204"/>
      <c r="J45" s="5238"/>
      <c r="K45" s="5204"/>
      <c r="L45" s="5204"/>
      <c r="M45" s="5204"/>
      <c r="N45" s="5204"/>
      <c r="O45" s="5204"/>
      <c r="P45" s="5204"/>
      <c r="Q45" s="5204"/>
      <c r="R45" s="5204"/>
      <c r="S45" s="5204"/>
      <c r="T45" s="5204"/>
      <c r="U45" s="5208"/>
      <c r="V45" s="5189"/>
      <c r="W45" s="5189"/>
      <c r="X45" s="5189"/>
      <c r="Y45" s="5189"/>
      <c r="Z45" s="5189"/>
      <c r="AA45" s="5200" t="s">
        <v>570</v>
      </c>
      <c r="AB45" s="5245">
        <v>9</v>
      </c>
      <c r="AC45" s="6293">
        <f>IF(AM45&lt;&gt;"",ROUND(AM45,0),SUM(Wages,TaxableInterest,OrdinaryDividends,IRA_Taxable,PA_Taxable,SocSecBenefits_Taxable,CapitalGains,AC44))</f>
        <v>0</v>
      </c>
      <c r="AD45" s="6294"/>
      <c r="AE45" s="6294"/>
      <c r="AF45" s="6294"/>
      <c r="AG45" s="6294"/>
      <c r="AH45" s="451"/>
      <c r="AI45" s="652"/>
      <c r="AJ45" s="6509"/>
      <c r="AK45" s="6509"/>
      <c r="AL45" s="6510"/>
      <c r="AM45" s="2868"/>
      <c r="AN45" s="1179"/>
      <c r="AO45" s="3222" t="b">
        <f>IF(OR($AM$46&lt;&gt;"",$AL$9,NumFileStatusBoxes=0,Dual_Status_Alien&lt;&gt;"",DependentYOU&lt;&gt;"",DependentSPOUSE&lt;&gt;"",ItemizedDeduct),FALSE,TRUE)</f>
        <v>0</v>
      </c>
      <c r="AP45" s="1669">
        <f>Over_65_or_Blind</f>
        <v>0</v>
      </c>
      <c r="AQ45" s="3029"/>
      <c r="AR45" s="3029"/>
      <c r="AS45" s="3030"/>
      <c r="AT45" s="3031"/>
      <c r="AU45" s="1145"/>
      <c r="AV45" s="1145"/>
      <c r="AW45" s="1145"/>
      <c r="AX45" s="3046" t="s">
        <v>277</v>
      </c>
      <c r="AY45" s="3047" t="s">
        <v>457</v>
      </c>
      <c r="AZ45" s="1690"/>
      <c r="BA45" s="1179"/>
      <c r="BB45" s="1179"/>
      <c r="BC45" s="1179"/>
      <c r="BD45" s="1179"/>
      <c r="BE45" s="1179"/>
      <c r="BF45" s="1179"/>
      <c r="BG45" s="1179"/>
      <c r="BH45" s="2976"/>
      <c r="BI45" s="3445"/>
      <c r="BJ45" s="2595"/>
      <c r="BK45" s="2595"/>
      <c r="BL45" s="2595"/>
      <c r="BM45" s="2595"/>
      <c r="BN45" s="2595"/>
      <c r="BO45" s="2595"/>
      <c r="BP45" s="2595"/>
      <c r="BQ45" s="2595"/>
      <c r="BR45" s="2595"/>
      <c r="BS45" s="2595"/>
      <c r="BT45" s="2595"/>
      <c r="BU45" s="2595"/>
    </row>
    <row r="46" spans="1:73" ht="14.25" customHeight="1">
      <c r="A46" s="588"/>
      <c r="B46" s="1034"/>
      <c r="C46" s="30" t="s">
        <v>2321</v>
      </c>
      <c r="D46" s="3026"/>
      <c r="E46" s="5194" t="s">
        <v>105</v>
      </c>
      <c r="F46" s="5190"/>
      <c r="G46" s="5207" t="s">
        <v>4868</v>
      </c>
      <c r="H46" s="5204"/>
      <c r="I46" s="5204"/>
      <c r="J46" s="5238"/>
      <c r="K46" s="5204"/>
      <c r="L46" s="5204"/>
      <c r="M46" s="5204"/>
      <c r="N46" s="5204"/>
      <c r="O46" s="5204"/>
      <c r="P46" s="5204"/>
      <c r="Q46" s="5204"/>
      <c r="R46" s="5204"/>
      <c r="S46" s="5204"/>
      <c r="T46" s="5204"/>
      <c r="U46" s="5208"/>
      <c r="V46" s="5189"/>
      <c r="W46" s="5189"/>
      <c r="X46" s="5189"/>
      <c r="Y46" s="5189"/>
      <c r="Z46" s="5189"/>
      <c r="AA46" s="5200" t="s">
        <v>428</v>
      </c>
      <c r="AB46" s="5245">
        <v>10</v>
      </c>
      <c r="AC46" s="6293">
        <f>IF(AM46&lt;&gt;"",ROUND(AM46,0),SUM(AdjustToIncome))</f>
        <v>0</v>
      </c>
      <c r="AD46" s="6294"/>
      <c r="AE46" s="6294"/>
      <c r="AF46" s="6294"/>
      <c r="AG46" s="6294"/>
      <c r="AH46" s="451"/>
      <c r="AI46" s="652"/>
      <c r="AJ46" s="5862"/>
      <c r="AK46" s="5862"/>
      <c r="AL46" s="5862"/>
      <c r="AM46" s="2867"/>
      <c r="AN46" s="1681"/>
      <c r="AO46" s="3060" t="s">
        <v>2330</v>
      </c>
      <c r="AP46" s="3220" t="s">
        <v>2257</v>
      </c>
      <c r="AQ46" s="1464"/>
      <c r="AR46" s="3032"/>
      <c r="AS46" s="1811"/>
      <c r="AT46" s="3033"/>
      <c r="AU46" s="2070"/>
      <c r="AV46" s="2070"/>
      <c r="AW46" s="2070"/>
      <c r="AX46" s="3045">
        <f>IF(OR(Dual_Status_Alien&lt;&gt;"",ISERROR(Over_65_or_Blind)),0, IF('Line 12a (SD Depnts)'!L4,Std_Ded_Wrks_For_Dep, IF(Over_65_or_Blind&gt;0,AX44,AX48)))</f>
        <v>0</v>
      </c>
      <c r="AY46" s="1503">
        <f>Tot_Item_Deduct</f>
        <v>0</v>
      </c>
      <c r="AZ46" s="1690"/>
      <c r="BA46" s="1179"/>
      <c r="BB46" s="1179"/>
      <c r="BC46" s="1179"/>
      <c r="BD46" s="1179"/>
      <c r="BE46" s="1179"/>
      <c r="BF46" s="1179"/>
      <c r="BG46" s="1179"/>
      <c r="BH46" s="2976"/>
      <c r="BI46" s="3445"/>
      <c r="BJ46" s="2595"/>
      <c r="BK46" s="2595"/>
      <c r="BL46" s="2595"/>
      <c r="BM46" s="2595"/>
      <c r="BN46" s="2595"/>
      <c r="BO46" s="2595"/>
      <c r="BP46" s="2595"/>
      <c r="BQ46" s="2595"/>
      <c r="BR46" s="2595"/>
      <c r="BS46" s="2595"/>
      <c r="BT46" s="2595"/>
      <c r="BU46" s="2595"/>
    </row>
    <row r="47" spans="1:73" ht="14.25" customHeight="1">
      <c r="A47" s="588"/>
      <c r="B47" s="1034"/>
      <c r="C47" s="30" t="s">
        <v>2322</v>
      </c>
      <c r="D47" s="3026"/>
      <c r="E47" s="5194" t="s">
        <v>657</v>
      </c>
      <c r="F47" s="5208"/>
      <c r="G47" s="5207" t="s">
        <v>4870</v>
      </c>
      <c r="H47" s="5204"/>
      <c r="I47" s="5204"/>
      <c r="J47" s="5204"/>
      <c r="K47" s="5204"/>
      <c r="L47" s="5204"/>
      <c r="M47" s="5204"/>
      <c r="N47" s="5204"/>
      <c r="O47" s="5204"/>
      <c r="P47" s="5204"/>
      <c r="Q47" s="5204"/>
      <c r="R47" s="5204"/>
      <c r="S47" s="5204"/>
      <c r="T47" s="5204"/>
      <c r="U47" s="5208"/>
      <c r="V47" s="5208"/>
      <c r="W47" s="5200"/>
      <c r="X47" s="5189"/>
      <c r="Y47" s="5189"/>
      <c r="Z47" s="5189"/>
      <c r="AA47" s="5200" t="s">
        <v>276</v>
      </c>
      <c r="AB47" s="5245">
        <v>11</v>
      </c>
      <c r="AC47" s="6291">
        <f>IF(AM47&lt;&gt;"",ROUND(AM47,0),SUM(Total_Income,-AC46))</f>
        <v>0</v>
      </c>
      <c r="AD47" s="6304"/>
      <c r="AE47" s="6304"/>
      <c r="AF47" s="6304"/>
      <c r="AG47" s="6304"/>
      <c r="AH47" s="451"/>
      <c r="AI47" s="652"/>
      <c r="AJ47" s="6317" t="str">
        <f>IF(NumFileStatusBoxes=0,"Filing status not indicated.",IF(AND(AM49&lt;&gt;"",AM49&gt;0,SchA_Filed),"Line 12b must be zero"&amp;CHAR(10)&amp;"if Schedule A"&amp;CHAR(10)&amp;" is filed.  &gt;&gt;&gt;",IF(AND(OR(AM49="",AM49=0),SchA_Filed),"Line 12b is -0- "&amp;CHAR(10)&amp;"if Schedule A is filed.",IF(AND(AM49&lt;&gt;"",AM49&gt;AN48),"On Form 1040, the charity deduction is limited to "&amp;TEXT(AN48,"$0")&amp;" for your filing status.",IF(AND(AM49&lt;&gt;"",AM49&lt;=AN48),"Charitable deduction claimed on Line 12b.","Enter Line 12b charitable contributions here   &gt;&gt;&gt;")))))</f>
        <v>Filing status not indicated.</v>
      </c>
      <c r="AK47" s="6317"/>
      <c r="AL47" s="6317"/>
      <c r="AM47" s="5863"/>
      <c r="AN47" s="1681"/>
      <c r="AO47" s="3060" t="s">
        <v>2332</v>
      </c>
      <c r="AP47" s="3032"/>
      <c r="AQ47" s="3032"/>
      <c r="AR47" s="3032"/>
      <c r="AS47" s="1811"/>
      <c r="AT47" s="3033"/>
      <c r="AU47" s="2070"/>
      <c r="AV47" s="2070"/>
      <c r="AW47" s="2070"/>
      <c r="AX47" s="3045"/>
      <c r="AY47" s="1503"/>
      <c r="AZ47" s="1690"/>
      <c r="BA47" s="1179"/>
      <c r="BB47" s="1179"/>
      <c r="BC47" s="1179"/>
      <c r="BD47" s="1179"/>
      <c r="BE47" s="1179"/>
      <c r="BF47" s="1179"/>
      <c r="BG47" s="1179"/>
      <c r="BH47" s="2976"/>
      <c r="BI47" s="3445"/>
      <c r="BJ47" s="2595"/>
      <c r="BK47" s="2595"/>
      <c r="BL47" s="2595"/>
      <c r="BM47" s="2595"/>
      <c r="BN47" s="2595"/>
      <c r="BO47" s="2595"/>
      <c r="BP47" s="2595"/>
      <c r="BQ47" s="2595"/>
      <c r="BR47" s="2595"/>
      <c r="BS47" s="2595"/>
      <c r="BT47" s="2595"/>
      <c r="BU47" s="2595"/>
    </row>
    <row r="48" spans="1:73" ht="14.25" customHeight="1" thickBot="1">
      <c r="A48" s="588"/>
      <c r="B48" s="1034"/>
      <c r="C48" s="4078">
        <v>25100</v>
      </c>
      <c r="D48" s="30"/>
      <c r="E48" s="6051" t="s">
        <v>220</v>
      </c>
      <c r="F48" s="5186" t="s">
        <v>33</v>
      </c>
      <c r="G48" s="5207" t="s">
        <v>2434</v>
      </c>
      <c r="H48" s="5204"/>
      <c r="I48" s="5204"/>
      <c r="J48" s="5238"/>
      <c r="K48" s="5204"/>
      <c r="L48" s="5204"/>
      <c r="M48" s="5204"/>
      <c r="N48" s="5204"/>
      <c r="O48" s="5204"/>
      <c r="P48" s="5204"/>
      <c r="Q48" s="5204"/>
      <c r="R48" s="5204"/>
      <c r="S48" s="5204"/>
      <c r="T48" s="5204"/>
      <c r="U48" s="5208"/>
      <c r="V48" s="5189"/>
      <c r="W48" s="5200" t="s">
        <v>535</v>
      </c>
      <c r="X48" s="5245" t="s">
        <v>504</v>
      </c>
      <c r="Y48" s="6293">
        <f>IF(AM48&lt;&gt;"",ROUND(AM48,0), IF(OR(AND(Total_Income=0,Adj_Gross_Inc=0),NumFileStatusBoxes=0,NumFileStatusBoxes&gt;1,Birthday_Needed,$AL$9),0, IF(AND(NQDisasterLoss&gt;0,StdDeduct),SD_AND_NQDL,IF(ItemizedDeduct,Tot_Item_Deduct,Standard ))))</f>
        <v>0</v>
      </c>
      <c r="Z48" s="6294"/>
      <c r="AA48" s="6444"/>
      <c r="AB48" s="5245"/>
      <c r="AC48" s="6291"/>
      <c r="AD48" s="6292"/>
      <c r="AE48" s="6292"/>
      <c r="AF48" s="6292"/>
      <c r="AG48" s="6292"/>
      <c r="AH48" s="451"/>
      <c r="AI48" s="652"/>
      <c r="AJ48" s="6317"/>
      <c r="AK48" s="6317"/>
      <c r="AL48" s="6317"/>
      <c r="AM48" s="5187"/>
      <c r="AN48" s="2765">
        <f>IF(File_Marr_Joint&lt;&gt;"",600,IF(OR(File_Single&lt;&gt;"",File_Qual_Widow&lt;&gt;"",File_Head&lt;&gt;"",File_Marr_Sep&lt;&gt;""),300,300))</f>
        <v>300</v>
      </c>
      <c r="AO48" s="3061" t="s">
        <v>2331</v>
      </c>
      <c r="AP48" s="1505" t="s">
        <v>69</v>
      </c>
      <c r="AQ48" s="1506" t="s">
        <v>525</v>
      </c>
      <c r="AR48" s="1505" t="s">
        <v>458</v>
      </c>
      <c r="AS48" s="1506" t="s">
        <v>2006</v>
      </c>
      <c r="AT48" s="1507"/>
      <c r="AU48" s="1179"/>
      <c r="AV48" s="1179"/>
      <c r="AW48" s="1179"/>
      <c r="AX48" s="3045">
        <f>IF(File_Single&lt;&gt;"",SD_Single,IF(OR(File_Marr_Joint&lt;&gt;"",File_Qual_Widow&lt;&gt;""),SD_MFJW,IF(File_Head&lt;&gt;"",SD_Head,IF(File_Marr_Sep&lt;&gt;"",SD_Single,0))))</f>
        <v>0</v>
      </c>
      <c r="AY48" s="1503"/>
      <c r="AZ48" s="1690"/>
      <c r="BA48" s="1179"/>
      <c r="BB48" s="1179"/>
      <c r="BC48" s="1179"/>
      <c r="BD48" s="1179"/>
      <c r="BE48" s="1179"/>
      <c r="BF48" s="1179"/>
      <c r="BG48" s="1179"/>
      <c r="BH48" s="2976"/>
      <c r="BI48" s="3445"/>
      <c r="BJ48" s="2595"/>
      <c r="BK48" s="2595"/>
      <c r="BL48" s="2595"/>
      <c r="BM48" s="2595"/>
      <c r="BN48" s="2595"/>
      <c r="BO48" s="2595"/>
      <c r="BP48" s="2595"/>
      <c r="BQ48" s="2595"/>
      <c r="BR48" s="2595"/>
      <c r="BS48" s="2595"/>
      <c r="BT48" s="2595"/>
      <c r="BU48" s="2595"/>
    </row>
    <row r="49" spans="1:73" ht="14.25" customHeight="1" thickBot="1">
      <c r="A49" s="588"/>
      <c r="B49" s="1034" t="s">
        <v>593</v>
      </c>
      <c r="C49" s="30" t="s">
        <v>4665</v>
      </c>
      <c r="D49" s="3026"/>
      <c r="E49" s="5189"/>
      <c r="F49" s="5190" t="s">
        <v>47</v>
      </c>
      <c r="G49" s="5207" t="s">
        <v>5606</v>
      </c>
      <c r="H49" s="5204"/>
      <c r="I49" s="5204"/>
      <c r="J49" s="5238"/>
      <c r="K49" s="5204"/>
      <c r="L49" s="5204"/>
      <c r="M49" s="5204"/>
      <c r="N49" s="5204"/>
      <c r="O49" s="5204"/>
      <c r="P49" s="5204"/>
      <c r="Q49" s="5204"/>
      <c r="R49" s="5204"/>
      <c r="S49" s="5204"/>
      <c r="T49" s="5204"/>
      <c r="U49" s="5208"/>
      <c r="V49" s="5189"/>
      <c r="W49" s="5200" t="s">
        <v>1037</v>
      </c>
      <c r="X49" s="5250" t="s">
        <v>505</v>
      </c>
      <c r="Y49" s="6312" t="str">
        <f>IF(SchA_Filed,0,IF(AM49="","",MIN(ROUND(AM49,0),AN48)))</f>
        <v/>
      </c>
      <c r="Z49" s="6313"/>
      <c r="AA49" s="6314"/>
      <c r="AB49" s="4084"/>
      <c r="AC49" s="6307"/>
      <c r="AD49" s="6308"/>
      <c r="AE49" s="6308"/>
      <c r="AF49" s="6308"/>
      <c r="AG49" s="6308"/>
      <c r="AH49" s="451"/>
      <c r="AI49" s="652"/>
      <c r="AJ49" s="6317"/>
      <c r="AK49" s="6317"/>
      <c r="AL49" s="6317"/>
      <c r="AM49" s="3223"/>
      <c r="AN49" s="1681"/>
      <c r="AO49" s="6060">
        <v>0</v>
      </c>
      <c r="AP49" s="2333">
        <f>SD_Single</f>
        <v>12550</v>
      </c>
      <c r="AQ49" s="2333">
        <f>SD_MFJW</f>
        <v>25100</v>
      </c>
      <c r="AR49" s="2333">
        <f>SD_Single</f>
        <v>12550</v>
      </c>
      <c r="AS49" s="2333">
        <f>SD_Head</f>
        <v>18800</v>
      </c>
      <c r="AT49" s="2488"/>
      <c r="AU49" s="1179"/>
      <c r="AV49" s="1179"/>
      <c r="AW49" s="1179"/>
      <c r="AX49" s="4613" t="s">
        <v>3975</v>
      </c>
      <c r="AY49" s="1503"/>
      <c r="AZ49" s="1690"/>
      <c r="BA49" s="1179"/>
      <c r="BB49" s="1179"/>
      <c r="BC49" s="1179"/>
      <c r="BD49" s="1179"/>
      <c r="BE49" s="1179"/>
      <c r="BF49" s="1179"/>
      <c r="BG49" s="1179"/>
      <c r="BH49" s="2976"/>
      <c r="BI49" s="3445"/>
      <c r="BJ49" s="2595"/>
      <c r="BK49" s="2595"/>
      <c r="BL49" s="2595"/>
      <c r="BM49" s="2595"/>
      <c r="BN49" s="2595"/>
      <c r="BO49" s="2595"/>
      <c r="BP49" s="2595"/>
      <c r="BQ49" s="2595"/>
      <c r="BR49" s="2595"/>
      <c r="BS49" s="2595"/>
      <c r="BT49" s="2595"/>
      <c r="BU49" s="2595"/>
    </row>
    <row r="50" spans="1:73" ht="14.25" customHeight="1">
      <c r="A50" s="588"/>
      <c r="B50" s="1034"/>
      <c r="C50" s="4078">
        <v>18800</v>
      </c>
      <c r="D50" s="30"/>
      <c r="E50" s="5241"/>
      <c r="F50" s="5190" t="s">
        <v>48</v>
      </c>
      <c r="G50" s="5207" t="s">
        <v>4889</v>
      </c>
      <c r="H50" s="5204"/>
      <c r="I50" s="5204"/>
      <c r="J50" s="5238"/>
      <c r="K50" s="5204"/>
      <c r="L50" s="5204"/>
      <c r="M50" s="5204"/>
      <c r="N50" s="5204"/>
      <c r="O50" s="5204"/>
      <c r="P50" s="5204"/>
      <c r="Q50" s="5204"/>
      <c r="R50" s="5204"/>
      <c r="S50" s="5204"/>
      <c r="T50" s="5204"/>
      <c r="U50" s="5208"/>
      <c r="V50" s="5208"/>
      <c r="W50" s="5208"/>
      <c r="X50" s="5189"/>
      <c r="Y50" s="5189"/>
      <c r="Z50" s="5189"/>
      <c r="AA50" s="5200" t="s">
        <v>1075</v>
      </c>
      <c r="AB50" s="5197" t="s">
        <v>506</v>
      </c>
      <c r="AC50" s="6293">
        <f>SUM(Deductions,Charitable)</f>
        <v>0</v>
      </c>
      <c r="AD50" s="6294"/>
      <c r="AE50" s="6294"/>
      <c r="AF50" s="6294"/>
      <c r="AG50" s="6294"/>
      <c r="AH50" s="451"/>
      <c r="AI50" s="652"/>
      <c r="AJ50" s="6309" t="s">
        <v>5705</v>
      </c>
      <c r="AK50" s="6310"/>
      <c r="AL50" s="6311"/>
      <c r="AM50" s="5864"/>
      <c r="AN50" s="1681"/>
      <c r="AO50" s="6061">
        <v>1</v>
      </c>
      <c r="AP50" s="2333">
        <f t="shared" ref="AP50:AS51" si="0">SUM(AP$49,$AO50*AP$55)</f>
        <v>14250</v>
      </c>
      <c r="AQ50" s="2333">
        <f t="shared" si="0"/>
        <v>26450</v>
      </c>
      <c r="AR50" s="2333">
        <f t="shared" si="0"/>
        <v>13900</v>
      </c>
      <c r="AS50" s="2333">
        <f t="shared" si="0"/>
        <v>20500</v>
      </c>
      <c r="AT50" s="2489"/>
      <c r="AU50" s="2070"/>
      <c r="AV50" s="2070"/>
      <c r="AW50" s="2070"/>
      <c r="AX50" s="3048">
        <f>IF(AND(StdDeduct,NQDisasterLoss&lt;&gt;"",NQDisasterLoss&gt;0),SUM(Standard,NQDisasterLoss),Standard)</f>
        <v>0</v>
      </c>
      <c r="AY50" s="2501"/>
      <c r="AZ50" s="3049"/>
      <c r="BA50" s="1179"/>
      <c r="BB50" s="1179"/>
      <c r="BC50" s="1179"/>
      <c r="BD50" s="1179"/>
      <c r="BE50" s="1179"/>
      <c r="BF50" s="1179"/>
      <c r="BG50" s="1179"/>
      <c r="BH50" s="2976"/>
      <c r="BI50" s="3445"/>
      <c r="BJ50" s="2595"/>
      <c r="BK50" s="2595"/>
      <c r="BL50" s="2595"/>
      <c r="BM50" s="2595"/>
      <c r="BN50" s="2595"/>
      <c r="BO50" s="2595"/>
      <c r="BP50" s="2595"/>
      <c r="BQ50" s="2595"/>
      <c r="BR50" s="2595"/>
      <c r="BS50" s="2595"/>
      <c r="BT50" s="2595"/>
      <c r="BU50" s="2595"/>
    </row>
    <row r="51" spans="1:73" ht="14.25" customHeight="1" thickBot="1">
      <c r="A51" s="588"/>
      <c r="B51" s="1034" t="s">
        <v>593</v>
      </c>
      <c r="C51" s="30" t="s">
        <v>4871</v>
      </c>
      <c r="D51" s="5188"/>
      <c r="E51" s="5194" t="s">
        <v>658</v>
      </c>
      <c r="F51" s="5242"/>
      <c r="G51" s="5207" t="s">
        <v>5607</v>
      </c>
      <c r="H51" s="5204"/>
      <c r="I51" s="5204"/>
      <c r="J51" s="5204"/>
      <c r="K51" s="5204"/>
      <c r="L51" s="5204"/>
      <c r="M51" s="5204"/>
      <c r="N51" s="5204"/>
      <c r="O51" s="5204"/>
      <c r="P51" s="5204"/>
      <c r="Q51" s="5204"/>
      <c r="R51" s="5204"/>
      <c r="S51" s="5204"/>
      <c r="T51" s="5204"/>
      <c r="U51" s="5204"/>
      <c r="V51" s="5204"/>
      <c r="W51" s="5200"/>
      <c r="X51" s="5189"/>
      <c r="Y51" s="5189"/>
      <c r="Z51" s="5189"/>
      <c r="AA51" s="5200" t="str">
        <f>IF(AND(AI51="",QBID_1040&lt;&gt;"",QBID_1040&lt;&gt;0,QBID_Income2High),"Error: See Form 8995.",".   .   .   .   .   .   .   .   .   .   .   .   .   . ")</f>
        <v xml:space="preserve">.   .   .   .   .   .   .   .   .   .   .   .   .   . </v>
      </c>
      <c r="AB51" s="5245">
        <v>13</v>
      </c>
      <c r="AC51" s="6291">
        <f>IF(AM51&lt;&gt;"",ROUND(AM51,0),IF(QBID="",0,QBID))</f>
        <v>0</v>
      </c>
      <c r="AD51" s="6292"/>
      <c r="AE51" s="6292"/>
      <c r="AF51" s="6292"/>
      <c r="AG51" s="6292"/>
      <c r="AH51" s="451"/>
      <c r="AI51" s="5104"/>
      <c r="AJ51" s="6412" t="str">
        <f>IF(AM46&lt;&gt;"","Manual Override",IF(FilingStatusError,"Filing status error.",IF(Birthday_Needed,"Birthdate(s) needed.",IF($AL$9,"Filing status error or invalid spouse input.",IF(NumFileStatusBoxes=0,"Filing status not indicated.", IF(Dual_Status_Alien&lt;&gt;"","Deduction is $0 due to spouse itemizing or dual-status alien.", IF(OR(DependentYOU&lt;&gt;"",DependentSPOUSE&lt;&gt;""),"Line 12a - Standard Deduction for Dependents",IF(AND(NQDisasterLoss&gt;0,StdDeduct),"Standard deduction plus net qualified disaster losses"&amp;CHAR(10)&amp;"on Sch. A, Line 16.",IF(ItemizedDeduct,"Schedule A",IF(Over_65_or_Blind&gt;0,"See Standard "&amp;CHAR(10)&amp;" Deduction Chart"&amp;CHAR(10)&amp;" at right  →","Standard Deduction"))))))))))</f>
        <v>Filing status not indicated.</v>
      </c>
      <c r="AK51" s="6413"/>
      <c r="AL51" s="6413"/>
      <c r="AM51" s="2868"/>
      <c r="AN51" s="6080"/>
      <c r="AO51" s="6061">
        <v>2</v>
      </c>
      <c r="AP51" s="2333">
        <f t="shared" si="0"/>
        <v>15950</v>
      </c>
      <c r="AQ51" s="2333">
        <f t="shared" si="0"/>
        <v>27800</v>
      </c>
      <c r="AR51" s="2333">
        <f t="shared" si="0"/>
        <v>15250</v>
      </c>
      <c r="AS51" s="2333">
        <f t="shared" si="0"/>
        <v>22200</v>
      </c>
      <c r="AT51" s="2489"/>
      <c r="AU51" s="2070"/>
      <c r="AV51" s="2070"/>
      <c r="AW51" s="1179"/>
      <c r="AX51" s="1276" t="s">
        <v>2583</v>
      </c>
      <c r="AY51" s="2866" t="s">
        <v>69</v>
      </c>
      <c r="AZ51" s="2866" t="s">
        <v>2552</v>
      </c>
      <c r="BA51" s="2866" t="s">
        <v>458</v>
      </c>
      <c r="BB51" s="2866" t="s">
        <v>2000</v>
      </c>
      <c r="BC51" s="1179"/>
      <c r="BD51" s="1179"/>
      <c r="BE51" s="1179"/>
      <c r="BF51" s="1179"/>
      <c r="BG51" s="1179"/>
      <c r="BH51" s="1284"/>
      <c r="BI51" s="3445"/>
      <c r="BJ51" s="2595"/>
      <c r="BK51" s="2595"/>
      <c r="BL51" s="2595"/>
      <c r="BM51" s="2595"/>
      <c r="BN51" s="2595"/>
      <c r="BO51" s="2595"/>
      <c r="BP51" s="2595"/>
      <c r="BQ51" s="2595"/>
      <c r="BR51" s="2595"/>
      <c r="BS51" s="2595"/>
      <c r="BT51" s="2595"/>
      <c r="BU51" s="2595"/>
    </row>
    <row r="52" spans="1:73" ht="14.25" customHeight="1" thickTop="1" thickBot="1">
      <c r="A52" s="588"/>
      <c r="B52" s="6173" t="s">
        <v>5102</v>
      </c>
      <c r="C52" s="6174"/>
      <c r="D52" s="6175"/>
      <c r="E52" s="5194" t="s">
        <v>661</v>
      </c>
      <c r="F52" s="5190"/>
      <c r="G52" s="5207" t="s">
        <v>4869</v>
      </c>
      <c r="H52" s="5204"/>
      <c r="I52" s="5204"/>
      <c r="J52" s="5204"/>
      <c r="K52" s="5204"/>
      <c r="L52" s="5204"/>
      <c r="M52" s="5204"/>
      <c r="N52" s="5204"/>
      <c r="O52" s="5204"/>
      <c r="P52" s="5204"/>
      <c r="Q52" s="5207"/>
      <c r="R52" s="5204"/>
      <c r="S52" s="5204"/>
      <c r="T52" s="5204"/>
      <c r="U52" s="5246"/>
      <c r="V52" s="5246"/>
      <c r="W52" s="5208"/>
      <c r="X52" s="5208"/>
      <c r="Y52" s="5208"/>
      <c r="Z52" s="5208"/>
      <c r="AA52" s="5200" t="s">
        <v>1075</v>
      </c>
      <c r="AB52" s="5244">
        <v>14</v>
      </c>
      <c r="AC52" s="6291">
        <f>IF(AM52&lt;&gt;"",ROUND(AM52,0),SUM(AC50,QBID_1040))</f>
        <v>0</v>
      </c>
      <c r="AD52" s="6292"/>
      <c r="AE52" s="6292"/>
      <c r="AF52" s="6292"/>
      <c r="AG52" s="6292"/>
      <c r="AH52" s="451"/>
      <c r="AI52" s="652"/>
      <c r="AJ52" s="6414"/>
      <c r="AK52" s="6415"/>
      <c r="AL52" s="6416"/>
      <c r="AM52" s="2867"/>
      <c r="AN52" s="2258" t="b">
        <f>OR(Q57&lt;&gt;"",T57&lt;&gt;"",W57&lt;&gt;"")</f>
        <v>0</v>
      </c>
      <c r="AO52" s="6061">
        <v>3</v>
      </c>
      <c r="AP52" s="2333"/>
      <c r="AQ52" s="2333">
        <f>SUM(AQ$49,$AO52*AQ$55)</f>
        <v>29150</v>
      </c>
      <c r="AR52" s="2333">
        <f>SUM(AR$49,$AO52*AR$55)</f>
        <v>16600</v>
      </c>
      <c r="AS52" s="2336"/>
      <c r="AT52" s="2337"/>
      <c r="AU52" s="1179"/>
      <c r="AV52" s="1179"/>
      <c r="AW52" s="1179"/>
      <c r="AX52" s="3352">
        <f>Taxable_Inc</f>
        <v>0</v>
      </c>
      <c r="AY52" s="3346">
        <f>LOOKUP(AX52,'Tax Table'!$B$2:$B$2063,'Tax Table'!$D$2:$D$2063)</f>
        <v>0</v>
      </c>
      <c r="AZ52" s="3346">
        <f>LOOKUP(AX52,'Tax Table'!$B$2:$B$2063,'Tax Table'!$E$2:$E$2063)</f>
        <v>0</v>
      </c>
      <c r="BA52" s="3346">
        <f>LOOKUP(AX52,'Tax Table'!$B$2:$B$2063,'Tax Table'!$F$2:$F$2063)</f>
        <v>0</v>
      </c>
      <c r="BB52" s="3347">
        <f>LOOKUP(AX52,'Tax Table'!$B$2:$B$2063,'Tax Table'!$G$2:$G$2063)</f>
        <v>0</v>
      </c>
      <c r="BC52" s="1179"/>
      <c r="BD52" s="1179"/>
      <c r="BE52" s="1179"/>
      <c r="BF52" s="1179"/>
      <c r="BG52" s="1179"/>
      <c r="BH52" s="1284"/>
      <c r="BI52" s="3445"/>
      <c r="BJ52" s="2595"/>
      <c r="BK52" s="2595"/>
      <c r="BL52" s="2595"/>
      <c r="BM52" s="2595"/>
      <c r="BN52" s="2595"/>
      <c r="BO52" s="2595"/>
      <c r="BP52" s="2595"/>
      <c r="BQ52" s="2595"/>
      <c r="BR52" s="2595"/>
      <c r="BS52" s="2595"/>
      <c r="BT52" s="2595"/>
      <c r="BU52" s="2595"/>
    </row>
    <row r="53" spans="1:73" ht="14.25" customHeight="1" thickBot="1">
      <c r="A53" s="588"/>
      <c r="B53" s="6445" t="s">
        <v>4872</v>
      </c>
      <c r="C53" s="6446"/>
      <c r="D53" s="6447"/>
      <c r="E53" s="6052" t="s">
        <v>662</v>
      </c>
      <c r="F53" s="5243"/>
      <c r="G53" s="5239" t="s">
        <v>3316</v>
      </c>
      <c r="H53" s="5226"/>
      <c r="I53" s="5226"/>
      <c r="J53" s="5240" t="s">
        <v>3903</v>
      </c>
      <c r="K53" s="5226"/>
      <c r="L53" s="5226"/>
      <c r="M53" s="5226"/>
      <c r="N53" s="5226"/>
      <c r="O53" s="5226"/>
      <c r="P53" s="5226"/>
      <c r="Q53" s="5247"/>
      <c r="R53" s="5247" t="s">
        <v>2526</v>
      </c>
      <c r="S53" s="5226"/>
      <c r="T53" s="5226"/>
      <c r="U53" s="5248"/>
      <c r="V53" s="5248"/>
      <c r="W53" s="5225"/>
      <c r="X53" s="5225"/>
      <c r="Y53" s="5225"/>
      <c r="Z53" s="5225"/>
      <c r="AA53" s="5249" t="s">
        <v>560</v>
      </c>
      <c r="AB53" s="5250">
        <v>15</v>
      </c>
      <c r="AC53" s="6312">
        <f>IF(AM53&lt;&gt;"",ROUND(AM53,0),MAX(0,SUM(Adj_Gross_Inc,-TotalDeductions)))</f>
        <v>0</v>
      </c>
      <c r="AD53" s="6484"/>
      <c r="AE53" s="6484"/>
      <c r="AF53" s="6484"/>
      <c r="AG53" s="6484"/>
      <c r="AH53" s="4822"/>
      <c r="AI53" s="650"/>
      <c r="AJ53" s="6414"/>
      <c r="AK53" s="6415"/>
      <c r="AL53" s="6415"/>
      <c r="AM53" s="2868"/>
      <c r="AN53" s="6171" t="str">
        <f>IF(AN52,"Total taxes from "&amp;CHAR(10)&amp;"line 16 (1), (2), &amp; (3) ↓   ↓   ↓","")</f>
        <v/>
      </c>
      <c r="AO53" s="6061">
        <v>4</v>
      </c>
      <c r="AP53" s="2333"/>
      <c r="AQ53" s="2333">
        <f>SUM(AQ$49,$AO53*AQ$55)</f>
        <v>30500</v>
      </c>
      <c r="AR53" s="2333">
        <f>SUM(AR$49,$AO53*AR$55)</f>
        <v>17950</v>
      </c>
      <c r="AS53" s="2336"/>
      <c r="AT53" s="2337"/>
      <c r="AU53" s="1179"/>
      <c r="AV53" s="1179"/>
      <c r="AW53" s="1179"/>
      <c r="AX53" s="3341"/>
      <c r="AY53" s="3348" t="str">
        <f>IF(AX52&lt;SectA_a3,"---",IF(AX52&lt;=SectA_a4,ROUND((AX52*(SectA_b4/100)-SectA_d4),0),IF(AX52&lt;=SectA_a5,ROUND((AX52*(SectA_b5/100)-SectA_d5),0),IF(AX52&lt;=SectA_a6,ROUND((AX52*(SectA_b6/100)-SectA_d6),0),ROUND((AX52*(SectA_b7/100)-SectA_d7),0)))))</f>
        <v>---</v>
      </c>
      <c r="AZ53" s="3348" t="str">
        <f>IF(AX52&lt;SectB_a2,"---",IF(AX52&lt;=SectB_a3,ROUND((AX52*(SectB_b3/100)-SectB_d3),0),IF(AX52&lt;=SectB_a4,ROUND((AX52*(SectB_b4/100)-SectB_d4),0),IF(AX52&lt;=SectB_a5,ROUND((AX52*(SectB_b5/100)-SectB_d5),0),IF(AX52&lt;=SectB_a6,ROUND((AX52*(SectB_b6/100)-SectB_d6),0),ROUND((AX52*(SectB_b7/100)-SectB_d7),0))))))</f>
        <v>---</v>
      </c>
      <c r="BA53" s="3348" t="str">
        <f>IF(AX52&lt;SectC_a2,"---",IF(AX52&lt;=SectC_a3,ROUND((AX52*(SectC_b3/100)-SectC_d3),0),IF(AX52&lt;=SectC_a4,ROUND((AX52*(SectC_b4/100)-SectC_d4),0),IF(AX52&lt;=SectC_a5,ROUND((AX52*(SectC_b5/100)-SectC_d5),0),ROUND((AX52*(SectC_b6/100)-SectC_d6),0)))))</f>
        <v>---</v>
      </c>
      <c r="BB53" s="3349" t="str">
        <f>IF(AX52&lt;SectD_a2,"---",IF(AX52&lt;=SectD_a3,ROUND((AX52*(SectD_b3/100)-SectD_d3),0),IF(AX52&lt;=SectD_a4,ROUND((AX52*(SectD_b4/100)-SectD_d4),0),IF(AX52&lt;=SectD_a5,ROUND((AX52*(SectD_b5/100)-SectD_d5),0),IF(AX52&lt;=SectD_a6,ROUND((AX52*(SectD_b6/100)-SectD_d6),0),ROUND((AX52*(SectD_b7/100)-SectD_d7),0))))))</f>
        <v>---</v>
      </c>
      <c r="BC53" s="1179"/>
      <c r="BD53" s="1179"/>
      <c r="BE53" s="1179"/>
      <c r="BF53" s="1179"/>
      <c r="BG53" s="1179"/>
      <c r="BH53" s="2243"/>
      <c r="BI53" s="3445"/>
      <c r="BJ53" s="2595"/>
      <c r="BK53" s="2595"/>
      <c r="BL53" s="2595"/>
      <c r="BM53" s="2595"/>
      <c r="BN53" s="2595"/>
      <c r="BO53" s="2595"/>
      <c r="BP53" s="2595"/>
      <c r="BQ53" s="2595"/>
      <c r="BR53" s="2595"/>
      <c r="BS53" s="2595"/>
      <c r="BT53" s="2595"/>
      <c r="BU53" s="2595"/>
    </row>
    <row r="54" spans="1:73" ht="13.5" customHeight="1" thickBot="1">
      <c r="A54" s="588"/>
      <c r="B54" s="5212" t="s">
        <v>498</v>
      </c>
      <c r="C54" s="5213"/>
      <c r="D54" s="5213"/>
      <c r="E54" s="5214"/>
      <c r="F54" s="5215"/>
      <c r="G54" s="5216"/>
      <c r="H54" s="5216"/>
      <c r="I54" s="5216"/>
      <c r="J54" s="5216"/>
      <c r="K54" s="5216"/>
      <c r="L54" s="5216"/>
      <c r="M54" s="5216"/>
      <c r="N54" s="5216"/>
      <c r="O54" s="5216"/>
      <c r="P54" s="5216"/>
      <c r="Q54" s="5216"/>
      <c r="R54" s="5216"/>
      <c r="S54" s="5216"/>
      <c r="T54" s="5216"/>
      <c r="U54" s="5216"/>
      <c r="V54" s="5216"/>
      <c r="W54" s="5217"/>
      <c r="X54" s="5217"/>
      <c r="Y54" s="5218" t="s">
        <v>412</v>
      </c>
      <c r="Z54" s="5216"/>
      <c r="AA54" s="5216"/>
      <c r="AB54" s="5219"/>
      <c r="AC54" s="5220"/>
      <c r="AD54" s="5220"/>
      <c r="AE54" s="5220"/>
      <c r="AF54" s="5221" t="s">
        <v>4873</v>
      </c>
      <c r="AG54" s="5220"/>
      <c r="AH54" s="5222" t="str">
        <f>"("&amp;TaxYear&amp;")"</f>
        <v>(2021)</v>
      </c>
      <c r="AI54" s="650"/>
      <c r="AJ54" s="6417"/>
      <c r="AK54" s="6418"/>
      <c r="AL54" s="6419"/>
      <c r="AM54" s="4596"/>
      <c r="AN54" s="6171"/>
      <c r="AO54" s="1508"/>
      <c r="AP54" s="2334"/>
      <c r="AQ54" s="2338"/>
      <c r="AR54" s="2338"/>
      <c r="AS54" s="2338"/>
      <c r="AT54" s="2339"/>
      <c r="AU54" s="1179"/>
      <c r="AV54" s="1179"/>
      <c r="AW54" s="1179"/>
      <c r="AX54" s="3342" t="str">
        <f>IF(File_Single&lt;&gt;"",AY52,IF(File_Marr_Joint&lt;&gt;"",AZ52,IF(File_Marr_Sep&lt;&gt;"", BA52,IF(File_Head&lt;&gt;"",BB52,IF(File_Qual_Widow&lt;&gt;"",AZ52,"Filing status?")))))</f>
        <v>Filing status?</v>
      </c>
      <c r="AY54" s="2087" t="str">
        <f>"&lt;100k"</f>
        <v>&lt;100k</v>
      </c>
      <c r="AZ54" s="2087"/>
      <c r="BA54" s="2087"/>
      <c r="BB54" s="3345"/>
      <c r="BC54" s="1179"/>
      <c r="BD54" s="1179"/>
      <c r="BE54" s="1179"/>
      <c r="BF54" s="1179"/>
      <c r="BG54" s="1179"/>
      <c r="BH54" s="2243"/>
      <c r="BI54" s="3445"/>
      <c r="BJ54" s="2595"/>
      <c r="BK54" s="2595"/>
      <c r="BL54" s="2595"/>
      <c r="BM54" s="2595"/>
      <c r="BN54" s="2595"/>
      <c r="BO54" s="2595"/>
      <c r="BP54" s="2595"/>
      <c r="BQ54" s="2595"/>
      <c r="BR54" s="2595"/>
      <c r="BS54" s="2595"/>
      <c r="BT54" s="2595"/>
      <c r="BU54" s="2595"/>
    </row>
    <row r="55" spans="1:73" ht="16.5" thickBot="1">
      <c r="A55" s="588"/>
      <c r="B55" s="5223" t="str">
        <f>"Form 1040  ("&amp;TaxYear&amp;")"</f>
        <v>Form 1040  (2021)</v>
      </c>
      <c r="C55" s="5223"/>
      <c r="D55" s="5223"/>
      <c r="E55" s="5224"/>
      <c r="F55" s="5225"/>
      <c r="G55" s="5226"/>
      <c r="H55" s="5226"/>
      <c r="I55" s="5226"/>
      <c r="J55" s="5226"/>
      <c r="K55" s="5226"/>
      <c r="L55" s="5226"/>
      <c r="M55" s="5226"/>
      <c r="N55" s="5226"/>
      <c r="O55" s="5226"/>
      <c r="P55" s="5227"/>
      <c r="Q55" s="5227"/>
      <c r="R55" s="5227"/>
      <c r="S55" s="5227"/>
      <c r="T55" s="5226"/>
      <c r="U55" s="5226"/>
      <c r="V55" s="5226"/>
      <c r="W55" s="5226"/>
      <c r="X55" s="5226"/>
      <c r="Y55" s="5226"/>
      <c r="Z55" s="5226"/>
      <c r="AA55" s="5226"/>
      <c r="AB55" s="5228"/>
      <c r="AC55" s="5229"/>
      <c r="AD55" s="5229"/>
      <c r="AE55" s="5229"/>
      <c r="AF55" s="5230" t="str">
        <f>IF(AND(Birthday_Needed,OR(AX101,AX121)),"Enter your birthdate and your spouse's birthdates above.",IF(AND(Birthday_Needed,AX101),"Enter your birthdate above.",""))</f>
        <v/>
      </c>
      <c r="AG55" s="5229"/>
      <c r="AH55" s="5231" t="s">
        <v>3940</v>
      </c>
      <c r="AI55" s="653"/>
      <c r="AJ55" s="7"/>
      <c r="AK55" s="7"/>
      <c r="AL55" s="7"/>
      <c r="AM55" s="4088"/>
      <c r="AN55" s="6171"/>
      <c r="AO55" s="4598"/>
      <c r="AP55" s="2393">
        <v>1700</v>
      </c>
      <c r="AQ55" s="2393">
        <v>1350</v>
      </c>
      <c r="AR55" s="2393">
        <v>1350</v>
      </c>
      <c r="AS55" s="2393">
        <v>1700</v>
      </c>
      <c r="AT55" s="2336"/>
      <c r="AU55" s="1179"/>
      <c r="AV55" s="1179"/>
      <c r="AW55" s="1179"/>
      <c r="AX55" s="3343" t="str">
        <f>IF(File_Single&lt;&gt;"",AY53,IF(OR(File_Marr_Joint&lt;&gt;"",File_Qual_Widow&lt;&gt;""),AZ53,IF(File_Marr_Sep&lt;&gt;"", BA53,IF(File_Head&lt;&gt;"",BB53,"Filing status?"))))</f>
        <v>Filing status?</v>
      </c>
      <c r="AY55" s="3344" t="str">
        <f>"&gt;=100k"</f>
        <v>&gt;=100k</v>
      </c>
      <c r="AZ55" s="3344"/>
      <c r="BA55" s="3350" t="s">
        <v>2553</v>
      </c>
      <c r="BB55" s="3351" t="str">
        <f>IF(AX52&gt;100000,AX55,AX54)</f>
        <v>Filing status?</v>
      </c>
      <c r="BC55" s="1179"/>
      <c r="BD55" s="1179"/>
      <c r="BE55" s="1179"/>
      <c r="BF55" s="1179"/>
      <c r="BG55" s="1179"/>
      <c r="BH55" s="1145"/>
      <c r="BI55" s="3445"/>
      <c r="BJ55" s="2595"/>
      <c r="BK55" s="2595"/>
      <c r="BL55" s="2595"/>
      <c r="BM55" s="2595"/>
      <c r="BN55" s="2595"/>
      <c r="BO55" s="2595"/>
      <c r="BP55" s="2595"/>
      <c r="BQ55" s="2595"/>
      <c r="BR55" s="2595"/>
      <c r="BS55" s="2595"/>
      <c r="BT55" s="2595"/>
      <c r="BU55" s="2595"/>
    </row>
    <row r="56" spans="1:73" ht="3.75" customHeight="1">
      <c r="A56" s="588"/>
      <c r="B56" s="4588"/>
      <c r="C56" s="4588"/>
      <c r="D56" s="4588"/>
      <c r="E56" s="5189"/>
      <c r="F56" s="5208"/>
      <c r="G56" s="5204"/>
      <c r="H56" s="5204"/>
      <c r="I56" s="5204"/>
      <c r="J56" s="5204"/>
      <c r="K56" s="5204"/>
      <c r="L56" s="5204"/>
      <c r="M56" s="5204"/>
      <c r="N56" s="5204"/>
      <c r="O56" s="5204"/>
      <c r="P56" s="5232"/>
      <c r="Q56" s="5232"/>
      <c r="R56" s="5232"/>
      <c r="S56" s="5232"/>
      <c r="T56" s="5204"/>
      <c r="U56" s="5204"/>
      <c r="V56" s="5204"/>
      <c r="W56" s="5204"/>
      <c r="X56" s="5233"/>
      <c r="Y56" s="5233"/>
      <c r="Z56" s="5233"/>
      <c r="AA56" s="5233"/>
      <c r="AB56" s="5234"/>
      <c r="AC56" s="6507">
        <f>IF(AM57&lt;&gt;"",ROUND(AM57,0),IF(OR(Birthday_Needed,FilingStatusError),"",  IF(FEI_Tax_Worksheet,SUM(Tax_FEI_TW,AO57),IF(CGTW,SUM(CGTW_Tax,AO57),IF(SchDTW_Used,SUM(SchDTW_Tax,AO57),SUM(BB55,AO57))))))</f>
        <v>0</v>
      </c>
      <c r="AD56" s="6508"/>
      <c r="AE56" s="6508"/>
      <c r="AF56" s="6508"/>
      <c r="AG56" s="6508"/>
      <c r="AH56" s="342"/>
      <c r="AI56" s="653"/>
      <c r="AJ56" s="7"/>
      <c r="AK56" s="7"/>
      <c r="AL56" s="7"/>
      <c r="AM56" s="4597"/>
      <c r="AN56" s="6171"/>
      <c r="AO56" s="2085"/>
      <c r="AP56" s="2333"/>
      <c r="AQ56" s="2336"/>
      <c r="AR56" s="2336"/>
      <c r="AS56" s="2336"/>
      <c r="AT56" s="2335"/>
      <c r="AU56" s="1179"/>
      <c r="AV56" s="1179"/>
      <c r="AW56" s="1179"/>
      <c r="AX56" s="4584"/>
      <c r="AY56" s="2087"/>
      <c r="AZ56" s="2087"/>
      <c r="BA56" s="2065"/>
      <c r="BB56" s="4584"/>
      <c r="BC56" s="1179"/>
      <c r="BD56" s="1179"/>
      <c r="BE56" s="1179"/>
      <c r="BF56" s="1179"/>
      <c r="BG56" s="1179"/>
      <c r="BH56" s="1145"/>
      <c r="BI56" s="3445"/>
      <c r="BJ56" s="2595"/>
      <c r="BK56" s="2595"/>
      <c r="BL56" s="2595"/>
      <c r="BM56" s="2595"/>
      <c r="BN56" s="2595"/>
      <c r="BO56" s="2595"/>
      <c r="BP56" s="2595"/>
      <c r="BQ56" s="2595"/>
      <c r="BR56" s="2595"/>
      <c r="BS56" s="2595"/>
      <c r="BT56" s="2595"/>
      <c r="BU56" s="2595"/>
    </row>
    <row r="57" spans="1:73" ht="12.75" customHeight="1">
      <c r="A57" s="588"/>
      <c r="B57" s="30"/>
      <c r="C57" s="30"/>
      <c r="D57" s="30"/>
      <c r="E57" s="6053">
        <v>16</v>
      </c>
      <c r="F57" s="5190"/>
      <c r="G57" s="5191" t="s">
        <v>5104</v>
      </c>
      <c r="H57" s="5189"/>
      <c r="I57" s="5192"/>
      <c r="J57" s="5192"/>
      <c r="K57" s="5193"/>
      <c r="L57" s="5189"/>
      <c r="M57" s="5189"/>
      <c r="N57" s="5194"/>
      <c r="O57" s="5470" t="s">
        <v>3322</v>
      </c>
      <c r="P57" s="5194" t="s">
        <v>148</v>
      </c>
      <c r="Q57" s="1180"/>
      <c r="R57" s="5195"/>
      <c r="S57" s="5196" t="s">
        <v>3941</v>
      </c>
      <c r="T57" s="1180"/>
      <c r="U57" s="5193"/>
      <c r="V57" s="5196" t="s">
        <v>3942</v>
      </c>
      <c r="W57" s="1180"/>
      <c r="X57" s="6428"/>
      <c r="Y57" s="6429"/>
      <c r="Z57" s="5194"/>
      <c r="AA57" s="5200" t="s">
        <v>1784</v>
      </c>
      <c r="AB57" s="5256">
        <v>16</v>
      </c>
      <c r="AC57" s="6407"/>
      <c r="AD57" s="6408"/>
      <c r="AE57" s="6408"/>
      <c r="AF57" s="6408"/>
      <c r="AG57" s="6408"/>
      <c r="AH57" s="342"/>
      <c r="AI57" s="651"/>
      <c r="AJ57" s="6309" t="s">
        <v>3904</v>
      </c>
      <c r="AK57" s="6310"/>
      <c r="AL57" s="6311"/>
      <c r="AM57" s="4277"/>
      <c r="AN57" s="4824"/>
      <c r="AO57" s="6084">
        <f>ROUND(AN57,0)</f>
        <v>0</v>
      </c>
      <c r="AP57" s="6085"/>
      <c r="AQ57" s="6085"/>
      <c r="AR57" s="6085"/>
      <c r="AS57" s="6085"/>
      <c r="AT57" s="6085"/>
      <c r="AU57" s="1284"/>
      <c r="AV57" s="1284"/>
      <c r="AW57" s="1284"/>
      <c r="AX57" s="6069"/>
      <c r="AY57" s="2487"/>
      <c r="AZ57" s="2487"/>
      <c r="BA57" s="2487"/>
      <c r="BB57" s="6069"/>
      <c r="BC57" s="1284"/>
      <c r="BD57" s="1284"/>
      <c r="BE57" s="1284"/>
      <c r="BF57" s="1284"/>
      <c r="BG57" s="1284"/>
      <c r="BH57" s="2243"/>
      <c r="BI57" s="3445"/>
      <c r="BJ57" s="2595"/>
      <c r="BK57" s="2595"/>
      <c r="BL57" s="2595"/>
      <c r="BM57" s="2595"/>
      <c r="BN57" s="2595"/>
      <c r="BO57" s="2595"/>
      <c r="BP57" s="2595"/>
      <c r="BQ57" s="2595"/>
      <c r="BR57" s="2595"/>
      <c r="BS57" s="2595"/>
      <c r="BT57" s="2595"/>
      <c r="BU57" s="2595"/>
    </row>
    <row r="58" spans="1:73" ht="12.75" customHeight="1">
      <c r="A58" s="588"/>
      <c r="B58" s="30"/>
      <c r="C58" s="30"/>
      <c r="D58" s="30"/>
      <c r="E58" s="6053">
        <v>17</v>
      </c>
      <c r="F58" s="5190"/>
      <c r="G58" s="5191" t="s">
        <v>3905</v>
      </c>
      <c r="H58" s="5189"/>
      <c r="I58" s="5192"/>
      <c r="J58" s="5192"/>
      <c r="K58" s="5192"/>
      <c r="L58" s="5189"/>
      <c r="M58" s="5189"/>
      <c r="N58" s="5194"/>
      <c r="O58" s="5194"/>
      <c r="P58" s="5194"/>
      <c r="Q58" s="5194"/>
      <c r="R58" s="5198"/>
      <c r="S58" s="5196"/>
      <c r="T58" s="5196"/>
      <c r="U58" s="5192"/>
      <c r="V58" s="5199"/>
      <c r="W58" s="5199"/>
      <c r="X58" s="5199"/>
      <c r="Y58" s="5199"/>
      <c r="Z58" s="5194"/>
      <c r="AA58" s="5200" t="s">
        <v>428</v>
      </c>
      <c r="AB58" s="5201">
        <v>17</v>
      </c>
      <c r="AC58" s="6293">
        <f>IF(AM58&lt;&gt;"",ROUND(AM58,0),Schedule2)</f>
        <v>0</v>
      </c>
      <c r="AD58" s="6430"/>
      <c r="AE58" s="6430"/>
      <c r="AF58" s="6430"/>
      <c r="AG58" s="6430"/>
      <c r="AH58" s="342"/>
      <c r="AI58" s="651"/>
      <c r="AJ58" s="6309" t="s">
        <v>565</v>
      </c>
      <c r="AK58" s="6310"/>
      <c r="AL58" s="6311"/>
      <c r="AM58" s="2868"/>
      <c r="AN58" s="4269"/>
      <c r="AO58" s="6082" t="b">
        <f>Q57&lt;&gt;""</f>
        <v>0</v>
      </c>
      <c r="AP58" s="1284"/>
      <c r="AQ58" s="6082" t="b">
        <f>T57&lt;&gt;""</f>
        <v>0</v>
      </c>
      <c r="AR58" s="6082" t="b">
        <f>W57&lt;&gt;""</f>
        <v>0</v>
      </c>
      <c r="AS58" s="1284"/>
      <c r="AT58" s="1284"/>
      <c r="AU58" s="1284"/>
      <c r="AV58" s="1284"/>
      <c r="AW58" s="1284"/>
      <c r="AX58" s="6069"/>
      <c r="AY58" s="2487"/>
      <c r="AZ58" s="2487"/>
      <c r="BA58" s="2487"/>
      <c r="BB58" s="6069"/>
      <c r="BC58" s="1284"/>
      <c r="BD58" s="1284"/>
      <c r="BE58" s="1284"/>
      <c r="BF58" s="1284"/>
      <c r="BG58" s="1284"/>
      <c r="BH58" s="2243"/>
      <c r="BI58" s="3445"/>
      <c r="BJ58" s="2595"/>
      <c r="BK58" s="2595"/>
      <c r="BL58" s="2595"/>
      <c r="BM58" s="2595"/>
      <c r="BN58" s="2595"/>
      <c r="BO58" s="2595"/>
      <c r="BP58" s="2595"/>
      <c r="BQ58" s="2595"/>
      <c r="BR58" s="2595"/>
      <c r="BS58" s="2595"/>
      <c r="BT58" s="2595"/>
      <c r="BU58" s="2595"/>
    </row>
    <row r="59" spans="1:73">
      <c r="A59" s="588"/>
      <c r="B59" s="30"/>
      <c r="C59" s="4078"/>
      <c r="D59" s="4078"/>
      <c r="E59" s="6053">
        <v>18</v>
      </c>
      <c r="F59" s="5190"/>
      <c r="G59" s="5191" t="s">
        <v>3906</v>
      </c>
      <c r="H59" s="5189"/>
      <c r="I59" s="5189"/>
      <c r="J59" s="5189"/>
      <c r="K59" s="5189"/>
      <c r="L59" s="5189"/>
      <c r="M59" s="5189"/>
      <c r="N59" s="5189"/>
      <c r="O59" s="5189"/>
      <c r="P59" s="5189"/>
      <c r="Q59" s="5189"/>
      <c r="R59" s="5189"/>
      <c r="S59" s="5189"/>
      <c r="T59" s="5189"/>
      <c r="U59" s="5189"/>
      <c r="V59" s="5189"/>
      <c r="W59" s="5189"/>
      <c r="X59" s="5189"/>
      <c r="Y59" s="5189"/>
      <c r="Z59" s="5202"/>
      <c r="AA59" s="5200" t="s">
        <v>634</v>
      </c>
      <c r="AB59" s="5251">
        <v>18</v>
      </c>
      <c r="AC59" s="6293">
        <f>IF(AM59&lt;&gt;"",ROUND(AM59,0),SUM(Tax_SubTotal,AC58))</f>
        <v>0</v>
      </c>
      <c r="AD59" s="6430"/>
      <c r="AE59" s="6430"/>
      <c r="AF59" s="6430"/>
      <c r="AG59" s="6430"/>
      <c r="AH59" s="342"/>
      <c r="AI59" s="651"/>
      <c r="AJ59" s="6498" t="str">
        <f>IF(AM57&lt;&gt;"","Manual override",IF(FilingStatusError,"Filing status information needed or needs corrected.",IF(Birthday_Needed,"Birthdate information needed.",IF(OR(Total_Income=0,Taxable_Inc=""),"",IF(FEI_Tax_Worksheet,"FEI Tax Worksheet on "&amp;CHAR(10)&amp;"'Line 16 (QDCG Tax)'"&amp;CHAR(10)&amp;AN59,IF(CGTW,"QD &amp; CG Tax WS"&amp;CHAR(10)&amp;"'Line 16 (QDCG Tax)'"&amp;CHAR(10)&amp;AN59,IF(SchDTW_Used,"Sch. D Tax Worksheet"&amp;CHAR(10)&amp;AN59,IF(Taxable_Inc&lt;100000,"Tax Table"&amp;CHAR(10)&amp;AN59,"Tax Formula"&amp;CHAR(10)&amp;AN59))))))))</f>
        <v/>
      </c>
      <c r="AK59" s="6499"/>
      <c r="AL59" s="6500"/>
      <c r="AM59" s="2868"/>
      <c r="AN59" s="6083" t="str">
        <f>AO59&amp;AQ59&amp;AR59</f>
        <v/>
      </c>
      <c r="AO59" s="1258" t="str">
        <f>IF(AO58,"&amp; Form 8814 "&amp;"","")</f>
        <v/>
      </c>
      <c r="AP59" s="1284"/>
      <c r="AQ59" s="1258" t="str">
        <f>IF(AQ58,"&amp; Form 4972 "&amp;"","")</f>
        <v/>
      </c>
      <c r="AR59" s="1258" t="str">
        <f>IF(AR58,"&amp; Form "&amp;X57&amp;" ","")</f>
        <v/>
      </c>
      <c r="AS59" s="1284"/>
      <c r="AT59" s="1284"/>
      <c r="AU59" s="1284"/>
      <c r="AV59" s="1284"/>
      <c r="AW59" s="1284"/>
      <c r="AX59" s="6069"/>
      <c r="AY59" s="2487"/>
      <c r="AZ59" s="2487"/>
      <c r="BA59" s="2487"/>
      <c r="BB59" s="6069"/>
      <c r="BC59" s="1284"/>
      <c r="BD59" s="1284"/>
      <c r="BE59" s="1284"/>
      <c r="BF59" s="1284"/>
      <c r="BG59" s="1284"/>
      <c r="BH59" s="2243"/>
      <c r="BI59" s="3445"/>
      <c r="BJ59" s="2595"/>
      <c r="BK59" s="2595"/>
      <c r="BL59" s="2595"/>
      <c r="BM59" s="2595"/>
      <c r="BN59" s="2595"/>
      <c r="BO59" s="2595"/>
      <c r="BP59" s="2595"/>
      <c r="BQ59" s="2595"/>
      <c r="BR59" s="2595"/>
      <c r="BS59" s="2595"/>
      <c r="BT59" s="2595"/>
      <c r="BU59" s="2595"/>
    </row>
    <row r="60" spans="1:73" ht="12.75" customHeight="1">
      <c r="A60" s="588"/>
      <c r="B60" s="4589"/>
      <c r="C60" s="30"/>
      <c r="D60" s="30"/>
      <c r="E60" s="6053">
        <v>19</v>
      </c>
      <c r="F60" s="5190"/>
      <c r="G60" s="5203" t="s">
        <v>4874</v>
      </c>
      <c r="H60" s="5204"/>
      <c r="I60" s="5204"/>
      <c r="J60" s="5204"/>
      <c r="K60" s="5204"/>
      <c r="L60" s="5204"/>
      <c r="M60" s="5205"/>
      <c r="N60" s="5206"/>
      <c r="O60" s="5206"/>
      <c r="P60" s="5206"/>
      <c r="Q60" s="5206"/>
      <c r="R60" s="5206"/>
      <c r="S60" s="5206"/>
      <c r="T60" s="5189"/>
      <c r="U60" s="5206"/>
      <c r="V60" s="5206"/>
      <c r="W60" s="5200"/>
      <c r="X60" s="5189"/>
      <c r="Y60" s="5189"/>
      <c r="Z60" s="5202"/>
      <c r="AA60" s="5200" t="s">
        <v>573</v>
      </c>
      <c r="AB60" s="5201">
        <v>19</v>
      </c>
      <c r="AC60" s="6293">
        <f>IF(AM60&lt;&gt;"",ROUND(AM60,0),SUM(CreditForOtherDepend_IB,CreditForOtherDepend_IC))</f>
        <v>0</v>
      </c>
      <c r="AD60" s="6430"/>
      <c r="AE60" s="6430"/>
      <c r="AF60" s="6430"/>
      <c r="AG60" s="6430"/>
      <c r="AH60" s="451"/>
      <c r="AI60" s="650"/>
      <c r="AJ60" s="6501"/>
      <c r="AK60" s="6502"/>
      <c r="AL60" s="6503"/>
      <c r="AM60" s="2868"/>
      <c r="AN60" s="6081"/>
      <c r="AO60" s="1145"/>
      <c r="AP60" s="1145"/>
      <c r="AQ60" s="1145"/>
      <c r="AR60" s="1145"/>
      <c r="AS60" s="1145"/>
      <c r="AT60" s="1145"/>
      <c r="AU60" s="1179"/>
      <c r="AV60" s="1179"/>
      <c r="AW60" s="1179"/>
      <c r="AX60" s="4584"/>
      <c r="AY60" s="2087"/>
      <c r="AZ60" s="2087"/>
      <c r="BA60" s="2065"/>
      <c r="BB60" s="4584"/>
      <c r="BC60" s="1179"/>
      <c r="BD60" s="1179"/>
      <c r="BE60" s="1179"/>
      <c r="BF60" s="1179"/>
      <c r="BG60" s="1179"/>
      <c r="BH60" s="1145"/>
      <c r="BI60" s="3445"/>
      <c r="BJ60" s="2595"/>
      <c r="BK60" s="2595"/>
      <c r="BL60" s="2595"/>
      <c r="BM60" s="2595"/>
      <c r="BN60" s="2595"/>
      <c r="BO60" s="2595"/>
      <c r="BP60" s="2595"/>
      <c r="BQ60" s="2595"/>
      <c r="BR60" s="2595"/>
      <c r="BS60" s="2595"/>
      <c r="BT60" s="2595"/>
      <c r="BU60" s="2595"/>
    </row>
    <row r="61" spans="1:73" ht="12.75" customHeight="1">
      <c r="A61" s="588"/>
      <c r="B61" s="30"/>
      <c r="C61" s="30"/>
      <c r="D61" s="30"/>
      <c r="E61" s="6053">
        <v>20</v>
      </c>
      <c r="F61" s="5190"/>
      <c r="G61" s="5207" t="s">
        <v>4876</v>
      </c>
      <c r="H61" s="5204"/>
      <c r="I61" s="5204"/>
      <c r="J61" s="5204"/>
      <c r="K61" s="5204"/>
      <c r="L61" s="5204"/>
      <c r="M61" s="5204"/>
      <c r="N61" s="5204"/>
      <c r="O61" s="5204"/>
      <c r="P61" s="5206"/>
      <c r="Q61" s="5206"/>
      <c r="R61" s="5206"/>
      <c r="S61" s="5206"/>
      <c r="T61" s="5189"/>
      <c r="U61" s="5206"/>
      <c r="V61" s="5206"/>
      <c r="W61" s="5206"/>
      <c r="X61" s="5206"/>
      <c r="Y61" s="5206"/>
      <c r="Z61" s="5206"/>
      <c r="AA61" s="5200" t="s">
        <v>1054</v>
      </c>
      <c r="AB61" s="5201">
        <v>20</v>
      </c>
      <c r="AC61" s="6293">
        <f>IF(AM61&lt;&gt;"",ROUND(AM61,0),Sch3_NonRefundCredits)</f>
        <v>0</v>
      </c>
      <c r="AD61" s="6294"/>
      <c r="AE61" s="6294"/>
      <c r="AF61" s="6294"/>
      <c r="AG61" s="6294"/>
      <c r="AH61" s="451"/>
      <c r="AI61" s="650"/>
      <c r="AJ61" s="6504"/>
      <c r="AK61" s="6505"/>
      <c r="AL61" s="6506"/>
      <c r="AM61" s="3219"/>
      <c r="AN61" s="2079"/>
      <c r="AO61" s="2070"/>
      <c r="AP61" s="2070"/>
      <c r="AQ61" s="2070"/>
      <c r="AR61" s="2070"/>
      <c r="AS61" s="2070"/>
      <c r="AT61" s="2070"/>
      <c r="AU61" s="1179"/>
      <c r="AV61" s="1179"/>
      <c r="AW61" s="1179"/>
      <c r="AX61" s="4584"/>
      <c r="AY61" s="2087"/>
      <c r="AZ61" s="2087"/>
      <c r="BA61" s="2065"/>
      <c r="BB61" s="4584"/>
      <c r="BC61" s="1179"/>
      <c r="BD61" s="1179"/>
      <c r="BE61" s="1179"/>
      <c r="BF61" s="1179"/>
      <c r="BG61" s="1179"/>
      <c r="BH61" s="1145"/>
      <c r="BI61" s="3445"/>
      <c r="BJ61" s="2595"/>
      <c r="BK61" s="2595"/>
      <c r="BL61" s="2595"/>
      <c r="BM61" s="2595"/>
      <c r="BN61" s="2595"/>
      <c r="BO61" s="2595"/>
      <c r="BP61" s="2595"/>
      <c r="BQ61" s="2595"/>
      <c r="BR61" s="2595"/>
      <c r="BS61" s="2595"/>
      <c r="BT61" s="2595"/>
      <c r="BU61" s="2595"/>
    </row>
    <row r="62" spans="1:73" ht="14.25" customHeight="1">
      <c r="A62" s="588"/>
      <c r="B62" s="30"/>
      <c r="C62" s="30"/>
      <c r="D62" s="30"/>
      <c r="E62" s="6053">
        <v>21</v>
      </c>
      <c r="F62" s="5190"/>
      <c r="G62" s="5207" t="s">
        <v>820</v>
      </c>
      <c r="H62" s="5204"/>
      <c r="I62" s="5204"/>
      <c r="J62" s="5204"/>
      <c r="K62" s="5204"/>
      <c r="L62" s="5204"/>
      <c r="M62" s="5204"/>
      <c r="N62" s="5204"/>
      <c r="O62" s="5204"/>
      <c r="P62" s="5206"/>
      <c r="Q62" s="5206"/>
      <c r="R62" s="5206"/>
      <c r="S62" s="5206"/>
      <c r="T62" s="5189"/>
      <c r="U62" s="5206"/>
      <c r="V62" s="5206"/>
      <c r="W62" s="5206"/>
      <c r="X62" s="5206"/>
      <c r="Y62" s="5206"/>
      <c r="Z62" s="5206"/>
      <c r="AA62" s="5200" t="s">
        <v>634</v>
      </c>
      <c r="AB62" s="5201">
        <v>21</v>
      </c>
      <c r="AC62" s="6298">
        <f>IF(AM62&lt;&gt;"",ROUND(AM62,0),SUM(AC60,AC61))</f>
        <v>0</v>
      </c>
      <c r="AD62" s="6299"/>
      <c r="AE62" s="6299"/>
      <c r="AF62" s="6299"/>
      <c r="AG62" s="6299"/>
      <c r="AH62" s="451"/>
      <c r="AI62" s="3157"/>
      <c r="AJ62" s="6496" t="str">
        <f>IF(AND(AI62="",F8960_Applicable)," Check Form 8960.",IF(F8960_Applicable,"Form 8960 checked.",""))</f>
        <v/>
      </c>
      <c r="AK62" s="6497"/>
      <c r="AL62" s="6497"/>
      <c r="AM62" s="3219"/>
      <c r="AN62" s="2079"/>
      <c r="AO62" s="1179"/>
      <c r="AP62" s="1179"/>
      <c r="AQ62" s="1179"/>
      <c r="AR62" s="1179"/>
      <c r="AS62" s="1179"/>
      <c r="AT62" s="1179"/>
      <c r="AU62" s="1179"/>
      <c r="AV62" s="1179"/>
      <c r="AW62" s="1179"/>
      <c r="AX62" s="4584"/>
      <c r="AY62" s="2087"/>
      <c r="AZ62" s="2087"/>
      <c r="BA62" s="2065"/>
      <c r="BB62" s="4584"/>
      <c r="BC62" s="1179"/>
      <c r="BD62" s="1179"/>
      <c r="BE62" s="1179"/>
      <c r="BF62" s="1179"/>
      <c r="BG62" s="1179"/>
      <c r="BH62" s="1145"/>
      <c r="BI62" s="3445"/>
      <c r="BJ62" s="2595"/>
      <c r="BK62" s="2595"/>
      <c r="BL62" s="2595"/>
      <c r="BM62" s="2595"/>
      <c r="BN62" s="2595"/>
      <c r="BO62" s="2595"/>
      <c r="BP62" s="2595"/>
      <c r="BQ62" s="2595"/>
      <c r="BR62" s="2595"/>
      <c r="BS62" s="2595"/>
      <c r="BT62" s="2595"/>
      <c r="BU62" s="2595"/>
    </row>
    <row r="63" spans="1:73" ht="14.25" customHeight="1">
      <c r="A63" s="588"/>
      <c r="B63" s="30"/>
      <c r="C63" s="4078"/>
      <c r="D63" s="4078"/>
      <c r="E63" s="6053">
        <v>22</v>
      </c>
      <c r="F63" s="5208"/>
      <c r="G63" s="5207" t="s">
        <v>3907</v>
      </c>
      <c r="H63" s="5204"/>
      <c r="I63" s="5204"/>
      <c r="J63" s="5204"/>
      <c r="K63" s="5204"/>
      <c r="L63" s="5204"/>
      <c r="M63" s="5204"/>
      <c r="N63" s="5204"/>
      <c r="O63" s="5204"/>
      <c r="P63" s="5209"/>
      <c r="Q63" s="5209"/>
      <c r="R63" s="5209"/>
      <c r="S63" s="5209"/>
      <c r="T63" s="5210"/>
      <c r="U63" s="5206"/>
      <c r="V63" s="5211"/>
      <c r="W63" s="5206"/>
      <c r="X63" s="5206"/>
      <c r="Y63" s="5206"/>
      <c r="Z63" s="5206"/>
      <c r="AA63" s="5200" t="s">
        <v>374</v>
      </c>
      <c r="AB63" s="5201">
        <f>E63</f>
        <v>22</v>
      </c>
      <c r="AC63" s="6291">
        <f>IF(AM63&lt;&gt;"",ROUND(AM63,0),MAX(0,SUM(Tax,-AC62)))</f>
        <v>0</v>
      </c>
      <c r="AD63" s="6292"/>
      <c r="AE63" s="6292"/>
      <c r="AF63" s="6292"/>
      <c r="AG63" s="6292"/>
      <c r="AH63" s="451"/>
      <c r="AI63" s="651"/>
      <c r="AJ63" s="5163"/>
      <c r="AK63" s="2786"/>
      <c r="AL63" s="1185"/>
      <c r="AM63" s="2868"/>
      <c r="AN63" s="2079"/>
      <c r="AO63" s="2085"/>
      <c r="AP63" s="2333"/>
      <c r="AQ63" s="2333"/>
      <c r="AR63" s="2333"/>
      <c r="AS63" s="2336"/>
      <c r="AT63" s="2336"/>
      <c r="AU63" s="1179"/>
      <c r="AV63" s="1179"/>
      <c r="AW63" s="1179"/>
      <c r="AX63" s="4584"/>
      <c r="AY63" s="2087"/>
      <c r="AZ63" s="2087"/>
      <c r="BA63" s="2065"/>
      <c r="BB63" s="4584"/>
      <c r="BC63" s="1179"/>
      <c r="BD63" s="1179"/>
      <c r="BE63" s="1179"/>
      <c r="BF63" s="1179"/>
      <c r="BG63" s="1179"/>
      <c r="BH63" s="1145"/>
      <c r="BI63" s="3445"/>
      <c r="BJ63" s="2595"/>
      <c r="BK63" s="2595"/>
      <c r="BL63" s="2595"/>
      <c r="BM63" s="2595"/>
      <c r="BN63" s="2595"/>
      <c r="BO63" s="2595"/>
      <c r="BP63" s="2595"/>
      <c r="BQ63" s="2595"/>
      <c r="BR63" s="2595"/>
      <c r="BS63" s="2595"/>
      <c r="BT63" s="2595"/>
      <c r="BU63" s="2595"/>
    </row>
    <row r="64" spans="1:73" ht="14.25" customHeight="1">
      <c r="A64" s="588"/>
      <c r="B64" s="4589"/>
      <c r="C64" s="4078"/>
      <c r="D64" s="4078"/>
      <c r="E64" s="6053">
        <v>23</v>
      </c>
      <c r="F64" s="5190"/>
      <c r="G64" s="5207" t="s">
        <v>4877</v>
      </c>
      <c r="H64" s="5204"/>
      <c r="I64" s="5204"/>
      <c r="J64" s="5204"/>
      <c r="K64" s="5204"/>
      <c r="L64" s="5204"/>
      <c r="M64" s="5204"/>
      <c r="N64" s="5204"/>
      <c r="O64" s="5204"/>
      <c r="P64" s="5204"/>
      <c r="Q64" s="5204"/>
      <c r="R64" s="5204"/>
      <c r="S64" s="5204"/>
      <c r="T64" s="5204"/>
      <c r="U64" s="5204"/>
      <c r="V64" s="5204"/>
      <c r="W64" s="5204"/>
      <c r="X64" s="5204"/>
      <c r="Y64" s="5204"/>
      <c r="Z64" s="5204"/>
      <c r="AA64" s="5200" t="s">
        <v>571</v>
      </c>
      <c r="AB64" s="5201">
        <f>E64</f>
        <v>23</v>
      </c>
      <c r="AC64" s="6298">
        <f>IF(AM64&lt;&gt;"",ROUND(AM64,0),TotalOtherTaxes)</f>
        <v>0</v>
      </c>
      <c r="AD64" s="6299"/>
      <c r="AE64" s="6299"/>
      <c r="AF64" s="6299"/>
      <c r="AG64" s="6299"/>
      <c r="AH64" s="342"/>
      <c r="AI64" s="3280"/>
      <c r="AJ64" s="6426"/>
      <c r="AK64" s="6426"/>
      <c r="AL64" s="6427"/>
      <c r="AM64" s="2867"/>
      <c r="AN64" s="2079"/>
      <c r="AO64" s="1179"/>
      <c r="AP64" s="1179"/>
      <c r="AQ64" s="1179"/>
      <c r="AR64" s="1179"/>
      <c r="AS64" s="1179"/>
      <c r="AT64" s="1179"/>
      <c r="AU64" s="1179"/>
      <c r="AV64" s="1179"/>
      <c r="AW64" s="2070"/>
      <c r="AX64" s="4584"/>
      <c r="AY64" s="2087"/>
      <c r="AZ64" s="2087"/>
      <c r="BA64" s="2065"/>
      <c r="BB64" s="4584"/>
      <c r="BC64" s="1179"/>
      <c r="BD64" s="1179"/>
      <c r="BE64" s="1179"/>
      <c r="BF64" s="1179"/>
      <c r="BG64" s="1179"/>
      <c r="BH64" s="1145"/>
      <c r="BI64" s="3445"/>
      <c r="BJ64" s="2595"/>
      <c r="BK64" s="2595"/>
      <c r="BL64" s="2595"/>
      <c r="BM64" s="2595"/>
      <c r="BN64" s="2595"/>
      <c r="BO64" s="2595"/>
      <c r="BP64" s="2595"/>
      <c r="BQ64" s="2595"/>
      <c r="BR64" s="2595"/>
      <c r="BS64" s="2595"/>
      <c r="BT64" s="2595"/>
      <c r="BU64" s="2595"/>
    </row>
    <row r="65" spans="1:73" ht="14.25" customHeight="1">
      <c r="A65" s="588"/>
      <c r="B65" s="30"/>
      <c r="C65" s="4078"/>
      <c r="D65" s="4078"/>
      <c r="E65" s="6053">
        <v>24</v>
      </c>
      <c r="F65" s="5190"/>
      <c r="G65" s="5207" t="s">
        <v>3908</v>
      </c>
      <c r="H65" s="5204"/>
      <c r="I65" s="5204"/>
      <c r="J65" s="5204"/>
      <c r="K65" s="5204"/>
      <c r="L65" s="5204"/>
      <c r="M65" s="5204"/>
      <c r="N65" s="5204"/>
      <c r="O65" s="5204"/>
      <c r="P65" s="5204"/>
      <c r="Q65" s="5204"/>
      <c r="R65" s="5204"/>
      <c r="S65" s="5204"/>
      <c r="T65" s="5204"/>
      <c r="U65" s="5204"/>
      <c r="V65" s="5204"/>
      <c r="W65" s="5204"/>
      <c r="X65" s="5204"/>
      <c r="Y65" s="5204"/>
      <c r="Z65" s="5204"/>
      <c r="AA65" s="5200" t="s">
        <v>633</v>
      </c>
      <c r="AB65" s="5201">
        <f>E65</f>
        <v>24</v>
      </c>
      <c r="AC65" s="6298">
        <f>SUM(AC63,AC64)</f>
        <v>0</v>
      </c>
      <c r="AD65" s="6299"/>
      <c r="AE65" s="6299"/>
      <c r="AF65" s="6299"/>
      <c r="AG65" s="6299"/>
      <c r="AH65" s="342"/>
      <c r="AI65" s="3280"/>
      <c r="AJ65" s="5163"/>
      <c r="AK65" s="2786"/>
      <c r="AL65" s="1185"/>
      <c r="AM65" s="386"/>
      <c r="AN65" s="2079"/>
      <c r="AO65" s="1179"/>
      <c r="AP65" s="1179"/>
      <c r="AQ65" s="1179"/>
      <c r="AR65" s="1179"/>
      <c r="AS65" s="1179"/>
      <c r="AT65" s="1179"/>
      <c r="AU65" s="2070"/>
      <c r="AV65" s="2070"/>
      <c r="AW65" s="1179"/>
      <c r="AX65" s="4584"/>
      <c r="AY65" s="2087"/>
      <c r="AZ65" s="2087"/>
      <c r="BA65" s="2065"/>
      <c r="BB65" s="4584"/>
      <c r="BC65" s="1179"/>
      <c r="BD65" s="1179"/>
      <c r="BE65" s="1179"/>
      <c r="BF65" s="1179"/>
      <c r="BG65" s="1179"/>
      <c r="BH65" s="1145"/>
      <c r="BI65" s="3445"/>
      <c r="BJ65" s="2595"/>
      <c r="BK65" s="2595"/>
      <c r="BL65" s="2595"/>
      <c r="BM65" s="2595"/>
      <c r="BN65" s="2595"/>
      <c r="BO65" s="2595"/>
      <c r="BP65" s="2595"/>
      <c r="BQ65" s="2595"/>
      <c r="BR65" s="2595"/>
      <c r="BS65" s="2595"/>
      <c r="BT65" s="2595"/>
      <c r="BU65" s="2595"/>
    </row>
    <row r="66" spans="1:73" ht="14.25" customHeight="1">
      <c r="A66" s="588"/>
      <c r="B66" s="30"/>
      <c r="C66" s="4078"/>
      <c r="D66" s="4078"/>
      <c r="E66" s="6053">
        <v>25</v>
      </c>
      <c r="F66" s="5190"/>
      <c r="G66" s="5207" t="s">
        <v>3913</v>
      </c>
      <c r="H66" s="5204"/>
      <c r="I66" s="5204"/>
      <c r="J66" s="5204"/>
      <c r="K66" s="5204"/>
      <c r="L66" s="5204"/>
      <c r="M66" s="5204"/>
      <c r="N66" s="5204"/>
      <c r="O66" s="5204"/>
      <c r="P66" s="5204"/>
      <c r="Q66" s="5204"/>
      <c r="R66" s="5204"/>
      <c r="S66" s="5204"/>
      <c r="T66" s="5204"/>
      <c r="U66" s="5204"/>
      <c r="V66" s="5204"/>
      <c r="W66" s="5204"/>
      <c r="X66" s="5204"/>
      <c r="Y66" s="5204"/>
      <c r="Z66" s="5204"/>
      <c r="AA66" s="5200"/>
      <c r="AB66" s="5251"/>
      <c r="AC66" s="4585"/>
      <c r="AD66" s="4586"/>
      <c r="AE66" s="4586"/>
      <c r="AF66" s="4586"/>
      <c r="AG66" s="4586"/>
      <c r="AH66" s="342"/>
      <c r="AI66" s="3280"/>
      <c r="AJ66" s="5163"/>
      <c r="AK66" s="2786"/>
      <c r="AL66" s="1185"/>
      <c r="AM66" s="386"/>
      <c r="AN66" s="2079"/>
      <c r="AO66" s="1179"/>
      <c r="AP66" s="1179"/>
      <c r="AQ66" s="1179"/>
      <c r="AR66" s="1179"/>
      <c r="AS66" s="1179"/>
      <c r="AT66" s="1179"/>
      <c r="AU66" s="1179"/>
      <c r="AV66" s="1179"/>
      <c r="AW66" s="1179"/>
      <c r="AX66" s="4584"/>
      <c r="AY66" s="2087"/>
      <c r="AZ66" s="2087"/>
      <c r="BA66" s="2065"/>
      <c r="BB66" s="4584"/>
      <c r="BC66" s="1179"/>
      <c r="BD66" s="1179"/>
      <c r="BE66" s="1179"/>
      <c r="BF66" s="1179"/>
      <c r="BG66" s="1179"/>
      <c r="BH66" s="1145"/>
      <c r="BI66" s="3445"/>
      <c r="BJ66" s="2595"/>
      <c r="BK66" s="2595"/>
      <c r="BL66" s="2595"/>
      <c r="BM66" s="2595"/>
      <c r="BN66" s="2595"/>
      <c r="BO66" s="2595"/>
      <c r="BP66" s="2595"/>
      <c r="BQ66" s="2595"/>
      <c r="BR66" s="2595"/>
      <c r="BS66" s="2595"/>
      <c r="BT66" s="2595"/>
      <c r="BU66" s="2595"/>
    </row>
    <row r="67" spans="1:73" ht="14.25" customHeight="1">
      <c r="A67" s="588"/>
      <c r="B67" s="30"/>
      <c r="C67" s="4078"/>
      <c r="D67" s="4078"/>
      <c r="E67" s="6053"/>
      <c r="F67" s="5210" t="s">
        <v>33</v>
      </c>
      <c r="G67" s="5207" t="s">
        <v>3909</v>
      </c>
      <c r="H67" s="5204"/>
      <c r="I67" s="5204"/>
      <c r="J67" s="5204"/>
      <c r="K67" s="5204"/>
      <c r="L67" s="5204"/>
      <c r="M67" s="5204"/>
      <c r="N67" s="5204"/>
      <c r="O67" s="5204"/>
      <c r="P67" s="5204"/>
      <c r="Q67" s="5204"/>
      <c r="R67" s="5204"/>
      <c r="S67" s="5204"/>
      <c r="T67" s="5204"/>
      <c r="U67" s="5204"/>
      <c r="V67" s="5204"/>
      <c r="W67" s="5200" t="s">
        <v>428</v>
      </c>
      <c r="X67" s="5252" t="s">
        <v>3832</v>
      </c>
      <c r="Y67" s="6295">
        <f>IF(AM67&lt;&gt;"",ROUND(AM67,0),W2_Tax_Withheld)</f>
        <v>0</v>
      </c>
      <c r="Z67" s="6296"/>
      <c r="AA67" s="6297"/>
      <c r="AB67" s="5251"/>
      <c r="AC67" s="4563"/>
      <c r="AD67" s="4388"/>
      <c r="AE67" s="4388"/>
      <c r="AF67" s="4388"/>
      <c r="AG67" s="4388"/>
      <c r="AH67" s="342"/>
      <c r="AI67" s="3280"/>
      <c r="AJ67" s="6425"/>
      <c r="AK67" s="6425"/>
      <c r="AL67" s="4079"/>
      <c r="AM67" s="2868"/>
      <c r="AN67" s="2079"/>
      <c r="AO67" s="1179"/>
      <c r="AP67" s="1179"/>
      <c r="AQ67" s="1179"/>
      <c r="AR67" s="1179"/>
      <c r="AS67" s="1179"/>
      <c r="AT67" s="1179"/>
      <c r="AU67" s="1179"/>
      <c r="AV67" s="1179"/>
      <c r="AW67" s="1179"/>
      <c r="AX67" s="1503"/>
      <c r="AY67" s="1503"/>
      <c r="AZ67" s="1503"/>
      <c r="BA67" s="1179"/>
      <c r="BB67" s="1179"/>
      <c r="BC67" s="1179"/>
      <c r="BD67" s="1179"/>
      <c r="BE67" s="1179"/>
      <c r="BF67" s="1179"/>
      <c r="BG67" s="1179"/>
      <c r="BH67" s="1145"/>
      <c r="BI67" s="3445"/>
      <c r="BJ67" s="2595"/>
      <c r="BK67" s="2595"/>
      <c r="BL67" s="2595"/>
      <c r="BM67" s="2595"/>
      <c r="BN67" s="2595"/>
      <c r="BO67" s="2595"/>
      <c r="BP67" s="2595"/>
      <c r="BQ67" s="2595"/>
      <c r="BR67" s="2595"/>
      <c r="BS67" s="2595"/>
      <c r="BT67" s="2595"/>
      <c r="BU67" s="2595"/>
    </row>
    <row r="68" spans="1:73" ht="14.25" customHeight="1">
      <c r="A68" s="588"/>
      <c r="B68" s="30"/>
      <c r="C68" s="4078"/>
      <c r="D68" s="4078"/>
      <c r="E68" s="6053"/>
      <c r="F68" s="5210" t="s">
        <v>47</v>
      </c>
      <c r="G68" s="5207" t="s">
        <v>3914</v>
      </c>
      <c r="H68" s="5204"/>
      <c r="I68" s="5204"/>
      <c r="J68" s="5204"/>
      <c r="K68" s="5204"/>
      <c r="L68" s="5204"/>
      <c r="M68" s="5204"/>
      <c r="N68" s="5204"/>
      <c r="O68" s="5204"/>
      <c r="P68" s="5204"/>
      <c r="Q68" s="5204"/>
      <c r="R68" s="5204"/>
      <c r="S68" s="5204"/>
      <c r="T68" s="5204"/>
      <c r="U68" s="5204"/>
      <c r="V68" s="5204"/>
      <c r="W68" s="5200" t="s">
        <v>428</v>
      </c>
      <c r="X68" s="5253" t="s">
        <v>3834</v>
      </c>
      <c r="Y68" s="6295">
        <f>IF(AM68&lt;&gt;"",ROUND(AM68,0),SUM(F1099INT_FedTaxWH,F1099DIV_FedTaxWH,F1099G_FedTaxWH,IRA_FedTaxWH,PA_FedTaxWH,CONV_FedTaxWH,SS_FedTaxWH_You,SS_FedTaxWH_Spouse,ROUND(AJ68,0)))</f>
        <v>0</v>
      </c>
      <c r="Z68" s="6296"/>
      <c r="AA68" s="6297"/>
      <c r="AB68" s="5251"/>
      <c r="AC68" s="4563"/>
      <c r="AD68" s="4388"/>
      <c r="AE68" s="4388"/>
      <c r="AF68" s="4388"/>
      <c r="AG68" s="4388"/>
      <c r="AH68" s="342"/>
      <c r="AI68" s="2851"/>
      <c r="AJ68" s="6439"/>
      <c r="AK68" s="6440"/>
      <c r="AL68" s="4823" t="s">
        <v>5746</v>
      </c>
      <c r="AM68" s="2867"/>
      <c r="AN68" s="2079"/>
      <c r="AO68" s="1179"/>
      <c r="AP68" s="1179"/>
      <c r="AQ68" s="1179"/>
      <c r="AR68" s="1179"/>
      <c r="AS68" s="1179"/>
      <c r="AT68" s="1179"/>
      <c r="AU68" s="1179"/>
      <c r="AV68" s="1179"/>
      <c r="AW68" s="1179"/>
      <c r="AX68" s="4584"/>
      <c r="AY68" s="2087"/>
      <c r="AZ68" s="2087"/>
      <c r="BA68" s="2065"/>
      <c r="BB68" s="4584"/>
      <c r="BC68" s="1179"/>
      <c r="BD68" s="1179"/>
      <c r="BE68" s="1179"/>
      <c r="BF68" s="1179"/>
      <c r="BG68" s="1179"/>
      <c r="BH68" s="1145"/>
      <c r="BI68" s="3445"/>
      <c r="BJ68" s="2595"/>
      <c r="BK68" s="2595"/>
      <c r="BL68" s="2595"/>
      <c r="BM68" s="2595"/>
      <c r="BN68" s="2595"/>
      <c r="BO68" s="2595"/>
      <c r="BP68" s="2595"/>
      <c r="BQ68" s="2595"/>
      <c r="BR68" s="2595"/>
      <c r="BS68" s="2595"/>
      <c r="BT68" s="2595"/>
      <c r="BU68" s="2595"/>
    </row>
    <row r="69" spans="1:73" ht="14.25" customHeight="1" thickBot="1">
      <c r="A69" s="588"/>
      <c r="B69" s="4589"/>
      <c r="C69" s="3478"/>
      <c r="D69" s="4078"/>
      <c r="E69" s="6053"/>
      <c r="F69" s="5210" t="s">
        <v>48</v>
      </c>
      <c r="G69" s="5207" t="s">
        <v>3910</v>
      </c>
      <c r="H69" s="5204"/>
      <c r="I69" s="5204"/>
      <c r="J69" s="5204"/>
      <c r="K69" s="5204"/>
      <c r="L69" s="5204"/>
      <c r="M69" s="5204"/>
      <c r="N69" s="5204"/>
      <c r="O69" s="5204"/>
      <c r="P69" s="5204"/>
      <c r="Q69" s="5204"/>
      <c r="R69" s="5204"/>
      <c r="S69" s="5204"/>
      <c r="T69" s="5204"/>
      <c r="U69" s="5204"/>
      <c r="V69" s="5204"/>
      <c r="W69" s="5200" t="s">
        <v>374</v>
      </c>
      <c r="X69" s="5254" t="s">
        <v>3835</v>
      </c>
      <c r="Y69" s="6226">
        <f>IF(AM69&lt;&gt;"",ROUND(AM69,0),SUM(F8959_WH,ROUND(AJ69,0)))</f>
        <v>0</v>
      </c>
      <c r="Z69" s="6227"/>
      <c r="AA69" s="6228"/>
      <c r="AB69" s="5251"/>
      <c r="AC69" s="4563"/>
      <c r="AD69" s="4388"/>
      <c r="AE69" s="4388"/>
      <c r="AF69" s="4388"/>
      <c r="AG69" s="4388"/>
      <c r="AH69" s="342"/>
      <c r="AI69" s="2851"/>
      <c r="AJ69" s="6439"/>
      <c r="AK69" s="6440"/>
      <c r="AL69" s="4823" t="s">
        <v>4890</v>
      </c>
      <c r="AM69" s="2867"/>
      <c r="AN69" s="2079"/>
      <c r="AO69" s="2070"/>
      <c r="AP69" s="2070"/>
      <c r="AQ69" s="2070"/>
      <c r="AR69" s="2070"/>
      <c r="AS69" s="2070"/>
      <c r="AT69" s="2070"/>
      <c r="AU69" s="1179"/>
      <c r="AV69" s="1179"/>
      <c r="AW69" s="1179"/>
      <c r="AX69" s="4584"/>
      <c r="AY69" s="2087"/>
      <c r="AZ69" s="2087"/>
      <c r="BA69" s="2065"/>
      <c r="BB69" s="4584"/>
      <c r="BC69" s="1179"/>
      <c r="BD69" s="1179"/>
      <c r="BE69" s="1179"/>
      <c r="BF69" s="1179"/>
      <c r="BG69" s="1179"/>
      <c r="BH69" s="1145"/>
      <c r="BI69" s="3445"/>
      <c r="BJ69" s="2595"/>
      <c r="BK69" s="2595"/>
      <c r="BL69" s="2595"/>
      <c r="BM69" s="2595"/>
      <c r="BN69" s="2595"/>
      <c r="BO69" s="2595"/>
      <c r="BP69" s="2595"/>
      <c r="BQ69" s="2595"/>
      <c r="BR69" s="2595"/>
      <c r="BS69" s="2595"/>
      <c r="BT69" s="2595"/>
      <c r="BU69" s="2595"/>
    </row>
    <row r="70" spans="1:73" ht="14.25" customHeight="1" thickBot="1">
      <c r="A70" s="588"/>
      <c r="B70" s="4589"/>
      <c r="C70" s="3478"/>
      <c r="D70" s="4078"/>
      <c r="E70" s="6053"/>
      <c r="F70" s="5210" t="s">
        <v>92</v>
      </c>
      <c r="G70" s="5207" t="s">
        <v>3911</v>
      </c>
      <c r="H70" s="5204"/>
      <c r="I70" s="5204"/>
      <c r="J70" s="5204"/>
      <c r="K70" s="5204"/>
      <c r="L70" s="5204"/>
      <c r="M70" s="5204"/>
      <c r="N70" s="5204"/>
      <c r="O70" s="5204"/>
      <c r="P70" s="5204"/>
      <c r="Q70" s="5204"/>
      <c r="R70" s="5204"/>
      <c r="S70" s="5204"/>
      <c r="T70" s="5204"/>
      <c r="U70" s="5204"/>
      <c r="V70" s="5204"/>
      <c r="W70" s="5204"/>
      <c r="X70" s="5204"/>
      <c r="Y70" s="5204"/>
      <c r="Z70" s="5204"/>
      <c r="AA70" s="5200" t="s">
        <v>299</v>
      </c>
      <c r="AB70" s="5283" t="s">
        <v>3912</v>
      </c>
      <c r="AC70" s="6485">
        <f>SUM(W2_FedTaxWH,F1099_FedTaxWH,ROUND(Y69,0))</f>
        <v>0</v>
      </c>
      <c r="AD70" s="6486"/>
      <c r="AE70" s="6486"/>
      <c r="AF70" s="6486"/>
      <c r="AG70" s="6486"/>
      <c r="AH70" s="342"/>
      <c r="AI70" s="3280"/>
      <c r="AJ70" s="6420" t="str">
        <f>IF($AJ$72&gt;0,"Form 8959, Line 24,","")</f>
        <v/>
      </c>
      <c r="AK70" s="6421"/>
      <c r="AL70" s="6422"/>
      <c r="AM70" s="386"/>
      <c r="AN70" s="2079"/>
      <c r="AO70" s="2070"/>
      <c r="AP70" s="3221"/>
      <c r="AQ70" s="2070"/>
      <c r="AR70" s="2070"/>
      <c r="AS70" s="2070"/>
      <c r="AT70" s="2070"/>
      <c r="AU70" s="1179"/>
      <c r="AV70" s="1179"/>
      <c r="AW70" s="1179"/>
      <c r="AX70" s="4584"/>
      <c r="AY70" s="2087"/>
      <c r="AZ70" s="2087"/>
      <c r="BA70" s="2065"/>
      <c r="BB70" s="4584"/>
      <c r="BC70" s="1179"/>
      <c r="BD70" s="1179"/>
      <c r="BE70" s="1179"/>
      <c r="BF70" s="1179"/>
      <c r="BG70" s="1179"/>
      <c r="BH70" s="1145"/>
      <c r="BI70" s="3445"/>
      <c r="BJ70" s="2595"/>
      <c r="BK70" s="2595"/>
      <c r="BL70" s="2595"/>
      <c r="BM70" s="2595"/>
      <c r="BN70" s="2595"/>
      <c r="BO70" s="2595"/>
      <c r="BP70" s="2595"/>
      <c r="BQ70" s="2595"/>
      <c r="BR70" s="2595"/>
      <c r="BS70" s="2595"/>
      <c r="BT70" s="2595"/>
      <c r="BU70" s="2595"/>
    </row>
    <row r="71" spans="1:73" ht="14.25" customHeight="1">
      <c r="A71" s="588"/>
      <c r="B71" s="6448" t="s">
        <v>4878</v>
      </c>
      <c r="C71" s="6449"/>
      <c r="D71" s="3028"/>
      <c r="E71" s="6053">
        <v>26</v>
      </c>
      <c r="F71" s="5190"/>
      <c r="G71" s="5207" t="str">
        <f>TaxYear&amp;" estimated tax payments and amount applied from "&amp;TaxYear-1&amp;" return"</f>
        <v>2021 estimated tax payments and amount applied from 2020 return</v>
      </c>
      <c r="H71" s="5204"/>
      <c r="I71" s="5190"/>
      <c r="J71" s="5190"/>
      <c r="K71" s="5190"/>
      <c r="L71" s="5190"/>
      <c r="M71" s="5190"/>
      <c r="N71" s="5190"/>
      <c r="O71" s="5190"/>
      <c r="P71" s="5190"/>
      <c r="Q71" s="5190"/>
      <c r="R71" s="5204"/>
      <c r="S71" s="5204"/>
      <c r="T71" s="5204"/>
      <c r="U71" s="5204"/>
      <c r="V71" s="5204"/>
      <c r="W71" s="5204"/>
      <c r="X71" s="5204"/>
      <c r="Y71" s="5204"/>
      <c r="Z71" s="5204"/>
      <c r="AA71" s="5200" t="s">
        <v>571</v>
      </c>
      <c r="AB71" s="5256">
        <v>26</v>
      </c>
      <c r="AC71" s="6457"/>
      <c r="AD71" s="6458"/>
      <c r="AE71" s="6458"/>
      <c r="AF71" s="6458"/>
      <c r="AG71" s="6458"/>
      <c r="AH71" s="451"/>
      <c r="AI71" s="650"/>
      <c r="AJ71" s="6493" t="str">
        <f>IF($AJ$72&gt;0,"&lt;&lt;&lt;     added "&amp;TEXT($AJ$72,"$000")&amp;" to Line 25c.","")</f>
        <v/>
      </c>
      <c r="AK71" s="6494"/>
      <c r="AL71" s="6495"/>
      <c r="AM71" s="386"/>
      <c r="AN71" s="2079"/>
      <c r="AO71" s="1179"/>
      <c r="AP71" s="2335"/>
      <c r="AQ71" s="2335"/>
      <c r="AR71" s="2335"/>
      <c r="AS71" s="2335"/>
      <c r="AT71" s="2335"/>
      <c r="AU71" s="1179"/>
      <c r="AV71" s="1179"/>
      <c r="AW71" s="2070"/>
      <c r="AX71" s="4584"/>
      <c r="AY71" s="2087"/>
      <c r="AZ71" s="2087"/>
      <c r="BA71" s="2065"/>
      <c r="BB71" s="4584"/>
      <c r="BC71" s="1179"/>
      <c r="BD71" s="1179"/>
      <c r="BE71" s="1179"/>
      <c r="BF71" s="1179"/>
      <c r="BG71" s="1179"/>
      <c r="BH71" s="1145"/>
      <c r="BI71" s="3445"/>
      <c r="BJ71" s="2595"/>
      <c r="BK71" s="2595"/>
      <c r="BL71" s="2595"/>
      <c r="BM71" s="2595"/>
      <c r="BN71" s="2595"/>
      <c r="BO71" s="2595"/>
      <c r="BP71" s="2595"/>
      <c r="BQ71" s="2595"/>
      <c r="BR71" s="2595"/>
      <c r="BS71" s="2595"/>
      <c r="BT71" s="2595"/>
      <c r="BU71" s="2595"/>
    </row>
    <row r="72" spans="1:73" ht="14.25" customHeight="1">
      <c r="A72" s="588"/>
      <c r="B72" s="6450"/>
      <c r="C72" s="6451"/>
      <c r="D72" s="3892"/>
      <c r="E72" s="6054">
        <v>27</v>
      </c>
      <c r="F72" s="5186" t="s">
        <v>33</v>
      </c>
      <c r="G72" s="5203" t="s">
        <v>3323</v>
      </c>
      <c r="H72" s="5204"/>
      <c r="I72" s="5190"/>
      <c r="J72" s="5190"/>
      <c r="K72" s="5190"/>
      <c r="L72" s="5190"/>
      <c r="M72" s="5190"/>
      <c r="N72" s="5190"/>
      <c r="O72" s="5190"/>
      <c r="P72" s="5190"/>
      <c r="Q72" s="5190"/>
      <c r="R72" s="5204"/>
      <c r="S72" s="5204"/>
      <c r="T72" s="5204"/>
      <c r="U72" s="5204"/>
      <c r="V72" s="5204"/>
      <c r="W72" s="5200" t="str">
        <f>IF(EIC_No,".   .   .   .   .   .   .   .   .   .   .   .   .   .   .   .   .  No. ",".   .   .   .   .   .   .   .   .   .   .   .   .   .   .   .   .   .")</f>
        <v>.   .   .   .   .   .   .   .   .   .   .   .   .   .   .   .   .   .</v>
      </c>
      <c r="X72" s="5252" t="s">
        <v>611</v>
      </c>
      <c r="Y72" s="6295">
        <f>IF(AM72&lt;&gt;"",ROUND(AM72,0),EarnedIncomeCredit)</f>
        <v>0</v>
      </c>
      <c r="Z72" s="6296"/>
      <c r="AA72" s="6297"/>
      <c r="AB72" s="4084"/>
      <c r="AC72" s="6275" t="str">
        <f>IF(AND($AI$72="",$AL$80),"Review sheet","")</f>
        <v/>
      </c>
      <c r="AD72" s="6276"/>
      <c r="AE72" s="6276"/>
      <c r="AF72" s="6276"/>
      <c r="AG72" s="6276"/>
      <c r="AH72" s="451"/>
      <c r="AI72" s="3280"/>
      <c r="AJ72" s="6437">
        <f>IF(ISERROR(F8959_WH),0,F8959_WH)</f>
        <v>0</v>
      </c>
      <c r="AK72" s="6438"/>
      <c r="AL72" s="6438"/>
      <c r="AM72" s="2868"/>
      <c r="AN72" s="2079"/>
      <c r="AO72" s="1179"/>
      <c r="AP72" s="2335"/>
      <c r="AQ72" s="2335"/>
      <c r="AR72" s="2335"/>
      <c r="AS72" s="2335"/>
      <c r="AT72" s="2335"/>
      <c r="AU72" s="2070"/>
      <c r="AV72" s="2070"/>
      <c r="AW72" s="2070"/>
      <c r="AX72" s="4584"/>
      <c r="AY72" s="2087"/>
      <c r="AZ72" s="2087"/>
      <c r="BA72" s="2065"/>
      <c r="BB72" s="4584"/>
      <c r="BC72" s="1179"/>
      <c r="BD72" s="1179"/>
      <c r="BE72" s="1179"/>
      <c r="BF72" s="1179"/>
      <c r="BG72" s="1179"/>
      <c r="BH72" s="1145"/>
      <c r="BI72" s="3445"/>
      <c r="BJ72" s="2595"/>
      <c r="BK72" s="2595"/>
      <c r="BL72" s="2595"/>
      <c r="BM72" s="2595"/>
      <c r="BN72" s="2595"/>
      <c r="BO72" s="2595"/>
      <c r="BP72" s="2595"/>
      <c r="BQ72" s="2595"/>
      <c r="BR72" s="2595"/>
      <c r="BS72" s="2595"/>
      <c r="BT72" s="2595"/>
      <c r="BU72" s="2595"/>
    </row>
    <row r="73" spans="1:73" ht="14.25" customHeight="1">
      <c r="A73" s="588"/>
      <c r="B73" s="6452"/>
      <c r="C73" s="6453"/>
      <c r="D73" s="389"/>
      <c r="E73" s="6053"/>
      <c r="F73" s="5210"/>
      <c r="G73" s="5203" t="str">
        <f>"Check here if you were born after January 1, "&amp;TaxYear-23&amp;", and before"</f>
        <v>Check here if you were born after January 1, 1998, and before</v>
      </c>
      <c r="H73" s="5204"/>
      <c r="I73" s="5190"/>
      <c r="J73" s="5190"/>
      <c r="K73" s="5190"/>
      <c r="L73" s="5190"/>
      <c r="M73" s="5190"/>
      <c r="N73" s="5190"/>
      <c r="O73" s="5190"/>
      <c r="P73" s="5190"/>
      <c r="Q73" s="5190"/>
      <c r="R73" s="5204"/>
      <c r="S73" s="5204"/>
      <c r="T73" s="5204"/>
      <c r="U73" s="5204"/>
      <c r="V73" s="5204"/>
      <c r="W73" s="5204"/>
      <c r="X73" s="4084"/>
      <c r="Y73" s="1185"/>
      <c r="Z73" s="1185"/>
      <c r="AA73" s="1185"/>
      <c r="AB73" s="4084"/>
      <c r="AC73" s="6275" t="str">
        <f>IF(AND($AI$72="",$AL$80),"'Line 27 (EIC)'","")</f>
        <v/>
      </c>
      <c r="AD73" s="6276"/>
      <c r="AE73" s="6276"/>
      <c r="AF73" s="6276"/>
      <c r="AG73" s="6276"/>
      <c r="AH73" s="451"/>
      <c r="AI73" s="650"/>
      <c r="AJ73" s="3850"/>
      <c r="AK73" s="1185"/>
      <c r="AL73" s="1185"/>
      <c r="AM73" s="386"/>
      <c r="AN73" s="2079"/>
      <c r="AO73" s="1179"/>
      <c r="AP73" s="2335"/>
      <c r="AQ73" s="2335"/>
      <c r="AR73" s="2335"/>
      <c r="AS73" s="2335"/>
      <c r="AT73" s="2335"/>
      <c r="AU73" s="2070"/>
      <c r="AV73" s="2070"/>
      <c r="AW73" s="2070"/>
      <c r="AX73" s="4584"/>
      <c r="AY73" s="2087"/>
      <c r="AZ73" s="2087"/>
      <c r="BA73" s="2065"/>
      <c r="BB73" s="4584"/>
      <c r="BC73" s="1179"/>
      <c r="BD73" s="1179"/>
      <c r="BE73" s="1179"/>
      <c r="BF73" s="1179"/>
      <c r="BG73" s="1179"/>
      <c r="BH73" s="1145"/>
      <c r="BI73" s="3445"/>
      <c r="BJ73" s="2595"/>
      <c r="BK73" s="2595"/>
      <c r="BL73" s="2595"/>
      <c r="BM73" s="2595"/>
      <c r="BN73" s="2595"/>
      <c r="BO73" s="2595"/>
      <c r="BP73" s="2595"/>
      <c r="BQ73" s="2595"/>
      <c r="BR73" s="2595"/>
      <c r="BS73" s="2595"/>
      <c r="BT73" s="2595"/>
      <c r="BU73" s="2595"/>
    </row>
    <row r="74" spans="1:73" ht="14.25" customHeight="1">
      <c r="A74" s="588"/>
      <c r="B74" s="4768"/>
      <c r="C74" s="4768"/>
      <c r="D74" s="30"/>
      <c r="E74" s="6053"/>
      <c r="F74" s="5210"/>
      <c r="G74" s="5203" t="str">
        <f>"January 2, "&amp;TaxYear-17&amp;", and you satisfy all the other requirements for"</f>
        <v>January 2, 2004, and you satisfy all the other requirements for</v>
      </c>
      <c r="H74" s="5204"/>
      <c r="I74" s="5190"/>
      <c r="J74" s="5190"/>
      <c r="K74" s="5190"/>
      <c r="L74" s="5190"/>
      <c r="M74" s="5190"/>
      <c r="N74" s="5190"/>
      <c r="O74" s="5190"/>
      <c r="P74" s="5190"/>
      <c r="Q74" s="5190"/>
      <c r="R74" s="5204"/>
      <c r="S74" s="5204"/>
      <c r="T74" s="5204"/>
      <c r="U74" s="5204"/>
      <c r="V74" s="5204"/>
      <c r="W74" s="5204"/>
      <c r="X74" s="4084"/>
      <c r="Y74" s="1185"/>
      <c r="Z74" s="1185"/>
      <c r="AA74" s="1185"/>
      <c r="AB74" s="4084"/>
      <c r="AC74" s="6275" t="str">
        <f>IF(AND($AI$72="",$AL$80),"for possible earned","")</f>
        <v/>
      </c>
      <c r="AD74" s="6276"/>
      <c r="AE74" s="6276"/>
      <c r="AF74" s="6276"/>
      <c r="AG74" s="6276"/>
      <c r="AH74" s="451"/>
      <c r="AI74" s="650"/>
      <c r="AJ74" s="6423" t="str">
        <f>IF($AL$80,"Hide note.","")</f>
        <v/>
      </c>
      <c r="AK74" s="6424"/>
      <c r="AL74" s="1185"/>
      <c r="AM74" s="386"/>
      <c r="AN74" s="2079"/>
      <c r="AO74" s="1179"/>
      <c r="AP74" s="2335"/>
      <c r="AQ74" s="2335"/>
      <c r="AR74" s="2335"/>
      <c r="AS74" s="2335"/>
      <c r="AT74" s="2335"/>
      <c r="AU74" s="2070"/>
      <c r="AV74" s="2070"/>
      <c r="AW74" s="2070"/>
      <c r="AX74" s="4584"/>
      <c r="AY74" s="2087"/>
      <c r="AZ74" s="2087"/>
      <c r="BA74" s="2065"/>
      <c r="BB74" s="4584"/>
      <c r="BC74" s="1179"/>
      <c r="BD74" s="1179"/>
      <c r="BE74" s="1179"/>
      <c r="BF74" s="1179"/>
      <c r="BG74" s="1179"/>
      <c r="BH74" s="1145"/>
      <c r="BI74" s="3445"/>
      <c r="BJ74" s="2595"/>
      <c r="BK74" s="2595"/>
      <c r="BL74" s="2595"/>
      <c r="BM74" s="2595"/>
      <c r="BN74" s="2595"/>
      <c r="BO74" s="2595"/>
      <c r="BP74" s="2595"/>
      <c r="BQ74" s="2595"/>
      <c r="BR74" s="2595"/>
      <c r="BS74" s="2595"/>
      <c r="BT74" s="2595"/>
      <c r="BU74" s="2595"/>
    </row>
    <row r="75" spans="1:73" ht="14.25" customHeight="1">
      <c r="A75" s="588"/>
      <c r="B75" s="4768"/>
      <c r="C75" s="4768"/>
      <c r="D75" s="30"/>
      <c r="E75" s="6053"/>
      <c r="F75" s="5210"/>
      <c r="G75" s="5203" t="s">
        <v>5105</v>
      </c>
      <c r="H75" s="5204"/>
      <c r="I75" s="5190"/>
      <c r="J75" s="5190"/>
      <c r="K75" s="5190"/>
      <c r="L75" s="5190"/>
      <c r="M75" s="5190"/>
      <c r="N75" s="5190"/>
      <c r="O75" s="5190"/>
      <c r="P75" s="5190"/>
      <c r="Q75" s="5190"/>
      <c r="R75" s="5204"/>
      <c r="S75" s="5204"/>
      <c r="T75" s="5204"/>
      <c r="U75" s="5204"/>
      <c r="V75" s="1180"/>
      <c r="W75" s="5204"/>
      <c r="X75" s="4084"/>
      <c r="Y75" s="1185"/>
      <c r="Z75" s="1185"/>
      <c r="AA75" s="1185"/>
      <c r="AB75" s="4084"/>
      <c r="AC75" s="6275" t="str">
        <f>IF(AND($AI$72="",$AL$80),"income tax credit.","")</f>
        <v/>
      </c>
      <c r="AD75" s="6276"/>
      <c r="AE75" s="6276"/>
      <c r="AF75" s="6276"/>
      <c r="AG75" s="6276"/>
      <c r="AH75" s="451"/>
      <c r="AI75" s="650"/>
      <c r="AJ75" s="5163"/>
      <c r="AK75" s="2786"/>
      <c r="AL75" s="1185"/>
      <c r="AM75" s="386"/>
      <c r="AN75" s="2079"/>
      <c r="AO75" s="1179"/>
      <c r="AP75" s="2335"/>
      <c r="AQ75" s="2335"/>
      <c r="AR75" s="2335"/>
      <c r="AS75" s="2335"/>
      <c r="AT75" s="2335"/>
      <c r="AU75" s="2070"/>
      <c r="AV75" s="2070"/>
      <c r="AW75" s="2070"/>
      <c r="AX75" s="4584"/>
      <c r="AY75" s="2087"/>
      <c r="AZ75" s="2087"/>
      <c r="BA75" s="2065"/>
      <c r="BB75" s="4584"/>
      <c r="BC75" s="1179"/>
      <c r="BD75" s="1179"/>
      <c r="BE75" s="1179"/>
      <c r="BF75" s="1179"/>
      <c r="BG75" s="1179"/>
      <c r="BH75" s="1145"/>
      <c r="BI75" s="3445"/>
      <c r="BJ75" s="2595"/>
      <c r="BK75" s="2595"/>
      <c r="BL75" s="2595"/>
      <c r="BM75" s="2595"/>
      <c r="BN75" s="2595"/>
      <c r="BO75" s="2595"/>
      <c r="BP75" s="2595"/>
      <c r="BQ75" s="2595"/>
      <c r="BR75" s="2595"/>
      <c r="BS75" s="2595"/>
      <c r="BT75" s="2595"/>
      <c r="BU75" s="2595"/>
    </row>
    <row r="76" spans="1:73" ht="14.25" customHeight="1">
      <c r="A76" s="588"/>
      <c r="B76" s="4768"/>
      <c r="C76" s="4768"/>
      <c r="D76" s="30"/>
      <c r="E76" s="6053"/>
      <c r="F76" s="5210" t="s">
        <v>47</v>
      </c>
      <c r="G76" s="5207" t="s">
        <v>4880</v>
      </c>
      <c r="H76" s="5204"/>
      <c r="I76" s="5190"/>
      <c r="J76" s="5190"/>
      <c r="K76" s="5190"/>
      <c r="L76" s="5190"/>
      <c r="M76" s="5190"/>
      <c r="N76" s="5190"/>
      <c r="O76" s="5190"/>
      <c r="P76" s="5190"/>
      <c r="Q76" s="5190"/>
      <c r="R76" s="5200" t="s">
        <v>698</v>
      </c>
      <c r="S76" s="5334" t="s">
        <v>612</v>
      </c>
      <c r="T76" s="6457"/>
      <c r="U76" s="6458"/>
      <c r="V76" s="6458"/>
      <c r="W76" s="6459"/>
      <c r="X76" s="4084"/>
      <c r="Y76" s="1185"/>
      <c r="Z76" s="1185"/>
      <c r="AA76" s="1185"/>
      <c r="AB76" s="4084"/>
      <c r="AC76" s="5164"/>
      <c r="AD76" s="5165"/>
      <c r="AE76" s="5165"/>
      <c r="AF76" s="5165"/>
      <c r="AG76" s="5165"/>
      <c r="AH76" s="451"/>
      <c r="AI76" s="650"/>
      <c r="AJ76" s="5163"/>
      <c r="AK76" s="2786"/>
      <c r="AL76" s="1185"/>
      <c r="AM76" s="386"/>
      <c r="AN76" s="2079"/>
      <c r="AO76" s="1179"/>
      <c r="AP76" s="2335"/>
      <c r="AQ76" s="2335"/>
      <c r="AR76" s="2335"/>
      <c r="AS76" s="2335"/>
      <c r="AT76" s="2335"/>
      <c r="AU76" s="2070"/>
      <c r="AV76" s="2070"/>
      <c r="AW76" s="2070"/>
      <c r="AX76" s="4584"/>
      <c r="AY76" s="2087"/>
      <c r="AZ76" s="2087"/>
      <c r="BA76" s="2065"/>
      <c r="BB76" s="4584"/>
      <c r="BC76" s="1179"/>
      <c r="BD76" s="1179"/>
      <c r="BE76" s="1179"/>
      <c r="BF76" s="1179"/>
      <c r="BG76" s="1179"/>
      <c r="BH76" s="1145"/>
      <c r="BI76" s="3445"/>
      <c r="BJ76" s="2595"/>
      <c r="BK76" s="2595"/>
      <c r="BL76" s="2595"/>
      <c r="BM76" s="2595"/>
      <c r="BN76" s="2595"/>
      <c r="BO76" s="2595"/>
      <c r="BP76" s="2595"/>
      <c r="BQ76" s="2595"/>
      <c r="BR76" s="2595"/>
      <c r="BS76" s="2595"/>
      <c r="BT76" s="2595"/>
      <c r="BU76" s="2595"/>
    </row>
    <row r="77" spans="1:73" ht="14.25" customHeight="1">
      <c r="A77" s="588"/>
      <c r="B77" s="4768"/>
      <c r="C77" s="4768"/>
      <c r="D77" s="30"/>
      <c r="E77" s="6053"/>
      <c r="F77" s="5210" t="s">
        <v>48</v>
      </c>
      <c r="G77" s="5207" t="str">
        <f>"Prior year ("&amp;TaxYear-2&amp;") earned income"</f>
        <v>Prior year (2019) earned income</v>
      </c>
      <c r="H77" s="5204"/>
      <c r="I77" s="5190"/>
      <c r="J77" s="5190"/>
      <c r="K77" s="5190"/>
      <c r="L77" s="5190"/>
      <c r="M77" s="5190"/>
      <c r="N77" s="5190"/>
      <c r="O77" s="5190"/>
      <c r="P77" s="5190"/>
      <c r="Q77" s="5190"/>
      <c r="R77" s="5200" t="s">
        <v>698</v>
      </c>
      <c r="S77" s="5334" t="s">
        <v>4881</v>
      </c>
      <c r="T77" s="6454"/>
      <c r="U77" s="6455"/>
      <c r="V77" s="6455"/>
      <c r="W77" s="6456"/>
      <c r="X77" s="4084"/>
      <c r="Y77" s="5331"/>
      <c r="Z77" s="5332"/>
      <c r="AA77" s="5333"/>
      <c r="AB77" s="4084"/>
      <c r="AC77" s="5164"/>
      <c r="AD77" s="5165"/>
      <c r="AE77" s="5165"/>
      <c r="AF77" s="5165"/>
      <c r="AG77" s="5165"/>
      <c r="AH77" s="451"/>
      <c r="AI77" s="650"/>
      <c r="AJ77" s="5163"/>
      <c r="AK77" s="2786"/>
      <c r="AL77" s="1185"/>
      <c r="AM77" s="386"/>
      <c r="AN77" s="2079"/>
      <c r="AO77" s="1179"/>
      <c r="AP77" s="2335"/>
      <c r="AQ77" s="2335"/>
      <c r="AR77" s="2335"/>
      <c r="AS77" s="2335"/>
      <c r="AT77" s="2335"/>
      <c r="AU77" s="2070"/>
      <c r="AV77" s="2070"/>
      <c r="AW77" s="2076"/>
      <c r="AX77" s="4584"/>
      <c r="AY77" s="2087"/>
      <c r="AZ77" s="2087"/>
      <c r="BA77" s="2065"/>
      <c r="BB77" s="4584"/>
      <c r="BC77" s="1179"/>
      <c r="BD77" s="1179"/>
      <c r="BE77" s="1179"/>
      <c r="BF77" s="1179"/>
      <c r="BG77" s="1179"/>
      <c r="BH77" s="1145"/>
      <c r="BI77" s="3445"/>
      <c r="BJ77" s="2595"/>
      <c r="BK77" s="2595"/>
      <c r="BL77" s="2595"/>
      <c r="BM77" s="2595"/>
      <c r="BN77" s="2595"/>
      <c r="BO77" s="2595"/>
      <c r="BP77" s="2595"/>
      <c r="BQ77" s="2595"/>
      <c r="BR77" s="2595"/>
      <c r="BS77" s="2595"/>
      <c r="BT77" s="2595"/>
      <c r="BU77" s="2595"/>
    </row>
    <row r="78" spans="1:73" ht="14.25" customHeight="1">
      <c r="A78" s="588"/>
      <c r="B78" s="4768"/>
      <c r="C78" s="4768"/>
      <c r="D78" s="30"/>
      <c r="E78" s="6053">
        <v>28</v>
      </c>
      <c r="F78" s="5190"/>
      <c r="G78" s="5207" t="s">
        <v>4884</v>
      </c>
      <c r="H78" s="5204"/>
      <c r="I78" s="5190"/>
      <c r="J78" s="5190"/>
      <c r="K78" s="5190"/>
      <c r="L78" s="5190"/>
      <c r="M78" s="5190"/>
      <c r="N78" s="5190"/>
      <c r="O78" s="5190"/>
      <c r="P78" s="5190"/>
      <c r="Q78" s="5190"/>
      <c r="R78" s="5204"/>
      <c r="S78" s="5204"/>
      <c r="T78" s="5204"/>
      <c r="U78" s="5204"/>
      <c r="V78" s="5204"/>
      <c r="W78" s="5200" t="s">
        <v>717</v>
      </c>
      <c r="X78" s="6058">
        <v>28</v>
      </c>
      <c r="Y78" s="6295">
        <f>IF(AM78&lt;&gt;"",ROUND(AM78,0),AdditionalCTC)</f>
        <v>0</v>
      </c>
      <c r="Z78" s="6296"/>
      <c r="AA78" s="6297"/>
      <c r="AB78" s="4084"/>
      <c r="AC78" s="6275"/>
      <c r="AD78" s="6276"/>
      <c r="AE78" s="6276"/>
      <c r="AF78" s="6276"/>
      <c r="AG78" s="6276"/>
      <c r="AH78" s="451"/>
      <c r="AI78" s="650"/>
      <c r="AJ78" s="4587"/>
      <c r="AK78" s="4079"/>
      <c r="AL78" s="4079"/>
      <c r="AM78" s="2868"/>
      <c r="AN78" s="2079"/>
      <c r="AO78" s="1179"/>
      <c r="AP78" s="2335"/>
      <c r="AQ78" s="2335"/>
      <c r="AR78" s="2335"/>
      <c r="AS78" s="2335"/>
      <c r="AT78" s="2335"/>
      <c r="AU78" s="2076"/>
      <c r="AV78" s="2076"/>
      <c r="AW78" s="1179"/>
      <c r="AX78" s="4584"/>
      <c r="AY78" s="2087"/>
      <c r="AZ78" s="2087"/>
      <c r="BA78" s="2065"/>
      <c r="BB78" s="4584"/>
      <c r="BC78" s="1179"/>
      <c r="BD78" s="1179"/>
      <c r="BE78" s="1179"/>
      <c r="BF78" s="1179"/>
      <c r="BG78" s="1179"/>
      <c r="BH78" s="1145"/>
      <c r="BI78" s="3445"/>
      <c r="BJ78" s="2595"/>
      <c r="BK78" s="2595"/>
      <c r="BL78" s="2595"/>
      <c r="BM78" s="2595"/>
      <c r="BN78" s="2595"/>
      <c r="BO78" s="2595"/>
      <c r="BP78" s="2595"/>
      <c r="BQ78" s="2595"/>
      <c r="BR78" s="2595"/>
      <c r="BS78" s="2595"/>
      <c r="BT78" s="2595"/>
      <c r="BU78" s="2595"/>
    </row>
    <row r="79" spans="1:73" ht="14.25" customHeight="1">
      <c r="A79" s="588"/>
      <c r="B79" s="30"/>
      <c r="C79" s="3478"/>
      <c r="D79" s="30"/>
      <c r="E79" s="6053">
        <v>29</v>
      </c>
      <c r="F79" s="5190"/>
      <c r="G79" s="5207" t="s">
        <v>3324</v>
      </c>
      <c r="H79" s="5204"/>
      <c r="I79" s="5190"/>
      <c r="J79" s="5190"/>
      <c r="K79" s="5190"/>
      <c r="L79" s="5190"/>
      <c r="M79" s="5190"/>
      <c r="N79" s="5190"/>
      <c r="O79" s="5190"/>
      <c r="P79" s="5190"/>
      <c r="Q79" s="5190"/>
      <c r="R79" s="5204"/>
      <c r="S79" s="5204"/>
      <c r="T79" s="5204"/>
      <c r="U79" s="5204"/>
      <c r="V79" s="5204"/>
      <c r="W79" s="5200" t="s">
        <v>570</v>
      </c>
      <c r="X79" s="6058">
        <v>29</v>
      </c>
      <c r="Y79" s="6300" t="str">
        <f>IF(AM79&lt;&gt;"",ROUND(AM79,0),AO_Credit)</f>
        <v/>
      </c>
      <c r="Z79" s="6301"/>
      <c r="AA79" s="6302"/>
      <c r="AB79" s="4084"/>
      <c r="AC79" s="6275"/>
      <c r="AD79" s="6276"/>
      <c r="AE79" s="6276"/>
      <c r="AF79" s="6276"/>
      <c r="AG79" s="6276"/>
      <c r="AH79" s="451"/>
      <c r="AI79" s="650"/>
      <c r="AJ79" s="4587"/>
      <c r="AK79" s="7"/>
      <c r="AL79" s="7"/>
      <c r="AM79" s="2868"/>
      <c r="AN79" s="2079"/>
      <c r="AO79" s="1179"/>
      <c r="AP79" s="2335"/>
      <c r="AQ79" s="2335"/>
      <c r="AR79" s="2335"/>
      <c r="AS79" s="2335"/>
      <c r="AT79" s="2335"/>
      <c r="AU79" s="1179"/>
      <c r="AV79" s="1179"/>
      <c r="AW79" s="2070"/>
      <c r="AX79" s="4584"/>
      <c r="AY79" s="2087"/>
      <c r="AZ79" s="2087"/>
      <c r="BA79" s="2065"/>
      <c r="BB79" s="4584"/>
      <c r="BC79" s="1179"/>
      <c r="BD79" s="1179"/>
      <c r="BE79" s="1179"/>
      <c r="BF79" s="1179"/>
      <c r="BG79" s="1179"/>
      <c r="BH79" s="1145"/>
      <c r="BI79" s="3445"/>
      <c r="BJ79" s="2595"/>
      <c r="BK79" s="2595"/>
      <c r="BL79" s="2595"/>
      <c r="BM79" s="2595"/>
      <c r="BN79" s="2595"/>
      <c r="BO79" s="2595"/>
      <c r="BP79" s="2595"/>
      <c r="BQ79" s="2595"/>
      <c r="BR79" s="2595"/>
      <c r="BS79" s="2595"/>
      <c r="BT79" s="2595"/>
      <c r="BU79" s="2595"/>
    </row>
    <row r="80" spans="1:73" ht="14.25" customHeight="1">
      <c r="A80" s="588"/>
      <c r="B80" s="30"/>
      <c r="C80" s="3478"/>
      <c r="D80" s="30"/>
      <c r="E80" s="6053">
        <v>30</v>
      </c>
      <c r="F80" s="5190"/>
      <c r="G80" s="5207" t="s">
        <v>3915</v>
      </c>
      <c r="H80" s="5204"/>
      <c r="I80" s="5190"/>
      <c r="J80" s="5190"/>
      <c r="K80" s="5190"/>
      <c r="L80" s="5190"/>
      <c r="M80" s="5190"/>
      <c r="N80" s="5190"/>
      <c r="O80" s="5190"/>
      <c r="P80" s="5190"/>
      <c r="Q80" s="5190"/>
      <c r="R80" s="5204"/>
      <c r="S80" s="5204"/>
      <c r="T80" s="5204"/>
      <c r="U80" s="5204"/>
      <c r="V80" s="5204"/>
      <c r="W80" s="5200" t="s">
        <v>374</v>
      </c>
      <c r="X80" s="6058">
        <v>30</v>
      </c>
      <c r="Y80" s="6300">
        <f>IF(AM80&lt;&gt;"",ROUND(AM80,0),RebateCredit)</f>
        <v>0</v>
      </c>
      <c r="Z80" s="6301"/>
      <c r="AA80" s="6302"/>
      <c r="AB80" s="4084"/>
      <c r="AC80" s="6275"/>
      <c r="AD80" s="6276"/>
      <c r="AE80" s="6276"/>
      <c r="AF80" s="6276"/>
      <c r="AG80" s="6276"/>
      <c r="AH80" s="451"/>
      <c r="AI80" s="650"/>
      <c r="AJ80" s="6423"/>
      <c r="AK80" s="6424"/>
      <c r="AL80" s="4159" t="b">
        <f>AND(EIC_trigger,NOT(EIC_Started),NumFileStatusBoxes=1)</f>
        <v>0</v>
      </c>
      <c r="AM80" s="2868"/>
      <c r="AN80" s="2079"/>
      <c r="AO80" s="1179"/>
      <c r="AP80" s="2335"/>
      <c r="AQ80" s="1179"/>
      <c r="AR80" s="1179"/>
      <c r="AS80" s="1179"/>
      <c r="AT80" s="1179"/>
      <c r="AU80" s="2070"/>
      <c r="AV80" s="2070"/>
      <c r="AW80" s="2070"/>
      <c r="AX80" s="4584"/>
      <c r="AY80" s="2087"/>
      <c r="AZ80" s="2087"/>
      <c r="BA80" s="2065"/>
      <c r="BB80" s="4584"/>
      <c r="BC80" s="1179"/>
      <c r="BD80" s="1179"/>
      <c r="BE80" s="1179"/>
      <c r="BF80" s="1179"/>
      <c r="BG80" s="1179"/>
      <c r="BH80" s="1145"/>
      <c r="BI80" s="3445"/>
      <c r="BJ80" s="2595"/>
      <c r="BK80" s="2595"/>
      <c r="BL80" s="2595"/>
      <c r="BM80" s="2595"/>
      <c r="BN80" s="2595"/>
      <c r="BO80" s="2595"/>
      <c r="BP80" s="2595"/>
      <c r="BQ80" s="2595"/>
      <c r="BR80" s="2595"/>
      <c r="BS80" s="2595"/>
      <c r="BT80" s="2595"/>
      <c r="BU80" s="2595"/>
    </row>
    <row r="81" spans="1:73" ht="14.25" customHeight="1" thickBot="1">
      <c r="A81" s="588"/>
      <c r="B81" s="30"/>
      <c r="C81" s="3478"/>
      <c r="D81" s="30"/>
      <c r="E81" s="6053">
        <v>31</v>
      </c>
      <c r="F81" s="5190"/>
      <c r="G81" s="5207" t="s">
        <v>4879</v>
      </c>
      <c r="H81" s="5204"/>
      <c r="I81" s="5190"/>
      <c r="J81" s="5190"/>
      <c r="K81" s="5190"/>
      <c r="L81" s="5190"/>
      <c r="M81" s="5190"/>
      <c r="N81" s="5190"/>
      <c r="O81" s="5190"/>
      <c r="P81" s="5190"/>
      <c r="Q81" s="5190"/>
      <c r="R81" s="5204"/>
      <c r="S81" s="5204"/>
      <c r="T81" s="5204"/>
      <c r="U81" s="5204"/>
      <c r="V81" s="5204"/>
      <c r="W81" s="5200" t="s">
        <v>2126</v>
      </c>
      <c r="X81" s="6059">
        <v>31</v>
      </c>
      <c r="Y81" s="6226">
        <f>IF(AM81&lt;&gt;"",ROUND(AM81,0),OPRC)</f>
        <v>0</v>
      </c>
      <c r="Z81" s="6227"/>
      <c r="AA81" s="6228"/>
      <c r="AB81" s="4076"/>
      <c r="AC81" s="6275"/>
      <c r="AD81" s="6276"/>
      <c r="AE81" s="6276"/>
      <c r="AF81" s="6276"/>
      <c r="AG81" s="6276"/>
      <c r="AH81" s="451"/>
      <c r="AI81" s="650"/>
      <c r="AJ81" s="3044"/>
      <c r="AK81" s="1179"/>
      <c r="AL81" s="1179"/>
      <c r="AM81" s="2868"/>
      <c r="AN81" s="2079"/>
      <c r="AO81" s="1179"/>
      <c r="AP81" s="2335"/>
      <c r="AQ81" s="2070"/>
      <c r="AR81" s="2070"/>
      <c r="AS81" s="2070"/>
      <c r="AT81" s="2070"/>
      <c r="AU81" s="2070"/>
      <c r="AV81" s="2070"/>
      <c r="AW81" s="1681"/>
      <c r="AX81" s="4584"/>
      <c r="AY81" s="2087"/>
      <c r="AZ81" s="2087"/>
      <c r="BA81" s="2065"/>
      <c r="BB81" s="4584"/>
      <c r="BC81" s="1179"/>
      <c r="BD81" s="1179"/>
      <c r="BE81" s="1179"/>
      <c r="BF81" s="1179"/>
      <c r="BG81" s="1179"/>
      <c r="BH81" s="1145"/>
      <c r="BI81" s="3445"/>
      <c r="BJ81" s="2595"/>
      <c r="BK81" s="2595"/>
      <c r="BL81" s="2595"/>
      <c r="BM81" s="2595"/>
      <c r="BN81" s="2595"/>
      <c r="BO81" s="2595"/>
      <c r="BP81" s="2595"/>
      <c r="BQ81" s="2595"/>
      <c r="BR81" s="2595"/>
      <c r="BS81" s="2595"/>
      <c r="BT81" s="2595"/>
      <c r="BU81" s="2595"/>
    </row>
    <row r="82" spans="1:73" ht="14.25" customHeight="1" thickBot="1">
      <c r="A82" s="588"/>
      <c r="B82" s="30"/>
      <c r="C82" s="3478"/>
      <c r="D82" s="30"/>
      <c r="E82" s="6053">
        <v>32</v>
      </c>
      <c r="F82" s="5190"/>
      <c r="G82" s="5207" t="s">
        <v>4882</v>
      </c>
      <c r="H82" s="5204"/>
      <c r="I82" s="5190"/>
      <c r="J82" s="5190"/>
      <c r="K82" s="5190"/>
      <c r="L82" s="5190"/>
      <c r="M82" s="5190"/>
      <c r="N82" s="5190"/>
      <c r="O82" s="5190"/>
      <c r="P82" s="5190"/>
      <c r="Q82" s="5190"/>
      <c r="R82" s="5204"/>
      <c r="S82" s="5204"/>
      <c r="T82" s="5204"/>
      <c r="U82" s="5204"/>
      <c r="V82" s="5204"/>
      <c r="W82" s="5204"/>
      <c r="X82" s="5204"/>
      <c r="Y82" s="5204"/>
      <c r="Z82" s="5204"/>
      <c r="AA82" s="5200" t="s">
        <v>535</v>
      </c>
      <c r="AB82" s="5287">
        <v>32</v>
      </c>
      <c r="AC82" s="6180">
        <f>SUM(EIC,Y78,Y79,RecoveryRebateCredit,Y81)</f>
        <v>0</v>
      </c>
      <c r="AD82" s="6181"/>
      <c r="AE82" s="6181"/>
      <c r="AF82" s="6181"/>
      <c r="AG82" s="6181"/>
      <c r="AH82" s="451"/>
      <c r="AI82" s="650"/>
      <c r="AJ82" s="4311" t="s">
        <v>388</v>
      </c>
      <c r="AK82" s="4313"/>
      <c r="AL82" s="4314"/>
      <c r="AM82" s="4088"/>
      <c r="AN82" s="2079"/>
      <c r="AO82" s="1179"/>
      <c r="AP82" s="2335"/>
      <c r="AQ82" s="1179"/>
      <c r="AR82" s="1179"/>
      <c r="AS82" s="1179"/>
      <c r="AT82" s="1179"/>
      <c r="AU82" s="1681"/>
      <c r="AV82" s="1681"/>
      <c r="AW82" s="1179"/>
      <c r="AX82" s="4584"/>
      <c r="AY82" s="2087"/>
      <c r="AZ82" s="2087"/>
      <c r="BA82" s="2065"/>
      <c r="BB82" s="4584"/>
      <c r="BC82" s="1179"/>
      <c r="BD82" s="1179"/>
      <c r="BE82" s="1179"/>
      <c r="BF82" s="1179"/>
      <c r="BG82" s="1179"/>
      <c r="BH82" s="1145"/>
      <c r="BI82" s="3445"/>
      <c r="BJ82" s="2595"/>
      <c r="BK82" s="2595"/>
      <c r="BL82" s="2595"/>
      <c r="BM82" s="2595"/>
      <c r="BN82" s="2595"/>
      <c r="BO82" s="2595"/>
      <c r="BP82" s="2595"/>
      <c r="BQ82" s="2595"/>
      <c r="BR82" s="2595"/>
      <c r="BS82" s="2595"/>
      <c r="BT82" s="2595"/>
      <c r="BU82" s="2595"/>
    </row>
    <row r="83" spans="1:73" ht="14.25" customHeight="1">
      <c r="A83" s="588"/>
      <c r="B83" s="32"/>
      <c r="C83" s="32"/>
      <c r="D83" s="32"/>
      <c r="E83" s="6055">
        <v>33</v>
      </c>
      <c r="F83" s="5284"/>
      <c r="G83" s="5285" t="s">
        <v>3920</v>
      </c>
      <c r="H83" s="5286"/>
      <c r="I83" s="5286"/>
      <c r="J83" s="5286"/>
      <c r="K83" s="5286"/>
      <c r="L83" s="5286"/>
      <c r="M83" s="5286"/>
      <c r="N83" s="5286"/>
      <c r="O83" s="5286"/>
      <c r="P83" s="5286"/>
      <c r="Q83" s="5286"/>
      <c r="R83" s="5286"/>
      <c r="S83" s="5286"/>
      <c r="T83" s="5286"/>
      <c r="U83" s="5286"/>
      <c r="V83" s="5286"/>
      <c r="W83" s="5286"/>
      <c r="X83" s="5286"/>
      <c r="Y83" s="5286"/>
      <c r="Z83" s="5286"/>
      <c r="AA83" s="5288" t="s">
        <v>4433</v>
      </c>
      <c r="AB83" s="5256">
        <v>33</v>
      </c>
      <c r="AC83" s="6407">
        <f>IF(AM83&lt;&gt;"",ROUND(AM83,0),SUM(AC70,AC71,AC82))</f>
        <v>0</v>
      </c>
      <c r="AD83" s="6408"/>
      <c r="AE83" s="6408"/>
      <c r="AF83" s="6408"/>
      <c r="AG83" s="6408"/>
      <c r="AH83" s="451"/>
      <c r="AI83" s="650"/>
      <c r="AJ83" s="4311"/>
      <c r="AK83" s="4313"/>
      <c r="AL83" s="4313"/>
      <c r="AM83" s="2868"/>
      <c r="AN83" s="1179"/>
      <c r="AO83" s="1179"/>
      <c r="AP83" s="2335"/>
      <c r="AQ83" s="1179"/>
      <c r="AR83" s="1179"/>
      <c r="AS83" s="1179"/>
      <c r="AT83" s="1179"/>
      <c r="AU83" s="1179"/>
      <c r="AV83" s="1179"/>
      <c r="AW83" s="2076"/>
      <c r="AX83" s="4584"/>
      <c r="AY83" s="2087"/>
      <c r="AZ83" s="2087"/>
      <c r="BA83" s="2065"/>
      <c r="BB83" s="4584"/>
      <c r="BC83" s="1179"/>
      <c r="BD83" s="1179"/>
      <c r="BE83" s="1179"/>
      <c r="BF83" s="1179"/>
      <c r="BG83" s="1179"/>
      <c r="BH83" s="1145"/>
      <c r="BI83" s="3445"/>
      <c r="BJ83" s="2595"/>
      <c r="BK83" s="2595"/>
      <c r="BL83" s="2595"/>
      <c r="BM83" s="2595"/>
      <c r="BN83" s="2595"/>
      <c r="BO83" s="2595"/>
      <c r="BP83" s="2595"/>
      <c r="BQ83" s="2595"/>
      <c r="BR83" s="2595"/>
      <c r="BS83" s="2595"/>
      <c r="BT83" s="2595"/>
      <c r="BU83" s="2595"/>
    </row>
    <row r="84" spans="1:73" ht="14.25" customHeight="1">
      <c r="A84" s="588"/>
      <c r="B84" s="30"/>
      <c r="C84" s="30"/>
      <c r="D84" s="30"/>
      <c r="E84" s="6053">
        <v>34</v>
      </c>
      <c r="F84" s="5190"/>
      <c r="G84" s="5207" t="s">
        <v>3921</v>
      </c>
      <c r="H84" s="5204"/>
      <c r="I84" s="5204"/>
      <c r="J84" s="5204"/>
      <c r="K84" s="5204"/>
      <c r="L84" s="5204"/>
      <c r="M84" s="5204"/>
      <c r="N84" s="5204"/>
      <c r="O84" s="5204"/>
      <c r="P84" s="5204"/>
      <c r="Q84" s="5204"/>
      <c r="R84" s="5204"/>
      <c r="S84" s="5204"/>
      <c r="T84" s="5204"/>
      <c r="U84" s="5204"/>
      <c r="V84" s="5204"/>
      <c r="W84" s="5204"/>
      <c r="X84" s="5204"/>
      <c r="Y84" s="5204"/>
      <c r="Z84" s="5204"/>
      <c r="AA84" s="5200" t="s">
        <v>535</v>
      </c>
      <c r="AB84" s="5201">
        <f>E84</f>
        <v>34</v>
      </c>
      <c r="AC84" s="6298">
        <f>IF(AM84&lt;&gt;"",ROUND(AM84,0),IF(AC83&gt;Tot_Tax,SUM(AC83,-Tot_Tax),0))</f>
        <v>0</v>
      </c>
      <c r="AD84" s="6299"/>
      <c r="AE84" s="6299"/>
      <c r="AF84" s="6299"/>
      <c r="AG84" s="6299"/>
      <c r="AH84" s="451"/>
      <c r="AI84" s="650"/>
      <c r="AJ84" s="3025"/>
      <c r="AK84" s="3161"/>
      <c r="AL84" s="3161"/>
      <c r="AM84" s="2868"/>
      <c r="AN84" s="42"/>
      <c r="AO84" s="1179"/>
      <c r="AP84" s="2335"/>
      <c r="AQ84" s="1179"/>
      <c r="AR84" s="1179"/>
      <c r="AS84" s="1179"/>
      <c r="AT84" s="1179"/>
      <c r="AU84" s="2076"/>
      <c r="AV84" s="2076"/>
      <c r="AW84" s="2070"/>
      <c r="AX84" s="4584"/>
      <c r="AY84" s="2087"/>
      <c r="AZ84" s="2087"/>
      <c r="BA84" s="2065"/>
      <c r="BB84" s="4584"/>
      <c r="BC84" s="1179"/>
      <c r="BD84" s="1179"/>
      <c r="BE84" s="1179"/>
      <c r="BF84" s="1179"/>
      <c r="BG84" s="1179"/>
      <c r="BH84" s="1145"/>
      <c r="BI84" s="3445"/>
      <c r="BJ84" s="2595"/>
      <c r="BK84" s="2595"/>
      <c r="BL84" s="2595"/>
      <c r="BM84" s="2595"/>
      <c r="BN84" s="2595"/>
      <c r="BO84" s="2595"/>
      <c r="BP84" s="2595"/>
      <c r="BQ84" s="2595"/>
      <c r="BR84" s="2595"/>
      <c r="BS84" s="2595"/>
      <c r="BT84" s="2595"/>
      <c r="BU84" s="2595"/>
    </row>
    <row r="85" spans="1:73" ht="14.25" customHeight="1">
      <c r="A85" s="588"/>
      <c r="B85" s="1736" t="s">
        <v>79</v>
      </c>
      <c r="C85" s="30"/>
      <c r="D85" s="30"/>
      <c r="E85" s="6053">
        <v>35</v>
      </c>
      <c r="F85" s="5190" t="s">
        <v>33</v>
      </c>
      <c r="G85" s="5207" t="s">
        <v>3922</v>
      </c>
      <c r="H85" s="5204"/>
      <c r="I85" s="5204"/>
      <c r="J85" s="5204"/>
      <c r="K85" s="5204"/>
      <c r="L85" s="5204"/>
      <c r="M85" s="5204"/>
      <c r="N85" s="5204"/>
      <c r="O85" s="5204"/>
      <c r="P85" s="5204"/>
      <c r="Q85" s="5204"/>
      <c r="R85" s="5204"/>
      <c r="S85" s="5204"/>
      <c r="T85" s="5204"/>
      <c r="U85" s="5204"/>
      <c r="V85" s="5204"/>
      <c r="W85" s="5204"/>
      <c r="X85" s="5204"/>
      <c r="Y85" s="5200" t="s">
        <v>717</v>
      </c>
      <c r="Z85" s="3055"/>
      <c r="AA85" s="5291"/>
      <c r="AB85" s="5201" t="str">
        <f>E85&amp;"a"</f>
        <v>35a</v>
      </c>
      <c r="AC85" s="6410">
        <f>Overpaid</f>
        <v>0</v>
      </c>
      <c r="AD85" s="6411"/>
      <c r="AE85" s="6411"/>
      <c r="AF85" s="6411"/>
      <c r="AG85" s="6411"/>
      <c r="AH85" s="451"/>
      <c r="AI85" s="650"/>
      <c r="AJ85" s="3156" t="b">
        <f>AND(You_Owe&gt;1000,You_Owe&gt;0.1*Tot_Tax)</f>
        <v>0</v>
      </c>
      <c r="AK85" s="3162"/>
      <c r="AL85" s="3163" t="b">
        <f>AND(AJ85,AI89="")</f>
        <v>0</v>
      </c>
      <c r="AM85" s="4088"/>
      <c r="AN85" s="1179"/>
      <c r="AO85" s="1179"/>
      <c r="AP85" s="2335"/>
      <c r="AQ85" s="1179"/>
      <c r="AR85" s="1179"/>
      <c r="AS85" s="1179"/>
      <c r="AT85" s="1179"/>
      <c r="AU85" s="2070"/>
      <c r="AV85" s="2070"/>
      <c r="AW85" s="2070"/>
      <c r="AX85" s="4584"/>
      <c r="AY85" s="2087"/>
      <c r="AZ85" s="2087"/>
      <c r="BA85" s="2065"/>
      <c r="BB85" s="4584"/>
      <c r="BC85" s="1179"/>
      <c r="BD85" s="1179"/>
      <c r="BE85" s="1179"/>
      <c r="BF85" s="1179"/>
      <c r="BG85" s="1179"/>
      <c r="BH85" s="1145"/>
      <c r="BI85" s="3445"/>
      <c r="BJ85" s="2595"/>
      <c r="BK85" s="2595"/>
      <c r="BL85" s="2595"/>
      <c r="BM85" s="2595"/>
      <c r="BN85" s="2595"/>
      <c r="BO85" s="2595"/>
      <c r="BP85" s="2595"/>
      <c r="BQ85" s="2595"/>
      <c r="BR85" s="2595"/>
      <c r="BS85" s="2595"/>
      <c r="BT85" s="2595"/>
      <c r="BU85" s="2595"/>
    </row>
    <row r="86" spans="1:73" ht="14.25" customHeight="1">
      <c r="A86" s="588"/>
      <c r="B86" s="338" t="s">
        <v>2473</v>
      </c>
      <c r="C86" s="30"/>
      <c r="D86" s="30"/>
      <c r="E86" s="6053"/>
      <c r="F86" s="5190" t="s">
        <v>47</v>
      </c>
      <c r="G86" s="5207" t="s">
        <v>154</v>
      </c>
      <c r="H86" s="5204"/>
      <c r="I86" s="5204"/>
      <c r="J86" s="6220"/>
      <c r="K86" s="6221"/>
      <c r="L86" s="6221"/>
      <c r="M86" s="6221"/>
      <c r="N86" s="6221"/>
      <c r="O86" s="6221"/>
      <c r="P86" s="6221"/>
      <c r="Q86" s="6222"/>
      <c r="R86" s="5204"/>
      <c r="S86" s="5204"/>
      <c r="T86" s="5289" t="s">
        <v>3923</v>
      </c>
      <c r="U86" s="1183"/>
      <c r="V86" s="5290" t="s">
        <v>155</v>
      </c>
      <c r="W86" s="5290"/>
      <c r="X86" s="5290"/>
      <c r="Y86" s="3040"/>
      <c r="Z86" s="5294" t="s">
        <v>117</v>
      </c>
      <c r="AA86" s="5295"/>
      <c r="AB86" s="3034"/>
      <c r="AC86" s="6223" t="str">
        <f>IF(AND($AI$89="",$AJ$94),"Sum of amounts on","")</f>
        <v/>
      </c>
      <c r="AD86" s="6224"/>
      <c r="AE86" s="6224"/>
      <c r="AF86" s="6224"/>
      <c r="AG86" s="6224"/>
      <c r="AH86" s="451"/>
      <c r="AI86" s="650"/>
      <c r="AJ86" s="6435" t="str">
        <f>IF($AL$85,"Check sheet 2210 to","")</f>
        <v/>
      </c>
      <c r="AK86" s="6436"/>
      <c r="AL86" s="6436"/>
      <c r="AM86" s="4088"/>
      <c r="AN86" s="1179"/>
      <c r="AO86" s="1179"/>
      <c r="AP86" s="2335"/>
      <c r="AQ86" s="1179"/>
      <c r="AR86" s="1179"/>
      <c r="AS86" s="1179"/>
      <c r="AT86" s="1179"/>
      <c r="AU86" s="2070"/>
      <c r="AV86" s="2070"/>
      <c r="AW86" s="2070"/>
      <c r="AX86" s="4584"/>
      <c r="AY86" s="2087"/>
      <c r="AZ86" s="2087"/>
      <c r="BA86" s="2065"/>
      <c r="BB86" s="4584"/>
      <c r="BC86" s="1179"/>
      <c r="BD86" s="1179"/>
      <c r="BE86" s="1179"/>
      <c r="BF86" s="1179"/>
      <c r="BG86" s="1179"/>
      <c r="BH86" s="1145"/>
      <c r="BI86" s="3445"/>
      <c r="BJ86" s="2595"/>
      <c r="BK86" s="2595"/>
      <c r="BL86" s="2595"/>
      <c r="BM86" s="2595"/>
      <c r="BN86" s="2595"/>
      <c r="BO86" s="2595"/>
      <c r="BP86" s="2595"/>
      <c r="BQ86" s="2595"/>
      <c r="BR86" s="2595"/>
      <c r="BS86" s="2595"/>
      <c r="BT86" s="2595"/>
      <c r="BU86" s="2595"/>
    </row>
    <row r="87" spans="1:73" ht="14.25" customHeight="1">
      <c r="A87" s="588"/>
      <c r="B87" s="500" t="s">
        <v>2149</v>
      </c>
      <c r="C87" s="30"/>
      <c r="D87" s="30"/>
      <c r="E87" s="6053"/>
      <c r="F87" s="5190" t="s">
        <v>92</v>
      </c>
      <c r="G87" s="5207" t="s">
        <v>156</v>
      </c>
      <c r="H87" s="5204"/>
      <c r="I87" s="5204"/>
      <c r="J87" s="6220"/>
      <c r="K87" s="6221"/>
      <c r="L87" s="6221"/>
      <c r="M87" s="6221"/>
      <c r="N87" s="6221"/>
      <c r="O87" s="6221"/>
      <c r="P87" s="6221"/>
      <c r="Q87" s="6221"/>
      <c r="R87" s="6221"/>
      <c r="S87" s="6222"/>
      <c r="T87" s="5236"/>
      <c r="U87" s="5292"/>
      <c r="V87" s="5293"/>
      <c r="W87" s="5293"/>
      <c r="X87" s="5293"/>
      <c r="Y87" s="5293"/>
      <c r="Z87" s="5293"/>
      <c r="AA87" s="5200" t="s">
        <v>698</v>
      </c>
      <c r="AB87" s="3037"/>
      <c r="AC87" s="6240" t="str">
        <f>IF(AND($AI$89="",$AJ$94),"Lines 35a &amp; 36","")</f>
        <v/>
      </c>
      <c r="AD87" s="6241"/>
      <c r="AE87" s="6241"/>
      <c r="AF87" s="6241"/>
      <c r="AG87" s="6241"/>
      <c r="AH87" s="451"/>
      <c r="AI87" s="650"/>
      <c r="AJ87" s="6435" t="str">
        <f>IF($AL$85,"figure any tax penalty","")</f>
        <v/>
      </c>
      <c r="AK87" s="6436"/>
      <c r="AL87" s="6436"/>
      <c r="AM87" s="4088"/>
      <c r="AN87" s="1179"/>
      <c r="AO87" s="1179"/>
      <c r="AP87" s="2335"/>
      <c r="AQ87" s="1179"/>
      <c r="AR87" s="1179"/>
      <c r="AS87" s="1179"/>
      <c r="AT87" s="1179"/>
      <c r="AU87" s="2070"/>
      <c r="AV87" s="2070"/>
      <c r="AW87" s="1179"/>
      <c r="AX87" s="4584"/>
      <c r="AY87" s="2087"/>
      <c r="AZ87" s="2087"/>
      <c r="BA87" s="2065"/>
      <c r="BB87" s="4584"/>
      <c r="BC87" s="1179"/>
      <c r="BD87" s="1179"/>
      <c r="BE87" s="1179"/>
      <c r="BF87" s="1179"/>
      <c r="BG87" s="1179"/>
      <c r="BH87" s="1145"/>
      <c r="BI87" s="3445"/>
      <c r="BJ87" s="2595"/>
      <c r="BK87" s="2595"/>
      <c r="BL87" s="2595"/>
      <c r="BM87" s="2595"/>
      <c r="BN87" s="2595"/>
      <c r="BO87" s="2595"/>
      <c r="BP87" s="2595"/>
      <c r="BQ87" s="2595"/>
      <c r="BR87" s="2595"/>
      <c r="BS87" s="2595"/>
      <c r="BT87" s="2595"/>
      <c r="BU87" s="2595"/>
    </row>
    <row r="88" spans="1:73" ht="14.25" customHeight="1">
      <c r="A88" s="588"/>
      <c r="B88" s="30"/>
      <c r="C88" s="30"/>
      <c r="D88" s="30"/>
      <c r="E88" s="6053">
        <v>36</v>
      </c>
      <c r="F88" s="5190"/>
      <c r="G88" s="5207" t="str">
        <f>"Amount   of   line 34  you  want"</f>
        <v>Amount   of   line 34  you  want</v>
      </c>
      <c r="H88" s="5204"/>
      <c r="I88" s="5204"/>
      <c r="J88" s="5204"/>
      <c r="K88" s="5204"/>
      <c r="L88" s="5296" t="str">
        <f>"applied to your "&amp;TaxYear+1&amp;" estimated tax"</f>
        <v>applied to your 2022 estimated tax</v>
      </c>
      <c r="M88" s="5204"/>
      <c r="N88" s="5204"/>
      <c r="O88" s="5204"/>
      <c r="P88" s="5204"/>
      <c r="Q88" s="5204"/>
      <c r="R88" s="5204"/>
      <c r="S88" s="5204"/>
      <c r="T88" s="5297"/>
      <c r="U88" s="5298">
        <f>E88</f>
        <v>36</v>
      </c>
      <c r="V88" s="3035"/>
      <c r="W88" s="6265">
        <f>IF(AM88&lt;&gt;"",ROUND(AM88,0),SUM(Overpaid,-AC85))</f>
        <v>0</v>
      </c>
      <c r="X88" s="6266"/>
      <c r="Y88" s="6266"/>
      <c r="Z88" s="6266"/>
      <c r="AA88" s="3036"/>
      <c r="AB88" s="3037"/>
      <c r="AC88" s="6238" t="str">
        <f>IF(AND($AI$89="",$AJ$94),"must equal Line 34.","")</f>
        <v/>
      </c>
      <c r="AD88" s="6239"/>
      <c r="AE88" s="6239"/>
      <c r="AF88" s="6239"/>
      <c r="AG88" s="6239"/>
      <c r="AH88" s="451"/>
      <c r="AI88" s="650"/>
      <c r="AJ88" s="6435" t="str">
        <f>IF($AL$85,"that may apply.","")</f>
        <v/>
      </c>
      <c r="AK88" s="6436"/>
      <c r="AL88" s="6436"/>
      <c r="AM88" s="2868"/>
      <c r="AN88" s="1179"/>
      <c r="AO88" s="1179"/>
      <c r="AP88" s="2335"/>
      <c r="AQ88" s="1179"/>
      <c r="AR88" s="1179"/>
      <c r="AS88" s="1179"/>
      <c r="AT88" s="1179"/>
      <c r="AU88" s="1179"/>
      <c r="AV88" s="1179"/>
      <c r="AW88" s="1179"/>
      <c r="AX88" s="4584"/>
      <c r="AY88" s="2087"/>
      <c r="AZ88" s="2087"/>
      <c r="BA88" s="2065"/>
      <c r="BB88" s="4584"/>
      <c r="BC88" s="1179"/>
      <c r="BD88" s="1179"/>
      <c r="BE88" s="1179"/>
      <c r="BF88" s="1179"/>
      <c r="BG88" s="1179"/>
      <c r="BH88" s="1145"/>
      <c r="BI88" s="3445"/>
      <c r="BJ88" s="2595"/>
      <c r="BK88" s="2595"/>
      <c r="BL88" s="2595"/>
      <c r="BM88" s="2595"/>
      <c r="BN88" s="2595"/>
      <c r="BO88" s="2595"/>
      <c r="BP88" s="2595"/>
      <c r="BQ88" s="2595"/>
      <c r="BR88" s="2595"/>
      <c r="BS88" s="2595"/>
      <c r="BT88" s="2595"/>
      <c r="BU88" s="2595"/>
    </row>
    <row r="89" spans="1:73" ht="14.25" customHeight="1">
      <c r="A89" s="588"/>
      <c r="B89" s="6441" t="s">
        <v>5106</v>
      </c>
      <c r="C89" s="6441"/>
      <c r="D89" s="6441"/>
      <c r="E89" s="6056">
        <v>37</v>
      </c>
      <c r="F89" s="5299"/>
      <c r="G89" s="5335" t="s">
        <v>4883</v>
      </c>
      <c r="H89" s="5300"/>
      <c r="I89" s="5300"/>
      <c r="J89" s="5300"/>
      <c r="K89" s="5300"/>
      <c r="L89" s="5300"/>
      <c r="M89" s="5300"/>
      <c r="N89" s="5300"/>
      <c r="O89" s="5300"/>
      <c r="P89" s="5300"/>
      <c r="Q89" s="5300"/>
      <c r="R89" s="5300"/>
      <c r="S89" s="5300"/>
      <c r="T89" s="5301"/>
      <c r="U89" s="5302"/>
      <c r="V89" s="5303"/>
      <c r="W89" s="5303"/>
      <c r="X89" s="5303"/>
      <c r="Y89" s="5303"/>
      <c r="Z89" s="5303"/>
      <c r="AA89" s="5336" t="s">
        <v>535</v>
      </c>
      <c r="AB89" s="5201">
        <f>E89</f>
        <v>37</v>
      </c>
      <c r="AC89" s="6298">
        <f>IF(AM89&lt;&gt;"",AM89,IF(ISERROR(Tot_Tax-Tot_Payments+TaxPenalty),0,IF(Tot_Tax-Tot_Payments+TaxPenalty&lt;0,0,Tot_Tax-Tot_Payments+TaxPenalty)))</f>
        <v>0</v>
      </c>
      <c r="AD89" s="6299"/>
      <c r="AE89" s="6299"/>
      <c r="AF89" s="6299"/>
      <c r="AG89" s="6299"/>
      <c r="AH89" s="451"/>
      <c r="AI89" s="3157"/>
      <c r="AJ89" s="3850" t="str">
        <f>IF(OR(AJ85,AJ94),"Hide note.","")</f>
        <v/>
      </c>
      <c r="AK89" s="1285"/>
      <c r="AL89" s="1285"/>
      <c r="AM89" s="4088"/>
      <c r="AN89" s="1179"/>
      <c r="AO89" s="1179"/>
      <c r="AP89" s="2335"/>
      <c r="AQ89" s="1179"/>
      <c r="AR89" s="1179"/>
      <c r="AS89" s="1179"/>
      <c r="AT89" s="1179"/>
      <c r="AU89" s="1179"/>
      <c r="AV89" s="1179"/>
      <c r="AW89" s="1179"/>
      <c r="AX89" s="4584"/>
      <c r="AY89" s="2087"/>
      <c r="AZ89" s="2087"/>
      <c r="BA89" s="2065"/>
      <c r="BB89" s="4584"/>
      <c r="BC89" s="1179"/>
      <c r="BD89" s="1179"/>
      <c r="BE89" s="1179"/>
      <c r="BF89" s="1179"/>
      <c r="BG89" s="1179"/>
      <c r="BH89" s="1145"/>
      <c r="BI89" s="3445"/>
      <c r="BJ89" s="2595"/>
      <c r="BK89" s="2595"/>
      <c r="BL89" s="2595"/>
      <c r="BM89" s="2595"/>
      <c r="BN89" s="2595"/>
      <c r="BO89" s="2595"/>
      <c r="BP89" s="2595"/>
      <c r="BQ89" s="2595"/>
      <c r="BR89" s="2595"/>
      <c r="BS89" s="2595"/>
      <c r="BT89" s="2595"/>
      <c r="BU89" s="2595"/>
    </row>
    <row r="90" spans="1:73" ht="17.25" customHeight="1" thickBot="1">
      <c r="A90" s="588"/>
      <c r="B90" s="6442"/>
      <c r="C90" s="6442"/>
      <c r="D90" s="6442"/>
      <c r="E90" s="6057">
        <v>38</v>
      </c>
      <c r="F90" s="5243"/>
      <c r="G90" s="6225" t="str">
        <f>IF(AND(You_Owe&lt;&gt;"",You_Owe&gt;1000,You_Owe&gt;0.1*Tot_Tax,TaxPenalty=""),"Enter Estimated Tax Penalty (or 0 if none applies)","Estimated tax penalty (see instructions)")</f>
        <v>Estimated tax penalty (see instructions)</v>
      </c>
      <c r="H90" s="6225"/>
      <c r="I90" s="6225"/>
      <c r="J90" s="6225"/>
      <c r="K90" s="6225"/>
      <c r="L90" s="6225"/>
      <c r="M90" s="6225"/>
      <c r="N90" s="6225"/>
      <c r="O90" s="6225"/>
      <c r="P90" s="6225"/>
      <c r="Q90" s="6225"/>
      <c r="R90" s="5226"/>
      <c r="S90" s="5226"/>
      <c r="T90" s="5304" t="s">
        <v>560</v>
      </c>
      <c r="U90" s="5305">
        <f>E90</f>
        <v>38</v>
      </c>
      <c r="V90" s="3038"/>
      <c r="W90" s="6409">
        <f>IF(AM90&lt;&gt;"",ROUND(AM90,0),SUM('2210'!U107))</f>
        <v>0</v>
      </c>
      <c r="X90" s="6409"/>
      <c r="Y90" s="6409"/>
      <c r="Z90" s="6409"/>
      <c r="AA90" s="3039"/>
      <c r="AB90" s="4600"/>
      <c r="AC90" s="4599"/>
      <c r="AD90" s="3130"/>
      <c r="AE90" s="3130"/>
      <c r="AF90" s="3130"/>
      <c r="AG90" s="3130"/>
      <c r="AH90" s="451"/>
      <c r="AI90" s="650"/>
      <c r="AJ90" s="1179"/>
      <c r="AK90" s="1179"/>
      <c r="AL90" s="1179"/>
      <c r="AM90" s="2868"/>
      <c r="AN90" s="1179"/>
      <c r="AO90" s="1179"/>
      <c r="AP90" s="1179"/>
      <c r="AQ90" s="1179"/>
      <c r="AR90" s="1179"/>
      <c r="AS90" s="1179"/>
      <c r="AT90" s="1179"/>
      <c r="AU90" s="1179"/>
      <c r="AV90" s="1179"/>
      <c r="AW90" s="1179"/>
      <c r="AX90" s="4584"/>
      <c r="AY90" s="2087"/>
      <c r="AZ90" s="2087"/>
      <c r="BA90" s="2065"/>
      <c r="BB90" s="4584"/>
      <c r="BC90" s="1179"/>
      <c r="BD90" s="1179"/>
      <c r="BE90" s="1179"/>
      <c r="BF90" s="1179"/>
      <c r="BG90" s="1179"/>
      <c r="BH90" s="1145"/>
      <c r="BI90" s="3445"/>
      <c r="BJ90" s="2595"/>
      <c r="BK90" s="2595"/>
      <c r="BL90" s="2595"/>
      <c r="BM90" s="2595"/>
      <c r="BN90" s="2595"/>
      <c r="BO90" s="2595"/>
      <c r="BP90" s="2595"/>
      <c r="BQ90" s="2595"/>
      <c r="BR90" s="2595"/>
      <c r="BS90" s="2595"/>
      <c r="BT90" s="2595"/>
      <c r="BU90" s="2595"/>
    </row>
    <row r="91" spans="1:73" ht="14.25" customHeight="1">
      <c r="A91" s="588"/>
      <c r="B91" s="6192" t="s">
        <v>3933</v>
      </c>
      <c r="C91" s="6193"/>
      <c r="D91" s="4526"/>
      <c r="E91" s="5203" t="s">
        <v>3935</v>
      </c>
      <c r="F91" s="5207"/>
      <c r="G91" s="5207"/>
      <c r="H91" s="5207"/>
      <c r="I91" s="5207"/>
      <c r="J91" s="5207"/>
      <c r="K91" s="5207"/>
      <c r="L91" s="5207"/>
      <c r="M91" s="5207"/>
      <c r="N91" s="5207"/>
      <c r="O91" s="5207"/>
      <c r="P91" s="5207"/>
      <c r="Q91" s="5207"/>
      <c r="R91" s="5207"/>
      <c r="S91" s="5207"/>
      <c r="T91" s="5207"/>
      <c r="U91" s="5207"/>
      <c r="V91" s="5207"/>
      <c r="W91" s="5207"/>
      <c r="X91" s="5207"/>
      <c r="Y91" s="5207"/>
      <c r="Z91" s="5207"/>
      <c r="AA91" s="5207"/>
      <c r="AB91" s="5212"/>
      <c r="AC91" s="5212"/>
      <c r="AD91" s="5212"/>
      <c r="AE91" s="5207"/>
      <c r="AF91" s="5207"/>
      <c r="AG91" s="5207"/>
      <c r="AH91" s="5204"/>
      <c r="AI91" s="650"/>
      <c r="AJ91" s="1179"/>
      <c r="AK91" s="1179"/>
      <c r="AL91" s="1179"/>
      <c r="AM91" s="4088"/>
      <c r="AN91" s="1179"/>
      <c r="AO91" s="1179"/>
      <c r="AP91" s="1179"/>
      <c r="AQ91" s="1179"/>
      <c r="AR91" s="1179"/>
      <c r="AS91" s="1179"/>
      <c r="AT91" s="1179"/>
      <c r="AU91" s="1179"/>
      <c r="AV91" s="1179"/>
      <c r="AW91" s="1179"/>
      <c r="AX91" s="4584"/>
      <c r="AY91" s="2087"/>
      <c r="AZ91" s="2087"/>
      <c r="BA91" s="2065"/>
      <c r="BB91" s="4584"/>
      <c r="BC91" s="1179"/>
      <c r="BD91" s="1179"/>
      <c r="BE91" s="1179"/>
      <c r="BF91" s="1179"/>
      <c r="BG91" s="1179"/>
      <c r="BH91" s="1179"/>
      <c r="BI91" s="3445"/>
      <c r="BJ91" s="2595"/>
      <c r="BK91" s="2595"/>
      <c r="BL91" s="2595"/>
      <c r="BM91" s="2595"/>
      <c r="BN91" s="2595"/>
      <c r="BO91" s="2595"/>
      <c r="BP91" s="2595"/>
      <c r="BQ91" s="2595"/>
      <c r="BR91" s="2595"/>
      <c r="BS91" s="2595"/>
      <c r="BT91" s="2595"/>
      <c r="BU91" s="2595"/>
    </row>
    <row r="92" spans="1:73" s="42" customFormat="1" ht="14.25" customHeight="1">
      <c r="A92" s="588"/>
      <c r="B92" s="6194"/>
      <c r="C92" s="6194"/>
      <c r="D92" s="4526"/>
      <c r="E92" s="5203" t="s">
        <v>2149</v>
      </c>
      <c r="F92" s="5207"/>
      <c r="G92" s="5207"/>
      <c r="H92" s="5207"/>
      <c r="I92" s="5207"/>
      <c r="J92" s="5207"/>
      <c r="K92" s="5207"/>
      <c r="L92" s="5207"/>
      <c r="M92" s="5207"/>
      <c r="N92" s="5207"/>
      <c r="O92" s="5207"/>
      <c r="P92" s="5207"/>
      <c r="Q92" s="5306"/>
      <c r="R92" s="5207"/>
      <c r="S92" s="5207"/>
      <c r="T92" s="5207"/>
      <c r="U92" s="5200" t="s">
        <v>633</v>
      </c>
      <c r="V92" s="4365"/>
      <c r="W92" s="5207" t="s">
        <v>3943</v>
      </c>
      <c r="X92" s="5207"/>
      <c r="Y92" s="5207"/>
      <c r="Z92" s="5207"/>
      <c r="AA92" s="5207"/>
      <c r="AB92" s="5207"/>
      <c r="AC92" s="4383" t="str">
        <f>IF(V92="","X","")</f>
        <v>X</v>
      </c>
      <c r="AD92" s="5212" t="s">
        <v>382</v>
      </c>
      <c r="AE92" s="5207"/>
      <c r="AF92" s="5207"/>
      <c r="AG92" s="5207"/>
      <c r="AH92" s="5204"/>
      <c r="AI92" s="650"/>
      <c r="AJ92" s="1179"/>
      <c r="AK92" s="1179"/>
      <c r="AL92" s="1179"/>
      <c r="AM92" s="4088"/>
      <c r="AN92" s="1179"/>
      <c r="AO92" s="1179"/>
      <c r="AP92" s="1179"/>
      <c r="AQ92" s="1179"/>
      <c r="AR92" s="1179"/>
      <c r="AS92" s="1179"/>
      <c r="AT92" s="1179"/>
      <c r="AU92" s="1179"/>
      <c r="AV92" s="1179"/>
      <c r="AW92" s="1179"/>
      <c r="AX92" s="1179"/>
      <c r="AY92" s="1179"/>
      <c r="AZ92" s="1179"/>
      <c r="BA92" s="1179"/>
      <c r="BB92" s="1179"/>
      <c r="BC92" s="1179"/>
      <c r="BD92" s="1179"/>
      <c r="BE92" s="1179"/>
      <c r="BF92" s="1179"/>
      <c r="BG92" s="1179"/>
      <c r="BH92" s="1179"/>
      <c r="BI92" s="2595"/>
      <c r="BJ92" s="2595"/>
      <c r="BK92" s="2595"/>
      <c r="BL92" s="2595"/>
      <c r="BM92" s="2595"/>
      <c r="BN92" s="2595"/>
      <c r="BO92" s="2595"/>
      <c r="BP92" s="2595"/>
      <c r="BQ92" s="2595"/>
      <c r="BR92" s="2595"/>
      <c r="BS92" s="2595"/>
      <c r="BT92" s="2595"/>
      <c r="BU92" s="2595"/>
    </row>
    <row r="93" spans="1:73" s="42" customFormat="1" ht="7.5" customHeight="1" thickBot="1">
      <c r="A93" s="588"/>
      <c r="B93" s="6194"/>
      <c r="C93" s="6194"/>
      <c r="D93" s="4526"/>
      <c r="E93" s="5306"/>
      <c r="F93" s="5306"/>
      <c r="G93" s="5306"/>
      <c r="H93" s="5207"/>
      <c r="I93" s="5207"/>
      <c r="J93" s="5207"/>
      <c r="K93" s="5207"/>
      <c r="L93" s="5207"/>
      <c r="M93" s="5207"/>
      <c r="N93" s="5207"/>
      <c r="O93" s="5207"/>
      <c r="P93" s="5207"/>
      <c r="Q93" s="5306"/>
      <c r="R93" s="5306"/>
      <c r="S93" s="5207"/>
      <c r="T93" s="5207"/>
      <c r="U93" s="5207"/>
      <c r="V93" s="5207"/>
      <c r="W93" s="5207"/>
      <c r="X93" s="5306"/>
      <c r="Y93" s="5306"/>
      <c r="Z93" s="5306"/>
      <c r="AA93" s="5306"/>
      <c r="AB93" s="5207"/>
      <c r="AC93" s="5207"/>
      <c r="AD93" s="5207"/>
      <c r="AE93" s="5207"/>
      <c r="AF93" s="5207"/>
      <c r="AG93" s="5207"/>
      <c r="AH93" s="5204"/>
      <c r="AI93" s="650"/>
      <c r="AJ93" s="1179"/>
      <c r="AK93" s="1179"/>
      <c r="AL93" s="1179"/>
      <c r="AM93" s="4088"/>
      <c r="AN93" s="1179"/>
      <c r="AO93" s="1179"/>
      <c r="AP93" s="1179"/>
      <c r="AQ93" s="1179"/>
      <c r="AR93" s="1179"/>
      <c r="AS93" s="1179"/>
      <c r="AT93" s="1179"/>
      <c r="AU93" s="1179"/>
      <c r="AV93" s="1179"/>
      <c r="AW93" s="1179"/>
      <c r="AX93" s="1179"/>
      <c r="AY93" s="1179"/>
      <c r="AZ93" s="1179"/>
      <c r="BA93" s="1179"/>
      <c r="BB93" s="1179"/>
      <c r="BC93" s="1179"/>
      <c r="BD93" s="1179"/>
      <c r="BE93" s="1179"/>
      <c r="BF93" s="1179"/>
      <c r="BG93" s="1179"/>
      <c r="BH93" s="1179"/>
      <c r="BI93" s="2595"/>
      <c r="BJ93" s="2595"/>
      <c r="BK93" s="2595"/>
      <c r="BL93" s="2595"/>
      <c r="BM93" s="2595"/>
      <c r="BN93" s="2595"/>
      <c r="BO93" s="2595"/>
      <c r="BP93" s="2595"/>
      <c r="BQ93" s="2595"/>
      <c r="BR93" s="2595"/>
      <c r="BS93" s="2595"/>
      <c r="BT93" s="2595"/>
      <c r="BU93" s="2595"/>
    </row>
    <row r="94" spans="1:73" s="42" customFormat="1" ht="23.25" customHeight="1" thickBot="1">
      <c r="A94" s="588"/>
      <c r="B94" s="6195"/>
      <c r="C94" s="6195"/>
      <c r="D94" s="4527"/>
      <c r="E94" s="6196" t="s">
        <v>3781</v>
      </c>
      <c r="F94" s="6196"/>
      <c r="G94" s="6196"/>
      <c r="H94" s="6191"/>
      <c r="I94" s="6191"/>
      <c r="J94" s="6191"/>
      <c r="K94" s="6191"/>
      <c r="L94" s="6191"/>
      <c r="M94" s="6191"/>
      <c r="N94" s="6191"/>
      <c r="O94" s="6191"/>
      <c r="P94" s="6191"/>
      <c r="Q94" s="6196" t="s">
        <v>147</v>
      </c>
      <c r="R94" s="6196"/>
      <c r="S94" s="6274"/>
      <c r="T94" s="6274"/>
      <c r="U94" s="6274"/>
      <c r="V94" s="6274"/>
      <c r="W94" s="6274"/>
      <c r="X94" s="6197" t="s">
        <v>3934</v>
      </c>
      <c r="Y94" s="6197"/>
      <c r="Z94" s="6197"/>
      <c r="AA94" s="6197"/>
      <c r="AB94" s="6198"/>
      <c r="AC94" s="4448"/>
      <c r="AD94" s="4448"/>
      <c r="AE94" s="4448"/>
      <c r="AF94" s="4448"/>
      <c r="AG94" s="4448"/>
      <c r="AH94" s="5204"/>
      <c r="AI94" s="650"/>
      <c r="AJ94" s="3848" t="b">
        <f>(SUM(AC85,W88)&lt;&gt;Overpaid)</f>
        <v>0</v>
      </c>
      <c r="AK94" s="3024"/>
      <c r="AL94" s="3024"/>
      <c r="AM94" s="4088"/>
      <c r="AN94" s="1179"/>
      <c r="AO94" s="1179"/>
      <c r="AP94" s="1179"/>
      <c r="AQ94" s="1179"/>
      <c r="AR94" s="1179"/>
      <c r="AS94" s="1179"/>
      <c r="AT94" s="1179"/>
      <c r="AU94" s="1179"/>
      <c r="AV94" s="1179"/>
      <c r="AW94" s="1179"/>
      <c r="AX94" s="1503"/>
      <c r="AY94" s="1503"/>
      <c r="AZ94" s="1503"/>
      <c r="BA94" s="1179"/>
      <c r="BB94" s="1179"/>
      <c r="BC94" s="1179"/>
      <c r="BD94" s="1179"/>
      <c r="BE94" s="1179"/>
      <c r="BF94" s="1179"/>
      <c r="BG94" s="1179"/>
      <c r="BH94" s="1179"/>
      <c r="BI94" s="2595"/>
      <c r="BJ94" s="2595"/>
      <c r="BK94" s="2595"/>
      <c r="BL94" s="2595"/>
      <c r="BM94" s="2595"/>
      <c r="BN94" s="2595"/>
      <c r="BO94" s="2595"/>
      <c r="BP94" s="2595"/>
      <c r="BQ94" s="2595"/>
      <c r="BR94" s="2595"/>
      <c r="BS94" s="2595"/>
      <c r="BT94" s="2595"/>
      <c r="BU94" s="2595"/>
    </row>
    <row r="95" spans="1:73" s="42" customFormat="1" ht="13.5" customHeight="1">
      <c r="A95" s="588"/>
      <c r="B95" s="1185"/>
      <c r="C95" s="3988" t="s">
        <v>107</v>
      </c>
      <c r="D95" s="3988"/>
      <c r="E95" s="5307" t="s">
        <v>2432</v>
      </c>
      <c r="F95" s="5204"/>
      <c r="G95" s="5204"/>
      <c r="H95" s="5204"/>
      <c r="I95" s="5204"/>
      <c r="J95" s="5204"/>
      <c r="K95" s="5204"/>
      <c r="L95" s="5204"/>
      <c r="M95" s="5204"/>
      <c r="N95" s="5204"/>
      <c r="O95" s="5204"/>
      <c r="P95" s="5204"/>
      <c r="Q95" s="5204"/>
      <c r="R95" s="5204"/>
      <c r="S95" s="5204"/>
      <c r="T95" s="5204"/>
      <c r="U95" s="5204"/>
      <c r="V95" s="5204"/>
      <c r="W95" s="5204"/>
      <c r="X95" s="5204"/>
      <c r="Y95" s="5204"/>
      <c r="Z95" s="5204"/>
      <c r="AA95" s="5204"/>
      <c r="AB95" s="5204"/>
      <c r="AC95" s="5204"/>
      <c r="AD95" s="5204"/>
      <c r="AE95" s="5204"/>
      <c r="AF95" s="5204"/>
      <c r="AG95" s="5204"/>
      <c r="AH95" s="5204"/>
      <c r="AI95" s="650"/>
      <c r="AJ95" s="3024"/>
      <c r="AK95" s="3024"/>
      <c r="AL95" s="3024"/>
      <c r="AM95" s="4088"/>
      <c r="AN95" s="1179"/>
      <c r="AO95" s="1145"/>
      <c r="AP95" s="1145"/>
      <c r="AQ95" s="1145"/>
      <c r="AR95" s="1145"/>
      <c r="AS95" s="1145"/>
      <c r="AT95" s="1145"/>
      <c r="AU95" s="1179"/>
      <c r="AV95" s="1179"/>
      <c r="AW95" s="1179"/>
      <c r="AX95" s="1503"/>
      <c r="AY95" s="1503"/>
      <c r="AZ95" s="1503"/>
      <c r="BA95" s="1179"/>
      <c r="BB95" s="1179"/>
      <c r="BC95" s="1179"/>
      <c r="BD95" s="1179"/>
      <c r="BE95" s="1179"/>
      <c r="BF95" s="1179"/>
      <c r="BG95" s="1179"/>
      <c r="BH95" s="1145"/>
      <c r="BI95" s="2595"/>
      <c r="BJ95" s="2595"/>
      <c r="BK95" s="2595"/>
      <c r="BL95" s="2595"/>
      <c r="BM95" s="2595"/>
      <c r="BN95" s="2595"/>
      <c r="BO95" s="2595"/>
      <c r="BP95" s="2595"/>
      <c r="BQ95" s="2595"/>
      <c r="BR95" s="2595"/>
      <c r="BS95" s="2595"/>
      <c r="BT95" s="2595"/>
      <c r="BU95" s="2595"/>
    </row>
    <row r="96" spans="1:73" ht="14.25" customHeight="1" thickBot="1">
      <c r="A96" s="588"/>
      <c r="B96" s="1185"/>
      <c r="C96" s="4449" t="s">
        <v>108</v>
      </c>
      <c r="D96" s="4449"/>
      <c r="E96" s="5308" t="s">
        <v>2433</v>
      </c>
      <c r="F96" s="5309"/>
      <c r="G96" s="5309"/>
      <c r="H96" s="5309"/>
      <c r="I96" s="5309"/>
      <c r="J96" s="5309"/>
      <c r="K96" s="5309"/>
      <c r="L96" s="5309"/>
      <c r="M96" s="5309"/>
      <c r="N96" s="5309"/>
      <c r="O96" s="5309"/>
      <c r="P96" s="5309"/>
      <c r="Q96" s="5309"/>
      <c r="R96" s="5309"/>
      <c r="S96" s="5309"/>
      <c r="T96" s="5309"/>
      <c r="U96" s="5309"/>
      <c r="V96" s="5309"/>
      <c r="W96" s="5309"/>
      <c r="X96" s="5309"/>
      <c r="Y96" s="5309"/>
      <c r="Z96" s="5309"/>
      <c r="AA96" s="5309"/>
      <c r="AB96" s="5309"/>
      <c r="AC96" s="5309"/>
      <c r="AD96" s="5309"/>
      <c r="AE96" s="5309"/>
      <c r="AF96" s="5309"/>
      <c r="AG96" s="5309"/>
      <c r="AH96" s="5309"/>
      <c r="AI96" s="650"/>
      <c r="AJ96" s="3024"/>
      <c r="AK96" s="3024"/>
      <c r="AL96" s="3024"/>
      <c r="AM96" s="4088"/>
      <c r="AN96" s="1145"/>
      <c r="AO96" s="1145"/>
      <c r="AP96" s="1145"/>
      <c r="AQ96" s="1145"/>
      <c r="AR96" s="1145"/>
      <c r="AS96" s="1145"/>
      <c r="AT96" s="1145"/>
      <c r="AU96" s="1179"/>
      <c r="AV96" s="1179"/>
      <c r="AW96" s="1179"/>
      <c r="AX96" s="1276"/>
      <c r="AY96" s="1276"/>
      <c r="AZ96" s="1276"/>
      <c r="BA96" s="1276"/>
      <c r="BB96" s="1276"/>
      <c r="BC96" s="1276"/>
      <c r="BD96" s="1276"/>
      <c r="BE96" s="1276"/>
      <c r="BF96" s="1276"/>
      <c r="BG96" s="1410"/>
      <c r="BH96" s="1145"/>
      <c r="BI96" s="3445"/>
      <c r="BJ96" s="2595"/>
      <c r="BK96" s="2595"/>
      <c r="BL96" s="2595"/>
      <c r="BM96" s="2595"/>
      <c r="BN96" s="2595"/>
      <c r="BO96" s="2595"/>
      <c r="BP96" s="2595"/>
      <c r="BQ96" s="2595"/>
      <c r="BR96" s="2595"/>
      <c r="BS96" s="2595"/>
      <c r="BT96" s="2595"/>
      <c r="BU96" s="2595"/>
    </row>
    <row r="97" spans="1:73" ht="14.25" customHeight="1" thickBot="1">
      <c r="A97" s="588"/>
      <c r="B97" s="1185"/>
      <c r="C97" s="3128" t="s">
        <v>109</v>
      </c>
      <c r="D97" s="3128"/>
      <c r="E97" s="1185" t="s">
        <v>110</v>
      </c>
      <c r="F97" s="1179"/>
      <c r="G97" s="1185"/>
      <c r="H97" s="1185"/>
      <c r="I97" s="1185"/>
      <c r="J97" s="1185"/>
      <c r="K97" s="1185"/>
      <c r="L97" s="1185"/>
      <c r="M97" s="1185"/>
      <c r="N97" s="1185"/>
      <c r="O97" s="1185"/>
      <c r="P97" s="1303" t="s">
        <v>111</v>
      </c>
      <c r="Q97" s="1185"/>
      <c r="R97" s="1185"/>
      <c r="S97" s="1304"/>
      <c r="T97" s="6207" t="s">
        <v>112</v>
      </c>
      <c r="U97" s="6208"/>
      <c r="V97" s="6208"/>
      <c r="W97" s="6208"/>
      <c r="X97" s="6208"/>
      <c r="Y97" s="6208"/>
      <c r="Z97" s="6268"/>
      <c r="AA97" s="1305" t="s">
        <v>2327</v>
      </c>
      <c r="AB97" s="1306"/>
      <c r="AC97" s="1185"/>
      <c r="AD97" s="1185"/>
      <c r="AE97" s="1185"/>
      <c r="AF97" s="1185"/>
      <c r="AG97" s="1185"/>
      <c r="AH97" s="1307"/>
      <c r="AI97" s="650"/>
      <c r="AJ97" s="23"/>
      <c r="AK97" s="23"/>
      <c r="AL97" s="23"/>
      <c r="AM97" s="4088"/>
      <c r="AN97" s="1145"/>
      <c r="AO97" s="1145"/>
      <c r="AP97" s="1145"/>
      <c r="AQ97" s="1145"/>
      <c r="AR97" s="1145"/>
      <c r="AS97" s="1145"/>
      <c r="AT97" s="1145"/>
      <c r="AU97" s="1179"/>
      <c r="AV97" s="1179"/>
      <c r="AW97" s="1179"/>
      <c r="AX97" s="2978"/>
      <c r="AY97" s="2979"/>
      <c r="AZ97" s="2979"/>
      <c r="BA97" s="2980" t="s">
        <v>1721</v>
      </c>
      <c r="BB97" s="2979"/>
      <c r="BC97" s="2979"/>
      <c r="BD97" s="2981"/>
      <c r="BE97" s="2979"/>
      <c r="BF97" s="4133">
        <v>1</v>
      </c>
      <c r="BG97" s="4134" t="s">
        <v>1231</v>
      </c>
      <c r="BH97" s="1145"/>
      <c r="BI97" s="3445"/>
      <c r="BJ97" s="2595"/>
      <c r="BK97" s="2595"/>
      <c r="BL97" s="2595"/>
      <c r="BM97" s="2595"/>
      <c r="BN97" s="2595"/>
      <c r="BO97" s="2595"/>
      <c r="BP97" s="2595"/>
      <c r="BQ97" s="2595"/>
      <c r="BR97" s="2595"/>
      <c r="BS97" s="2595"/>
      <c r="BT97" s="2595"/>
      <c r="BU97" s="2595"/>
    </row>
    <row r="98" spans="1:73" ht="14.25" customHeight="1" thickBot="1">
      <c r="A98" s="588"/>
      <c r="B98" s="1185"/>
      <c r="C98" s="4085" t="s">
        <v>587</v>
      </c>
      <c r="D98" s="4085"/>
      <c r="E98" s="6217"/>
      <c r="F98" s="6218"/>
      <c r="G98" s="6218"/>
      <c r="H98" s="6218"/>
      <c r="I98" s="6218"/>
      <c r="J98" s="6218"/>
      <c r="K98" s="6218"/>
      <c r="L98" s="6218"/>
      <c r="M98" s="6218"/>
      <c r="N98" s="6218"/>
      <c r="O98" s="6219"/>
      <c r="P98" s="6244"/>
      <c r="Q98" s="6245"/>
      <c r="R98" s="6246"/>
      <c r="S98" s="6247"/>
      <c r="T98" s="6248"/>
      <c r="U98" s="6218"/>
      <c r="V98" s="6218"/>
      <c r="W98" s="6218"/>
      <c r="X98" s="6218"/>
      <c r="Y98" s="6249"/>
      <c r="Z98" s="6250"/>
      <c r="AA98" s="6251" t="s">
        <v>2437</v>
      </c>
      <c r="AB98" s="6252"/>
      <c r="AC98" s="3042"/>
      <c r="AD98" s="3042"/>
      <c r="AE98" s="3054"/>
      <c r="AF98" s="3054"/>
      <c r="AG98" s="3054"/>
      <c r="AH98" s="3054"/>
      <c r="AI98" s="650"/>
      <c r="AJ98" s="23"/>
      <c r="AK98" s="23"/>
      <c r="AL98" s="23"/>
      <c r="AM98" s="4088"/>
      <c r="AN98" s="1145"/>
      <c r="AO98" s="1145"/>
      <c r="AP98" s="1145"/>
      <c r="AQ98" s="1145"/>
      <c r="AR98" s="1145"/>
      <c r="AS98" s="1145"/>
      <c r="AT98" s="1145"/>
      <c r="AU98" s="1145"/>
      <c r="AV98" s="1145"/>
      <c r="AW98" s="1179"/>
      <c r="AX98" s="2066"/>
      <c r="AY98" s="2067"/>
      <c r="AZ98" s="2067"/>
      <c r="BA98" s="2067"/>
      <c r="BB98" s="2067"/>
      <c r="BC98" s="2067"/>
      <c r="BD98" s="2068"/>
      <c r="BE98" s="2067"/>
      <c r="BF98" s="2068">
        <v>2</v>
      </c>
      <c r="BG98" s="2069" t="s">
        <v>1232</v>
      </c>
      <c r="BH98" s="1145"/>
      <c r="BI98" s="3445"/>
      <c r="BJ98" s="2595"/>
      <c r="BK98" s="2595"/>
      <c r="BL98" s="2595"/>
      <c r="BM98" s="2595"/>
      <c r="BN98" s="2595"/>
      <c r="BO98" s="2595"/>
      <c r="BP98" s="2595"/>
      <c r="BQ98" s="2595"/>
      <c r="BR98" s="2595"/>
      <c r="BS98" s="2595"/>
      <c r="BT98" s="2595"/>
      <c r="BU98" s="2595"/>
    </row>
    <row r="99" spans="1:73" ht="14.25" customHeight="1" thickBot="1">
      <c r="A99" s="588"/>
      <c r="B99" s="1185"/>
      <c r="C99" s="3128" t="s">
        <v>332</v>
      </c>
      <c r="D99" s="3128"/>
      <c r="E99" s="1185" t="s">
        <v>2333</v>
      </c>
      <c r="F99" s="1185"/>
      <c r="G99" s="1185"/>
      <c r="H99" s="1185"/>
      <c r="I99" s="1185"/>
      <c r="J99" s="1185"/>
      <c r="K99" s="1185"/>
      <c r="L99" s="1185"/>
      <c r="M99" s="1185"/>
      <c r="N99" s="1185"/>
      <c r="O99" s="1185"/>
      <c r="P99" s="1186" t="s">
        <v>111</v>
      </c>
      <c r="Q99" s="1187"/>
      <c r="R99" s="1187"/>
      <c r="S99" s="1188"/>
      <c r="T99" s="6207" t="s">
        <v>113</v>
      </c>
      <c r="U99" s="6208"/>
      <c r="V99" s="6208"/>
      <c r="W99" s="6208"/>
      <c r="X99" s="6208"/>
      <c r="Y99" s="6208"/>
      <c r="Z99" s="6208"/>
      <c r="AA99" s="1305" t="s">
        <v>2327</v>
      </c>
      <c r="AB99" s="1189"/>
      <c r="AC99" s="1189"/>
      <c r="AD99" s="1189"/>
      <c r="AE99" s="1189"/>
      <c r="AF99" s="1189"/>
      <c r="AG99" s="1189"/>
      <c r="AH99" s="1189"/>
      <c r="AI99" s="650"/>
      <c r="AJ99" s="23"/>
      <c r="AK99" s="23"/>
      <c r="AL99" s="23"/>
      <c r="AM99" s="4088"/>
      <c r="AN99" s="1145"/>
      <c r="AO99" s="1145"/>
      <c r="AP99" s="1145"/>
      <c r="AQ99" s="1145"/>
      <c r="AR99" s="1145"/>
      <c r="AS99" s="1145"/>
      <c r="AT99" s="1145"/>
      <c r="AU99" s="1145"/>
      <c r="AV99" s="1145"/>
      <c r="AW99" s="1179"/>
      <c r="AX99" s="2066"/>
      <c r="AY99" s="2067"/>
      <c r="AZ99" s="2067"/>
      <c r="BA99" s="2067"/>
      <c r="BB99" s="2067"/>
      <c r="BC99" s="2067"/>
      <c r="BD99" s="2068"/>
      <c r="BE99" s="2067"/>
      <c r="BF99" s="2068">
        <v>3</v>
      </c>
      <c r="BG99" s="2069" t="s">
        <v>1233</v>
      </c>
      <c r="BH99" s="1145"/>
      <c r="BI99" s="3445"/>
      <c r="BJ99" s="2595"/>
      <c r="BK99" s="2595"/>
      <c r="BL99" s="2595"/>
      <c r="BM99" s="2595"/>
      <c r="BN99" s="2595"/>
      <c r="BO99" s="2595"/>
      <c r="BP99" s="2595"/>
      <c r="BQ99" s="2595"/>
      <c r="BR99" s="2595"/>
      <c r="BS99" s="2595"/>
      <c r="BT99" s="2595"/>
      <c r="BU99" s="2595"/>
    </row>
    <row r="100" spans="1:73" ht="14.25" customHeight="1" thickBot="1">
      <c r="A100" s="588"/>
      <c r="B100" s="1185"/>
      <c r="C100" s="4089" t="s">
        <v>268</v>
      </c>
      <c r="D100" s="4089"/>
      <c r="E100" s="6217"/>
      <c r="F100" s="6218"/>
      <c r="G100" s="6218"/>
      <c r="H100" s="6218"/>
      <c r="I100" s="6218"/>
      <c r="J100" s="6218"/>
      <c r="K100" s="6218"/>
      <c r="L100" s="6218"/>
      <c r="M100" s="6218"/>
      <c r="N100" s="6218"/>
      <c r="O100" s="6219"/>
      <c r="P100" s="6244"/>
      <c r="Q100" s="6245"/>
      <c r="R100" s="6246"/>
      <c r="S100" s="6247"/>
      <c r="T100" s="6248"/>
      <c r="U100" s="6218"/>
      <c r="V100" s="6218"/>
      <c r="W100" s="6218"/>
      <c r="X100" s="6218"/>
      <c r="Y100" s="6249"/>
      <c r="Z100" s="6249"/>
      <c r="AA100" s="6251" t="s">
        <v>2437</v>
      </c>
      <c r="AB100" s="6252"/>
      <c r="AC100" s="3042"/>
      <c r="AD100" s="3042"/>
      <c r="AE100" s="3054"/>
      <c r="AF100" s="3054"/>
      <c r="AG100" s="3054"/>
      <c r="AH100" s="3054"/>
      <c r="AI100" s="650"/>
      <c r="AJ100" s="23"/>
      <c r="AK100" s="23"/>
      <c r="AL100" s="23"/>
      <c r="AM100" s="4088"/>
      <c r="AN100" s="1145"/>
      <c r="AO100" s="1145"/>
      <c r="AP100" s="1145"/>
      <c r="AQ100" s="1145"/>
      <c r="AR100" s="1145"/>
      <c r="AS100" s="1145"/>
      <c r="AT100" s="1145"/>
      <c r="AU100" s="1145"/>
      <c r="AV100" s="1145"/>
      <c r="AW100" s="1179"/>
      <c r="AX100" s="2066"/>
      <c r="AY100" s="2067" t="e">
        <f>DATEVALUE(AY102)</f>
        <v>#N/A</v>
      </c>
      <c r="AZ100" s="2067"/>
      <c r="BA100" s="2067"/>
      <c r="BB100" s="2067"/>
      <c r="BC100" s="2067"/>
      <c r="BD100" s="2068"/>
      <c r="BE100" s="2067"/>
      <c r="BF100" s="2068">
        <v>4</v>
      </c>
      <c r="BG100" s="2069" t="s">
        <v>1234</v>
      </c>
      <c r="BH100" s="1145"/>
      <c r="BI100" s="3445"/>
      <c r="BJ100" s="2595"/>
      <c r="BK100" s="2595"/>
      <c r="BL100" s="2595"/>
      <c r="BM100" s="2595"/>
      <c r="BN100" s="2595"/>
      <c r="BO100" s="2595"/>
      <c r="BP100" s="2595"/>
      <c r="BQ100" s="2595"/>
      <c r="BR100" s="2595"/>
      <c r="BS100" s="2595"/>
      <c r="BT100" s="2595"/>
      <c r="BU100" s="2595"/>
    </row>
    <row r="101" spans="1:73" ht="14.25" customHeight="1">
      <c r="A101" s="588"/>
      <c r="B101" s="1185"/>
      <c r="C101" s="4086"/>
      <c r="D101" s="4089"/>
      <c r="E101" s="2187" t="s">
        <v>147</v>
      </c>
      <c r="F101" s="2187"/>
      <c r="G101" s="4089"/>
      <c r="H101" s="6200"/>
      <c r="I101" s="6201"/>
      <c r="J101" s="6201"/>
      <c r="K101" s="6201"/>
      <c r="L101" s="6201"/>
      <c r="M101" s="6201"/>
      <c r="N101" s="6201"/>
      <c r="O101" s="4089"/>
      <c r="P101" s="6205" t="s">
        <v>3325</v>
      </c>
      <c r="Q101" s="6206"/>
      <c r="R101" s="6206"/>
      <c r="S101" s="6206"/>
      <c r="T101" s="6202"/>
      <c r="U101" s="6203"/>
      <c r="V101" s="6203"/>
      <c r="W101" s="6203"/>
      <c r="X101" s="6203"/>
      <c r="Y101" s="6203"/>
      <c r="Z101" s="6203"/>
      <c r="AA101" s="6204"/>
      <c r="AB101" s="6204"/>
      <c r="AC101" s="6204"/>
      <c r="AD101" s="6204"/>
      <c r="AE101" s="4559"/>
      <c r="AF101" s="4560"/>
      <c r="AG101" s="4560"/>
      <c r="AH101" s="4560"/>
      <c r="AI101" s="650"/>
      <c r="AJ101" s="23"/>
      <c r="AK101" s="23"/>
      <c r="AL101" s="23"/>
      <c r="AM101" s="4088"/>
      <c r="AN101" s="1145"/>
      <c r="AO101" s="1145"/>
      <c r="AP101" s="1145"/>
      <c r="AQ101" s="1145"/>
      <c r="AR101" s="1145"/>
      <c r="AS101" s="1145"/>
      <c r="AT101" s="1145"/>
      <c r="AU101" s="1145"/>
      <c r="AV101" s="1145"/>
      <c r="AW101" s="1179"/>
      <c r="AX101" s="2066" t="b">
        <f>IF(OR(YourBirthMonth="",YourBirthDay="",YourBirthYear=""),TRUE,FALSE)</f>
        <v>1</v>
      </c>
      <c r="AY101" s="4130" t="e">
        <f>DATEVALUE(AY102)</f>
        <v>#N/A</v>
      </c>
      <c r="AZ101" s="2067" t="s">
        <v>1665</v>
      </c>
      <c r="BA101" s="2067"/>
      <c r="BB101" s="2071"/>
      <c r="BC101" s="2071" t="s">
        <v>1666</v>
      </c>
      <c r="BD101" s="2068" t="e">
        <f>IF(AND(YourBirthMonth=2,YourBirthDay=29),YourBirthDay-1&amp;"-"&amp;LOOKUP(YourBirthMonth,$BF$97:$BF$109,$BG$97:$BG$109)&amp;"-"&amp;(YourBirthYear+70),YourBirthDay&amp;"-"&amp;LOOKUP(YourBirthMonth,$BF$97:$BF$109,$BG$97:$BG$109)&amp;"-"&amp;(YourBirthYear+70))</f>
        <v>#N/A</v>
      </c>
      <c r="BE101" s="2067"/>
      <c r="BF101" s="2068">
        <v>5</v>
      </c>
      <c r="BG101" s="2069" t="s">
        <v>1106</v>
      </c>
      <c r="BH101" s="1145"/>
      <c r="BI101" s="3445"/>
      <c r="BJ101" s="2595"/>
      <c r="BK101" s="2595"/>
      <c r="BL101" s="2595"/>
      <c r="BM101" s="2595"/>
      <c r="BN101" s="2595"/>
      <c r="BO101" s="2595"/>
      <c r="BP101" s="2595"/>
      <c r="BQ101" s="2595"/>
      <c r="BR101" s="2595"/>
      <c r="BS101" s="2595"/>
      <c r="BT101" s="2595"/>
      <c r="BU101" s="2595"/>
    </row>
    <row r="102" spans="1:73" ht="14.25" customHeight="1" thickBot="1">
      <c r="A102" s="588"/>
      <c r="B102" s="1185"/>
      <c r="C102" s="6176" t="s">
        <v>3679</v>
      </c>
      <c r="D102" s="2184"/>
      <c r="E102" s="6209" t="s">
        <v>3326</v>
      </c>
      <c r="F102" s="6210"/>
      <c r="G102" s="6210"/>
      <c r="H102" s="6210"/>
      <c r="I102" s="6210"/>
      <c r="J102" s="6210"/>
      <c r="K102" s="6211"/>
      <c r="L102" s="6267" t="s">
        <v>512</v>
      </c>
      <c r="M102" s="6210"/>
      <c r="N102" s="6210"/>
      <c r="O102" s="6210"/>
      <c r="P102" s="6210"/>
      <c r="Q102" s="6210"/>
      <c r="R102" s="6210"/>
      <c r="S102" s="6210"/>
      <c r="T102" s="1032"/>
      <c r="U102" s="987"/>
      <c r="V102" s="6259" t="s">
        <v>111</v>
      </c>
      <c r="W102" s="6260"/>
      <c r="X102" s="6260"/>
      <c r="Y102" s="6261"/>
      <c r="Z102" s="6256" t="s">
        <v>513</v>
      </c>
      <c r="AA102" s="6257"/>
      <c r="AB102" s="6257"/>
      <c r="AC102" s="6257"/>
      <c r="AD102" s="6258"/>
      <c r="AE102" s="6212" t="s">
        <v>2328</v>
      </c>
      <c r="AF102" s="6213"/>
      <c r="AG102" s="6213"/>
      <c r="AH102" s="6213"/>
      <c r="AI102" s="650"/>
      <c r="AJ102" s="23"/>
      <c r="AK102" s="23"/>
      <c r="AL102" s="23"/>
      <c r="AM102" s="4088"/>
      <c r="AN102" s="1145"/>
      <c r="AO102" s="1145"/>
      <c r="AP102" s="1145"/>
      <c r="AQ102" s="1145"/>
      <c r="AR102" s="1145"/>
      <c r="AS102" s="1145"/>
      <c r="AT102" s="1145"/>
      <c r="AU102" s="1145"/>
      <c r="AV102" s="1145"/>
      <c r="AW102" s="1179"/>
      <c r="AX102" s="2072" t="e">
        <f>LOOKUP(YourBirthMonth,$BF$97:$BF$109,$BG$97:$BG$109)</f>
        <v>#N/A</v>
      </c>
      <c r="AY102" s="2068" t="e">
        <f>YourBirthDay&amp;"-"&amp;AX102&amp;"-"&amp;YourBirthYear</f>
        <v>#N/A</v>
      </c>
      <c r="AZ102" s="3958" t="b">
        <f>IF(OR(YourBirthMonth="",YourBirthDay="",YourBirthYear=""),TRUE,IF(ISERROR(AY101),TRUE,FALSE))</f>
        <v>1</v>
      </c>
      <c r="BA102" s="2067" t="b">
        <f>IF(AND(YourBirthMonth="",YourBirthDay="",YourBirthYear=""),FALSE,IF(OR(BadBirthdate_Yours,AND(YourAge&gt;120,AND(YourBirthMonth&lt;&gt;"",YourBirthDay&lt;&gt;"",YourBirthYear&lt;&gt;""))),TRUE,FALSE))</f>
        <v>0</v>
      </c>
      <c r="BB102" s="2067"/>
      <c r="BC102" s="2073"/>
      <c r="BD102" s="2068"/>
      <c r="BE102" s="2067">
        <f>YourBirthMonth+6</f>
        <v>6</v>
      </c>
      <c r="BF102" s="2068">
        <v>6</v>
      </c>
      <c r="BG102" s="2069" t="s">
        <v>1235</v>
      </c>
      <c r="BH102" s="1145"/>
      <c r="BI102" s="3445"/>
      <c r="BJ102" s="2595"/>
      <c r="BK102" s="2595"/>
      <c r="BL102" s="2595"/>
      <c r="BM102" s="2595"/>
      <c r="BN102" s="2595"/>
      <c r="BO102" s="2595"/>
      <c r="BP102" s="2595"/>
      <c r="BQ102" s="2595"/>
      <c r="BR102" s="2595"/>
      <c r="BS102" s="2595"/>
      <c r="BT102" s="2595"/>
      <c r="BU102" s="2595"/>
    </row>
    <row r="103" spans="1:73" ht="16.5" customHeight="1" thickBot="1">
      <c r="A103" s="588"/>
      <c r="B103" s="1185"/>
      <c r="C103" s="6177"/>
      <c r="D103" s="2202"/>
      <c r="E103" s="6186"/>
      <c r="F103" s="6186"/>
      <c r="G103" s="6186"/>
      <c r="H103" s="6186"/>
      <c r="I103" s="6186"/>
      <c r="J103" s="6269"/>
      <c r="K103" s="6270"/>
      <c r="L103" s="6214"/>
      <c r="M103" s="6215"/>
      <c r="N103" s="6215"/>
      <c r="O103" s="6215"/>
      <c r="P103" s="6215"/>
      <c r="Q103" s="6215"/>
      <c r="R103" s="6215"/>
      <c r="S103" s="6215"/>
      <c r="T103" s="6215"/>
      <c r="U103" s="6216"/>
      <c r="V103" s="6182"/>
      <c r="W103" s="6183"/>
      <c r="X103" s="6183"/>
      <c r="Y103" s="6184"/>
      <c r="Z103" s="6185"/>
      <c r="AA103" s="6186"/>
      <c r="AB103" s="6186"/>
      <c r="AC103" s="6186"/>
      <c r="AD103" s="6187"/>
      <c r="AE103" s="1180"/>
      <c r="AF103" s="3257" t="s">
        <v>2326</v>
      </c>
      <c r="AG103" s="3043"/>
      <c r="AH103" s="3043"/>
      <c r="AI103" s="650"/>
      <c r="AJ103" s="23"/>
      <c r="AK103" s="23"/>
      <c r="AL103" s="23"/>
      <c r="AM103" s="4088"/>
      <c r="AN103" s="1145"/>
      <c r="AO103" s="1145"/>
      <c r="AP103" s="1145"/>
      <c r="AQ103" s="1145"/>
      <c r="AR103" s="1145"/>
      <c r="AS103" s="1145"/>
      <c r="AT103" s="1145"/>
      <c r="AU103" s="1145"/>
      <c r="AV103" s="1145"/>
      <c r="AW103" s="1179"/>
      <c r="AX103" s="2066"/>
      <c r="AY103" s="2067" t="e">
        <f>IF(BA102,"",DATEVALUE(AY102))</f>
        <v>#N/A</v>
      </c>
      <c r="AZ103" s="2067"/>
      <c r="BA103" s="2067"/>
      <c r="BB103" s="2071" t="str">
        <f>"YOU are 70.5 on "&amp;TEXT(EndOfTaxYear,"dd-mmm-yyyy")&amp;" -&gt;"</f>
        <v>YOU are 70.5 on 31-Dec-2021 -&gt;</v>
      </c>
      <c r="BC103" s="2074" t="b">
        <f>IF(BadBirthdate_Yours,FALSE,IF(DATEVALUE(BD101)&lt;=DATEVALUE(BC106),TRUE,FALSE))</f>
        <v>0</v>
      </c>
      <c r="BD103" s="2068"/>
      <c r="BE103" s="2067">
        <f>IF(BE102&lt;=12,YourBirthYear+70,YourBirthYear+71)</f>
        <v>70</v>
      </c>
      <c r="BF103" s="2068">
        <v>7</v>
      </c>
      <c r="BG103" s="2069" t="s">
        <v>1236</v>
      </c>
      <c r="BH103" s="1145"/>
      <c r="BI103" s="3445"/>
      <c r="BJ103" s="2595"/>
      <c r="BK103" s="2595"/>
      <c r="BL103" s="2595"/>
      <c r="BM103" s="2595"/>
      <c r="BN103" s="2595"/>
      <c r="BO103" s="2595"/>
      <c r="BP103" s="2595"/>
      <c r="BQ103" s="2595"/>
      <c r="BR103" s="2595"/>
      <c r="BS103" s="2595"/>
      <c r="BT103" s="2595"/>
      <c r="BU103" s="2595"/>
    </row>
    <row r="104" spans="1:73" ht="13.5" customHeight="1" thickBot="1">
      <c r="A104" s="588"/>
      <c r="B104" s="1185"/>
      <c r="C104" s="6178"/>
      <c r="D104" s="4528"/>
      <c r="E104" s="6188" t="s">
        <v>515</v>
      </c>
      <c r="F104" s="6189"/>
      <c r="G104" s="6189"/>
      <c r="H104" s="6190"/>
      <c r="I104" s="6199"/>
      <c r="J104" s="6199"/>
      <c r="K104" s="6199"/>
      <c r="L104" s="6199"/>
      <c r="M104" s="6199"/>
      <c r="N104" s="6199"/>
      <c r="O104" s="6199"/>
      <c r="P104" s="6199"/>
      <c r="Q104" s="6199"/>
      <c r="R104" s="6199"/>
      <c r="S104" s="6199"/>
      <c r="T104" s="6199"/>
      <c r="U104" s="6199"/>
      <c r="V104" s="6199"/>
      <c r="W104" s="6199"/>
      <c r="X104" s="6199"/>
      <c r="Y104" s="6199"/>
      <c r="Z104" s="4558"/>
      <c r="AA104" s="6242" t="s">
        <v>147</v>
      </c>
      <c r="AB104" s="6243"/>
      <c r="AC104" s="6243"/>
      <c r="AD104" s="6200"/>
      <c r="AE104" s="6206"/>
      <c r="AF104" s="6206"/>
      <c r="AG104" s="6206"/>
      <c r="AH104" s="6206"/>
      <c r="AI104" s="650"/>
      <c r="AJ104" s="23"/>
      <c r="AK104" s="23"/>
      <c r="AL104" s="23"/>
      <c r="AM104" s="4088"/>
      <c r="AN104" s="1145"/>
      <c r="AO104" s="1145"/>
      <c r="AP104" s="1145"/>
      <c r="AQ104" s="1145"/>
      <c r="AR104" s="1145"/>
      <c r="AS104" s="1145"/>
      <c r="AT104" s="1145"/>
      <c r="AU104" s="1145"/>
      <c r="AV104" s="1145"/>
      <c r="AW104" s="42"/>
      <c r="AX104" s="2066"/>
      <c r="AY104" s="2067" t="e">
        <f>ROUNDDOWN((EndOfTaxYear-AY103)/365.25,1)</f>
        <v>#N/A</v>
      </c>
      <c r="AZ104" s="2067"/>
      <c r="BA104" s="2067"/>
      <c r="BB104" s="2071" t="str">
        <f>"YOU are 65 on "&amp;TEXT(EndOfTaxYear,"dd-mmm-yyyy")&amp;" -&gt;"</f>
        <v>YOU are 65 on 31-Dec-2021 -&gt;</v>
      </c>
      <c r="BC104" s="2074" t="b">
        <f>IF(BadBirthdate_Yours,FALSE,YourAge&gt;=65)</f>
        <v>0</v>
      </c>
      <c r="BD104" s="2068"/>
      <c r="BE104" s="2067"/>
      <c r="BF104" s="2068">
        <v>8</v>
      </c>
      <c r="BG104" s="2069" t="s">
        <v>1237</v>
      </c>
      <c r="BI104" s="3445"/>
      <c r="BJ104" s="2595"/>
      <c r="BK104" s="2595"/>
      <c r="BL104" s="2595"/>
      <c r="BM104" s="2595"/>
      <c r="BN104" s="2595"/>
      <c r="BO104" s="2595"/>
      <c r="BP104" s="2595"/>
      <c r="BQ104" s="2595"/>
      <c r="BR104" s="2595"/>
      <c r="BS104" s="2595"/>
      <c r="BT104" s="2595"/>
      <c r="BU104" s="2595"/>
    </row>
    <row r="105" spans="1:73" ht="13.5" customHeight="1" thickBot="1">
      <c r="A105" s="588"/>
      <c r="B105" s="4087"/>
      <c r="C105" s="6179"/>
      <c r="D105" s="4529"/>
      <c r="E105" s="6253" t="s">
        <v>2471</v>
      </c>
      <c r="F105" s="6254"/>
      <c r="G105" s="6254"/>
      <c r="H105" s="6255"/>
      <c r="I105" s="6433"/>
      <c r="J105" s="6433"/>
      <c r="K105" s="6433"/>
      <c r="L105" s="6433"/>
      <c r="M105" s="6433"/>
      <c r="N105" s="6433"/>
      <c r="O105" s="6433"/>
      <c r="P105" s="6433"/>
      <c r="Q105" s="6433"/>
      <c r="R105" s="6433"/>
      <c r="S105" s="6433"/>
      <c r="T105" s="6433"/>
      <c r="U105" s="6433"/>
      <c r="V105" s="6433"/>
      <c r="W105" s="6433"/>
      <c r="X105" s="6433"/>
      <c r="Y105" s="6433"/>
      <c r="Z105" s="6434"/>
      <c r="AA105" s="6273" t="s">
        <v>514</v>
      </c>
      <c r="AB105" s="6273"/>
      <c r="AC105" s="3258"/>
      <c r="AD105" s="6271"/>
      <c r="AE105" s="6271"/>
      <c r="AF105" s="6272"/>
      <c r="AG105" s="6272"/>
      <c r="AH105" s="6272"/>
      <c r="AI105" s="650"/>
      <c r="AJ105" s="23"/>
      <c r="AK105" s="23"/>
      <c r="AL105" s="23"/>
      <c r="AM105" s="4088"/>
      <c r="AN105" s="1145"/>
      <c r="AO105" s="1145"/>
      <c r="AP105" s="1145"/>
      <c r="AQ105" s="1145"/>
      <c r="AR105" s="1145"/>
      <c r="AS105" s="1145"/>
      <c r="AT105" s="1145"/>
      <c r="AU105" s="1145"/>
      <c r="AV105" s="1145"/>
      <c r="AW105" s="1179"/>
      <c r="AX105" s="2066"/>
      <c r="AY105" s="2067" t="str">
        <f>IF(YourBirthYear="","?",IF(AND(YourBirthMonth=1,YourBirthDay=1),TaxYear-YourBirthYear+1,TaxYear-YourBirthYear))</f>
        <v>?</v>
      </c>
      <c r="AZ105" s="2067"/>
      <c r="BA105" s="2067"/>
      <c r="BB105" s="2071" t="str">
        <f>"YOU are born before "&amp;TEXT(BE105,"dd-mmm-yyyy")&amp;" -&gt;"</f>
        <v>YOU are born before 02-Jan-1956 -&gt;</v>
      </c>
      <c r="BC105" s="2074" t="e">
        <f>AY101&lt;$BE$105</f>
        <v>#N/A</v>
      </c>
      <c r="BD105" s="4132" t="e">
        <f>(YEAR($BE$105)-YEAR(AY102))</f>
        <v>#N/A</v>
      </c>
      <c r="BE105" s="4131">
        <f>DATEVALUE("2-JAN-"&amp;TaxYear-65)</f>
        <v>20456</v>
      </c>
      <c r="BF105" s="2068">
        <v>9</v>
      </c>
      <c r="BG105" s="2069" t="s">
        <v>1238</v>
      </c>
      <c r="BH105" s="1145"/>
      <c r="BI105" s="3445"/>
      <c r="BJ105" s="2595"/>
      <c r="BK105" s="2595"/>
      <c r="BL105" s="2595"/>
      <c r="BM105" s="2595"/>
      <c r="BN105" s="2595"/>
      <c r="BO105" s="2595"/>
      <c r="BP105" s="2595"/>
      <c r="BQ105" s="2595"/>
      <c r="BR105" s="2595"/>
      <c r="BS105" s="2595"/>
      <c r="BT105" s="2595"/>
      <c r="BU105" s="2595"/>
    </row>
    <row r="106" spans="1:73" ht="18.75" customHeight="1">
      <c r="A106" s="588"/>
      <c r="B106" s="5310" t="s">
        <v>3936</v>
      </c>
      <c r="C106" s="5189"/>
      <c r="D106" s="5189"/>
      <c r="E106" s="5189"/>
      <c r="F106" s="5190"/>
      <c r="G106" s="5207"/>
      <c r="H106" s="5204"/>
      <c r="I106" s="5204"/>
      <c r="J106" s="5204"/>
      <c r="K106" s="5204"/>
      <c r="L106" s="5204"/>
      <c r="M106" s="5204"/>
      <c r="N106" s="5204"/>
      <c r="O106" s="5204"/>
      <c r="P106" s="5204"/>
      <c r="Q106" s="5204"/>
      <c r="R106" s="5204"/>
      <c r="S106" s="5204"/>
      <c r="T106" s="5236"/>
      <c r="U106" s="5292"/>
      <c r="V106" s="5293"/>
      <c r="W106" s="5293"/>
      <c r="X106" s="5293"/>
      <c r="Y106" s="5293"/>
      <c r="Z106" s="5293"/>
      <c r="AA106" s="5293"/>
      <c r="AB106" s="5293"/>
      <c r="AC106" s="6431" t="s">
        <v>2323</v>
      </c>
      <c r="AD106" s="6432"/>
      <c r="AE106" s="6432"/>
      <c r="AF106" s="6432"/>
      <c r="AG106" s="5311"/>
      <c r="AH106" s="5311" t="str">
        <f>"("&amp;TaxYear&amp;")"</f>
        <v>(2021)</v>
      </c>
      <c r="AI106" s="650"/>
      <c r="AJ106" s="6405"/>
      <c r="AK106" s="6406"/>
      <c r="AL106" s="6406"/>
      <c r="AM106" s="4088"/>
      <c r="AN106" s="1145"/>
      <c r="AO106" s="1145"/>
      <c r="AP106" s="1145"/>
      <c r="AQ106" s="1145"/>
      <c r="AR106" s="1145"/>
      <c r="AS106" s="1145"/>
      <c r="AT106" s="1145"/>
      <c r="AU106" s="1145"/>
      <c r="AV106" s="1145"/>
      <c r="AW106" s="1179"/>
      <c r="AX106" s="3923"/>
      <c r="AY106" s="2067"/>
      <c r="AZ106" s="2067"/>
      <c r="BA106" s="2067"/>
      <c r="BB106" s="2071" t="s">
        <v>1667</v>
      </c>
      <c r="BC106" s="2067" t="str">
        <f>"30-Jun-"&amp;TaxYear</f>
        <v>30-Jun-2021</v>
      </c>
      <c r="BD106" s="2068"/>
      <c r="BE106" s="2067"/>
      <c r="BF106" s="2068">
        <v>10</v>
      </c>
      <c r="BG106" s="2069" t="s">
        <v>1239</v>
      </c>
      <c r="BH106" s="1145"/>
      <c r="BI106" s="3445"/>
      <c r="BJ106" s="2595"/>
      <c r="BK106" s="2595"/>
      <c r="BL106" s="2595"/>
      <c r="BM106" s="2595"/>
      <c r="BN106" s="2595"/>
      <c r="BO106" s="2595"/>
      <c r="BP106" s="2595"/>
      <c r="BQ106" s="2595"/>
      <c r="BR106" s="2595"/>
      <c r="BS106" s="2595"/>
      <c r="BT106" s="2595"/>
      <c r="BU106" s="2595"/>
    </row>
    <row r="107" spans="1:73" ht="18.75" customHeight="1">
      <c r="A107" s="650"/>
      <c r="B107" s="650"/>
      <c r="C107" s="650"/>
      <c r="D107" s="650"/>
      <c r="E107" s="650"/>
      <c r="F107" s="650"/>
      <c r="G107" s="650"/>
      <c r="H107" s="650"/>
      <c r="I107" s="650"/>
      <c r="J107" s="650"/>
      <c r="K107" s="650"/>
      <c r="L107" s="650"/>
      <c r="M107" s="650"/>
      <c r="N107" s="650"/>
      <c r="O107" s="650"/>
      <c r="P107" s="650"/>
      <c r="Q107" s="650"/>
      <c r="R107" s="650"/>
      <c r="S107" s="650"/>
      <c r="T107" s="650"/>
      <c r="U107" s="650"/>
      <c r="V107" s="650"/>
      <c r="W107" s="650"/>
      <c r="X107" s="650"/>
      <c r="Y107" s="650"/>
      <c r="Z107" s="650"/>
      <c r="AA107" s="650"/>
      <c r="AB107" s="650"/>
      <c r="AC107" s="650"/>
      <c r="AD107" s="650"/>
      <c r="AE107" s="650"/>
      <c r="AF107" s="650"/>
      <c r="AG107" s="650"/>
      <c r="AH107" s="650"/>
      <c r="AI107" s="650"/>
      <c r="AJ107" s="23"/>
      <c r="AK107" s="23"/>
      <c r="AL107" s="23"/>
      <c r="AM107" s="4088"/>
      <c r="AN107" s="1145"/>
      <c r="AO107" s="1145"/>
      <c r="AP107" s="1145"/>
      <c r="AQ107" s="1145"/>
      <c r="AR107" s="1145"/>
      <c r="AS107" s="1145"/>
      <c r="AT107" s="1145"/>
      <c r="AX107" s="4917" t="s">
        <v>5132</v>
      </c>
      <c r="AY107" s="2067"/>
      <c r="AZ107" s="4131">
        <f>DATEVALUE("2-JAN-"&amp;(TaxYear-23))</f>
        <v>35797</v>
      </c>
      <c r="BA107" s="2067" t="e">
        <f>$AY$101&lt;AZ107</f>
        <v>#N/A</v>
      </c>
      <c r="BB107" s="2067"/>
      <c r="BC107" s="2067"/>
      <c r="BD107" s="2068"/>
      <c r="BE107" s="2067"/>
      <c r="BF107" s="2068">
        <v>11</v>
      </c>
      <c r="BG107" s="2069" t="s">
        <v>1240</v>
      </c>
      <c r="BH107" s="1145"/>
      <c r="BI107" s="3445"/>
      <c r="BJ107" s="2595"/>
      <c r="BK107" s="2595"/>
      <c r="BL107" s="2595"/>
      <c r="BM107" s="2595"/>
      <c r="BN107" s="2595"/>
      <c r="BO107" s="2595"/>
      <c r="BP107" s="2595"/>
      <c r="BQ107" s="2595"/>
      <c r="BR107" s="2595"/>
      <c r="BS107" s="2595"/>
      <c r="BT107" s="2595"/>
      <c r="BU107" s="2595"/>
    </row>
    <row r="108" spans="1:73" ht="18.75" customHeight="1" thickBot="1">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3"/>
      <c r="AK108" s="23"/>
      <c r="AL108" s="23"/>
      <c r="AM108" s="4088"/>
      <c r="AN108" s="1145"/>
      <c r="AO108" s="1145"/>
      <c r="AP108" s="1145"/>
      <c r="AQ108" s="1145"/>
      <c r="AR108" s="1145"/>
      <c r="AS108" s="1145"/>
      <c r="AT108" s="1145"/>
      <c r="AX108" s="4917" t="s">
        <v>4470</v>
      </c>
      <c r="AY108" s="2067"/>
      <c r="AZ108" s="4131">
        <f>DATEVALUE("2-JAN-"&amp;(TaxYear-24))</f>
        <v>35432</v>
      </c>
      <c r="BA108" s="2067" t="e">
        <f>$AY$101&lt;AZ108</f>
        <v>#N/A</v>
      </c>
      <c r="BB108" s="2067"/>
      <c r="BC108" s="2067"/>
      <c r="BD108" s="2068"/>
      <c r="BE108" s="2067"/>
      <c r="BF108" s="2077">
        <v>12</v>
      </c>
      <c r="BG108" s="2078" t="s">
        <v>1241</v>
      </c>
      <c r="BH108" s="1145"/>
      <c r="BI108" s="3445"/>
      <c r="BJ108" s="2595"/>
      <c r="BK108" s="2595"/>
      <c r="BL108" s="2595"/>
      <c r="BM108" s="2595"/>
      <c r="BN108" s="2595"/>
      <c r="BO108" s="2595"/>
      <c r="BP108" s="2595"/>
      <c r="BQ108" s="2595"/>
      <c r="BR108" s="2595"/>
      <c r="BS108" s="2595"/>
      <c r="BT108" s="2595"/>
      <c r="BU108" s="2595"/>
    </row>
    <row r="109" spans="1:73" ht="18.75" customHeight="1" thickTop="1" thickBot="1">
      <c r="E109" s="6262" t="s">
        <v>159</v>
      </c>
      <c r="F109" s="6263"/>
      <c r="G109" s="6263"/>
      <c r="H109" s="6263"/>
      <c r="I109" s="6263"/>
      <c r="J109" s="6263"/>
      <c r="K109" s="6263"/>
      <c r="L109" s="6263"/>
      <c r="M109" s="6263"/>
      <c r="N109" s="6263"/>
      <c r="O109" s="6263"/>
      <c r="P109" s="6263"/>
      <c r="Q109" s="6263"/>
      <c r="R109" s="6263"/>
      <c r="S109" s="6263"/>
      <c r="T109" s="6264"/>
      <c r="AI109" s="6"/>
      <c r="AX109" s="4917" t="s">
        <v>4471</v>
      </c>
      <c r="AY109" s="2067"/>
      <c r="AZ109" s="4131">
        <f>DATEVALUE("31-DEC-"&amp;(TaxYear-65))</f>
        <v>20820</v>
      </c>
      <c r="BA109" s="2067" t="e">
        <f>$AY$101&gt;AZ109</f>
        <v>#N/A</v>
      </c>
      <c r="BB109" s="2067"/>
      <c r="BC109" s="2067"/>
      <c r="BD109" s="2068"/>
      <c r="BE109" s="2067"/>
      <c r="BF109" s="2068">
        <v>13</v>
      </c>
      <c r="BG109" s="2069" t="s">
        <v>1714</v>
      </c>
      <c r="BI109"/>
      <c r="BJ109"/>
      <c r="BK109"/>
      <c r="BL109"/>
      <c r="BM109"/>
      <c r="BN109"/>
      <c r="BO109"/>
      <c r="BP109"/>
      <c r="BQ109"/>
      <c r="BR109"/>
      <c r="BS109"/>
      <c r="BT109"/>
      <c r="BU109"/>
    </row>
    <row r="110" spans="1:73" ht="18.75" customHeight="1" thickTop="1" thickBot="1">
      <c r="AI110" s="6"/>
      <c r="AX110" s="2066"/>
      <c r="AY110" s="2067"/>
      <c r="AZ110" s="2068" t="s">
        <v>4343</v>
      </c>
      <c r="BA110" s="2067" t="e">
        <f>AND(You_GT24,You_LT65)</f>
        <v>#N/A</v>
      </c>
      <c r="BB110" s="2067"/>
      <c r="BC110" s="2067"/>
      <c r="BD110" s="2068"/>
      <c r="BE110" s="2067"/>
      <c r="BF110" s="2068"/>
      <c r="BG110" s="2069"/>
    </row>
    <row r="111" spans="1:73" ht="18.75" customHeight="1" thickTop="1" thickBot="1">
      <c r="E111" s="873" t="s">
        <v>49</v>
      </c>
      <c r="F111" s="874"/>
      <c r="G111" s="874"/>
      <c r="H111" s="874"/>
      <c r="I111" s="874"/>
      <c r="J111" s="874"/>
      <c r="K111" s="874"/>
      <c r="L111" s="874"/>
      <c r="M111" s="874"/>
      <c r="N111" s="874"/>
      <c r="O111" s="874"/>
      <c r="P111" s="874"/>
      <c r="Q111" s="874"/>
      <c r="R111" s="874"/>
      <c r="S111" s="874"/>
      <c r="T111" s="875"/>
      <c r="AI111" s="6"/>
      <c r="AX111" s="2066" t="s">
        <v>1722</v>
      </c>
      <c r="AY111" s="2067">
        <f>DATEVALUE("2-Jan-"&amp;TaxYear-64)</f>
        <v>20822</v>
      </c>
      <c r="AZ111" s="2067"/>
      <c r="BA111" s="2067"/>
      <c r="BB111" s="2067"/>
      <c r="BC111" s="2067"/>
      <c r="BD111" s="2068"/>
      <c r="BE111" s="2067"/>
      <c r="BF111" s="2068"/>
      <c r="BG111" s="2069"/>
    </row>
    <row r="112" spans="1:73" ht="18.75" customHeight="1" thickTop="1">
      <c r="AI112" s="6"/>
      <c r="AX112" s="2066"/>
      <c r="AY112" s="2067"/>
      <c r="AZ112" s="2067"/>
      <c r="BA112" s="2067"/>
      <c r="BB112" s="2067"/>
      <c r="BC112" s="2067"/>
      <c r="BD112" s="2068"/>
      <c r="BE112" s="2067"/>
      <c r="BF112" s="2068"/>
      <c r="BG112" s="2069"/>
    </row>
    <row r="113" spans="9:59" ht="18.75" customHeight="1" thickBot="1">
      <c r="AI113" s="6"/>
      <c r="AX113" s="2066" t="b">
        <f>IF(NumFileStatusBoxes=0,FALSE,IF(AND(OR(File_Marr_Sep&lt;&gt;"",File_Marr_Joint&lt;&gt;""),OR(AX101,AX121)),TRUE,IF(AX101,TRUE,FALSE)))</f>
        <v>0</v>
      </c>
      <c r="AY113" s="6172"/>
      <c r="AZ113" s="6172"/>
      <c r="BA113" s="2067"/>
      <c r="BB113" s="2067"/>
      <c r="BC113" s="2067"/>
      <c r="BD113" s="2068"/>
      <c r="BE113" s="2067"/>
      <c r="BF113" s="2068"/>
      <c r="BG113" s="2069">
        <f>TaxYear-65</f>
        <v>1956</v>
      </c>
    </row>
    <row r="114" spans="9:59" ht="14.25" customHeight="1" thickBot="1">
      <c r="I114" s="6229" t="s">
        <v>3219</v>
      </c>
      <c r="J114" s="6230"/>
      <c r="K114" s="6230"/>
      <c r="L114" s="6230"/>
      <c r="M114" s="6231"/>
      <c r="AI114" s="6"/>
      <c r="AX114" s="3981"/>
      <c r="AY114" s="5724"/>
      <c r="AZ114" s="5725" t="s">
        <v>5446</v>
      </c>
      <c r="BA114" s="1276"/>
      <c r="BB114" s="1276"/>
      <c r="BC114" s="1276"/>
      <c r="BD114" s="1276"/>
      <c r="BE114" s="1276"/>
      <c r="BF114" s="1276"/>
      <c r="BG114" s="2645"/>
    </row>
    <row r="115" spans="9:59" ht="14.25" customHeight="1" thickBot="1">
      <c r="I115" s="6232"/>
      <c r="J115" s="6233"/>
      <c r="K115" s="6233"/>
      <c r="L115" s="6233"/>
      <c r="M115" s="6234"/>
      <c r="AX115" s="3981"/>
      <c r="AY115" s="5721" t="str">
        <f>"April 15, "&amp;TaxYear+1</f>
        <v>April 15, 2022</v>
      </c>
      <c r="AZ115" s="5720">
        <f>IF(WEEKDAY(AY115)=6,AY115+3,IF(WEEKDAY(AY115)=7,AY115+2,IF(WEEKDAY(AY115)=1,AY115+1,AY115)))</f>
        <v>44669</v>
      </c>
      <c r="BA115" s="1276"/>
      <c r="BB115" s="1276"/>
      <c r="BC115" s="1276"/>
      <c r="BD115" s="1276"/>
      <c r="BE115" s="1276"/>
      <c r="BF115" s="1276"/>
      <c r="BG115" s="2645"/>
    </row>
    <row r="116" spans="9:59" ht="14.25" customHeight="1" thickBot="1">
      <c r="I116" s="6235"/>
      <c r="J116" s="6236"/>
      <c r="K116" s="6236"/>
      <c r="L116" s="6236"/>
      <c r="M116" s="6237"/>
      <c r="AX116" s="3981"/>
      <c r="AY116" s="5722" t="str">
        <f>IF(WEEKDAY(AY115)=1,"Sunday",IF(WEEKDAY(AY115)=2,"Monday",IF(WEEKDAY(AY115)=3,"Tuesday",IF(WEEKDAY(AY115)=4,"Wednesday",IF(WEEKDAY(AY115)=5,"Thursday",IF(WEEKDAY(AY115)=6,"Friday",IF(WEEKDAY(AY115)=7,"Saturday","")))))))</f>
        <v>Friday</v>
      </c>
      <c r="AZ116" s="5723" t="str">
        <f>IF(WEEKDAY(AZ115)=1,"Sunday",IF(WEEKDAY(AZ115)=2,"Monday",IF(WEEKDAY(AZ115)=3,"Tuesday",IF(WEEKDAY(AZ115)=4,"Wednesday",IF(WEEKDAY(AZ115)=5,"Thursday",IF(WEEKDAY(AZ115)=6,"Friday",IF(WEEKDAY(AZ115)=7,"Saturday","")))))))</f>
        <v>Monday</v>
      </c>
      <c r="BA116" s="1276"/>
      <c r="BB116" s="1276"/>
      <c r="BC116" s="1276"/>
      <c r="BD116" s="1276"/>
      <c r="BE116" s="1276"/>
      <c r="BF116" s="1276"/>
      <c r="BG116" s="2645"/>
    </row>
    <row r="117" spans="9:59" ht="14.25" customHeight="1">
      <c r="AX117" s="3981"/>
      <c r="AY117" s="1276"/>
      <c r="AZ117" s="1276"/>
      <c r="BA117" s="1276"/>
      <c r="BB117" s="1276"/>
      <c r="BC117" s="1276"/>
      <c r="BD117" s="1276"/>
      <c r="BE117" s="1276"/>
      <c r="BF117" s="1276"/>
      <c r="BG117" s="2645"/>
    </row>
    <row r="118" spans="9:59" ht="14.25" customHeight="1">
      <c r="AX118" s="3981"/>
      <c r="AY118" s="1276"/>
      <c r="AZ118" s="1276"/>
      <c r="BA118" s="1276"/>
      <c r="BB118" s="1276"/>
      <c r="BC118" s="1276"/>
      <c r="BD118" s="1276"/>
      <c r="BE118" s="1276"/>
      <c r="BF118" s="1276"/>
      <c r="BG118" s="2645"/>
    </row>
    <row r="119" spans="9:59" ht="14.25" customHeight="1">
      <c r="AX119" s="2066"/>
      <c r="AY119" s="2067"/>
      <c r="AZ119" s="2067"/>
      <c r="BA119" s="2067"/>
      <c r="BB119" s="2067"/>
      <c r="BC119" s="2067"/>
      <c r="BD119" s="2068"/>
      <c r="BE119" s="2067"/>
      <c r="BF119" s="2068"/>
      <c r="BG119" s="2069" t="b">
        <f>AND(SpouseDeceased&lt;&gt;"",SpouseDeathYear&lt;&gt;"",OR(SpouseBirthYear&lt;$BG$113,AND(SpouseBirthYear=$BG$113,SpouseDeathMonth&gt;SpouseBirthMonth),AND(SpouseDeathMonth=SpouseBirthMonth,SpouseDeathDay&gt;=SpouseBirthDay-1)))</f>
        <v>0</v>
      </c>
    </row>
    <row r="120" spans="9:59" ht="14.25" customHeight="1">
      <c r="AX120" s="2066"/>
      <c r="AY120" s="2067" t="e">
        <f>DATEVALUE(AY122)</f>
        <v>#N/A</v>
      </c>
      <c r="AZ120" s="2067"/>
      <c r="BA120" s="2067" t="b">
        <f>IF(AND(AND(File_Marr_Joint="",File_Marr_Sep=""),NumFileStatusBoxes=1),TRUE,FALSE)</f>
        <v>0</v>
      </c>
      <c r="BB120" s="2067"/>
      <c r="BC120" s="2067"/>
      <c r="BD120" s="2068"/>
      <c r="BE120" s="2067"/>
      <c r="BF120" s="2068"/>
      <c r="BG120" s="3957" t="e">
        <f>DATEVALUE(BG122)</f>
        <v>#N/A</v>
      </c>
    </row>
    <row r="121" spans="9:59" ht="14.25" customHeight="1">
      <c r="AX121" s="2066" t="b">
        <f>IF(OR(SpouseBirthMonth="",SpouseBirthDay="",SpouseBirthYear=""),TRUE,FALSE)</f>
        <v>1</v>
      </c>
      <c r="AY121" s="4130" t="e">
        <f>DATEVALUE(AY122)</f>
        <v>#N/A</v>
      </c>
      <c r="AZ121" s="2067" t="s">
        <v>1664</v>
      </c>
      <c r="BA121" s="2067"/>
      <c r="BB121" s="2067"/>
      <c r="BC121" s="2071" t="s">
        <v>1666</v>
      </c>
      <c r="BD121" s="2068" t="e">
        <f>IF(AND(SpouseBirthMonth=2,SpouseBirthDay=29),SpouseBirthDay-1&amp;"-"&amp;LOOKUP(SpouseBirthMonth,$BF$97:$BF$109,$BG$97:$BG$109)&amp;"-"&amp;(SpouseBirthYear+70),SpouseBirthDay&amp;"-"&amp;LOOKUP(SpouseBirthMonth,$BF$97:$BF$109,$BG$97:$BG$109)&amp;"-"&amp;(SpouseBirthYear+70))</f>
        <v>#N/A</v>
      </c>
      <c r="BE121" s="2067"/>
      <c r="BF121" s="2068"/>
      <c r="BG121" s="2069" t="b">
        <f>AND(SpouseDeathMonth&lt;&gt;"",SpouseDeathDay&lt;&gt;"",SpouseDeathYear&lt;&gt;"",SpouseDeceased&lt;&gt;"",ISERROR(SpouseDeathDate))</f>
        <v>0</v>
      </c>
    </row>
    <row r="122" spans="9:59" ht="13.5" thickBot="1">
      <c r="AX122" s="2072" t="e">
        <f>LOOKUP(SpouseBirthMonth,$BF$97:$BF$109,$BG$97:$BG$109)</f>
        <v>#N/A</v>
      </c>
      <c r="AY122" s="2068" t="e">
        <f>SpouseBirthDay&amp;"-"&amp;AX122&amp;"-"&amp;SpouseBirthYear</f>
        <v>#N/A</v>
      </c>
      <c r="AZ122" s="3958" t="b">
        <f>IF(OR(SpouseBirthMonth="",SpouseBirthDay="",SpouseBirthYear=""),TRUE,IF(ISERROR(AY121),TRUE,FALSE))</f>
        <v>1</v>
      </c>
      <c r="BA122" s="2067" t="b">
        <f>IF(OR(AND(SpouseBirthMonth="",SpouseBirthDay="",SpouseBirthYear=""),NOT_MFJ),FALSE,IF(OR(BadBirthdate_Spouse,AND(SpouseAge&gt;120,AND(SpouseBirthMonth&lt;&gt;"",SpouseBirthDay&lt;&gt;"",SpouseBirthYear&lt;&gt;""))),TRUE,FALSE))</f>
        <v>0</v>
      </c>
      <c r="BB122" s="2067"/>
      <c r="BC122" s="2073"/>
      <c r="BD122" s="2068"/>
      <c r="BE122" s="2067">
        <f>SpouseBirthMonth+6</f>
        <v>6</v>
      </c>
      <c r="BF122" s="2068" t="e">
        <f>LOOKUP(SpouseDeathMonth,$BF$97:$BF$109,$BG$97:$BG$109)</f>
        <v>#N/A</v>
      </c>
      <c r="BG122" s="2069" t="e">
        <f>SpouseDeathDay&amp;"-"&amp;BF122&amp;"-"&amp;SpouseDeathYear</f>
        <v>#N/A</v>
      </c>
    </row>
    <row r="123" spans="9:59" ht="13.5" thickBot="1">
      <c r="AX123" s="2066"/>
      <c r="AY123" s="2067" t="e">
        <f>IF(BA122,"",DATEVALUE(AY122))</f>
        <v>#N/A</v>
      </c>
      <c r="AZ123" s="2067"/>
      <c r="BA123" s="2067"/>
      <c r="BB123" s="2071" t="str">
        <f>"SPOUSE is 70.5 on "&amp;TEXT(EndOfTaxYear,"dd-mmm-yyyy")&amp;" -&gt;"</f>
        <v>SPOUSE is 70.5 on 31-Dec-2021 -&gt;</v>
      </c>
      <c r="BC123" s="2074" t="b">
        <f>IF(BadBirthdate_Spouse,FALSE, IF(DATEVALUE(BD121)&lt;=DATEVALUE(BC106),TRUE,FALSE))</f>
        <v>0</v>
      </c>
      <c r="BD123" s="2068"/>
      <c r="BE123" s="2067">
        <f>IF(BE122&lt;=12,SpouseBirthYear+70,SpouseBirthYear+71)</f>
        <v>70</v>
      </c>
      <c r="BF123" s="2068"/>
      <c r="BG123" s="2069"/>
    </row>
    <row r="124" spans="9:59" ht="13.5" thickBot="1">
      <c r="AX124" s="2066"/>
      <c r="AY124" s="2067" t="e">
        <f>ROUNDDOWN((EndOfTaxYear-AY123)/365.25,1)</f>
        <v>#N/A</v>
      </c>
      <c r="AZ124" s="2067"/>
      <c r="BA124" s="2067"/>
      <c r="BB124" s="2071" t="str">
        <f>"SPOUSE is 65 on "&amp;TEXT(EndOfTaxYear,"dd-mmm-yyyy")&amp;" -&gt;"</f>
        <v>SPOUSE is 65 on 31-Dec-2021 -&gt;</v>
      </c>
      <c r="BC124" s="2074" t="b">
        <f>IF(BadBirthdate_Spouse,FALSE,SpouseAge&gt;=65)</f>
        <v>0</v>
      </c>
      <c r="BD124" s="2075"/>
      <c r="BE124" s="2067"/>
      <c r="BF124" s="2068"/>
      <c r="BG124" s="2069"/>
    </row>
    <row r="125" spans="9:59" ht="13.5" thickBot="1">
      <c r="AX125" s="2066"/>
      <c r="AY125" s="4129" t="str">
        <f>IF(SpouseBirthYear="","?",IF(AND(SpouseBirthMonth=1,SpouseBirthDay=1),TaxYear-SpouseBirthYear+1,TaxYear-SpouseBirthYear))</f>
        <v>?</v>
      </c>
      <c r="AZ125" s="2067"/>
      <c r="BA125" s="2067"/>
      <c r="BB125" s="2071" t="str">
        <f>"SPOUSE is born before "&amp;TEXT(BE105,"dd-mmm-yyyy")&amp;" -&gt;"</f>
        <v>SPOUSE is born before 02-Jan-1956 -&gt;</v>
      </c>
      <c r="BC125" s="2074" t="e">
        <f>AY121&lt;$BE$105</f>
        <v>#N/A</v>
      </c>
      <c r="BD125" s="2075"/>
      <c r="BE125" s="2067"/>
      <c r="BF125" s="2068"/>
      <c r="BG125" s="2069"/>
    </row>
    <row r="126" spans="9:59" ht="13.5" thickBot="1">
      <c r="AX126" s="2066"/>
      <c r="AY126" s="4129"/>
      <c r="AZ126" s="2067"/>
      <c r="BA126" s="2067"/>
      <c r="BB126" s="2071"/>
      <c r="BC126" s="4916"/>
      <c r="BD126" s="2075"/>
      <c r="BE126" s="2067"/>
      <c r="BF126" s="2068"/>
      <c r="BG126" s="2069"/>
    </row>
    <row r="127" spans="9:59">
      <c r="AX127" s="2066" t="s">
        <v>5131</v>
      </c>
      <c r="AY127" s="4129"/>
      <c r="AZ127" s="4131">
        <f>DATEVALUE("2-JAN-"&amp;(TaxYear-23))</f>
        <v>35797</v>
      </c>
      <c r="BA127" s="2067" t="e">
        <f>IF(NOT_MFJ,FALSE,$AY$121&lt;AZ127)</f>
        <v>#N/A</v>
      </c>
      <c r="BB127" s="2071"/>
      <c r="BC127" s="4916"/>
      <c r="BD127" s="2075"/>
      <c r="BE127" s="2067"/>
      <c r="BF127" s="2068"/>
      <c r="BG127" s="2069"/>
    </row>
    <row r="128" spans="9:59">
      <c r="AX128" s="4917" t="s">
        <v>4472</v>
      </c>
      <c r="AY128" s="4129"/>
      <c r="AZ128" s="4131">
        <f>DATEVALUE("2-JAN-"&amp;(TaxYear-24))</f>
        <v>35432</v>
      </c>
      <c r="BA128" s="2067" t="e">
        <f>IF(NOT_MFJ,FALSE,$AY$121&lt;AZ128)</f>
        <v>#N/A</v>
      </c>
      <c r="BB128" s="2071"/>
      <c r="BC128" s="2067"/>
      <c r="BD128" s="2075"/>
      <c r="BE128" s="2067"/>
      <c r="BF128" s="2068"/>
      <c r="BG128" s="2069"/>
    </row>
    <row r="129" spans="50:59">
      <c r="AX129" s="4917" t="s">
        <v>4473</v>
      </c>
      <c r="AY129" s="4129"/>
      <c r="AZ129" s="4131">
        <f>DATEVALUE("31-DEC-"&amp;(TaxYear-65))</f>
        <v>20820</v>
      </c>
      <c r="BA129" s="2067" t="e">
        <f>IF(NOT_MFJ,FALSE,$AY$121&gt;AZ129)</f>
        <v>#N/A</v>
      </c>
      <c r="BB129" s="2071"/>
      <c r="BC129" s="2067"/>
      <c r="BD129" s="2075"/>
      <c r="BE129" s="2067"/>
      <c r="BF129" s="2068"/>
      <c r="BG129" s="2069"/>
    </row>
    <row r="130" spans="50:59">
      <c r="AX130" s="2066"/>
      <c r="AY130" s="4129"/>
      <c r="AZ130" s="2068" t="s">
        <v>4343</v>
      </c>
      <c r="BA130" s="2067" t="e">
        <f>AND(Spouse_GT24,Spouse_LT65)</f>
        <v>#N/A</v>
      </c>
      <c r="BB130" s="2071"/>
      <c r="BC130" s="2067"/>
      <c r="BD130" s="2075"/>
      <c r="BE130" s="2067"/>
      <c r="BF130" s="2068"/>
      <c r="BG130" s="2069"/>
    </row>
    <row r="131" spans="50:59" ht="13.5" thickBot="1">
      <c r="AX131" s="2080"/>
      <c r="AY131" s="4090"/>
      <c r="AZ131" s="2081"/>
      <c r="BA131" s="2081"/>
      <c r="BB131" s="2081"/>
      <c r="BC131" s="2081"/>
      <c r="BD131" s="2082"/>
      <c r="BE131" s="2081"/>
      <c r="BF131" s="2083"/>
      <c r="BG131" s="2084"/>
    </row>
    <row r="132" spans="50:59">
      <c r="AX132" s="1171"/>
      <c r="AY132" s="1171"/>
      <c r="AZ132" s="1171"/>
      <c r="BA132" s="1171"/>
      <c r="BB132" s="1179"/>
      <c r="BC132" s="1179"/>
      <c r="BD132" s="1179"/>
      <c r="BE132" s="1179"/>
      <c r="BF132" s="1179"/>
      <c r="BG132" s="1145"/>
    </row>
    <row r="133" spans="50:59">
      <c r="AX133" s="266"/>
      <c r="AY133" s="266"/>
      <c r="AZ133" s="266"/>
      <c r="BA133" s="266"/>
      <c r="BB133" s="42"/>
      <c r="BC133" s="42"/>
      <c r="BD133" s="42"/>
      <c r="BE133" s="42"/>
      <c r="BF133" s="42"/>
    </row>
    <row r="134" spans="50:59">
      <c r="AX134" s="1171"/>
      <c r="AY134" s="1171"/>
      <c r="AZ134" s="1171"/>
      <c r="BA134" s="1171"/>
      <c r="BB134" s="1179"/>
      <c r="BC134" s="1179"/>
      <c r="BD134" s="1179"/>
      <c r="BE134" s="1179"/>
      <c r="BF134" s="1179"/>
      <c r="BG134" s="1145"/>
    </row>
    <row r="135" spans="50:59">
      <c r="AX135" s="1171"/>
      <c r="AY135" s="1171"/>
      <c r="AZ135" s="1171"/>
      <c r="BA135" s="1171"/>
      <c r="BB135" s="1179"/>
      <c r="BC135" s="1179"/>
      <c r="BD135" s="1179"/>
      <c r="BE135" s="1179"/>
      <c r="BF135" s="1179"/>
      <c r="BG135" s="1145"/>
    </row>
    <row r="136" spans="50:59">
      <c r="AX136" s="1171"/>
      <c r="AY136" s="1171"/>
      <c r="AZ136" s="1171"/>
      <c r="BA136" s="1171"/>
      <c r="BB136" s="1179"/>
      <c r="BC136" s="1179"/>
      <c r="BD136" s="1179"/>
      <c r="BE136" s="1179"/>
      <c r="BF136" s="1179"/>
      <c r="BG136" s="1145"/>
    </row>
    <row r="137" spans="50:59">
      <c r="AX137" s="1171"/>
      <c r="AY137" s="1171"/>
      <c r="AZ137" s="1171"/>
      <c r="BA137" s="1171"/>
      <c r="BB137" s="1179"/>
      <c r="BC137" s="1179"/>
      <c r="BD137" s="1179"/>
      <c r="BE137" s="1179"/>
      <c r="BF137" s="1179"/>
      <c r="BG137" s="1145"/>
    </row>
    <row r="138" spans="50:59">
      <c r="AX138" s="266"/>
      <c r="AY138" s="266"/>
      <c r="AZ138" s="266"/>
      <c r="BA138" s="266"/>
      <c r="BB138" s="42"/>
      <c r="BC138" s="42"/>
      <c r="BD138" s="42"/>
      <c r="BE138" s="42"/>
      <c r="BF138" s="42"/>
    </row>
    <row r="139" spans="50:59">
      <c r="AX139" s="266"/>
      <c r="AY139" s="266"/>
      <c r="AZ139" s="266"/>
      <c r="BA139" s="266"/>
      <c r="BB139" s="42"/>
      <c r="BC139" s="42"/>
      <c r="BD139" s="42"/>
      <c r="BE139" s="42"/>
      <c r="BF139" s="42"/>
    </row>
    <row r="140" spans="50:59">
      <c r="AX140" s="266"/>
      <c r="AY140" s="266"/>
      <c r="AZ140" s="266"/>
      <c r="BA140" s="266"/>
      <c r="BB140" s="42"/>
      <c r="BC140" s="42"/>
      <c r="BD140" s="42"/>
      <c r="BE140" s="42"/>
      <c r="BF140" s="42"/>
    </row>
    <row r="141" spans="50:59">
      <c r="AX141" s="266"/>
      <c r="AY141" s="266"/>
      <c r="AZ141" s="266"/>
      <c r="BA141" s="266"/>
      <c r="BB141" s="42"/>
      <c r="BC141" s="42"/>
      <c r="BD141" s="42"/>
      <c r="BE141" s="42"/>
      <c r="BF141" s="42"/>
    </row>
    <row r="142" spans="50:59">
      <c r="AX142" s="266"/>
      <c r="AY142" s="266"/>
      <c r="AZ142" s="266"/>
      <c r="BA142" s="266"/>
      <c r="BB142" s="42"/>
      <c r="BC142" s="42"/>
      <c r="BD142" s="42"/>
      <c r="BE142" s="42"/>
      <c r="BF142" s="42"/>
    </row>
    <row r="143" spans="50:59">
      <c r="AX143" s="266"/>
      <c r="AY143" s="266"/>
      <c r="AZ143" s="266"/>
      <c r="BA143" s="266"/>
      <c r="BB143" s="42"/>
      <c r="BC143" s="42"/>
      <c r="BD143" s="42"/>
      <c r="BE143" s="42"/>
      <c r="BF143" s="42"/>
    </row>
    <row r="144" spans="50:59">
      <c r="AX144" s="266"/>
      <c r="AY144" s="266"/>
      <c r="AZ144" s="266"/>
      <c r="BA144" s="266"/>
      <c r="BB144" s="42"/>
      <c r="BC144" s="42"/>
      <c r="BD144" s="42"/>
      <c r="BE144" s="42"/>
      <c r="BF144" s="42"/>
    </row>
    <row r="145" spans="50:58">
      <c r="AX145" s="266"/>
      <c r="AY145" s="266"/>
      <c r="AZ145" s="266"/>
      <c r="BA145" s="266"/>
      <c r="BB145" s="42"/>
      <c r="BC145" s="42"/>
      <c r="BD145" s="42"/>
      <c r="BE145" s="42"/>
      <c r="BF145" s="42"/>
    </row>
    <row r="146" spans="50:58">
      <c r="AX146" s="266"/>
      <c r="AY146" s="266"/>
      <c r="AZ146" s="266"/>
      <c r="BA146" s="266"/>
      <c r="BB146" s="42"/>
      <c r="BC146" s="42"/>
      <c r="BD146" s="42"/>
      <c r="BE146" s="42"/>
      <c r="BF146" s="42"/>
    </row>
    <row r="147" spans="50:58">
      <c r="AX147" s="266"/>
      <c r="AY147" s="266"/>
      <c r="AZ147" s="266"/>
      <c r="BA147" s="266"/>
      <c r="BB147" s="42"/>
      <c r="BC147" s="42"/>
      <c r="BD147" s="42"/>
      <c r="BE147" s="42"/>
      <c r="BF147" s="42"/>
    </row>
    <row r="148" spans="50:58">
      <c r="AX148" s="266"/>
      <c r="AY148" s="266"/>
      <c r="AZ148" s="266"/>
      <c r="BA148" s="266"/>
      <c r="BB148" s="42"/>
      <c r="BC148" s="42"/>
      <c r="BD148" s="42"/>
      <c r="BE148" s="42"/>
      <c r="BF148" s="42"/>
    </row>
    <row r="149" spans="50:58">
      <c r="AX149" s="266"/>
      <c r="AY149" s="266"/>
      <c r="AZ149" s="266"/>
      <c r="BA149" s="266"/>
      <c r="BB149" s="42"/>
      <c r="BC149" s="42"/>
      <c r="BD149" s="42"/>
      <c r="BE149" s="42"/>
      <c r="BF149" s="42"/>
    </row>
    <row r="150" spans="50:58">
      <c r="AX150" s="266"/>
      <c r="AY150" s="266"/>
      <c r="AZ150" s="266"/>
      <c r="BA150" s="266"/>
      <c r="BB150" s="42"/>
      <c r="BC150" s="42"/>
      <c r="BD150" s="42"/>
      <c r="BE150" s="42"/>
      <c r="BF150" s="42"/>
    </row>
    <row r="151" spans="50:58">
      <c r="AX151" s="266"/>
      <c r="AY151" s="266"/>
      <c r="AZ151" s="266"/>
      <c r="BA151" s="266"/>
      <c r="BB151" s="42"/>
      <c r="BC151" s="42"/>
      <c r="BD151" s="42"/>
      <c r="BE151" s="42"/>
      <c r="BF151" s="42"/>
    </row>
    <row r="152" spans="50:58">
      <c r="AX152" s="266"/>
      <c r="AY152" s="266"/>
      <c r="AZ152" s="266"/>
      <c r="BA152" s="266"/>
      <c r="BB152" s="42"/>
      <c r="BC152" s="42"/>
      <c r="BD152" s="42"/>
      <c r="BE152" s="42"/>
      <c r="BF152" s="42"/>
    </row>
    <row r="153" spans="50:58">
      <c r="AX153" s="266"/>
      <c r="AY153" s="266"/>
      <c r="AZ153" s="266"/>
      <c r="BA153" s="266"/>
      <c r="BB153" s="42"/>
      <c r="BC153" s="42"/>
      <c r="BD153" s="42"/>
      <c r="BE153" s="42"/>
      <c r="BF153" s="42"/>
    </row>
    <row r="154" spans="50:58">
      <c r="AX154" s="266"/>
      <c r="AY154" s="266"/>
      <c r="AZ154" s="266"/>
      <c r="BA154" s="266"/>
      <c r="BB154" s="42"/>
      <c r="BC154" s="42"/>
      <c r="BD154" s="42"/>
      <c r="BE154" s="42"/>
      <c r="BF154" s="42"/>
    </row>
    <row r="155" spans="50:58">
      <c r="AX155" s="266"/>
      <c r="AY155" s="266"/>
      <c r="AZ155" s="266"/>
      <c r="BA155" s="266"/>
      <c r="BB155" s="42"/>
      <c r="BC155" s="42"/>
      <c r="BD155" s="42"/>
      <c r="BE155" s="42"/>
      <c r="BF155" s="42"/>
    </row>
    <row r="156" spans="50:58">
      <c r="AX156" s="266"/>
      <c r="AY156" s="266"/>
      <c r="AZ156" s="266"/>
      <c r="BA156" s="266"/>
      <c r="BB156" s="42"/>
      <c r="BC156" s="42"/>
      <c r="BD156" s="42"/>
      <c r="BE156" s="42"/>
      <c r="BF156" s="42"/>
    </row>
    <row r="157" spans="50:58">
      <c r="AX157" s="266"/>
      <c r="AY157" s="266"/>
      <c r="AZ157" s="266"/>
      <c r="BA157" s="266"/>
      <c r="BB157" s="42"/>
      <c r="BC157" s="42"/>
      <c r="BD157" s="42"/>
      <c r="BE157" s="42"/>
      <c r="BF157" s="42"/>
    </row>
    <row r="158" spans="50:58">
      <c r="AX158" s="266"/>
      <c r="AY158" s="266"/>
      <c r="AZ158" s="266"/>
      <c r="BA158" s="266"/>
      <c r="BB158" s="42"/>
      <c r="BC158" s="42"/>
      <c r="BD158" s="42"/>
      <c r="BE158" s="42"/>
      <c r="BF158" s="42"/>
    </row>
    <row r="159" spans="50:58">
      <c r="AX159" s="266"/>
      <c r="AY159" s="266"/>
      <c r="AZ159" s="266"/>
      <c r="BA159" s="266"/>
      <c r="BB159" s="42"/>
      <c r="BC159" s="42"/>
      <c r="BD159" s="42"/>
      <c r="BE159" s="42"/>
      <c r="BF159" s="42"/>
    </row>
    <row r="160" spans="50:58">
      <c r="AX160" s="266"/>
      <c r="AY160" s="266"/>
      <c r="AZ160" s="266"/>
      <c r="BA160" s="266"/>
      <c r="BB160" s="42"/>
      <c r="BC160" s="42"/>
      <c r="BD160" s="42"/>
      <c r="BE160" s="42"/>
      <c r="BF160" s="42"/>
    </row>
    <row r="161" spans="50:58">
      <c r="AX161" s="266"/>
      <c r="AY161" s="266"/>
      <c r="AZ161" s="266"/>
      <c r="BA161" s="266"/>
      <c r="BB161" s="42"/>
      <c r="BC161" s="42"/>
      <c r="BD161" s="42"/>
      <c r="BE161" s="42"/>
      <c r="BF161" s="42"/>
    </row>
    <row r="162" spans="50:58">
      <c r="AX162" s="266"/>
      <c r="AY162" s="266"/>
      <c r="AZ162" s="266"/>
      <c r="BA162" s="266"/>
      <c r="BB162" s="42"/>
      <c r="BC162" s="42"/>
      <c r="BD162" s="42"/>
      <c r="BE162" s="42"/>
      <c r="BF162" s="42"/>
    </row>
    <row r="163" spans="50:58">
      <c r="AX163" s="266"/>
      <c r="AY163" s="266"/>
      <c r="AZ163" s="266"/>
      <c r="BA163" s="266"/>
      <c r="BB163" s="42"/>
      <c r="BC163" s="42"/>
      <c r="BD163" s="42"/>
      <c r="BE163" s="42"/>
      <c r="BF163" s="42"/>
    </row>
    <row r="164" spans="50:58">
      <c r="AX164" s="266"/>
      <c r="AY164" s="266"/>
      <c r="AZ164" s="266"/>
      <c r="BA164" s="266"/>
      <c r="BB164" s="42"/>
      <c r="BC164" s="42"/>
      <c r="BD164" s="42"/>
      <c r="BE164" s="42"/>
      <c r="BF164" s="42"/>
    </row>
    <row r="165" spans="50:58">
      <c r="AX165" s="266"/>
      <c r="AY165" s="266"/>
      <c r="AZ165" s="266"/>
      <c r="BA165" s="266"/>
      <c r="BB165" s="42"/>
      <c r="BC165" s="42"/>
      <c r="BD165" s="42"/>
      <c r="BE165" s="42"/>
      <c r="BF165" s="42"/>
    </row>
    <row r="166" spans="50:58">
      <c r="AX166" s="266"/>
      <c r="AY166" s="266"/>
      <c r="AZ166" s="266"/>
      <c r="BA166" s="266"/>
      <c r="BB166" s="42"/>
      <c r="BC166" s="42"/>
      <c r="BD166" s="42"/>
      <c r="BE166" s="42"/>
      <c r="BF166" s="42"/>
    </row>
    <row r="167" spans="50:58">
      <c r="AX167" s="266"/>
      <c r="AY167" s="266"/>
      <c r="AZ167" s="266"/>
      <c r="BA167" s="266"/>
      <c r="BB167" s="42"/>
      <c r="BC167" s="42"/>
      <c r="BD167" s="42"/>
      <c r="BE167" s="42"/>
      <c r="BF167" s="42"/>
    </row>
    <row r="168" spans="50:58">
      <c r="AX168" s="266"/>
      <c r="AY168" s="266"/>
      <c r="AZ168" s="266"/>
      <c r="BA168" s="266"/>
      <c r="BB168" s="42"/>
      <c r="BC168" s="42"/>
      <c r="BD168" s="42"/>
      <c r="BE168" s="42"/>
      <c r="BF168" s="42"/>
    </row>
    <row r="169" spans="50:58">
      <c r="AX169" s="266"/>
      <c r="AY169" s="266"/>
      <c r="AZ169" s="266"/>
      <c r="BA169" s="266"/>
      <c r="BB169" s="42"/>
      <c r="BC169" s="42"/>
      <c r="BD169" s="42"/>
      <c r="BE169" s="42"/>
      <c r="BF169" s="42"/>
    </row>
    <row r="170" spans="50:58">
      <c r="AX170" s="266"/>
      <c r="AY170" s="266"/>
      <c r="AZ170" s="266"/>
      <c r="BA170" s="266"/>
      <c r="BB170" s="42"/>
      <c r="BC170" s="42"/>
      <c r="BD170" s="42"/>
      <c r="BE170" s="42"/>
      <c r="BF170" s="42"/>
    </row>
    <row r="171" spans="50:58">
      <c r="AX171" s="266"/>
      <c r="AY171" s="266"/>
      <c r="AZ171" s="266"/>
      <c r="BA171" s="266"/>
      <c r="BB171" s="42"/>
      <c r="BC171" s="42"/>
      <c r="BD171" s="42"/>
      <c r="BE171" s="42"/>
      <c r="BF171" s="42"/>
    </row>
    <row r="172" spans="50:58">
      <c r="AX172" s="266"/>
      <c r="AY172" s="266"/>
      <c r="AZ172" s="266"/>
      <c r="BA172" s="266"/>
      <c r="BB172" s="42"/>
      <c r="BC172" s="42"/>
      <c r="BD172" s="42"/>
      <c r="BE172" s="42"/>
      <c r="BF172" s="42"/>
    </row>
    <row r="173" spans="50:58">
      <c r="AX173" s="266"/>
      <c r="AY173" s="266"/>
      <c r="AZ173" s="266"/>
      <c r="BA173" s="266"/>
      <c r="BB173" s="42"/>
      <c r="BC173" s="42"/>
      <c r="BD173" s="42"/>
      <c r="BE173" s="42"/>
      <c r="BF173" s="42"/>
    </row>
    <row r="174" spans="50:58">
      <c r="AX174" s="266"/>
      <c r="AY174" s="266"/>
      <c r="AZ174" s="266"/>
      <c r="BA174" s="266"/>
      <c r="BB174" s="42"/>
      <c r="BC174" s="42"/>
      <c r="BD174" s="42"/>
      <c r="BE174" s="42"/>
      <c r="BF174" s="42"/>
    </row>
  </sheetData>
  <sheetProtection algorithmName="SHA-512" hashValue="/5rB8h7UqkC/wZ/1FFegxF0ho+FdcMh+R5XM7HWPU3zVacXdg2+f/uXZESHoPHQqIRXSaYsrfjJXzlIem2E8pA==" saltValue="Jbh6TeSe2AXB8iT1M9LoDQ==" spinCount="100000" sheet="1" objects="1" scenarios="1"/>
  <mergeCells count="200">
    <mergeCell ref="AJ80:AK80"/>
    <mergeCell ref="AJ86:AL86"/>
    <mergeCell ref="AC70:AG70"/>
    <mergeCell ref="E33:L33"/>
    <mergeCell ref="E34:L34"/>
    <mergeCell ref="E35:L35"/>
    <mergeCell ref="E36:L36"/>
    <mergeCell ref="B36:C36"/>
    <mergeCell ref="AJ71:AL71"/>
    <mergeCell ref="AJ62:AL62"/>
    <mergeCell ref="AJ59:AL61"/>
    <mergeCell ref="AC79:AG79"/>
    <mergeCell ref="AC62:AG62"/>
    <mergeCell ref="AC56:AG57"/>
    <mergeCell ref="AC60:AG60"/>
    <mergeCell ref="AC59:AG59"/>
    <mergeCell ref="AC63:AG63"/>
    <mergeCell ref="AC61:AG61"/>
    <mergeCell ref="AC51:AG51"/>
    <mergeCell ref="AC47:AG47"/>
    <mergeCell ref="C38:C39"/>
    <mergeCell ref="AC44:AG44"/>
    <mergeCell ref="AJ40:AL45"/>
    <mergeCell ref="Y72:AA72"/>
    <mergeCell ref="B89:D90"/>
    <mergeCell ref="O8:AH8"/>
    <mergeCell ref="Y48:AA48"/>
    <mergeCell ref="B53:D53"/>
    <mergeCell ref="B71:C73"/>
    <mergeCell ref="T77:W77"/>
    <mergeCell ref="T76:W76"/>
    <mergeCell ref="M30:R32"/>
    <mergeCell ref="S30:X32"/>
    <mergeCell ref="Y79:AA79"/>
    <mergeCell ref="B28:D28"/>
    <mergeCell ref="B32:D35"/>
    <mergeCell ref="L38:M38"/>
    <mergeCell ref="L39:M39"/>
    <mergeCell ref="L40:M40"/>
    <mergeCell ref="L41:M41"/>
    <mergeCell ref="E28:F28"/>
    <mergeCell ref="AC72:AG72"/>
    <mergeCell ref="AC78:AG78"/>
    <mergeCell ref="AC53:AG53"/>
    <mergeCell ref="Y69:AA69"/>
    <mergeCell ref="AC71:AG71"/>
    <mergeCell ref="Y67:AA67"/>
    <mergeCell ref="Y68:AA68"/>
    <mergeCell ref="AJ106:AL106"/>
    <mergeCell ref="AC83:AG83"/>
    <mergeCell ref="W90:Z90"/>
    <mergeCell ref="AC89:AG89"/>
    <mergeCell ref="AC84:AG84"/>
    <mergeCell ref="AC85:AG85"/>
    <mergeCell ref="AJ51:AL54"/>
    <mergeCell ref="AJ58:AL58"/>
    <mergeCell ref="AJ70:AL70"/>
    <mergeCell ref="AJ74:AK74"/>
    <mergeCell ref="AJ67:AK67"/>
    <mergeCell ref="AJ64:AL64"/>
    <mergeCell ref="X57:Y57"/>
    <mergeCell ref="AC58:AG58"/>
    <mergeCell ref="AJ57:AL57"/>
    <mergeCell ref="AA100:AB100"/>
    <mergeCell ref="AC106:AF106"/>
    <mergeCell ref="I105:Z105"/>
    <mergeCell ref="AD104:AH104"/>
    <mergeCell ref="AJ87:AL87"/>
    <mergeCell ref="AJ88:AL88"/>
    <mergeCell ref="AJ72:AL72"/>
    <mergeCell ref="AJ69:AK69"/>
    <mergeCell ref="AJ68:AK68"/>
    <mergeCell ref="W14:Y14"/>
    <mergeCell ref="AO36:AS43"/>
    <mergeCell ref="G2:P2"/>
    <mergeCell ref="Z9:AH9"/>
    <mergeCell ref="Z13:AH13"/>
    <mergeCell ref="B14:V14"/>
    <mergeCell ref="B3:B4"/>
    <mergeCell ref="C3:D4"/>
    <mergeCell ref="Z3:AH3"/>
    <mergeCell ref="Y32:AB32"/>
    <mergeCell ref="AC32:AH32"/>
    <mergeCell ref="M33:R33"/>
    <mergeCell ref="S33:X33"/>
    <mergeCell ref="M34:R34"/>
    <mergeCell ref="S34:X34"/>
    <mergeCell ref="Z4:AH4"/>
    <mergeCell ref="V4:Y4"/>
    <mergeCell ref="R3:U4"/>
    <mergeCell ref="AK18:AL18"/>
    <mergeCell ref="V3:Y3"/>
    <mergeCell ref="B24:D27"/>
    <mergeCell ref="AC43:AG43"/>
    <mergeCell ref="Z10:AH10"/>
    <mergeCell ref="Z11:AH11"/>
    <mergeCell ref="B10:L10"/>
    <mergeCell ref="B12:L12"/>
    <mergeCell ref="N42:R42"/>
    <mergeCell ref="AC42:AG42"/>
    <mergeCell ref="M10:Y10"/>
    <mergeCell ref="Z14:AH17"/>
    <mergeCell ref="B18:M19"/>
    <mergeCell ref="N18:U19"/>
    <mergeCell ref="V18:Y19"/>
    <mergeCell ref="V16:Y16"/>
    <mergeCell ref="V15:Y15"/>
    <mergeCell ref="R16:U16"/>
    <mergeCell ref="R15:U15"/>
    <mergeCell ref="B16:Q16"/>
    <mergeCell ref="Z25:AH25"/>
    <mergeCell ref="L42:M42"/>
    <mergeCell ref="N40:R40"/>
    <mergeCell ref="H28:N28"/>
    <mergeCell ref="I32:L32"/>
    <mergeCell ref="E32:H32"/>
    <mergeCell ref="B30:D31"/>
    <mergeCell ref="N41:R41"/>
    <mergeCell ref="M12:Y12"/>
    <mergeCell ref="Z12:AH12"/>
    <mergeCell ref="AJ32:AJ36"/>
    <mergeCell ref="AC38:AG38"/>
    <mergeCell ref="AC40:AG40"/>
    <mergeCell ref="AI42:AI44"/>
    <mergeCell ref="AC49:AG49"/>
    <mergeCell ref="AC46:AG46"/>
    <mergeCell ref="AC52:AG52"/>
    <mergeCell ref="AJ50:AL50"/>
    <mergeCell ref="Y49:AA49"/>
    <mergeCell ref="S37:Z37"/>
    <mergeCell ref="AC37:AG37"/>
    <mergeCell ref="AC45:AG45"/>
    <mergeCell ref="AJ47:AL49"/>
    <mergeCell ref="AC41:AG41"/>
    <mergeCell ref="AC81:AG81"/>
    <mergeCell ref="M35:R35"/>
    <mergeCell ref="S35:X35"/>
    <mergeCell ref="M36:R36"/>
    <mergeCell ref="S36:X36"/>
    <mergeCell ref="N39:R39"/>
    <mergeCell ref="AC48:AG48"/>
    <mergeCell ref="AC50:AG50"/>
    <mergeCell ref="AC39:AG39"/>
    <mergeCell ref="N38:R38"/>
    <mergeCell ref="Y78:AA78"/>
    <mergeCell ref="AC64:AG64"/>
    <mergeCell ref="AC80:AG80"/>
    <mergeCell ref="Y80:AA80"/>
    <mergeCell ref="AC73:AG73"/>
    <mergeCell ref="AC74:AG74"/>
    <mergeCell ref="AC75:AG75"/>
    <mergeCell ref="AC65:AG65"/>
    <mergeCell ref="G90:Q90"/>
    <mergeCell ref="Y81:AA81"/>
    <mergeCell ref="I114:M116"/>
    <mergeCell ref="AC88:AG88"/>
    <mergeCell ref="AC87:AG87"/>
    <mergeCell ref="AA104:AC104"/>
    <mergeCell ref="P98:S98"/>
    <mergeCell ref="T98:Z98"/>
    <mergeCell ref="AA98:AB98"/>
    <mergeCell ref="P100:S100"/>
    <mergeCell ref="E98:O98"/>
    <mergeCell ref="E105:H105"/>
    <mergeCell ref="Z102:AD102"/>
    <mergeCell ref="V102:Y102"/>
    <mergeCell ref="E109:T109"/>
    <mergeCell ref="J87:S87"/>
    <mergeCell ref="W88:Z88"/>
    <mergeCell ref="L102:S102"/>
    <mergeCell ref="T97:Z97"/>
    <mergeCell ref="T100:Z100"/>
    <mergeCell ref="E103:K103"/>
    <mergeCell ref="AD105:AH105"/>
    <mergeCell ref="AA105:AB105"/>
    <mergeCell ref="S94:W94"/>
    <mergeCell ref="AN53:AN56"/>
    <mergeCell ref="AY113:AZ113"/>
    <mergeCell ref="B52:D52"/>
    <mergeCell ref="C102:C105"/>
    <mergeCell ref="AC82:AG82"/>
    <mergeCell ref="V103:Y103"/>
    <mergeCell ref="Z103:AD103"/>
    <mergeCell ref="E104:H104"/>
    <mergeCell ref="H94:P94"/>
    <mergeCell ref="B91:C94"/>
    <mergeCell ref="Q94:R94"/>
    <mergeCell ref="X94:AB94"/>
    <mergeCell ref="I104:Y104"/>
    <mergeCell ref="H101:N101"/>
    <mergeCell ref="T101:AD101"/>
    <mergeCell ref="P101:S101"/>
    <mergeCell ref="T99:Z99"/>
    <mergeCell ref="E102:K102"/>
    <mergeCell ref="AE102:AH102"/>
    <mergeCell ref="L103:U103"/>
    <mergeCell ref="E100:O100"/>
    <mergeCell ref="J86:Q86"/>
    <mergeCell ref="AC86:AG86"/>
    <mergeCell ref="E94:G94"/>
  </mergeCells>
  <phoneticPr fontId="14" type="noConversion"/>
  <conditionalFormatting sqref="B16 V16 B30 M30 S30 AC37:AG42">
    <cfRule type="expression" dxfId="3069" priority="468">
      <formula>NoColor</formula>
    </cfRule>
  </conditionalFormatting>
  <conditionalFormatting sqref="B18 N18 V18">
    <cfRule type="expression" dxfId="3068" priority="340">
      <formula>NoColor</formula>
    </cfRule>
  </conditionalFormatting>
  <conditionalFormatting sqref="B24">
    <cfRule type="expression" dxfId="3067" priority="343">
      <formula>NoColor</formula>
    </cfRule>
  </conditionalFormatting>
  <conditionalFormatting sqref="B28 F29:G30">
    <cfRule type="expression" dxfId="3066" priority="435">
      <formula>AND($AL$9,B28&lt;&gt;"")</formula>
    </cfRule>
  </conditionalFormatting>
  <conditionalFormatting sqref="B32 I32 M33:AH36">
    <cfRule type="expression" dxfId="3065" priority="467">
      <formula>NoColor</formula>
    </cfRule>
  </conditionalFormatting>
  <conditionalFormatting sqref="B95:B105">
    <cfRule type="expression" dxfId="3064" priority="450">
      <formula>IF(NoColor,1,0)</formula>
    </cfRule>
  </conditionalFormatting>
  <conditionalFormatting sqref="B3:C3 B4:B5">
    <cfRule type="expression" dxfId="3063" priority="753">
      <formula>NoColor</formula>
    </cfRule>
  </conditionalFormatting>
  <conditionalFormatting sqref="B10:J10 M10 Z10:AH10 AM15:AO15 E37:S37 AA37:AB37 AC43:AG45 AB46:AG47 AC56 AB57 AB58:AG61 AB62:AC62 E71:F78 Y73:AA76 G78:V78 E79:V81 AB82:AC82 AB83:AG83 AB84 R86:S86 H86:I87 E86:E90 B106:E106">
    <cfRule type="expression" dxfId="3062" priority="1103">
      <formula>IF(NoColor,1,0)</formula>
    </cfRule>
  </conditionalFormatting>
  <conditionalFormatting sqref="B14:Z14">
    <cfRule type="expression" dxfId="3061" priority="470">
      <formula>NoColor</formula>
    </cfRule>
  </conditionalFormatting>
  <conditionalFormatting sqref="B20:AG21">
    <cfRule type="expression" dxfId="3060" priority="195">
      <formula>NoColor</formula>
    </cfRule>
  </conditionalFormatting>
  <conditionalFormatting sqref="B6:AH8">
    <cfRule type="expression" dxfId="3059" priority="17">
      <formula>NoColor</formula>
    </cfRule>
  </conditionalFormatting>
  <conditionalFormatting sqref="B12:AH12">
    <cfRule type="expression" dxfId="3058" priority="368">
      <formula>NoColor</formula>
    </cfRule>
  </conditionalFormatting>
  <conditionalFormatting sqref="B29:AH29 E30:L31 Y30:AH32">
    <cfRule type="expression" dxfId="3057" priority="321">
      <formula>NoColor</formula>
    </cfRule>
  </conditionalFormatting>
  <conditionalFormatting sqref="C7:D8">
    <cfRule type="expression" dxfId="3056" priority="348">
      <formula>FilingStatusError</formula>
    </cfRule>
  </conditionalFormatting>
  <conditionalFormatting sqref="C95:D102">
    <cfRule type="expression" dxfId="3055" priority="466">
      <formula>NoColor</formula>
    </cfRule>
  </conditionalFormatting>
  <conditionalFormatting sqref="D36">
    <cfRule type="expression" dxfId="3054" priority="192">
      <formula>AND($AL$9,D36&lt;&gt;"")</formula>
    </cfRule>
    <cfRule type="expression" dxfId="3053" priority="194">
      <formula>NoColor</formula>
    </cfRule>
  </conditionalFormatting>
  <conditionalFormatting sqref="E3:E5">
    <cfRule type="expression" dxfId="3052" priority="205">
      <formula>NoColor</formula>
    </cfRule>
  </conditionalFormatting>
  <conditionalFormatting sqref="E6">
    <cfRule type="expression" dxfId="3051" priority="426">
      <formula>AND($AL$9,E6&lt;&gt;"")</formula>
    </cfRule>
  </conditionalFormatting>
  <conditionalFormatting sqref="E7">
    <cfRule type="expression" dxfId="3050" priority="346">
      <formula>AND(File_Marr_Sep&lt;&gt;"",$O$8="")</formula>
    </cfRule>
  </conditionalFormatting>
  <conditionalFormatting sqref="E8">
    <cfRule type="expression" dxfId="3049" priority="344">
      <formula>AND(OR(File_Qual_Widow&lt;&gt;"",File_Head&lt;&gt;""),$O$8="")</formula>
    </cfRule>
  </conditionalFormatting>
  <conditionalFormatting sqref="E28">
    <cfRule type="expression" dxfId="3048" priority="315">
      <formula>NoColor</formula>
    </cfRule>
  </conditionalFormatting>
  <conditionalFormatting sqref="E32:E36">
    <cfRule type="expression" dxfId="3047" priority="191">
      <formula>NoColor</formula>
    </cfRule>
  </conditionalFormatting>
  <conditionalFormatting sqref="E91:E94">
    <cfRule type="expression" dxfId="3046" priority="106">
      <formula>IF(NoColor,1,0)</formula>
    </cfRule>
  </conditionalFormatting>
  <conditionalFormatting sqref="E3:F3">
    <cfRule type="expression" dxfId="3045" priority="204">
      <formula>FilingStatusError</formula>
    </cfRule>
  </conditionalFormatting>
  <conditionalFormatting sqref="E57:F62">
    <cfRule type="expression" dxfId="3044" priority="269">
      <formula>IF(NoColor,1,0)</formula>
    </cfRule>
  </conditionalFormatting>
  <conditionalFormatting sqref="E38:L42">
    <cfRule type="expression" dxfId="3043" priority="228">
      <formula>IF(NoColor,1,0)</formula>
    </cfRule>
  </conditionalFormatting>
  <conditionalFormatting sqref="E103:L103 V103">
    <cfRule type="expression" dxfId="3042" priority="463">
      <formula>NoColor</formula>
    </cfRule>
  </conditionalFormatting>
  <conditionalFormatting sqref="E101:P101">
    <cfRule type="expression" dxfId="3041" priority="247">
      <formula>NoColor</formula>
    </cfRule>
  </conditionalFormatting>
  <conditionalFormatting sqref="E25:Y25 E26:AH27 B28">
    <cfRule type="expression" dxfId="3040" priority="473">
      <formula>NoColor</formula>
    </cfRule>
  </conditionalFormatting>
  <conditionalFormatting sqref="E43:Y43">
    <cfRule type="expression" dxfId="3039" priority="291">
      <formula>IF(NoColor,1,0)</formula>
    </cfRule>
  </conditionalFormatting>
  <conditionalFormatting sqref="E67:Y69">
    <cfRule type="expression" dxfId="3038" priority="92">
      <formula>IF(NoColor,1,0)</formula>
    </cfRule>
  </conditionalFormatting>
  <conditionalFormatting sqref="E44:Z46">
    <cfRule type="expression" dxfId="3037" priority="312">
      <formula>IF(NoColor,1,0)</formula>
    </cfRule>
  </conditionalFormatting>
  <conditionalFormatting sqref="E63:AA66">
    <cfRule type="expression" dxfId="3036" priority="793">
      <formula>IF(NoColor,1,0)</formula>
    </cfRule>
  </conditionalFormatting>
  <conditionalFormatting sqref="E70:AA70">
    <cfRule type="expression" dxfId="3035" priority="91">
      <formula>IF(NoColor,1,0)</formula>
    </cfRule>
  </conditionalFormatting>
  <conditionalFormatting sqref="E82:AA84">
    <cfRule type="expression" dxfId="3034" priority="256">
      <formula>IF(NoColor,1,0)</formula>
    </cfRule>
  </conditionalFormatting>
  <conditionalFormatting sqref="E47:AB48">
    <cfRule type="expression" dxfId="3033" priority="34">
      <formula>IF(NoColor,1,0)</formula>
    </cfRule>
  </conditionalFormatting>
  <conditionalFormatting sqref="E85:AB85">
    <cfRule type="expression" dxfId="3032" priority="90">
      <formula>IF(NoColor,1,0)</formula>
    </cfRule>
  </conditionalFormatting>
  <conditionalFormatting sqref="E49:AG53">
    <cfRule type="expression" dxfId="3031" priority="150">
      <formula>IF(NoColor,1,0)</formula>
    </cfRule>
  </conditionalFormatting>
  <conditionalFormatting sqref="E24:AH24">
    <cfRule type="expression" dxfId="3030" priority="474">
      <formula>NoColor</formula>
    </cfRule>
  </conditionalFormatting>
  <conditionalFormatting sqref="E100:AH100">
    <cfRule type="expression" dxfId="3029" priority="365">
      <formula>NoColor</formula>
    </cfRule>
  </conditionalFormatting>
  <conditionalFormatting sqref="F4">
    <cfRule type="expression" dxfId="3028" priority="6">
      <formula>NumFileStatusBoxes=0</formula>
    </cfRule>
  </conditionalFormatting>
  <conditionalFormatting sqref="F25:G27">
    <cfRule type="expression" dxfId="3027" priority="327">
      <formula>AND($AL$9,F25&lt;&gt;"")</formula>
    </cfRule>
  </conditionalFormatting>
  <conditionalFormatting sqref="F92:P93">
    <cfRule type="expression" dxfId="3026" priority="75">
      <formula>IF(NoColor,1,0)</formula>
    </cfRule>
  </conditionalFormatting>
  <conditionalFormatting sqref="F3:R3 F4:Q5 B6:B8">
    <cfRule type="expression" dxfId="3025" priority="1107">
      <formula>NoColor</formula>
    </cfRule>
  </conditionalFormatting>
  <conditionalFormatting sqref="F86:AA87">
    <cfRule type="expression" dxfId="3024" priority="458">
      <formula>NoColor</formula>
    </cfRule>
  </conditionalFormatting>
  <conditionalFormatting sqref="F91:AD91">
    <cfRule type="expression" dxfId="3023" priority="107">
      <formula>IF(NoColor,1,0)</formula>
    </cfRule>
  </conditionalFormatting>
  <conditionalFormatting sqref="G95">
    <cfRule type="expression" dxfId="3022" priority="2869" stopIfTrue="1">
      <formula>IF(AND(#REF!&gt;1000,#REF!&gt;0.1*#REF!,#REF!="",#REF!&lt;&gt;""),1,0)</formula>
    </cfRule>
  </conditionalFormatting>
  <conditionalFormatting sqref="G28:H28">
    <cfRule type="expression" dxfId="3021" priority="325">
      <formula>NoColor</formula>
    </cfRule>
  </conditionalFormatting>
  <conditionalFormatting sqref="G76:T77">
    <cfRule type="expression" dxfId="3020" priority="12">
      <formula>IF(NoColor,1,0)</formula>
    </cfRule>
  </conditionalFormatting>
  <conditionalFormatting sqref="G57:W58">
    <cfRule type="expression" dxfId="3019" priority="97">
      <formula>IF(NoColor,1,0)</formula>
    </cfRule>
  </conditionalFormatting>
  <conditionalFormatting sqref="G72:W75">
    <cfRule type="expression" dxfId="3018" priority="260">
      <formula>IF(NoColor,1,0)</formula>
    </cfRule>
  </conditionalFormatting>
  <conditionalFormatting sqref="G59:Z62">
    <cfRule type="expression" dxfId="3017" priority="135">
      <formula>IF(NoColor,1,0)</formula>
    </cfRule>
  </conditionalFormatting>
  <conditionalFormatting sqref="G71:AA71">
    <cfRule type="expression" dxfId="3016" priority="52">
      <formula>IF(NoColor,1,0)</formula>
    </cfRule>
  </conditionalFormatting>
  <conditionalFormatting sqref="H28">
    <cfRule type="expression" dxfId="3015" priority="326">
      <formula>AND(Name_1st_Yours&lt;&gt;"",NOT($AX$12))</formula>
    </cfRule>
  </conditionalFormatting>
  <conditionalFormatting sqref="H94:P94">
    <cfRule type="expression" dxfId="3014" priority="225">
      <formula>NoColor</formula>
    </cfRule>
  </conditionalFormatting>
  <conditionalFormatting sqref="H88:U88">
    <cfRule type="expression" dxfId="3013" priority="765">
      <formula>IF(NoColor,1,0)</formula>
    </cfRule>
  </conditionalFormatting>
  <conditionalFormatting sqref="H89:AA89">
    <cfRule type="expression" dxfId="3012" priority="24">
      <formula>IF(NoColor,1,0)</formula>
    </cfRule>
  </conditionalFormatting>
  <conditionalFormatting sqref="H106:AC106">
    <cfRule type="expression" dxfId="3011" priority="249">
      <formula>IF(NoColor,1,0)</formula>
    </cfRule>
  </conditionalFormatting>
  <conditionalFormatting sqref="I104:I105">
    <cfRule type="expression" dxfId="3010" priority="448">
      <formula>NoColor</formula>
    </cfRule>
  </conditionalFormatting>
  <conditionalFormatting sqref="M33:R36">
    <cfRule type="expression" dxfId="3009" priority="360">
      <formula>AND(NoColor,NoSSN)</formula>
    </cfRule>
    <cfRule type="expression" dxfId="3008" priority="361">
      <formula>NoSSN</formula>
    </cfRule>
  </conditionalFormatting>
  <conditionalFormatting sqref="M34:R36">
    <cfRule type="expression" dxfId="3007" priority="352">
      <formula>NoSSN</formula>
    </cfRule>
    <cfRule type="expression" dxfId="3006" priority="351">
      <formula>AND(NoColor,NoSSN)</formula>
    </cfRule>
  </conditionalFormatting>
  <conditionalFormatting sqref="N38:N42">
    <cfRule type="expression" dxfId="3005" priority="280">
      <formula>IF(NoColor,1,0)</formula>
    </cfRule>
  </conditionalFormatting>
  <conditionalFormatting sqref="O7:R7">
    <cfRule type="expression" dxfId="3004" priority="11">
      <formula>AND(OR(File_Qual_Widow&lt;&gt;"",File_Head&lt;&gt;""),$K$8="")</formula>
    </cfRule>
  </conditionalFormatting>
  <conditionalFormatting sqref="O28:AH28">
    <cfRule type="expression" dxfId="3003" priority="316">
      <formula>NoColor</formula>
    </cfRule>
  </conditionalFormatting>
  <conditionalFormatting sqref="P98:AH98">
    <cfRule type="expression" dxfId="3002" priority="465">
      <formula>NoColor</formula>
    </cfRule>
  </conditionalFormatting>
  <conditionalFormatting sqref="Q25:Q27">
    <cfRule type="expression" dxfId="3001" priority="579">
      <formula>AND(File_Marr_Joint&lt;&gt;"",NOT($AX$14))</formula>
    </cfRule>
  </conditionalFormatting>
  <conditionalFormatting sqref="Q29">
    <cfRule type="expression" dxfId="3000" priority="322">
      <formula>AND(File_Marr_Joint&lt;&gt;"",NOT($AX$14))</formula>
    </cfRule>
  </conditionalFormatting>
  <conditionalFormatting sqref="Q52 Q53:R53">
    <cfRule type="expression" dxfId="2999" priority="4660">
      <formula>$AM$48&lt;0</formula>
    </cfRule>
  </conditionalFormatting>
  <conditionalFormatting sqref="Q92:Q94">
    <cfRule type="expression" dxfId="2998" priority="117">
      <formula>IF(NoColor,1,0)</formula>
    </cfRule>
  </conditionalFormatting>
  <conditionalFormatting sqref="R16">
    <cfRule type="expression" dxfId="2997" priority="100">
      <formula>NoColor</formula>
    </cfRule>
  </conditionalFormatting>
  <conditionalFormatting sqref="R92:T93">
    <cfRule type="expression" dxfId="2996" priority="73">
      <formula>IF(NoColor,1,0)</formula>
    </cfRule>
  </conditionalFormatting>
  <conditionalFormatting sqref="R5:U5">
    <cfRule type="expression" dxfId="2995" priority="70">
      <formula>NoColor</formula>
    </cfRule>
  </conditionalFormatting>
  <conditionalFormatting sqref="R90:U90">
    <cfRule type="expression" dxfId="2994" priority="525">
      <formula>IF(NoColor,1,0)</formula>
    </cfRule>
  </conditionalFormatting>
  <conditionalFormatting sqref="S94">
    <cfRule type="expression" dxfId="2993" priority="224">
      <formula>NoColor</formula>
    </cfRule>
  </conditionalFormatting>
  <conditionalFormatting sqref="S38:Z42">
    <cfRule type="expression" dxfId="2992" priority="285">
      <formula>IF(NoColor,1,0)</formula>
    </cfRule>
  </conditionalFormatting>
  <conditionalFormatting sqref="T101:Z101 AE101:AH101">
    <cfRule type="expression" dxfId="2991" priority="246">
      <formula>NoColor</formula>
    </cfRule>
  </conditionalFormatting>
  <conditionalFormatting sqref="T87:AA87">
    <cfRule type="expression" dxfId="2990" priority="506">
      <formula>IF(NoColor,1,0)</formula>
    </cfRule>
  </conditionalFormatting>
  <conditionalFormatting sqref="U92">
    <cfRule type="expression" dxfId="2989" priority="23">
      <formula>IF(NoColor,1,0)</formula>
    </cfRule>
  </conditionalFormatting>
  <conditionalFormatting sqref="U93:V93">
    <cfRule type="expression" dxfId="2988" priority="211">
      <formula>IF(NoColor,1,0)</formula>
    </cfRule>
  </conditionalFormatting>
  <conditionalFormatting sqref="V3:V5">
    <cfRule type="expression" dxfId="2987" priority="437">
      <formula>NoColor</formula>
    </cfRule>
  </conditionalFormatting>
  <conditionalFormatting sqref="V6">
    <cfRule type="expression" dxfId="2986" priority="425">
      <formula>AND($AL$9,V6&lt;&gt;"")</formula>
    </cfRule>
  </conditionalFormatting>
  <conditionalFormatting sqref="V92">
    <cfRule type="expression" dxfId="2985" priority="109">
      <formula>NoColor</formula>
    </cfRule>
  </conditionalFormatting>
  <conditionalFormatting sqref="V28:W28">
    <cfRule type="expression" dxfId="2984" priority="331">
      <formula>AND(File_Marr_Joint&lt;&gt;"",NOT($AX$14))</formula>
    </cfRule>
  </conditionalFormatting>
  <conditionalFormatting sqref="W78:W81">
    <cfRule type="expression" dxfId="2983" priority="123">
      <formula>IF(NoColor,1,0)</formula>
    </cfRule>
  </conditionalFormatting>
  <conditionalFormatting sqref="W92:W93">
    <cfRule type="expression" dxfId="2982" priority="110">
      <formula>IF(NoColor,1,0)</formula>
    </cfRule>
  </conditionalFormatting>
  <conditionalFormatting sqref="W5:Y5">
    <cfRule type="expression" dxfId="2981" priority="69">
      <formula>NoColor</formula>
    </cfRule>
  </conditionalFormatting>
  <conditionalFormatting sqref="W88:Z88">
    <cfRule type="expression" dxfId="2980" priority="457">
      <formula>NoColor</formula>
    </cfRule>
  </conditionalFormatting>
  <conditionalFormatting sqref="W90:Z90">
    <cfRule type="expression" dxfId="2979" priority="456">
      <formula>NoColor</formula>
    </cfRule>
  </conditionalFormatting>
  <conditionalFormatting sqref="X73:X78">
    <cfRule type="expression" dxfId="2978" priority="28">
      <formula>IF(NoColor,1,0)</formula>
    </cfRule>
  </conditionalFormatting>
  <conditionalFormatting sqref="X92:X94">
    <cfRule type="expression" dxfId="2977" priority="113">
      <formula>IF(NoColor,1,0)</formula>
    </cfRule>
  </conditionalFormatting>
  <conditionalFormatting sqref="X57:Y57">
    <cfRule type="expression" dxfId="2976" priority="71">
      <formula>NoColor</formula>
    </cfRule>
  </conditionalFormatting>
  <conditionalFormatting sqref="X58:Y58">
    <cfRule type="expression" dxfId="2975" priority="139">
      <formula>IF(NoColor,1,0)</formula>
    </cfRule>
  </conditionalFormatting>
  <conditionalFormatting sqref="X72:Y72">
    <cfRule type="expression" dxfId="2974" priority="240">
      <formula>IF(NoColor,1,0)</formula>
    </cfRule>
  </conditionalFormatting>
  <conditionalFormatting sqref="X79:Y81">
    <cfRule type="expression" dxfId="2973" priority="53">
      <formula>IF(NoColor,1,0)</formula>
    </cfRule>
  </conditionalFormatting>
  <conditionalFormatting sqref="Y77:Y78">
    <cfRule type="expression" dxfId="2972" priority="238">
      <formula>IF(NoColor,1,0)</formula>
    </cfRule>
  </conditionalFormatting>
  <conditionalFormatting sqref="Y92:AB92">
    <cfRule type="expression" dxfId="2971" priority="74">
      <formula>IF(NoColor,1,0)</formula>
    </cfRule>
  </conditionalFormatting>
  <conditionalFormatting sqref="Y93:AE93">
    <cfRule type="expression" dxfId="2970" priority="72">
      <formula>IF(NoColor,1,0)</formula>
    </cfRule>
  </conditionalFormatting>
  <conditionalFormatting sqref="Z13:Z14 B54:AH55 E56:AB56 F88:G90 F106:G106">
    <cfRule type="expression" dxfId="2969" priority="1097">
      <formula>NoColor</formula>
    </cfRule>
  </conditionalFormatting>
  <conditionalFormatting sqref="Z25">
    <cfRule type="expression" dxfId="2968" priority="350">
      <formula>NoColor</formula>
    </cfRule>
  </conditionalFormatting>
  <conditionalFormatting sqref="Z43">
    <cfRule type="expression" dxfId="2967" priority="292">
      <formula>NoColor</formula>
    </cfRule>
  </conditionalFormatting>
  <conditionalFormatting sqref="Z57:Z58">
    <cfRule type="expression" dxfId="2966" priority="142">
      <formula>IF(NoColor,1,0)</formula>
    </cfRule>
  </conditionalFormatting>
  <conditionalFormatting sqref="Z102:Z104">
    <cfRule type="expression" dxfId="2965" priority="447">
      <formula>NoColor</formula>
    </cfRule>
  </conditionalFormatting>
  <conditionalFormatting sqref="Z104:AD104">
    <cfRule type="expression" dxfId="2964" priority="462">
      <formula>NoColor</formula>
    </cfRule>
  </conditionalFormatting>
  <conditionalFormatting sqref="Z18:AG19">
    <cfRule type="expression" dxfId="2963" priority="200">
      <formula>NoColor</formula>
    </cfRule>
  </conditionalFormatting>
  <conditionalFormatting sqref="Z3:AH5">
    <cfRule type="expression" dxfId="2962" priority="472">
      <formula>NoColor</formula>
    </cfRule>
    <cfRule type="expression" dxfId="2961" priority="591">
      <formula>($AJ$9)</formula>
    </cfRule>
  </conditionalFormatting>
  <conditionalFormatting sqref="Z10:AH10">
    <cfRule type="expression" dxfId="2960" priority="369">
      <formula>AND(NoColor,NoSSN)</formula>
    </cfRule>
    <cfRule type="expression" dxfId="2959" priority="370">
      <formula>NoSSN</formula>
    </cfRule>
  </conditionalFormatting>
  <conditionalFormatting sqref="Z11:AH11">
    <cfRule type="expression" dxfId="2958" priority="371">
      <formula>AND(File_Marr_Sep&lt;&gt;"",SS_Spouse="")</formula>
    </cfRule>
  </conditionalFormatting>
  <conditionalFormatting sqref="Z12:AH12">
    <cfRule type="expression" dxfId="2957" priority="366">
      <formula>OR(AND(File_Marr_Joint="",File_Marr_Sep="",NoColor),AND(NoColor,NoSSN))</formula>
    </cfRule>
    <cfRule type="expression" dxfId="2956" priority="367">
      <formula>OR(AND(NOT(NoColor),File_Marr_Joint="",File_Marr_Sep=""),NoSSN)</formula>
    </cfRule>
  </conditionalFormatting>
  <conditionalFormatting sqref="Z31:AH31">
    <cfRule type="expression" dxfId="2955" priority="700">
      <formula>NoColor</formula>
    </cfRule>
  </conditionalFormatting>
  <conditionalFormatting sqref="AA38:AA46">
    <cfRule type="expression" dxfId="2954" priority="18">
      <formula>IF(NoColor,1,0)</formula>
    </cfRule>
  </conditionalFormatting>
  <conditionalFormatting sqref="AA51">
    <cfRule type="expression" dxfId="2953" priority="49">
      <formula>AND(AI51="",QBID_1040&lt;&gt;"",QBID_1040&lt;&gt;0,QBID_Income2High)</formula>
    </cfRule>
  </conditionalFormatting>
  <conditionalFormatting sqref="AA57:AA62">
    <cfRule type="expression" dxfId="2952" priority="14">
      <formula>IF(NoColor,1,0)</formula>
    </cfRule>
  </conditionalFormatting>
  <conditionalFormatting sqref="AA99:AA100">
    <cfRule type="expression" dxfId="2951" priority="477">
      <formula>IF(NoColor,1,0)</formula>
    </cfRule>
  </conditionalFormatting>
  <conditionalFormatting sqref="AA105">
    <cfRule type="expression" dxfId="2950" priority="454">
      <formula>IF($AK$3&lt;&gt;"",1,0)</formula>
    </cfRule>
  </conditionalFormatting>
  <conditionalFormatting sqref="AB38:AB45">
    <cfRule type="expression" dxfId="2949" priority="184">
      <formula>IF(NoColor,1,0)</formula>
    </cfRule>
  </conditionalFormatting>
  <conditionalFormatting sqref="AB86:AB90">
    <cfRule type="expression" dxfId="2948" priority="251">
      <formula>IF(NoColor,1,0)</formula>
    </cfRule>
  </conditionalFormatting>
  <conditionalFormatting sqref="AB63:AG81">
    <cfRule type="expression" dxfId="2947" priority="119">
      <formula>IF(NoColor,1,0)</formula>
    </cfRule>
  </conditionalFormatting>
  <conditionalFormatting sqref="AC32">
    <cfRule type="expression" dxfId="2946" priority="676">
      <formula>NoColor</formula>
    </cfRule>
  </conditionalFormatting>
  <conditionalFormatting sqref="AC86:AC88">
    <cfRule type="expression" dxfId="2945" priority="379">
      <formula>IF(NoColor,1,0)</formula>
    </cfRule>
  </conditionalFormatting>
  <conditionalFormatting sqref="AC92">
    <cfRule type="expression" dxfId="2944" priority="77">
      <formula>NoColor</formula>
    </cfRule>
  </conditionalFormatting>
  <conditionalFormatting sqref="AC105">
    <cfRule type="expression" dxfId="2943" priority="646">
      <formula>IF($AK$3&lt;&gt;"",1,0)</formula>
    </cfRule>
  </conditionalFormatting>
  <conditionalFormatting sqref="AC39:AG39">
    <cfRule type="expression" dxfId="2942" priority="4084">
      <formula>AND(NOT(NoColor),$N$39&gt;$AC$39,$AI$39="")</formula>
    </cfRule>
  </conditionalFormatting>
  <conditionalFormatting sqref="AC48:AG48">
    <cfRule type="expression" dxfId="2941" priority="170">
      <formula>IF(NoColor,1,0)</formula>
    </cfRule>
  </conditionalFormatting>
  <conditionalFormatting sqref="AC60:AG60">
    <cfRule type="expression" dxfId="2940" priority="243">
      <formula>IF(ISERROR(ROUND(Tax_SS_Benefits,0)),1,0)</formula>
    </cfRule>
  </conditionalFormatting>
  <conditionalFormatting sqref="AC64:AG81">
    <cfRule type="expression" dxfId="2939" priority="120">
      <formula>IF(ISERROR(ROUND(Tax_SS_Benefits,0)),1,0)</formula>
    </cfRule>
  </conditionalFormatting>
  <conditionalFormatting sqref="AC83:AG85">
    <cfRule type="expression" dxfId="2938" priority="612">
      <formula>IF(ISERROR(ROUND(Tax_SS_Benefits,0)),1,0)</formula>
    </cfRule>
  </conditionalFormatting>
  <conditionalFormatting sqref="AC84:AG85">
    <cfRule type="expression" dxfId="2937" priority="613">
      <formula>IF(NoColor,1,0)</formula>
    </cfRule>
  </conditionalFormatting>
  <conditionalFormatting sqref="AC89:AG90">
    <cfRule type="expression" dxfId="2936" priority="611">
      <formula>IF(NoColor,1,0)</formula>
    </cfRule>
    <cfRule type="expression" dxfId="2935" priority="610">
      <formula>IF(ISERROR(ROUND(Tax_SS_Benefits,0)),1,0)</formula>
    </cfRule>
  </conditionalFormatting>
  <conditionalFormatting sqref="AC94:AG94">
    <cfRule type="expression" dxfId="2934" priority="115">
      <formula>NoColor</formula>
    </cfRule>
  </conditionalFormatting>
  <conditionalFormatting sqref="AD92">
    <cfRule type="expression" dxfId="2933" priority="78">
      <formula>IF(NoColor,1,0)</formula>
    </cfRule>
  </conditionalFormatting>
  <conditionalFormatting sqref="AD105:AH105">
    <cfRule type="expression" dxfId="2932" priority="244">
      <formula>NoColor</formula>
    </cfRule>
  </conditionalFormatting>
  <conditionalFormatting sqref="AE91:AE92 AF91:AG93">
    <cfRule type="expression" dxfId="2931" priority="207">
      <formula>IF(NoColor,1,0)</formula>
    </cfRule>
  </conditionalFormatting>
  <conditionalFormatting sqref="AE103">
    <cfRule type="expression" dxfId="2930" priority="104">
      <formula>NoColor</formula>
    </cfRule>
  </conditionalFormatting>
  <conditionalFormatting sqref="AF103:AH103">
    <cfRule type="expression" dxfId="2929" priority="103">
      <formula>IF($AK$3&lt;&gt;"",1,0)</formula>
    </cfRule>
  </conditionalFormatting>
  <conditionalFormatting sqref="AG106:AH106">
    <cfRule type="expression" dxfId="2928" priority="250">
      <formula>IF(NoColor,1,0)</formula>
    </cfRule>
  </conditionalFormatting>
  <conditionalFormatting sqref="AH7">
    <cfRule type="expression" dxfId="2927" priority="10">
      <formula>AND(OR(File_Qual_Widow&lt;&gt;"",File_Head&lt;&gt;""),$O$8="")</formula>
    </cfRule>
  </conditionalFormatting>
  <conditionalFormatting sqref="AH18:AH21 B22:AH23">
    <cfRule type="expression" dxfId="2926" priority="341">
      <formula>NoColor</formula>
    </cfRule>
  </conditionalFormatting>
  <conditionalFormatting sqref="AH91:AH94 E95:AH97 E98:O98 T98:AA98">
    <cfRule type="expression" dxfId="2925" priority="642">
      <formula>IF(NoColor,1,0)</formula>
    </cfRule>
  </conditionalFormatting>
  <conditionalFormatting sqref="AI40:AI41">
    <cfRule type="expression" dxfId="2924" priority="376">
      <formula>AND(IRAs_Pension_Annuit&lt;&gt;"",IRAs_Pension_Annuit&lt;&gt;0,IRAs_Pension_Annuit&lt;&gt;IRA_Pension_Taxable)</formula>
    </cfRule>
  </conditionalFormatting>
  <conditionalFormatting sqref="AI51">
    <cfRule type="expression" dxfId="2923" priority="48">
      <formula>AND(QBID_1040&lt;&gt;"",QBID_1040&lt;&gt;0,QBID_Income2High)</formula>
    </cfRule>
  </conditionalFormatting>
  <conditionalFormatting sqref="AI62">
    <cfRule type="expression" dxfId="2922" priority="206">
      <formula>F8960_Applicable</formula>
    </cfRule>
  </conditionalFormatting>
  <conditionalFormatting sqref="AI72">
    <cfRule type="expression" dxfId="2921" priority="236">
      <formula>AND(EIC_trigger,NOT(EIC_Started))</formula>
    </cfRule>
    <cfRule type="expression" dxfId="2920" priority="118">
      <formula>$AL$80</formula>
    </cfRule>
  </conditionalFormatting>
  <conditionalFormatting sqref="AI89">
    <cfRule type="expression" dxfId="2919" priority="4290">
      <formula>OR($AJ$85,$AJ$94)</formula>
    </cfRule>
  </conditionalFormatting>
  <conditionalFormatting sqref="AJ40">
    <cfRule type="expression" dxfId="2918" priority="4652">
      <formula>OR(AN35,AND($N$39&lt;&gt;0,$AC$39&lt;&gt;0))</formula>
    </cfRule>
  </conditionalFormatting>
  <conditionalFormatting sqref="AJ46">
    <cfRule type="expression" dxfId="2917" priority="4654" stopIfTrue="1">
      <formula>NumFileStatusBoxes=0</formula>
    </cfRule>
    <cfRule type="expression" dxfId="2916" priority="4655">
      <formula>AND($AM$49&lt;&gt;"",$AM$49&gt;0,SchA_Filed)</formula>
    </cfRule>
    <cfRule type="expression" dxfId="2915" priority="4656">
      <formula>AND(AM47&lt;&gt;"",AM47&gt;AN47)</formula>
    </cfRule>
  </conditionalFormatting>
  <conditionalFormatting sqref="AJ47">
    <cfRule type="expression" dxfId="2914" priority="4663" stopIfTrue="1">
      <formula>NumFileStatusBoxes=0</formula>
    </cfRule>
    <cfRule type="expression" dxfId="2913" priority="4661">
      <formula>OR(NumFileStatusBoxes=0,AND($AM$49&lt;&gt;"",$AM$49&gt;0,SchA_Filed))</formula>
    </cfRule>
    <cfRule type="expression" dxfId="2912" priority="4662">
      <formula>AND(AM49&lt;&gt;"",AM49&gt;AN49)</formula>
    </cfRule>
  </conditionalFormatting>
  <conditionalFormatting sqref="AJ70 AL70">
    <cfRule type="expression" dxfId="2911" priority="4078">
      <formula>($AJ$72&gt;0)</formula>
    </cfRule>
  </conditionalFormatting>
  <conditionalFormatting sqref="AJ68:AK69">
    <cfRule type="expression" dxfId="2910" priority="67">
      <formula>NoColor</formula>
    </cfRule>
  </conditionalFormatting>
  <conditionalFormatting sqref="AJ40:AL44">
    <cfRule type="expression" dxfId="2909" priority="3064" stopIfTrue="1">
      <formula>($N$39&gt;$AC$39)</formula>
    </cfRule>
    <cfRule type="expression" dxfId="2908" priority="3066">
      <formula>SUM(ROUND(IRA_Gross,0),ROUND(PA_Gross,0))=IRA_Pension_Taxable</formula>
    </cfRule>
  </conditionalFormatting>
  <conditionalFormatting sqref="AJ51:AL54">
    <cfRule type="expression" dxfId="2907" priority="7">
      <formula>NumFileStatusBoxes=0</formula>
    </cfRule>
    <cfRule type="expression" dxfId="2906" priority="501">
      <formula>$AL$9</formula>
    </cfRule>
  </conditionalFormatting>
  <conditionalFormatting sqref="AJ62:AL62">
    <cfRule type="expression" dxfId="2905" priority="4075">
      <formula>$AI$62&lt;&gt;""</formula>
    </cfRule>
  </conditionalFormatting>
  <conditionalFormatting sqref="AJ71:AL71">
    <cfRule type="expression" dxfId="2904" priority="4077">
      <formula>($AJ$72&gt;0)</formula>
    </cfRule>
  </conditionalFormatting>
  <conditionalFormatting sqref="AK4:AK5">
    <cfRule type="expression" dxfId="2903" priority="497">
      <formula>(File_Marr_Sep&lt;&gt;"")</formula>
    </cfRule>
  </conditionalFormatting>
  <conditionalFormatting sqref="AK6:AK8">
    <cfRule type="expression" dxfId="2902" priority="235">
      <formula>(File_Marr_Sep&lt;&gt;"")</formula>
    </cfRule>
  </conditionalFormatting>
  <conditionalFormatting sqref="AK17">
    <cfRule type="expression" dxfId="2901" priority="411">
      <formula>(File_Marr_Joint&lt;&gt;"")</formula>
    </cfRule>
  </conditionalFormatting>
  <conditionalFormatting sqref="AL6:AL7">
    <cfRule type="expression" dxfId="2900" priority="484">
      <formula>AND(File_Marr_Sep&lt;&gt;"",LivedApartAnswered)</formula>
    </cfRule>
  </conditionalFormatting>
  <conditionalFormatting sqref="AL13">
    <cfRule type="expression" dxfId="2899" priority="874">
      <formula>IF(OR(AND(File_Marr_Joint&lt;&gt;"",$AX$12,$AX$14),AND(File_Marr_Joint="",$AX$12)),1,0)</formula>
    </cfRule>
  </conditionalFormatting>
  <conditionalFormatting sqref="AL63">
    <cfRule type="expression" dxfId="2898" priority="9">
      <formula>($AI$40&lt;&gt;"")</formula>
    </cfRule>
  </conditionalFormatting>
  <conditionalFormatting sqref="AL65:AL66 AJ73:AL73 AL74:AL77">
    <cfRule type="expression" dxfId="2897" priority="374">
      <formula>($AI$40&lt;&gt;"")</formula>
    </cfRule>
  </conditionalFormatting>
  <conditionalFormatting sqref="AL4:AN5">
    <cfRule type="expression" dxfId="2896" priority="493">
      <formula>(File_Marr_Sep&lt;&gt;"")</formula>
    </cfRule>
  </conditionalFormatting>
  <conditionalFormatting sqref="AL7:AN7">
    <cfRule type="expression" dxfId="2895" priority="487">
      <formula>(File_Marr_Sep&lt;&gt;"")</formula>
    </cfRule>
  </conditionalFormatting>
  <conditionalFormatting sqref="AL8:AO8">
    <cfRule type="expression" dxfId="2894" priority="234">
      <formula>File_Marr_Sep&lt;&gt;""</formula>
    </cfRule>
  </conditionalFormatting>
  <conditionalFormatting sqref="AM4">
    <cfRule type="expression" dxfId="2893" priority="8">
      <formula>NumFileStatusBoxes=0</formula>
    </cfRule>
  </conditionalFormatting>
  <conditionalFormatting sqref="AM16">
    <cfRule type="expression" dxfId="2892" priority="891">
      <formula>IF($BA$102,1,0)</formula>
    </cfRule>
  </conditionalFormatting>
  <conditionalFormatting sqref="AM18:AM23">
    <cfRule type="expression" dxfId="2891" priority="4350">
      <formula>AND($AM$17&lt;&gt;"",$AN$17&lt;&gt;"",$AO$17&lt;&gt;"",$BA$122)</formula>
    </cfRule>
  </conditionalFormatting>
  <conditionalFormatting sqref="AM25:AM27">
    <cfRule type="expression" dxfId="2890" priority="4291">
      <formula>OR($BG$121,$AP$24)</formula>
    </cfRule>
  </conditionalFormatting>
  <conditionalFormatting sqref="AM17:AO17">
    <cfRule type="expression" dxfId="2889" priority="2865">
      <formula>IF(NOT($AL$10),1,0)</formula>
    </cfRule>
    <cfRule type="expression" dxfId="2888" priority="2866">
      <formula>IF(NoColor,1,0)</formula>
    </cfRule>
  </conditionalFormatting>
  <conditionalFormatting sqref="AM24:AO24">
    <cfRule type="expression" dxfId="2887" priority="410">
      <formula>IF(NoColor,1,0)</formula>
    </cfRule>
    <cfRule type="expression" dxfId="2886" priority="409">
      <formula>NOT($AL$25)</formula>
    </cfRule>
  </conditionalFormatting>
  <conditionalFormatting sqref="AN4:AN6">
    <cfRule type="expression" dxfId="2885" priority="491">
      <formula>(File_Marr_Sep&lt;&gt;"")</formula>
    </cfRule>
  </conditionalFormatting>
  <conditionalFormatting sqref="AN57">
    <cfRule type="expression" dxfId="2884" priority="56">
      <formula>$AN$52</formula>
    </cfRule>
  </conditionalFormatting>
  <conditionalFormatting sqref="AO6">
    <cfRule type="expression" dxfId="2883" priority="486">
      <formula>(File_Marr_Sep&lt;&gt;"")</formula>
    </cfRule>
  </conditionalFormatting>
  <conditionalFormatting sqref="AO7">
    <cfRule type="expression" dxfId="2882" priority="495">
      <formula>(File_Marr_Sep&lt;&gt;"")</formula>
    </cfRule>
  </conditionalFormatting>
  <conditionalFormatting sqref="AO49">
    <cfRule type="expression" dxfId="2881" priority="522">
      <formula>AND($AO$45,Over_65_or_Blind=0)</formula>
    </cfRule>
  </conditionalFormatting>
  <conditionalFormatting sqref="AO50">
    <cfRule type="expression" dxfId="2880" priority="518">
      <formula>AND($AO$45,Over_65_or_Blind=1)</formula>
    </cfRule>
  </conditionalFormatting>
  <conditionalFormatting sqref="AO51">
    <cfRule type="expression" dxfId="2879" priority="517">
      <formula>AND($AO$45,Over_65_or_Blind=2)</formula>
    </cfRule>
  </conditionalFormatting>
  <conditionalFormatting sqref="AO52">
    <cfRule type="expression" dxfId="2878" priority="516">
      <formula>AND($AO$45,Over_65_or_Blind=3)</formula>
    </cfRule>
  </conditionalFormatting>
  <conditionalFormatting sqref="AO53 AO63">
    <cfRule type="expression" dxfId="2877" priority="515">
      <formula>AND($AO$45,Over_65_or_Blind=4)</formula>
    </cfRule>
  </conditionalFormatting>
  <conditionalFormatting sqref="AP46">
    <cfRule type="expression" dxfId="2876" priority="523">
      <formula>$AO$45</formula>
    </cfRule>
  </conditionalFormatting>
  <conditionalFormatting sqref="AP49:AP51">
    <cfRule type="expression" dxfId="2875" priority="832">
      <formula>IF(AND($AO$45,Over_65_or_Blind=$AO49,File_Single&lt;&gt;""),1,0)</formula>
    </cfRule>
  </conditionalFormatting>
  <conditionalFormatting sqref="AQ31:AQ34">
    <cfRule type="expression" dxfId="2874" priority="483">
      <formula>IF($AK$3&lt;&gt;"",1,0)</formula>
    </cfRule>
  </conditionalFormatting>
  <conditionalFormatting sqref="AQ49:AQ53">
    <cfRule type="expression" dxfId="2873" priority="851">
      <formula>IF(AND($AO$45,Over_65_or_Blind=$AO49,OR(File_Marr_Joint&lt;&gt;"",File_Qual_Widow&lt;&gt;"")),1,0)</formula>
    </cfRule>
  </conditionalFormatting>
  <conditionalFormatting sqref="AR49:AR53">
    <cfRule type="expression" dxfId="2872" priority="828">
      <formula>IF(AND($AO$45,Over_65_or_Blind=$AO49,File_Marr_Sep&lt;&gt;""),1,0)</formula>
    </cfRule>
  </conditionalFormatting>
  <conditionalFormatting sqref="AS49:AS51">
    <cfRule type="expression" dxfId="2871" priority="825">
      <formula>IF(AND($AO$45,Over_65_or_Blind=$AO49,File_Head&lt;&gt;""),1,0)</formula>
    </cfRule>
  </conditionalFormatting>
  <conditionalFormatting sqref="AX46:AX47">
    <cfRule type="expression" dxfId="2870" priority="618">
      <formula>NOT(ItemizedDeduct)</formula>
    </cfRule>
  </conditionalFormatting>
  <conditionalFormatting sqref="AY46:AY47">
    <cfRule type="expression" dxfId="2869" priority="617">
      <formula>(ItemizedDeduct)</formula>
    </cfRule>
  </conditionalFormatting>
  <hyperlinks>
    <hyperlink ref="G2" r:id="rId1" xr:uid="{00000000-0004-0000-0A00-000000000000}"/>
    <hyperlink ref="E109" r:id="rId2" xr:uid="{00000000-0004-0000-0A00-000001000000}"/>
    <hyperlink ref="E111" r:id="rId3" xr:uid="{00000000-0004-0000-0A00-000002000000}"/>
    <hyperlink ref="E111:T111" r:id="rId4" display="Download Form 1040 from IRS" xr:uid="{00000000-0004-0000-0A00-000003000000}"/>
    <hyperlink ref="E113:T113" r:id="rId5" display="Download Form 1040 from IRS" xr:uid="{00000000-0004-0000-0A00-000004000000}"/>
    <hyperlink ref="I114:M116" location="'Table of Contents'!A1" display="Table of Contents" xr:uid="{00000000-0004-0000-0A00-000005000000}"/>
  </hyperlinks>
  <printOptions horizontalCentered="1"/>
  <pageMargins left="0.42" right="0.17" top="0.5" bottom="0.56000000000000005" header="0" footer="0"/>
  <pageSetup scale="77" fitToHeight="0" orientation="portrait" r:id="rId6"/>
  <headerFooter alignWithMargins="0"/>
  <rowBreaks count="1" manualBreakCount="1">
    <brk id="54" min="1" max="32" man="1"/>
  </rowBreaks>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CA42"/>
  <sheetViews>
    <sheetView workbookViewId="0"/>
  </sheetViews>
  <sheetFormatPr defaultRowHeight="12.75"/>
  <cols>
    <col min="1" max="1" width="4.85546875" customWidth="1"/>
    <col min="4" max="4" width="3.5703125" customWidth="1"/>
    <col min="5" max="12" width="7" customWidth="1"/>
    <col min="13" max="18" width="3.5703125" customWidth="1"/>
    <col min="19" max="24" width="3" customWidth="1"/>
    <col min="25" max="25" width="6.28515625" customWidth="1"/>
    <col min="26" max="26" width="4.28515625" customWidth="1"/>
    <col min="27" max="28" width="3.7109375" customWidth="1"/>
    <col min="29" max="30" width="2.5703125" customWidth="1"/>
    <col min="31" max="32" width="3.42578125" customWidth="1"/>
    <col min="33" max="34" width="3.85546875" customWidth="1"/>
    <col min="35" max="40" width="3" customWidth="1"/>
    <col min="41" max="41" width="11.28515625" customWidth="1"/>
    <col min="42" max="42" width="4.5703125" customWidth="1"/>
    <col min="43" max="43" width="5.28515625" customWidth="1"/>
    <col min="44" max="47" width="5.28515625" hidden="1" customWidth="1"/>
    <col min="48" max="48" width="14" hidden="1" customWidth="1"/>
    <col min="49" max="49" width="12.140625" hidden="1" customWidth="1"/>
    <col min="50" max="51" width="9.140625" style="270" hidden="1" customWidth="1"/>
    <col min="52" max="54" width="6.85546875" style="270" customWidth="1"/>
    <col min="55" max="55" width="6.140625" style="270" customWidth="1"/>
    <col min="56" max="57" width="12.28515625" customWidth="1"/>
    <col min="58" max="58" width="12.28515625" style="270" customWidth="1"/>
    <col min="59" max="59" width="4.28515625" customWidth="1"/>
    <col min="60" max="60" width="5.85546875" hidden="1" customWidth="1"/>
    <col min="61" max="61" width="5.85546875" style="270" hidden="1" customWidth="1"/>
    <col min="62" max="63" width="5.85546875" hidden="1" customWidth="1"/>
    <col min="64" max="64" width="13.28515625" style="270" hidden="1" customWidth="1"/>
    <col min="65" max="68" width="9.140625" hidden="1" customWidth="1"/>
    <col min="69" max="69" width="4.28515625" hidden="1" customWidth="1"/>
    <col min="70" max="70" width="9" hidden="1" customWidth="1"/>
    <col min="71" max="73" width="9.140625" hidden="1" customWidth="1"/>
    <col min="74" max="74" width="3.28515625" hidden="1" customWidth="1"/>
    <col min="75" max="75" width="9.140625" hidden="1" customWidth="1"/>
  </cols>
  <sheetData>
    <row r="1" spans="1:79">
      <c r="A1" s="5428"/>
      <c r="B1" s="5428"/>
      <c r="C1" s="5428"/>
      <c r="D1" s="5428"/>
      <c r="E1" s="5428"/>
      <c r="F1" s="5428"/>
      <c r="G1" s="5428"/>
      <c r="H1" s="5428"/>
      <c r="I1" s="5428"/>
      <c r="J1" s="5428"/>
      <c r="K1" s="5428"/>
      <c r="L1" s="5428"/>
      <c r="M1" s="6548" t="str">
        <f>IF(BO3,"One or more 'default' SSNs has been generated.","To be a valid SSN,"&amp;CHAR(10)&amp;"- Can't begin w/ '000',"&amp;CHAR(10)&amp;"- Can't begin w/ '666',"&amp;CHAR(10)&amp;"- Can't begin w/ '9'"&amp;CHAR(10)&amp;"- Issued before due date"&amp;CHAR(10)&amp;"(See instructions.)")</f>
        <v>To be a valid SSN,
- Can't begin w/ '000',
- Can't begin w/ '666',
- Can't begin w/ '9'
- Issued before due date
(See instructions.)</v>
      </c>
      <c r="N1" s="6548"/>
      <c r="O1" s="6548"/>
      <c r="P1" s="6548"/>
      <c r="Q1" s="6548"/>
      <c r="R1" s="6548"/>
      <c r="S1" s="5428"/>
      <c r="T1" s="5428"/>
      <c r="U1" s="5428"/>
      <c r="V1" s="5428"/>
      <c r="W1" s="5428"/>
      <c r="X1" s="5428"/>
      <c r="Y1" s="5428"/>
      <c r="Z1" s="5428"/>
      <c r="AA1" s="5428"/>
      <c r="AB1" s="5428"/>
      <c r="AC1" s="5428"/>
      <c r="AD1" s="5428"/>
      <c r="AE1" s="5428"/>
      <c r="AF1" s="5428"/>
      <c r="AG1" s="5428"/>
      <c r="AH1" s="5428"/>
      <c r="AI1" s="6526" t="str">
        <f>IF(BR3,"Enter child/dependent's birthdate to ensure accurate tax credit determination.","")</f>
        <v/>
      </c>
      <c r="AJ1" s="6526"/>
      <c r="AK1" s="6526"/>
      <c r="AL1" s="6526"/>
      <c r="AM1" s="6526"/>
      <c r="AN1" s="6526"/>
      <c r="AO1" s="5428"/>
      <c r="AP1" s="5428"/>
      <c r="AX1"/>
      <c r="AY1"/>
      <c r="AZ1"/>
      <c r="BA1"/>
      <c r="BB1"/>
      <c r="BC1"/>
      <c r="BF1"/>
      <c r="BI1"/>
      <c r="BL1"/>
      <c r="BN1" s="270"/>
      <c r="BO1" s="270"/>
      <c r="BP1" s="270"/>
      <c r="BQ1" s="270"/>
      <c r="BR1" s="270"/>
      <c r="BU1" s="270"/>
      <c r="BW1" s="270"/>
      <c r="BX1" s="270"/>
      <c r="CA1" s="270"/>
    </row>
    <row r="2" spans="1:79" ht="60.75" customHeight="1">
      <c r="A2" s="5428"/>
      <c r="B2" s="5428"/>
      <c r="C2" s="6550" t="s">
        <v>5095</v>
      </c>
      <c r="D2" s="6550"/>
      <c r="E2" s="6550"/>
      <c r="F2" s="6550"/>
      <c r="G2" s="6550"/>
      <c r="H2" s="6550"/>
      <c r="I2" s="6550"/>
      <c r="J2" s="6550"/>
      <c r="K2" s="5428"/>
      <c r="L2" s="5428"/>
      <c r="M2" s="6548"/>
      <c r="N2" s="6548"/>
      <c r="O2" s="6548"/>
      <c r="P2" s="6548"/>
      <c r="Q2" s="6548"/>
      <c r="R2" s="6548"/>
      <c r="S2" s="5428"/>
      <c r="T2" s="5428"/>
      <c r="U2" s="5428"/>
      <c r="V2" s="5428"/>
      <c r="W2" s="5428"/>
      <c r="X2" s="5428"/>
      <c r="Y2" s="5428"/>
      <c r="Z2" s="5428"/>
      <c r="AA2" s="5428"/>
      <c r="AB2" s="5428"/>
      <c r="AC2" s="5428"/>
      <c r="AD2" s="5428"/>
      <c r="AE2" s="5428"/>
      <c r="AF2" s="5428"/>
      <c r="AG2" s="5428"/>
      <c r="AH2" s="5428"/>
      <c r="AI2" s="6526"/>
      <c r="AJ2" s="6526"/>
      <c r="AK2" s="6526"/>
      <c r="AL2" s="6526"/>
      <c r="AM2" s="6526"/>
      <c r="AN2" s="6526"/>
      <c r="AO2" s="5428"/>
      <c r="AP2" s="5428"/>
      <c r="AX2"/>
      <c r="AY2"/>
      <c r="AZ2"/>
      <c r="BA2"/>
      <c r="BB2"/>
      <c r="BC2"/>
      <c r="BF2"/>
      <c r="BH2" s="6519" t="s">
        <v>3898</v>
      </c>
      <c r="BI2" s="6519" t="s">
        <v>5092</v>
      </c>
      <c r="BJ2" s="6519" t="s">
        <v>5090</v>
      </c>
      <c r="BK2" s="6519" t="s">
        <v>5091</v>
      </c>
      <c r="BL2"/>
      <c r="BN2" s="270"/>
      <c r="BO2" s="270"/>
      <c r="BP2" s="270"/>
      <c r="BQ2" s="270"/>
      <c r="BR2" s="270"/>
      <c r="BU2" s="270"/>
      <c r="BW2" s="270"/>
      <c r="BX2" s="270"/>
      <c r="CA2" s="270"/>
    </row>
    <row r="3" spans="1:79" ht="16.5" customHeight="1">
      <c r="A3" s="5428"/>
      <c r="B3" s="5428"/>
      <c r="C3" s="5428"/>
      <c r="D3" s="5428"/>
      <c r="E3" s="5428"/>
      <c r="F3" s="5428"/>
      <c r="G3" s="5428"/>
      <c r="H3" s="5428"/>
      <c r="I3" s="5428"/>
      <c r="J3" s="5428"/>
      <c r="K3" s="5428"/>
      <c r="L3" s="5428"/>
      <c r="M3" s="6549"/>
      <c r="N3" s="6549"/>
      <c r="O3" s="6549"/>
      <c r="P3" s="6549"/>
      <c r="Q3" s="6549"/>
      <c r="R3" s="6549"/>
      <c r="S3" s="5428"/>
      <c r="T3" s="5428"/>
      <c r="U3" s="5428"/>
      <c r="V3" s="5428"/>
      <c r="W3" s="5428"/>
      <c r="X3" s="5428"/>
      <c r="Y3" s="5428"/>
      <c r="Z3" s="5428"/>
      <c r="AA3" s="5428"/>
      <c r="AB3" s="5428"/>
      <c r="AC3" s="5428"/>
      <c r="AD3" s="5428"/>
      <c r="AE3" s="5428"/>
      <c r="AF3" s="5428"/>
      <c r="AG3" s="5428"/>
      <c r="AH3" s="5428"/>
      <c r="AI3" s="6527"/>
      <c r="AJ3" s="6527"/>
      <c r="AK3" s="6527"/>
      <c r="AL3" s="6527"/>
      <c r="AM3" s="6527"/>
      <c r="AN3" s="6527"/>
      <c r="AO3" s="5428"/>
      <c r="AP3" s="5428"/>
      <c r="AX3"/>
      <c r="AY3"/>
      <c r="AZ3"/>
      <c r="BA3"/>
      <c r="BB3"/>
      <c r="BC3"/>
      <c r="BF3"/>
      <c r="BH3" s="6519"/>
      <c r="BI3" s="6519"/>
      <c r="BJ3" s="6519"/>
      <c r="BK3" s="6519"/>
      <c r="BL3"/>
      <c r="BN3" s="270"/>
      <c r="BO3" s="2136" t="b">
        <f>OR(BO7:BO10,BO15:BO30)</f>
        <v>0</v>
      </c>
      <c r="BP3" s="270"/>
      <c r="BQ3" s="270"/>
      <c r="BR3" s="2136" t="b">
        <f>OR(BR7:BR10,BR15:BR30)</f>
        <v>0</v>
      </c>
      <c r="BU3" s="270"/>
      <c r="BW3" s="270"/>
      <c r="BX3" s="270"/>
      <c r="CA3" s="270"/>
    </row>
    <row r="4" spans="1:79">
      <c r="A4" s="5428"/>
      <c r="B4" s="6357" t="s">
        <v>3898</v>
      </c>
      <c r="C4" s="6357"/>
      <c r="D4" s="6357"/>
      <c r="E4" s="5271"/>
      <c r="F4" s="5271"/>
      <c r="G4" s="5271"/>
      <c r="H4" s="5271"/>
      <c r="I4" s="5425"/>
      <c r="J4" s="5272"/>
      <c r="K4" s="5272"/>
      <c r="L4" s="5277"/>
      <c r="M4" s="6460" t="str">
        <f>"(2) Social security "&amp;CHAR(10)&amp;"number"</f>
        <v>(2) Social security 
number</v>
      </c>
      <c r="N4" s="6461"/>
      <c r="O4" s="6461"/>
      <c r="P4" s="6461"/>
      <c r="Q4" s="6461"/>
      <c r="R4" s="6462"/>
      <c r="S4" s="6469" t="s">
        <v>3901</v>
      </c>
      <c r="T4" s="6470"/>
      <c r="U4" s="6470"/>
      <c r="V4" s="6470"/>
      <c r="W4" s="6470"/>
      <c r="X4" s="6471"/>
      <c r="Y4" s="6511" t="str">
        <f>IF(BI11&gt;0,"Error: You cannot take both credits.","")</f>
        <v/>
      </c>
      <c r="Z4" s="6512"/>
      <c r="AA4" s="6512"/>
      <c r="AB4" s="6512"/>
      <c r="AC4" s="6512"/>
      <c r="AD4" s="6512"/>
      <c r="AE4" s="6512"/>
      <c r="AF4" s="6512"/>
      <c r="AG4" s="6512"/>
      <c r="AH4" s="6513"/>
      <c r="AI4" s="6516" t="s">
        <v>5084</v>
      </c>
      <c r="AJ4" s="6470"/>
      <c r="AK4" s="6470"/>
      <c r="AL4" s="6470"/>
      <c r="AM4" s="6470"/>
      <c r="AN4" s="6471"/>
      <c r="AO4" s="6516" t="str">
        <f>"Age "&amp;CHAR(10)&amp;"(in "&amp;TaxYear&amp;")"</f>
        <v>Age 
(in 2021)</v>
      </c>
      <c r="AP4" s="5428"/>
      <c r="AX4"/>
      <c r="AY4"/>
      <c r="AZ4"/>
      <c r="BA4"/>
      <c r="BB4"/>
      <c r="BC4"/>
      <c r="BF4"/>
      <c r="BH4" s="6519"/>
      <c r="BI4" s="6519"/>
      <c r="BJ4" s="6519"/>
      <c r="BK4" s="6519"/>
      <c r="BL4"/>
      <c r="BN4" s="270"/>
      <c r="BO4" s="270"/>
      <c r="BP4" s="270"/>
      <c r="BQ4" s="270"/>
      <c r="BR4" s="270"/>
      <c r="BU4" s="270"/>
      <c r="BW4" s="270"/>
      <c r="BX4" s="270"/>
      <c r="CA4" s="270"/>
    </row>
    <row r="5" spans="1:79" ht="12.75" customHeight="1">
      <c r="A5" s="5428"/>
      <c r="B5" s="6358"/>
      <c r="C5" s="6358"/>
      <c r="D5" s="6358"/>
      <c r="E5" s="5264" t="s">
        <v>3899</v>
      </c>
      <c r="F5" s="5264"/>
      <c r="G5" s="5264"/>
      <c r="H5" s="5264"/>
      <c r="I5" s="5280"/>
      <c r="J5" s="5264"/>
      <c r="K5" s="5264"/>
      <c r="L5" s="5279"/>
      <c r="M5" s="6463"/>
      <c r="N5" s="6464"/>
      <c r="O5" s="6464"/>
      <c r="P5" s="6464"/>
      <c r="Q5" s="6464"/>
      <c r="R5" s="6465"/>
      <c r="S5" s="6472"/>
      <c r="T5" s="6473"/>
      <c r="U5" s="6473"/>
      <c r="V5" s="6473"/>
      <c r="W5" s="6473"/>
      <c r="X5" s="6474"/>
      <c r="Y5" s="5280"/>
      <c r="Z5" s="5281" t="s">
        <v>3313</v>
      </c>
      <c r="AA5" s="5265"/>
      <c r="AB5" s="5282" t="s">
        <v>3314</v>
      </c>
      <c r="AC5" s="5265"/>
      <c r="AD5" s="5265"/>
      <c r="AE5" s="5265"/>
      <c r="AF5" s="5265"/>
      <c r="AG5" s="5265"/>
      <c r="AH5" s="5265"/>
      <c r="AI5" s="6472"/>
      <c r="AJ5" s="6473"/>
      <c r="AK5" s="6473"/>
      <c r="AL5" s="6473"/>
      <c r="AM5" s="6473"/>
      <c r="AN5" s="6474"/>
      <c r="AO5" s="6517"/>
      <c r="AP5" s="5428"/>
      <c r="AX5"/>
      <c r="AY5"/>
      <c r="AZ5"/>
      <c r="BA5"/>
      <c r="BB5"/>
      <c r="BC5"/>
      <c r="BF5"/>
      <c r="BH5" s="6519"/>
      <c r="BI5" s="6519"/>
      <c r="BJ5" s="6519"/>
      <c r="BK5" s="6519"/>
      <c r="BL5"/>
      <c r="BN5" s="6514" t="s">
        <v>5085</v>
      </c>
      <c r="BO5" s="6514" t="s">
        <v>5596</v>
      </c>
      <c r="BP5" s="5430"/>
      <c r="BQ5" s="5430"/>
      <c r="BR5" s="6514" t="s">
        <v>5597</v>
      </c>
      <c r="BS5" s="6514" t="s">
        <v>5087</v>
      </c>
      <c r="BT5" s="6514" t="s">
        <v>5197</v>
      </c>
      <c r="BU5" s="6514" t="s">
        <v>5198</v>
      </c>
      <c r="BW5" s="6514" t="s">
        <v>5275</v>
      </c>
      <c r="BX5" s="270"/>
      <c r="CA5" s="270"/>
    </row>
    <row r="6" spans="1:79" ht="13.5" thickBot="1">
      <c r="A6" s="5428"/>
      <c r="B6" s="6479" t="s">
        <v>3902</v>
      </c>
      <c r="C6" s="6479"/>
      <c r="D6" s="6479"/>
      <c r="E6" s="6355" t="s">
        <v>3939</v>
      </c>
      <c r="F6" s="6355"/>
      <c r="G6" s="6355"/>
      <c r="H6" s="6355"/>
      <c r="I6" s="6546" t="s">
        <v>459</v>
      </c>
      <c r="J6" s="6355"/>
      <c r="K6" s="6355"/>
      <c r="L6" s="6356"/>
      <c r="M6" s="6466"/>
      <c r="N6" s="6467"/>
      <c r="O6" s="6467"/>
      <c r="P6" s="6467"/>
      <c r="Q6" s="6467"/>
      <c r="R6" s="6468"/>
      <c r="S6" s="6475"/>
      <c r="T6" s="6476"/>
      <c r="U6" s="6476"/>
      <c r="V6" s="6476"/>
      <c r="W6" s="6476"/>
      <c r="X6" s="6477"/>
      <c r="Y6" s="6383" t="s">
        <v>4887</v>
      </c>
      <c r="Z6" s="6384"/>
      <c r="AA6" s="6384"/>
      <c r="AB6" s="6384"/>
      <c r="AC6" s="6383" t="s">
        <v>2325</v>
      </c>
      <c r="AD6" s="6384"/>
      <c r="AE6" s="6384"/>
      <c r="AF6" s="6384"/>
      <c r="AG6" s="6384"/>
      <c r="AH6" s="6384"/>
      <c r="AI6" s="6475"/>
      <c r="AJ6" s="6476"/>
      <c r="AK6" s="6476"/>
      <c r="AL6" s="6476"/>
      <c r="AM6" s="6476"/>
      <c r="AN6" s="6477"/>
      <c r="AO6" s="6518"/>
      <c r="AP6" s="5428"/>
      <c r="AX6"/>
      <c r="AY6"/>
      <c r="AZ6"/>
      <c r="BA6"/>
      <c r="BB6"/>
      <c r="BC6"/>
      <c r="BF6"/>
      <c r="BH6" s="6519"/>
      <c r="BI6" s="6519"/>
      <c r="BJ6" s="6519"/>
      <c r="BK6" s="6519"/>
      <c r="BL6"/>
      <c r="BN6" s="6514"/>
      <c r="BO6" s="6514"/>
      <c r="BP6" s="5430" t="s">
        <v>5094</v>
      </c>
      <c r="BQ6" s="5430"/>
      <c r="BR6" s="6514"/>
      <c r="BS6" s="6515"/>
      <c r="BT6" s="6515"/>
      <c r="BU6" s="6515"/>
      <c r="BW6" s="6515"/>
      <c r="BX6" s="270"/>
      <c r="CA6" s="270"/>
    </row>
    <row r="7" spans="1:79" ht="18">
      <c r="A7" s="5428"/>
      <c r="B7" s="6479"/>
      <c r="C7" s="6479"/>
      <c r="D7" s="6479"/>
      <c r="E7" s="6537"/>
      <c r="F7" s="6537"/>
      <c r="G7" s="6537"/>
      <c r="H7" s="6537"/>
      <c r="I7" s="6538"/>
      <c r="J7" s="6537"/>
      <c r="K7" s="6537"/>
      <c r="L7" s="6539"/>
      <c r="M7" s="6540" t="str">
        <f>IF(OR(Z7&lt;&gt;"",AF7&lt;&gt;""),"001-01-0003","")</f>
        <v/>
      </c>
      <c r="N7" s="6541"/>
      <c r="O7" s="6541"/>
      <c r="P7" s="6541"/>
      <c r="Q7" s="6541"/>
      <c r="R7" s="6542"/>
      <c r="S7" s="6543"/>
      <c r="T7" s="6544"/>
      <c r="U7" s="6544"/>
      <c r="V7" s="6544"/>
      <c r="W7" s="6544"/>
      <c r="X7" s="6545"/>
      <c r="Y7" s="4072"/>
      <c r="Z7" s="1180"/>
      <c r="AA7" s="4073"/>
      <c r="AB7" s="4074"/>
      <c r="AC7" s="4072"/>
      <c r="AD7" s="4074"/>
      <c r="AE7" s="4074"/>
      <c r="AF7" s="1180"/>
      <c r="AG7" s="4075"/>
      <c r="AH7" s="4075"/>
      <c r="AI7" s="6520"/>
      <c r="AJ7" s="6521"/>
      <c r="AK7" s="6521"/>
      <c r="AL7" s="6521"/>
      <c r="AM7" s="6521"/>
      <c r="AN7" s="6522"/>
      <c r="AO7" s="5426" t="str">
        <f>IF(AI7="","",TaxYear-YEAR(AI7))</f>
        <v/>
      </c>
      <c r="AP7" s="5428"/>
      <c r="AQ7" s="1" t="str">
        <f>IF(AND(BS7&lt;&gt;0,BT7&lt;&gt;0),BT$5,IF(BS7&lt;&gt;0,BS$5,IF(BT7&lt;&gt;0,BT$5,IF(BU7&lt;&gt;0,BU$5,IF(BW7&lt;&gt;0,$BW$5,"")))))</f>
        <v/>
      </c>
      <c r="AX7"/>
      <c r="AY7"/>
      <c r="AZ7"/>
      <c r="BA7"/>
      <c r="BB7"/>
      <c r="BC7"/>
      <c r="BF7"/>
      <c r="BG7" s="270"/>
      <c r="BH7" s="270">
        <f>IF(OR(E7&lt;&gt;"",I7&lt;&gt;"",M7&lt;&gt;"",S7&lt;&gt;"",Z7&lt;&gt;"",AF7&lt;&gt;""),1,0)</f>
        <v>0</v>
      </c>
      <c r="BI7" s="270">
        <f>IF(AND(Z7&lt;&gt;"",AF7&lt;&gt;""),1,0)</f>
        <v>0</v>
      </c>
      <c r="BJ7" s="270">
        <f>IF(AND(Z7&lt;&gt;"",$BI7=0),1,0)</f>
        <v>0</v>
      </c>
      <c r="BK7" s="270">
        <f>IF(AND(AF7&lt;&gt;"",$BI7=0),1,0)</f>
        <v>0</v>
      </c>
      <c r="BL7" s="270" t="str">
        <f>TEXT(M7,"000-00-0000")</f>
        <v/>
      </c>
      <c r="BM7" s="270" t="str">
        <f>LEFT(BL7,3)</f>
        <v/>
      </c>
      <c r="BN7" s="5439" t="b">
        <f>AND(M7&lt;&gt;"",LEFT(BM7,3)&lt;&gt;"000",LEFT(BM7,3)&lt;&gt;"666",LEFT(BM7,1)&lt;&gt;"9")</f>
        <v>0</v>
      </c>
      <c r="BO7" s="5439" t="b">
        <f>LEFT(M7,6)="001-01"</f>
        <v>0</v>
      </c>
      <c r="BP7" s="270">
        <f>IF(AND(M7&lt;&gt;"",NOT(BN7)),1,0)</f>
        <v>0</v>
      </c>
      <c r="BQ7" s="5430"/>
      <c r="BR7" s="5439" t="b">
        <f>AND(AI7="",OR(Z7&lt;&gt;"",AF7&lt;&gt;""))</f>
        <v>0</v>
      </c>
      <c r="BS7" s="5444">
        <f>IF(AND(AO7&lt;18,Z7&lt;&gt;"",AF7="",BN7),1,0)</f>
        <v>0</v>
      </c>
      <c r="BT7" s="5432">
        <f>IF(OR(BS7=0,AO7&gt;=6),0,IF(AO7&lt;6,BS7,0))</f>
        <v>0</v>
      </c>
      <c r="BU7" s="5433">
        <f>IF(OR(AND(Z7="",AF7&lt;&gt;""),AND(Z7&lt;&gt;"",AF7="",NOT(BN7))),1,0)</f>
        <v>0</v>
      </c>
      <c r="BV7" s="5438"/>
      <c r="BW7" s="5439">
        <f>IF(AND(BH7=1,BP7&lt;&gt;1),1,0)</f>
        <v>0</v>
      </c>
      <c r="BX7" s="270"/>
      <c r="CA7" s="270"/>
    </row>
    <row r="8" spans="1:79" ht="18">
      <c r="A8" s="5428"/>
      <c r="B8" s="6479"/>
      <c r="C8" s="6479"/>
      <c r="D8" s="6479"/>
      <c r="E8" s="6537"/>
      <c r="F8" s="6537"/>
      <c r="G8" s="6537"/>
      <c r="H8" s="6537"/>
      <c r="I8" s="6538"/>
      <c r="J8" s="6537"/>
      <c r="K8" s="6537"/>
      <c r="L8" s="6539"/>
      <c r="M8" s="6540" t="str">
        <f>IF(OR(Z8&lt;&gt;"",AF8&lt;&gt;""),"001-01-0004","")</f>
        <v/>
      </c>
      <c r="N8" s="6541"/>
      <c r="O8" s="6541"/>
      <c r="P8" s="6541"/>
      <c r="Q8" s="6541"/>
      <c r="R8" s="6542"/>
      <c r="S8" s="6543"/>
      <c r="T8" s="6544"/>
      <c r="U8" s="6544"/>
      <c r="V8" s="6544"/>
      <c r="W8" s="6544"/>
      <c r="X8" s="6545"/>
      <c r="Y8" s="4072"/>
      <c r="Z8" s="1180"/>
      <c r="AA8" s="4073"/>
      <c r="AB8" s="4074"/>
      <c r="AC8" s="4072"/>
      <c r="AD8" s="4074"/>
      <c r="AE8" s="4074"/>
      <c r="AF8" s="1180"/>
      <c r="AG8" s="4075"/>
      <c r="AH8" s="4075"/>
      <c r="AI8" s="6520"/>
      <c r="AJ8" s="6521"/>
      <c r="AK8" s="6521"/>
      <c r="AL8" s="6521"/>
      <c r="AM8" s="6521"/>
      <c r="AN8" s="6522"/>
      <c r="AO8" s="5426" t="str">
        <f>IF(AI8="","",TaxYear-YEAR(AI8))</f>
        <v/>
      </c>
      <c r="AP8" s="5428"/>
      <c r="AQ8" s="1" t="str">
        <f>IF(AND(BS8&lt;&gt;0,BT8&lt;&gt;0),BT$5,IF(BS8&lt;&gt;0,BS$5,IF(BT8&lt;&gt;0,BT$5,IF(BU8&lt;&gt;0,BU$5,IF(BW8&lt;&gt;0,$BW$5,"")))))</f>
        <v/>
      </c>
      <c r="AX8"/>
      <c r="AY8"/>
      <c r="AZ8"/>
      <c r="BA8"/>
      <c r="BB8"/>
      <c r="BC8"/>
      <c r="BF8"/>
      <c r="BG8" s="270"/>
      <c r="BH8" s="270">
        <f>IF(OR(E8&lt;&gt;"",I8&lt;&gt;"",M8&lt;&gt;"",S8&lt;&gt;"",Z8&lt;&gt;"",AF8&lt;&gt;""),1,0)</f>
        <v>0</v>
      </c>
      <c r="BI8" s="270">
        <f>IF(AND(Z8&lt;&gt;"",AF8&lt;&gt;""),1,0)</f>
        <v>0</v>
      </c>
      <c r="BJ8" s="270">
        <f>IF(AND(Z8&lt;&gt;"",$BI8=0),1,0)</f>
        <v>0</v>
      </c>
      <c r="BK8" s="270">
        <f>IF(AND(AF8&lt;&gt;"",$BI8=0),1,0)</f>
        <v>0</v>
      </c>
      <c r="BL8" s="270" t="str">
        <f>TEXT(M8,"000-00-0000")</f>
        <v/>
      </c>
      <c r="BM8" s="270" t="str">
        <f>LEFT(BL8,3)</f>
        <v/>
      </c>
      <c r="BN8" s="5440" t="b">
        <f>AND(M8&lt;&gt;"",LEFT(BM8,3)&lt;&gt;"000",LEFT(BM8,3)&lt;&gt;"666",LEFT(BM8,1)&lt;&gt;"9")</f>
        <v>0</v>
      </c>
      <c r="BO8" s="5440" t="b">
        <f>LEFT(M8,6)="001-01"</f>
        <v>0</v>
      </c>
      <c r="BP8" s="270">
        <f>IF(AND(M8&lt;&gt;"",NOT(BN8)),1,0)</f>
        <v>0</v>
      </c>
      <c r="BQ8" s="5430"/>
      <c r="BR8" s="5440" t="b">
        <f>AND(AI8="",OR(Z8&lt;&gt;"",AF8&lt;&gt;""))</f>
        <v>0</v>
      </c>
      <c r="BS8" s="5445">
        <f>IF(AND(AO8&lt;18,Z8&lt;&gt;"",AF8="",BN8),1,0)</f>
        <v>0</v>
      </c>
      <c r="BT8" s="5434">
        <f>IF(OR(BS8=0,AO8&gt;=6),0,IF(AO8&lt;6,BS8,0))</f>
        <v>0</v>
      </c>
      <c r="BU8" s="5435">
        <f>IF(OR(AND(Z8="",AF8&lt;&gt;""),AND(Z8&lt;&gt;"",AF8="",NOT(BN8))),1,0)</f>
        <v>0</v>
      </c>
      <c r="BV8" s="5438"/>
      <c r="BW8" s="5440">
        <f>IF(AND(BH8=1,BP8&lt;&gt;1),1,0)</f>
        <v>0</v>
      </c>
      <c r="BX8" s="270"/>
      <c r="CA8" s="270"/>
    </row>
    <row r="9" spans="1:79" ht="18">
      <c r="A9" s="5428"/>
      <c r="B9" s="6479"/>
      <c r="C9" s="6479"/>
      <c r="D9" s="6479"/>
      <c r="E9" s="6537"/>
      <c r="F9" s="6537"/>
      <c r="G9" s="6537"/>
      <c r="H9" s="6537"/>
      <c r="I9" s="6538"/>
      <c r="J9" s="6537"/>
      <c r="K9" s="6537"/>
      <c r="L9" s="6539"/>
      <c r="M9" s="6540" t="str">
        <f>IF(OR(Z9&lt;&gt;"",AF9&lt;&gt;""),"001-01-0005","")</f>
        <v/>
      </c>
      <c r="N9" s="6541"/>
      <c r="O9" s="6541"/>
      <c r="P9" s="6541"/>
      <c r="Q9" s="6541"/>
      <c r="R9" s="6542"/>
      <c r="S9" s="6543"/>
      <c r="T9" s="6544"/>
      <c r="U9" s="6544"/>
      <c r="V9" s="6544"/>
      <c r="W9" s="6544"/>
      <c r="X9" s="6545"/>
      <c r="Y9" s="4072"/>
      <c r="Z9" s="1180"/>
      <c r="AA9" s="4073"/>
      <c r="AB9" s="4074"/>
      <c r="AC9" s="4072"/>
      <c r="AD9" s="4074"/>
      <c r="AE9" s="4074"/>
      <c r="AF9" s="1180"/>
      <c r="AG9" s="4075"/>
      <c r="AH9" s="4075"/>
      <c r="AI9" s="6520"/>
      <c r="AJ9" s="6521"/>
      <c r="AK9" s="6521"/>
      <c r="AL9" s="6521"/>
      <c r="AM9" s="6521"/>
      <c r="AN9" s="6522"/>
      <c r="AO9" s="5426" t="str">
        <f>IF(AI9="","",TaxYear-YEAR(AI9))</f>
        <v/>
      </c>
      <c r="AP9" s="5428"/>
      <c r="AQ9" s="1" t="str">
        <f>IF(AND(BS9&lt;&gt;0,BT9&lt;&gt;0),BT$5,IF(BS9&lt;&gt;0,BS$5,IF(BT9&lt;&gt;0,BT$5,IF(BU9&lt;&gt;0,BU$5,IF(BW9&lt;&gt;0,$BW$5,"")))))</f>
        <v/>
      </c>
      <c r="AX9"/>
      <c r="AY9"/>
      <c r="AZ9"/>
      <c r="BA9"/>
      <c r="BB9"/>
      <c r="BC9"/>
      <c r="BF9"/>
      <c r="BG9" s="270"/>
      <c r="BH9" s="270">
        <f>IF(OR(E9&lt;&gt;"",I9&lt;&gt;"",M9&lt;&gt;"",S9&lt;&gt;"",Z9&lt;&gt;"",AF9&lt;&gt;""),1,0)</f>
        <v>0</v>
      </c>
      <c r="BI9" s="270">
        <f>IF(AND(Z9&lt;&gt;"",AF9&lt;&gt;""),1,0)</f>
        <v>0</v>
      </c>
      <c r="BJ9" s="270">
        <f>IF(AND(Z9&lt;&gt;"",$BI9=0),1,0)</f>
        <v>0</v>
      </c>
      <c r="BK9" s="270">
        <f>IF(AND(AF9&lt;&gt;"",$BI9=0),1,0)</f>
        <v>0</v>
      </c>
      <c r="BL9" s="270" t="str">
        <f>TEXT(M9,"000-00-0000")</f>
        <v/>
      </c>
      <c r="BM9" s="270" t="str">
        <f>LEFT(BL9,3)</f>
        <v/>
      </c>
      <c r="BN9" s="5440" t="b">
        <f>AND(M9&lt;&gt;"",LEFT(BM9,3)&lt;&gt;"000",LEFT(BM9,3)&lt;&gt;"666",LEFT(BM9,1)&lt;&gt;"9")</f>
        <v>0</v>
      </c>
      <c r="BO9" s="5440" t="b">
        <f>LEFT(M9,6)="001-01"</f>
        <v>0</v>
      </c>
      <c r="BP9" s="270">
        <f>IF(AND(M9&lt;&gt;"",NOT(BN9)),1,0)</f>
        <v>0</v>
      </c>
      <c r="BQ9" s="5430"/>
      <c r="BR9" s="5440" t="b">
        <f>AND(AI9="",OR(Z9&lt;&gt;"",AF9&lt;&gt;""))</f>
        <v>0</v>
      </c>
      <c r="BS9" s="5445">
        <f>IF(AND(AO9&lt;18,Z9&lt;&gt;"",AF9="",BN9),1,0)</f>
        <v>0</v>
      </c>
      <c r="BT9" s="5434">
        <f>IF(OR(BS9=0,AO9&gt;=6),0,IF(AO9&lt;6,BS9,0))</f>
        <v>0</v>
      </c>
      <c r="BU9" s="5435">
        <f>IF(OR(AND(Z9="",AF9&lt;&gt;""),AND(Z9&lt;&gt;"",AF9="",NOT(BN9))),1,0)</f>
        <v>0</v>
      </c>
      <c r="BV9" s="5438"/>
      <c r="BW9" s="5440">
        <f>IF(AND(BH9=1,BP9&lt;&gt;1),1,0)</f>
        <v>0</v>
      </c>
      <c r="BX9" s="270"/>
      <c r="CA9" s="270"/>
    </row>
    <row r="10" spans="1:79" ht="18.75" thickBot="1">
      <c r="A10" s="5428"/>
      <c r="B10" s="6492" t="s">
        <v>2436</v>
      </c>
      <c r="C10" s="6492"/>
      <c r="D10" s="5452" t="str">
        <f>IF(AR33&gt;4,"X","")</f>
        <v/>
      </c>
      <c r="E10" s="6528"/>
      <c r="F10" s="6529"/>
      <c r="G10" s="6529"/>
      <c r="H10" s="6529"/>
      <c r="I10" s="6528"/>
      <c r="J10" s="6529"/>
      <c r="K10" s="6529"/>
      <c r="L10" s="6530"/>
      <c r="M10" s="6531" t="str">
        <f>IF(OR(Z10&lt;&gt;"",AF10&lt;&gt;""),"001-01-0006","")</f>
        <v/>
      </c>
      <c r="N10" s="6532"/>
      <c r="O10" s="6532"/>
      <c r="P10" s="6532"/>
      <c r="Q10" s="6532"/>
      <c r="R10" s="6533"/>
      <c r="S10" s="6534"/>
      <c r="T10" s="6535"/>
      <c r="U10" s="6535"/>
      <c r="V10" s="6535"/>
      <c r="W10" s="6535"/>
      <c r="X10" s="6536"/>
      <c r="Y10" s="4574"/>
      <c r="Z10" s="4573"/>
      <c r="AA10" s="4575"/>
      <c r="AB10" s="4576"/>
      <c r="AC10" s="4574"/>
      <c r="AD10" s="4576"/>
      <c r="AE10" s="4576"/>
      <c r="AF10" s="4573"/>
      <c r="AG10" s="4577"/>
      <c r="AH10" s="4577"/>
      <c r="AI10" s="6523"/>
      <c r="AJ10" s="6524"/>
      <c r="AK10" s="6524"/>
      <c r="AL10" s="6524"/>
      <c r="AM10" s="6524"/>
      <c r="AN10" s="6525"/>
      <c r="AO10" s="5427" t="str">
        <f>IF(AI10="","",TaxYear-YEAR(AI10))</f>
        <v/>
      </c>
      <c r="AP10" s="5428"/>
      <c r="AQ10" s="1" t="str">
        <f>IF(AND(BS10&lt;&gt;0,BT10&lt;&gt;0),BT$5,IF(BS10&lt;&gt;0,BS$5,IF(BT10&lt;&gt;0,BT$5,IF(BU10&lt;&gt;0,BU$5,IF(BW10&lt;&gt;0,$BW$5,"")))))</f>
        <v/>
      </c>
      <c r="AX10"/>
      <c r="AY10"/>
      <c r="AZ10"/>
      <c r="BA10"/>
      <c r="BB10"/>
      <c r="BC10"/>
      <c r="BF10"/>
      <c r="BG10" s="270"/>
      <c r="BH10" s="5442">
        <f>IF(OR(E10&lt;&gt;"",I10&lt;&gt;"",M10&lt;&gt;"",S10&lt;&gt;"",Z10&lt;&gt;"",AF10&lt;&gt;""),1,0)</f>
        <v>0</v>
      </c>
      <c r="BI10" s="270">
        <f>IF(AND(Z10&lt;&gt;"",AF10&lt;&gt;""),1,0)</f>
        <v>0</v>
      </c>
      <c r="BJ10" s="270">
        <f>IF(AND(Z10&lt;&gt;"",$BI10=0),1,0)</f>
        <v>0</v>
      </c>
      <c r="BK10" s="270">
        <f>IF(AND(AF10&lt;&gt;"",$BI10=0),1,0)</f>
        <v>0</v>
      </c>
      <c r="BL10" s="270" t="str">
        <f>TEXT(M10,"000-00-0000")</f>
        <v/>
      </c>
      <c r="BM10" s="270" t="str">
        <f>LEFT(BL10,3)</f>
        <v/>
      </c>
      <c r="BN10" s="5441" t="b">
        <f>AND(M10&lt;&gt;"",LEFT(BM10,3)&lt;&gt;"000",LEFT(BM10,3)&lt;&gt;"666",LEFT(BM10,1)&lt;&gt;"9")</f>
        <v>0</v>
      </c>
      <c r="BO10" s="5441" t="b">
        <f>LEFT(M10,6)="001-01"</f>
        <v>0</v>
      </c>
      <c r="BP10" s="270">
        <f>IF(AND(M10&lt;&gt;"",NOT(BN10)),1,0)</f>
        <v>0</v>
      </c>
      <c r="BQ10" s="5430"/>
      <c r="BR10" s="5441" t="b">
        <f>AND(AI10="",OR(Z10&lt;&gt;"",AF10&lt;&gt;""))</f>
        <v>0</v>
      </c>
      <c r="BS10" s="5446">
        <f>IF(AND(AO10&lt;18,Z10&lt;&gt;"",AF10="",BN10),1,0)</f>
        <v>0</v>
      </c>
      <c r="BT10" s="5436">
        <f>IF(OR(BS10=0,AO10&gt;=6),0,IF(AO10&lt;6,BS10,0))</f>
        <v>0</v>
      </c>
      <c r="BU10" s="5437">
        <f>IF(OR(AND(Z10="",AF10&lt;&gt;""),AND(Z10&lt;&gt;"",AF10="",NOT(BN10))),1,0)</f>
        <v>0</v>
      </c>
      <c r="BV10" s="5438"/>
      <c r="BW10" s="5441">
        <f>IF(AND(BH10=1,BP10&lt;&gt;1),1,0)</f>
        <v>0</v>
      </c>
      <c r="BX10" s="270"/>
      <c r="CA10" s="270"/>
    </row>
    <row r="11" spans="1:79" ht="13.5" thickTop="1">
      <c r="A11" s="5428"/>
      <c r="B11" s="5428"/>
      <c r="C11" s="5428"/>
      <c r="D11" s="5428"/>
      <c r="E11" s="5428"/>
      <c r="F11" s="5428"/>
      <c r="G11" s="5428"/>
      <c r="H11" s="5428"/>
      <c r="I11" s="5428"/>
      <c r="J11" s="5428"/>
      <c r="K11" s="5428"/>
      <c r="L11" s="5428"/>
      <c r="M11" s="5428"/>
      <c r="N11" s="5428"/>
      <c r="O11" s="5428"/>
      <c r="P11" s="5428"/>
      <c r="Q11" s="5428"/>
      <c r="R11" s="5428"/>
      <c r="S11" s="5428"/>
      <c r="T11" s="5428"/>
      <c r="U11" s="5428"/>
      <c r="V11" s="5428"/>
      <c r="W11" s="5428"/>
      <c r="X11" s="5428"/>
      <c r="Y11" s="5428"/>
      <c r="Z11" s="5428"/>
      <c r="AA11" s="5428"/>
      <c r="AB11" s="5428"/>
      <c r="AC11" s="5428"/>
      <c r="AD11" s="5428"/>
      <c r="AE11" s="5428"/>
      <c r="AF11" s="5428"/>
      <c r="AG11" s="5428"/>
      <c r="AH11" s="5428"/>
      <c r="AI11" s="5428"/>
      <c r="AJ11" s="5428"/>
      <c r="AK11" s="5428"/>
      <c r="AL11" s="5428"/>
      <c r="AM11" s="5428"/>
      <c r="AN11" s="5428"/>
      <c r="AO11" s="5428"/>
      <c r="AP11" s="5428"/>
      <c r="AX11"/>
      <c r="AY11"/>
      <c r="AZ11"/>
      <c r="BA11"/>
      <c r="BB11"/>
      <c r="BC11"/>
      <c r="BF11"/>
      <c r="BG11" s="270"/>
      <c r="BH11" s="5443">
        <f>SUM(BH7:BH10)</f>
        <v>0</v>
      </c>
      <c r="BI11" s="5443">
        <f>SUM(BI7:BI10)</f>
        <v>0</v>
      </c>
      <c r="BJ11" s="5443">
        <f>SUM(BJ7:BJ10)</f>
        <v>0</v>
      </c>
      <c r="BK11" s="5443">
        <f>SUM(BK7:BK10)</f>
        <v>0</v>
      </c>
      <c r="BL11"/>
      <c r="BN11" s="270"/>
      <c r="BO11" s="270"/>
      <c r="BP11" s="270">
        <f>SUM(BP7:BP10)</f>
        <v>0</v>
      </c>
      <c r="BQ11" s="5430"/>
      <c r="BR11" s="5430"/>
      <c r="BU11" s="270"/>
      <c r="BW11" s="270"/>
      <c r="BX11" s="270"/>
      <c r="CA11" s="270"/>
    </row>
    <row r="12" spans="1:79" ht="12.75" customHeight="1">
      <c r="A12" s="5428"/>
      <c r="B12" s="6547" t="s">
        <v>5086</v>
      </c>
      <c r="C12" s="6357"/>
      <c r="D12" s="6357"/>
      <c r="E12" s="5271"/>
      <c r="F12" s="5271"/>
      <c r="G12" s="5271"/>
      <c r="H12" s="5271"/>
      <c r="I12" s="5425"/>
      <c r="J12" s="5272"/>
      <c r="K12" s="5272"/>
      <c r="L12" s="5277"/>
      <c r="M12" s="6460" t="s">
        <v>3900</v>
      </c>
      <c r="N12" s="6461"/>
      <c r="O12" s="6461"/>
      <c r="P12" s="6461"/>
      <c r="Q12" s="6461"/>
      <c r="R12" s="6462"/>
      <c r="S12" s="6469" t="s">
        <v>3901</v>
      </c>
      <c r="T12" s="6470"/>
      <c r="U12" s="6470"/>
      <c r="V12" s="6470"/>
      <c r="W12" s="6470"/>
      <c r="X12" s="6471"/>
      <c r="Y12" s="6511" t="str">
        <f>IF(AS32&gt;0,"Error: You cannot take both credits.","")</f>
        <v/>
      </c>
      <c r="Z12" s="6512"/>
      <c r="AA12" s="6512"/>
      <c r="AB12" s="6512"/>
      <c r="AC12" s="6512"/>
      <c r="AD12" s="6512"/>
      <c r="AE12" s="6512"/>
      <c r="AF12" s="6512"/>
      <c r="AG12" s="6512"/>
      <c r="AH12" s="6513"/>
      <c r="AI12" s="6516" t="s">
        <v>5084</v>
      </c>
      <c r="AJ12" s="6470"/>
      <c r="AK12" s="6470"/>
      <c r="AL12" s="6470"/>
      <c r="AM12" s="6470"/>
      <c r="AN12" s="6471"/>
      <c r="AO12" s="6516" t="str">
        <f>"Age "&amp;CHAR(10)&amp;"(in "&amp;TaxYear&amp;")"</f>
        <v>Age 
(in 2021)</v>
      </c>
      <c r="AP12" s="5428"/>
      <c r="AX12"/>
      <c r="AY12"/>
      <c r="AZ12"/>
      <c r="BA12"/>
      <c r="BB12"/>
      <c r="BC12"/>
      <c r="BF12"/>
      <c r="BI12"/>
      <c r="BL12"/>
      <c r="BN12" s="270"/>
      <c r="BO12" s="270"/>
      <c r="BP12" s="270"/>
      <c r="BQ12" s="5430"/>
      <c r="BR12" s="5430"/>
      <c r="BU12" s="270"/>
      <c r="BW12" s="270"/>
      <c r="BX12" s="270"/>
      <c r="CA12" s="270"/>
    </row>
    <row r="13" spans="1:79" ht="12.75" customHeight="1">
      <c r="A13" s="5428"/>
      <c r="B13" s="6358"/>
      <c r="C13" s="6358"/>
      <c r="D13" s="6358"/>
      <c r="E13" s="5264" t="s">
        <v>3899</v>
      </c>
      <c r="F13" s="5264"/>
      <c r="G13" s="5264"/>
      <c r="H13" s="5264"/>
      <c r="I13" s="5280"/>
      <c r="J13" s="5264"/>
      <c r="K13" s="5264"/>
      <c r="L13" s="5279"/>
      <c r="M13" s="6463"/>
      <c r="N13" s="6464"/>
      <c r="O13" s="6464"/>
      <c r="P13" s="6464"/>
      <c r="Q13" s="6464"/>
      <c r="R13" s="6465"/>
      <c r="S13" s="6472"/>
      <c r="T13" s="6473"/>
      <c r="U13" s="6473"/>
      <c r="V13" s="6473"/>
      <c r="W13" s="6473"/>
      <c r="X13" s="6474"/>
      <c r="Y13" s="5280"/>
      <c r="Z13" s="5281" t="s">
        <v>3313</v>
      </c>
      <c r="AA13" s="5265"/>
      <c r="AB13" s="5282" t="s">
        <v>3314</v>
      </c>
      <c r="AC13" s="5265"/>
      <c r="AD13" s="5265"/>
      <c r="AE13" s="5265"/>
      <c r="AF13" s="5265"/>
      <c r="AG13" s="5265"/>
      <c r="AH13" s="5265"/>
      <c r="AI13" s="6472"/>
      <c r="AJ13" s="6473"/>
      <c r="AK13" s="6473"/>
      <c r="AL13" s="6473"/>
      <c r="AM13" s="6473"/>
      <c r="AN13" s="6474"/>
      <c r="AO13" s="6517"/>
      <c r="AP13" s="5428"/>
      <c r="AX13"/>
      <c r="AY13"/>
      <c r="AZ13"/>
      <c r="BA13"/>
      <c r="BB13"/>
      <c r="BC13"/>
      <c r="BF13"/>
      <c r="BI13"/>
      <c r="BL13"/>
      <c r="BN13" s="6514" t="s">
        <v>5085</v>
      </c>
      <c r="BO13" s="6514" t="s">
        <v>5596</v>
      </c>
      <c r="BP13" s="5430"/>
      <c r="BQ13" s="5430"/>
      <c r="BR13" s="5430"/>
      <c r="BS13" s="6514" t="s">
        <v>5087</v>
      </c>
      <c r="BT13" s="6514" t="s">
        <v>5197</v>
      </c>
      <c r="BU13" s="6514" t="s">
        <v>5198</v>
      </c>
      <c r="BW13" s="6514" t="s">
        <v>5198</v>
      </c>
      <c r="BX13" s="270"/>
      <c r="CA13" s="270"/>
    </row>
    <row r="14" spans="1:79" ht="12.75" customHeight="1" thickBot="1">
      <c r="A14" s="5428"/>
      <c r="B14" s="6358"/>
      <c r="C14" s="6358"/>
      <c r="D14" s="6358"/>
      <c r="E14" s="6355" t="s">
        <v>3939</v>
      </c>
      <c r="F14" s="6355"/>
      <c r="G14" s="6355"/>
      <c r="H14" s="6355"/>
      <c r="I14" s="6546" t="s">
        <v>459</v>
      </c>
      <c r="J14" s="6355"/>
      <c r="K14" s="6355"/>
      <c r="L14" s="6356"/>
      <c r="M14" s="6466"/>
      <c r="N14" s="6467"/>
      <c r="O14" s="6467"/>
      <c r="P14" s="6467"/>
      <c r="Q14" s="6467"/>
      <c r="R14" s="6468"/>
      <c r="S14" s="6475"/>
      <c r="T14" s="6476"/>
      <c r="U14" s="6476"/>
      <c r="V14" s="6476"/>
      <c r="W14" s="6476"/>
      <c r="X14" s="6477"/>
      <c r="Y14" s="6383" t="s">
        <v>4887</v>
      </c>
      <c r="Z14" s="6384"/>
      <c r="AA14" s="6384"/>
      <c r="AB14" s="6384"/>
      <c r="AC14" s="6383" t="s">
        <v>2325</v>
      </c>
      <c r="AD14" s="6384"/>
      <c r="AE14" s="6384"/>
      <c r="AF14" s="6384"/>
      <c r="AG14" s="6384"/>
      <c r="AH14" s="6384"/>
      <c r="AI14" s="6475"/>
      <c r="AJ14" s="6476"/>
      <c r="AK14" s="6476"/>
      <c r="AL14" s="6476"/>
      <c r="AM14" s="6476"/>
      <c r="AN14" s="6477"/>
      <c r="AO14" s="6518"/>
      <c r="AP14" s="5428"/>
      <c r="AX14"/>
      <c r="AY14"/>
      <c r="AZ14"/>
      <c r="BA14"/>
      <c r="BB14"/>
      <c r="BC14"/>
      <c r="BF14"/>
      <c r="BI14"/>
      <c r="BL14"/>
      <c r="BN14" s="6514"/>
      <c r="BO14" s="6514"/>
      <c r="BP14" s="5430"/>
      <c r="BQ14" s="5430"/>
      <c r="BR14" s="5430"/>
      <c r="BS14" s="6515"/>
      <c r="BT14" s="6515"/>
      <c r="BU14" s="6515"/>
      <c r="BW14" s="6515"/>
      <c r="BX14" s="270"/>
      <c r="CA14" s="270"/>
    </row>
    <row r="15" spans="1:79" ht="18">
      <c r="A15" s="5428"/>
      <c r="B15" s="6358"/>
      <c r="C15" s="6358"/>
      <c r="D15" s="6358"/>
      <c r="E15" s="6537"/>
      <c r="F15" s="6537"/>
      <c r="G15" s="6537"/>
      <c r="H15" s="6537"/>
      <c r="I15" s="6538"/>
      <c r="J15" s="6537"/>
      <c r="K15" s="6537"/>
      <c r="L15" s="6539"/>
      <c r="M15" s="6540" t="str">
        <f>IF(OR(Z15&lt;&gt;"",AF15&lt;&gt;""),"001-01-0007","")</f>
        <v/>
      </c>
      <c r="N15" s="6541"/>
      <c r="O15" s="6541"/>
      <c r="P15" s="6541"/>
      <c r="Q15" s="6541"/>
      <c r="R15" s="6542"/>
      <c r="S15" s="6543"/>
      <c r="T15" s="6544"/>
      <c r="U15" s="6544"/>
      <c r="V15" s="6544"/>
      <c r="W15" s="6544"/>
      <c r="X15" s="6545"/>
      <c r="Y15" s="4072"/>
      <c r="Z15" s="1180"/>
      <c r="AA15" s="4073"/>
      <c r="AB15" s="4074"/>
      <c r="AC15" s="4072"/>
      <c r="AD15" s="4074"/>
      <c r="AE15" s="4074"/>
      <c r="AF15" s="1180"/>
      <c r="AG15" s="4075"/>
      <c r="AH15" s="4075"/>
      <c r="AI15" s="6520"/>
      <c r="AJ15" s="6521"/>
      <c r="AK15" s="6521"/>
      <c r="AL15" s="6521"/>
      <c r="AM15" s="6521"/>
      <c r="AN15" s="6522"/>
      <c r="AO15" s="5426" t="str">
        <f t="shared" ref="AO15:AO30" si="0">IF(AI15="","",TaxYear-YEAR(AI15))</f>
        <v/>
      </c>
      <c r="AP15" s="5428"/>
      <c r="AQ15" s="1" t="str">
        <f t="shared" ref="AQ15:AQ30" si="1">IF(AND(BS15&lt;&gt;0,BT15&lt;&gt;0),BT$5,IF(BS15&lt;&gt;0,BS$5,IF(BT15&lt;&gt;0,BT$5,IF(BU15&lt;&gt;0,BU$5,IF(BW15&lt;&gt;0,$BW$5,"")))))</f>
        <v/>
      </c>
      <c r="AX15"/>
      <c r="AY15"/>
      <c r="AZ15"/>
      <c r="BA15"/>
      <c r="BB15"/>
      <c r="BC15"/>
      <c r="BF15"/>
      <c r="BG15" s="270"/>
      <c r="BH15" s="270">
        <f t="shared" ref="BH15:BH30" si="2">IF(OR(E15&lt;&gt;"",I15&lt;&gt;"",M15&lt;&gt;"",S15&lt;&gt;"",Z15&lt;&gt;"",AF15&lt;&gt;""),1,0)</f>
        <v>0</v>
      </c>
      <c r="BI15" s="270">
        <f t="shared" ref="BI15:BI30" si="3">IF(AND(Z15&lt;&gt;"",AF15&lt;&gt;""),1,0)</f>
        <v>0</v>
      </c>
      <c r="BJ15" s="270">
        <f t="shared" ref="BJ15:BJ30" si="4">IF(AND(Z15&lt;&gt;"",$BI15=0),1,0)</f>
        <v>0</v>
      </c>
      <c r="BK15" s="270">
        <f t="shared" ref="BK15:BK30" si="5">IF(AND(AF15&lt;&gt;"",$BI15=0),1,0)</f>
        <v>0</v>
      </c>
      <c r="BL15" s="270" t="str">
        <f>TEXT(M15,"000-00-0000")</f>
        <v/>
      </c>
      <c r="BM15" s="270" t="str">
        <f>LEFT(BL15,3)</f>
        <v/>
      </c>
      <c r="BN15" s="5439" t="b">
        <f t="shared" ref="BN15:BN30" si="6">AND(M15&lt;&gt;"",LEFT(BM15,3)&lt;&gt;"000",LEFT(BM15,3)&lt;&gt;"666",LEFT(BM15,1)&lt;&gt;"9")</f>
        <v>0</v>
      </c>
      <c r="BO15" s="5439" t="b">
        <f>LEFT(M15,6)="001-01"</f>
        <v>0</v>
      </c>
      <c r="BP15" s="270">
        <f t="shared" ref="BP15:BP30" si="7">IF(AND(M15&lt;&gt;"",NOT(BN15)),1,0)</f>
        <v>0</v>
      </c>
      <c r="BQ15" s="5430"/>
      <c r="BR15" s="5439" t="b">
        <f>AND(AI15="",OR(Z15&lt;&gt;"",AF15&lt;&gt;""))</f>
        <v>0</v>
      </c>
      <c r="BS15" s="5444">
        <f t="shared" ref="BS15:BS30" si="8">IF(AND(AO15&lt;18,Z15&lt;&gt;"",AF15="",BN15),1,0)</f>
        <v>0</v>
      </c>
      <c r="BT15" s="5432">
        <f t="shared" ref="BT15:BT30" si="9">IF(OR(BS15=0,AO15&gt;=6),0,IF(AO15&lt;6,BS15,0))</f>
        <v>0</v>
      </c>
      <c r="BU15" s="5433">
        <f t="shared" ref="BU15:BU30" si="10">IF(OR(AND(Z15="",AF15&lt;&gt;""),AND(Z15&lt;&gt;"",AF15="",NOT(BN15))),1,0)</f>
        <v>0</v>
      </c>
      <c r="BV15" s="5438"/>
      <c r="BW15" s="5439">
        <f t="shared" ref="BW15:BW30" si="11">IF(AND(BH15=1,BP15&lt;&gt;1),1,0)</f>
        <v>0</v>
      </c>
      <c r="BX15" s="270"/>
      <c r="CA15" s="270"/>
    </row>
    <row r="16" spans="1:79" ht="18">
      <c r="A16" s="5428"/>
      <c r="B16" s="5431"/>
      <c r="C16" s="5431"/>
      <c r="D16" s="5431"/>
      <c r="E16" s="6537"/>
      <c r="F16" s="6537"/>
      <c r="G16" s="6537"/>
      <c r="H16" s="6537"/>
      <c r="I16" s="6538"/>
      <c r="J16" s="6537"/>
      <c r="K16" s="6537"/>
      <c r="L16" s="6539"/>
      <c r="M16" s="6540" t="str">
        <f>IF(OR(Z16&lt;&gt;"",AF16&lt;&gt;""),"001-01-0008","")</f>
        <v/>
      </c>
      <c r="N16" s="6541"/>
      <c r="O16" s="6541"/>
      <c r="P16" s="6541"/>
      <c r="Q16" s="6541"/>
      <c r="R16" s="6542"/>
      <c r="S16" s="6543"/>
      <c r="T16" s="6544"/>
      <c r="U16" s="6544"/>
      <c r="V16" s="6544"/>
      <c r="W16" s="6544"/>
      <c r="X16" s="6545"/>
      <c r="Y16" s="4072"/>
      <c r="Z16" s="1180"/>
      <c r="AA16" s="4073"/>
      <c r="AB16" s="4074"/>
      <c r="AC16" s="4072"/>
      <c r="AD16" s="4074"/>
      <c r="AE16" s="4074"/>
      <c r="AF16" s="1180"/>
      <c r="AG16" s="4075"/>
      <c r="AH16" s="4075"/>
      <c r="AI16" s="6520"/>
      <c r="AJ16" s="6521"/>
      <c r="AK16" s="6521"/>
      <c r="AL16" s="6521"/>
      <c r="AM16" s="6521"/>
      <c r="AN16" s="6522"/>
      <c r="AO16" s="5426" t="str">
        <f t="shared" si="0"/>
        <v/>
      </c>
      <c r="AP16" s="5428"/>
      <c r="AQ16" s="1" t="str">
        <f t="shared" si="1"/>
        <v/>
      </c>
      <c r="AX16"/>
      <c r="AY16"/>
      <c r="AZ16"/>
      <c r="BA16"/>
      <c r="BB16"/>
      <c r="BC16"/>
      <c r="BF16"/>
      <c r="BG16" s="270"/>
      <c r="BH16" s="270">
        <f t="shared" si="2"/>
        <v>0</v>
      </c>
      <c r="BI16" s="270">
        <f t="shared" si="3"/>
        <v>0</v>
      </c>
      <c r="BJ16" s="270">
        <f t="shared" si="4"/>
        <v>0</v>
      </c>
      <c r="BK16" s="270">
        <f t="shared" si="5"/>
        <v>0</v>
      </c>
      <c r="BL16" s="270" t="str">
        <f>TEXT(M16,"000-00-0000")</f>
        <v/>
      </c>
      <c r="BM16" s="270" t="str">
        <f t="shared" ref="BM16:BM30" si="12">LEFT(BL16,3)</f>
        <v/>
      </c>
      <c r="BN16" s="5440" t="b">
        <f t="shared" si="6"/>
        <v>0</v>
      </c>
      <c r="BO16" s="5440" t="b">
        <f>LEFT(M16,6)="001-01"</f>
        <v>0</v>
      </c>
      <c r="BP16" s="270">
        <f t="shared" si="7"/>
        <v>0</v>
      </c>
      <c r="BQ16" s="5430"/>
      <c r="BR16" s="5440" t="b">
        <f t="shared" ref="BR16:BR30" si="13">AND(AI16="",OR(Z16&lt;&gt;"",AF16&lt;&gt;""))</f>
        <v>0</v>
      </c>
      <c r="BS16" s="5445">
        <f t="shared" si="8"/>
        <v>0</v>
      </c>
      <c r="BT16" s="5434">
        <f t="shared" si="9"/>
        <v>0</v>
      </c>
      <c r="BU16" s="5435">
        <f t="shared" si="10"/>
        <v>0</v>
      </c>
      <c r="BV16" s="5438"/>
      <c r="BW16" s="5440">
        <f t="shared" si="11"/>
        <v>0</v>
      </c>
      <c r="BX16" s="270"/>
      <c r="CA16" s="270"/>
    </row>
    <row r="17" spans="1:79" ht="18">
      <c r="A17" s="5428"/>
      <c r="B17" s="5431"/>
      <c r="C17" s="5431"/>
      <c r="D17" s="5431"/>
      <c r="E17" s="6537"/>
      <c r="F17" s="6537"/>
      <c r="G17" s="6537"/>
      <c r="H17" s="6537"/>
      <c r="I17" s="6538"/>
      <c r="J17" s="6537"/>
      <c r="K17" s="6537"/>
      <c r="L17" s="6539"/>
      <c r="M17" s="6540" t="str">
        <f>IF(OR(Z17&lt;&gt;"",AF17&lt;&gt;""),"001-01-0009","")</f>
        <v/>
      </c>
      <c r="N17" s="6541"/>
      <c r="O17" s="6541"/>
      <c r="P17" s="6541"/>
      <c r="Q17" s="6541"/>
      <c r="R17" s="6542"/>
      <c r="S17" s="6543"/>
      <c r="T17" s="6544"/>
      <c r="U17" s="6544"/>
      <c r="V17" s="6544"/>
      <c r="W17" s="6544"/>
      <c r="X17" s="6545"/>
      <c r="Y17" s="4072"/>
      <c r="Z17" s="1180"/>
      <c r="AA17" s="4073"/>
      <c r="AB17" s="4074"/>
      <c r="AC17" s="4072"/>
      <c r="AD17" s="4074"/>
      <c r="AE17" s="4074"/>
      <c r="AF17" s="1180"/>
      <c r="AG17" s="4075"/>
      <c r="AH17" s="4075"/>
      <c r="AI17" s="6520"/>
      <c r="AJ17" s="6521"/>
      <c r="AK17" s="6521"/>
      <c r="AL17" s="6521"/>
      <c r="AM17" s="6521"/>
      <c r="AN17" s="6522"/>
      <c r="AO17" s="5426" t="str">
        <f t="shared" si="0"/>
        <v/>
      </c>
      <c r="AP17" s="5428"/>
      <c r="AQ17" s="1" t="str">
        <f t="shared" si="1"/>
        <v/>
      </c>
      <c r="AX17"/>
      <c r="AY17"/>
      <c r="AZ17"/>
      <c r="BA17"/>
      <c r="BB17"/>
      <c r="BC17"/>
      <c r="BF17"/>
      <c r="BG17" s="270"/>
      <c r="BH17" s="270">
        <f t="shared" si="2"/>
        <v>0</v>
      </c>
      <c r="BI17" s="270">
        <f t="shared" si="3"/>
        <v>0</v>
      </c>
      <c r="BJ17" s="270">
        <f t="shared" si="4"/>
        <v>0</v>
      </c>
      <c r="BK17" s="270">
        <f t="shared" si="5"/>
        <v>0</v>
      </c>
      <c r="BL17" s="270" t="str">
        <f t="shared" ref="BL17:BL30" si="14">TEXT(M17,"000-00-0000")</f>
        <v/>
      </c>
      <c r="BM17" s="270" t="str">
        <f t="shared" si="12"/>
        <v/>
      </c>
      <c r="BN17" s="5440" t="b">
        <f t="shared" si="6"/>
        <v>0</v>
      </c>
      <c r="BO17" s="5440" t="b">
        <f t="shared" ref="BO17:BO30" si="15">LEFT(M17,6)="001-01"</f>
        <v>0</v>
      </c>
      <c r="BP17" s="270">
        <f t="shared" si="7"/>
        <v>0</v>
      </c>
      <c r="BQ17" s="5430"/>
      <c r="BR17" s="5440" t="b">
        <f t="shared" si="13"/>
        <v>0</v>
      </c>
      <c r="BS17" s="5445">
        <f t="shared" si="8"/>
        <v>0</v>
      </c>
      <c r="BT17" s="5434">
        <f t="shared" si="9"/>
        <v>0</v>
      </c>
      <c r="BU17" s="5435">
        <f t="shared" si="10"/>
        <v>0</v>
      </c>
      <c r="BV17" s="5438"/>
      <c r="BW17" s="5440">
        <f t="shared" si="11"/>
        <v>0</v>
      </c>
      <c r="BX17" s="270"/>
      <c r="CA17" s="270"/>
    </row>
    <row r="18" spans="1:79" ht="18">
      <c r="A18" s="5428"/>
      <c r="B18" s="5381"/>
      <c r="C18" s="5381"/>
      <c r="D18" s="5381"/>
      <c r="E18" s="6537"/>
      <c r="F18" s="6537"/>
      <c r="G18" s="6537"/>
      <c r="H18" s="6537"/>
      <c r="I18" s="6538"/>
      <c r="J18" s="6537"/>
      <c r="K18" s="6537"/>
      <c r="L18" s="6539"/>
      <c r="M18" s="6540" t="str">
        <f>IF(OR(Z18&lt;&gt;"",AF18&lt;&gt;""),"001-01-0010","")</f>
        <v/>
      </c>
      <c r="N18" s="6541"/>
      <c r="O18" s="6541"/>
      <c r="P18" s="6541"/>
      <c r="Q18" s="6541"/>
      <c r="R18" s="6542"/>
      <c r="S18" s="6543"/>
      <c r="T18" s="6544"/>
      <c r="U18" s="6544"/>
      <c r="V18" s="6544"/>
      <c r="W18" s="6544"/>
      <c r="X18" s="6545"/>
      <c r="Y18" s="4072"/>
      <c r="Z18" s="1180"/>
      <c r="AA18" s="4073"/>
      <c r="AB18" s="4074"/>
      <c r="AC18" s="4072"/>
      <c r="AD18" s="4074"/>
      <c r="AE18" s="4074"/>
      <c r="AF18" s="1180"/>
      <c r="AG18" s="4075"/>
      <c r="AH18" s="4075"/>
      <c r="AI18" s="6520"/>
      <c r="AJ18" s="6521"/>
      <c r="AK18" s="6521"/>
      <c r="AL18" s="6521"/>
      <c r="AM18" s="6521"/>
      <c r="AN18" s="6522"/>
      <c r="AO18" s="5426" t="str">
        <f t="shared" si="0"/>
        <v/>
      </c>
      <c r="AP18" s="5428"/>
      <c r="AQ18" s="1" t="str">
        <f t="shared" si="1"/>
        <v/>
      </c>
      <c r="AX18"/>
      <c r="AY18"/>
      <c r="AZ18"/>
      <c r="BA18"/>
      <c r="BB18"/>
      <c r="BC18"/>
      <c r="BF18"/>
      <c r="BG18" s="270"/>
      <c r="BH18" s="270">
        <f t="shared" si="2"/>
        <v>0</v>
      </c>
      <c r="BI18" s="270">
        <f t="shared" si="3"/>
        <v>0</v>
      </c>
      <c r="BJ18" s="270">
        <f t="shared" si="4"/>
        <v>0</v>
      </c>
      <c r="BK18" s="270">
        <f t="shared" si="5"/>
        <v>0</v>
      </c>
      <c r="BL18" s="270" t="str">
        <f t="shared" si="14"/>
        <v/>
      </c>
      <c r="BM18" s="270" t="str">
        <f t="shared" si="12"/>
        <v/>
      </c>
      <c r="BN18" s="5440" t="b">
        <f t="shared" si="6"/>
        <v>0</v>
      </c>
      <c r="BO18" s="5440" t="b">
        <f t="shared" si="15"/>
        <v>0</v>
      </c>
      <c r="BP18" s="270">
        <f t="shared" si="7"/>
        <v>0</v>
      </c>
      <c r="BQ18" s="5430"/>
      <c r="BR18" s="5440" t="b">
        <f t="shared" si="13"/>
        <v>0</v>
      </c>
      <c r="BS18" s="5445">
        <f t="shared" si="8"/>
        <v>0</v>
      </c>
      <c r="BT18" s="5434">
        <f t="shared" si="9"/>
        <v>0</v>
      </c>
      <c r="BU18" s="5435">
        <f t="shared" si="10"/>
        <v>0</v>
      </c>
      <c r="BV18" s="5438"/>
      <c r="BW18" s="5440">
        <f t="shared" si="11"/>
        <v>0</v>
      </c>
      <c r="BX18" s="270"/>
      <c r="CA18" s="270"/>
    </row>
    <row r="19" spans="1:79" ht="18">
      <c r="A19" s="5428"/>
      <c r="B19" s="5381"/>
      <c r="C19" s="5381"/>
      <c r="D19" s="5381"/>
      <c r="E19" s="6537"/>
      <c r="F19" s="6537"/>
      <c r="G19" s="6537"/>
      <c r="H19" s="6537"/>
      <c r="I19" s="6538"/>
      <c r="J19" s="6537"/>
      <c r="K19" s="6537"/>
      <c r="L19" s="6539"/>
      <c r="M19" s="6540" t="str">
        <f>IF(OR(Z19&lt;&gt;"",AF19&lt;&gt;""),"001-01-0011","")</f>
        <v/>
      </c>
      <c r="N19" s="6541"/>
      <c r="O19" s="6541"/>
      <c r="P19" s="6541"/>
      <c r="Q19" s="6541"/>
      <c r="R19" s="6542"/>
      <c r="S19" s="6543"/>
      <c r="T19" s="6544"/>
      <c r="U19" s="6544"/>
      <c r="V19" s="6544"/>
      <c r="W19" s="6544"/>
      <c r="X19" s="6545"/>
      <c r="Y19" s="4072"/>
      <c r="Z19" s="1180"/>
      <c r="AA19" s="4073"/>
      <c r="AB19" s="4074"/>
      <c r="AC19" s="4072"/>
      <c r="AD19" s="4074"/>
      <c r="AE19" s="4074"/>
      <c r="AF19" s="1180"/>
      <c r="AG19" s="4075"/>
      <c r="AH19" s="4075"/>
      <c r="AI19" s="6520"/>
      <c r="AJ19" s="6521"/>
      <c r="AK19" s="6521"/>
      <c r="AL19" s="6521"/>
      <c r="AM19" s="6521"/>
      <c r="AN19" s="6522"/>
      <c r="AO19" s="5426" t="str">
        <f t="shared" si="0"/>
        <v/>
      </c>
      <c r="AP19" s="5428"/>
      <c r="AQ19" s="1" t="str">
        <f t="shared" si="1"/>
        <v/>
      </c>
      <c r="AX19"/>
      <c r="AY19"/>
      <c r="AZ19"/>
      <c r="BA19"/>
      <c r="BB19"/>
      <c r="BC19"/>
      <c r="BF19"/>
      <c r="BG19" s="270"/>
      <c r="BH19" s="270">
        <f t="shared" si="2"/>
        <v>0</v>
      </c>
      <c r="BI19" s="270">
        <f t="shared" si="3"/>
        <v>0</v>
      </c>
      <c r="BJ19" s="270">
        <f t="shared" si="4"/>
        <v>0</v>
      </c>
      <c r="BK19" s="270">
        <f t="shared" si="5"/>
        <v>0</v>
      </c>
      <c r="BL19" s="270" t="str">
        <f t="shared" si="14"/>
        <v/>
      </c>
      <c r="BM19" s="270" t="str">
        <f t="shared" si="12"/>
        <v/>
      </c>
      <c r="BN19" s="5440" t="b">
        <f t="shared" si="6"/>
        <v>0</v>
      </c>
      <c r="BO19" s="5440" t="b">
        <f t="shared" si="15"/>
        <v>0</v>
      </c>
      <c r="BP19" s="270">
        <f t="shared" si="7"/>
        <v>0</v>
      </c>
      <c r="BQ19" s="5430"/>
      <c r="BR19" s="5440" t="b">
        <f t="shared" si="13"/>
        <v>0</v>
      </c>
      <c r="BS19" s="5445">
        <f t="shared" si="8"/>
        <v>0</v>
      </c>
      <c r="BT19" s="5434">
        <f t="shared" si="9"/>
        <v>0</v>
      </c>
      <c r="BU19" s="5435">
        <f t="shared" si="10"/>
        <v>0</v>
      </c>
      <c r="BV19" s="5438"/>
      <c r="BW19" s="5440">
        <f t="shared" si="11"/>
        <v>0</v>
      </c>
      <c r="BX19" s="270"/>
      <c r="CA19" s="270"/>
    </row>
    <row r="20" spans="1:79" ht="18">
      <c r="A20" s="5428"/>
      <c r="B20" s="5381"/>
      <c r="C20" s="5381"/>
      <c r="D20" s="5381"/>
      <c r="E20" s="6537"/>
      <c r="F20" s="6537"/>
      <c r="G20" s="6537"/>
      <c r="H20" s="6537"/>
      <c r="I20" s="6538"/>
      <c r="J20" s="6537"/>
      <c r="K20" s="6537"/>
      <c r="L20" s="6539"/>
      <c r="M20" s="6540" t="str">
        <f>IF(OR(Z20&lt;&gt;"",AF20&lt;&gt;""),"001-01-0012","")</f>
        <v/>
      </c>
      <c r="N20" s="6541"/>
      <c r="O20" s="6541"/>
      <c r="P20" s="6541"/>
      <c r="Q20" s="6541"/>
      <c r="R20" s="6542"/>
      <c r="S20" s="6543"/>
      <c r="T20" s="6544"/>
      <c r="U20" s="6544"/>
      <c r="V20" s="6544"/>
      <c r="W20" s="6544"/>
      <c r="X20" s="6545"/>
      <c r="Y20" s="4072"/>
      <c r="Z20" s="1180"/>
      <c r="AA20" s="4073"/>
      <c r="AB20" s="4074"/>
      <c r="AC20" s="4072"/>
      <c r="AD20" s="4074"/>
      <c r="AE20" s="4074"/>
      <c r="AF20" s="1180"/>
      <c r="AG20" s="4075"/>
      <c r="AH20" s="4075"/>
      <c r="AI20" s="6520"/>
      <c r="AJ20" s="6521"/>
      <c r="AK20" s="6521"/>
      <c r="AL20" s="6521"/>
      <c r="AM20" s="6521"/>
      <c r="AN20" s="6522"/>
      <c r="AO20" s="5426" t="str">
        <f t="shared" si="0"/>
        <v/>
      </c>
      <c r="AP20" s="5428"/>
      <c r="AQ20" s="1" t="str">
        <f t="shared" si="1"/>
        <v/>
      </c>
      <c r="AX20"/>
      <c r="AY20"/>
      <c r="AZ20"/>
      <c r="BA20"/>
      <c r="BB20"/>
      <c r="BC20"/>
      <c r="BF20"/>
      <c r="BG20" s="270"/>
      <c r="BH20" s="270">
        <f t="shared" si="2"/>
        <v>0</v>
      </c>
      <c r="BI20" s="270">
        <f t="shared" si="3"/>
        <v>0</v>
      </c>
      <c r="BJ20" s="270">
        <f t="shared" si="4"/>
        <v>0</v>
      </c>
      <c r="BK20" s="270">
        <f t="shared" si="5"/>
        <v>0</v>
      </c>
      <c r="BL20" s="270" t="str">
        <f t="shared" si="14"/>
        <v/>
      </c>
      <c r="BM20" s="270" t="str">
        <f t="shared" si="12"/>
        <v/>
      </c>
      <c r="BN20" s="5440" t="b">
        <f t="shared" si="6"/>
        <v>0</v>
      </c>
      <c r="BO20" s="5440" t="b">
        <f t="shared" si="15"/>
        <v>0</v>
      </c>
      <c r="BP20" s="270">
        <f t="shared" si="7"/>
        <v>0</v>
      </c>
      <c r="BQ20" s="5430"/>
      <c r="BR20" s="5440" t="b">
        <f t="shared" si="13"/>
        <v>0</v>
      </c>
      <c r="BS20" s="5445">
        <f t="shared" si="8"/>
        <v>0</v>
      </c>
      <c r="BT20" s="5434">
        <f t="shared" si="9"/>
        <v>0</v>
      </c>
      <c r="BU20" s="5435">
        <f t="shared" si="10"/>
        <v>0</v>
      </c>
      <c r="BV20" s="5438"/>
      <c r="BW20" s="5440">
        <f t="shared" si="11"/>
        <v>0</v>
      </c>
      <c r="BX20" s="270"/>
      <c r="CA20" s="270"/>
    </row>
    <row r="21" spans="1:79" ht="18">
      <c r="A21" s="5428"/>
      <c r="B21" s="5381"/>
      <c r="C21" s="5381"/>
      <c r="D21" s="5381"/>
      <c r="E21" s="6537"/>
      <c r="F21" s="6537"/>
      <c r="G21" s="6537"/>
      <c r="H21" s="6537"/>
      <c r="I21" s="6538"/>
      <c r="J21" s="6537"/>
      <c r="K21" s="6537"/>
      <c r="L21" s="6539"/>
      <c r="M21" s="6540" t="str">
        <f>IF(OR(Z21&lt;&gt;"",AF21&lt;&gt;""),"001-01-0013","")</f>
        <v/>
      </c>
      <c r="N21" s="6541"/>
      <c r="O21" s="6541"/>
      <c r="P21" s="6541"/>
      <c r="Q21" s="6541"/>
      <c r="R21" s="6542"/>
      <c r="S21" s="6543"/>
      <c r="T21" s="6544"/>
      <c r="U21" s="6544"/>
      <c r="V21" s="6544"/>
      <c r="W21" s="6544"/>
      <c r="X21" s="6545"/>
      <c r="Y21" s="4072"/>
      <c r="Z21" s="1180"/>
      <c r="AA21" s="4073"/>
      <c r="AB21" s="4074"/>
      <c r="AC21" s="4072"/>
      <c r="AD21" s="4074"/>
      <c r="AE21" s="4074"/>
      <c r="AF21" s="1180"/>
      <c r="AG21" s="4075"/>
      <c r="AH21" s="4075"/>
      <c r="AI21" s="6520"/>
      <c r="AJ21" s="6521"/>
      <c r="AK21" s="6521"/>
      <c r="AL21" s="6521"/>
      <c r="AM21" s="6521"/>
      <c r="AN21" s="6522"/>
      <c r="AO21" s="5426" t="str">
        <f t="shared" si="0"/>
        <v/>
      </c>
      <c r="AP21" s="5428"/>
      <c r="AQ21" s="1" t="str">
        <f t="shared" si="1"/>
        <v/>
      </c>
      <c r="AX21"/>
      <c r="AY21"/>
      <c r="AZ21"/>
      <c r="BA21"/>
      <c r="BB21"/>
      <c r="BC21"/>
      <c r="BF21"/>
      <c r="BG21" s="270"/>
      <c r="BH21" s="270">
        <f t="shared" si="2"/>
        <v>0</v>
      </c>
      <c r="BI21" s="270">
        <f t="shared" si="3"/>
        <v>0</v>
      </c>
      <c r="BJ21" s="270">
        <f t="shared" si="4"/>
        <v>0</v>
      </c>
      <c r="BK21" s="270">
        <f t="shared" si="5"/>
        <v>0</v>
      </c>
      <c r="BL21" s="270" t="str">
        <f t="shared" si="14"/>
        <v/>
      </c>
      <c r="BM21" s="270" t="str">
        <f t="shared" si="12"/>
        <v/>
      </c>
      <c r="BN21" s="5440" t="b">
        <f t="shared" si="6"/>
        <v>0</v>
      </c>
      <c r="BO21" s="5440" t="b">
        <f t="shared" si="15"/>
        <v>0</v>
      </c>
      <c r="BP21" s="270">
        <f t="shared" si="7"/>
        <v>0</v>
      </c>
      <c r="BQ21" s="5430"/>
      <c r="BR21" s="5440" t="b">
        <f t="shared" si="13"/>
        <v>0</v>
      </c>
      <c r="BS21" s="5445">
        <f t="shared" si="8"/>
        <v>0</v>
      </c>
      <c r="BT21" s="5434">
        <f t="shared" si="9"/>
        <v>0</v>
      </c>
      <c r="BU21" s="5435">
        <f t="shared" si="10"/>
        <v>0</v>
      </c>
      <c r="BV21" s="5438"/>
      <c r="BW21" s="5440">
        <f t="shared" si="11"/>
        <v>0</v>
      </c>
      <c r="BX21" s="270"/>
      <c r="CA21" s="270"/>
    </row>
    <row r="22" spans="1:79" ht="18">
      <c r="A22" s="5428"/>
      <c r="B22" s="5381"/>
      <c r="C22" s="5381"/>
      <c r="D22" s="5381"/>
      <c r="E22" s="6537"/>
      <c r="F22" s="6537"/>
      <c r="G22" s="6537"/>
      <c r="H22" s="6537"/>
      <c r="I22" s="6538"/>
      <c r="J22" s="6537"/>
      <c r="K22" s="6537"/>
      <c r="L22" s="6539"/>
      <c r="M22" s="6540" t="str">
        <f>IF(OR(Z22&lt;&gt;"",AF22&lt;&gt;""),"001-01-0014","")</f>
        <v/>
      </c>
      <c r="N22" s="6541"/>
      <c r="O22" s="6541"/>
      <c r="P22" s="6541"/>
      <c r="Q22" s="6541"/>
      <c r="R22" s="6542"/>
      <c r="S22" s="6543"/>
      <c r="T22" s="6544"/>
      <c r="U22" s="6544"/>
      <c r="V22" s="6544"/>
      <c r="W22" s="6544"/>
      <c r="X22" s="6545"/>
      <c r="Y22" s="4072"/>
      <c r="Z22" s="1180"/>
      <c r="AA22" s="4073"/>
      <c r="AB22" s="4074"/>
      <c r="AC22" s="4072"/>
      <c r="AD22" s="4074"/>
      <c r="AE22" s="4074"/>
      <c r="AF22" s="1180"/>
      <c r="AG22" s="4075"/>
      <c r="AH22" s="4075"/>
      <c r="AI22" s="6520"/>
      <c r="AJ22" s="6521"/>
      <c r="AK22" s="6521"/>
      <c r="AL22" s="6521"/>
      <c r="AM22" s="6521"/>
      <c r="AN22" s="6522"/>
      <c r="AO22" s="5426" t="str">
        <f t="shared" si="0"/>
        <v/>
      </c>
      <c r="AP22" s="5428"/>
      <c r="AQ22" s="1" t="str">
        <f t="shared" si="1"/>
        <v/>
      </c>
      <c r="AX22"/>
      <c r="AY22"/>
      <c r="AZ22"/>
      <c r="BA22"/>
      <c r="BB22"/>
      <c r="BC22"/>
      <c r="BF22"/>
      <c r="BG22" s="270"/>
      <c r="BH22" s="270">
        <f t="shared" si="2"/>
        <v>0</v>
      </c>
      <c r="BI22" s="270">
        <f t="shared" si="3"/>
        <v>0</v>
      </c>
      <c r="BJ22" s="270">
        <f t="shared" si="4"/>
        <v>0</v>
      </c>
      <c r="BK22" s="270">
        <f t="shared" si="5"/>
        <v>0</v>
      </c>
      <c r="BL22" s="270" t="str">
        <f t="shared" si="14"/>
        <v/>
      </c>
      <c r="BM22" s="270" t="str">
        <f t="shared" si="12"/>
        <v/>
      </c>
      <c r="BN22" s="5440" t="b">
        <f t="shared" si="6"/>
        <v>0</v>
      </c>
      <c r="BO22" s="5440" t="b">
        <f t="shared" si="15"/>
        <v>0</v>
      </c>
      <c r="BP22" s="270">
        <f t="shared" si="7"/>
        <v>0</v>
      </c>
      <c r="BQ22" s="5430"/>
      <c r="BR22" s="5440" t="b">
        <f t="shared" si="13"/>
        <v>0</v>
      </c>
      <c r="BS22" s="5445">
        <f t="shared" si="8"/>
        <v>0</v>
      </c>
      <c r="BT22" s="5434">
        <f t="shared" si="9"/>
        <v>0</v>
      </c>
      <c r="BU22" s="5435">
        <f t="shared" si="10"/>
        <v>0</v>
      </c>
      <c r="BV22" s="5438"/>
      <c r="BW22" s="5440">
        <f t="shared" si="11"/>
        <v>0</v>
      </c>
      <c r="BX22" s="270"/>
      <c r="CA22" s="270"/>
    </row>
    <row r="23" spans="1:79" ht="18">
      <c r="A23" s="5428"/>
      <c r="B23" s="5381"/>
      <c r="C23" s="5381"/>
      <c r="D23" s="5381"/>
      <c r="E23" s="6537"/>
      <c r="F23" s="6537"/>
      <c r="G23" s="6537"/>
      <c r="H23" s="6537"/>
      <c r="I23" s="6538"/>
      <c r="J23" s="6537"/>
      <c r="K23" s="6537"/>
      <c r="L23" s="6539"/>
      <c r="M23" s="6540" t="str">
        <f>IF(OR(Z23&lt;&gt;"",AF23&lt;&gt;""),"001-01-0015","")</f>
        <v/>
      </c>
      <c r="N23" s="6541"/>
      <c r="O23" s="6541"/>
      <c r="P23" s="6541"/>
      <c r="Q23" s="6541"/>
      <c r="R23" s="6542"/>
      <c r="S23" s="6543"/>
      <c r="T23" s="6544"/>
      <c r="U23" s="6544"/>
      <c r="V23" s="6544"/>
      <c r="W23" s="6544"/>
      <c r="X23" s="6545"/>
      <c r="Y23" s="4072"/>
      <c r="Z23" s="1180"/>
      <c r="AA23" s="4073"/>
      <c r="AB23" s="4074"/>
      <c r="AC23" s="4072"/>
      <c r="AD23" s="4074"/>
      <c r="AE23" s="4074"/>
      <c r="AF23" s="1180"/>
      <c r="AG23" s="4075"/>
      <c r="AH23" s="4075"/>
      <c r="AI23" s="6520"/>
      <c r="AJ23" s="6521"/>
      <c r="AK23" s="6521"/>
      <c r="AL23" s="6521"/>
      <c r="AM23" s="6521"/>
      <c r="AN23" s="6522"/>
      <c r="AO23" s="5426" t="str">
        <f t="shared" si="0"/>
        <v/>
      </c>
      <c r="AP23" s="5428"/>
      <c r="AQ23" s="1" t="str">
        <f t="shared" si="1"/>
        <v/>
      </c>
      <c r="AX23"/>
      <c r="AY23"/>
      <c r="AZ23"/>
      <c r="BA23"/>
      <c r="BB23"/>
      <c r="BC23"/>
      <c r="BF23"/>
      <c r="BG23" s="270"/>
      <c r="BH23" s="270">
        <f t="shared" si="2"/>
        <v>0</v>
      </c>
      <c r="BI23" s="270">
        <f t="shared" si="3"/>
        <v>0</v>
      </c>
      <c r="BJ23" s="270">
        <f t="shared" si="4"/>
        <v>0</v>
      </c>
      <c r="BK23" s="270">
        <f t="shared" si="5"/>
        <v>0</v>
      </c>
      <c r="BL23" s="270" t="str">
        <f t="shared" si="14"/>
        <v/>
      </c>
      <c r="BM23" s="270" t="str">
        <f t="shared" si="12"/>
        <v/>
      </c>
      <c r="BN23" s="5440" t="b">
        <f t="shared" si="6"/>
        <v>0</v>
      </c>
      <c r="BO23" s="5440" t="b">
        <f t="shared" si="15"/>
        <v>0</v>
      </c>
      <c r="BP23" s="270">
        <f t="shared" si="7"/>
        <v>0</v>
      </c>
      <c r="BQ23" s="5430"/>
      <c r="BR23" s="5440" t="b">
        <f t="shared" si="13"/>
        <v>0</v>
      </c>
      <c r="BS23" s="5445">
        <f t="shared" si="8"/>
        <v>0</v>
      </c>
      <c r="BT23" s="5434">
        <f t="shared" si="9"/>
        <v>0</v>
      </c>
      <c r="BU23" s="5435">
        <f t="shared" si="10"/>
        <v>0</v>
      </c>
      <c r="BV23" s="5438"/>
      <c r="BW23" s="5440">
        <f t="shared" si="11"/>
        <v>0</v>
      </c>
      <c r="BX23" s="270"/>
      <c r="CA23" s="270"/>
    </row>
    <row r="24" spans="1:79" ht="18">
      <c r="A24" s="5428"/>
      <c r="B24" s="5381"/>
      <c r="C24" s="5381"/>
      <c r="D24" s="5381"/>
      <c r="E24" s="6537"/>
      <c r="F24" s="6537"/>
      <c r="G24" s="6537"/>
      <c r="H24" s="6537"/>
      <c r="I24" s="6538"/>
      <c r="J24" s="6537"/>
      <c r="K24" s="6537"/>
      <c r="L24" s="6539"/>
      <c r="M24" s="6540" t="str">
        <f>IF(OR(Z24&lt;&gt;"",AF24&lt;&gt;""),"001-01-0016","")</f>
        <v/>
      </c>
      <c r="N24" s="6541"/>
      <c r="O24" s="6541"/>
      <c r="P24" s="6541"/>
      <c r="Q24" s="6541"/>
      <c r="R24" s="6542"/>
      <c r="S24" s="6543"/>
      <c r="T24" s="6544"/>
      <c r="U24" s="6544"/>
      <c r="V24" s="6544"/>
      <c r="W24" s="6544"/>
      <c r="X24" s="6545"/>
      <c r="Y24" s="4072"/>
      <c r="Z24" s="1180"/>
      <c r="AA24" s="4073"/>
      <c r="AB24" s="4074"/>
      <c r="AC24" s="4072"/>
      <c r="AD24" s="4074"/>
      <c r="AE24" s="4074"/>
      <c r="AF24" s="1180"/>
      <c r="AG24" s="4075"/>
      <c r="AH24" s="4075"/>
      <c r="AI24" s="6520"/>
      <c r="AJ24" s="6521"/>
      <c r="AK24" s="6521"/>
      <c r="AL24" s="6521"/>
      <c r="AM24" s="6521"/>
      <c r="AN24" s="6522"/>
      <c r="AO24" s="5426" t="str">
        <f t="shared" si="0"/>
        <v/>
      </c>
      <c r="AP24" s="5428"/>
      <c r="AQ24" s="1" t="str">
        <f t="shared" si="1"/>
        <v/>
      </c>
      <c r="AX24"/>
      <c r="AY24"/>
      <c r="AZ24"/>
      <c r="BA24"/>
      <c r="BB24"/>
      <c r="BC24"/>
      <c r="BF24"/>
      <c r="BG24" s="270"/>
      <c r="BH24" s="270">
        <f t="shared" si="2"/>
        <v>0</v>
      </c>
      <c r="BI24" s="270">
        <f t="shared" si="3"/>
        <v>0</v>
      </c>
      <c r="BJ24" s="270">
        <f t="shared" si="4"/>
        <v>0</v>
      </c>
      <c r="BK24" s="270">
        <f t="shared" si="5"/>
        <v>0</v>
      </c>
      <c r="BL24" s="270" t="str">
        <f t="shared" si="14"/>
        <v/>
      </c>
      <c r="BM24" s="270" t="str">
        <f t="shared" si="12"/>
        <v/>
      </c>
      <c r="BN24" s="5440" t="b">
        <f t="shared" si="6"/>
        <v>0</v>
      </c>
      <c r="BO24" s="5440" t="b">
        <f t="shared" si="15"/>
        <v>0</v>
      </c>
      <c r="BP24" s="270">
        <f t="shared" si="7"/>
        <v>0</v>
      </c>
      <c r="BQ24" s="5430"/>
      <c r="BR24" s="5440" t="b">
        <f t="shared" si="13"/>
        <v>0</v>
      </c>
      <c r="BS24" s="5445">
        <f t="shared" si="8"/>
        <v>0</v>
      </c>
      <c r="BT24" s="5434">
        <f t="shared" si="9"/>
        <v>0</v>
      </c>
      <c r="BU24" s="5435">
        <f t="shared" si="10"/>
        <v>0</v>
      </c>
      <c r="BV24" s="5438"/>
      <c r="BW24" s="5440">
        <f t="shared" si="11"/>
        <v>0</v>
      </c>
      <c r="BX24" s="270"/>
      <c r="CA24" s="270"/>
    </row>
    <row r="25" spans="1:79" ht="18">
      <c r="A25" s="5428"/>
      <c r="B25" s="5381"/>
      <c r="C25" s="5381"/>
      <c r="D25" s="5381"/>
      <c r="E25" s="6537"/>
      <c r="F25" s="6537"/>
      <c r="G25" s="6537"/>
      <c r="H25" s="6537"/>
      <c r="I25" s="6538"/>
      <c r="J25" s="6537"/>
      <c r="K25" s="6537"/>
      <c r="L25" s="6539"/>
      <c r="M25" s="6540" t="str">
        <f>IF(OR(Z25&lt;&gt;"",AF25&lt;&gt;""),"001-01-0017","")</f>
        <v/>
      </c>
      <c r="N25" s="6541"/>
      <c r="O25" s="6541"/>
      <c r="P25" s="6541"/>
      <c r="Q25" s="6541"/>
      <c r="R25" s="6542"/>
      <c r="S25" s="6543"/>
      <c r="T25" s="6544"/>
      <c r="U25" s="6544"/>
      <c r="V25" s="6544"/>
      <c r="W25" s="6544"/>
      <c r="X25" s="6545"/>
      <c r="Y25" s="4072"/>
      <c r="Z25" s="1180"/>
      <c r="AA25" s="4073"/>
      <c r="AB25" s="4074"/>
      <c r="AC25" s="4072"/>
      <c r="AD25" s="4074"/>
      <c r="AE25" s="4074"/>
      <c r="AF25" s="1180"/>
      <c r="AG25" s="4075"/>
      <c r="AH25" s="4075"/>
      <c r="AI25" s="6520"/>
      <c r="AJ25" s="6521"/>
      <c r="AK25" s="6521"/>
      <c r="AL25" s="6521"/>
      <c r="AM25" s="6521"/>
      <c r="AN25" s="6522"/>
      <c r="AO25" s="5426" t="str">
        <f t="shared" si="0"/>
        <v/>
      </c>
      <c r="AP25" s="5428"/>
      <c r="AQ25" s="1" t="str">
        <f t="shared" si="1"/>
        <v/>
      </c>
      <c r="AX25"/>
      <c r="AY25"/>
      <c r="AZ25"/>
      <c r="BA25"/>
      <c r="BB25"/>
      <c r="BC25"/>
      <c r="BF25"/>
      <c r="BG25" s="270"/>
      <c r="BH25" s="270">
        <f t="shared" si="2"/>
        <v>0</v>
      </c>
      <c r="BI25" s="270">
        <f t="shared" si="3"/>
        <v>0</v>
      </c>
      <c r="BJ25" s="270">
        <f t="shared" si="4"/>
        <v>0</v>
      </c>
      <c r="BK25" s="270">
        <f t="shared" si="5"/>
        <v>0</v>
      </c>
      <c r="BL25" s="270" t="str">
        <f t="shared" si="14"/>
        <v/>
      </c>
      <c r="BM25" s="270" t="str">
        <f t="shared" si="12"/>
        <v/>
      </c>
      <c r="BN25" s="5440" t="b">
        <f t="shared" si="6"/>
        <v>0</v>
      </c>
      <c r="BO25" s="5440" t="b">
        <f t="shared" si="15"/>
        <v>0</v>
      </c>
      <c r="BP25" s="270">
        <f t="shared" si="7"/>
        <v>0</v>
      </c>
      <c r="BQ25" s="5430"/>
      <c r="BR25" s="5440" t="b">
        <f t="shared" si="13"/>
        <v>0</v>
      </c>
      <c r="BS25" s="5445">
        <f t="shared" si="8"/>
        <v>0</v>
      </c>
      <c r="BT25" s="5434">
        <f t="shared" si="9"/>
        <v>0</v>
      </c>
      <c r="BU25" s="5435">
        <f t="shared" si="10"/>
        <v>0</v>
      </c>
      <c r="BV25" s="5438"/>
      <c r="BW25" s="5440">
        <f t="shared" si="11"/>
        <v>0</v>
      </c>
      <c r="BX25" s="270"/>
      <c r="CA25" s="270"/>
    </row>
    <row r="26" spans="1:79" ht="18">
      <c r="A26" s="5428"/>
      <c r="B26" s="5381"/>
      <c r="C26" s="5381"/>
      <c r="D26" s="5381"/>
      <c r="E26" s="6537"/>
      <c r="F26" s="6537"/>
      <c r="G26" s="6537"/>
      <c r="H26" s="6537"/>
      <c r="I26" s="6538"/>
      <c r="J26" s="6537"/>
      <c r="K26" s="6537"/>
      <c r="L26" s="6539"/>
      <c r="M26" s="6540" t="str">
        <f>IF(OR(Z26&lt;&gt;"",AF26&lt;&gt;""),"001-01-0018","")</f>
        <v/>
      </c>
      <c r="N26" s="6541"/>
      <c r="O26" s="6541"/>
      <c r="P26" s="6541"/>
      <c r="Q26" s="6541"/>
      <c r="R26" s="6542"/>
      <c r="S26" s="6543"/>
      <c r="T26" s="6544"/>
      <c r="U26" s="6544"/>
      <c r="V26" s="6544"/>
      <c r="W26" s="6544"/>
      <c r="X26" s="6545"/>
      <c r="Y26" s="4072"/>
      <c r="Z26" s="1180"/>
      <c r="AA26" s="4073"/>
      <c r="AB26" s="4074"/>
      <c r="AC26" s="4072"/>
      <c r="AD26" s="4074"/>
      <c r="AE26" s="4074"/>
      <c r="AF26" s="1180"/>
      <c r="AG26" s="4075"/>
      <c r="AH26" s="4075"/>
      <c r="AI26" s="6520"/>
      <c r="AJ26" s="6521"/>
      <c r="AK26" s="6521"/>
      <c r="AL26" s="6521"/>
      <c r="AM26" s="6521"/>
      <c r="AN26" s="6522"/>
      <c r="AO26" s="5426" t="str">
        <f t="shared" si="0"/>
        <v/>
      </c>
      <c r="AP26" s="5428"/>
      <c r="AQ26" s="1" t="str">
        <f t="shared" si="1"/>
        <v/>
      </c>
      <c r="AX26"/>
      <c r="AY26"/>
      <c r="AZ26"/>
      <c r="BA26"/>
      <c r="BB26"/>
      <c r="BC26"/>
      <c r="BF26"/>
      <c r="BG26" s="270"/>
      <c r="BH26" s="270">
        <f t="shared" si="2"/>
        <v>0</v>
      </c>
      <c r="BI26" s="270">
        <f t="shared" si="3"/>
        <v>0</v>
      </c>
      <c r="BJ26" s="270">
        <f t="shared" si="4"/>
        <v>0</v>
      </c>
      <c r="BK26" s="270">
        <f t="shared" si="5"/>
        <v>0</v>
      </c>
      <c r="BL26" s="270" t="str">
        <f t="shared" si="14"/>
        <v/>
      </c>
      <c r="BM26" s="270" t="str">
        <f t="shared" si="12"/>
        <v/>
      </c>
      <c r="BN26" s="5440" t="b">
        <f t="shared" si="6"/>
        <v>0</v>
      </c>
      <c r="BO26" s="5440" t="b">
        <f t="shared" si="15"/>
        <v>0</v>
      </c>
      <c r="BP26" s="270">
        <f t="shared" si="7"/>
        <v>0</v>
      </c>
      <c r="BQ26" s="5430"/>
      <c r="BR26" s="5440" t="b">
        <f t="shared" si="13"/>
        <v>0</v>
      </c>
      <c r="BS26" s="5445">
        <f t="shared" si="8"/>
        <v>0</v>
      </c>
      <c r="BT26" s="5434">
        <f t="shared" si="9"/>
        <v>0</v>
      </c>
      <c r="BU26" s="5435">
        <f t="shared" si="10"/>
        <v>0</v>
      </c>
      <c r="BV26" s="5438"/>
      <c r="BW26" s="5440">
        <f t="shared" si="11"/>
        <v>0</v>
      </c>
      <c r="BX26" s="270"/>
      <c r="CA26" s="270"/>
    </row>
    <row r="27" spans="1:79" ht="18">
      <c r="A27" s="5428"/>
      <c r="B27" s="5381"/>
      <c r="C27" s="5381"/>
      <c r="D27" s="5381"/>
      <c r="E27" s="6537"/>
      <c r="F27" s="6537"/>
      <c r="G27" s="6537"/>
      <c r="H27" s="6537"/>
      <c r="I27" s="6538"/>
      <c r="J27" s="6537"/>
      <c r="K27" s="6537"/>
      <c r="L27" s="6539"/>
      <c r="M27" s="6540" t="str">
        <f>IF(OR(Z27&lt;&gt;"",AF27&lt;&gt;""),"001-01-0019","")</f>
        <v/>
      </c>
      <c r="N27" s="6541"/>
      <c r="O27" s="6541"/>
      <c r="P27" s="6541"/>
      <c r="Q27" s="6541"/>
      <c r="R27" s="6542"/>
      <c r="S27" s="6543"/>
      <c r="T27" s="6544"/>
      <c r="U27" s="6544"/>
      <c r="V27" s="6544"/>
      <c r="W27" s="6544"/>
      <c r="X27" s="6545"/>
      <c r="Y27" s="4072"/>
      <c r="Z27" s="1180"/>
      <c r="AA27" s="4073"/>
      <c r="AB27" s="4074"/>
      <c r="AC27" s="4072"/>
      <c r="AD27" s="4074"/>
      <c r="AE27" s="4074"/>
      <c r="AF27" s="1180"/>
      <c r="AG27" s="4075"/>
      <c r="AH27" s="4075"/>
      <c r="AI27" s="6520"/>
      <c r="AJ27" s="6521"/>
      <c r="AK27" s="6521"/>
      <c r="AL27" s="6521"/>
      <c r="AM27" s="6521"/>
      <c r="AN27" s="6522"/>
      <c r="AO27" s="5426" t="str">
        <f t="shared" si="0"/>
        <v/>
      </c>
      <c r="AP27" s="5428"/>
      <c r="AQ27" s="1" t="str">
        <f t="shared" si="1"/>
        <v/>
      </c>
      <c r="AX27"/>
      <c r="AY27"/>
      <c r="AZ27"/>
      <c r="BA27"/>
      <c r="BB27"/>
      <c r="BC27"/>
      <c r="BF27"/>
      <c r="BG27" s="270"/>
      <c r="BH27" s="270">
        <f t="shared" si="2"/>
        <v>0</v>
      </c>
      <c r="BI27" s="270">
        <f t="shared" si="3"/>
        <v>0</v>
      </c>
      <c r="BJ27" s="270">
        <f t="shared" si="4"/>
        <v>0</v>
      </c>
      <c r="BK27" s="270">
        <f t="shared" si="5"/>
        <v>0</v>
      </c>
      <c r="BL27" s="270" t="str">
        <f t="shared" si="14"/>
        <v/>
      </c>
      <c r="BM27" s="270" t="str">
        <f t="shared" si="12"/>
        <v/>
      </c>
      <c r="BN27" s="5440" t="b">
        <f t="shared" si="6"/>
        <v>0</v>
      </c>
      <c r="BO27" s="5440" t="b">
        <f t="shared" si="15"/>
        <v>0</v>
      </c>
      <c r="BP27" s="270">
        <f t="shared" si="7"/>
        <v>0</v>
      </c>
      <c r="BQ27" s="5430"/>
      <c r="BR27" s="5440" t="b">
        <f t="shared" si="13"/>
        <v>0</v>
      </c>
      <c r="BS27" s="5445">
        <f t="shared" si="8"/>
        <v>0</v>
      </c>
      <c r="BT27" s="5434">
        <f t="shared" si="9"/>
        <v>0</v>
      </c>
      <c r="BU27" s="5435">
        <f t="shared" si="10"/>
        <v>0</v>
      </c>
      <c r="BV27" s="5438"/>
      <c r="BW27" s="5440">
        <f t="shared" si="11"/>
        <v>0</v>
      </c>
      <c r="BX27" s="270"/>
      <c r="CA27" s="270"/>
    </row>
    <row r="28" spans="1:79" ht="18">
      <c r="A28" s="5428"/>
      <c r="B28" s="5381"/>
      <c r="C28" s="5381"/>
      <c r="D28" s="5381"/>
      <c r="E28" s="6537"/>
      <c r="F28" s="6537"/>
      <c r="G28" s="6537"/>
      <c r="H28" s="6537"/>
      <c r="I28" s="6538"/>
      <c r="J28" s="6537"/>
      <c r="K28" s="6537"/>
      <c r="L28" s="6539"/>
      <c r="M28" s="6540" t="str">
        <f>IF(OR(Z28&lt;&gt;"",AF28&lt;&gt;""),"001-01-0020","")</f>
        <v/>
      </c>
      <c r="N28" s="6541"/>
      <c r="O28" s="6541"/>
      <c r="P28" s="6541"/>
      <c r="Q28" s="6541"/>
      <c r="R28" s="6542"/>
      <c r="S28" s="6543"/>
      <c r="T28" s="6544"/>
      <c r="U28" s="6544"/>
      <c r="V28" s="6544"/>
      <c r="W28" s="6544"/>
      <c r="X28" s="6545"/>
      <c r="Y28" s="4072"/>
      <c r="Z28" s="1180"/>
      <c r="AA28" s="4073"/>
      <c r="AB28" s="4074"/>
      <c r="AC28" s="4072"/>
      <c r="AD28" s="4074"/>
      <c r="AE28" s="4074"/>
      <c r="AF28" s="1180"/>
      <c r="AG28" s="4075"/>
      <c r="AH28" s="4075"/>
      <c r="AI28" s="6520"/>
      <c r="AJ28" s="6521"/>
      <c r="AK28" s="6521"/>
      <c r="AL28" s="6521"/>
      <c r="AM28" s="6521"/>
      <c r="AN28" s="6522"/>
      <c r="AO28" s="5426" t="str">
        <f t="shared" si="0"/>
        <v/>
      </c>
      <c r="AP28" s="5428"/>
      <c r="AQ28" s="1" t="str">
        <f t="shared" si="1"/>
        <v/>
      </c>
      <c r="AX28"/>
      <c r="AY28"/>
      <c r="AZ28"/>
      <c r="BA28"/>
      <c r="BB28"/>
      <c r="BC28"/>
      <c r="BF28"/>
      <c r="BG28" s="270"/>
      <c r="BH28" s="270">
        <f t="shared" si="2"/>
        <v>0</v>
      </c>
      <c r="BI28" s="270">
        <f t="shared" si="3"/>
        <v>0</v>
      </c>
      <c r="BJ28" s="270">
        <f t="shared" si="4"/>
        <v>0</v>
      </c>
      <c r="BK28" s="270">
        <f t="shared" si="5"/>
        <v>0</v>
      </c>
      <c r="BL28" s="270" t="str">
        <f t="shared" si="14"/>
        <v/>
      </c>
      <c r="BM28" s="270" t="str">
        <f t="shared" si="12"/>
        <v/>
      </c>
      <c r="BN28" s="5440" t="b">
        <f t="shared" si="6"/>
        <v>0</v>
      </c>
      <c r="BO28" s="5440" t="b">
        <f t="shared" si="15"/>
        <v>0</v>
      </c>
      <c r="BP28" s="270">
        <f t="shared" si="7"/>
        <v>0</v>
      </c>
      <c r="BQ28" s="5430"/>
      <c r="BR28" s="5440" t="b">
        <f t="shared" si="13"/>
        <v>0</v>
      </c>
      <c r="BS28" s="5445">
        <f t="shared" si="8"/>
        <v>0</v>
      </c>
      <c r="BT28" s="5434">
        <f t="shared" si="9"/>
        <v>0</v>
      </c>
      <c r="BU28" s="5435">
        <f t="shared" si="10"/>
        <v>0</v>
      </c>
      <c r="BV28" s="5438"/>
      <c r="BW28" s="5440">
        <f t="shared" si="11"/>
        <v>0</v>
      </c>
      <c r="BX28" s="270"/>
      <c r="CA28" s="270"/>
    </row>
    <row r="29" spans="1:79" ht="18">
      <c r="A29" s="5428"/>
      <c r="B29" s="5381"/>
      <c r="C29" s="5381"/>
      <c r="D29" s="5381"/>
      <c r="E29" s="6537"/>
      <c r="F29" s="6537"/>
      <c r="G29" s="6537"/>
      <c r="H29" s="6537"/>
      <c r="I29" s="6538"/>
      <c r="J29" s="6537"/>
      <c r="K29" s="6537"/>
      <c r="L29" s="6539"/>
      <c r="M29" s="6540" t="str">
        <f>IF(OR(Z29&lt;&gt;"",AF29&lt;&gt;""),"001-01-0021","")</f>
        <v/>
      </c>
      <c r="N29" s="6541"/>
      <c r="O29" s="6541"/>
      <c r="P29" s="6541"/>
      <c r="Q29" s="6541"/>
      <c r="R29" s="6542"/>
      <c r="S29" s="6543"/>
      <c r="T29" s="6544"/>
      <c r="U29" s="6544"/>
      <c r="V29" s="6544"/>
      <c r="W29" s="6544"/>
      <c r="X29" s="6545"/>
      <c r="Y29" s="4072"/>
      <c r="Z29" s="1180"/>
      <c r="AA29" s="4073"/>
      <c r="AB29" s="4074"/>
      <c r="AC29" s="4072"/>
      <c r="AD29" s="4074"/>
      <c r="AE29" s="4074"/>
      <c r="AF29" s="1180"/>
      <c r="AG29" s="4075"/>
      <c r="AH29" s="4075"/>
      <c r="AI29" s="6520"/>
      <c r="AJ29" s="6521"/>
      <c r="AK29" s="6521"/>
      <c r="AL29" s="6521"/>
      <c r="AM29" s="6521"/>
      <c r="AN29" s="6522"/>
      <c r="AO29" s="5426" t="str">
        <f t="shared" si="0"/>
        <v/>
      </c>
      <c r="AP29" s="5428"/>
      <c r="AQ29" s="1" t="str">
        <f t="shared" si="1"/>
        <v/>
      </c>
      <c r="AX29"/>
      <c r="AY29"/>
      <c r="AZ29"/>
      <c r="BA29"/>
      <c r="BB29"/>
      <c r="BC29"/>
      <c r="BF29"/>
      <c r="BG29" s="270"/>
      <c r="BH29" s="270">
        <f t="shared" si="2"/>
        <v>0</v>
      </c>
      <c r="BI29" s="270">
        <f t="shared" si="3"/>
        <v>0</v>
      </c>
      <c r="BJ29" s="270">
        <f t="shared" si="4"/>
        <v>0</v>
      </c>
      <c r="BK29" s="270">
        <f t="shared" si="5"/>
        <v>0</v>
      </c>
      <c r="BL29" s="270" t="str">
        <f t="shared" si="14"/>
        <v/>
      </c>
      <c r="BM29" s="270" t="str">
        <f t="shared" si="12"/>
        <v/>
      </c>
      <c r="BN29" s="5440" t="b">
        <f t="shared" si="6"/>
        <v>0</v>
      </c>
      <c r="BO29" s="5440" t="b">
        <f t="shared" si="15"/>
        <v>0</v>
      </c>
      <c r="BP29" s="270">
        <f t="shared" si="7"/>
        <v>0</v>
      </c>
      <c r="BQ29" s="5430"/>
      <c r="BR29" s="5440" t="b">
        <f t="shared" si="13"/>
        <v>0</v>
      </c>
      <c r="BS29" s="5445">
        <f t="shared" si="8"/>
        <v>0</v>
      </c>
      <c r="BT29" s="5434">
        <f t="shared" si="9"/>
        <v>0</v>
      </c>
      <c r="BU29" s="5435">
        <f t="shared" si="10"/>
        <v>0</v>
      </c>
      <c r="BV29" s="5438"/>
      <c r="BW29" s="5440">
        <f t="shared" si="11"/>
        <v>0</v>
      </c>
      <c r="BX29" s="270"/>
      <c r="CA29" s="270"/>
    </row>
    <row r="30" spans="1:79" ht="18.75" thickBot="1">
      <c r="A30" s="5428"/>
      <c r="B30" s="6492"/>
      <c r="C30" s="6492"/>
      <c r="D30" s="5429"/>
      <c r="E30" s="6529"/>
      <c r="F30" s="6529"/>
      <c r="G30" s="6529"/>
      <c r="H30" s="6529"/>
      <c r="I30" s="6528"/>
      <c r="J30" s="6529"/>
      <c r="K30" s="6529"/>
      <c r="L30" s="6530"/>
      <c r="M30" s="6531" t="str">
        <f>IF(OR(Z30&lt;&gt;"",AF30&lt;&gt;""),"001-01-0022","")</f>
        <v/>
      </c>
      <c r="N30" s="6532"/>
      <c r="O30" s="6532"/>
      <c r="P30" s="6532"/>
      <c r="Q30" s="6532"/>
      <c r="R30" s="6533"/>
      <c r="S30" s="6534"/>
      <c r="T30" s="6535"/>
      <c r="U30" s="6535"/>
      <c r="V30" s="6535"/>
      <c r="W30" s="6535"/>
      <c r="X30" s="6536"/>
      <c r="Y30" s="4574"/>
      <c r="Z30" s="4573"/>
      <c r="AA30" s="4575"/>
      <c r="AB30" s="4576"/>
      <c r="AC30" s="4574"/>
      <c r="AD30" s="4576"/>
      <c r="AE30" s="4576"/>
      <c r="AF30" s="4573"/>
      <c r="AG30" s="4577"/>
      <c r="AH30" s="4577"/>
      <c r="AI30" s="6523"/>
      <c r="AJ30" s="6524"/>
      <c r="AK30" s="6524"/>
      <c r="AL30" s="6524"/>
      <c r="AM30" s="6524"/>
      <c r="AN30" s="6525"/>
      <c r="AO30" s="5427" t="str">
        <f t="shared" si="0"/>
        <v/>
      </c>
      <c r="AP30" s="5428"/>
      <c r="AQ30" s="1" t="str">
        <f t="shared" si="1"/>
        <v/>
      </c>
      <c r="AX30"/>
      <c r="AY30"/>
      <c r="AZ30"/>
      <c r="BA30"/>
      <c r="BB30"/>
      <c r="BC30"/>
      <c r="BF30"/>
      <c r="BG30" s="270"/>
      <c r="BH30" s="5442">
        <f t="shared" si="2"/>
        <v>0</v>
      </c>
      <c r="BI30" s="270">
        <f t="shared" si="3"/>
        <v>0</v>
      </c>
      <c r="BJ30" s="270">
        <f t="shared" si="4"/>
        <v>0</v>
      </c>
      <c r="BK30" s="270">
        <f t="shared" si="5"/>
        <v>0</v>
      </c>
      <c r="BL30" s="270" t="str">
        <f t="shared" si="14"/>
        <v/>
      </c>
      <c r="BM30" s="270" t="str">
        <f t="shared" si="12"/>
        <v/>
      </c>
      <c r="BN30" s="5441" t="b">
        <f t="shared" si="6"/>
        <v>0</v>
      </c>
      <c r="BO30" s="5441" t="b">
        <f t="shared" si="15"/>
        <v>0</v>
      </c>
      <c r="BP30" s="270">
        <f t="shared" si="7"/>
        <v>0</v>
      </c>
      <c r="BQ30" s="5430"/>
      <c r="BR30" s="5441" t="b">
        <f t="shared" si="13"/>
        <v>0</v>
      </c>
      <c r="BS30" s="5446">
        <f t="shared" si="8"/>
        <v>0</v>
      </c>
      <c r="BT30" s="5436">
        <f t="shared" si="9"/>
        <v>0</v>
      </c>
      <c r="BU30" s="5437">
        <f t="shared" si="10"/>
        <v>0</v>
      </c>
      <c r="BV30" s="5438"/>
      <c r="BW30" s="5441">
        <f t="shared" si="11"/>
        <v>0</v>
      </c>
      <c r="BX30" s="270"/>
      <c r="CA30" s="270"/>
    </row>
    <row r="31" spans="1:79" ht="34.5" customHeight="1" thickTop="1">
      <c r="A31" s="2842"/>
      <c r="B31" s="2842"/>
      <c r="C31" s="2842"/>
      <c r="D31" s="2842"/>
      <c r="E31" s="2842"/>
      <c r="F31" s="2842"/>
      <c r="G31" s="2842"/>
      <c r="H31" s="2842"/>
      <c r="I31" s="2842"/>
      <c r="J31" s="2842"/>
      <c r="K31" s="2842"/>
      <c r="L31" s="2842"/>
      <c r="M31" s="2842"/>
      <c r="N31" s="2842"/>
      <c r="O31" s="2842"/>
      <c r="P31" s="2842"/>
      <c r="Q31" s="2842"/>
      <c r="R31" s="2842"/>
      <c r="S31" s="2842"/>
      <c r="T31" s="2842"/>
      <c r="U31" s="2842"/>
      <c r="V31" s="2842"/>
      <c r="W31" s="2842"/>
      <c r="X31" s="2842"/>
      <c r="Y31" s="2842"/>
      <c r="Z31" s="2842"/>
      <c r="AA31" s="2842"/>
      <c r="AB31" s="2842"/>
      <c r="AC31" s="2842"/>
      <c r="AD31" s="2842"/>
      <c r="AE31" s="2842"/>
      <c r="AF31" s="2842"/>
      <c r="AG31" s="2842"/>
      <c r="AH31" s="2842"/>
      <c r="AI31" s="2842"/>
      <c r="AJ31" s="2842"/>
      <c r="AK31" s="2842"/>
      <c r="AL31" s="2842"/>
      <c r="AM31" s="2842"/>
      <c r="AN31" s="2842"/>
      <c r="AO31" s="2842"/>
      <c r="AP31" s="2842"/>
      <c r="AX31"/>
      <c r="AY31"/>
      <c r="AZ31"/>
      <c r="BA31"/>
      <c r="BB31"/>
      <c r="BC31"/>
      <c r="BF31"/>
      <c r="BG31" s="270"/>
      <c r="BH31" s="270"/>
      <c r="BJ31" s="270"/>
      <c r="BK31" s="270"/>
      <c r="BM31" s="270"/>
      <c r="BN31" s="270"/>
      <c r="BO31" s="270"/>
      <c r="BP31" s="270"/>
      <c r="BQ31" s="270"/>
      <c r="BR31" s="270"/>
      <c r="BS31" s="270"/>
      <c r="BT31" s="270"/>
      <c r="BU31" s="1"/>
      <c r="BV31" s="1"/>
      <c r="BW31" s="5560"/>
      <c r="BZ31" s="270"/>
      <c r="CA31" s="1"/>
    </row>
    <row r="32" spans="1:79" ht="21.75" customHeight="1" thickBot="1">
      <c r="AQ32" s="270"/>
      <c r="AR32" s="5454">
        <f>SUM(BH15:BH30)</f>
        <v>0</v>
      </c>
      <c r="AS32" s="5454">
        <f>SUM(BI15:BI30)</f>
        <v>0</v>
      </c>
      <c r="AT32" s="5454">
        <f>SUM(BJ15:BJ30)</f>
        <v>0</v>
      </c>
      <c r="AU32" s="5454">
        <f>SUM(BK15:BK30)</f>
        <v>0</v>
      </c>
      <c r="AY32" s="270">
        <f>SUM(BP15:BP30)</f>
        <v>0</v>
      </c>
      <c r="BC32" s="5430"/>
      <c r="BD32" s="270"/>
      <c r="BE32" s="270"/>
    </row>
    <row r="33" spans="42:59" ht="13.5" thickTop="1">
      <c r="AR33" s="5455">
        <f>SUM(BH11,AR32)</f>
        <v>0</v>
      </c>
      <c r="AS33" s="5455">
        <f>SUM(BI11,AS32)</f>
        <v>0</v>
      </c>
      <c r="AT33" s="5455">
        <f>SUM(BJ11,AT32)</f>
        <v>0</v>
      </c>
      <c r="AU33" s="5455">
        <f>SUM(BK11,AU32)</f>
        <v>0</v>
      </c>
      <c r="AW33" s="5156"/>
      <c r="AX33" s="5156"/>
      <c r="AY33" s="5156">
        <f>SUM(BP11,AY32)</f>
        <v>0</v>
      </c>
      <c r="AZ33" s="5156"/>
      <c r="BA33" s="5156"/>
      <c r="BC33" s="5430"/>
      <c r="BD33" s="270"/>
      <c r="BE33" s="270"/>
    </row>
    <row r="34" spans="42:59" ht="13.5" thickBot="1">
      <c r="AX34" s="4093"/>
      <c r="AY34" s="4093"/>
      <c r="AZ34" s="799" t="s">
        <v>91</v>
      </c>
      <c r="BA34" s="4093"/>
      <c r="BB34" s="5471"/>
      <c r="BC34" s="5472"/>
      <c r="BD34" s="5473" t="s">
        <v>5107</v>
      </c>
      <c r="BE34" s="5473" t="s">
        <v>5107</v>
      </c>
      <c r="BF34" s="4809"/>
      <c r="BG34" s="1688"/>
    </row>
    <row r="35" spans="42:59" ht="27" thickBot="1">
      <c r="AP35" s="5453" t="s">
        <v>5194</v>
      </c>
      <c r="AQ35" s="6063">
        <f>IF(AZ35&lt;&gt;"",ROUND(AZ35,0),AR33)</f>
        <v>0</v>
      </c>
      <c r="AZ35" s="5581"/>
      <c r="BB35" s="5474"/>
      <c r="BC35" s="1699"/>
      <c r="BD35" s="5475" t="s">
        <v>5279</v>
      </c>
      <c r="BE35" s="5475" t="s">
        <v>5280</v>
      </c>
      <c r="BF35" s="5475" t="s">
        <v>5277</v>
      </c>
      <c r="BG35" s="1690"/>
    </row>
    <row r="36" spans="42:59" ht="15.75" thickBot="1">
      <c r="AP36" s="5453" t="s">
        <v>5195</v>
      </c>
      <c r="AQ36" s="6063">
        <f>IF(AZ36&lt;&gt;"",ROUND(AZ36,0),AT33)</f>
        <v>0</v>
      </c>
      <c r="AZ36" s="5581"/>
      <c r="BB36" s="5476"/>
      <c r="BC36" s="5477"/>
      <c r="BD36" s="6064">
        <f>SUM(BS7:BS10,BS15:BS30)</f>
        <v>0</v>
      </c>
      <c r="BE36" s="6065">
        <f>SUM(BT7:BT10,BT15:BT30)</f>
        <v>0</v>
      </c>
      <c r="BF36" s="6066">
        <f>SUM(BU7:BU10,BU15:BU30)</f>
        <v>0</v>
      </c>
      <c r="BG36" s="1690"/>
    </row>
    <row r="37" spans="42:59" ht="15.75" thickBot="1">
      <c r="AP37" s="5453" t="s">
        <v>5196</v>
      </c>
      <c r="AQ37" s="6063">
        <f>IF(AZ37&lt;&gt;"",ROUND(AZ37,0),AU33)</f>
        <v>0</v>
      </c>
      <c r="AZ37" s="5581"/>
      <c r="BB37" s="5478"/>
      <c r="BC37" s="5479" t="s">
        <v>5088</v>
      </c>
      <c r="BD37" s="5480" t="s">
        <v>5089</v>
      </c>
      <c r="BE37" s="5480" t="s">
        <v>4698</v>
      </c>
      <c r="BF37" s="5481" t="s">
        <v>2771</v>
      </c>
      <c r="BG37" s="1695"/>
    </row>
    <row r="39" spans="42:59">
      <c r="BB39" s="5471"/>
      <c r="BC39" s="5472"/>
      <c r="BD39" s="5561"/>
    </row>
    <row r="40" spans="42:59" ht="26.25" thickBot="1">
      <c r="BB40" s="5474"/>
      <c r="BC40" s="1699"/>
      <c r="BD40" s="5562" t="s">
        <v>5278</v>
      </c>
    </row>
    <row r="41" spans="42:59" ht="15.75" thickBot="1">
      <c r="BB41" s="5476"/>
      <c r="BC41" s="5477"/>
      <c r="BD41" s="6067">
        <f>SUM(BW7:BW10,BW15:BW30)</f>
        <v>0</v>
      </c>
    </row>
    <row r="42" spans="42:59">
      <c r="BB42" s="5478"/>
      <c r="BC42" s="5479" t="s">
        <v>5276</v>
      </c>
      <c r="BD42" s="5563" t="s">
        <v>3518</v>
      </c>
    </row>
  </sheetData>
  <sheetProtection algorithmName="SHA-512" hashValue="V5kGTLDN6IlqfUnZZTNe8WH4n2/sQwijGUTjPLRfrUNHN8OiJtybwcljpNH/GG0ane9aByFqRYiSfNrUBef1Gw==" saltValue="ybteWhuJOzKmfy0r9jwJ8g==" spinCount="100000" sheet="1" objects="1" scenarios="1"/>
  <mergeCells count="143">
    <mergeCell ref="M1:R3"/>
    <mergeCell ref="BW5:BW6"/>
    <mergeCell ref="BW13:BW14"/>
    <mergeCell ref="C2:J2"/>
    <mergeCell ref="E29:H29"/>
    <mergeCell ref="I29:L29"/>
    <mergeCell ref="M29:R29"/>
    <mergeCell ref="S29:X29"/>
    <mergeCell ref="AI29:AN29"/>
    <mergeCell ref="BN5:BN6"/>
    <mergeCell ref="BN13:BN14"/>
    <mergeCell ref="E27:H27"/>
    <mergeCell ref="I27:L27"/>
    <mergeCell ref="M27:R27"/>
    <mergeCell ref="S27:X27"/>
    <mergeCell ref="AI27:AN27"/>
    <mergeCell ref="E28:H28"/>
    <mergeCell ref="I28:L28"/>
    <mergeCell ref="M28:R28"/>
    <mergeCell ref="S28:X28"/>
    <mergeCell ref="AI28:AN28"/>
    <mergeCell ref="E25:H25"/>
    <mergeCell ref="I25:L25"/>
    <mergeCell ref="M25:R25"/>
    <mergeCell ref="S25:X25"/>
    <mergeCell ref="AI25:AN25"/>
    <mergeCell ref="M26:R26"/>
    <mergeCell ref="S26:X26"/>
    <mergeCell ref="AI26:AN26"/>
    <mergeCell ref="E23:H23"/>
    <mergeCell ref="I23:L23"/>
    <mergeCell ref="M23:R23"/>
    <mergeCell ref="S23:X23"/>
    <mergeCell ref="AI23:AN23"/>
    <mergeCell ref="E24:H24"/>
    <mergeCell ref="I24:L24"/>
    <mergeCell ref="M24:R24"/>
    <mergeCell ref="S24:X24"/>
    <mergeCell ref="AI24:AN24"/>
    <mergeCell ref="E18:H18"/>
    <mergeCell ref="I18:L18"/>
    <mergeCell ref="M18:R18"/>
    <mergeCell ref="S18:X18"/>
    <mergeCell ref="AI18:AN18"/>
    <mergeCell ref="E19:H19"/>
    <mergeCell ref="I19:L19"/>
    <mergeCell ref="M19:R19"/>
    <mergeCell ref="S19:X19"/>
    <mergeCell ref="B30:C30"/>
    <mergeCell ref="E30:H30"/>
    <mergeCell ref="I30:L30"/>
    <mergeCell ref="M30:R30"/>
    <mergeCell ref="S30:X30"/>
    <mergeCell ref="AI19:AN19"/>
    <mergeCell ref="E20:H20"/>
    <mergeCell ref="I20:L20"/>
    <mergeCell ref="M20:R20"/>
    <mergeCell ref="S20:X20"/>
    <mergeCell ref="AI20:AN20"/>
    <mergeCell ref="AI30:AN30"/>
    <mergeCell ref="E21:H21"/>
    <mergeCell ref="I21:L21"/>
    <mergeCell ref="M21:R21"/>
    <mergeCell ref="S21:X21"/>
    <mergeCell ref="AI21:AN21"/>
    <mergeCell ref="E22:H22"/>
    <mergeCell ref="I22:L22"/>
    <mergeCell ref="M22:R22"/>
    <mergeCell ref="S22:X22"/>
    <mergeCell ref="AI22:AN22"/>
    <mergeCell ref="E26:H26"/>
    <mergeCell ref="I26:L26"/>
    <mergeCell ref="AI15:AN15"/>
    <mergeCell ref="E16:H16"/>
    <mergeCell ref="I16:L16"/>
    <mergeCell ref="M16:R16"/>
    <mergeCell ref="S16:X16"/>
    <mergeCell ref="AI16:AN16"/>
    <mergeCell ref="E17:H17"/>
    <mergeCell ref="I17:L17"/>
    <mergeCell ref="M17:R17"/>
    <mergeCell ref="S17:X17"/>
    <mergeCell ref="AI17:AN17"/>
    <mergeCell ref="B4:D5"/>
    <mergeCell ref="M4:R6"/>
    <mergeCell ref="M12:R14"/>
    <mergeCell ref="S12:X14"/>
    <mergeCell ref="AI12:AN14"/>
    <mergeCell ref="E14:H14"/>
    <mergeCell ref="I14:L14"/>
    <mergeCell ref="Y14:AB14"/>
    <mergeCell ref="AC14:AH14"/>
    <mergeCell ref="S4:X6"/>
    <mergeCell ref="B6:D9"/>
    <mergeCell ref="E6:H6"/>
    <mergeCell ref="I6:L6"/>
    <mergeCell ref="M9:R9"/>
    <mergeCell ref="S9:X9"/>
    <mergeCell ref="I9:L9"/>
    <mergeCell ref="B12:D15"/>
    <mergeCell ref="AI4:AN6"/>
    <mergeCell ref="AI7:AN7"/>
    <mergeCell ref="AI8:AN8"/>
    <mergeCell ref="E15:H15"/>
    <mergeCell ref="I15:L15"/>
    <mergeCell ref="M15:R15"/>
    <mergeCell ref="S15:X15"/>
    <mergeCell ref="I10:L10"/>
    <mergeCell ref="B10:C10"/>
    <mergeCell ref="M10:R10"/>
    <mergeCell ref="S10:X10"/>
    <mergeCell ref="E7:H7"/>
    <mergeCell ref="E8:H8"/>
    <mergeCell ref="E9:H9"/>
    <mergeCell ref="E10:H10"/>
    <mergeCell ref="I7:L7"/>
    <mergeCell ref="I8:L8"/>
    <mergeCell ref="M7:R7"/>
    <mergeCell ref="S7:X7"/>
    <mergeCell ref="M8:R8"/>
    <mergeCell ref="S8:X8"/>
    <mergeCell ref="Y6:AB6"/>
    <mergeCell ref="Y4:AH4"/>
    <mergeCell ref="Y12:AH12"/>
    <mergeCell ref="BU13:BU14"/>
    <mergeCell ref="BU5:BU6"/>
    <mergeCell ref="BS5:BS6"/>
    <mergeCell ref="BS13:BS14"/>
    <mergeCell ref="BT5:BT6"/>
    <mergeCell ref="BT13:BT14"/>
    <mergeCell ref="AO4:AO6"/>
    <mergeCell ref="AC6:AH6"/>
    <mergeCell ref="AO12:AO14"/>
    <mergeCell ref="BJ2:BJ6"/>
    <mergeCell ref="BH2:BH6"/>
    <mergeCell ref="BK2:BK6"/>
    <mergeCell ref="BI2:BI6"/>
    <mergeCell ref="AI9:AN9"/>
    <mergeCell ref="AI10:AN10"/>
    <mergeCell ref="BO5:BO6"/>
    <mergeCell ref="BO13:BO14"/>
    <mergeCell ref="AI1:AN3"/>
    <mergeCell ref="BR5:BR6"/>
  </mergeCells>
  <conditionalFormatting sqref="B4 M4 S4">
    <cfRule type="expression" dxfId="2868" priority="164">
      <formula>NoColor</formula>
    </cfRule>
  </conditionalFormatting>
  <conditionalFormatting sqref="B12 M12 S12">
    <cfRule type="expression" dxfId="2867" priority="124">
      <formula>NoColor</formula>
    </cfRule>
  </conditionalFormatting>
  <conditionalFormatting sqref="D10">
    <cfRule type="expression" dxfId="2866" priority="144">
      <formula>AND(#REF!,D10&lt;&gt;"")</formula>
    </cfRule>
    <cfRule type="expression" dxfId="2865" priority="146">
      <formula>NoColor</formula>
    </cfRule>
  </conditionalFormatting>
  <conditionalFormatting sqref="D30">
    <cfRule type="expression" dxfId="2864" priority="104">
      <formula>AND(#REF!,D30&lt;&gt;"")</formula>
    </cfRule>
    <cfRule type="expression" dxfId="2863" priority="106">
      <formula>NoColor</formula>
    </cfRule>
  </conditionalFormatting>
  <conditionalFormatting sqref="E6:E10">
    <cfRule type="expression" dxfId="2862" priority="140">
      <formula>NoColor</formula>
    </cfRule>
  </conditionalFormatting>
  <conditionalFormatting sqref="E14:E30">
    <cfRule type="expression" dxfId="2861" priority="29">
      <formula>NoColor</formula>
    </cfRule>
  </conditionalFormatting>
  <conditionalFormatting sqref="E12:L13">
    <cfRule type="expression" dxfId="2860" priority="107">
      <formula>NoColor</formula>
    </cfRule>
  </conditionalFormatting>
  <conditionalFormatting sqref="F4:G4">
    <cfRule type="expression" dxfId="2859" priority="162">
      <formula>AND(#REF!,F4&lt;&gt;"")</formula>
    </cfRule>
  </conditionalFormatting>
  <conditionalFormatting sqref="F12:G12">
    <cfRule type="expression" dxfId="2858" priority="122">
      <formula>AND(#REF!,F12&lt;&gt;"")</formula>
    </cfRule>
  </conditionalFormatting>
  <conditionalFormatting sqref="I7:AO10">
    <cfRule type="expression" dxfId="2857" priority="17">
      <formula>NoColor</formula>
    </cfRule>
  </conditionalFormatting>
  <conditionalFormatting sqref="I15:AO30">
    <cfRule type="expression" dxfId="2856" priority="1">
      <formula>NoColor</formula>
    </cfRule>
  </conditionalFormatting>
  <conditionalFormatting sqref="M1">
    <cfRule type="expression" dxfId="2855" priority="19">
      <formula>$AY$33&gt;0</formula>
    </cfRule>
  </conditionalFormatting>
  <conditionalFormatting sqref="M7:N10">
    <cfRule type="expression" dxfId="2854" priority="18">
      <formula>BP7&gt;0</formula>
    </cfRule>
    <cfRule type="expression" dxfId="2853" priority="121">
      <formula>NoSSN</formula>
    </cfRule>
    <cfRule type="expression" dxfId="2852" priority="117">
      <formula>AND(NoColor,NoSSN)</formula>
    </cfRule>
  </conditionalFormatting>
  <conditionalFormatting sqref="M15:N30">
    <cfRule type="expression" dxfId="2851" priority="2">
      <formula>BP15&gt;0</formula>
    </cfRule>
    <cfRule type="expression" dxfId="2850" priority="3">
      <formula>AND(NoColor,NoSSN)</formula>
    </cfRule>
    <cfRule type="expression" dxfId="2849" priority="4">
      <formula>NoSSN</formula>
    </cfRule>
  </conditionalFormatting>
  <conditionalFormatting sqref="M1:R3">
    <cfRule type="expression" dxfId="2848" priority="8">
      <formula>$BO$3</formula>
    </cfRule>
  </conditionalFormatting>
  <conditionalFormatting sqref="O7:R10 O15:R30">
    <cfRule type="expression" dxfId="2847" priority="4516">
      <formula>BS7&gt;0</formula>
    </cfRule>
    <cfRule type="expression" dxfId="2846" priority="4517">
      <formula>AND(NoColor,NoSSN)</formula>
    </cfRule>
    <cfRule type="expression" dxfId="2845" priority="4518">
      <formula>NoSSN</formula>
    </cfRule>
  </conditionalFormatting>
  <conditionalFormatting sqref="Y4 E4:L5">
    <cfRule type="expression" dxfId="2844" priority="147">
      <formula>NoColor</formula>
    </cfRule>
  </conditionalFormatting>
  <conditionalFormatting sqref="Y12">
    <cfRule type="expression" dxfId="2843" priority="21">
      <formula>NoColor</formula>
    </cfRule>
  </conditionalFormatting>
  <conditionalFormatting sqref="Y5:AH6 B6 I6">
    <cfRule type="expression" dxfId="2842" priority="163">
      <formula>NoColor</formula>
    </cfRule>
  </conditionalFormatting>
  <conditionalFormatting sqref="Y13:AH14 I14">
    <cfRule type="expression" dxfId="2841" priority="123">
      <formula>NoColor</formula>
    </cfRule>
  </conditionalFormatting>
  <conditionalFormatting sqref="Z5:AH5">
    <cfRule type="expression" dxfId="2840" priority="166">
      <formula>NoColor</formula>
    </cfRule>
  </conditionalFormatting>
  <conditionalFormatting sqref="Z13:AH13">
    <cfRule type="expression" dxfId="2839" priority="126">
      <formula>NoColor</formula>
    </cfRule>
  </conditionalFormatting>
  <conditionalFormatting sqref="AC6">
    <cfRule type="expression" dxfId="2838" priority="165">
      <formula>NoColor</formula>
    </cfRule>
  </conditionalFormatting>
  <conditionalFormatting sqref="AC14">
    <cfRule type="expression" dxfId="2837" priority="125">
      <formula>NoColor</formula>
    </cfRule>
  </conditionalFormatting>
  <conditionalFormatting sqref="AI4">
    <cfRule type="expression" dxfId="2836" priority="139">
      <formula>NoColor</formula>
    </cfRule>
  </conditionalFormatting>
  <conditionalFormatting sqref="AI12">
    <cfRule type="expression" dxfId="2835" priority="99">
      <formula>NoColor</formula>
    </cfRule>
  </conditionalFormatting>
  <conditionalFormatting sqref="AO4">
    <cfRule type="expression" dxfId="2834" priority="137">
      <formula>NoColor</formula>
    </cfRule>
  </conditionalFormatting>
  <conditionalFormatting sqref="AO12">
    <cfRule type="expression" dxfId="2833" priority="97">
      <formula>NoColor</formula>
    </cfRule>
  </conditionalFormatting>
  <conditionalFormatting sqref="AZ35:AZ37">
    <cfRule type="expression" dxfId="2832" priority="9">
      <formula>NoColor</formula>
    </cfRule>
  </conditionalFormatting>
  <pageMargins left="0.7" right="0.7" top="0.75" bottom="0.75" header="0.3" footer="0.3"/>
  <pageSetup scale="6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A120"/>
  <sheetViews>
    <sheetView zoomScaleNormal="100" zoomScaleSheetLayoutView="100" workbookViewId="0"/>
  </sheetViews>
  <sheetFormatPr defaultColWidth="3.42578125" defaultRowHeight="12.75"/>
  <cols>
    <col min="1" max="1" width="3.42578125" style="42"/>
    <col min="2" max="5" width="3.85546875" style="42" customWidth="1"/>
    <col min="6" max="6" width="5.7109375" style="42" customWidth="1"/>
    <col min="7" max="20" width="3.42578125" style="42" customWidth="1"/>
    <col min="21" max="21" width="3.140625" style="42" customWidth="1"/>
    <col min="22" max="22" width="4.42578125" style="42" customWidth="1"/>
    <col min="23" max="23" width="1.85546875" style="42" customWidth="1"/>
    <col min="24" max="24" width="4.140625" style="42" customWidth="1"/>
    <col min="25" max="26" width="3.42578125" style="42" customWidth="1"/>
    <col min="27" max="27" width="2.28515625" style="42" customWidth="1"/>
    <col min="28" max="28" width="6" style="42" customWidth="1"/>
    <col min="29" max="30" width="3" style="42" customWidth="1"/>
    <col min="31" max="31" width="5.42578125" style="42" customWidth="1"/>
    <col min="32" max="32" width="3.5703125" style="42" customWidth="1"/>
    <col min="33" max="33" width="3" style="42" customWidth="1"/>
    <col min="34" max="34" width="3.42578125" style="42"/>
    <col min="35" max="35" width="8.85546875" style="42" customWidth="1"/>
    <col min="36" max="36" width="15" style="42" customWidth="1"/>
    <col min="37" max="37" width="4" style="42" customWidth="1"/>
    <col min="38" max="38" width="27.5703125" style="42" customWidth="1"/>
    <col min="39" max="39" width="8.28515625" style="42" customWidth="1"/>
    <col min="40" max="40" width="19.7109375" style="42" customWidth="1"/>
    <col min="41" max="41" width="3.42578125" style="42"/>
    <col min="42" max="42" width="10.7109375" style="3403" customWidth="1"/>
    <col min="43" max="52" width="10.7109375" style="3402" customWidth="1"/>
    <col min="53" max="16384" width="3.42578125" style="42"/>
  </cols>
  <sheetData>
    <row r="1" spans="1:52">
      <c r="A1" s="2757"/>
      <c r="B1" s="2757"/>
      <c r="C1" s="2757"/>
      <c r="D1" s="2757"/>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I1" s="1179"/>
      <c r="AJ1" s="385"/>
      <c r="AK1" s="1179"/>
      <c r="AL1" s="1179"/>
      <c r="AM1" s="1179"/>
      <c r="AN1" s="1179"/>
      <c r="AO1" s="1179"/>
      <c r="AP1" s="3013" t="s">
        <v>2033</v>
      </c>
      <c r="AQ1" s="3013"/>
      <c r="AR1" s="3013"/>
      <c r="AS1" s="3013"/>
      <c r="AT1" s="3013"/>
      <c r="AU1" s="3013"/>
      <c r="AV1" s="3013"/>
      <c r="AW1" s="3013"/>
      <c r="AX1" s="3013"/>
      <c r="AY1" s="3013"/>
      <c r="AZ1" s="3013"/>
    </row>
    <row r="2" spans="1:52" ht="11.25" customHeight="1">
      <c r="A2" s="2757"/>
      <c r="B2" s="6629" t="s">
        <v>4702</v>
      </c>
      <c r="C2" s="6630"/>
      <c r="D2" s="6630"/>
      <c r="E2" s="6630"/>
      <c r="F2" s="6631"/>
      <c r="G2" s="1179"/>
      <c r="H2" s="1179"/>
      <c r="I2" s="1179"/>
      <c r="J2" s="1179"/>
      <c r="K2" s="1179"/>
      <c r="L2" s="1179"/>
      <c r="M2" s="1179"/>
      <c r="N2" s="1179"/>
      <c r="O2" s="1179"/>
      <c r="P2" s="1179"/>
      <c r="Q2" s="1179"/>
      <c r="R2" s="1179"/>
      <c r="S2" s="1179"/>
      <c r="T2" s="1179"/>
      <c r="U2" s="1179"/>
      <c r="V2" s="1179"/>
      <c r="W2" s="1179"/>
      <c r="X2" s="1179"/>
      <c r="Y2" s="1179"/>
      <c r="Z2" s="1179"/>
      <c r="AA2" s="1179"/>
      <c r="AB2" s="6615" t="s">
        <v>152</v>
      </c>
      <c r="AC2" s="6616"/>
      <c r="AD2" s="6616"/>
      <c r="AE2" s="6616"/>
      <c r="AF2" s="6616"/>
      <c r="AG2" s="6616"/>
      <c r="AH2" s="2757"/>
      <c r="AI2" s="1179"/>
      <c r="AJ2" s="385"/>
      <c r="AK2" s="1179"/>
      <c r="AL2" s="1179"/>
      <c r="AM2" s="1179"/>
      <c r="AN2" s="1179"/>
      <c r="AO2" s="1179"/>
      <c r="AP2" s="3694"/>
      <c r="AQ2" s="3013"/>
      <c r="AR2" s="3013"/>
      <c r="AS2" s="3013"/>
      <c r="AT2" s="3013"/>
      <c r="AU2" s="3013"/>
      <c r="AV2" s="3013"/>
      <c r="AW2" s="3013"/>
      <c r="AX2" s="3013"/>
      <c r="AY2" s="3013"/>
      <c r="AZ2" s="3013"/>
    </row>
    <row r="3" spans="1:52" ht="16.5" customHeight="1">
      <c r="A3" s="2757"/>
      <c r="B3" s="6630"/>
      <c r="C3" s="6630"/>
      <c r="D3" s="6630"/>
      <c r="E3" s="6630"/>
      <c r="F3" s="6631"/>
      <c r="G3" s="5484" t="s">
        <v>2298</v>
      </c>
      <c r="H3" s="3002"/>
      <c r="I3" s="3002"/>
      <c r="J3" s="3002"/>
      <c r="K3" s="3002"/>
      <c r="L3" s="3002"/>
      <c r="M3" s="3002"/>
      <c r="N3" s="3002"/>
      <c r="O3" s="3002"/>
      <c r="P3" s="3002"/>
      <c r="Q3" s="3002"/>
      <c r="R3" s="3002"/>
      <c r="S3" s="3002"/>
      <c r="T3" s="3002"/>
      <c r="U3" s="3002"/>
      <c r="V3" s="3002"/>
      <c r="W3" s="3002"/>
      <c r="X3" s="3002"/>
      <c r="Y3" s="3002"/>
      <c r="Z3" s="3002"/>
      <c r="AA3" s="3003"/>
      <c r="AB3" s="6620">
        <f>TaxYear</f>
        <v>2021</v>
      </c>
      <c r="AC3" s="6621"/>
      <c r="AD3" s="6621"/>
      <c r="AE3" s="6621"/>
      <c r="AF3" s="6621"/>
      <c r="AG3" s="6621"/>
      <c r="AH3" s="2757"/>
      <c r="AI3" s="1179"/>
      <c r="AJ3" s="385"/>
      <c r="AK3" s="1179"/>
      <c r="AL3" s="1179"/>
      <c r="AM3" s="1179"/>
      <c r="AN3" s="1179"/>
      <c r="AO3" s="1179"/>
      <c r="AP3" s="3694" t="s">
        <v>2763</v>
      </c>
      <c r="AQ3" s="3013"/>
      <c r="AR3" s="3013"/>
      <c r="AS3" s="3013"/>
      <c r="AT3" s="3013"/>
      <c r="AU3" s="3013"/>
      <c r="AV3" s="3013"/>
      <c r="AW3" s="3013"/>
      <c r="AX3" s="3013"/>
      <c r="AY3" s="3013"/>
      <c r="AZ3" s="3013"/>
    </row>
    <row r="4" spans="1:52" ht="14.25" customHeight="1">
      <c r="A4" s="2757"/>
      <c r="B4" s="6632"/>
      <c r="C4" s="6633"/>
      <c r="D4" s="6633"/>
      <c r="E4" s="6633"/>
      <c r="F4" s="6634"/>
      <c r="G4" s="3007"/>
      <c r="H4" s="1179"/>
      <c r="I4" s="1179"/>
      <c r="J4" s="1179"/>
      <c r="K4" s="1179"/>
      <c r="L4" s="1179"/>
      <c r="M4" s="1179"/>
      <c r="N4" s="1179"/>
      <c r="O4" s="1179"/>
      <c r="P4" s="1179"/>
      <c r="Q4" s="1179"/>
      <c r="R4" s="1179"/>
      <c r="S4" s="1179"/>
      <c r="T4" s="1179"/>
      <c r="U4" s="1179"/>
      <c r="V4" s="1179"/>
      <c r="W4" s="1179"/>
      <c r="X4" s="1179"/>
      <c r="Y4" s="1179"/>
      <c r="Z4" s="1179"/>
      <c r="AA4" s="1179"/>
      <c r="AB4" s="6622"/>
      <c r="AC4" s="6623"/>
      <c r="AD4" s="6623"/>
      <c r="AE4" s="6623"/>
      <c r="AF4" s="6623"/>
      <c r="AG4" s="6623"/>
      <c r="AH4" s="2757"/>
      <c r="AI4" s="1179"/>
      <c r="AJ4" s="385"/>
      <c r="AK4" s="1179"/>
      <c r="AL4" s="1179"/>
      <c r="AM4" s="1179"/>
      <c r="AN4" s="1179"/>
      <c r="AO4" s="1179"/>
      <c r="AP4" s="3013"/>
      <c r="AQ4" s="3013"/>
      <c r="AR4" s="3013"/>
      <c r="AS4" s="3013"/>
      <c r="AT4" s="3013"/>
      <c r="AU4" s="3013"/>
      <c r="AV4" s="3013"/>
      <c r="AW4" s="3013"/>
      <c r="AX4" s="3013"/>
      <c r="AY4" s="3013"/>
      <c r="AZ4" s="3013"/>
    </row>
    <row r="5" spans="1:52" ht="14.25" customHeight="1">
      <c r="A5" s="2757"/>
      <c r="B5" s="6641" t="s">
        <v>176</v>
      </c>
      <c r="C5" s="6641"/>
      <c r="D5" s="6641"/>
      <c r="E5" s="6641"/>
      <c r="F5" s="6642"/>
      <c r="G5" s="1278"/>
      <c r="H5" s="1179"/>
      <c r="I5" s="1179"/>
      <c r="J5" s="1179"/>
      <c r="K5" s="1179"/>
      <c r="L5" s="1283"/>
      <c r="M5" s="1283" t="s">
        <v>3286</v>
      </c>
      <c r="N5" s="1283"/>
      <c r="O5" s="1283"/>
      <c r="P5" s="1283"/>
      <c r="Q5" s="1179"/>
      <c r="R5" s="1179"/>
      <c r="S5" s="1179"/>
      <c r="T5" s="1179"/>
      <c r="U5" s="1179"/>
      <c r="V5" s="1179"/>
      <c r="W5" s="1179"/>
      <c r="X5" s="1179"/>
      <c r="Y5" s="1179"/>
      <c r="Z5" s="1179"/>
      <c r="AA5" s="1179"/>
      <c r="AB5" s="3385"/>
      <c r="AC5" s="6624" t="s">
        <v>2586</v>
      </c>
      <c r="AD5" s="6624"/>
      <c r="AE5" s="6624"/>
      <c r="AF5" s="6624"/>
      <c r="AG5" s="6624"/>
      <c r="AH5" s="2757"/>
      <c r="AI5" s="1179"/>
      <c r="AJ5" s="385"/>
      <c r="AK5" s="1179"/>
      <c r="AL5" s="1179"/>
      <c r="AM5" s="1179"/>
      <c r="AN5" s="1179"/>
      <c r="AO5" s="1179"/>
      <c r="AP5" s="3013"/>
      <c r="AQ5" s="3013"/>
      <c r="AR5" s="3013"/>
      <c r="AS5" s="3013"/>
      <c r="AT5" s="3013"/>
      <c r="AU5" s="3013"/>
      <c r="AV5" s="3013"/>
      <c r="AW5" s="3013"/>
      <c r="AX5" s="3013"/>
      <c r="AY5" s="3013"/>
      <c r="AZ5" s="3013"/>
    </row>
    <row r="6" spans="1:52" ht="14.25" customHeight="1" thickBot="1">
      <c r="A6" s="2757"/>
      <c r="B6" s="6639" t="s">
        <v>395</v>
      </c>
      <c r="C6" s="6639"/>
      <c r="D6" s="6639"/>
      <c r="E6" s="6639"/>
      <c r="F6" s="6640"/>
      <c r="G6" s="3016" t="s">
        <v>2299</v>
      </c>
      <c r="H6" s="3017"/>
      <c r="I6" s="3016"/>
      <c r="J6" s="3018"/>
      <c r="K6" s="3017"/>
      <c r="L6" s="3017"/>
      <c r="M6" s="3017"/>
      <c r="N6" s="3017"/>
      <c r="O6" s="3017"/>
      <c r="P6" s="3017"/>
      <c r="Q6" s="3017"/>
      <c r="R6" s="3017"/>
      <c r="S6" s="3017"/>
      <c r="T6" s="3017"/>
      <c r="U6" s="3017"/>
      <c r="V6" s="3017"/>
      <c r="W6" s="3017"/>
      <c r="X6" s="3017"/>
      <c r="Y6" s="3017"/>
      <c r="Z6" s="3017"/>
      <c r="AA6" s="3017"/>
      <c r="AB6" s="3386"/>
      <c r="AC6" s="6625"/>
      <c r="AD6" s="6625"/>
      <c r="AE6" s="6625"/>
      <c r="AF6" s="6625"/>
      <c r="AG6" s="6625"/>
      <c r="AH6" s="2757"/>
      <c r="AI6" s="1179"/>
      <c r="AJ6" s="385"/>
      <c r="AK6" s="1179"/>
      <c r="AL6" s="1179"/>
      <c r="AM6" s="1179"/>
      <c r="AN6" s="1179"/>
      <c r="AO6" s="1179"/>
      <c r="AP6" s="3013"/>
      <c r="AQ6" s="3013"/>
      <c r="AR6" s="3013"/>
      <c r="AS6" s="3013"/>
      <c r="AT6" s="3013"/>
      <c r="AU6" s="3013"/>
      <c r="AV6" s="3013"/>
      <c r="AW6" s="3013"/>
      <c r="AX6" s="3013"/>
      <c r="AY6" s="3013"/>
      <c r="AZ6" s="3013"/>
    </row>
    <row r="7" spans="1:52">
      <c r="A7" s="2757"/>
      <c r="B7" s="1276" t="s">
        <v>3951</v>
      </c>
      <c r="C7" s="1179"/>
      <c r="D7" s="1179"/>
      <c r="E7" s="1179"/>
      <c r="F7" s="1179"/>
      <c r="G7" s="1179"/>
      <c r="H7" s="1179"/>
      <c r="I7" s="1179"/>
      <c r="J7" s="1179"/>
      <c r="K7" s="1179"/>
      <c r="L7" s="1179"/>
      <c r="M7" s="1179"/>
      <c r="N7" s="1179"/>
      <c r="O7" s="1179"/>
      <c r="P7" s="1179"/>
      <c r="Q7" s="1179"/>
      <c r="R7" s="1179"/>
      <c r="S7" s="1179"/>
      <c r="T7" s="1179"/>
      <c r="U7" s="1179"/>
      <c r="V7" s="1179"/>
      <c r="W7" s="1179"/>
      <c r="X7" s="1179"/>
      <c r="Y7" s="1179"/>
      <c r="Z7" s="1179"/>
      <c r="AA7" s="1179"/>
      <c r="AB7" s="5485" t="s">
        <v>89</v>
      </c>
      <c r="AC7" s="1274"/>
      <c r="AD7" s="1274"/>
      <c r="AE7" s="1274"/>
      <c r="AF7" s="1274"/>
      <c r="AG7" s="1274"/>
      <c r="AH7" s="2757"/>
      <c r="AI7" s="1179"/>
      <c r="AJ7" s="6647" t="s">
        <v>1736</v>
      </c>
      <c r="AK7" s="1179"/>
      <c r="AL7" s="1283"/>
      <c r="AM7" s="1179"/>
      <c r="AN7" s="1179"/>
      <c r="AO7" s="1179"/>
      <c r="AP7" s="3013"/>
      <c r="AQ7" s="3013"/>
      <c r="AR7" s="3013"/>
      <c r="AS7" s="3013"/>
      <c r="AT7" s="3013"/>
      <c r="AU7" s="3013"/>
      <c r="AV7" s="3013"/>
      <c r="AW7" s="3013"/>
      <c r="AX7" s="3013"/>
      <c r="AY7" s="3013"/>
      <c r="AZ7" s="3013"/>
    </row>
    <row r="8" spans="1:52" ht="9.75" customHeight="1">
      <c r="A8" s="2757"/>
      <c r="B8" s="6635" t="str">
        <f>Names</f>
        <v/>
      </c>
      <c r="C8" s="6636"/>
      <c r="D8" s="6636"/>
      <c r="E8" s="6636"/>
      <c r="F8" s="6636"/>
      <c r="G8" s="6636"/>
      <c r="H8" s="6636"/>
      <c r="I8" s="6636"/>
      <c r="J8" s="6636"/>
      <c r="K8" s="6636"/>
      <c r="L8" s="6636"/>
      <c r="M8" s="6636"/>
      <c r="N8" s="6636"/>
      <c r="O8" s="6636"/>
      <c r="P8" s="6636"/>
      <c r="Q8" s="6636"/>
      <c r="R8" s="6636"/>
      <c r="S8" s="6636"/>
      <c r="T8" s="6636"/>
      <c r="U8" s="6636"/>
      <c r="V8" s="6636"/>
      <c r="W8" s="6636"/>
      <c r="X8" s="6636"/>
      <c r="Y8" s="6636"/>
      <c r="Z8" s="6636"/>
      <c r="AA8" s="6637"/>
      <c r="AB8" s="6617">
        <f>IF(NoSSN,"",SS_Yours)</f>
        <v>1010001</v>
      </c>
      <c r="AC8" s="6618"/>
      <c r="AD8" s="6618"/>
      <c r="AE8" s="6618"/>
      <c r="AF8" s="6618"/>
      <c r="AG8" s="6618"/>
      <c r="AH8" s="2757"/>
      <c r="AI8" s="1179"/>
      <c r="AJ8" s="6648"/>
      <c r="AK8" s="1179"/>
      <c r="AL8" s="1179"/>
      <c r="AM8" s="1179"/>
      <c r="AN8" s="1179"/>
      <c r="AO8" s="1179"/>
      <c r="AP8" s="3013"/>
      <c r="AQ8" s="3013"/>
      <c r="AR8" s="3013"/>
      <c r="AS8" s="3013"/>
      <c r="AT8" s="3013"/>
      <c r="AU8" s="3013"/>
      <c r="AV8" s="3013"/>
      <c r="AW8" s="3013"/>
      <c r="AX8" s="3013"/>
      <c r="AY8" s="3013"/>
      <c r="AZ8" s="3013"/>
    </row>
    <row r="9" spans="1:52" ht="9.75" customHeight="1">
      <c r="A9" s="2757"/>
      <c r="B9" s="6290"/>
      <c r="C9" s="6290"/>
      <c r="D9" s="6290"/>
      <c r="E9" s="6290"/>
      <c r="F9" s="6290"/>
      <c r="G9" s="6290"/>
      <c r="H9" s="6290"/>
      <c r="I9" s="6290"/>
      <c r="J9" s="6290"/>
      <c r="K9" s="6290"/>
      <c r="L9" s="6290"/>
      <c r="M9" s="6290"/>
      <c r="N9" s="6290"/>
      <c r="O9" s="6290"/>
      <c r="P9" s="6290"/>
      <c r="Q9" s="6290"/>
      <c r="R9" s="6290"/>
      <c r="S9" s="6290"/>
      <c r="T9" s="6290"/>
      <c r="U9" s="6290"/>
      <c r="V9" s="6290"/>
      <c r="W9" s="6290"/>
      <c r="X9" s="6290"/>
      <c r="Y9" s="6290"/>
      <c r="Z9" s="6290"/>
      <c r="AA9" s="6638"/>
      <c r="AB9" s="6619"/>
      <c r="AC9" s="6616"/>
      <c r="AD9" s="6616"/>
      <c r="AE9" s="6616"/>
      <c r="AF9" s="6616"/>
      <c r="AG9" s="6616"/>
      <c r="AH9" s="2757"/>
      <c r="AI9" s="1179"/>
      <c r="AJ9" s="6649"/>
      <c r="AK9" s="1179"/>
      <c r="AL9" s="1179"/>
      <c r="AM9" s="1179"/>
      <c r="AN9" s="4098">
        <v>43465</v>
      </c>
      <c r="AO9" s="1179"/>
      <c r="AP9" s="3013"/>
      <c r="AQ9" s="3013"/>
      <c r="AR9" s="3013"/>
      <c r="AS9" s="3013"/>
      <c r="AT9" s="3013"/>
      <c r="AU9" s="3013"/>
      <c r="AV9" s="3013"/>
      <c r="AW9" s="3013"/>
      <c r="AX9" s="3013"/>
      <c r="AY9" s="3013"/>
      <c r="AZ9" s="3013"/>
    </row>
    <row r="10" spans="1:52" ht="21" customHeight="1">
      <c r="A10" s="2757"/>
      <c r="B10" s="6586" t="s">
        <v>51</v>
      </c>
      <c r="C10" s="6587"/>
      <c r="D10" s="6588"/>
      <c r="E10" s="3092"/>
      <c r="F10" s="4609" t="s">
        <v>3342</v>
      </c>
      <c r="G10" s="3092"/>
      <c r="H10" s="3092"/>
      <c r="I10" s="3092"/>
      <c r="J10" s="3092"/>
      <c r="K10" s="3092"/>
      <c r="L10" s="1554"/>
      <c r="M10" s="1554"/>
      <c r="N10" s="1554"/>
      <c r="O10" s="1554"/>
      <c r="P10" s="1554"/>
      <c r="Q10" s="1554"/>
      <c r="R10" s="1554"/>
      <c r="S10" s="1554"/>
      <c r="T10" s="1554"/>
      <c r="U10" s="1554"/>
      <c r="V10" s="1554"/>
      <c r="W10" s="1554"/>
      <c r="X10" s="1554"/>
      <c r="Y10" s="1554"/>
      <c r="Z10" s="1554"/>
      <c r="AA10" s="1554"/>
      <c r="AB10" s="1554"/>
      <c r="AC10" s="1554"/>
      <c r="AD10" s="1554"/>
      <c r="AE10" s="1554"/>
      <c r="AF10" s="1554"/>
      <c r="AG10" s="1554"/>
      <c r="AH10" s="2757"/>
      <c r="AI10" s="1179"/>
      <c r="AJ10" s="385"/>
      <c r="AK10" s="1179"/>
      <c r="AL10" s="3988" t="s">
        <v>2644</v>
      </c>
      <c r="AM10" s="1179"/>
      <c r="AN10" s="1284" t="b">
        <f>AND(AlimonyRcvd&gt;0,OR(V13="",V13&gt;=$AN$9))</f>
        <v>0</v>
      </c>
      <c r="AO10" s="1179"/>
      <c r="AP10" s="3013"/>
      <c r="AQ10" s="3013"/>
      <c r="AR10" s="3013"/>
      <c r="AS10" s="3013"/>
      <c r="AT10" s="3013"/>
      <c r="AU10" s="3013"/>
      <c r="AV10" s="3013"/>
      <c r="AW10" s="3013"/>
      <c r="AX10" s="3013"/>
      <c r="AY10" s="3013"/>
      <c r="AZ10" s="3013"/>
    </row>
    <row r="11" spans="1:52" ht="21" customHeight="1">
      <c r="A11" s="2757"/>
      <c r="B11" s="4058"/>
      <c r="C11" s="2408">
        <v>1</v>
      </c>
      <c r="D11" s="2686" t="s">
        <v>2301</v>
      </c>
      <c r="E11" s="1276"/>
      <c r="F11" s="1179"/>
      <c r="G11" s="1179"/>
      <c r="H11" s="1179"/>
      <c r="I11" s="1179"/>
      <c r="J11" s="1179"/>
      <c r="K11" s="1179"/>
      <c r="L11" s="1179"/>
      <c r="M11" s="1179"/>
      <c r="N11" s="1179"/>
      <c r="O11" s="4058"/>
      <c r="P11" s="4058"/>
      <c r="Q11" s="4058"/>
      <c r="R11" s="1179"/>
      <c r="S11" s="1179"/>
      <c r="T11" s="1179"/>
      <c r="U11" s="1179"/>
      <c r="V11" s="1179"/>
      <c r="W11" s="1179"/>
      <c r="X11" s="1179"/>
      <c r="Y11" s="1179"/>
      <c r="Z11" s="1179"/>
      <c r="AA11" s="1560" t="s">
        <v>2419</v>
      </c>
      <c r="AB11" s="4602">
        <v>1</v>
      </c>
      <c r="AC11" s="6643">
        <f>IF(AJ11&lt;&gt;"",ROUND(AJ11,0),State_Local_Tax_Refund)</f>
        <v>0</v>
      </c>
      <c r="AD11" s="6644"/>
      <c r="AE11" s="6644"/>
      <c r="AF11" s="6644"/>
      <c r="AG11" s="6644"/>
      <c r="AH11" s="2757"/>
      <c r="AI11" s="1179"/>
      <c r="AJ11" s="2868"/>
      <c r="AK11" s="1179"/>
      <c r="AL11" s="1276" t="s">
        <v>3672</v>
      </c>
      <c r="AM11" s="1179"/>
      <c r="AN11" s="6658" t="s">
        <v>2936</v>
      </c>
      <c r="AO11" s="1179"/>
      <c r="AP11" s="3013"/>
      <c r="AQ11" s="3013"/>
      <c r="AR11" s="3013"/>
      <c r="AS11" s="3013"/>
      <c r="AT11" s="3013"/>
      <c r="AU11" s="3013"/>
      <c r="AV11" s="3013"/>
      <c r="AW11" s="3013"/>
      <c r="AX11" s="3013"/>
      <c r="AY11" s="3013"/>
      <c r="AZ11" s="3013"/>
    </row>
    <row r="12" spans="1:52" ht="21" customHeight="1">
      <c r="A12" s="2757"/>
      <c r="B12" s="4058"/>
      <c r="C12" s="4607" t="s">
        <v>341</v>
      </c>
      <c r="D12" s="2686" t="s">
        <v>3337</v>
      </c>
      <c r="E12" s="1179"/>
      <c r="F12" s="1179"/>
      <c r="G12" s="1179"/>
      <c r="H12" s="1179"/>
      <c r="I12" s="1179"/>
      <c r="J12" s="1179"/>
      <c r="K12" s="1179"/>
      <c r="L12" s="1179"/>
      <c r="M12" s="1179"/>
      <c r="N12" s="1179"/>
      <c r="O12" s="4058"/>
      <c r="P12" s="4058"/>
      <c r="Q12" s="4058"/>
      <c r="R12" s="1179"/>
      <c r="S12" s="1179"/>
      <c r="T12" s="1179"/>
      <c r="U12" s="1179"/>
      <c r="V12" s="1179"/>
      <c r="W12" s="1179"/>
      <c r="X12" s="1179"/>
      <c r="Y12" s="1179"/>
      <c r="Z12" s="1179"/>
      <c r="AA12" s="1560" t="s">
        <v>2971</v>
      </c>
      <c r="AB12" s="4603" t="s">
        <v>341</v>
      </c>
      <c r="AC12" s="6626">
        <f>ROUND(AJ12,0)</f>
        <v>0</v>
      </c>
      <c r="AD12" s="6627"/>
      <c r="AE12" s="6627"/>
      <c r="AF12" s="6627"/>
      <c r="AG12" s="6628"/>
      <c r="AH12" s="2757"/>
      <c r="AI12" s="5507" t="str">
        <f>IF(AN10,"See TIP. &gt;&gt;","")</f>
        <v/>
      </c>
      <c r="AJ12" s="2868"/>
      <c r="AK12" s="3432" t="s">
        <v>4700</v>
      </c>
      <c r="AL12" s="3432"/>
      <c r="AM12" s="1179"/>
      <c r="AN12" s="6371"/>
      <c r="AO12" s="1179"/>
      <c r="AP12" s="3013"/>
      <c r="AQ12" s="3013"/>
      <c r="AR12" s="3013"/>
      <c r="AS12" s="3013"/>
      <c r="AT12" s="3013"/>
      <c r="AU12" s="3013"/>
      <c r="AV12" s="3013"/>
      <c r="AW12" s="3013"/>
      <c r="AX12" s="3013"/>
      <c r="AY12" s="3013"/>
      <c r="AZ12" s="3013"/>
    </row>
    <row r="13" spans="1:52" ht="21" customHeight="1">
      <c r="A13" s="2757"/>
      <c r="B13" s="1179"/>
      <c r="C13" s="2408" t="s">
        <v>47</v>
      </c>
      <c r="D13" s="2686" t="s">
        <v>3338</v>
      </c>
      <c r="E13" s="1179"/>
      <c r="F13" s="1179"/>
      <c r="G13" s="1179"/>
      <c r="H13" s="1179"/>
      <c r="I13" s="3022"/>
      <c r="J13" s="1179"/>
      <c r="K13" s="1179"/>
      <c r="L13" s="1179"/>
      <c r="M13" s="1179"/>
      <c r="N13" s="1179"/>
      <c r="O13" s="2703"/>
      <c r="P13" s="2701"/>
      <c r="Q13" s="1179"/>
      <c r="R13" s="1179"/>
      <c r="S13" s="1179"/>
      <c r="T13" s="1179"/>
      <c r="U13" s="1179"/>
      <c r="V13" s="6604"/>
      <c r="W13" s="6605"/>
      <c r="X13" s="6605"/>
      <c r="Y13" s="6605"/>
      <c r="Z13" s="6605"/>
      <c r="AA13" s="1179"/>
      <c r="AB13" s="4604"/>
      <c r="AC13" s="6656">
        <f>ROUND(AC12,0)</f>
        <v>0</v>
      </c>
      <c r="AD13" s="6657"/>
      <c r="AE13" s="6657"/>
      <c r="AF13" s="6657"/>
      <c r="AG13" s="6657"/>
      <c r="AH13" s="2757"/>
      <c r="AI13" s="3693"/>
      <c r="AJ13" s="385"/>
      <c r="AK13" s="1179"/>
      <c r="AL13" s="1179"/>
      <c r="AM13" s="1179"/>
      <c r="AN13" s="6646" t="s">
        <v>5114</v>
      </c>
      <c r="AO13" s="1179"/>
      <c r="AP13" s="3013"/>
      <c r="AQ13" s="3013"/>
      <c r="AR13" s="3013"/>
      <c r="AS13" s="3013"/>
      <c r="AT13" s="3013"/>
      <c r="AU13" s="3013"/>
      <c r="AV13" s="3013"/>
      <c r="AW13" s="3013"/>
      <c r="AX13" s="3013"/>
      <c r="AY13" s="3013"/>
      <c r="AZ13" s="3013"/>
    </row>
    <row r="14" spans="1:52" ht="21" customHeight="1">
      <c r="A14" s="2757"/>
      <c r="B14" s="1179"/>
      <c r="C14" s="4058">
        <v>3</v>
      </c>
      <c r="D14" s="2686" t="s">
        <v>3339</v>
      </c>
      <c r="E14" s="1179"/>
      <c r="F14" s="1179"/>
      <c r="G14" s="1179"/>
      <c r="H14" s="1179"/>
      <c r="I14" s="1179"/>
      <c r="J14" s="1179"/>
      <c r="K14" s="1179"/>
      <c r="L14" s="1179"/>
      <c r="M14" s="1179"/>
      <c r="N14" s="1179"/>
      <c r="O14" s="2703"/>
      <c r="P14" s="2701"/>
      <c r="Q14" s="1179"/>
      <c r="R14" s="1179"/>
      <c r="S14" s="1179"/>
      <c r="T14" s="1179"/>
      <c r="U14" s="1179"/>
      <c r="V14" s="1179"/>
      <c r="W14" s="1179"/>
      <c r="X14" s="1179"/>
      <c r="Y14" s="1179"/>
      <c r="Z14" s="1179"/>
      <c r="AA14" s="1560" t="s">
        <v>644</v>
      </c>
      <c r="AB14" s="4605">
        <v>3</v>
      </c>
      <c r="AC14" s="6643">
        <f>IF(AJ14&lt;&gt;"",ROUND(AJ14,0),Business_Profit)</f>
        <v>0</v>
      </c>
      <c r="AD14" s="6644"/>
      <c r="AE14" s="6644"/>
      <c r="AF14" s="6644"/>
      <c r="AG14" s="6644"/>
      <c r="AH14" s="2757"/>
      <c r="AI14" s="1179"/>
      <c r="AJ14" s="2868"/>
      <c r="AK14" s="1179"/>
      <c r="AL14" s="1276" t="s">
        <v>2641</v>
      </c>
      <c r="AM14" s="1179"/>
      <c r="AN14" s="6646"/>
      <c r="AO14" s="1179"/>
      <c r="AP14" s="3013"/>
      <c r="AQ14" s="3013"/>
      <c r="AR14" s="3013"/>
      <c r="AS14" s="3013"/>
      <c r="AT14" s="3013"/>
      <c r="AU14" s="3013"/>
      <c r="AV14" s="3013"/>
      <c r="AW14" s="3013"/>
      <c r="AX14" s="3013"/>
      <c r="AY14" s="3013"/>
      <c r="AZ14" s="3013"/>
    </row>
    <row r="15" spans="1:52" ht="21" customHeight="1">
      <c r="A15" s="2757"/>
      <c r="B15" s="1179"/>
      <c r="C15" s="4058">
        <v>4</v>
      </c>
      <c r="D15" s="2686" t="s">
        <v>3340</v>
      </c>
      <c r="E15" s="1179"/>
      <c r="F15" s="1179"/>
      <c r="G15" s="1179"/>
      <c r="H15" s="1179"/>
      <c r="I15" s="1179"/>
      <c r="J15" s="1179"/>
      <c r="K15" s="1179"/>
      <c r="L15" s="1179"/>
      <c r="M15" s="1179"/>
      <c r="N15" s="1179"/>
      <c r="O15" s="2703"/>
      <c r="P15" s="2701"/>
      <c r="Q15" s="1179"/>
      <c r="R15" s="1179"/>
      <c r="S15" s="1179"/>
      <c r="T15" s="1179"/>
      <c r="U15" s="1179"/>
      <c r="V15" s="1179"/>
      <c r="W15" s="1179"/>
      <c r="X15" s="1179"/>
      <c r="Y15" s="1179"/>
      <c r="Z15" s="1179"/>
      <c r="AA15" s="1560" t="s">
        <v>2027</v>
      </c>
      <c r="AB15" s="4603">
        <v>4</v>
      </c>
      <c r="AC15" s="6575"/>
      <c r="AD15" s="6576"/>
      <c r="AE15" s="6576"/>
      <c r="AF15" s="6576"/>
      <c r="AG15" s="6577"/>
      <c r="AH15" s="2757"/>
      <c r="AI15" s="1179"/>
      <c r="AJ15" s="385"/>
      <c r="AK15" s="1179"/>
      <c r="AL15" s="3978">
        <f>ROUND(AC15,0)</f>
        <v>0</v>
      </c>
      <c r="AM15" s="1179"/>
      <c r="AN15" s="6646"/>
      <c r="AO15" s="1179"/>
      <c r="AP15" s="3013"/>
      <c r="AQ15" s="3013"/>
      <c r="AR15" s="3013"/>
      <c r="AS15" s="3013"/>
      <c r="AT15" s="3013"/>
      <c r="AU15" s="3013"/>
      <c r="AV15" s="3013"/>
      <c r="AW15" s="3013"/>
      <c r="AX15" s="3013"/>
      <c r="AY15" s="3013"/>
      <c r="AZ15" s="3013"/>
    </row>
    <row r="16" spans="1:52" ht="21" customHeight="1">
      <c r="A16" s="2757"/>
      <c r="B16" s="1179"/>
      <c r="C16" s="4058">
        <v>5</v>
      </c>
      <c r="D16" s="2686" t="s">
        <v>3194</v>
      </c>
      <c r="E16" s="1179"/>
      <c r="F16" s="1179"/>
      <c r="G16" s="1179"/>
      <c r="H16" s="1179"/>
      <c r="I16" s="1179"/>
      <c r="J16" s="1179"/>
      <c r="K16" s="1179"/>
      <c r="L16" s="1179"/>
      <c r="M16" s="1179"/>
      <c r="N16" s="1179"/>
      <c r="O16" s="2703"/>
      <c r="P16" s="2701"/>
      <c r="Q16" s="1179"/>
      <c r="R16" s="1179"/>
      <c r="S16" s="1179"/>
      <c r="T16" s="1179"/>
      <c r="U16" s="1179"/>
      <c r="V16" s="1179"/>
      <c r="W16" s="1179"/>
      <c r="X16" s="1179"/>
      <c r="Y16" s="1179"/>
      <c r="Z16" s="1179"/>
      <c r="AA16" s="1560" t="s">
        <v>2424</v>
      </c>
      <c r="AB16" s="4603">
        <v>5</v>
      </c>
      <c r="AC16" s="6573">
        <f>IF(AJ16&lt;&gt;"",ROUND(AJ16,0),SUM(ScheduleE1,ScheduleE2,ScheduleE3,ScheduleE4))</f>
        <v>0</v>
      </c>
      <c r="AD16" s="6645"/>
      <c r="AE16" s="6645"/>
      <c r="AF16" s="6645"/>
      <c r="AG16" s="6645"/>
      <c r="AH16" s="2757"/>
      <c r="AI16" s="1179"/>
      <c r="AJ16" s="2868"/>
      <c r="AK16" s="1179"/>
      <c r="AL16" s="1276" t="s">
        <v>2642</v>
      </c>
      <c r="AM16" s="1179"/>
      <c r="AN16" s="6646"/>
      <c r="AO16" s="1179"/>
      <c r="AP16" s="3013"/>
      <c r="AQ16" s="3013"/>
      <c r="AR16" s="3013"/>
      <c r="AS16" s="3013"/>
      <c r="AT16" s="3013"/>
      <c r="AU16" s="3013"/>
      <c r="AV16" s="3013"/>
      <c r="AW16" s="3013"/>
      <c r="AX16" s="3013"/>
      <c r="AY16" s="3013"/>
      <c r="AZ16" s="3013"/>
    </row>
    <row r="17" spans="1:52" ht="21" customHeight="1">
      <c r="A17" s="2757"/>
      <c r="B17" s="1179"/>
      <c r="C17" s="4058">
        <v>6</v>
      </c>
      <c r="D17" s="2686" t="s">
        <v>3341</v>
      </c>
      <c r="E17" s="1179"/>
      <c r="F17" s="1179"/>
      <c r="G17" s="1179"/>
      <c r="H17" s="1179"/>
      <c r="I17" s="1179"/>
      <c r="J17" s="1179"/>
      <c r="K17" s="1179"/>
      <c r="L17" s="1179"/>
      <c r="M17" s="1179"/>
      <c r="N17" s="1179"/>
      <c r="O17" s="2703"/>
      <c r="P17" s="2701"/>
      <c r="Q17" s="1179"/>
      <c r="R17" s="1179"/>
      <c r="S17" s="1179"/>
      <c r="T17" s="1179"/>
      <c r="U17" s="1179"/>
      <c r="V17" s="1179"/>
      <c r="W17" s="1179"/>
      <c r="X17" s="1179"/>
      <c r="Y17" s="1179"/>
      <c r="Z17" s="1179"/>
      <c r="AA17" s="1560" t="s">
        <v>2027</v>
      </c>
      <c r="AB17" s="4603">
        <v>6</v>
      </c>
      <c r="AC17" s="6573">
        <f>IF(AJ17&lt;&gt;"",ROUND(AJ17,0),FarmProfitNet)</f>
        <v>0</v>
      </c>
      <c r="AD17" s="6574"/>
      <c r="AE17" s="6574"/>
      <c r="AF17" s="6574"/>
      <c r="AG17" s="6574"/>
      <c r="AH17" s="2757"/>
      <c r="AI17" s="1179"/>
      <c r="AJ17" s="2868"/>
      <c r="AK17" s="1179"/>
      <c r="AL17" s="1276" t="s">
        <v>2643</v>
      </c>
      <c r="AM17" s="1179"/>
      <c r="AN17" s="6646"/>
      <c r="AO17" s="1179"/>
      <c r="AP17" s="3013"/>
      <c r="AQ17" s="3013"/>
      <c r="AR17" s="3013"/>
      <c r="AS17" s="3013"/>
      <c r="AT17" s="3013"/>
      <c r="AU17" s="3013"/>
      <c r="AV17" s="3013"/>
      <c r="AW17" s="3013"/>
      <c r="AX17" s="3013"/>
      <c r="AY17" s="3013"/>
      <c r="AZ17" s="3013"/>
    </row>
    <row r="18" spans="1:52" ht="21" customHeight="1">
      <c r="A18" s="2757"/>
      <c r="B18" s="1179"/>
      <c r="C18" s="4058">
        <v>7</v>
      </c>
      <c r="D18" s="2686" t="s">
        <v>2909</v>
      </c>
      <c r="E18" s="1179"/>
      <c r="F18" s="1179"/>
      <c r="G18" s="1179"/>
      <c r="H18" s="1179"/>
      <c r="I18" s="1179"/>
      <c r="J18" s="1179"/>
      <c r="K18" s="1179"/>
      <c r="L18" s="1179"/>
      <c r="M18" s="1179"/>
      <c r="N18" s="1179"/>
      <c r="O18" s="2703"/>
      <c r="P18" s="2701"/>
      <c r="Q18" s="1179"/>
      <c r="R18" s="1179"/>
      <c r="S18" s="1179"/>
      <c r="T18" s="1179"/>
      <c r="U18" s="1179"/>
      <c r="V18" s="1179"/>
      <c r="W18" s="1179"/>
      <c r="X18" s="1179"/>
      <c r="Y18" s="1179"/>
      <c r="Z18" s="1179"/>
      <c r="AA18" s="1560" t="str">
        <f>IF(AK19&lt;&gt;"",".   .   .   .   .   .   .   .   .   .   .   .   .   .   .   .   .   .   .   .  Repaid ",".   .   .   .   .   .   .   .   .   .   .   .   .   .   .   .   .   .   .   .   .   .   .  ")</f>
        <v xml:space="preserve">.   .   .   .   .   .   .   .   .   .   .   .   .   .   .   .   .   .   .   .   .   .   .  </v>
      </c>
      <c r="AB18" s="4603">
        <v>7</v>
      </c>
      <c r="AC18" s="6573">
        <f>IF(AJ18&lt;&gt;"",ROUND(AJ18,0),UnemployComp)</f>
        <v>0</v>
      </c>
      <c r="AD18" s="6645"/>
      <c r="AE18" s="6645"/>
      <c r="AF18" s="6645"/>
      <c r="AG18" s="6645"/>
      <c r="AH18" s="2757"/>
      <c r="AI18" s="5118">
        <f>SUM(AC11,AC12,BusinessIncomeLoss,ROUND(AC15,0),SchE_IncomeLoss,FarmIncomeLoss,UnEmploymentComp)</f>
        <v>0</v>
      </c>
      <c r="AJ18" s="2868"/>
      <c r="AK18" s="1179"/>
      <c r="AL18" s="1276" t="s">
        <v>3952</v>
      </c>
      <c r="AM18" s="1179"/>
      <c r="AN18" s="6646"/>
      <c r="AO18" s="1179"/>
      <c r="AP18" s="3013"/>
      <c r="AQ18" s="3013"/>
      <c r="AR18" s="3013"/>
      <c r="AS18" s="3013"/>
      <c r="AT18" s="3013"/>
      <c r="AU18" s="3013"/>
      <c r="AV18" s="3013"/>
      <c r="AW18" s="3013"/>
      <c r="AX18" s="3013"/>
      <c r="AY18" s="3013"/>
      <c r="AZ18" s="3013"/>
    </row>
    <row r="19" spans="1:52" ht="21" customHeight="1">
      <c r="A19" s="2757"/>
      <c r="B19" s="1179"/>
      <c r="C19" s="4058">
        <v>8</v>
      </c>
      <c r="D19" s="2686" t="s">
        <v>4715</v>
      </c>
      <c r="E19" s="5120"/>
      <c r="F19" s="5120"/>
      <c r="G19" s="5120"/>
      <c r="H19" s="5120"/>
      <c r="I19" s="5120"/>
      <c r="J19" s="5120"/>
      <c r="K19" s="5120"/>
      <c r="L19" s="5120"/>
      <c r="M19" s="5120"/>
      <c r="N19" s="5120"/>
      <c r="O19" s="5120"/>
      <c r="P19" s="5120"/>
      <c r="Q19" s="5120"/>
      <c r="R19" s="5120"/>
      <c r="S19" s="5120"/>
      <c r="T19" s="5120"/>
      <c r="U19" s="5120"/>
      <c r="V19" s="5126"/>
      <c r="W19" s="5120"/>
      <c r="X19" s="5120"/>
      <c r="Y19" s="5120"/>
      <c r="Z19" s="5120"/>
      <c r="AA19" s="1179"/>
      <c r="AB19" s="4604"/>
      <c r="AC19" s="5488"/>
      <c r="AD19" s="5489"/>
      <c r="AE19" s="5489"/>
      <c r="AF19" s="5489"/>
      <c r="AG19" s="5489"/>
      <c r="AH19" s="2757"/>
      <c r="AI19" s="1179"/>
      <c r="AJ19" s="385"/>
      <c r="AK19" s="2770"/>
      <c r="AL19" s="4568" t="str">
        <f>IF(AND(UnEmploymentComp&lt;&gt;"",UnEmploymentComp&gt;0),"Check if UEC was REPAID.","")</f>
        <v/>
      </c>
      <c r="AM19" s="1179"/>
      <c r="AN19" s="6646"/>
      <c r="AO19" s="1179"/>
      <c r="AP19" s="3013"/>
      <c r="AQ19" s="3013"/>
      <c r="AR19" s="3013"/>
      <c r="AS19" s="3013"/>
      <c r="AT19" s="3013"/>
      <c r="AU19" s="3013"/>
      <c r="AV19" s="3013"/>
      <c r="AW19" s="3013"/>
      <c r="AX19" s="3013"/>
      <c r="AY19" s="3013"/>
      <c r="AZ19" s="3013"/>
    </row>
    <row r="20" spans="1:52" ht="21" customHeight="1">
      <c r="A20" s="2757"/>
      <c r="B20" s="1179"/>
      <c r="C20" s="2408" t="s">
        <v>33</v>
      </c>
      <c r="D20" s="2686" t="s">
        <v>4717</v>
      </c>
      <c r="E20" s="1179"/>
      <c r="F20" s="1179"/>
      <c r="G20" s="1179"/>
      <c r="H20" s="1179"/>
      <c r="I20" s="1179"/>
      <c r="J20" s="1179"/>
      <c r="K20" s="1179"/>
      <c r="L20" s="1179"/>
      <c r="M20" s="1179"/>
      <c r="N20" s="1179"/>
      <c r="O20" s="1179"/>
      <c r="P20" s="1179"/>
      <c r="Q20" s="1179"/>
      <c r="R20" s="1179"/>
      <c r="S20" s="1179"/>
      <c r="T20" s="1179"/>
      <c r="U20" s="1560" t="s">
        <v>2027</v>
      </c>
      <c r="V20" s="5121" t="s">
        <v>34</v>
      </c>
      <c r="W20" s="5486" t="s">
        <v>916</v>
      </c>
      <c r="X20" s="6659"/>
      <c r="Y20" s="6659"/>
      <c r="Z20" s="6659"/>
      <c r="AA20" s="5487" t="s">
        <v>917</v>
      </c>
      <c r="AB20" s="4604"/>
      <c r="AC20" s="6561">
        <f>-ROUND(X20,0)</f>
        <v>0</v>
      </c>
      <c r="AD20" s="6562"/>
      <c r="AE20" s="6562"/>
      <c r="AF20" s="6562"/>
      <c r="AG20" s="6562"/>
      <c r="AH20" s="2757"/>
      <c r="AI20" s="1179"/>
      <c r="AJ20" s="385"/>
      <c r="AK20" s="1179"/>
      <c r="AL20" s="4568"/>
      <c r="AM20" s="1179"/>
      <c r="AN20" s="6646"/>
      <c r="AO20" s="1179"/>
      <c r="AP20" s="3013"/>
      <c r="AQ20" s="3013"/>
      <c r="AR20" s="3013"/>
      <c r="AS20" s="3013"/>
      <c r="AT20" s="3013"/>
      <c r="AU20" s="3013"/>
      <c r="AV20" s="3013"/>
      <c r="AW20" s="3013"/>
      <c r="AX20" s="3013"/>
      <c r="AY20" s="3013"/>
      <c r="AZ20" s="3013"/>
    </row>
    <row r="21" spans="1:52" ht="21" customHeight="1">
      <c r="A21" s="2757"/>
      <c r="B21" s="1179"/>
      <c r="C21" s="2408" t="s">
        <v>47</v>
      </c>
      <c r="D21" s="2686" t="s">
        <v>4718</v>
      </c>
      <c r="E21" s="1179"/>
      <c r="F21" s="1179"/>
      <c r="G21" s="1179"/>
      <c r="H21" s="1179"/>
      <c r="I21" s="1179"/>
      <c r="J21" s="1179"/>
      <c r="K21" s="1179"/>
      <c r="L21" s="1179"/>
      <c r="M21" s="1179"/>
      <c r="N21" s="1179"/>
      <c r="O21" s="1179"/>
      <c r="P21" s="1179"/>
      <c r="Q21" s="1179"/>
      <c r="R21" s="1179"/>
      <c r="S21" s="1179"/>
      <c r="T21" s="1179"/>
      <c r="U21" s="1560" t="s">
        <v>2027</v>
      </c>
      <c r="V21" s="5121" t="s">
        <v>35</v>
      </c>
      <c r="W21" s="6439"/>
      <c r="X21" s="6439"/>
      <c r="Y21" s="6439"/>
      <c r="Z21" s="6439"/>
      <c r="AA21" s="6556"/>
      <c r="AB21" s="4604"/>
      <c r="AC21" s="6561">
        <f t="shared" ref="AC21:AC29" si="0">ROUND(W21,0)</f>
        <v>0</v>
      </c>
      <c r="AD21" s="6562"/>
      <c r="AE21" s="6562"/>
      <c r="AF21" s="6562"/>
      <c r="AG21" s="6562"/>
      <c r="AH21" s="2757"/>
      <c r="AI21" s="1179"/>
      <c r="AJ21" s="385"/>
      <c r="AK21" s="1179"/>
      <c r="AL21" s="4568"/>
      <c r="AM21" s="1179"/>
      <c r="AN21" s="6646"/>
      <c r="AO21" s="1179"/>
      <c r="AP21" s="3013"/>
      <c r="AQ21" s="3013"/>
      <c r="AR21" s="3013"/>
      <c r="AS21" s="3013"/>
      <c r="AT21" s="3013"/>
      <c r="AU21" s="3013"/>
      <c r="AV21" s="3013"/>
      <c r="AW21" s="3013"/>
      <c r="AX21" s="3013"/>
      <c r="AY21" s="3013"/>
      <c r="AZ21" s="3013"/>
    </row>
    <row r="22" spans="1:52" ht="21" customHeight="1">
      <c r="A22" s="2757"/>
      <c r="B22" s="1179"/>
      <c r="C22" s="2408" t="s">
        <v>48</v>
      </c>
      <c r="D22" s="2686" t="s">
        <v>4719</v>
      </c>
      <c r="E22" s="1179"/>
      <c r="F22" s="1179"/>
      <c r="G22" s="1179"/>
      <c r="H22" s="1179"/>
      <c r="I22" s="1179"/>
      <c r="J22" s="1179"/>
      <c r="K22" s="1179"/>
      <c r="L22" s="1179"/>
      <c r="M22" s="1179"/>
      <c r="N22" s="1179"/>
      <c r="O22" s="1179"/>
      <c r="P22" s="1179"/>
      <c r="Q22" s="1179"/>
      <c r="R22" s="1179"/>
      <c r="S22" s="1179"/>
      <c r="T22" s="1179"/>
      <c r="U22" s="1560" t="s">
        <v>2515</v>
      </c>
      <c r="V22" s="5121" t="s">
        <v>97</v>
      </c>
      <c r="W22" s="6439"/>
      <c r="X22" s="6439"/>
      <c r="Y22" s="6439"/>
      <c r="Z22" s="6439"/>
      <c r="AA22" s="6556"/>
      <c r="AB22" s="4604"/>
      <c r="AC22" s="6561">
        <f t="shared" si="0"/>
        <v>0</v>
      </c>
      <c r="AD22" s="6562"/>
      <c r="AE22" s="6562"/>
      <c r="AF22" s="6562"/>
      <c r="AG22" s="6562"/>
      <c r="AH22" s="2757"/>
      <c r="AI22" s="1179"/>
      <c r="AJ22" s="385"/>
      <c r="AK22" s="1179"/>
      <c r="AL22" s="4568"/>
      <c r="AM22" s="1179"/>
      <c r="AN22" s="6646"/>
      <c r="AO22" s="1179"/>
      <c r="AP22" s="3013"/>
      <c r="AQ22" s="3013"/>
      <c r="AR22" s="3013"/>
      <c r="AS22" s="3013"/>
      <c r="AT22" s="3013"/>
      <c r="AU22" s="3013"/>
      <c r="AV22" s="3013"/>
      <c r="AW22" s="3013"/>
      <c r="AX22" s="3013"/>
      <c r="AY22" s="3013"/>
      <c r="AZ22" s="3013"/>
    </row>
    <row r="23" spans="1:52" ht="21" customHeight="1">
      <c r="A23" s="2757"/>
      <c r="B23" s="1179"/>
      <c r="C23" s="2408" t="s">
        <v>92</v>
      </c>
      <c r="D23" s="2686" t="s">
        <v>4720</v>
      </c>
      <c r="E23" s="1179"/>
      <c r="F23" s="1179"/>
      <c r="G23" s="1179"/>
      <c r="H23" s="1179"/>
      <c r="I23" s="1179"/>
      <c r="J23" s="1179"/>
      <c r="K23" s="1179"/>
      <c r="L23" s="1179"/>
      <c r="M23" s="1179"/>
      <c r="N23" s="1179"/>
      <c r="O23" s="1179"/>
      <c r="P23" s="1179"/>
      <c r="Q23" s="1179"/>
      <c r="R23" s="1179"/>
      <c r="S23" s="1179"/>
      <c r="T23" s="1179"/>
      <c r="U23" s="1560" t="s">
        <v>648</v>
      </c>
      <c r="V23" s="5121" t="s">
        <v>377</v>
      </c>
      <c r="W23" s="5486" t="s">
        <v>916</v>
      </c>
      <c r="X23" s="6563">
        <f>IF(AND(AJ23&lt;&gt;"",AJ23&lt;0),-ROUND(AJ23,0),IF(AJ23&lt;&gt;"",ROUND(AJ23,0),F2555_Line45))</f>
        <v>0</v>
      </c>
      <c r="Y23" s="6563"/>
      <c r="Z23" s="6563"/>
      <c r="AA23" s="5487" t="s">
        <v>917</v>
      </c>
      <c r="AB23" s="4604"/>
      <c r="AC23" s="6561">
        <f>-ROUND(X23,0)</f>
        <v>0</v>
      </c>
      <c r="AD23" s="6562"/>
      <c r="AE23" s="6562"/>
      <c r="AF23" s="6562"/>
      <c r="AG23" s="6562"/>
      <c r="AH23" s="2757"/>
      <c r="AI23" s="1179"/>
      <c r="AJ23" s="2868"/>
      <c r="AK23" s="1179"/>
      <c r="AL23" s="4568"/>
      <c r="AM23" s="1179"/>
      <c r="AN23" s="6646"/>
      <c r="AO23" s="1179"/>
      <c r="AP23" s="3013"/>
      <c r="AQ23" s="3013"/>
      <c r="AR23" s="3013"/>
      <c r="AS23" s="3013"/>
      <c r="AT23" s="3013"/>
      <c r="AU23" s="3013"/>
      <c r="AV23" s="3013"/>
      <c r="AW23" s="3013"/>
      <c r="AX23" s="3013"/>
      <c r="AY23" s="3013"/>
      <c r="AZ23" s="3013"/>
    </row>
    <row r="24" spans="1:52" ht="21" customHeight="1">
      <c r="A24" s="2757"/>
      <c r="B24" s="1179"/>
      <c r="C24" s="2408" t="s">
        <v>964</v>
      </c>
      <c r="D24" s="2686" t="s">
        <v>4721</v>
      </c>
      <c r="E24" s="1179"/>
      <c r="F24" s="1179"/>
      <c r="G24" s="1179"/>
      <c r="H24" s="1179"/>
      <c r="I24" s="1179"/>
      <c r="J24" s="1179"/>
      <c r="K24" s="1179"/>
      <c r="L24" s="1179"/>
      <c r="M24" s="1179"/>
      <c r="N24" s="1179"/>
      <c r="O24" s="1179"/>
      <c r="P24" s="1179"/>
      <c r="Q24" s="1179"/>
      <c r="R24" s="1179"/>
      <c r="S24" s="1179"/>
      <c r="T24" s="1179"/>
      <c r="U24" s="1560" t="s">
        <v>4956</v>
      </c>
      <c r="V24" s="5121" t="s">
        <v>2403</v>
      </c>
      <c r="W24" s="6557">
        <f>IF(AJ24&lt;&gt;"",ROUND(AJ24,0),'8889'!K141)</f>
        <v>0</v>
      </c>
      <c r="X24" s="6557"/>
      <c r="Y24" s="6557"/>
      <c r="Z24" s="6557"/>
      <c r="AA24" s="6558"/>
      <c r="AB24" s="4604"/>
      <c r="AC24" s="6561">
        <f t="shared" si="0"/>
        <v>0</v>
      </c>
      <c r="AD24" s="6562"/>
      <c r="AE24" s="6562"/>
      <c r="AF24" s="6562"/>
      <c r="AG24" s="6562"/>
      <c r="AH24" s="2757"/>
      <c r="AI24" s="1179"/>
      <c r="AJ24" s="2868"/>
      <c r="AK24" s="1179"/>
      <c r="AL24" s="4568"/>
      <c r="AM24" s="1179"/>
      <c r="AN24" s="6646"/>
      <c r="AO24" s="1179"/>
      <c r="AP24" s="3013"/>
      <c r="AQ24" s="3013"/>
      <c r="AR24" s="3013"/>
      <c r="AS24" s="3013"/>
      <c r="AT24" s="3013"/>
      <c r="AU24" s="3013"/>
      <c r="AV24" s="3013"/>
      <c r="AW24" s="3013"/>
      <c r="AX24" s="3013"/>
      <c r="AY24" s="3013"/>
      <c r="AZ24" s="3013"/>
    </row>
    <row r="25" spans="1:52" ht="21" customHeight="1">
      <c r="A25" s="2757"/>
      <c r="B25" s="1179"/>
      <c r="C25" s="2408" t="s">
        <v>965</v>
      </c>
      <c r="D25" s="2686" t="s">
        <v>4722</v>
      </c>
      <c r="E25" s="1179"/>
      <c r="F25" s="1179"/>
      <c r="G25" s="1179"/>
      <c r="H25" s="1179"/>
      <c r="I25" s="1179"/>
      <c r="J25" s="1179"/>
      <c r="K25" s="1179"/>
      <c r="L25" s="1179"/>
      <c r="M25" s="1179"/>
      <c r="N25" s="1179"/>
      <c r="O25" s="1179"/>
      <c r="P25" s="1179"/>
      <c r="Q25" s="1179"/>
      <c r="R25" s="1179"/>
      <c r="S25" s="1179"/>
      <c r="T25" s="1179"/>
      <c r="U25" s="1560" t="s">
        <v>1625</v>
      </c>
      <c r="V25" s="5121" t="s">
        <v>4703</v>
      </c>
      <c r="W25" s="6439"/>
      <c r="X25" s="6439"/>
      <c r="Y25" s="6439"/>
      <c r="Z25" s="6439"/>
      <c r="AA25" s="6556"/>
      <c r="AB25" s="4604"/>
      <c r="AC25" s="6561">
        <f t="shared" si="0"/>
        <v>0</v>
      </c>
      <c r="AD25" s="6562"/>
      <c r="AE25" s="6562"/>
      <c r="AF25" s="6562"/>
      <c r="AG25" s="6562"/>
      <c r="AH25" s="2757"/>
      <c r="AI25" s="1179"/>
      <c r="AJ25" s="385"/>
      <c r="AK25" s="1179"/>
      <c r="AL25" s="4568"/>
      <c r="AM25" s="1179"/>
      <c r="AN25" s="6646"/>
      <c r="AO25" s="1179"/>
      <c r="AP25" s="3013"/>
      <c r="AQ25" s="3013"/>
      <c r="AR25" s="3013"/>
      <c r="AS25" s="3013"/>
      <c r="AT25" s="3013"/>
      <c r="AU25" s="3013"/>
      <c r="AV25" s="3013"/>
      <c r="AW25" s="3013"/>
      <c r="AX25" s="3013"/>
      <c r="AY25" s="3013"/>
      <c r="AZ25" s="3013"/>
    </row>
    <row r="26" spans="1:52" ht="21" customHeight="1">
      <c r="A26" s="2757"/>
      <c r="B26" s="1179"/>
      <c r="C26" s="2408" t="s">
        <v>2133</v>
      </c>
      <c r="D26" s="2686" t="s">
        <v>4723</v>
      </c>
      <c r="E26" s="1179"/>
      <c r="F26" s="1179"/>
      <c r="G26" s="1179"/>
      <c r="H26" s="1179"/>
      <c r="I26" s="1179"/>
      <c r="J26" s="1179"/>
      <c r="K26" s="1179"/>
      <c r="L26" s="1179"/>
      <c r="M26" s="1179"/>
      <c r="N26" s="1179"/>
      <c r="O26" s="1179"/>
      <c r="P26" s="1179"/>
      <c r="Q26" s="1179"/>
      <c r="R26" s="1179"/>
      <c r="S26" s="1179"/>
      <c r="T26" s="1179"/>
      <c r="U26" s="1560" t="s">
        <v>2576</v>
      </c>
      <c r="V26" s="5121" t="s">
        <v>4704</v>
      </c>
      <c r="W26" s="6439"/>
      <c r="X26" s="6439"/>
      <c r="Y26" s="6439"/>
      <c r="Z26" s="6439"/>
      <c r="AA26" s="6556"/>
      <c r="AB26" s="4604"/>
      <c r="AC26" s="6561">
        <f t="shared" si="0"/>
        <v>0</v>
      </c>
      <c r="AD26" s="6562"/>
      <c r="AE26" s="6562"/>
      <c r="AF26" s="6562"/>
      <c r="AG26" s="6562"/>
      <c r="AH26" s="2757"/>
      <c r="AI26" s="1179"/>
      <c r="AJ26" s="385"/>
      <c r="AK26" s="1179"/>
      <c r="AL26" s="4568"/>
      <c r="AM26" s="1179"/>
      <c r="AN26" s="6646"/>
      <c r="AO26" s="1179"/>
      <c r="AP26" s="3013"/>
      <c r="AQ26" s="3013"/>
      <c r="AR26" s="3013"/>
      <c r="AS26" s="3013"/>
      <c r="AT26" s="3013"/>
      <c r="AU26" s="3013"/>
      <c r="AV26" s="3013"/>
      <c r="AW26" s="3013"/>
      <c r="AX26" s="3013"/>
      <c r="AY26" s="3013"/>
      <c r="AZ26" s="3013"/>
    </row>
    <row r="27" spans="1:52" ht="21" customHeight="1">
      <c r="A27" s="2757"/>
      <c r="B27" s="1179"/>
      <c r="C27" s="2408" t="s">
        <v>120</v>
      </c>
      <c r="D27" s="2686" t="s">
        <v>4724</v>
      </c>
      <c r="E27" s="1179"/>
      <c r="F27" s="1179"/>
      <c r="G27" s="1179"/>
      <c r="H27" s="1179"/>
      <c r="I27" s="1179"/>
      <c r="J27" s="1179"/>
      <c r="K27" s="1179"/>
      <c r="L27" s="1179"/>
      <c r="M27" s="1179"/>
      <c r="N27" s="1179"/>
      <c r="O27" s="1179"/>
      <c r="P27" s="1179"/>
      <c r="Q27" s="1179"/>
      <c r="R27" s="1179"/>
      <c r="S27" s="1179"/>
      <c r="T27" s="1179"/>
      <c r="U27" s="1560" t="s">
        <v>2027</v>
      </c>
      <c r="V27" s="5121" t="s">
        <v>4705</v>
      </c>
      <c r="W27" s="6439"/>
      <c r="X27" s="6439"/>
      <c r="Y27" s="6439"/>
      <c r="Z27" s="6439"/>
      <c r="AA27" s="6556"/>
      <c r="AB27" s="4604"/>
      <c r="AC27" s="6561">
        <f t="shared" si="0"/>
        <v>0</v>
      </c>
      <c r="AD27" s="6562"/>
      <c r="AE27" s="6562"/>
      <c r="AF27" s="6562"/>
      <c r="AG27" s="6562"/>
      <c r="AH27" s="2757"/>
      <c r="AI27" s="1179"/>
      <c r="AJ27" s="385"/>
      <c r="AK27" s="1179"/>
      <c r="AL27" s="4568"/>
      <c r="AM27" s="1179"/>
      <c r="AN27" s="6646"/>
      <c r="AO27" s="1179"/>
      <c r="AP27" s="3013"/>
      <c r="AQ27" s="3013"/>
      <c r="AR27" s="3013"/>
      <c r="AS27" s="3013"/>
      <c r="AT27" s="3013"/>
      <c r="AU27" s="3013"/>
      <c r="AV27" s="3013"/>
      <c r="AW27" s="3013"/>
      <c r="AX27" s="3013"/>
      <c r="AY27" s="3013"/>
      <c r="AZ27" s="3013"/>
    </row>
    <row r="28" spans="1:52" ht="21" customHeight="1">
      <c r="A28" s="2757"/>
      <c r="B28" s="1179"/>
      <c r="C28" s="2408" t="s">
        <v>2142</v>
      </c>
      <c r="D28" s="2686" t="s">
        <v>4725</v>
      </c>
      <c r="E28" s="1179"/>
      <c r="F28" s="1179"/>
      <c r="G28" s="1179"/>
      <c r="H28" s="1179"/>
      <c r="I28" s="1179"/>
      <c r="J28" s="1179"/>
      <c r="K28" s="1179"/>
      <c r="L28" s="1179"/>
      <c r="M28" s="1179"/>
      <c r="N28" s="1179"/>
      <c r="O28" s="1179"/>
      <c r="P28" s="1179"/>
      <c r="Q28" s="1179"/>
      <c r="R28" s="1179"/>
      <c r="S28" s="1179"/>
      <c r="T28" s="1179"/>
      <c r="U28" s="1560" t="s">
        <v>1930</v>
      </c>
      <c r="V28" s="5121" t="s">
        <v>4706</v>
      </c>
      <c r="W28" s="6439"/>
      <c r="X28" s="6439"/>
      <c r="Y28" s="6439"/>
      <c r="Z28" s="6439"/>
      <c r="AA28" s="6556"/>
      <c r="AB28" s="4604"/>
      <c r="AC28" s="6561">
        <f t="shared" si="0"/>
        <v>0</v>
      </c>
      <c r="AD28" s="6562"/>
      <c r="AE28" s="6562"/>
      <c r="AF28" s="6562"/>
      <c r="AG28" s="6562"/>
      <c r="AH28" s="2757"/>
      <c r="AI28" s="1179"/>
      <c r="AJ28" s="385"/>
      <c r="AK28" s="1179"/>
      <c r="AL28" s="4568"/>
      <c r="AM28" s="1179"/>
      <c r="AN28" s="6646"/>
      <c r="AO28" s="1179"/>
      <c r="AP28" s="3013"/>
      <c r="AQ28" s="3013"/>
      <c r="AR28" s="3013"/>
      <c r="AS28" s="3013"/>
      <c r="AT28" s="3013"/>
      <c r="AU28" s="3013"/>
      <c r="AV28" s="3013"/>
      <c r="AW28" s="3013"/>
      <c r="AX28" s="3013"/>
      <c r="AY28" s="3013"/>
      <c r="AZ28" s="3013"/>
    </row>
    <row r="29" spans="1:52" ht="21" customHeight="1">
      <c r="A29" s="2757"/>
      <c r="B29" s="1179"/>
      <c r="C29" s="2408" t="s">
        <v>2134</v>
      </c>
      <c r="D29" s="2686" t="s">
        <v>4726</v>
      </c>
      <c r="E29" s="1179"/>
      <c r="F29" s="1179"/>
      <c r="G29" s="1179"/>
      <c r="H29" s="1179"/>
      <c r="I29" s="1179"/>
      <c r="J29" s="1179"/>
      <c r="K29" s="1179"/>
      <c r="L29" s="1179"/>
      <c r="M29" s="1179"/>
      <c r="N29" s="1179"/>
      <c r="O29" s="1179"/>
      <c r="P29" s="1179"/>
      <c r="Q29" s="1179"/>
      <c r="R29" s="1179"/>
      <c r="S29" s="1179"/>
      <c r="T29" s="1179"/>
      <c r="U29" s="1560" t="s">
        <v>2576</v>
      </c>
      <c r="V29" s="5121" t="s">
        <v>4707</v>
      </c>
      <c r="W29" s="6439"/>
      <c r="X29" s="6439"/>
      <c r="Y29" s="6439"/>
      <c r="Z29" s="6439"/>
      <c r="AA29" s="6556"/>
      <c r="AB29" s="4604"/>
      <c r="AC29" s="6561">
        <f t="shared" si="0"/>
        <v>0</v>
      </c>
      <c r="AD29" s="6562"/>
      <c r="AE29" s="6562"/>
      <c r="AF29" s="6562"/>
      <c r="AG29" s="6562"/>
      <c r="AH29" s="2757"/>
      <c r="AI29" s="1179"/>
      <c r="AJ29" s="385"/>
      <c r="AK29" s="1179"/>
      <c r="AL29" s="4568"/>
      <c r="AM29" s="1179"/>
      <c r="AN29" s="6646"/>
      <c r="AO29" s="1179"/>
      <c r="AP29" s="3013"/>
      <c r="AQ29" s="3013"/>
      <c r="AR29" s="3013"/>
      <c r="AS29" s="3013"/>
      <c r="AT29" s="3013"/>
      <c r="AU29" s="3013"/>
      <c r="AV29" s="3013"/>
      <c r="AW29" s="3013"/>
      <c r="AX29" s="3013"/>
      <c r="AY29" s="3013"/>
      <c r="AZ29" s="3013"/>
    </row>
    <row r="30" spans="1:52" ht="21" customHeight="1">
      <c r="A30" s="2757"/>
      <c r="B30" s="1179"/>
      <c r="C30" s="2408" t="s">
        <v>2449</v>
      </c>
      <c r="D30" s="2686" t="s">
        <v>4727</v>
      </c>
      <c r="E30" s="1179"/>
      <c r="F30" s="1179"/>
      <c r="G30" s="1179"/>
      <c r="H30" s="1179"/>
      <c r="I30" s="1179"/>
      <c r="J30" s="1179"/>
      <c r="K30" s="1179"/>
      <c r="L30" s="1179"/>
      <c r="M30" s="1179"/>
      <c r="N30" s="1179"/>
      <c r="O30" s="1179"/>
      <c r="P30" s="1179"/>
      <c r="Q30" s="1179"/>
      <c r="R30" s="1179"/>
      <c r="S30" s="1179"/>
      <c r="T30" s="1179"/>
      <c r="U30" s="1179"/>
      <c r="V30" s="5122"/>
      <c r="W30" s="6564"/>
      <c r="X30" s="6565"/>
      <c r="Y30" s="6565"/>
      <c r="Z30" s="6565"/>
      <c r="AA30" s="6566"/>
      <c r="AB30" s="4604"/>
      <c r="AC30" s="5448"/>
      <c r="AD30" s="5490"/>
      <c r="AE30" s="5490"/>
      <c r="AF30" s="5490"/>
      <c r="AG30" s="5490"/>
      <c r="AH30" s="2757"/>
      <c r="AI30" s="1179"/>
      <c r="AJ30" s="385"/>
      <c r="AK30" s="1179"/>
      <c r="AL30" s="4568"/>
      <c r="AM30" s="1179"/>
      <c r="AN30" s="5505"/>
      <c r="AO30" s="1179"/>
      <c r="AP30" s="3013"/>
      <c r="AQ30" s="3013"/>
      <c r="AR30" s="3013"/>
      <c r="AS30" s="3013"/>
      <c r="AT30" s="3013"/>
      <c r="AU30" s="3013"/>
      <c r="AV30" s="3013"/>
      <c r="AW30" s="3013"/>
      <c r="AX30" s="3013"/>
      <c r="AY30" s="3013"/>
      <c r="AZ30" s="3013"/>
    </row>
    <row r="31" spans="1:52" ht="12" customHeight="1">
      <c r="A31" s="2757"/>
      <c r="B31" s="1179"/>
      <c r="C31" s="2408"/>
      <c r="D31" s="2686" t="s">
        <v>4728</v>
      </c>
      <c r="E31" s="1179"/>
      <c r="F31" s="1179"/>
      <c r="G31" s="1179"/>
      <c r="H31" s="1179"/>
      <c r="I31" s="1179"/>
      <c r="J31" s="1179"/>
      <c r="K31" s="1179"/>
      <c r="L31" s="1179"/>
      <c r="M31" s="1179"/>
      <c r="N31" s="1179"/>
      <c r="O31" s="1179"/>
      <c r="P31" s="1179"/>
      <c r="Q31" s="1179"/>
      <c r="R31" s="1179"/>
      <c r="S31" s="1179"/>
      <c r="T31" s="1179"/>
      <c r="U31" s="1179"/>
      <c r="V31" s="5123"/>
      <c r="W31" s="6567"/>
      <c r="X31" s="6568"/>
      <c r="Y31" s="6568"/>
      <c r="Z31" s="6568"/>
      <c r="AA31" s="6569"/>
      <c r="AB31" s="4604"/>
      <c r="AC31" s="5448"/>
      <c r="AD31" s="5490"/>
      <c r="AE31" s="5490"/>
      <c r="AF31" s="5490"/>
      <c r="AG31" s="5490"/>
      <c r="AH31" s="2757"/>
      <c r="AI31" s="1179"/>
      <c r="AJ31" s="385"/>
      <c r="AK31" s="1179"/>
      <c r="AL31" s="4568"/>
      <c r="AM31" s="1179"/>
      <c r="AN31" s="5505"/>
      <c r="AO31" s="1179"/>
      <c r="AP31" s="3013"/>
      <c r="AQ31" s="3013"/>
      <c r="AR31" s="3013"/>
      <c r="AS31" s="3013"/>
      <c r="AT31" s="3013"/>
      <c r="AU31" s="3013"/>
      <c r="AV31" s="3013"/>
      <c r="AW31" s="3013"/>
      <c r="AX31" s="3013"/>
      <c r="AY31" s="3013"/>
      <c r="AZ31" s="3013"/>
    </row>
    <row r="32" spans="1:52" ht="15" customHeight="1">
      <c r="A32" s="2757"/>
      <c r="B32" s="1179"/>
      <c r="C32" s="2408"/>
      <c r="D32" s="2686" t="s">
        <v>4549</v>
      </c>
      <c r="E32" s="1179"/>
      <c r="F32" s="1179"/>
      <c r="G32" s="1179"/>
      <c r="H32" s="1179"/>
      <c r="I32" s="1179"/>
      <c r="J32" s="1179"/>
      <c r="K32" s="1179"/>
      <c r="L32" s="1179"/>
      <c r="M32" s="1179"/>
      <c r="N32" s="1179"/>
      <c r="O32" s="1179"/>
      <c r="P32" s="1179"/>
      <c r="Q32" s="1179"/>
      <c r="R32" s="1179"/>
      <c r="S32" s="1179"/>
      <c r="T32" s="1179"/>
      <c r="U32" s="1560" t="s">
        <v>4959</v>
      </c>
      <c r="V32" s="5121" t="s">
        <v>4708</v>
      </c>
      <c r="W32" s="6570"/>
      <c r="X32" s="6439"/>
      <c r="Y32" s="6439"/>
      <c r="Z32" s="6439"/>
      <c r="AA32" s="6556"/>
      <c r="AB32" s="4604"/>
      <c r="AC32" s="6561">
        <f>ROUND(W32,0)</f>
        <v>0</v>
      </c>
      <c r="AD32" s="6562"/>
      <c r="AE32" s="6562"/>
      <c r="AF32" s="6562"/>
      <c r="AG32" s="6562"/>
      <c r="AH32" s="2757"/>
      <c r="AI32" s="1179"/>
      <c r="AJ32" s="385"/>
      <c r="AK32" s="1179"/>
      <c r="AL32" s="4568"/>
      <c r="AM32" s="1179"/>
      <c r="AN32" s="5505"/>
      <c r="AO32" s="1179"/>
      <c r="AP32" s="3013"/>
      <c r="AQ32" s="3013"/>
      <c r="AR32" s="3013"/>
      <c r="AS32" s="3013"/>
      <c r="AT32" s="3013"/>
      <c r="AU32" s="3013"/>
      <c r="AV32" s="3013"/>
      <c r="AW32" s="3013"/>
      <c r="AX32" s="3013"/>
      <c r="AY32" s="3013"/>
      <c r="AZ32" s="3013"/>
    </row>
    <row r="33" spans="1:52" ht="21" customHeight="1">
      <c r="A33" s="2757"/>
      <c r="B33" s="1179"/>
      <c r="C33" s="2408" t="s">
        <v>340</v>
      </c>
      <c r="D33" s="2686" t="s">
        <v>4729</v>
      </c>
      <c r="E33" s="1179"/>
      <c r="F33" s="1179"/>
      <c r="G33" s="1179"/>
      <c r="H33" s="1179"/>
      <c r="I33" s="1179"/>
      <c r="J33" s="1179"/>
      <c r="K33" s="1179"/>
      <c r="L33" s="1179"/>
      <c r="M33" s="1179"/>
      <c r="N33" s="1179"/>
      <c r="O33" s="1179"/>
      <c r="P33" s="1179"/>
      <c r="Q33" s="1179"/>
      <c r="R33" s="1179"/>
      <c r="S33" s="1179"/>
      <c r="T33" s="1179"/>
      <c r="U33" s="1179"/>
      <c r="V33" s="5123"/>
      <c r="W33" s="6567"/>
      <c r="X33" s="6568"/>
      <c r="Y33" s="6568"/>
      <c r="Z33" s="6568"/>
      <c r="AA33" s="6569"/>
      <c r="AB33" s="4604"/>
      <c r="AC33" s="5448"/>
      <c r="AD33" s="5490"/>
      <c r="AE33" s="5490"/>
      <c r="AF33" s="5490"/>
      <c r="AG33" s="5490"/>
      <c r="AH33" s="2757"/>
      <c r="AI33" s="1179"/>
      <c r="AJ33" s="385"/>
      <c r="AK33" s="1179"/>
      <c r="AL33" s="4568"/>
      <c r="AM33" s="1179"/>
      <c r="AN33" s="5505"/>
      <c r="AO33" s="1179"/>
      <c r="AP33" s="3013"/>
      <c r="AQ33" s="3013"/>
      <c r="AR33" s="3013"/>
      <c r="AS33" s="3013"/>
      <c r="AT33" s="3013"/>
      <c r="AU33" s="3013"/>
      <c r="AV33" s="3013"/>
      <c r="AW33" s="3013"/>
      <c r="AX33" s="3013"/>
      <c r="AY33" s="3013"/>
      <c r="AZ33" s="3013"/>
    </row>
    <row r="34" spans="1:52" ht="17.25" customHeight="1">
      <c r="A34" s="2757"/>
      <c r="B34" s="1179"/>
      <c r="C34" s="2408"/>
      <c r="D34" s="2686" t="s">
        <v>891</v>
      </c>
      <c r="E34" s="1179"/>
      <c r="F34" s="1179"/>
      <c r="G34" s="1179"/>
      <c r="H34" s="1179"/>
      <c r="I34" s="1179"/>
      <c r="J34" s="1179"/>
      <c r="K34" s="1179"/>
      <c r="L34" s="1179"/>
      <c r="M34" s="1179"/>
      <c r="N34" s="1179"/>
      <c r="O34" s="1179"/>
      <c r="P34" s="1179"/>
      <c r="Q34" s="1179"/>
      <c r="R34" s="1179"/>
      <c r="S34" s="1179"/>
      <c r="T34" s="1179"/>
      <c r="U34" s="1560" t="s">
        <v>2883</v>
      </c>
      <c r="V34" s="5121" t="s">
        <v>4709</v>
      </c>
      <c r="W34" s="6570"/>
      <c r="X34" s="6439"/>
      <c r="Y34" s="6439"/>
      <c r="Z34" s="6439"/>
      <c r="AA34" s="6556"/>
      <c r="AB34" s="4604"/>
      <c r="AC34" s="6561">
        <f>ROUND(W34,0)</f>
        <v>0</v>
      </c>
      <c r="AD34" s="6562"/>
      <c r="AE34" s="6562"/>
      <c r="AF34" s="6562"/>
      <c r="AG34" s="6562"/>
      <c r="AH34" s="2757"/>
      <c r="AI34" s="1179"/>
      <c r="AJ34" s="385"/>
      <c r="AK34" s="1179"/>
      <c r="AL34" s="4568"/>
      <c r="AM34" s="1179"/>
      <c r="AN34" s="5505"/>
      <c r="AO34" s="1179"/>
      <c r="AP34" s="3013"/>
      <c r="AQ34" s="3013"/>
      <c r="AR34" s="3013"/>
      <c r="AS34" s="3013"/>
      <c r="AT34" s="3013"/>
      <c r="AU34" s="3013"/>
      <c r="AV34" s="3013"/>
      <c r="AW34" s="3013"/>
      <c r="AX34" s="3013"/>
      <c r="AY34" s="3013"/>
      <c r="AZ34" s="3013"/>
    </row>
    <row r="35" spans="1:52" ht="21" customHeight="1">
      <c r="A35" s="2757"/>
      <c r="B35" s="1179"/>
      <c r="C35" s="2408" t="s">
        <v>2448</v>
      </c>
      <c r="D35" s="2686" t="s">
        <v>4730</v>
      </c>
      <c r="E35" s="1179"/>
      <c r="F35" s="1179"/>
      <c r="G35" s="1179"/>
      <c r="H35" s="1179"/>
      <c r="I35" s="1179"/>
      <c r="J35" s="1179"/>
      <c r="K35" s="1179"/>
      <c r="L35" s="1179"/>
      <c r="M35" s="1179"/>
      <c r="N35" s="1179"/>
      <c r="O35" s="1179"/>
      <c r="P35" s="1179"/>
      <c r="Q35" s="1179"/>
      <c r="R35" s="1179"/>
      <c r="S35" s="1179"/>
      <c r="T35" s="1179"/>
      <c r="U35" s="1560" t="s">
        <v>1930</v>
      </c>
      <c r="V35" s="5121" t="s">
        <v>4710</v>
      </c>
      <c r="W35" s="6439"/>
      <c r="X35" s="6439"/>
      <c r="Y35" s="6439"/>
      <c r="Z35" s="6439"/>
      <c r="AA35" s="6556"/>
      <c r="AB35" s="4604"/>
      <c r="AC35" s="6561">
        <f>ROUND(W35,0)</f>
        <v>0</v>
      </c>
      <c r="AD35" s="6562"/>
      <c r="AE35" s="6562"/>
      <c r="AF35" s="6562"/>
      <c r="AG35" s="6562"/>
      <c r="AH35" s="2757"/>
      <c r="AI35" s="1179"/>
      <c r="AJ35" s="385"/>
      <c r="AK35" s="1179"/>
      <c r="AL35" s="4568"/>
      <c r="AM35" s="1179"/>
      <c r="AN35" s="5505"/>
      <c r="AO35" s="1179"/>
      <c r="AP35" s="3013"/>
      <c r="AQ35" s="3013"/>
      <c r="AR35" s="3013"/>
      <c r="AS35" s="3013"/>
      <c r="AT35" s="3013"/>
      <c r="AU35" s="3013"/>
      <c r="AV35" s="3013"/>
      <c r="AW35" s="3013"/>
      <c r="AX35" s="3013"/>
      <c r="AY35" s="3013"/>
      <c r="AZ35" s="3013"/>
    </row>
    <row r="36" spans="1:52" ht="21" customHeight="1">
      <c r="A36" s="2757"/>
      <c r="B36" s="1179"/>
      <c r="C36" s="2408" t="s">
        <v>2447</v>
      </c>
      <c r="D36" s="2686" t="s">
        <v>4731</v>
      </c>
      <c r="E36" s="1179"/>
      <c r="F36" s="1179"/>
      <c r="G36" s="1179"/>
      <c r="H36" s="1179"/>
      <c r="I36" s="1179"/>
      <c r="J36" s="1179"/>
      <c r="K36" s="1179"/>
      <c r="L36" s="1179"/>
      <c r="M36" s="1179"/>
      <c r="N36" s="1179"/>
      <c r="O36" s="1179"/>
      <c r="P36" s="1179"/>
      <c r="Q36" s="1179"/>
      <c r="R36" s="1179"/>
      <c r="S36" s="1179"/>
      <c r="T36" s="1179"/>
      <c r="U36" s="1560" t="s">
        <v>2419</v>
      </c>
      <c r="V36" s="5121" t="s">
        <v>4711</v>
      </c>
      <c r="W36" s="6439"/>
      <c r="X36" s="6439"/>
      <c r="Y36" s="6439"/>
      <c r="Z36" s="6439"/>
      <c r="AA36" s="6556"/>
      <c r="AB36" s="4604"/>
      <c r="AC36" s="6561">
        <f>ROUND(W36,0)</f>
        <v>0</v>
      </c>
      <c r="AD36" s="6562"/>
      <c r="AE36" s="6562"/>
      <c r="AF36" s="6562"/>
      <c r="AG36" s="6562"/>
      <c r="AH36" s="2757"/>
      <c r="AI36" s="1179"/>
      <c r="AJ36" s="385"/>
      <c r="AK36" s="385"/>
      <c r="AL36" s="385"/>
      <c r="AM36" s="385"/>
      <c r="AN36" s="385"/>
      <c r="AO36" s="385"/>
      <c r="AP36" s="3013"/>
      <c r="AQ36" s="3013"/>
      <c r="AR36" s="3013"/>
      <c r="AS36" s="3013"/>
      <c r="AT36" s="3013"/>
      <c r="AU36" s="3013"/>
      <c r="AV36" s="3013"/>
      <c r="AW36" s="3013"/>
      <c r="AX36" s="3013"/>
      <c r="AY36" s="3013"/>
      <c r="AZ36" s="3013"/>
    </row>
    <row r="37" spans="1:52" ht="21" customHeight="1" thickBot="1">
      <c r="A37" s="2757"/>
      <c r="B37" s="1179"/>
      <c r="C37" s="2408" t="s">
        <v>2295</v>
      </c>
      <c r="D37" s="2686" t="s">
        <v>4732</v>
      </c>
      <c r="E37" s="1179"/>
      <c r="F37" s="1179"/>
      <c r="G37" s="1179"/>
      <c r="H37" s="1179"/>
      <c r="I37" s="1179"/>
      <c r="J37" s="1179"/>
      <c r="K37" s="1179"/>
      <c r="L37" s="1179"/>
      <c r="M37" s="1179"/>
      <c r="N37" s="1179"/>
      <c r="O37" s="1179"/>
      <c r="P37" s="1179"/>
      <c r="Q37" s="1179"/>
      <c r="R37" s="1179"/>
      <c r="S37" s="1179"/>
      <c r="T37" s="1179"/>
      <c r="U37" s="1560" t="s">
        <v>2517</v>
      </c>
      <c r="V37" s="5121" t="s">
        <v>4712</v>
      </c>
      <c r="W37" s="6439"/>
      <c r="X37" s="6439"/>
      <c r="Y37" s="6439"/>
      <c r="Z37" s="6439"/>
      <c r="AA37" s="6556"/>
      <c r="AB37" s="4604"/>
      <c r="AC37" s="6561">
        <f>ROUND(W37,0)</f>
        <v>0</v>
      </c>
      <c r="AD37" s="6562"/>
      <c r="AE37" s="6562"/>
      <c r="AF37" s="6562"/>
      <c r="AG37" s="6562"/>
      <c r="AH37" s="2757"/>
      <c r="AI37" s="1179"/>
      <c r="AJ37" s="385"/>
      <c r="AK37" s="385"/>
      <c r="AL37" s="385"/>
      <c r="AM37" s="6555" t="s">
        <v>5609</v>
      </c>
      <c r="AN37" s="6555"/>
      <c r="AO37" s="385"/>
      <c r="AP37" s="3013"/>
      <c r="AQ37" s="3013"/>
      <c r="AR37" s="3013"/>
      <c r="AS37" s="3013"/>
      <c r="AT37" s="3013"/>
      <c r="AU37" s="3013"/>
      <c r="AV37" s="3013"/>
      <c r="AW37" s="3013"/>
      <c r="AX37" s="3013"/>
      <c r="AY37" s="3013"/>
      <c r="AZ37" s="3013"/>
    </row>
    <row r="38" spans="1:52" ht="21" customHeight="1">
      <c r="A38" s="2757"/>
      <c r="B38" s="1179"/>
      <c r="C38" s="2408" t="s">
        <v>2446</v>
      </c>
      <c r="D38" s="2686" t="s">
        <v>4733</v>
      </c>
      <c r="E38" s="1179"/>
      <c r="F38" s="1179"/>
      <c r="G38" s="1179"/>
      <c r="H38" s="1179"/>
      <c r="I38" s="1179"/>
      <c r="J38" s="1179"/>
      <c r="K38" s="1179"/>
      <c r="L38" s="1179"/>
      <c r="M38" s="1179"/>
      <c r="N38" s="1179"/>
      <c r="O38" s="1179"/>
      <c r="P38" s="1179"/>
      <c r="Q38" s="1179"/>
      <c r="R38" s="1179"/>
      <c r="S38" s="1179"/>
      <c r="T38" s="1179"/>
      <c r="U38" s="1560" t="s">
        <v>2472</v>
      </c>
      <c r="V38" s="5121" t="s">
        <v>4713</v>
      </c>
      <c r="W38" s="6439"/>
      <c r="X38" s="6439"/>
      <c r="Y38" s="6439"/>
      <c r="Z38" s="6439"/>
      <c r="AA38" s="6556"/>
      <c r="AB38" s="4604"/>
      <c r="AC38" s="6561">
        <f>ROUND(W38,0)</f>
        <v>0</v>
      </c>
      <c r="AD38" s="6562"/>
      <c r="AE38" s="6562"/>
      <c r="AF38" s="6562"/>
      <c r="AG38" s="6562"/>
      <c r="AH38" s="2757"/>
      <c r="AI38" s="1179"/>
      <c r="AJ38" s="385"/>
      <c r="AK38" s="385"/>
      <c r="AL38" s="385"/>
      <c r="AM38" s="6551" t="s">
        <v>5608</v>
      </c>
      <c r="AN38" s="6553" t="s">
        <v>37</v>
      </c>
      <c r="AO38" s="385"/>
      <c r="AP38" s="3013"/>
      <c r="AQ38" s="3013"/>
      <c r="AR38" s="3013"/>
      <c r="AS38" s="3013"/>
      <c r="AT38" s="3013"/>
      <c r="AU38" s="3013"/>
      <c r="AV38" s="3013"/>
      <c r="AW38" s="3013"/>
      <c r="AX38" s="3013"/>
      <c r="AY38" s="3013"/>
      <c r="AZ38" s="3013"/>
    </row>
    <row r="39" spans="1:52" ht="21" customHeight="1" thickBot="1">
      <c r="A39" s="2757"/>
      <c r="B39" s="1179"/>
      <c r="C39" s="2408" t="s">
        <v>4716</v>
      </c>
      <c r="D39" s="2686" t="s">
        <v>4734</v>
      </c>
      <c r="E39" s="1179"/>
      <c r="F39" s="1179"/>
      <c r="G39" s="1179"/>
      <c r="H39" s="1179"/>
      <c r="I39" s="1179"/>
      <c r="J39" s="1179"/>
      <c r="K39" s="1179"/>
      <c r="L39" s="1179"/>
      <c r="M39" s="1179"/>
      <c r="N39" s="6582" t="str">
        <f>IF(F8889_Line20&gt;0,"HSA "&amp; TEXT(F8889_Line20,"$0"),"")</f>
        <v/>
      </c>
      <c r="O39" s="6582"/>
      <c r="P39" s="6582"/>
      <c r="Q39" s="6582"/>
      <c r="R39" s="6582"/>
      <c r="S39" s="6582"/>
      <c r="T39" s="6582"/>
      <c r="U39" s="1179"/>
      <c r="V39" s="5123"/>
      <c r="W39" s="6567"/>
      <c r="X39" s="6568"/>
      <c r="Y39" s="6568"/>
      <c r="Z39" s="6568"/>
      <c r="AA39" s="6569"/>
      <c r="AB39" s="4604"/>
      <c r="AC39" s="5448"/>
      <c r="AD39" s="5490"/>
      <c r="AE39" s="5490"/>
      <c r="AF39" s="5490"/>
      <c r="AG39" s="5490"/>
      <c r="AH39" s="2757"/>
      <c r="AI39" s="1179"/>
      <c r="AJ39" s="385"/>
      <c r="AK39" s="385"/>
      <c r="AL39" s="385"/>
      <c r="AM39" s="6552"/>
      <c r="AN39" s="6554"/>
      <c r="AO39" s="385"/>
      <c r="AP39" s="3013"/>
      <c r="AQ39" s="3013"/>
      <c r="AR39" s="3013"/>
      <c r="AS39" s="3013"/>
      <c r="AT39" s="3013"/>
      <c r="AU39" s="3013"/>
      <c r="AV39" s="3013"/>
      <c r="AW39" s="3013"/>
      <c r="AX39" s="3013"/>
      <c r="AY39" s="3013"/>
      <c r="AZ39" s="3013"/>
    </row>
    <row r="40" spans="1:52" ht="21" customHeight="1">
      <c r="A40" s="2757"/>
      <c r="B40" s="1179"/>
      <c r="C40" s="2408"/>
      <c r="D40" s="6582" t="str">
        <f>AM40&amp;" "&amp;AN45&amp;"    "&amp;AM41&amp;" "&amp;AN46&amp;"    "&amp;AM42&amp;" "&amp;AN47&amp;"    "&amp;AM43&amp;" "&amp;AN48</f>
        <v xml:space="preserve">                </v>
      </c>
      <c r="E40" s="6583"/>
      <c r="F40" s="6583"/>
      <c r="G40" s="6583"/>
      <c r="H40" s="6583"/>
      <c r="I40" s="6583"/>
      <c r="J40" s="6583"/>
      <c r="K40" s="6583"/>
      <c r="L40" s="6583"/>
      <c r="M40" s="6583"/>
      <c r="N40" s="6583"/>
      <c r="O40" s="6583"/>
      <c r="P40" s="6583"/>
      <c r="Q40" s="6583"/>
      <c r="R40" s="6583"/>
      <c r="S40" s="6583"/>
      <c r="T40" s="6583"/>
      <c r="U40" s="1179"/>
      <c r="V40" s="5121" t="s">
        <v>4714</v>
      </c>
      <c r="W40" s="6557">
        <f>SUM(F8889_Line20,ROUND(AN40,0),ROUND(AN41,0),ROUND(AN42,0),ROUND(AN43,0))</f>
        <v>0</v>
      </c>
      <c r="X40" s="6557"/>
      <c r="Y40" s="6557"/>
      <c r="Z40" s="6557"/>
      <c r="AA40" s="6558"/>
      <c r="AB40" s="4604"/>
      <c r="AC40" s="6561">
        <f>IF(W40="",0,ROUND(W40,0))</f>
        <v>0</v>
      </c>
      <c r="AD40" s="6562"/>
      <c r="AE40" s="6562"/>
      <c r="AF40" s="6562"/>
      <c r="AG40" s="6562"/>
      <c r="AH40" s="2757"/>
      <c r="AI40" s="1179"/>
      <c r="AJ40" s="385"/>
      <c r="AK40" s="385"/>
      <c r="AL40" s="385"/>
      <c r="AM40" s="5798"/>
      <c r="AN40" s="5801"/>
      <c r="AO40" s="385"/>
      <c r="AP40" s="3013"/>
      <c r="AQ40" s="3013"/>
      <c r="AR40" s="3013"/>
      <c r="AS40" s="3013"/>
      <c r="AT40" s="3013"/>
      <c r="AU40" s="3013"/>
      <c r="AV40" s="3013"/>
      <c r="AW40" s="3013"/>
      <c r="AX40" s="3013"/>
      <c r="AY40" s="3013"/>
      <c r="AZ40" s="3013"/>
    </row>
    <row r="41" spans="1:52" ht="21" customHeight="1">
      <c r="A41" s="2757"/>
      <c r="B41" s="1179"/>
      <c r="C41" s="4058">
        <v>9</v>
      </c>
      <c r="D41" s="2686" t="s">
        <v>4735</v>
      </c>
      <c r="E41" s="1179"/>
      <c r="F41" s="1179"/>
      <c r="G41" s="1179"/>
      <c r="H41" s="1179"/>
      <c r="I41" s="1179"/>
      <c r="J41" s="1179"/>
      <c r="K41" s="1179"/>
      <c r="L41" s="1179"/>
      <c r="M41" s="1179"/>
      <c r="N41" s="1179"/>
      <c r="O41" s="1179"/>
      <c r="P41" s="1179"/>
      <c r="Q41" s="1179"/>
      <c r="R41" s="1179"/>
      <c r="S41" s="1179"/>
      <c r="T41" s="1179"/>
      <c r="U41" s="1179"/>
      <c r="V41" s="1179"/>
      <c r="W41" s="1179"/>
      <c r="X41" s="1179"/>
      <c r="Y41" s="1179"/>
      <c r="Z41" s="1179"/>
      <c r="AA41" s="1560" t="s">
        <v>2515</v>
      </c>
      <c r="AB41" s="4605">
        <v>9</v>
      </c>
      <c r="AC41" s="6584">
        <f>IF(AJ41&lt;&gt;"",ROUND(AJ41,0),SUM(AC20:AG29,AC32,AC34:AG38,AC40))</f>
        <v>0</v>
      </c>
      <c r="AD41" s="6585"/>
      <c r="AE41" s="6585"/>
      <c r="AF41" s="6585"/>
      <c r="AG41" s="6585"/>
      <c r="AH41" s="2757"/>
      <c r="AI41" s="1179"/>
      <c r="AJ41" s="2868"/>
      <c r="AK41" s="385"/>
      <c r="AL41" s="385"/>
      <c r="AM41" s="5799"/>
      <c r="AN41" s="5802"/>
      <c r="AO41" s="385"/>
      <c r="AP41" s="3013"/>
      <c r="AQ41" s="3013"/>
      <c r="AR41" s="3013"/>
      <c r="AS41" s="3013"/>
      <c r="AT41" s="3013"/>
      <c r="AU41" s="3013"/>
      <c r="AV41" s="3013"/>
      <c r="AW41" s="3013"/>
      <c r="AX41" s="3013"/>
      <c r="AY41" s="3013"/>
      <c r="AZ41" s="3013"/>
    </row>
    <row r="42" spans="1:52" ht="21" customHeight="1">
      <c r="A42" s="2757"/>
      <c r="B42" s="1179"/>
      <c r="C42" s="4058">
        <v>10</v>
      </c>
      <c r="D42" s="2686" t="s">
        <v>4736</v>
      </c>
      <c r="E42" s="1179"/>
      <c r="F42" s="1179"/>
      <c r="G42" s="1179"/>
      <c r="H42" s="1179"/>
      <c r="I42" s="1179"/>
      <c r="J42" s="1179"/>
      <c r="K42" s="1179"/>
      <c r="L42" s="1179"/>
      <c r="M42" s="1179"/>
      <c r="N42" s="1179"/>
      <c r="O42" s="1179"/>
      <c r="P42" s="1179"/>
      <c r="Q42" s="1179"/>
      <c r="R42" s="1179"/>
      <c r="S42" s="1179"/>
      <c r="T42" s="1179"/>
      <c r="U42" s="1179"/>
      <c r="V42" s="1179"/>
      <c r="W42" s="1179"/>
      <c r="X42" s="1179"/>
      <c r="Y42" s="1179"/>
      <c r="Z42" s="1179"/>
      <c r="AA42" s="1179"/>
      <c r="AB42" s="4606"/>
      <c r="AC42" s="5124"/>
      <c r="AD42" s="5125"/>
      <c r="AE42" s="5125"/>
      <c r="AF42" s="5125"/>
      <c r="AG42" s="5125"/>
      <c r="AH42" s="2757"/>
      <c r="AI42" s="1179"/>
      <c r="AJ42" s="385"/>
      <c r="AK42" s="385"/>
      <c r="AL42" s="385"/>
      <c r="AM42" s="5799"/>
      <c r="AN42" s="5802"/>
      <c r="AO42" s="385"/>
      <c r="AP42" s="3013"/>
      <c r="AQ42" s="3013"/>
      <c r="AR42" s="3013"/>
      <c r="AS42" s="3013"/>
      <c r="AT42" s="3013"/>
      <c r="AU42" s="3013"/>
      <c r="AV42" s="3013"/>
      <c r="AW42" s="3013"/>
      <c r="AX42" s="3013"/>
      <c r="AY42" s="3013"/>
      <c r="AZ42" s="3013"/>
    </row>
    <row r="43" spans="1:52" ht="17.25" customHeight="1" thickBot="1">
      <c r="A43" s="2757"/>
      <c r="B43" s="1359"/>
      <c r="C43" s="5185"/>
      <c r="D43" s="5491" t="s">
        <v>4737</v>
      </c>
      <c r="E43" s="1359"/>
      <c r="F43" s="1359"/>
      <c r="G43" s="1359"/>
      <c r="H43" s="1359"/>
      <c r="I43" s="1359"/>
      <c r="J43" s="1359"/>
      <c r="K43" s="1359"/>
      <c r="L43" s="1359"/>
      <c r="M43" s="1359"/>
      <c r="N43" s="1359"/>
      <c r="O43" s="5174"/>
      <c r="P43" s="5175"/>
      <c r="Q43" s="1359"/>
      <c r="R43" s="1359"/>
      <c r="S43" s="1359"/>
      <c r="T43" s="1359"/>
      <c r="U43" s="1359"/>
      <c r="V43" s="1359"/>
      <c r="W43" s="1359"/>
      <c r="X43" s="1359"/>
      <c r="Y43" s="1359"/>
      <c r="Z43" s="1359"/>
      <c r="AA43" s="5492" t="s">
        <v>2524</v>
      </c>
      <c r="AB43" s="5493">
        <v>10</v>
      </c>
      <c r="AC43" s="6650">
        <f>IF(AJ43&lt;&gt;"",ROUND(AJ43,0),SUM(AC11,AC12,BusinessIncomeLoss,ROUND(AC15,0),SchE_IncomeLoss,FarmIncomeLoss,UnEmploymentComp,OtherIncome))</f>
        <v>0</v>
      </c>
      <c r="AD43" s="6651"/>
      <c r="AE43" s="6651"/>
      <c r="AF43" s="6651"/>
      <c r="AG43" s="6651"/>
      <c r="AH43" s="2757"/>
      <c r="AI43" s="1179"/>
      <c r="AJ43" s="2868"/>
      <c r="AK43" s="385"/>
      <c r="AL43" s="385"/>
      <c r="AM43" s="5800"/>
      <c r="AN43" s="5803"/>
      <c r="AO43" s="385"/>
      <c r="AP43" s="3013"/>
      <c r="AQ43" s="3013"/>
      <c r="AR43" s="3013"/>
      <c r="AS43" s="3013"/>
      <c r="AT43" s="3013"/>
      <c r="AU43" s="3013"/>
      <c r="AV43" s="3013"/>
      <c r="AW43" s="3013"/>
      <c r="AX43" s="3013"/>
      <c r="AY43" s="3013"/>
      <c r="AZ43" s="3013"/>
    </row>
    <row r="44" spans="1:52" ht="14.25" customHeight="1" thickTop="1">
      <c r="A44" s="2757"/>
      <c r="B44" s="5494" t="s">
        <v>484</v>
      </c>
      <c r="C44" s="5495"/>
      <c r="D44" s="1358"/>
      <c r="E44" s="1358"/>
      <c r="F44" s="1358"/>
      <c r="G44" s="1358"/>
      <c r="H44" s="1358"/>
      <c r="I44" s="1358"/>
      <c r="J44" s="1358"/>
      <c r="K44" s="1358"/>
      <c r="L44" s="1358"/>
      <c r="M44" s="1358"/>
      <c r="N44" s="1358"/>
      <c r="O44" s="1358"/>
      <c r="P44" s="1358"/>
      <c r="Q44" s="1358"/>
      <c r="R44" s="1358"/>
      <c r="S44" s="1358"/>
      <c r="T44" s="5496"/>
      <c r="U44" s="5496" t="s">
        <v>2300</v>
      </c>
      <c r="V44" s="1358"/>
      <c r="W44" s="5497"/>
      <c r="X44" s="1358"/>
      <c r="Y44" s="1358"/>
      <c r="Z44" s="1358"/>
      <c r="AA44" s="1358"/>
      <c r="AB44" s="1358"/>
      <c r="AC44" s="1358"/>
      <c r="AD44" s="1358"/>
      <c r="AE44" s="1358"/>
      <c r="AF44" s="1358"/>
      <c r="AG44" s="5498" t="str">
        <f>"Schedule 1 (Form 1040) "&amp;TaxYear</f>
        <v>Schedule 1 (Form 1040) 2021</v>
      </c>
      <c r="AH44" s="2757"/>
      <c r="AI44" s="1179"/>
      <c r="AJ44" s="385"/>
      <c r="AK44" s="385"/>
      <c r="AL44" s="385"/>
      <c r="AM44" s="385"/>
      <c r="AN44" s="385"/>
      <c r="AO44" s="385"/>
      <c r="AP44" s="3013"/>
      <c r="AQ44" s="3013"/>
      <c r="AR44" s="3013"/>
      <c r="AS44" s="3013"/>
      <c r="AT44" s="3013"/>
      <c r="AU44" s="3013"/>
      <c r="AV44" s="3013"/>
      <c r="AW44" s="3013"/>
      <c r="AX44" s="3013"/>
      <c r="AY44" s="3013"/>
      <c r="AZ44" s="3013"/>
    </row>
    <row r="45" spans="1:52" ht="14.25" customHeight="1">
      <c r="A45" s="2757"/>
      <c r="B45" s="5499" t="str">
        <f>"Schedule 1 (Form 1040)  " &amp; TaxYear</f>
        <v>Schedule 1 (Form 1040)  2021</v>
      </c>
      <c r="C45" s="2790"/>
      <c r="D45" s="1553"/>
      <c r="E45" s="1553"/>
      <c r="F45" s="1553"/>
      <c r="G45" s="1553"/>
      <c r="H45" s="1553"/>
      <c r="I45" s="1553"/>
      <c r="J45" s="1553"/>
      <c r="K45" s="1553"/>
      <c r="L45" s="1553"/>
      <c r="M45" s="1553"/>
      <c r="N45" s="1553"/>
      <c r="O45" s="1553"/>
      <c r="P45" s="1553"/>
      <c r="Q45" s="1553"/>
      <c r="R45" s="1553"/>
      <c r="S45" s="1553"/>
      <c r="T45" s="2782"/>
      <c r="U45" s="2782"/>
      <c r="V45" s="1553"/>
      <c r="W45" s="1570"/>
      <c r="X45" s="1553"/>
      <c r="Y45" s="1553"/>
      <c r="Z45" s="1553"/>
      <c r="AA45" s="1553"/>
      <c r="AB45" s="1553"/>
      <c r="AC45" s="1553"/>
      <c r="AD45" s="1553"/>
      <c r="AE45" s="1553"/>
      <c r="AF45" s="1553"/>
      <c r="AG45" s="3120" t="s">
        <v>160</v>
      </c>
      <c r="AH45" s="2757"/>
      <c r="AI45" s="1179"/>
      <c r="AJ45" s="385"/>
      <c r="AK45" s="1179"/>
      <c r="AL45" s="3311"/>
      <c r="AM45" s="1179"/>
      <c r="AN45" s="5804" t="str">
        <f>IF(AN40&lt;&gt;"",TEXT(AN40,"$0"),"")</f>
        <v/>
      </c>
      <c r="AO45" s="1179"/>
      <c r="AP45" s="3013"/>
      <c r="AQ45" s="3013"/>
      <c r="AR45" s="3013"/>
      <c r="AS45" s="3013"/>
      <c r="AT45" s="3013"/>
      <c r="AU45" s="3013"/>
      <c r="AV45" s="3013"/>
      <c r="AW45" s="3013"/>
      <c r="AX45" s="3013"/>
      <c r="AY45" s="3013"/>
      <c r="AZ45" s="3013"/>
    </row>
    <row r="46" spans="1:52" ht="21" customHeight="1">
      <c r="A46" s="2757"/>
      <c r="B46" s="6586" t="s">
        <v>118</v>
      </c>
      <c r="C46" s="6587"/>
      <c r="D46" s="6588"/>
      <c r="E46" s="3092"/>
      <c r="F46" s="4609" t="s">
        <v>3343</v>
      </c>
      <c r="G46" s="3092"/>
      <c r="H46" s="3092"/>
      <c r="I46" s="3092"/>
      <c r="J46" s="3092"/>
      <c r="K46" s="3092"/>
      <c r="L46" s="1554"/>
      <c r="M46" s="1554"/>
      <c r="N46" s="1554"/>
      <c r="O46" s="1554"/>
      <c r="P46" s="1554"/>
      <c r="Q46" s="1554"/>
      <c r="R46" s="1554"/>
      <c r="S46" s="1554"/>
      <c r="T46" s="1554"/>
      <c r="U46" s="1554"/>
      <c r="V46" s="1554"/>
      <c r="W46" s="1554"/>
      <c r="X46" s="6591"/>
      <c r="Y46" s="6591"/>
      <c r="Z46" s="6591"/>
      <c r="AA46" s="6591"/>
      <c r="AB46" s="2688"/>
      <c r="AC46" s="6591"/>
      <c r="AD46" s="6591"/>
      <c r="AE46" s="6591"/>
      <c r="AF46" s="6591"/>
      <c r="AG46" s="6591"/>
      <c r="AH46" s="2757"/>
      <c r="AI46" s="1179"/>
      <c r="AJ46" s="385"/>
      <c r="AK46" s="1179"/>
      <c r="AL46" s="1284" t="str">
        <f>IF(OR(F8889_Line16&gt;0,F8889_Line20),"HSA = "&amp;TEXT(SUM(F8889_Line16,F8889_Line20),"$0"),"")</f>
        <v/>
      </c>
      <c r="AM46" s="1179"/>
      <c r="AN46" s="5804" t="str">
        <f>IF(AN41&lt;&gt;"",TEXT(AN41,"$0"),"")</f>
        <v/>
      </c>
      <c r="AO46" s="1179"/>
      <c r="AP46" s="3013"/>
      <c r="AQ46" s="3013"/>
      <c r="AR46" s="3013"/>
      <c r="AS46" s="3013"/>
      <c r="AT46" s="3013"/>
      <c r="AU46" s="3013"/>
      <c r="AV46" s="3013"/>
      <c r="AW46" s="3013"/>
      <c r="AX46" s="3013"/>
      <c r="AY46" s="3013"/>
      <c r="AZ46" s="3013"/>
    </row>
    <row r="47" spans="1:52" ht="21" customHeight="1">
      <c r="A47" s="2757"/>
      <c r="B47" s="2686"/>
      <c r="C47" s="2408">
        <v>11</v>
      </c>
      <c r="D47" s="1540" t="s">
        <v>2302</v>
      </c>
      <c r="E47" s="1179"/>
      <c r="F47" s="1179"/>
      <c r="G47" s="1179"/>
      <c r="H47" s="1179"/>
      <c r="I47" s="1179"/>
      <c r="J47" s="1179"/>
      <c r="K47" s="1179"/>
      <c r="L47" s="1179"/>
      <c r="M47" s="1179"/>
      <c r="N47" s="1179"/>
      <c r="O47" s="1179"/>
      <c r="P47" s="1179"/>
      <c r="Q47" s="1179"/>
      <c r="R47" s="1560"/>
      <c r="S47" s="2703"/>
      <c r="T47" s="2701"/>
      <c r="U47" s="1179"/>
      <c r="V47" s="2805"/>
      <c r="W47" s="3019"/>
      <c r="X47" s="3019"/>
      <c r="Y47" s="3019"/>
      <c r="Z47" s="3019"/>
      <c r="AA47" s="4099" t="s">
        <v>2524</v>
      </c>
      <c r="AB47" s="4603">
        <v>11</v>
      </c>
      <c r="AC47" s="6575"/>
      <c r="AD47" s="6576"/>
      <c r="AE47" s="6576"/>
      <c r="AF47" s="6576"/>
      <c r="AG47" s="6577"/>
      <c r="AH47" s="2757"/>
      <c r="AI47" s="1179"/>
      <c r="AJ47" s="385"/>
      <c r="AK47" s="1179"/>
      <c r="AL47" s="1284" t="str">
        <f>IF(AJ91="","",IF(AJ91&gt;999,AI90&amp;" - "&amp;TEXT(AJ91,"$0,000"),AI90&amp;" - "&amp;TEXT(AJ91,"$0")))</f>
        <v/>
      </c>
      <c r="AM47" s="1179"/>
      <c r="AN47" s="5804" t="str">
        <f>IF(AN42&lt;&gt;"",TEXT(AN42,"$0"),"")</f>
        <v/>
      </c>
      <c r="AO47" s="1179"/>
      <c r="AP47" s="3013"/>
      <c r="AQ47" s="3013"/>
      <c r="AR47" s="3013"/>
      <c r="AS47" s="3013"/>
      <c r="AT47" s="3013"/>
      <c r="AU47" s="3013"/>
      <c r="AV47" s="3013"/>
      <c r="AW47" s="3013"/>
      <c r="AX47" s="3013"/>
      <c r="AY47" s="3013"/>
      <c r="AZ47" s="3013"/>
    </row>
    <row r="48" spans="1:52" ht="21" customHeight="1">
      <c r="A48" s="2757"/>
      <c r="B48" s="2686"/>
      <c r="C48" s="2408">
        <v>12</v>
      </c>
      <c r="D48" s="2686" t="s">
        <v>5108</v>
      </c>
      <c r="E48" s="1179"/>
      <c r="F48" s="1179"/>
      <c r="G48" s="1179"/>
      <c r="H48" s="1179"/>
      <c r="I48" s="1179"/>
      <c r="J48" s="1179"/>
      <c r="K48" s="1179"/>
      <c r="L48" s="1179"/>
      <c r="M48" s="1179"/>
      <c r="N48" s="1179"/>
      <c r="O48" s="1179"/>
      <c r="P48" s="1179"/>
      <c r="Q48" s="1179"/>
      <c r="R48" s="1179"/>
      <c r="S48" s="2703"/>
      <c r="T48" s="2701"/>
      <c r="U48" s="1179"/>
      <c r="V48" s="1824"/>
      <c r="W48" s="1179"/>
      <c r="X48" s="1179"/>
      <c r="Y48" s="1179"/>
      <c r="Z48" s="1179"/>
      <c r="AA48" s="4099"/>
      <c r="AB48" s="4606"/>
      <c r="AC48" s="6589"/>
      <c r="AD48" s="6590"/>
      <c r="AE48" s="6590"/>
      <c r="AF48" s="6590"/>
      <c r="AG48" s="6590"/>
      <c r="AH48" s="2757"/>
      <c r="AI48" s="1179"/>
      <c r="AJ48" s="385"/>
      <c r="AK48" s="1179"/>
      <c r="AL48" s="1284" t="str">
        <f>IF('2555'!AE175&gt;0,"Form 2555 = ("&amp;TEXT(F2555_Line45,"$0")&amp;")","")</f>
        <v/>
      </c>
      <c r="AM48" s="1179"/>
      <c r="AN48" s="5804" t="str">
        <f>IF(AN43&lt;&gt;"",TEXT(AN43,"$0"),"")</f>
        <v/>
      </c>
      <c r="AO48" s="1179"/>
      <c r="AP48" s="3013"/>
      <c r="AQ48" s="3013"/>
      <c r="AR48" s="3013"/>
      <c r="AS48" s="3013"/>
      <c r="AT48" s="3013"/>
      <c r="AU48" s="3013"/>
      <c r="AV48" s="3013"/>
      <c r="AW48" s="3013"/>
      <c r="AX48" s="3013"/>
      <c r="AY48" s="3013"/>
      <c r="AZ48" s="3013"/>
    </row>
    <row r="49" spans="1:52" ht="14.25" customHeight="1">
      <c r="A49" s="2757"/>
      <c r="B49" s="2686"/>
      <c r="C49" s="2408"/>
      <c r="D49" s="2686" t="s">
        <v>5109</v>
      </c>
      <c r="E49" s="1179"/>
      <c r="F49" s="1179"/>
      <c r="G49" s="1179"/>
      <c r="H49" s="1179"/>
      <c r="I49" s="1179"/>
      <c r="J49" s="1179"/>
      <c r="K49" s="1179"/>
      <c r="L49" s="1179"/>
      <c r="M49" s="1179"/>
      <c r="N49" s="1179"/>
      <c r="O49" s="1179"/>
      <c r="P49" s="1179"/>
      <c r="Q49" s="1179"/>
      <c r="R49" s="1560"/>
      <c r="S49" s="2703"/>
      <c r="T49" s="2701"/>
      <c r="U49" s="1179"/>
      <c r="V49" s="1824"/>
      <c r="W49" s="4100"/>
      <c r="X49" s="4100"/>
      <c r="Y49" s="4100"/>
      <c r="Z49" s="4100"/>
      <c r="AA49" s="4099" t="s">
        <v>805</v>
      </c>
      <c r="AB49" s="4605">
        <v>12</v>
      </c>
      <c r="AC49" s="6570"/>
      <c r="AD49" s="6439"/>
      <c r="AE49" s="6439"/>
      <c r="AF49" s="6439"/>
      <c r="AG49" s="6655"/>
      <c r="AH49" s="2757"/>
      <c r="AI49" s="1179"/>
      <c r="AJ49" s="385"/>
      <c r="AK49" s="1179"/>
      <c r="AL49" s="1284" t="str">
        <f>IF(F1099G_TaxGrants&gt;0,"Grants = "&amp;TEXT(F1099G_TaxGrants,"$0"),"")</f>
        <v/>
      </c>
      <c r="AM49" s="1179"/>
      <c r="AN49" s="5505"/>
      <c r="AO49" s="1179"/>
      <c r="AP49" s="3013"/>
      <c r="AQ49" s="3013"/>
      <c r="AR49" s="3013"/>
      <c r="AS49" s="3013"/>
      <c r="AT49" s="3013"/>
      <c r="AU49" s="3013"/>
      <c r="AV49" s="3013"/>
      <c r="AW49" s="3013"/>
      <c r="AX49" s="3013"/>
      <c r="AY49" s="3013"/>
      <c r="AZ49" s="3013"/>
    </row>
    <row r="50" spans="1:52" ht="21" customHeight="1">
      <c r="A50" s="2757"/>
      <c r="B50" s="2686"/>
      <c r="C50" s="2408">
        <v>13</v>
      </c>
      <c r="D50" s="1540" t="s">
        <v>2303</v>
      </c>
      <c r="E50" s="1179"/>
      <c r="F50" s="1179"/>
      <c r="G50" s="1179"/>
      <c r="H50" s="1179"/>
      <c r="I50" s="1179"/>
      <c r="J50" s="1179"/>
      <c r="K50" s="1179"/>
      <c r="L50" s="1179"/>
      <c r="M50" s="1179"/>
      <c r="N50" s="1179"/>
      <c r="O50" s="1179"/>
      <c r="P50" s="1179"/>
      <c r="Q50" s="1179"/>
      <c r="R50" s="1560"/>
      <c r="S50" s="2703"/>
      <c r="T50" s="2701"/>
      <c r="U50" s="1179"/>
      <c r="V50" s="1824"/>
      <c r="W50" s="4101"/>
      <c r="X50" s="2079"/>
      <c r="Y50" s="2079"/>
      <c r="Z50" s="2079"/>
      <c r="AA50" s="4099" t="s">
        <v>2401</v>
      </c>
      <c r="AB50" s="4603">
        <v>13</v>
      </c>
      <c r="AC50" s="6573">
        <f>IF(AJ50&lt;&gt;"",ROUND(AJ50,0),F8889_Line13)</f>
        <v>0</v>
      </c>
      <c r="AD50" s="6574"/>
      <c r="AE50" s="6574"/>
      <c r="AF50" s="6574"/>
      <c r="AG50" s="6574"/>
      <c r="AH50" s="2757"/>
      <c r="AI50" s="1179"/>
      <c r="AJ50" s="2868"/>
      <c r="AK50" s="1179"/>
      <c r="AL50" s="1276" t="s">
        <v>5465</v>
      </c>
      <c r="AM50" s="1179"/>
      <c r="AN50" s="5505"/>
      <c r="AO50" s="1179"/>
      <c r="AP50" s="3013"/>
      <c r="AQ50" s="3013"/>
      <c r="AR50" s="3013"/>
      <c r="AS50" s="3013"/>
      <c r="AT50" s="3013"/>
      <c r="AU50" s="3013"/>
      <c r="AV50" s="3013"/>
      <c r="AW50" s="3013"/>
      <c r="AX50" s="3013"/>
      <c r="AY50" s="3013"/>
      <c r="AZ50" s="3013"/>
    </row>
    <row r="51" spans="1:52" ht="21" customHeight="1">
      <c r="A51" s="2757"/>
      <c r="B51" s="2686"/>
      <c r="C51" s="2408">
        <v>14</v>
      </c>
      <c r="D51" s="1540" t="s">
        <v>3344</v>
      </c>
      <c r="E51" s="1179"/>
      <c r="F51" s="1179"/>
      <c r="G51" s="1179"/>
      <c r="H51" s="1179"/>
      <c r="I51" s="1179"/>
      <c r="J51" s="1179"/>
      <c r="K51" s="1179"/>
      <c r="L51" s="1179"/>
      <c r="M51" s="1179"/>
      <c r="N51" s="1179"/>
      <c r="O51" s="1179"/>
      <c r="P51" s="1179"/>
      <c r="Q51" s="1179"/>
      <c r="R51" s="1560"/>
      <c r="S51" s="2703"/>
      <c r="T51" s="2701"/>
      <c r="U51" s="1179"/>
      <c r="V51" s="1824"/>
      <c r="W51" s="1179"/>
      <c r="X51" s="1179"/>
      <c r="Y51" s="1179"/>
      <c r="Z51" s="1179"/>
      <c r="AA51" s="4099" t="s">
        <v>2910</v>
      </c>
      <c r="AB51" s="4605">
        <v>14</v>
      </c>
      <c r="AC51" s="6570"/>
      <c r="AD51" s="6439"/>
      <c r="AE51" s="6439"/>
      <c r="AF51" s="6439"/>
      <c r="AG51" s="6655"/>
      <c r="AH51" s="2757"/>
      <c r="AI51" s="1179"/>
      <c r="AJ51" s="385"/>
      <c r="AK51" s="1179"/>
      <c r="AL51" s="1179"/>
      <c r="AM51" s="1179"/>
      <c r="AN51" s="5506"/>
      <c r="AO51" s="1179"/>
      <c r="AP51" s="3013"/>
      <c r="AQ51" s="3013"/>
      <c r="AR51" s="3013"/>
      <c r="AS51" s="3013"/>
      <c r="AT51" s="3013"/>
      <c r="AU51" s="3013"/>
      <c r="AV51" s="3013"/>
      <c r="AW51" s="3013"/>
      <c r="AX51" s="3013"/>
      <c r="AY51" s="3013"/>
      <c r="AZ51" s="3013"/>
    </row>
    <row r="52" spans="1:52" ht="21" customHeight="1">
      <c r="A52" s="2757"/>
      <c r="B52" s="2686"/>
      <c r="C52" s="2408">
        <v>15</v>
      </c>
      <c r="D52" s="1540" t="s">
        <v>2304</v>
      </c>
      <c r="E52" s="1179"/>
      <c r="F52" s="1179"/>
      <c r="G52" s="1179"/>
      <c r="H52" s="1179"/>
      <c r="I52" s="1179"/>
      <c r="J52" s="1179"/>
      <c r="K52" s="1179"/>
      <c r="L52" s="1179"/>
      <c r="M52" s="1179"/>
      <c r="N52" s="1179"/>
      <c r="O52" s="1179"/>
      <c r="P52" s="1179"/>
      <c r="Q52" s="1179"/>
      <c r="R52" s="1179"/>
      <c r="S52" s="2703"/>
      <c r="T52" s="2701"/>
      <c r="U52" s="1179"/>
      <c r="V52" s="1824"/>
      <c r="W52" s="4101"/>
      <c r="X52" s="2079"/>
      <c r="Y52" s="2079"/>
      <c r="Z52" s="2079"/>
      <c r="AA52" s="4099" t="s">
        <v>2514</v>
      </c>
      <c r="AB52" s="4603">
        <v>15</v>
      </c>
      <c r="AC52" s="6573">
        <f>IF(AJ52&lt;&gt;"",ROUND(AJ52,0),SchSE_Deduction)</f>
        <v>0</v>
      </c>
      <c r="AD52" s="6574"/>
      <c r="AE52" s="6574"/>
      <c r="AF52" s="6574"/>
      <c r="AG52" s="6574"/>
      <c r="AH52" s="2757"/>
      <c r="AI52" s="1179"/>
      <c r="AJ52" s="2868"/>
      <c r="AK52" s="1179"/>
      <c r="AL52" s="1276" t="s">
        <v>4374</v>
      </c>
      <c r="AM52" s="1179"/>
      <c r="AN52" s="1284" t="b">
        <f>AND(AlimonyPaid&gt;0,OR(V58="",V58&gt;=$AN$9))</f>
        <v>0</v>
      </c>
      <c r="AO52" s="1179"/>
      <c r="AP52" s="3013"/>
      <c r="AQ52" s="3013"/>
      <c r="AR52" s="3013"/>
      <c r="AS52" s="3013"/>
      <c r="AT52" s="3013"/>
      <c r="AU52" s="3013"/>
      <c r="AV52" s="3013"/>
      <c r="AW52" s="3013"/>
      <c r="AX52" s="3013"/>
      <c r="AY52" s="3013"/>
      <c r="AZ52" s="3013"/>
    </row>
    <row r="53" spans="1:52" ht="21" customHeight="1">
      <c r="A53" s="2757"/>
      <c r="B53" s="2686"/>
      <c r="C53" s="2408">
        <v>16</v>
      </c>
      <c r="D53" s="1540" t="s">
        <v>2305</v>
      </c>
      <c r="E53" s="1179"/>
      <c r="F53" s="1179"/>
      <c r="G53" s="1179"/>
      <c r="H53" s="1179"/>
      <c r="I53" s="1179"/>
      <c r="J53" s="1179"/>
      <c r="K53" s="1179"/>
      <c r="L53" s="1179"/>
      <c r="M53" s="1179"/>
      <c r="N53" s="1179"/>
      <c r="O53" s="1179"/>
      <c r="P53" s="1179"/>
      <c r="Q53" s="1179"/>
      <c r="R53" s="1560"/>
      <c r="S53" s="2703"/>
      <c r="T53" s="2701"/>
      <c r="U53" s="1179"/>
      <c r="V53" s="1824"/>
      <c r="W53" s="4100"/>
      <c r="X53" s="4100"/>
      <c r="Y53" s="4100"/>
      <c r="Z53" s="4100"/>
      <c r="AA53" s="4099" t="s">
        <v>1625</v>
      </c>
      <c r="AB53" s="4603">
        <v>16</v>
      </c>
      <c r="AC53" s="6575"/>
      <c r="AD53" s="6576"/>
      <c r="AE53" s="6576"/>
      <c r="AF53" s="6576"/>
      <c r="AG53" s="6577"/>
      <c r="AH53" s="2757"/>
      <c r="AI53" s="1179"/>
      <c r="AJ53" s="385" t="str">
        <f>IF($AI$54,"Line 17 - Your SE Health Insurance deduction cannot","")</f>
        <v/>
      </c>
      <c r="AK53" s="1179"/>
      <c r="AL53" s="1276"/>
      <c r="AM53" s="1179"/>
      <c r="AN53" s="3692" t="s">
        <v>2936</v>
      </c>
      <c r="AO53" s="1179"/>
      <c r="AP53" s="3013"/>
      <c r="AQ53" s="3013"/>
      <c r="AR53" s="3013"/>
      <c r="AS53" s="3013"/>
      <c r="AT53" s="3013"/>
      <c r="AU53" s="3013"/>
      <c r="AV53" s="3013"/>
      <c r="AW53" s="3013"/>
      <c r="AX53" s="3013"/>
      <c r="AY53" s="3013"/>
      <c r="AZ53" s="3013"/>
    </row>
    <row r="54" spans="1:52" ht="21" customHeight="1">
      <c r="A54" s="2757"/>
      <c r="B54" s="2686"/>
      <c r="C54" s="2408">
        <v>17</v>
      </c>
      <c r="D54" s="1540" t="s">
        <v>496</v>
      </c>
      <c r="E54" s="1179"/>
      <c r="F54" s="1179"/>
      <c r="G54" s="1179"/>
      <c r="H54" s="1179"/>
      <c r="I54" s="1179"/>
      <c r="J54" s="1179"/>
      <c r="K54" s="1179"/>
      <c r="L54" s="1179"/>
      <c r="M54" s="1179"/>
      <c r="N54" s="1179"/>
      <c r="O54" s="1179"/>
      <c r="P54" s="1179"/>
      <c r="Q54" s="1179"/>
      <c r="R54" s="1560"/>
      <c r="S54" s="2703"/>
      <c r="T54" s="2701"/>
      <c r="U54" s="1179"/>
      <c r="V54" s="1824"/>
      <c r="W54" s="4100"/>
      <c r="X54" s="4100"/>
      <c r="Y54" s="4100"/>
      <c r="Z54" s="4100"/>
      <c r="AA54" s="4099" t="s">
        <v>2211</v>
      </c>
      <c r="AB54" s="4603">
        <v>17</v>
      </c>
      <c r="AC54" s="6575"/>
      <c r="AD54" s="6576"/>
      <c r="AE54" s="6576"/>
      <c r="AF54" s="6576"/>
      <c r="AG54" s="6577"/>
      <c r="AH54" s="2757"/>
      <c r="AI54" s="1284" t="b">
        <f>AND(SEHealthInsDeduct&lt;&gt;"",SEHealthInsDeduct&gt;SUM(SchSE_Profit1,SchSE_Profit2))</f>
        <v>0</v>
      </c>
      <c r="AJ54" s="5117" t="str">
        <f>IF($AI$54,"be more than your Schedule SE business profit.","")</f>
        <v/>
      </c>
      <c r="AK54" s="1179"/>
      <c r="AL54" s="1179"/>
      <c r="AM54" s="1179"/>
      <c r="AN54" s="6646" t="s">
        <v>5113</v>
      </c>
      <c r="AO54" s="1179"/>
      <c r="AP54" s="3013"/>
      <c r="AQ54" s="3013"/>
      <c r="AR54" s="3013"/>
      <c r="AS54" s="3013"/>
      <c r="AT54" s="3013"/>
      <c r="AU54" s="3013"/>
      <c r="AV54" s="3013"/>
      <c r="AW54" s="3013"/>
      <c r="AX54" s="3013"/>
      <c r="AY54" s="3013"/>
      <c r="AZ54" s="3013"/>
    </row>
    <row r="55" spans="1:52" ht="21" customHeight="1">
      <c r="A55" s="2757"/>
      <c r="B55" s="2686"/>
      <c r="C55" s="2408">
        <v>18</v>
      </c>
      <c r="D55" s="1540" t="s">
        <v>2306</v>
      </c>
      <c r="E55" s="1179"/>
      <c r="F55" s="1179"/>
      <c r="G55" s="1179"/>
      <c r="H55" s="1179"/>
      <c r="I55" s="1179"/>
      <c r="J55" s="1179"/>
      <c r="K55" s="1179"/>
      <c r="L55" s="1179"/>
      <c r="M55" s="1179"/>
      <c r="N55" s="1179"/>
      <c r="O55" s="1179"/>
      <c r="P55" s="1179"/>
      <c r="Q55" s="1179"/>
      <c r="R55" s="1560"/>
      <c r="S55" s="2703"/>
      <c r="T55" s="2701"/>
      <c r="U55" s="1179"/>
      <c r="V55" s="1824"/>
      <c r="W55" s="4101"/>
      <c r="X55" s="2079"/>
      <c r="Y55" s="2079"/>
      <c r="Z55" s="2079"/>
      <c r="AA55" s="4099" t="s">
        <v>2027</v>
      </c>
      <c r="AB55" s="4603">
        <v>18</v>
      </c>
      <c r="AC55" s="6573">
        <f>IF(AJ55&lt;&gt;"",ROUND(AJ55,0),Penalty4EW)</f>
        <v>0</v>
      </c>
      <c r="AD55" s="6574"/>
      <c r="AE55" s="6574"/>
      <c r="AF55" s="6574"/>
      <c r="AG55" s="6574"/>
      <c r="AH55" s="2757"/>
      <c r="AI55" s="1179"/>
      <c r="AJ55" s="2868"/>
      <c r="AK55" s="1179"/>
      <c r="AL55" s="1276" t="s">
        <v>2645</v>
      </c>
      <c r="AM55" s="1179"/>
      <c r="AN55" s="6646"/>
      <c r="AO55" s="1179"/>
      <c r="AP55" s="3013"/>
      <c r="AQ55" s="3013"/>
      <c r="AR55" s="3013"/>
      <c r="AS55" s="3013"/>
      <c r="AT55" s="3013"/>
      <c r="AU55" s="3013"/>
      <c r="AV55" s="3013"/>
      <c r="AW55" s="3013"/>
      <c r="AX55" s="3013"/>
      <c r="AY55" s="3013"/>
      <c r="AZ55" s="3013"/>
    </row>
    <row r="56" spans="1:52" ht="21" customHeight="1">
      <c r="A56" s="2757"/>
      <c r="B56" s="2686"/>
      <c r="C56" s="2408" t="s">
        <v>892</v>
      </c>
      <c r="D56" s="1540" t="s">
        <v>336</v>
      </c>
      <c r="E56" s="1179"/>
      <c r="F56" s="1179"/>
      <c r="G56" s="1560"/>
      <c r="H56" s="1276"/>
      <c r="I56" s="1179"/>
      <c r="J56" s="1179"/>
      <c r="K56" s="1179"/>
      <c r="L56" s="1179"/>
      <c r="M56" s="2701"/>
      <c r="N56" s="2701"/>
      <c r="O56" s="2701"/>
      <c r="P56" s="2701"/>
      <c r="Q56" s="2701"/>
      <c r="R56" s="1179"/>
      <c r="S56" s="2703"/>
      <c r="T56" s="2701"/>
      <c r="U56" s="2701"/>
      <c r="V56" s="2701"/>
      <c r="W56" s="2701"/>
      <c r="X56" s="2701"/>
      <c r="Y56" s="2701"/>
      <c r="Z56" s="2701"/>
      <c r="AA56" s="4099" t="s">
        <v>2971</v>
      </c>
      <c r="AB56" s="4603" t="s">
        <v>892</v>
      </c>
      <c r="AC56" s="6575"/>
      <c r="AD56" s="6576"/>
      <c r="AE56" s="6576"/>
      <c r="AF56" s="6576"/>
      <c r="AG56" s="6577"/>
      <c r="AH56" s="2757"/>
      <c r="AI56" s="3279" t="str">
        <f>IF(AN52,"See TIP. &gt;&gt;","")</f>
        <v/>
      </c>
      <c r="AJ56" s="385"/>
      <c r="AK56" s="1179"/>
      <c r="AL56" s="1179"/>
      <c r="AM56" s="1179"/>
      <c r="AN56" s="6646"/>
      <c r="AO56" s="1179"/>
      <c r="AP56" s="3013"/>
      <c r="AQ56" s="3013"/>
      <c r="AR56" s="3013"/>
      <c r="AS56" s="3013"/>
      <c r="AT56" s="3013"/>
      <c r="AU56" s="3013"/>
      <c r="AV56" s="3013"/>
      <c r="AW56" s="3013"/>
      <c r="AX56" s="3013"/>
      <c r="AY56" s="3013"/>
      <c r="AZ56" s="3013"/>
    </row>
    <row r="57" spans="1:52" ht="21" customHeight="1">
      <c r="A57" s="2757"/>
      <c r="B57" s="2686"/>
      <c r="C57" s="1813" t="s">
        <v>47</v>
      </c>
      <c r="D57" s="1540" t="s">
        <v>3347</v>
      </c>
      <c r="E57" s="1179"/>
      <c r="F57" s="1179"/>
      <c r="G57" s="1560"/>
      <c r="H57" s="1276"/>
      <c r="I57" s="1179"/>
      <c r="J57" s="1179"/>
      <c r="K57" s="1179"/>
      <c r="L57" s="1179"/>
      <c r="M57" s="1179"/>
      <c r="N57" s="1179"/>
      <c r="O57" s="1179"/>
      <c r="P57" s="1179"/>
      <c r="Q57" s="1179"/>
      <c r="R57" s="1179"/>
      <c r="S57" s="2703"/>
      <c r="T57" s="2701"/>
      <c r="U57" s="1560" t="s">
        <v>2027</v>
      </c>
      <c r="V57" s="6606"/>
      <c r="W57" s="6607"/>
      <c r="X57" s="6607"/>
      <c r="Y57" s="6607"/>
      <c r="Z57" s="6607"/>
      <c r="AA57" s="4099"/>
      <c r="AB57" s="4604"/>
      <c r="AC57" s="3015"/>
      <c r="AD57" s="3019"/>
      <c r="AE57" s="3019"/>
      <c r="AF57" s="3019"/>
      <c r="AG57" s="4102"/>
      <c r="AH57" s="2757"/>
      <c r="AI57" s="4060"/>
      <c r="AJ57" s="385"/>
      <c r="AK57" s="1179"/>
      <c r="AL57" s="1179"/>
      <c r="AM57" s="1179"/>
      <c r="AN57" s="6646"/>
      <c r="AO57" s="1179"/>
      <c r="AP57" s="3013"/>
      <c r="AQ57" s="3013"/>
      <c r="AR57" s="3013"/>
      <c r="AS57" s="3013"/>
      <c r="AT57" s="3013"/>
      <c r="AU57" s="3013"/>
      <c r="AV57" s="3013"/>
      <c r="AW57" s="3013"/>
      <c r="AX57" s="3013"/>
      <c r="AY57" s="3013"/>
      <c r="AZ57" s="3013"/>
    </row>
    <row r="58" spans="1:52" ht="21" customHeight="1">
      <c r="A58" s="2757"/>
      <c r="B58" s="2686"/>
      <c r="C58" s="1813" t="s">
        <v>48</v>
      </c>
      <c r="D58" s="2686" t="s">
        <v>3338</v>
      </c>
      <c r="E58" s="1179"/>
      <c r="F58" s="1179"/>
      <c r="G58" s="1560"/>
      <c r="H58" s="1276"/>
      <c r="I58" s="1179"/>
      <c r="J58" s="1179"/>
      <c r="K58" s="1179"/>
      <c r="L58" s="1179"/>
      <c r="M58" s="1179"/>
      <c r="N58" s="1179"/>
      <c r="O58" s="1179"/>
      <c r="P58" s="1179"/>
      <c r="Q58" s="1179"/>
      <c r="R58" s="1179"/>
      <c r="S58" s="2703"/>
      <c r="T58" s="2701"/>
      <c r="U58" s="1179"/>
      <c r="V58" s="6604"/>
      <c r="W58" s="6605"/>
      <c r="X58" s="6605"/>
      <c r="Y58" s="6605"/>
      <c r="Z58" s="6605"/>
      <c r="AA58" s="4099"/>
      <c r="AB58" s="4604"/>
      <c r="AC58" s="4103"/>
      <c r="AD58" s="4104"/>
      <c r="AE58" s="4104"/>
      <c r="AF58" s="4104"/>
      <c r="AG58" s="1721"/>
      <c r="AH58" s="2757"/>
      <c r="AI58" s="4060"/>
      <c r="AJ58" s="385"/>
      <c r="AK58" s="1179"/>
      <c r="AL58" s="1179"/>
      <c r="AM58" s="1179"/>
      <c r="AN58" s="6646"/>
      <c r="AO58" s="1179"/>
      <c r="AP58" s="3013"/>
      <c r="AQ58" s="3013"/>
      <c r="AR58" s="3013"/>
      <c r="AS58" s="3013"/>
      <c r="AT58" s="3013"/>
      <c r="AU58" s="3013"/>
      <c r="AV58" s="3013"/>
      <c r="AW58" s="3013"/>
      <c r="AX58" s="3013"/>
      <c r="AY58" s="3013"/>
      <c r="AZ58" s="3013"/>
    </row>
    <row r="59" spans="1:52" ht="21" customHeight="1">
      <c r="A59" s="2757"/>
      <c r="B59" s="2686"/>
      <c r="C59" s="2408">
        <v>20</v>
      </c>
      <c r="D59" s="1540" t="s">
        <v>497</v>
      </c>
      <c r="E59" s="1179"/>
      <c r="F59" s="1179"/>
      <c r="G59" s="1179"/>
      <c r="H59" s="1179"/>
      <c r="I59" s="1179"/>
      <c r="J59" s="1179"/>
      <c r="K59" s="1179"/>
      <c r="L59" s="1179"/>
      <c r="M59" s="1179"/>
      <c r="N59" s="1179"/>
      <c r="O59" s="1179"/>
      <c r="P59" s="1179"/>
      <c r="Q59" s="1179"/>
      <c r="R59" s="1560"/>
      <c r="S59" s="2703"/>
      <c r="T59" s="2701"/>
      <c r="U59" s="1179"/>
      <c r="V59" s="1824"/>
      <c r="W59" s="4101"/>
      <c r="X59" s="2079"/>
      <c r="Y59" s="2079"/>
      <c r="Z59" s="2079"/>
      <c r="AA59" s="4099" t="str">
        <f>IF(LivedApart,".   .   .   .   .   .   .   .   .   .   .   .   .   .   .   .   .   .   .   .   .   .   .   .   .   .   .   .   .  D  ",".   .   .   .   .   .   .   .   .   .   .   .   .   .   .   .   .   .   .   .   .   .   .   .   .   .   .   .   .   .  ")</f>
        <v xml:space="preserve">.   .   .   .   .   .   .   .   .   .   .   .   .   .   .   .   .   .   .   .   .   .   .   .   .   .   .   .   .   .  </v>
      </c>
      <c r="AB59" s="4603">
        <v>20</v>
      </c>
      <c r="AC59" s="6573" t="str">
        <f>IF(AJ59&lt;&gt;"",ROUND(AJ59,0),IRA_Deduction)</f>
        <v/>
      </c>
      <c r="AD59" s="6574"/>
      <c r="AE59" s="6574"/>
      <c r="AF59" s="6574"/>
      <c r="AG59" s="6574"/>
      <c r="AH59" s="2757"/>
      <c r="AI59" s="1179"/>
      <c r="AJ59" s="2868"/>
      <c r="AK59" s="1179"/>
      <c r="AL59" s="1276" t="s">
        <v>5693</v>
      </c>
      <c r="AM59" s="1179"/>
      <c r="AN59" s="6646"/>
      <c r="AO59" s="1179"/>
      <c r="AP59" s="3013"/>
      <c r="AQ59" s="3013"/>
      <c r="AR59" s="3013"/>
      <c r="AS59" s="3013"/>
      <c r="AT59" s="3013"/>
      <c r="AU59" s="3013"/>
      <c r="AV59" s="3013"/>
      <c r="AW59" s="3013"/>
      <c r="AX59" s="3013"/>
      <c r="AY59" s="3013"/>
      <c r="AZ59" s="3013"/>
    </row>
    <row r="60" spans="1:52" ht="21" customHeight="1">
      <c r="A60" s="2757"/>
      <c r="B60" s="2686"/>
      <c r="C60" s="2408">
        <v>21</v>
      </c>
      <c r="D60" s="1540" t="s">
        <v>2307</v>
      </c>
      <c r="E60" s="1179"/>
      <c r="F60" s="1179"/>
      <c r="G60" s="1179"/>
      <c r="H60" s="1179"/>
      <c r="I60" s="1179"/>
      <c r="J60" s="1179"/>
      <c r="K60" s="1179"/>
      <c r="L60" s="1179"/>
      <c r="M60" s="1179"/>
      <c r="N60" s="1179"/>
      <c r="O60" s="1179"/>
      <c r="P60" s="1179"/>
      <c r="Q60" s="1179"/>
      <c r="R60" s="1560"/>
      <c r="S60" s="2703"/>
      <c r="T60" s="2701"/>
      <c r="U60" s="1179"/>
      <c r="V60" s="1824"/>
      <c r="W60" s="4101"/>
      <c r="X60" s="2079"/>
      <c r="Y60" s="2079"/>
      <c r="Z60" s="2079"/>
      <c r="AA60" s="4099" t="s">
        <v>2576</v>
      </c>
      <c r="AB60" s="4603">
        <v>21</v>
      </c>
      <c r="AC60" s="6573" t="str">
        <f>IF(AJ60&lt;&gt;"",ROUND(AJ60,0),StuLoanIntDeduct)</f>
        <v/>
      </c>
      <c r="AD60" s="6574"/>
      <c r="AE60" s="6574"/>
      <c r="AF60" s="6574"/>
      <c r="AG60" s="6574"/>
      <c r="AH60" s="2757"/>
      <c r="AI60" s="3693"/>
      <c r="AJ60" s="2868"/>
      <c r="AK60" s="1179"/>
      <c r="AL60" s="1276" t="s">
        <v>5694</v>
      </c>
      <c r="AM60" s="1179"/>
      <c r="AN60" s="6646"/>
      <c r="AO60" s="1179"/>
      <c r="AP60" s="3013"/>
      <c r="AQ60" s="3013"/>
      <c r="AR60" s="3013"/>
      <c r="AS60" s="3013"/>
      <c r="AT60" s="3013"/>
      <c r="AU60" s="3013"/>
      <c r="AV60" s="3013"/>
      <c r="AW60" s="3013"/>
      <c r="AX60" s="3013"/>
      <c r="AY60" s="3013"/>
      <c r="AZ60" s="3013"/>
    </row>
    <row r="61" spans="1:52" ht="21" customHeight="1">
      <c r="A61" s="2757"/>
      <c r="B61" s="2686"/>
      <c r="C61" s="2408">
        <v>22</v>
      </c>
      <c r="D61" s="1540" t="s">
        <v>610</v>
      </c>
      <c r="E61" s="1179"/>
      <c r="F61" s="1179"/>
      <c r="G61" s="1179"/>
      <c r="H61" s="1179"/>
      <c r="I61" s="1179"/>
      <c r="J61" s="1179"/>
      <c r="K61" s="1179"/>
      <c r="L61" s="1179"/>
      <c r="M61" s="1179"/>
      <c r="N61" s="1179"/>
      <c r="O61" s="1179"/>
      <c r="P61" s="1179"/>
      <c r="Q61" s="1179"/>
      <c r="R61" s="1560"/>
      <c r="S61" s="2703"/>
      <c r="T61" s="2701"/>
      <c r="U61" s="1179"/>
      <c r="V61" s="1824"/>
      <c r="W61" s="1179"/>
      <c r="X61" s="1179"/>
      <c r="Y61" s="1179"/>
      <c r="Z61" s="1179"/>
      <c r="AA61" s="4099" t="s">
        <v>805</v>
      </c>
      <c r="AB61" s="4603">
        <v>22</v>
      </c>
      <c r="AC61" s="6652"/>
      <c r="AD61" s="6653"/>
      <c r="AE61" s="6653"/>
      <c r="AF61" s="6653"/>
      <c r="AG61" s="6654"/>
      <c r="AH61" s="2757"/>
      <c r="AI61" s="1179"/>
      <c r="AJ61" s="385"/>
      <c r="AK61" s="1179"/>
      <c r="AL61" s="1179"/>
      <c r="AM61" s="1179"/>
      <c r="AN61" s="6646"/>
      <c r="AO61" s="1179"/>
      <c r="AP61" s="3013"/>
      <c r="AQ61" s="3013"/>
      <c r="AR61" s="3013"/>
      <c r="AS61" s="3013"/>
      <c r="AT61" s="3013"/>
      <c r="AU61" s="3013"/>
      <c r="AV61" s="3013"/>
      <c r="AW61" s="3013"/>
      <c r="AX61" s="3013"/>
      <c r="AY61" s="3013"/>
      <c r="AZ61" s="3013"/>
    </row>
    <row r="62" spans="1:52" ht="21" customHeight="1">
      <c r="A62" s="2757"/>
      <c r="B62" s="2686"/>
      <c r="C62" s="2408">
        <v>23</v>
      </c>
      <c r="D62" s="1540" t="s">
        <v>5111</v>
      </c>
      <c r="E62" s="1179"/>
      <c r="F62" s="1179"/>
      <c r="G62" s="1179"/>
      <c r="H62" s="1179"/>
      <c r="I62" s="1179"/>
      <c r="J62" s="1179"/>
      <c r="K62" s="1179"/>
      <c r="L62" s="1179"/>
      <c r="M62" s="1179"/>
      <c r="N62" s="1179"/>
      <c r="O62" s="1179"/>
      <c r="P62" s="1179"/>
      <c r="Q62" s="1179"/>
      <c r="R62" s="1560"/>
      <c r="S62" s="2703"/>
      <c r="T62" s="2701"/>
      <c r="U62" s="1179"/>
      <c r="V62" s="1824"/>
      <c r="W62" s="1179"/>
      <c r="X62" s="1179"/>
      <c r="Y62" s="1179"/>
      <c r="Z62" s="1179"/>
      <c r="AA62" s="4099" t="s">
        <v>3348</v>
      </c>
      <c r="AB62" s="4603">
        <v>23</v>
      </c>
      <c r="AC62" s="6575"/>
      <c r="AD62" s="6576"/>
      <c r="AE62" s="6576"/>
      <c r="AF62" s="6576"/>
      <c r="AG62" s="6577"/>
      <c r="AH62" s="2757"/>
      <c r="AI62" s="1179"/>
      <c r="AJ62" s="385"/>
      <c r="AK62" s="1179"/>
      <c r="AL62" s="1179"/>
      <c r="AM62" s="1179"/>
      <c r="AN62" s="6646"/>
      <c r="AO62" s="1179"/>
      <c r="AP62" s="3013"/>
      <c r="AQ62" s="3013"/>
      <c r="AR62" s="3013"/>
      <c r="AS62" s="3013"/>
      <c r="AT62" s="3013"/>
      <c r="AU62" s="3013"/>
      <c r="AV62" s="3013"/>
      <c r="AW62" s="3013"/>
      <c r="AX62" s="3013"/>
      <c r="AY62" s="3013"/>
      <c r="AZ62" s="3013"/>
    </row>
    <row r="63" spans="1:52" ht="21" customHeight="1">
      <c r="A63" s="2757"/>
      <c r="B63" s="2686"/>
      <c r="C63" s="2408">
        <v>24</v>
      </c>
      <c r="D63" s="1540" t="s">
        <v>5110</v>
      </c>
      <c r="E63" s="1179"/>
      <c r="F63" s="1179"/>
      <c r="G63" s="1179"/>
      <c r="H63" s="1179"/>
      <c r="I63" s="1179"/>
      <c r="J63" s="1179"/>
      <c r="K63" s="1179"/>
      <c r="L63" s="1179"/>
      <c r="M63" s="1179"/>
      <c r="N63" s="1179"/>
      <c r="O63" s="1179"/>
      <c r="P63" s="1179"/>
      <c r="Q63" s="1179"/>
      <c r="R63" s="1560"/>
      <c r="S63" s="2703"/>
      <c r="T63" s="2701"/>
      <c r="U63" s="1179"/>
      <c r="V63" s="5123"/>
      <c r="W63" s="1179"/>
      <c r="X63" s="1179"/>
      <c r="Y63" s="1179"/>
      <c r="Z63" s="1179"/>
      <c r="AA63" s="4099"/>
      <c r="AB63" s="4604"/>
      <c r="AC63" s="3015"/>
      <c r="AD63" s="3019"/>
      <c r="AE63" s="3019"/>
      <c r="AF63" s="3019"/>
      <c r="AG63" s="4102"/>
      <c r="AH63" s="2757"/>
      <c r="AI63" s="1179"/>
      <c r="AJ63" s="385"/>
      <c r="AK63" s="1179"/>
      <c r="AL63" s="1179"/>
      <c r="AM63" s="1179"/>
      <c r="AN63" s="6646"/>
      <c r="AO63" s="1179"/>
      <c r="AP63" s="3013"/>
      <c r="AQ63" s="3013"/>
      <c r="AR63" s="3013"/>
      <c r="AS63" s="3013"/>
      <c r="AT63" s="3013"/>
      <c r="AU63" s="3013"/>
      <c r="AV63" s="3013"/>
      <c r="AW63" s="3013"/>
      <c r="AX63" s="3013"/>
      <c r="AY63" s="3013"/>
      <c r="AZ63" s="3013"/>
    </row>
    <row r="64" spans="1:52" ht="21" customHeight="1">
      <c r="A64" s="2757"/>
      <c r="B64" s="1179"/>
      <c r="C64" s="1813" t="s">
        <v>33</v>
      </c>
      <c r="D64" s="2686" t="s">
        <v>4746</v>
      </c>
      <c r="E64" s="1179"/>
      <c r="F64" s="1179"/>
      <c r="G64" s="1179"/>
      <c r="H64" s="1179"/>
      <c r="I64" s="1179"/>
      <c r="J64" s="1179"/>
      <c r="K64" s="1179"/>
      <c r="L64" s="1179"/>
      <c r="M64" s="1179"/>
      <c r="N64" s="1179"/>
      <c r="O64" s="1179"/>
      <c r="P64" s="1179"/>
      <c r="Q64" s="1179"/>
      <c r="R64" s="1179"/>
      <c r="S64" s="1179"/>
      <c r="T64" s="1179"/>
      <c r="U64" s="4099" t="s">
        <v>1055</v>
      </c>
      <c r="V64" s="5121" t="s">
        <v>171</v>
      </c>
      <c r="W64" s="6559"/>
      <c r="X64" s="6559"/>
      <c r="Y64" s="6559"/>
      <c r="Z64" s="6559"/>
      <c r="AA64" s="6560"/>
      <c r="AB64" s="4604"/>
      <c r="AC64" s="6571">
        <f>ROUND(W64,0)</f>
        <v>0</v>
      </c>
      <c r="AD64" s="6572"/>
      <c r="AE64" s="6572"/>
      <c r="AF64" s="6572"/>
      <c r="AG64" s="6572"/>
      <c r="AH64" s="2757"/>
      <c r="AI64" s="1179"/>
      <c r="AJ64" s="385"/>
      <c r="AK64" s="1179"/>
      <c r="AL64" s="4568"/>
      <c r="AM64" s="1179"/>
      <c r="AN64" s="6646"/>
      <c r="AO64" s="1179"/>
      <c r="AP64" s="3013"/>
      <c r="AQ64" s="3013"/>
      <c r="AR64" s="3013"/>
      <c r="AS64" s="3013"/>
      <c r="AT64" s="3013"/>
      <c r="AU64" s="3013"/>
      <c r="AV64" s="3013"/>
      <c r="AW64" s="3013"/>
      <c r="AX64" s="3013"/>
      <c r="AY64" s="3013"/>
      <c r="AZ64" s="3013"/>
    </row>
    <row r="65" spans="1:52" ht="21" customHeight="1">
      <c r="A65" s="2757"/>
      <c r="B65" s="1179"/>
      <c r="C65" s="1813" t="s">
        <v>47</v>
      </c>
      <c r="D65" s="2686" t="s">
        <v>4747</v>
      </c>
      <c r="E65" s="1179"/>
      <c r="F65" s="1179"/>
      <c r="G65" s="1179"/>
      <c r="H65" s="1179"/>
      <c r="I65" s="1179"/>
      <c r="J65" s="1179"/>
      <c r="K65" s="1179"/>
      <c r="L65" s="1179"/>
      <c r="M65" s="1179"/>
      <c r="N65" s="1179"/>
      <c r="O65" s="1179"/>
      <c r="P65" s="1179"/>
      <c r="Q65" s="1179"/>
      <c r="R65" s="1179"/>
      <c r="S65" s="1179"/>
      <c r="T65" s="1179"/>
      <c r="U65" s="1179"/>
      <c r="V65" s="5123"/>
      <c r="W65" s="6567"/>
      <c r="X65" s="6568"/>
      <c r="Y65" s="6568"/>
      <c r="Z65" s="6568"/>
      <c r="AA65" s="6569"/>
      <c r="AB65" s="4604"/>
      <c r="AC65" s="5448"/>
      <c r="AD65" s="5490"/>
      <c r="AE65" s="5490"/>
      <c r="AF65" s="5490"/>
      <c r="AG65" s="5490"/>
      <c r="AH65" s="2757"/>
      <c r="AI65" s="1179"/>
      <c r="AJ65" s="385"/>
      <c r="AK65" s="1179"/>
      <c r="AL65" s="4568"/>
      <c r="AM65" s="1179"/>
      <c r="AN65" s="6646"/>
      <c r="AO65" s="1179"/>
      <c r="AP65" s="3013"/>
      <c r="AQ65" s="3013"/>
      <c r="AR65" s="3013"/>
      <c r="AS65" s="3013"/>
      <c r="AT65" s="3013"/>
      <c r="AU65" s="3013"/>
      <c r="AV65" s="3013"/>
      <c r="AW65" s="3013"/>
      <c r="AX65" s="3013"/>
      <c r="AY65" s="3013"/>
      <c r="AZ65" s="3013"/>
    </row>
    <row r="66" spans="1:52" ht="15.75" customHeight="1">
      <c r="A66" s="2757"/>
      <c r="B66" s="1179"/>
      <c r="C66" s="1813"/>
      <c r="D66" s="3719" t="s">
        <v>4748</v>
      </c>
      <c r="E66" s="1179"/>
      <c r="F66" s="1179"/>
      <c r="G66" s="1179"/>
      <c r="H66" s="1179"/>
      <c r="I66" s="1179"/>
      <c r="J66" s="1179"/>
      <c r="K66" s="1179"/>
      <c r="L66" s="1179"/>
      <c r="M66" s="1179"/>
      <c r="N66" s="1179"/>
      <c r="O66" s="1179"/>
      <c r="P66" s="1179"/>
      <c r="Q66" s="1179"/>
      <c r="R66" s="1179"/>
      <c r="S66" s="1179"/>
      <c r="T66" s="1179"/>
      <c r="U66" s="4099" t="s">
        <v>1978</v>
      </c>
      <c r="V66" s="5121" t="s">
        <v>60</v>
      </c>
      <c r="W66" s="6559"/>
      <c r="X66" s="6559"/>
      <c r="Y66" s="6559"/>
      <c r="Z66" s="6559"/>
      <c r="AA66" s="6560"/>
      <c r="AB66" s="4604"/>
      <c r="AC66" s="6571">
        <f>ROUND(W66,0)</f>
        <v>0</v>
      </c>
      <c r="AD66" s="6572"/>
      <c r="AE66" s="6572"/>
      <c r="AF66" s="6572"/>
      <c r="AG66" s="6572"/>
      <c r="AH66" s="2757"/>
      <c r="AI66" s="1179"/>
      <c r="AJ66" s="385"/>
      <c r="AK66" s="1179"/>
      <c r="AL66" s="4568"/>
      <c r="AM66" s="1179"/>
      <c r="AN66" s="6646"/>
      <c r="AO66" s="1179"/>
      <c r="AP66" s="3013"/>
      <c r="AQ66" s="3013"/>
      <c r="AR66" s="3013"/>
      <c r="AS66" s="3013"/>
      <c r="AT66" s="3013"/>
      <c r="AU66" s="3013"/>
      <c r="AV66" s="3013"/>
      <c r="AW66" s="3013"/>
      <c r="AX66" s="3013"/>
      <c r="AY66" s="3013"/>
      <c r="AZ66" s="3013"/>
    </row>
    <row r="67" spans="1:52" ht="21" customHeight="1">
      <c r="A67" s="2757"/>
      <c r="B67" s="1179"/>
      <c r="C67" s="1813" t="s">
        <v>48</v>
      </c>
      <c r="D67" s="2686" t="s">
        <v>4749</v>
      </c>
      <c r="E67" s="1179"/>
      <c r="F67" s="1179"/>
      <c r="G67" s="1179"/>
      <c r="H67" s="1179"/>
      <c r="I67" s="1179"/>
      <c r="J67" s="1179"/>
      <c r="K67" s="1179"/>
      <c r="L67" s="1179"/>
      <c r="M67" s="1179"/>
      <c r="N67" s="1179"/>
      <c r="O67" s="1179"/>
      <c r="P67" s="1179"/>
      <c r="Q67" s="1179"/>
      <c r="R67" s="1179"/>
      <c r="S67" s="1179"/>
      <c r="T67" s="1179"/>
      <c r="U67" s="1179"/>
      <c r="V67" s="5123"/>
      <c r="W67" s="6567"/>
      <c r="X67" s="6568"/>
      <c r="Y67" s="6568"/>
      <c r="Z67" s="6568"/>
      <c r="AA67" s="6569"/>
      <c r="AB67" s="4604"/>
      <c r="AC67" s="5448"/>
      <c r="AD67" s="5490"/>
      <c r="AE67" s="5490"/>
      <c r="AF67" s="5490"/>
      <c r="AG67" s="5490"/>
      <c r="AH67" s="2757"/>
      <c r="AI67" s="1179"/>
      <c r="AJ67" s="385"/>
      <c r="AK67" s="1179"/>
      <c r="AL67" s="4568"/>
      <c r="AM67" s="1179"/>
      <c r="AN67" s="6646"/>
      <c r="AO67" s="1179"/>
      <c r="AP67" s="3013"/>
      <c r="AQ67" s="3013"/>
      <c r="AR67" s="3013"/>
      <c r="AS67" s="3013"/>
      <c r="AT67" s="3013"/>
      <c r="AU67" s="3013"/>
      <c r="AV67" s="3013"/>
      <c r="AW67" s="3013"/>
      <c r="AX67" s="3013"/>
      <c r="AY67" s="3013"/>
      <c r="AZ67" s="3013"/>
    </row>
    <row r="68" spans="1:52" ht="15.75" customHeight="1">
      <c r="A68" s="2757"/>
      <c r="B68" s="1179"/>
      <c r="C68" s="1813"/>
      <c r="D68" s="3719" t="s">
        <v>4750</v>
      </c>
      <c r="E68" s="1179"/>
      <c r="F68" s="1179"/>
      <c r="G68" s="1179"/>
      <c r="H68" s="1179"/>
      <c r="I68" s="1179"/>
      <c r="J68" s="1179"/>
      <c r="K68" s="1179"/>
      <c r="L68" s="1179"/>
      <c r="M68" s="1179"/>
      <c r="N68" s="1179"/>
      <c r="O68" s="1179"/>
      <c r="P68" s="1179"/>
      <c r="Q68" s="1179"/>
      <c r="R68" s="1179"/>
      <c r="S68" s="1179"/>
      <c r="T68" s="1179"/>
      <c r="U68" s="4099" t="s">
        <v>1978</v>
      </c>
      <c r="V68" s="5121" t="s">
        <v>4738</v>
      </c>
      <c r="W68" s="6559"/>
      <c r="X68" s="6559"/>
      <c r="Y68" s="6559"/>
      <c r="Z68" s="6559"/>
      <c r="AA68" s="6560"/>
      <c r="AB68" s="4604"/>
      <c r="AC68" s="6571">
        <f>ROUND(W68,0)</f>
        <v>0</v>
      </c>
      <c r="AD68" s="6572"/>
      <c r="AE68" s="6572"/>
      <c r="AF68" s="6572"/>
      <c r="AG68" s="6572"/>
      <c r="AH68" s="2757"/>
      <c r="AI68" s="1179"/>
      <c r="AJ68" s="385"/>
      <c r="AK68" s="1179"/>
      <c r="AL68" s="4568"/>
      <c r="AM68" s="1179"/>
      <c r="AN68" s="4568"/>
      <c r="AO68" s="1179"/>
      <c r="AP68" s="3013"/>
      <c r="AQ68" s="3013"/>
      <c r="AR68" s="3013"/>
      <c r="AS68" s="3013"/>
      <c r="AT68" s="3013"/>
      <c r="AU68" s="3013"/>
      <c r="AV68" s="3013"/>
      <c r="AW68" s="3013"/>
      <c r="AX68" s="3013"/>
      <c r="AY68" s="3013"/>
      <c r="AZ68" s="3013"/>
    </row>
    <row r="69" spans="1:52" ht="21" customHeight="1">
      <c r="A69" s="2757"/>
      <c r="B69" s="1179"/>
      <c r="C69" s="1813" t="s">
        <v>92</v>
      </c>
      <c r="D69" s="2686" t="s">
        <v>4751</v>
      </c>
      <c r="E69" s="1179"/>
      <c r="F69" s="1179"/>
      <c r="G69" s="1179"/>
      <c r="H69" s="1179"/>
      <c r="I69" s="1179"/>
      <c r="J69" s="1179"/>
      <c r="K69" s="1179"/>
      <c r="L69" s="1179"/>
      <c r="M69" s="1179"/>
      <c r="N69" s="1179"/>
      <c r="O69" s="1179"/>
      <c r="P69" s="1179"/>
      <c r="Q69" s="1179"/>
      <c r="R69" s="1179"/>
      <c r="S69" s="1179"/>
      <c r="T69" s="1179"/>
      <c r="U69" s="4099" t="s">
        <v>1930</v>
      </c>
      <c r="V69" s="5121" t="s">
        <v>4739</v>
      </c>
      <c r="W69" s="6559"/>
      <c r="X69" s="6559"/>
      <c r="Y69" s="6559"/>
      <c r="Z69" s="6559"/>
      <c r="AA69" s="6560"/>
      <c r="AB69" s="4604"/>
      <c r="AC69" s="6571">
        <f>ROUND(W69,0)</f>
        <v>0</v>
      </c>
      <c r="AD69" s="6572"/>
      <c r="AE69" s="6572"/>
      <c r="AF69" s="6572"/>
      <c r="AG69" s="6572"/>
      <c r="AH69" s="2757"/>
      <c r="AI69" s="1179"/>
      <c r="AJ69" s="385"/>
      <c r="AK69" s="1179"/>
      <c r="AL69" s="4568"/>
      <c r="AM69" s="1179"/>
      <c r="AN69" s="4568"/>
      <c r="AO69" s="1179"/>
      <c r="AP69" s="3013"/>
      <c r="AQ69" s="3013"/>
      <c r="AR69" s="3013"/>
      <c r="AS69" s="3013"/>
      <c r="AT69" s="3013"/>
      <c r="AU69" s="3013"/>
      <c r="AV69" s="3013"/>
      <c r="AW69" s="3013"/>
      <c r="AX69" s="3013"/>
      <c r="AY69" s="3013"/>
      <c r="AZ69" s="3013"/>
    </row>
    <row r="70" spans="1:52" ht="21" customHeight="1">
      <c r="A70" s="2757"/>
      <c r="B70" s="1179"/>
      <c r="C70" s="1813" t="s">
        <v>964</v>
      </c>
      <c r="D70" s="2686" t="s">
        <v>4752</v>
      </c>
      <c r="E70" s="1179"/>
      <c r="F70" s="1179"/>
      <c r="G70" s="1179"/>
      <c r="H70" s="1179"/>
      <c r="I70" s="1179"/>
      <c r="J70" s="1179"/>
      <c r="K70" s="1179"/>
      <c r="L70" s="1179"/>
      <c r="M70" s="1179"/>
      <c r="N70" s="1179"/>
      <c r="O70" s="1179"/>
      <c r="P70" s="1179"/>
      <c r="Q70" s="1179"/>
      <c r="R70" s="1179"/>
      <c r="S70" s="1179"/>
      <c r="T70" s="1179"/>
      <c r="U70" s="1179"/>
      <c r="V70" s="5123"/>
      <c r="W70" s="6567"/>
      <c r="X70" s="6568"/>
      <c r="Y70" s="6568"/>
      <c r="Z70" s="6568"/>
      <c r="AA70" s="6569"/>
      <c r="AB70" s="4604"/>
      <c r="AC70" s="5448"/>
      <c r="AD70" s="5490"/>
      <c r="AE70" s="5490"/>
      <c r="AF70" s="5490"/>
      <c r="AG70" s="5490"/>
      <c r="AH70" s="2757"/>
      <c r="AI70" s="1179"/>
      <c r="AJ70" s="385"/>
      <c r="AK70" s="1179"/>
      <c r="AL70" s="4568"/>
      <c r="AM70" s="1179"/>
      <c r="AN70" s="4568"/>
      <c r="AO70" s="1179"/>
      <c r="AP70" s="3013"/>
      <c r="AQ70" s="3013"/>
      <c r="AR70" s="3013"/>
      <c r="AS70" s="3013"/>
      <c r="AT70" s="3013"/>
      <c r="AU70" s="3013"/>
      <c r="AV70" s="3013"/>
      <c r="AW70" s="3013"/>
      <c r="AX70" s="3013"/>
      <c r="AY70" s="3013"/>
      <c r="AZ70" s="3013"/>
    </row>
    <row r="71" spans="1:52" ht="15.75" customHeight="1">
      <c r="A71" s="2757"/>
      <c r="B71" s="1179"/>
      <c r="C71" s="1813"/>
      <c r="D71" s="3719" t="s">
        <v>4753</v>
      </c>
      <c r="E71" s="1179"/>
      <c r="F71" s="1179"/>
      <c r="G71" s="1179"/>
      <c r="H71" s="1179"/>
      <c r="I71" s="1179"/>
      <c r="J71" s="1179"/>
      <c r="K71" s="1179"/>
      <c r="L71" s="1179"/>
      <c r="M71" s="1179"/>
      <c r="N71" s="1179"/>
      <c r="O71" s="1179"/>
      <c r="P71" s="1179"/>
      <c r="Q71" s="1179"/>
      <c r="R71" s="1179"/>
      <c r="S71" s="1179"/>
      <c r="T71" s="1179"/>
      <c r="U71" s="4099" t="s">
        <v>2027</v>
      </c>
      <c r="V71" s="5121" t="s">
        <v>4740</v>
      </c>
      <c r="W71" s="6559"/>
      <c r="X71" s="6559"/>
      <c r="Y71" s="6559"/>
      <c r="Z71" s="6559"/>
      <c r="AA71" s="6560"/>
      <c r="AB71" s="4604"/>
      <c r="AC71" s="6571">
        <f>ROUND(W71,0)</f>
        <v>0</v>
      </c>
      <c r="AD71" s="6572"/>
      <c r="AE71" s="6572"/>
      <c r="AF71" s="6572"/>
      <c r="AG71" s="6572"/>
      <c r="AH71" s="2757"/>
      <c r="AI71" s="1179"/>
      <c r="AJ71" s="385"/>
      <c r="AK71" s="1179"/>
      <c r="AL71" s="4568"/>
      <c r="AM71" s="1179"/>
      <c r="AN71" s="4568"/>
      <c r="AO71" s="1179"/>
      <c r="AP71" s="3013"/>
      <c r="AQ71" s="3013"/>
      <c r="AR71" s="3013"/>
      <c r="AS71" s="3013"/>
      <c r="AT71" s="3013"/>
      <c r="AU71" s="3013"/>
      <c r="AV71" s="3013"/>
      <c r="AW71" s="3013"/>
      <c r="AX71" s="3013"/>
      <c r="AY71" s="3013"/>
      <c r="AZ71" s="3013"/>
    </row>
    <row r="72" spans="1:52" ht="21" customHeight="1">
      <c r="A72" s="2757"/>
      <c r="B72" s="1179"/>
      <c r="C72" s="1813" t="s">
        <v>965</v>
      </c>
      <c r="D72" s="2686" t="s">
        <v>4754</v>
      </c>
      <c r="E72" s="1179"/>
      <c r="F72" s="1179"/>
      <c r="G72" s="1179"/>
      <c r="H72" s="1179"/>
      <c r="I72" s="1179"/>
      <c r="J72" s="1179"/>
      <c r="K72" s="1179"/>
      <c r="L72" s="1179"/>
      <c r="M72" s="1179"/>
      <c r="N72" s="1179"/>
      <c r="O72" s="1179"/>
      <c r="P72" s="1179"/>
      <c r="Q72" s="1179"/>
      <c r="R72" s="1179"/>
      <c r="S72" s="1179"/>
      <c r="T72" s="1179"/>
      <c r="U72" s="4099" t="s">
        <v>1978</v>
      </c>
      <c r="V72" s="5121" t="s">
        <v>4741</v>
      </c>
      <c r="W72" s="6559"/>
      <c r="X72" s="6559"/>
      <c r="Y72" s="6559"/>
      <c r="Z72" s="6559"/>
      <c r="AA72" s="6560"/>
      <c r="AB72" s="4604"/>
      <c r="AC72" s="6571">
        <f>ROUND(W72,0)</f>
        <v>0</v>
      </c>
      <c r="AD72" s="6572"/>
      <c r="AE72" s="6572"/>
      <c r="AF72" s="6572"/>
      <c r="AG72" s="6572"/>
      <c r="AH72" s="2757"/>
      <c r="AI72" s="1179"/>
      <c r="AJ72" s="385"/>
      <c r="AK72" s="1179"/>
      <c r="AL72" s="4568"/>
      <c r="AM72" s="1179"/>
      <c r="AN72" s="4568"/>
      <c r="AO72" s="1179"/>
      <c r="AP72" s="3013"/>
      <c r="AQ72" s="3013"/>
      <c r="AR72" s="3013"/>
      <c r="AS72" s="3013"/>
      <c r="AT72" s="3013"/>
      <c r="AU72" s="3013"/>
      <c r="AV72" s="3013"/>
      <c r="AW72" s="3013"/>
      <c r="AX72" s="3013"/>
      <c r="AY72" s="3013"/>
      <c r="AZ72" s="3013"/>
    </row>
    <row r="73" spans="1:52" ht="21" customHeight="1">
      <c r="A73" s="2757"/>
      <c r="B73" s="1179"/>
      <c r="C73" s="1813" t="s">
        <v>2133</v>
      </c>
      <c r="D73" s="2686" t="s">
        <v>4755</v>
      </c>
      <c r="E73" s="1179"/>
      <c r="F73" s="1179"/>
      <c r="G73" s="1179"/>
      <c r="H73" s="1179"/>
      <c r="I73" s="1179"/>
      <c r="J73" s="1179"/>
      <c r="K73" s="1179"/>
      <c r="L73" s="1179"/>
      <c r="M73" s="1179"/>
      <c r="N73" s="1179"/>
      <c r="O73" s="1179"/>
      <c r="P73" s="1179"/>
      <c r="Q73" s="1179"/>
      <c r="R73" s="1179"/>
      <c r="S73" s="1179"/>
      <c r="T73" s="1179"/>
      <c r="U73" s="4099" t="s">
        <v>517</v>
      </c>
      <c r="V73" s="5121" t="s">
        <v>4742</v>
      </c>
      <c r="W73" s="6559"/>
      <c r="X73" s="6559"/>
      <c r="Y73" s="6559"/>
      <c r="Z73" s="6559"/>
      <c r="AA73" s="6560"/>
      <c r="AB73" s="4604"/>
      <c r="AC73" s="6571">
        <f>ROUND(W73,0)</f>
        <v>0</v>
      </c>
      <c r="AD73" s="6572"/>
      <c r="AE73" s="6572"/>
      <c r="AF73" s="6572"/>
      <c r="AG73" s="6572"/>
      <c r="AH73" s="2757"/>
      <c r="AI73" s="1179"/>
      <c r="AJ73" s="385"/>
      <c r="AK73" s="1179"/>
      <c r="AL73" s="4568"/>
      <c r="AM73" s="1179"/>
      <c r="AN73" s="4568"/>
      <c r="AO73" s="1179"/>
      <c r="AP73" s="3013"/>
      <c r="AQ73" s="3013"/>
      <c r="AR73" s="3013"/>
      <c r="AS73" s="3013"/>
      <c r="AT73" s="3013"/>
      <c r="AU73" s="3013"/>
      <c r="AV73" s="3013"/>
      <c r="AW73" s="3013"/>
      <c r="AX73" s="3013"/>
      <c r="AY73" s="3013"/>
      <c r="AZ73" s="3013"/>
    </row>
    <row r="74" spans="1:52" ht="21" customHeight="1">
      <c r="A74" s="2757"/>
      <c r="B74" s="1179"/>
      <c r="C74" s="1813" t="s">
        <v>120</v>
      </c>
      <c r="D74" s="2686" t="s">
        <v>4756</v>
      </c>
      <c r="E74" s="1179"/>
      <c r="F74" s="1179"/>
      <c r="G74" s="1179"/>
      <c r="H74" s="1179"/>
      <c r="I74" s="1179"/>
      <c r="J74" s="1179"/>
      <c r="K74" s="1179"/>
      <c r="L74" s="1179"/>
      <c r="M74" s="1179"/>
      <c r="N74" s="1179"/>
      <c r="O74" s="1179"/>
      <c r="P74" s="1179"/>
      <c r="Q74" s="1179"/>
      <c r="R74" s="1179"/>
      <c r="S74" s="1179"/>
      <c r="T74" s="1179"/>
      <c r="U74" s="1179"/>
      <c r="V74" s="5123"/>
      <c r="W74" s="6567"/>
      <c r="X74" s="6568"/>
      <c r="Y74" s="6568"/>
      <c r="Z74" s="6568"/>
      <c r="AA74" s="6569"/>
      <c r="AB74" s="4604"/>
      <c r="AC74" s="5448"/>
      <c r="AD74" s="5490"/>
      <c r="AE74" s="5490"/>
      <c r="AF74" s="5490"/>
      <c r="AG74" s="5490"/>
      <c r="AH74" s="2757"/>
      <c r="AI74" s="1179"/>
      <c r="AJ74" s="385"/>
      <c r="AK74" s="1179"/>
      <c r="AL74" s="4568"/>
      <c r="AM74" s="1179"/>
      <c r="AN74" s="4568"/>
      <c r="AO74" s="1179"/>
      <c r="AP74" s="3013"/>
      <c r="AQ74" s="3013"/>
      <c r="AR74" s="3013"/>
      <c r="AS74" s="3013"/>
      <c r="AT74" s="3013"/>
      <c r="AU74" s="3013"/>
      <c r="AV74" s="3013"/>
      <c r="AW74" s="3013"/>
      <c r="AX74" s="3013"/>
      <c r="AY74" s="3013"/>
      <c r="AZ74" s="3013"/>
    </row>
    <row r="75" spans="1:52" ht="15.75" customHeight="1">
      <c r="A75" s="2757"/>
      <c r="B75" s="1179"/>
      <c r="C75" s="1813"/>
      <c r="D75" s="3719" t="s">
        <v>4757</v>
      </c>
      <c r="E75" s="1179"/>
      <c r="F75" s="1179"/>
      <c r="G75" s="1179"/>
      <c r="H75" s="1179"/>
      <c r="I75" s="1179"/>
      <c r="J75" s="1179"/>
      <c r="K75" s="1179"/>
      <c r="L75" s="1179"/>
      <c r="M75" s="1179"/>
      <c r="N75" s="1179"/>
      <c r="O75" s="1179"/>
      <c r="P75" s="1179"/>
      <c r="Q75" s="1179"/>
      <c r="R75" s="1179"/>
      <c r="S75" s="1179"/>
      <c r="T75" s="1179"/>
      <c r="U75" s="4099" t="s">
        <v>2514</v>
      </c>
      <c r="V75" s="5121" t="s">
        <v>4743</v>
      </c>
      <c r="W75" s="6559"/>
      <c r="X75" s="6559"/>
      <c r="Y75" s="6559"/>
      <c r="Z75" s="6559"/>
      <c r="AA75" s="6560"/>
      <c r="AB75" s="4604"/>
      <c r="AC75" s="6571">
        <f>ROUND(W75,0)</f>
        <v>0</v>
      </c>
      <c r="AD75" s="6572"/>
      <c r="AE75" s="6572"/>
      <c r="AF75" s="6572"/>
      <c r="AG75" s="6572"/>
      <c r="AH75" s="2757"/>
      <c r="AI75" s="1179"/>
      <c r="AJ75" s="385"/>
      <c r="AK75" s="1179"/>
      <c r="AL75" s="4568"/>
      <c r="AM75" s="1179"/>
      <c r="AN75" s="4568"/>
      <c r="AO75" s="1179"/>
      <c r="AP75" s="3013"/>
      <c r="AQ75" s="3013"/>
      <c r="AR75" s="3013"/>
      <c r="AS75" s="3013"/>
      <c r="AT75" s="3013"/>
      <c r="AU75" s="3013"/>
      <c r="AV75" s="3013"/>
      <c r="AW75" s="3013"/>
      <c r="AX75" s="3013"/>
      <c r="AY75" s="3013"/>
      <c r="AZ75" s="3013"/>
    </row>
    <row r="76" spans="1:52" ht="21" customHeight="1">
      <c r="A76" s="2757"/>
      <c r="B76" s="1179"/>
      <c r="C76" s="1813" t="s">
        <v>2142</v>
      </c>
      <c r="D76" s="2686" t="s">
        <v>4758</v>
      </c>
      <c r="E76" s="1179"/>
      <c r="F76" s="1179"/>
      <c r="G76" s="1179"/>
      <c r="H76" s="1179"/>
      <c r="I76" s="1179"/>
      <c r="J76" s="1179"/>
      <c r="K76" s="1179"/>
      <c r="L76" s="1179"/>
      <c r="M76" s="1179"/>
      <c r="N76" s="1179"/>
      <c r="O76" s="1179"/>
      <c r="P76" s="1179"/>
      <c r="Q76" s="1179"/>
      <c r="R76" s="1179"/>
      <c r="S76" s="1179"/>
      <c r="T76" s="1179"/>
      <c r="U76" s="1179"/>
      <c r="V76" s="5122"/>
      <c r="W76" s="6564"/>
      <c r="X76" s="6565"/>
      <c r="Y76" s="6565"/>
      <c r="Z76" s="6565"/>
      <c r="AA76" s="6566"/>
      <c r="AB76" s="4604"/>
      <c r="AC76" s="5448"/>
      <c r="AD76" s="5490"/>
      <c r="AE76" s="5490"/>
      <c r="AF76" s="5490"/>
      <c r="AG76" s="5490"/>
      <c r="AH76" s="2757"/>
      <c r="AI76" s="1179"/>
      <c r="AJ76" s="385"/>
      <c r="AK76" s="1179"/>
      <c r="AL76" s="4568"/>
      <c r="AM76" s="1179"/>
      <c r="AN76" s="4568"/>
      <c r="AO76" s="1179"/>
      <c r="AP76" s="3013"/>
      <c r="AQ76" s="3013"/>
      <c r="AR76" s="3013"/>
      <c r="AS76" s="3013"/>
      <c r="AT76" s="3013"/>
      <c r="AU76" s="3013"/>
      <c r="AV76" s="3013"/>
      <c r="AW76" s="3013"/>
      <c r="AX76" s="3013"/>
      <c r="AY76" s="3013"/>
      <c r="AZ76" s="3013"/>
    </row>
    <row r="77" spans="1:52" ht="12" customHeight="1">
      <c r="A77" s="2757"/>
      <c r="B77" s="1179"/>
      <c r="C77" s="1813"/>
      <c r="D77" s="2686" t="s">
        <v>4759</v>
      </c>
      <c r="E77" s="1179"/>
      <c r="F77" s="1179"/>
      <c r="G77" s="1179"/>
      <c r="H77" s="1179"/>
      <c r="I77" s="1179"/>
      <c r="J77" s="1179"/>
      <c r="K77" s="1179"/>
      <c r="L77" s="1179"/>
      <c r="M77" s="1179"/>
      <c r="N77" s="1179"/>
      <c r="O77" s="1179"/>
      <c r="P77" s="1179"/>
      <c r="Q77" s="1179"/>
      <c r="R77" s="1179"/>
      <c r="S77" s="1179"/>
      <c r="T77" s="1179"/>
      <c r="U77" s="1179"/>
      <c r="V77" s="5123"/>
      <c r="W77" s="6567"/>
      <c r="X77" s="6568"/>
      <c r="Y77" s="6568"/>
      <c r="Z77" s="6568"/>
      <c r="AA77" s="6569"/>
      <c r="AB77" s="4604"/>
      <c r="AC77" s="5448"/>
      <c r="AD77" s="5490"/>
      <c r="AE77" s="5490"/>
      <c r="AF77" s="5490"/>
      <c r="AG77" s="5490"/>
      <c r="AH77" s="2757"/>
      <c r="AI77" s="1179"/>
      <c r="AJ77" s="385"/>
      <c r="AK77" s="1179"/>
      <c r="AL77" s="4568"/>
      <c r="AM77" s="1179"/>
      <c r="AN77" s="4568"/>
      <c r="AO77" s="1179"/>
      <c r="AP77" s="3013"/>
      <c r="AQ77" s="3013"/>
      <c r="AR77" s="3013"/>
      <c r="AS77" s="3013"/>
      <c r="AT77" s="3013"/>
      <c r="AU77" s="3013"/>
      <c r="AV77" s="3013"/>
      <c r="AW77" s="3013"/>
      <c r="AX77" s="3013"/>
      <c r="AY77" s="3013"/>
      <c r="AZ77" s="3013"/>
    </row>
    <row r="78" spans="1:52" ht="15" customHeight="1">
      <c r="A78" s="2757"/>
      <c r="B78" s="1179"/>
      <c r="C78" s="1813"/>
      <c r="D78" s="2686" t="s">
        <v>4760</v>
      </c>
      <c r="E78" s="1179"/>
      <c r="F78" s="1179"/>
      <c r="G78" s="1179"/>
      <c r="H78" s="1179"/>
      <c r="I78" s="1179"/>
      <c r="J78" s="1179"/>
      <c r="K78" s="1179"/>
      <c r="L78" s="1179"/>
      <c r="M78" s="1179"/>
      <c r="N78" s="1179"/>
      <c r="O78" s="1179"/>
      <c r="P78" s="1179"/>
      <c r="Q78" s="1179"/>
      <c r="R78" s="1179"/>
      <c r="S78" s="1179"/>
      <c r="T78" s="1179"/>
      <c r="U78" s="4099" t="s">
        <v>2780</v>
      </c>
      <c r="V78" s="5121" t="s">
        <v>4744</v>
      </c>
      <c r="W78" s="6559"/>
      <c r="X78" s="6559"/>
      <c r="Y78" s="6559"/>
      <c r="Z78" s="6559"/>
      <c r="AA78" s="6560"/>
      <c r="AB78" s="4604"/>
      <c r="AC78" s="6571">
        <f>ROUND(W78,0)</f>
        <v>0</v>
      </c>
      <c r="AD78" s="6572"/>
      <c r="AE78" s="6572"/>
      <c r="AF78" s="6572"/>
      <c r="AG78" s="6572"/>
      <c r="AH78" s="2757"/>
      <c r="AI78" s="1179"/>
      <c r="AJ78" s="385"/>
      <c r="AK78" s="1179"/>
      <c r="AL78" s="4568"/>
      <c r="AM78" s="1179"/>
      <c r="AN78" s="4568"/>
      <c r="AO78" s="1179"/>
      <c r="AP78" s="3013"/>
      <c r="AQ78" s="3013"/>
      <c r="AR78" s="3013"/>
      <c r="AS78" s="3013"/>
      <c r="AT78" s="3013"/>
      <c r="AU78" s="3013"/>
      <c r="AV78" s="3013"/>
      <c r="AW78" s="3013"/>
      <c r="AX78" s="3013"/>
      <c r="AY78" s="3013"/>
      <c r="AZ78" s="3013"/>
    </row>
    <row r="79" spans="1:52" ht="21" customHeight="1">
      <c r="A79" s="2757"/>
      <c r="B79" s="1179"/>
      <c r="C79" s="1813" t="s">
        <v>2134</v>
      </c>
      <c r="D79" s="2686" t="s">
        <v>4761</v>
      </c>
      <c r="E79" s="1179"/>
      <c r="F79" s="1179"/>
      <c r="G79" s="1179"/>
      <c r="H79" s="1179"/>
      <c r="I79" s="1179"/>
      <c r="J79" s="1179"/>
      <c r="K79" s="1179"/>
      <c r="L79" s="1179"/>
      <c r="M79" s="1179"/>
      <c r="N79" s="1179"/>
      <c r="O79" s="1179"/>
      <c r="P79" s="1179"/>
      <c r="Q79" s="1179"/>
      <c r="R79" s="1179"/>
      <c r="S79" s="1179"/>
      <c r="T79" s="1179"/>
      <c r="U79" s="4099" t="s">
        <v>2513</v>
      </c>
      <c r="V79" s="5121" t="s">
        <v>4745</v>
      </c>
      <c r="W79" s="6559"/>
      <c r="X79" s="6559"/>
      <c r="Y79" s="6559"/>
      <c r="Z79" s="6559"/>
      <c r="AA79" s="6560"/>
      <c r="AB79" s="4604"/>
      <c r="AC79" s="6571">
        <f>ROUND(W79,0)</f>
        <v>0</v>
      </c>
      <c r="AD79" s="6572"/>
      <c r="AE79" s="6572"/>
      <c r="AF79" s="6572"/>
      <c r="AG79" s="6572"/>
      <c r="AH79" s="2757"/>
      <c r="AI79" s="1179"/>
      <c r="AJ79" s="385"/>
      <c r="AK79" s="1179"/>
      <c r="AL79" s="4568"/>
      <c r="AM79" s="1179"/>
      <c r="AN79" s="4568"/>
      <c r="AO79" s="1179"/>
      <c r="AP79" s="3013"/>
      <c r="AQ79" s="3013"/>
      <c r="AR79" s="3013"/>
      <c r="AS79" s="3013"/>
      <c r="AT79" s="3013"/>
      <c r="AU79" s="3013"/>
      <c r="AV79" s="3013"/>
      <c r="AW79" s="3013"/>
      <c r="AX79" s="3013"/>
      <c r="AY79" s="3013"/>
      <c r="AZ79" s="3013"/>
    </row>
    <row r="80" spans="1:52" ht="21" customHeight="1">
      <c r="A80" s="2757"/>
      <c r="B80" s="1179"/>
      <c r="C80" s="1813" t="s">
        <v>2449</v>
      </c>
      <c r="D80" s="2686" t="s">
        <v>4762</v>
      </c>
      <c r="E80" s="1179"/>
      <c r="F80" s="1179"/>
      <c r="G80" s="1179"/>
      <c r="H80" s="1179"/>
      <c r="I80" s="1179"/>
      <c r="J80" s="1179"/>
      <c r="K80" s="1179"/>
      <c r="L80" s="1179"/>
      <c r="M80" s="1179"/>
      <c r="N80" s="1179"/>
      <c r="O80" s="1179"/>
      <c r="P80" s="1179"/>
      <c r="Q80" s="1179"/>
      <c r="R80" s="1179"/>
      <c r="S80" s="1179"/>
      <c r="T80" s="1179"/>
      <c r="U80" s="1179"/>
      <c r="V80" s="5123"/>
      <c r="W80" s="6567"/>
      <c r="X80" s="6568"/>
      <c r="Y80" s="6568"/>
      <c r="Z80" s="6568"/>
      <c r="AA80" s="6569"/>
      <c r="AB80" s="4604"/>
      <c r="AC80" s="5448"/>
      <c r="AD80" s="5490"/>
      <c r="AE80" s="5490"/>
      <c r="AF80" s="5490"/>
      <c r="AG80" s="5490"/>
      <c r="AH80" s="2757"/>
      <c r="AI80" s="1179"/>
      <c r="AJ80" s="385"/>
      <c r="AK80" s="1179"/>
      <c r="AL80" s="4568"/>
      <c r="AM80" s="1179"/>
      <c r="AN80" s="4568"/>
      <c r="AO80" s="1179"/>
      <c r="AP80" s="3013"/>
      <c r="AQ80" s="3013"/>
      <c r="AR80" s="3013"/>
      <c r="AS80" s="3013"/>
      <c r="AT80" s="3013"/>
      <c r="AU80" s="3013"/>
      <c r="AV80" s="3013"/>
      <c r="AW80" s="3013"/>
      <c r="AX80" s="3013"/>
      <c r="AY80" s="3013"/>
      <c r="AZ80" s="3013"/>
    </row>
    <row r="81" spans="1:53" ht="15.75" customHeight="1">
      <c r="A81" s="2757"/>
      <c r="B81" s="1179"/>
      <c r="C81" s="1813"/>
      <c r="D81" s="2686" t="s">
        <v>4763</v>
      </c>
      <c r="E81" s="1179"/>
      <c r="F81" s="1179"/>
      <c r="G81" s="1179"/>
      <c r="H81" s="1179"/>
      <c r="I81" s="1179"/>
      <c r="J81" s="1179"/>
      <c r="K81" s="1179"/>
      <c r="L81" s="1179"/>
      <c r="M81" s="1179"/>
      <c r="N81" s="1179"/>
      <c r="O81" s="1179"/>
      <c r="P81" s="1179"/>
      <c r="Q81" s="1179"/>
      <c r="R81" s="1179"/>
      <c r="S81" s="1179"/>
      <c r="T81" s="1179"/>
      <c r="U81" s="4099" t="s">
        <v>2576</v>
      </c>
      <c r="V81" s="5121" t="s">
        <v>4743</v>
      </c>
      <c r="W81" s="6559"/>
      <c r="X81" s="6559"/>
      <c r="Y81" s="6559"/>
      <c r="Z81" s="6559"/>
      <c r="AA81" s="6560"/>
      <c r="AB81" s="4604"/>
      <c r="AC81" s="6571">
        <f>ROUND(W81,0)</f>
        <v>0</v>
      </c>
      <c r="AD81" s="6572"/>
      <c r="AE81" s="6572"/>
      <c r="AF81" s="6572"/>
      <c r="AG81" s="6572"/>
      <c r="AH81" s="2757"/>
      <c r="AI81" s="1179"/>
      <c r="AJ81" s="385"/>
      <c r="AK81" s="1179"/>
      <c r="AL81" s="4568"/>
      <c r="AM81" s="1179"/>
      <c r="AN81" s="4568"/>
      <c r="AO81" s="1179"/>
      <c r="AP81" s="3013"/>
      <c r="AQ81" s="3013"/>
      <c r="AR81" s="3013"/>
      <c r="AS81" s="3013"/>
      <c r="AT81" s="3013"/>
      <c r="AU81" s="3013"/>
      <c r="AV81" s="3013"/>
      <c r="AW81" s="3013"/>
      <c r="AX81" s="3013"/>
      <c r="AY81" s="3013"/>
      <c r="AZ81" s="3013"/>
    </row>
    <row r="82" spans="1:53" ht="21" customHeight="1">
      <c r="A82" s="2757"/>
      <c r="B82" s="1179"/>
      <c r="C82" s="1813" t="s">
        <v>4716</v>
      </c>
      <c r="D82" s="2686" t="s">
        <v>4766</v>
      </c>
      <c r="E82" s="1179"/>
      <c r="F82" s="1179"/>
      <c r="G82" s="1179"/>
      <c r="H82" s="1179"/>
      <c r="I82" s="1179"/>
      <c r="J82" s="1179"/>
      <c r="K82" s="1179"/>
      <c r="L82" s="1179"/>
      <c r="M82" s="1179"/>
      <c r="N82" s="1179"/>
      <c r="O82" s="6580"/>
      <c r="P82" s="6581"/>
      <c r="Q82" s="6581"/>
      <c r="R82" s="6581"/>
      <c r="S82" s="6581"/>
      <c r="T82" s="6581"/>
      <c r="U82" s="1179"/>
      <c r="V82" s="5123"/>
      <c r="W82" s="6567"/>
      <c r="X82" s="6568"/>
      <c r="Y82" s="6568"/>
      <c r="Z82" s="6568"/>
      <c r="AA82" s="6569"/>
      <c r="AB82" s="4604"/>
      <c r="AC82" s="5448"/>
      <c r="AD82" s="5490"/>
      <c r="AE82" s="5490"/>
      <c r="AF82" s="5490"/>
      <c r="AG82" s="5490"/>
      <c r="AH82" s="2757"/>
      <c r="AI82" s="1179"/>
      <c r="AJ82" s="385"/>
      <c r="AK82" s="1179"/>
      <c r="AL82" s="4568"/>
      <c r="AM82" s="1179"/>
      <c r="AN82" s="4568"/>
      <c r="AO82" s="1179"/>
      <c r="AP82" s="3013"/>
      <c r="AQ82" s="3013"/>
      <c r="AR82" s="3013"/>
      <c r="AS82" s="3013"/>
      <c r="AT82" s="3013"/>
      <c r="AU82" s="3013"/>
      <c r="AV82" s="3013"/>
      <c r="AW82" s="3013"/>
      <c r="AX82" s="3013"/>
      <c r="AY82" s="3013"/>
      <c r="AZ82" s="3013"/>
    </row>
    <row r="83" spans="1:53" ht="21" customHeight="1">
      <c r="A83" s="2757"/>
      <c r="B83" s="1179"/>
      <c r="C83" s="2408"/>
      <c r="D83" s="6578"/>
      <c r="E83" s="6579"/>
      <c r="F83" s="6579"/>
      <c r="G83" s="6579"/>
      <c r="H83" s="6579"/>
      <c r="I83" s="6579"/>
      <c r="J83" s="6579"/>
      <c r="K83" s="6579"/>
      <c r="L83" s="6579"/>
      <c r="M83" s="6579"/>
      <c r="N83" s="6579"/>
      <c r="O83" s="6579"/>
      <c r="P83" s="6579"/>
      <c r="Q83" s="6579"/>
      <c r="R83" s="6579"/>
      <c r="S83" s="6579"/>
      <c r="T83" s="6579"/>
      <c r="U83" s="1179"/>
      <c r="V83" s="5121" t="s">
        <v>4767</v>
      </c>
      <c r="W83" s="6559"/>
      <c r="X83" s="6559"/>
      <c r="Y83" s="6559"/>
      <c r="Z83" s="6559"/>
      <c r="AA83" s="6560"/>
      <c r="AB83" s="4604"/>
      <c r="AC83" s="6571">
        <f>ROUND(W83,0)</f>
        <v>0</v>
      </c>
      <c r="AD83" s="6572"/>
      <c r="AE83" s="6572"/>
      <c r="AF83" s="6572"/>
      <c r="AG83" s="6572"/>
      <c r="AH83" s="2757"/>
      <c r="AI83" s="1179"/>
      <c r="AJ83" s="385"/>
      <c r="AK83" s="1179"/>
      <c r="AL83" s="4568"/>
      <c r="AM83" s="1179"/>
      <c r="AN83" s="4568"/>
      <c r="AO83" s="1179"/>
      <c r="AP83" s="3013"/>
      <c r="AQ83" s="3013"/>
      <c r="AR83" s="3013"/>
      <c r="AS83" s="3013"/>
      <c r="AT83" s="3013"/>
      <c r="AU83" s="3013"/>
      <c r="AV83" s="3013"/>
      <c r="AW83" s="3013"/>
      <c r="AX83" s="3013"/>
      <c r="AY83" s="3013"/>
      <c r="AZ83" s="3013"/>
    </row>
    <row r="84" spans="1:53" ht="21" customHeight="1">
      <c r="A84" s="2757"/>
      <c r="B84" s="1179"/>
      <c r="C84" s="4058">
        <v>25</v>
      </c>
      <c r="D84" s="2686" t="s">
        <v>4764</v>
      </c>
      <c r="E84" s="1179"/>
      <c r="F84" s="1179"/>
      <c r="G84" s="1179"/>
      <c r="H84" s="1179"/>
      <c r="I84" s="1179"/>
      <c r="J84" s="1179"/>
      <c r="K84" s="1179"/>
      <c r="L84" s="1179"/>
      <c r="M84" s="1179"/>
      <c r="N84" s="1179"/>
      <c r="O84" s="1179"/>
      <c r="P84" s="1179"/>
      <c r="Q84" s="1179"/>
      <c r="R84" s="1179"/>
      <c r="S84" s="1179"/>
      <c r="T84" s="1179"/>
      <c r="U84" s="1179"/>
      <c r="V84" s="1179"/>
      <c r="W84" s="1179"/>
      <c r="X84" s="1179"/>
      <c r="Y84" s="1179"/>
      <c r="Z84" s="1179"/>
      <c r="AA84" s="4099" t="s">
        <v>2780</v>
      </c>
      <c r="AB84" s="4605">
        <v>25</v>
      </c>
      <c r="AC84" s="6584">
        <f>IF(AJ84&lt;&gt;"",ROUND(AJ84,0),SUM(AC64,AC66,AC68:AG69,AC71:AG73,AC75,AC78,AC79,AC81,AC83))</f>
        <v>0</v>
      </c>
      <c r="AD84" s="6614"/>
      <c r="AE84" s="6614"/>
      <c r="AF84" s="6614"/>
      <c r="AG84" s="6614"/>
      <c r="AH84" s="2757"/>
      <c r="AI84" s="1179"/>
      <c r="AJ84" s="2868"/>
      <c r="AK84" s="1179"/>
      <c r="AL84" s="5130"/>
      <c r="AM84" s="1179"/>
      <c r="AN84" s="5130"/>
      <c r="AO84" s="1179"/>
      <c r="AP84" s="3013"/>
      <c r="AQ84" s="3013"/>
      <c r="AR84" s="3013"/>
      <c r="AS84" s="3013"/>
      <c r="AT84" s="3013"/>
      <c r="AU84" s="3013"/>
      <c r="AV84" s="3013"/>
      <c r="AW84" s="3013"/>
      <c r="AX84" s="3013"/>
      <c r="AY84" s="3013"/>
      <c r="AZ84" s="3013"/>
    </row>
    <row r="85" spans="1:53" ht="21" customHeight="1">
      <c r="A85" s="2757"/>
      <c r="B85" s="2686"/>
      <c r="C85" s="2408">
        <v>26</v>
      </c>
      <c r="D85" s="1540" t="s">
        <v>5112</v>
      </c>
      <c r="E85" s="1179"/>
      <c r="F85" s="1179"/>
      <c r="G85" s="1179"/>
      <c r="H85" s="1179"/>
      <c r="I85" s="1179"/>
      <c r="J85" s="1179"/>
      <c r="K85" s="1179"/>
      <c r="L85" s="1179"/>
      <c r="M85" s="1179"/>
      <c r="N85" s="1179"/>
      <c r="O85" s="1179"/>
      <c r="P85" s="1179"/>
      <c r="Q85" s="1179"/>
      <c r="R85" s="1179"/>
      <c r="S85" s="1179"/>
      <c r="T85" s="1179"/>
      <c r="U85" s="1179"/>
      <c r="V85" s="1179"/>
      <c r="W85" s="1179"/>
      <c r="X85" s="1179"/>
      <c r="Y85" s="1179"/>
      <c r="Z85" s="1179"/>
      <c r="AA85" s="1179"/>
      <c r="AB85" s="4606"/>
      <c r="AC85" s="6601">
        <f>SUM(EducatorExpenses,ROUND(CertainBusinessExp,0),HSA_Deduct,ROUND(MovExp_ArmedForces,0),SE_Deduct,ROUND(SEP_Plan_Deduct,0),ROUND(SEHealthInsDeduct,0),PenaltyEarlyWithdraw,ROUND(AlimonyPaid,0),IRADeduct,StudentLoanIntDeduct,ROUND(AC61,0))</f>
        <v>0</v>
      </c>
      <c r="AD85" s="6602"/>
      <c r="AE85" s="6602"/>
      <c r="AF85" s="6602"/>
      <c r="AG85" s="6603"/>
      <c r="AH85" s="2757"/>
      <c r="AI85" s="1179"/>
      <c r="AJ85" s="385"/>
      <c r="AK85" s="1179"/>
      <c r="AL85" s="1179"/>
      <c r="AM85" s="1179"/>
      <c r="AN85" s="1179"/>
      <c r="AO85" s="1179"/>
      <c r="AP85" s="3013"/>
      <c r="AQ85" s="3013"/>
      <c r="AR85" s="3013"/>
      <c r="AS85" s="3013"/>
      <c r="AT85" s="3013"/>
      <c r="AU85" s="3013"/>
      <c r="AV85" s="3013"/>
      <c r="AW85" s="3013"/>
      <c r="AX85" s="3013"/>
      <c r="AY85" s="3013"/>
      <c r="AZ85" s="3013"/>
    </row>
    <row r="86" spans="1:53" ht="16.5" customHeight="1">
      <c r="A86" s="2757"/>
      <c r="B86" s="2686"/>
      <c r="C86" s="2772"/>
      <c r="D86" s="1540" t="s">
        <v>4765</v>
      </c>
      <c r="E86" s="1179"/>
      <c r="F86" s="1179"/>
      <c r="G86" s="1179"/>
      <c r="H86" s="1179"/>
      <c r="I86" s="1179"/>
      <c r="J86" s="1179"/>
      <c r="K86" s="1179"/>
      <c r="L86" s="1179"/>
      <c r="M86" s="1179"/>
      <c r="N86" s="1179"/>
      <c r="O86" s="4601"/>
      <c r="P86" s="1444"/>
      <c r="Q86" s="1444"/>
      <c r="R86" s="1444"/>
      <c r="S86" s="1444"/>
      <c r="T86" s="1444"/>
      <c r="U86" s="1444"/>
      <c r="V86" s="1444"/>
      <c r="W86" s="1444"/>
      <c r="X86" s="1444"/>
      <c r="Y86" s="1444"/>
      <c r="Z86" s="1444"/>
      <c r="AA86" s="4099" t="s">
        <v>4958</v>
      </c>
      <c r="AB86" s="6608">
        <v>26</v>
      </c>
      <c r="AC86" s="6610">
        <f>IF(AJ86&lt;&gt;"",ROUND(AJ86,0),SUM(AC47,AC49:AC56,AC59:AC60,AC62,AC84))</f>
        <v>0</v>
      </c>
      <c r="AD86" s="6611"/>
      <c r="AE86" s="6611"/>
      <c r="AF86" s="6611"/>
      <c r="AG86" s="6611"/>
      <c r="AH86" s="2757"/>
      <c r="AI86" s="1179"/>
      <c r="AJ86" s="2868"/>
      <c r="AK86" s="1179"/>
      <c r="AL86" s="3311"/>
      <c r="AM86" s="1179"/>
      <c r="AN86" s="3311"/>
      <c r="AO86" s="1179"/>
      <c r="AP86" s="3013"/>
      <c r="AQ86" s="3013"/>
      <c r="AR86" s="3013"/>
      <c r="AS86" s="3013"/>
      <c r="AT86" s="3013"/>
      <c r="AU86" s="3013"/>
      <c r="AV86" s="3013"/>
      <c r="AW86" s="3013"/>
      <c r="AX86" s="3013"/>
      <c r="AY86" s="3013"/>
      <c r="AZ86" s="3013"/>
    </row>
    <row r="87" spans="1:53" ht="5.25" customHeight="1" thickBot="1">
      <c r="A87" s="2757"/>
      <c r="B87" s="2686"/>
      <c r="C87" s="2772"/>
      <c r="D87" s="2686"/>
      <c r="E87" s="1179"/>
      <c r="F87" s="1179"/>
      <c r="G87" s="1179"/>
      <c r="H87" s="1179"/>
      <c r="I87" s="1179"/>
      <c r="J87" s="1179"/>
      <c r="K87" s="1179"/>
      <c r="L87" s="1179"/>
      <c r="M87" s="1179"/>
      <c r="N87" s="1179"/>
      <c r="O87" s="1179"/>
      <c r="P87" s="1179"/>
      <c r="Q87" s="1179"/>
      <c r="R87" s="1179"/>
      <c r="S87" s="1179"/>
      <c r="T87" s="1179"/>
      <c r="U87" s="1179"/>
      <c r="V87" s="1179"/>
      <c r="W87" s="1179"/>
      <c r="X87" s="1179"/>
      <c r="Y87" s="1179"/>
      <c r="Z87" s="1179"/>
      <c r="AA87" s="1179"/>
      <c r="AB87" s="6609"/>
      <c r="AC87" s="6612"/>
      <c r="AD87" s="6613"/>
      <c r="AE87" s="6613"/>
      <c r="AF87" s="6613"/>
      <c r="AG87" s="6613"/>
      <c r="AH87" s="2757"/>
      <c r="AI87" s="1179"/>
      <c r="AJ87" s="4288"/>
      <c r="AK87" s="1179"/>
      <c r="AL87" s="3311"/>
      <c r="AM87" s="1179"/>
      <c r="AN87" s="3311"/>
      <c r="AO87" s="1179"/>
      <c r="AP87" s="3013"/>
      <c r="AQ87" s="3013"/>
      <c r="AR87" s="3013"/>
      <c r="AS87" s="3013"/>
      <c r="AT87" s="3013"/>
      <c r="AU87" s="3013"/>
      <c r="AV87" s="3013"/>
      <c r="AW87" s="3013"/>
      <c r="AX87" s="3013"/>
      <c r="AY87" s="3013"/>
      <c r="AZ87" s="3013"/>
    </row>
    <row r="88" spans="1:53" ht="14.25" customHeight="1">
      <c r="A88" s="2757"/>
      <c r="B88" s="1378"/>
      <c r="C88" s="2996"/>
      <c r="D88" s="1274"/>
      <c r="E88" s="1274"/>
      <c r="F88" s="1274"/>
      <c r="G88" s="1274"/>
      <c r="H88" s="1274"/>
      <c r="I88" s="1274"/>
      <c r="J88" s="1274"/>
      <c r="K88" s="1274"/>
      <c r="L88" s="1274"/>
      <c r="M88" s="1274"/>
      <c r="N88" s="1274"/>
      <c r="O88" s="1274"/>
      <c r="P88" s="1274"/>
      <c r="Q88" s="1274"/>
      <c r="R88" s="1274"/>
      <c r="S88" s="1274"/>
      <c r="T88" s="3010"/>
      <c r="U88" s="3010"/>
      <c r="V88" s="1274"/>
      <c r="W88" s="2998"/>
      <c r="X88" s="1274"/>
      <c r="Y88" s="1274"/>
      <c r="Z88" s="1274"/>
      <c r="AA88" s="1274"/>
      <c r="AB88" s="1274"/>
      <c r="AC88" s="1274"/>
      <c r="AD88" s="1274"/>
      <c r="AE88" s="1274"/>
      <c r="AF88" s="1274"/>
      <c r="AG88" s="2997" t="str">
        <f>"Schedule 1 (Form 1040) "&amp;TaxYear</f>
        <v>Schedule 1 (Form 1040) 2021</v>
      </c>
      <c r="AH88" s="2757"/>
      <c r="AI88" s="1179"/>
      <c r="AJ88" s="385"/>
      <c r="AK88" s="1179"/>
      <c r="AL88" s="3311"/>
      <c r="AM88" s="1179"/>
      <c r="AN88" s="3311"/>
      <c r="AO88" s="1179"/>
      <c r="AP88" s="3013"/>
      <c r="AQ88" s="3013"/>
      <c r="AR88" s="3013"/>
      <c r="AS88" s="3013"/>
      <c r="AT88" s="3013"/>
      <c r="AU88" s="3013"/>
      <c r="AV88" s="3013"/>
      <c r="AW88" s="3013"/>
      <c r="AX88" s="3013"/>
      <c r="AY88" s="3013"/>
      <c r="AZ88" s="3013"/>
    </row>
    <row r="89" spans="1:53" ht="14.25" customHeight="1">
      <c r="A89" s="2757"/>
      <c r="B89" s="2757"/>
      <c r="C89" s="2757"/>
      <c r="D89" s="2757"/>
      <c r="E89" s="2757"/>
      <c r="F89" s="2757"/>
      <c r="G89" s="2757"/>
      <c r="H89" s="2757"/>
      <c r="I89" s="2757"/>
      <c r="J89" s="2757"/>
      <c r="K89" s="2757"/>
      <c r="L89" s="2757"/>
      <c r="M89" s="2757"/>
      <c r="N89" s="2757"/>
      <c r="O89" s="2757"/>
      <c r="P89" s="2757"/>
      <c r="Q89" s="2757"/>
      <c r="R89" s="2757"/>
      <c r="S89" s="2757"/>
      <c r="T89" s="2757"/>
      <c r="U89" s="2757"/>
      <c r="V89" s="5504"/>
      <c r="W89" s="2757"/>
      <c r="X89" s="2757"/>
      <c r="Y89" s="2757"/>
      <c r="Z89" s="2757"/>
      <c r="AA89" s="2757"/>
      <c r="AB89" s="2757"/>
      <c r="AC89" s="2757"/>
      <c r="AD89" s="2757"/>
      <c r="AE89" s="2757"/>
      <c r="AF89" s="2757"/>
      <c r="AG89" s="2757"/>
      <c r="AH89" s="2757"/>
      <c r="AI89" s="1179"/>
      <c r="AJ89" s="385"/>
      <c r="AK89" s="1179"/>
      <c r="AL89" s="1179"/>
      <c r="AM89" s="1179"/>
      <c r="AN89" s="1179"/>
      <c r="AO89" s="1179"/>
      <c r="AP89" s="3013"/>
      <c r="AQ89" s="3013"/>
      <c r="AR89" s="3013"/>
      <c r="AS89" s="3013"/>
      <c r="AT89" s="3013"/>
      <c r="AU89" s="3013"/>
      <c r="AV89" s="3013"/>
      <c r="AW89" s="3013"/>
      <c r="AX89" s="3013"/>
      <c r="AY89" s="3013"/>
      <c r="AZ89" s="3013"/>
    </row>
    <row r="90" spans="1:53" ht="14.25" customHeight="1">
      <c r="F90" s="5501"/>
      <c r="G90" s="5501"/>
      <c r="H90" s="5501"/>
      <c r="I90" s="5501"/>
      <c r="J90" s="5501"/>
      <c r="K90" s="5501"/>
      <c r="L90" s="5501"/>
      <c r="M90" s="5501"/>
      <c r="N90" s="5501"/>
      <c r="O90" s="5501"/>
      <c r="P90" s="5501"/>
      <c r="Q90" s="5501"/>
      <c r="R90" s="5501"/>
      <c r="S90" s="5501"/>
      <c r="T90" s="5501"/>
      <c r="U90" s="5501"/>
      <c r="V90" s="5501"/>
      <c r="W90" s="5501"/>
      <c r="X90" s="5501"/>
      <c r="Y90" s="5501"/>
      <c r="Z90" s="5501"/>
      <c r="AA90" s="5501"/>
      <c r="AB90" s="5501"/>
      <c r="AC90" s="5501"/>
      <c r="AD90" s="5501"/>
      <c r="AE90" s="5501"/>
      <c r="AF90" s="5501"/>
      <c r="AG90" s="5501"/>
      <c r="AH90" s="5501"/>
      <c r="AI90" s="5501"/>
      <c r="AJ90" s="5501"/>
      <c r="AK90" s="5501"/>
      <c r="AL90" s="5501"/>
      <c r="AM90" s="5501"/>
      <c r="AN90" s="5501"/>
      <c r="AO90" s="5501"/>
      <c r="AP90" s="5501"/>
      <c r="AQ90" s="5501"/>
      <c r="AR90" s="5501"/>
      <c r="AS90" s="5501"/>
      <c r="AT90" s="5501"/>
      <c r="AU90" s="5501"/>
      <c r="AV90" s="5501"/>
      <c r="AW90" s="5501"/>
      <c r="AX90" s="5501"/>
      <c r="AY90" s="5501"/>
      <c r="AZ90" s="5501"/>
      <c r="BA90" s="5501"/>
    </row>
    <row r="91" spans="1:53" ht="14.25" customHeight="1" thickBot="1">
      <c r="G91" s="5501"/>
      <c r="H91" s="5501"/>
      <c r="I91" s="5501"/>
      <c r="J91" s="5501"/>
      <c r="K91" s="5501"/>
      <c r="L91" s="5501"/>
      <c r="M91" s="5501"/>
      <c r="N91" s="5501"/>
      <c r="O91" s="5501"/>
      <c r="P91" s="5501"/>
      <c r="Q91" s="5501"/>
      <c r="R91" s="5501"/>
      <c r="S91" s="5501"/>
      <c r="T91" s="5501"/>
      <c r="U91" s="5501"/>
      <c r="V91" s="5501"/>
      <c r="W91" s="5501"/>
      <c r="X91" s="5501"/>
      <c r="Y91" s="5501"/>
      <c r="Z91" s="5501"/>
      <c r="AA91" s="5501"/>
      <c r="AB91" s="5501"/>
      <c r="AC91" s="5501"/>
      <c r="AD91" s="5501"/>
      <c r="AE91" s="5501"/>
      <c r="AF91" s="5501"/>
      <c r="AG91" s="5501"/>
      <c r="AH91" s="5501"/>
      <c r="AI91" s="5501"/>
      <c r="AJ91" s="5501"/>
      <c r="AK91" s="5501"/>
      <c r="AL91" s="5501"/>
      <c r="AM91" s="5501"/>
      <c r="AN91" s="5501"/>
      <c r="AO91" s="5501"/>
      <c r="AP91" s="5501"/>
      <c r="AQ91" s="5501"/>
      <c r="AR91" s="5501"/>
      <c r="AS91" s="5501"/>
      <c r="AT91" s="5501"/>
      <c r="AU91" s="5501"/>
      <c r="AV91" s="5501"/>
      <c r="AW91" s="5501"/>
      <c r="AX91" s="5501"/>
      <c r="AY91" s="5501"/>
      <c r="AZ91" s="5501"/>
      <c r="BA91" s="5501"/>
    </row>
    <row r="92" spans="1:53" ht="14.25" customHeight="1">
      <c r="B92" s="6592" t="s">
        <v>3219</v>
      </c>
      <c r="C92" s="6593"/>
      <c r="D92" s="6593"/>
      <c r="E92" s="6594"/>
      <c r="G92" s="5501"/>
      <c r="H92" s="5501"/>
      <c r="I92" s="5501"/>
      <c r="J92" s="5501"/>
      <c r="K92" s="5501"/>
      <c r="L92" s="5501"/>
      <c r="M92" s="5501"/>
      <c r="N92" s="5501"/>
      <c r="O92" s="5501"/>
      <c r="P92" s="5501"/>
      <c r="Q92" s="5501"/>
      <c r="R92" s="5501"/>
      <c r="S92" s="5501"/>
      <c r="T92" s="5501"/>
      <c r="U92" s="5501"/>
      <c r="V92" s="5501"/>
      <c r="W92" s="5501"/>
      <c r="X92" s="5501"/>
      <c r="Y92" s="5501"/>
      <c r="Z92" s="5501"/>
      <c r="AA92" s="5501"/>
      <c r="AB92" s="5501"/>
      <c r="AC92" s="5501"/>
      <c r="AD92" s="5501"/>
      <c r="AE92" s="5501"/>
      <c r="AF92" s="5501"/>
      <c r="AG92" s="5501"/>
      <c r="AH92" s="5501"/>
      <c r="AI92" s="5502" t="str">
        <f t="shared" ref="AI92:BA92" si="1">IF(T92&lt;&gt;"",ROUND(T92,0),"")</f>
        <v/>
      </c>
      <c r="AJ92" s="5502" t="str">
        <f t="shared" si="1"/>
        <v/>
      </c>
      <c r="AK92" s="5502" t="str">
        <f t="shared" si="1"/>
        <v/>
      </c>
      <c r="AL92" s="5502" t="str">
        <f t="shared" si="1"/>
        <v/>
      </c>
      <c r="AM92" s="5502" t="str">
        <f t="shared" si="1"/>
        <v/>
      </c>
      <c r="AN92" s="5502" t="str">
        <f t="shared" si="1"/>
        <v/>
      </c>
      <c r="AO92" s="5502" t="str">
        <f t="shared" si="1"/>
        <v/>
      </c>
      <c r="AP92" s="5502" t="str">
        <f t="shared" si="1"/>
        <v/>
      </c>
      <c r="AQ92" s="5502" t="str">
        <f t="shared" si="1"/>
        <v/>
      </c>
      <c r="AR92" s="5502" t="str">
        <f t="shared" si="1"/>
        <v/>
      </c>
      <c r="AS92" s="5502" t="str">
        <f t="shared" si="1"/>
        <v/>
      </c>
      <c r="AT92" s="5502" t="str">
        <f t="shared" si="1"/>
        <v/>
      </c>
      <c r="AU92" s="5502" t="str">
        <f t="shared" si="1"/>
        <v/>
      </c>
      <c r="AV92" s="5502" t="str">
        <f t="shared" si="1"/>
        <v/>
      </c>
      <c r="AW92" s="5502" t="str">
        <f t="shared" si="1"/>
        <v/>
      </c>
      <c r="AX92" s="5502" t="str">
        <f t="shared" si="1"/>
        <v/>
      </c>
      <c r="AY92" s="5502" t="str">
        <f t="shared" si="1"/>
        <v/>
      </c>
      <c r="AZ92" s="5502" t="str">
        <f t="shared" si="1"/>
        <v/>
      </c>
      <c r="BA92" s="5502" t="str">
        <f t="shared" si="1"/>
        <v/>
      </c>
    </row>
    <row r="93" spans="1:53" ht="16.5" customHeight="1">
      <c r="B93" s="6595"/>
      <c r="C93" s="6596"/>
      <c r="D93" s="6596"/>
      <c r="E93" s="6597"/>
      <c r="G93" s="5501"/>
      <c r="H93" s="5501"/>
      <c r="I93" s="5501"/>
      <c r="J93" s="5501"/>
      <c r="K93" s="5501"/>
      <c r="L93" s="5501"/>
      <c r="M93" s="5501"/>
      <c r="N93" s="5501"/>
      <c r="O93" s="5501"/>
      <c r="P93" s="5501"/>
      <c r="Q93" s="5501"/>
      <c r="R93" s="5501"/>
      <c r="S93" s="5501"/>
      <c r="T93" s="5501"/>
      <c r="U93" s="5501"/>
      <c r="V93" s="5501"/>
      <c r="W93" s="5501"/>
      <c r="X93" s="5501"/>
      <c r="Y93" s="5501"/>
      <c r="Z93" s="5501"/>
      <c r="AA93" s="5501"/>
      <c r="AB93" s="5501"/>
      <c r="AC93" s="5501"/>
      <c r="AD93" s="5501"/>
      <c r="AE93" s="5501"/>
      <c r="AF93" s="5501"/>
      <c r="AG93" s="5501"/>
      <c r="AH93" s="5501"/>
      <c r="AI93" s="5502" t="str">
        <f>IF(T93&lt;&gt;"",ROUND(T93,0),"")</f>
        <v/>
      </c>
      <c r="AJ93" s="5131"/>
      <c r="AK93" s="5131"/>
      <c r="AL93" s="5131"/>
      <c r="AM93" s="5131"/>
      <c r="AN93" s="5131"/>
      <c r="AO93" s="5131"/>
      <c r="AP93" s="5131"/>
      <c r="AQ93" s="5131"/>
      <c r="AR93" s="5131"/>
      <c r="AS93" s="5131"/>
      <c r="AT93" s="5131"/>
      <c r="AU93" s="5131"/>
      <c r="AV93" s="5131"/>
      <c r="AW93" s="5131"/>
      <c r="AX93" s="5131"/>
      <c r="AY93" s="5131"/>
      <c r="AZ93" s="5131"/>
      <c r="BA93" s="5131"/>
    </row>
    <row r="94" spans="1:53" ht="13.5" thickBot="1">
      <c r="B94" s="6598"/>
      <c r="C94" s="6599"/>
      <c r="D94" s="6599"/>
      <c r="E94" s="6600"/>
      <c r="G94" s="5501"/>
      <c r="H94" s="5501"/>
      <c r="I94" s="5501"/>
      <c r="J94" s="5501"/>
      <c r="K94" s="5501"/>
      <c r="L94" s="5501"/>
      <c r="M94" s="5501"/>
      <c r="N94" s="5501"/>
      <c r="O94" s="5501"/>
      <c r="P94" s="5501"/>
      <c r="Q94" s="5501"/>
      <c r="R94" s="5501"/>
      <c r="S94" s="5501"/>
      <c r="T94" s="5501"/>
      <c r="U94" s="5501"/>
      <c r="V94" s="5501"/>
      <c r="W94" s="5501"/>
      <c r="X94" s="5501"/>
      <c r="Y94" s="5501"/>
      <c r="Z94" s="5501"/>
      <c r="AA94" s="5501"/>
      <c r="AB94" s="5501"/>
      <c r="AC94" s="5501"/>
      <c r="AD94" s="5501"/>
      <c r="AE94" s="5501"/>
      <c r="AF94" s="5501"/>
      <c r="AG94" s="5501"/>
      <c r="AH94" s="5501"/>
      <c r="AI94" s="5502" t="str">
        <f>IF(T94&lt;&gt;"",ROUND(T94,0),"")</f>
        <v/>
      </c>
      <c r="AJ94" s="5131"/>
      <c r="AK94" s="5131"/>
      <c r="AL94" s="5131"/>
      <c r="AM94" s="3382"/>
      <c r="AN94" s="3382"/>
      <c r="AO94" s="3382"/>
      <c r="AP94" s="3382"/>
      <c r="AQ94" s="3382"/>
      <c r="AR94" s="3382"/>
      <c r="AS94" s="3382"/>
      <c r="AT94" s="3382"/>
      <c r="AU94" s="3382"/>
      <c r="AV94" s="3382"/>
      <c r="AW94" s="3382"/>
      <c r="AX94" s="3382"/>
      <c r="AY94" s="3382"/>
      <c r="AZ94" s="3382"/>
      <c r="BA94" s="3382"/>
    </row>
    <row r="95" spans="1:53">
      <c r="G95" s="5501"/>
      <c r="H95" s="5501"/>
      <c r="I95" s="5501"/>
      <c r="J95" s="5501"/>
      <c r="K95" s="5501"/>
      <c r="L95" s="5501"/>
      <c r="M95" s="5501"/>
      <c r="N95" s="5501"/>
      <c r="O95" s="5501"/>
      <c r="P95" s="5501"/>
      <c r="Q95" s="5501"/>
      <c r="R95" s="5501"/>
      <c r="S95" s="5501"/>
      <c r="T95" s="5501"/>
      <c r="U95" s="5501"/>
      <c r="V95" s="5501"/>
      <c r="W95" s="5501"/>
      <c r="X95" s="5501"/>
      <c r="Y95" s="5501"/>
      <c r="Z95" s="5501"/>
      <c r="AA95" s="5501"/>
      <c r="AB95" s="5501"/>
      <c r="AC95" s="5501"/>
      <c r="AD95" s="5501"/>
      <c r="AE95" s="5501"/>
      <c r="AF95" s="5501"/>
      <c r="AG95" s="5501"/>
      <c r="AH95" s="5501"/>
      <c r="AI95" s="5502"/>
      <c r="AJ95" s="5131"/>
      <c r="AK95" s="5131"/>
      <c r="AL95" s="5131"/>
      <c r="AM95" s="3382"/>
      <c r="AN95" s="3382"/>
      <c r="AO95" s="3382"/>
      <c r="AP95" s="3382"/>
      <c r="AQ95" s="3382"/>
      <c r="AR95" s="3382"/>
      <c r="AS95" s="3382"/>
      <c r="AT95" s="3382"/>
      <c r="AU95" s="3382"/>
      <c r="AV95" s="3382"/>
      <c r="AW95" s="3382"/>
      <c r="AX95" s="3382"/>
      <c r="AY95" s="3382"/>
      <c r="AZ95" s="3382"/>
      <c r="BA95" s="3382"/>
    </row>
    <row r="96" spans="1:53">
      <c r="G96" s="5501"/>
      <c r="H96" s="5501"/>
      <c r="I96" s="5501"/>
      <c r="J96" s="5501"/>
      <c r="K96" s="5501"/>
      <c r="L96" s="5501"/>
      <c r="M96" s="5501"/>
      <c r="N96" s="5501"/>
      <c r="O96" s="5501"/>
      <c r="P96" s="5501"/>
      <c r="Q96" s="5501"/>
      <c r="R96" s="5501"/>
      <c r="S96" s="5501"/>
      <c r="T96" s="5501"/>
      <c r="U96" s="5501"/>
      <c r="V96" s="5501"/>
      <c r="W96" s="5501"/>
      <c r="X96" s="5501"/>
      <c r="Y96" s="5501"/>
      <c r="Z96" s="5501"/>
      <c r="AA96" s="5501"/>
      <c r="AB96" s="5501"/>
      <c r="AC96" s="5501"/>
      <c r="AD96" s="5501"/>
      <c r="AE96" s="5501"/>
      <c r="AF96" s="5501"/>
      <c r="AG96" s="5501"/>
      <c r="AH96" s="5501"/>
      <c r="AI96" s="5502" t="str">
        <f>IF(T96&lt;&gt;"",ROUND(T96,0),"")</f>
        <v/>
      </c>
      <c r="AJ96" s="5131"/>
      <c r="AK96" s="5131"/>
      <c r="AL96" s="5131"/>
      <c r="AM96" s="3382"/>
      <c r="AN96" s="3382"/>
      <c r="AO96" s="3382"/>
    </row>
    <row r="97" spans="7:41">
      <c r="G97" s="5501"/>
      <c r="H97" s="5501"/>
      <c r="I97" s="5501"/>
      <c r="J97" s="5501"/>
      <c r="K97" s="5501"/>
      <c r="L97" s="5501"/>
      <c r="M97" s="5501"/>
      <c r="N97" s="5501"/>
      <c r="O97" s="5501"/>
      <c r="P97" s="5501"/>
      <c r="Q97" s="5501"/>
      <c r="R97" s="5501"/>
      <c r="S97" s="5501"/>
      <c r="T97" s="5501"/>
      <c r="U97" s="5501"/>
      <c r="V97" s="5501"/>
      <c r="W97" s="5501"/>
      <c r="X97" s="5501"/>
      <c r="Y97" s="5501"/>
      <c r="Z97" s="5501"/>
      <c r="AA97" s="5501"/>
      <c r="AB97" s="5501"/>
      <c r="AC97" s="5501"/>
      <c r="AD97" s="5501"/>
      <c r="AE97" s="5501"/>
      <c r="AF97" s="5501"/>
      <c r="AG97" s="5501"/>
      <c r="AH97" s="5501"/>
      <c r="AI97" s="5502"/>
      <c r="AJ97" s="5131"/>
      <c r="AK97" s="5131"/>
      <c r="AL97" s="5131"/>
      <c r="AM97" s="3382"/>
      <c r="AN97" s="3382"/>
      <c r="AO97" s="3382"/>
    </row>
    <row r="98" spans="7:41">
      <c r="G98" s="5501"/>
      <c r="H98" s="5501"/>
      <c r="I98" s="5501"/>
      <c r="J98" s="5501"/>
      <c r="K98" s="5501"/>
      <c r="L98" s="5501"/>
      <c r="M98" s="5501"/>
      <c r="N98" s="5501"/>
      <c r="O98" s="5501"/>
      <c r="P98" s="5501"/>
      <c r="Q98" s="5501"/>
      <c r="R98" s="5501"/>
      <c r="S98" s="5501"/>
      <c r="T98" s="5501"/>
      <c r="U98" s="5501"/>
      <c r="V98" s="5501"/>
      <c r="W98" s="5501"/>
      <c r="X98" s="5501"/>
      <c r="Y98" s="5501"/>
      <c r="Z98" s="5501"/>
      <c r="AA98" s="5501"/>
      <c r="AB98" s="5501"/>
      <c r="AC98" s="5501"/>
      <c r="AD98" s="5501"/>
      <c r="AE98" s="5501"/>
      <c r="AF98" s="5501"/>
      <c r="AG98" s="5501"/>
      <c r="AH98" s="5501"/>
      <c r="AI98" s="5502" t="str">
        <f>IF(T98&lt;&gt;"",ROUND(T98,0),"")</f>
        <v/>
      </c>
      <c r="AJ98" s="5131"/>
      <c r="AK98" s="5501"/>
      <c r="AL98" s="5501"/>
      <c r="AN98" s="3382"/>
    </row>
    <row r="99" spans="7:41">
      <c r="G99" s="5501"/>
      <c r="H99" s="5501"/>
      <c r="I99" s="5501"/>
      <c r="J99" s="5501"/>
      <c r="K99" s="5501"/>
      <c r="L99" s="5501"/>
      <c r="M99" s="5501"/>
      <c r="N99" s="5501"/>
      <c r="O99" s="5501"/>
      <c r="P99" s="5501"/>
      <c r="Q99" s="5501"/>
      <c r="R99" s="5501"/>
      <c r="S99" s="5501"/>
      <c r="T99" s="5501"/>
      <c r="U99" s="5501"/>
      <c r="V99" s="5501"/>
      <c r="W99" s="5501"/>
      <c r="X99" s="5501"/>
      <c r="Y99" s="5501"/>
      <c r="Z99" s="5501"/>
      <c r="AA99" s="5501"/>
      <c r="AB99" s="5501"/>
      <c r="AC99" s="5501"/>
      <c r="AD99" s="5501"/>
      <c r="AE99" s="5501"/>
      <c r="AF99" s="5501"/>
      <c r="AG99" s="5501"/>
      <c r="AH99" s="5501"/>
      <c r="AI99" s="5502"/>
      <c r="AJ99" s="5131"/>
      <c r="AK99" s="5501"/>
      <c r="AL99" s="5501"/>
    </row>
    <row r="100" spans="7:41">
      <c r="G100" s="5501"/>
      <c r="H100" s="5501"/>
      <c r="I100" s="5501"/>
      <c r="J100" s="5501"/>
      <c r="K100" s="5501"/>
      <c r="L100" s="5501"/>
      <c r="M100" s="5501"/>
      <c r="N100" s="5501"/>
      <c r="O100" s="5501"/>
      <c r="P100" s="5501"/>
      <c r="Q100" s="5501"/>
      <c r="R100" s="5501"/>
      <c r="S100" s="5501"/>
      <c r="T100" s="5501"/>
      <c r="U100" s="5501"/>
      <c r="V100" s="5501"/>
      <c r="W100" s="5501"/>
      <c r="X100" s="5501"/>
      <c r="Y100" s="5501"/>
      <c r="Z100" s="5501"/>
      <c r="AA100" s="5501"/>
      <c r="AB100" s="5501"/>
      <c r="AC100" s="5501"/>
      <c r="AD100" s="5501"/>
      <c r="AE100" s="5501"/>
      <c r="AF100" s="5501"/>
      <c r="AG100" s="5501"/>
      <c r="AH100" s="5501"/>
      <c r="AI100" s="5502"/>
      <c r="AJ100" s="5131"/>
      <c r="AK100" s="5501"/>
      <c r="AL100" s="5501"/>
    </row>
    <row r="101" spans="7:41">
      <c r="G101" s="5501"/>
      <c r="H101" s="5501"/>
      <c r="I101" s="5501"/>
      <c r="J101" s="5501"/>
      <c r="K101" s="5501"/>
      <c r="L101" s="5501"/>
      <c r="M101" s="5501"/>
      <c r="N101" s="5501"/>
      <c r="O101" s="5501"/>
      <c r="P101" s="5501"/>
      <c r="Q101" s="5501"/>
      <c r="R101" s="5501"/>
      <c r="S101" s="5501"/>
      <c r="T101" s="5501"/>
      <c r="U101" s="5501"/>
      <c r="V101" s="5501"/>
      <c r="W101" s="5501"/>
      <c r="X101" s="5501"/>
      <c r="Y101" s="5501"/>
      <c r="Z101" s="5501"/>
      <c r="AA101" s="5501"/>
      <c r="AB101" s="5501"/>
      <c r="AC101" s="5501"/>
      <c r="AD101" s="5501"/>
      <c r="AE101" s="5501"/>
      <c r="AF101" s="5501"/>
      <c r="AG101" s="5501"/>
      <c r="AH101" s="5501"/>
      <c r="AI101" s="5502" t="str">
        <f>IF(T101&lt;&gt;"",ROUND(T101,0),"")</f>
        <v/>
      </c>
      <c r="AJ101" s="5131"/>
      <c r="AK101" s="5501"/>
      <c r="AL101" s="5501"/>
    </row>
    <row r="102" spans="7:41">
      <c r="G102" s="5501"/>
      <c r="H102" s="5501"/>
      <c r="I102" s="5501"/>
      <c r="J102" s="5501"/>
      <c r="K102" s="5501"/>
      <c r="L102" s="5501"/>
      <c r="M102" s="5501"/>
      <c r="N102" s="5501"/>
      <c r="O102" s="5501"/>
      <c r="P102" s="5501"/>
      <c r="Q102" s="5501"/>
      <c r="R102" s="5501"/>
      <c r="S102" s="5501"/>
      <c r="T102" s="5501"/>
      <c r="U102" s="5501"/>
      <c r="V102" s="5501"/>
      <c r="W102" s="5501"/>
      <c r="X102" s="5501"/>
      <c r="Y102" s="5501"/>
      <c r="Z102" s="5501"/>
      <c r="AA102" s="5501"/>
      <c r="AB102" s="5501"/>
      <c r="AC102" s="5501"/>
      <c r="AD102" s="5501"/>
      <c r="AE102" s="5501"/>
      <c r="AF102" s="5501"/>
      <c r="AG102" s="5501"/>
      <c r="AH102" s="5501"/>
      <c r="AI102" s="5502"/>
      <c r="AJ102" s="5131"/>
      <c r="AK102" s="5501"/>
      <c r="AL102" s="5501"/>
    </row>
    <row r="103" spans="7:41">
      <c r="G103" s="5501"/>
      <c r="H103" s="5501"/>
      <c r="I103" s="5501"/>
      <c r="J103" s="5501"/>
      <c r="K103" s="5501"/>
      <c r="L103" s="5501"/>
      <c r="M103" s="5501"/>
      <c r="N103" s="5501"/>
      <c r="O103" s="5501"/>
      <c r="P103" s="5501"/>
      <c r="Q103" s="5501"/>
      <c r="R103" s="5501"/>
      <c r="S103" s="5501"/>
      <c r="T103" s="5501"/>
      <c r="U103" s="5501"/>
      <c r="V103" s="5501"/>
      <c r="W103" s="5501"/>
      <c r="X103" s="5501"/>
      <c r="Y103" s="5501"/>
      <c r="Z103" s="5501"/>
      <c r="AA103" s="5501"/>
      <c r="AB103" s="5501"/>
      <c r="AC103" s="5501"/>
      <c r="AD103" s="5501"/>
      <c r="AE103" s="5501"/>
      <c r="AF103" s="5501"/>
      <c r="AG103" s="5501"/>
      <c r="AH103" s="5501"/>
      <c r="AI103" s="5502" t="str">
        <f>IF(T103&lt;&gt;"",ROUND(T103,0),"")</f>
        <v/>
      </c>
      <c r="AJ103" s="5131"/>
      <c r="AK103" s="5501"/>
      <c r="AL103" s="5501"/>
    </row>
    <row r="104" spans="7:41">
      <c r="G104" s="5501"/>
      <c r="H104" s="5501"/>
      <c r="I104" s="5501"/>
      <c r="J104" s="5501"/>
      <c r="K104" s="5501"/>
      <c r="L104" s="5501"/>
      <c r="M104" s="5501"/>
      <c r="N104" s="5501"/>
      <c r="O104" s="5501"/>
      <c r="P104" s="5501"/>
      <c r="Q104" s="5501"/>
      <c r="R104" s="5501"/>
      <c r="S104" s="5501"/>
      <c r="T104" s="5501"/>
      <c r="U104" s="5501"/>
      <c r="V104" s="5501"/>
      <c r="W104" s="5501"/>
      <c r="X104" s="5501"/>
      <c r="Y104" s="5501"/>
      <c r="Z104" s="5501"/>
      <c r="AA104" s="5501"/>
      <c r="AB104" s="5501"/>
      <c r="AC104" s="5501"/>
      <c r="AD104" s="5501"/>
      <c r="AE104" s="5501"/>
      <c r="AF104" s="5501"/>
      <c r="AG104" s="5501"/>
      <c r="AH104" s="5501"/>
      <c r="AI104" s="5502"/>
      <c r="AJ104" s="5131"/>
      <c r="AK104" s="5501"/>
      <c r="AL104" s="5501"/>
    </row>
    <row r="105" spans="7:41">
      <c r="G105" s="5501"/>
      <c r="H105" s="5501"/>
      <c r="I105" s="5501"/>
      <c r="J105" s="5501"/>
      <c r="K105" s="5501"/>
      <c r="L105" s="5501"/>
      <c r="M105" s="5501"/>
      <c r="N105" s="5501"/>
      <c r="O105" s="5501"/>
      <c r="P105" s="5501"/>
      <c r="Q105" s="5501"/>
      <c r="R105" s="5501"/>
      <c r="S105" s="5501"/>
      <c r="T105" s="5501"/>
      <c r="U105" s="5501"/>
      <c r="V105" s="5501"/>
      <c r="W105" s="5501"/>
      <c r="X105" s="5501"/>
      <c r="Y105" s="5501"/>
      <c r="Z105" s="5501"/>
      <c r="AA105" s="5501"/>
      <c r="AB105" s="5501"/>
      <c r="AC105" s="5501"/>
      <c r="AD105" s="5501"/>
      <c r="AE105" s="5501"/>
      <c r="AF105" s="5501"/>
      <c r="AG105" s="5501"/>
      <c r="AH105" s="5501"/>
      <c r="AI105" s="5502" t="str">
        <f>IF(T105&lt;&gt;"",ROUND(T105,0),"")</f>
        <v/>
      </c>
      <c r="AJ105" s="5131"/>
      <c r="AK105" s="5501"/>
      <c r="AL105" s="5501"/>
    </row>
    <row r="106" spans="7:41">
      <c r="G106" s="5501"/>
      <c r="H106" s="5501"/>
      <c r="I106" s="5501"/>
      <c r="J106" s="5501"/>
      <c r="K106" s="5501"/>
      <c r="L106" s="5501"/>
      <c r="M106" s="5501"/>
      <c r="N106" s="5501"/>
      <c r="O106" s="5501"/>
      <c r="P106" s="5501"/>
      <c r="Q106" s="5501"/>
      <c r="R106" s="5501"/>
      <c r="S106" s="5501"/>
      <c r="T106" s="5501"/>
      <c r="U106" s="5501"/>
      <c r="V106" s="5501"/>
      <c r="W106" s="5501"/>
      <c r="X106" s="5501"/>
      <c r="Y106" s="5501"/>
      <c r="Z106" s="5501"/>
      <c r="AA106" s="5501"/>
      <c r="AB106" s="5501"/>
      <c r="AC106" s="5501"/>
      <c r="AD106" s="5501"/>
      <c r="AE106" s="5501"/>
      <c r="AF106" s="5501"/>
      <c r="AG106" s="5501"/>
      <c r="AH106" s="5501"/>
      <c r="AI106" s="5502"/>
      <c r="AJ106" s="5131"/>
      <c r="AK106" s="5501"/>
      <c r="AL106" s="5501"/>
    </row>
    <row r="107" spans="7:41">
      <c r="G107" s="5501"/>
      <c r="H107" s="5501"/>
      <c r="I107" s="5501"/>
      <c r="J107" s="5501"/>
      <c r="K107" s="5501"/>
      <c r="L107" s="5501"/>
      <c r="M107" s="5501"/>
      <c r="N107" s="5501"/>
      <c r="O107" s="5501"/>
      <c r="P107" s="5501"/>
      <c r="Q107" s="5501"/>
      <c r="R107" s="5501"/>
      <c r="S107" s="5501"/>
      <c r="T107" s="5501"/>
      <c r="U107" s="5501"/>
      <c r="V107" s="5501"/>
      <c r="W107" s="5501"/>
      <c r="X107" s="5501"/>
      <c r="Y107" s="5501"/>
      <c r="Z107" s="5501"/>
      <c r="AA107" s="5501"/>
      <c r="AB107" s="5501"/>
      <c r="AC107" s="5501"/>
      <c r="AD107" s="5501"/>
      <c r="AE107" s="5501"/>
      <c r="AF107" s="5501"/>
      <c r="AG107" s="5501"/>
      <c r="AH107" s="5501"/>
      <c r="AI107" s="5502" t="str">
        <f>IF(T107&lt;&gt;"",ROUND(T107,0),"")</f>
        <v/>
      </c>
      <c r="AJ107" s="5131"/>
      <c r="AK107" s="5501"/>
      <c r="AL107" s="5501"/>
    </row>
    <row r="108" spans="7:41">
      <c r="G108" s="5501"/>
      <c r="H108" s="5501"/>
      <c r="I108" s="5501"/>
      <c r="J108" s="5501"/>
      <c r="K108" s="5501"/>
      <c r="L108" s="5501"/>
      <c r="M108" s="5501"/>
      <c r="N108" s="5501"/>
      <c r="O108" s="5501"/>
      <c r="P108" s="5501"/>
      <c r="Q108" s="5501"/>
      <c r="R108" s="5501"/>
      <c r="S108" s="5501"/>
      <c r="T108" s="5501"/>
      <c r="U108" s="5501"/>
      <c r="V108" s="5501"/>
      <c r="W108" s="5501"/>
      <c r="X108" s="5501"/>
      <c r="Y108" s="5501"/>
      <c r="Z108" s="5501"/>
      <c r="AA108" s="5501"/>
      <c r="AB108" s="5501"/>
      <c r="AC108" s="5501"/>
      <c r="AD108" s="5501"/>
      <c r="AE108" s="5501"/>
      <c r="AF108" s="5501"/>
      <c r="AG108" s="5501"/>
      <c r="AH108" s="5501"/>
      <c r="AI108" s="5502"/>
      <c r="AJ108" s="5131"/>
      <c r="AK108" s="5501"/>
      <c r="AL108" s="5501"/>
    </row>
    <row r="109" spans="7:41">
      <c r="G109" s="5501"/>
      <c r="H109" s="5501"/>
      <c r="I109" s="5501"/>
      <c r="J109" s="5501"/>
      <c r="K109" s="5501"/>
      <c r="L109" s="5501"/>
      <c r="M109" s="5501"/>
      <c r="N109" s="5501"/>
      <c r="O109" s="5501"/>
      <c r="P109" s="5501"/>
      <c r="Q109" s="5501"/>
      <c r="R109" s="5501"/>
      <c r="S109" s="5501"/>
      <c r="T109" s="5501"/>
      <c r="U109" s="5501"/>
      <c r="V109" s="5501"/>
      <c r="W109" s="5501"/>
      <c r="X109" s="5501"/>
      <c r="Y109" s="5501"/>
      <c r="Z109" s="5501"/>
      <c r="AA109" s="5501"/>
      <c r="AB109" s="5501"/>
      <c r="AC109" s="5501"/>
      <c r="AD109" s="5501"/>
      <c r="AE109" s="5501"/>
      <c r="AF109" s="5501"/>
      <c r="AG109" s="5501"/>
      <c r="AH109" s="5501"/>
      <c r="AI109" s="5502"/>
      <c r="AJ109" s="5131"/>
      <c r="AK109" s="5501"/>
      <c r="AL109" s="5501"/>
    </row>
    <row r="110" spans="7:41">
      <c r="G110" s="5501"/>
      <c r="H110" s="5501"/>
      <c r="I110" s="5501"/>
      <c r="J110" s="5501"/>
      <c r="K110" s="5501"/>
      <c r="L110" s="5501"/>
      <c r="M110" s="5501"/>
      <c r="N110" s="5501"/>
      <c r="O110" s="5501"/>
      <c r="P110" s="5501"/>
      <c r="Q110" s="5501"/>
      <c r="R110" s="5501"/>
      <c r="S110" s="5501"/>
      <c r="T110" s="5501"/>
      <c r="U110" s="5501"/>
      <c r="V110" s="5501"/>
      <c r="W110" s="5501"/>
      <c r="X110" s="5501"/>
      <c r="Y110" s="5501"/>
      <c r="Z110" s="5501"/>
      <c r="AA110" s="5501"/>
      <c r="AB110" s="5501"/>
      <c r="AC110" s="5501"/>
      <c r="AD110" s="5501"/>
      <c r="AE110" s="5501"/>
      <c r="AF110" s="5501"/>
      <c r="AG110" s="5501"/>
      <c r="AH110" s="5501"/>
      <c r="AI110" s="5502" t="str">
        <f>IF(T110&lt;&gt;"",ROUND(T110,0),"")</f>
        <v/>
      </c>
      <c r="AJ110" s="5131"/>
      <c r="AK110" s="5501"/>
      <c r="AL110" s="5501"/>
    </row>
    <row r="111" spans="7:41">
      <c r="G111" s="5501"/>
      <c r="H111" s="5501"/>
      <c r="I111" s="5501"/>
      <c r="J111" s="5501"/>
      <c r="K111" s="5501"/>
      <c r="L111" s="5501"/>
      <c r="M111" s="5501"/>
      <c r="N111" s="5501"/>
      <c r="O111" s="5501"/>
      <c r="P111" s="5501"/>
      <c r="Q111" s="5501"/>
      <c r="R111" s="5501"/>
      <c r="S111" s="5501"/>
      <c r="T111" s="5501"/>
      <c r="U111" s="5501"/>
      <c r="V111" s="5501"/>
      <c r="W111" s="5501"/>
      <c r="X111" s="5501"/>
      <c r="Y111" s="5501"/>
      <c r="Z111" s="5501"/>
      <c r="AA111" s="5501"/>
      <c r="AB111" s="5501"/>
      <c r="AC111" s="5501"/>
      <c r="AD111" s="5501"/>
      <c r="AE111" s="5501"/>
      <c r="AF111" s="5501"/>
      <c r="AG111" s="5501"/>
      <c r="AH111" s="5501"/>
      <c r="AI111" s="5502"/>
      <c r="AJ111" s="5131"/>
      <c r="AK111" s="5501"/>
      <c r="AL111" s="5501"/>
    </row>
    <row r="112" spans="7:41">
      <c r="G112" s="5501"/>
      <c r="H112" s="5501"/>
      <c r="I112" s="5501"/>
      <c r="J112" s="5501"/>
      <c r="K112" s="5501"/>
      <c r="L112" s="5501"/>
      <c r="M112" s="5501"/>
      <c r="N112" s="5501"/>
      <c r="O112" s="5501"/>
      <c r="P112" s="5501"/>
      <c r="Q112" s="5501"/>
      <c r="R112" s="5501"/>
      <c r="S112" s="5501"/>
      <c r="T112" s="5501"/>
      <c r="U112" s="5501"/>
      <c r="V112" s="5501"/>
      <c r="W112" s="5501"/>
      <c r="X112" s="5501"/>
      <c r="Y112" s="5501"/>
      <c r="Z112" s="5501"/>
      <c r="AA112" s="5501"/>
      <c r="AB112" s="5501"/>
      <c r="AC112" s="5501"/>
      <c r="AD112" s="5501"/>
      <c r="AE112" s="5501"/>
      <c r="AF112" s="5501"/>
      <c r="AG112" s="5501"/>
      <c r="AH112" s="5501"/>
      <c r="AI112" s="5502" t="str">
        <f>IF(T112&lt;&gt;"",ROUND(T112,0),"")</f>
        <v/>
      </c>
      <c r="AJ112" s="5131"/>
      <c r="AK112" s="5501"/>
      <c r="AL112" s="5501"/>
    </row>
    <row r="113" spans="7:38">
      <c r="G113" s="5501"/>
      <c r="H113" s="5501"/>
      <c r="I113" s="5501"/>
      <c r="J113" s="5501"/>
      <c r="K113" s="5501"/>
      <c r="L113" s="5501"/>
      <c r="M113" s="5501"/>
      <c r="N113" s="5501"/>
      <c r="O113" s="5501"/>
      <c r="P113" s="5501"/>
      <c r="Q113" s="5501"/>
      <c r="R113" s="5501"/>
      <c r="S113" s="5501"/>
      <c r="T113" s="5501"/>
      <c r="U113" s="5501"/>
      <c r="V113" s="5501"/>
      <c r="W113" s="5501"/>
      <c r="X113" s="5501"/>
      <c r="Y113" s="5501"/>
      <c r="Z113" s="5501"/>
      <c r="AA113" s="5501"/>
      <c r="AB113" s="5501"/>
      <c r="AC113" s="5501"/>
      <c r="AD113" s="5501"/>
      <c r="AE113" s="5501"/>
      <c r="AF113" s="5501"/>
      <c r="AG113" s="5501"/>
      <c r="AH113" s="5501"/>
      <c r="AI113" s="5502"/>
      <c r="AJ113" s="5131"/>
      <c r="AK113" s="5501"/>
      <c r="AL113" s="5501"/>
    </row>
    <row r="114" spans="7:38">
      <c r="G114" s="5501"/>
      <c r="H114" s="5501"/>
      <c r="I114" s="5501"/>
      <c r="J114" s="5501"/>
      <c r="K114" s="5501"/>
      <c r="L114" s="5501"/>
      <c r="M114" s="5501"/>
      <c r="N114" s="5501"/>
      <c r="O114" s="5501"/>
      <c r="P114" s="5501"/>
      <c r="Q114" s="5501"/>
      <c r="R114" s="5501"/>
      <c r="S114" s="5501"/>
      <c r="T114" s="5501"/>
      <c r="U114" s="5501"/>
      <c r="V114" s="5501"/>
      <c r="W114" s="5501"/>
      <c r="X114" s="5501"/>
      <c r="Y114" s="5501"/>
      <c r="Z114" s="5501"/>
      <c r="AA114" s="5501"/>
      <c r="AB114" s="5501"/>
      <c r="AC114" s="5501"/>
      <c r="AD114" s="5501"/>
      <c r="AE114" s="5501"/>
      <c r="AF114" s="5501"/>
      <c r="AG114" s="5501"/>
      <c r="AH114" s="5501"/>
      <c r="AI114" s="5502" t="str">
        <f>IF(T114&lt;&gt;"",ROUND(T114,0),"")</f>
        <v/>
      </c>
      <c r="AJ114" s="5131"/>
      <c r="AK114" s="5501"/>
      <c r="AL114" s="5501"/>
    </row>
    <row r="115" spans="7:38">
      <c r="G115" s="5501"/>
      <c r="H115" s="5501"/>
      <c r="I115" s="5501"/>
      <c r="J115" s="5501"/>
      <c r="K115" s="5501"/>
      <c r="L115" s="5501"/>
      <c r="M115" s="5501"/>
      <c r="N115" s="5501"/>
      <c r="O115" s="5501"/>
      <c r="P115" s="5501"/>
      <c r="Q115" s="5501"/>
      <c r="R115" s="5501"/>
      <c r="S115" s="5501"/>
      <c r="T115" s="5501"/>
      <c r="U115" s="5501"/>
      <c r="V115" s="5501"/>
      <c r="W115" s="5501"/>
      <c r="X115" s="5501"/>
      <c r="Y115" s="5501"/>
      <c r="Z115" s="5501"/>
      <c r="AA115" s="5501"/>
      <c r="AB115" s="5501"/>
      <c r="AC115" s="5501"/>
      <c r="AD115" s="5501"/>
      <c r="AE115" s="5501"/>
      <c r="AF115" s="5501"/>
      <c r="AG115" s="5501"/>
      <c r="AH115" s="5501"/>
      <c r="AI115" s="5501"/>
      <c r="AJ115" s="5131"/>
      <c r="AK115" s="5501"/>
      <c r="AL115" s="5501"/>
    </row>
    <row r="116" spans="7:38">
      <c r="G116" s="5501"/>
      <c r="H116" s="5501"/>
      <c r="I116" s="5501"/>
      <c r="J116" s="5501"/>
      <c r="K116" s="5501"/>
      <c r="L116" s="5501"/>
      <c r="M116" s="5501"/>
      <c r="N116" s="5501"/>
      <c r="O116" s="5501"/>
      <c r="P116" s="5501"/>
      <c r="Q116" s="5501"/>
      <c r="R116" s="5501"/>
      <c r="S116" s="5501"/>
      <c r="T116" s="5501"/>
      <c r="U116" s="5501"/>
      <c r="V116" s="5501"/>
      <c r="W116" s="5501"/>
      <c r="X116" s="5501"/>
      <c r="Y116" s="5501"/>
      <c r="Z116" s="5501"/>
      <c r="AA116" s="5501"/>
      <c r="AB116" s="5501"/>
      <c r="AC116" s="5501"/>
      <c r="AD116" s="5501"/>
      <c r="AE116" s="5501"/>
      <c r="AF116" s="5501"/>
      <c r="AG116" s="5501"/>
      <c r="AH116" s="5501"/>
      <c r="AI116" s="5501"/>
      <c r="AJ116" s="5503"/>
      <c r="AK116" s="5501"/>
      <c r="AL116" s="5501"/>
    </row>
    <row r="117" spans="7:38">
      <c r="G117" s="5501"/>
      <c r="H117" s="5501"/>
      <c r="I117" s="5501"/>
      <c r="J117" s="5501"/>
      <c r="K117" s="5501"/>
      <c r="L117" s="5501"/>
      <c r="M117" s="5501"/>
      <c r="N117" s="5501"/>
      <c r="O117" s="5501"/>
      <c r="P117" s="5501"/>
      <c r="Q117" s="5501"/>
      <c r="R117" s="5501"/>
      <c r="S117" s="5501"/>
      <c r="T117" s="5501"/>
      <c r="U117" s="5501"/>
      <c r="V117" s="5501"/>
      <c r="W117" s="5501"/>
      <c r="X117" s="5501"/>
      <c r="Y117" s="5501"/>
      <c r="Z117" s="5501"/>
      <c r="AA117" s="5501"/>
      <c r="AB117" s="5501"/>
      <c r="AC117" s="5501"/>
      <c r="AD117" s="5501"/>
      <c r="AE117" s="5501"/>
      <c r="AF117" s="5501"/>
      <c r="AG117" s="5501"/>
      <c r="AH117" s="5501"/>
      <c r="AI117" s="5501"/>
      <c r="AJ117" s="5501"/>
      <c r="AK117" s="5501"/>
      <c r="AL117" s="5501"/>
    </row>
    <row r="118" spans="7:38">
      <c r="G118" s="5501"/>
      <c r="H118" s="5501"/>
      <c r="I118" s="5501"/>
      <c r="J118" s="5501"/>
      <c r="K118" s="5501"/>
      <c r="L118" s="5501"/>
      <c r="M118" s="5501"/>
      <c r="N118" s="5501"/>
      <c r="O118" s="5501"/>
      <c r="P118" s="5501"/>
      <c r="Q118" s="5501"/>
      <c r="R118" s="5501"/>
      <c r="S118" s="5501"/>
      <c r="T118" s="5501"/>
      <c r="U118" s="5501"/>
      <c r="V118" s="5501"/>
      <c r="W118" s="5501"/>
      <c r="AJ118" s="1286"/>
    </row>
    <row r="119" spans="7:38">
      <c r="G119" s="5501"/>
      <c r="H119" s="5501"/>
      <c r="I119" s="5501"/>
      <c r="J119" s="5501"/>
      <c r="K119" s="5501"/>
      <c r="L119" s="5501"/>
      <c r="M119" s="5501"/>
      <c r="N119" s="5501"/>
      <c r="O119" s="5501"/>
      <c r="P119" s="5501"/>
      <c r="Q119" s="5501"/>
      <c r="R119" s="5501"/>
      <c r="S119" s="5501"/>
      <c r="T119" s="5501"/>
      <c r="U119" s="5501"/>
      <c r="V119" s="5501"/>
      <c r="W119" s="5501"/>
    </row>
    <row r="120" spans="7:38">
      <c r="G120" s="5501"/>
      <c r="H120" s="5501"/>
      <c r="I120" s="5501"/>
      <c r="J120" s="5501"/>
      <c r="K120" s="5501"/>
      <c r="L120" s="5501"/>
      <c r="M120" s="5501"/>
      <c r="N120" s="5501"/>
      <c r="O120" s="5501"/>
      <c r="P120" s="5501"/>
      <c r="Q120" s="5501"/>
      <c r="R120" s="5501"/>
      <c r="S120" s="5501"/>
      <c r="T120" s="5501"/>
      <c r="U120" s="5501"/>
      <c r="V120" s="5501"/>
      <c r="W120" s="5501"/>
    </row>
  </sheetData>
  <sheetProtection algorithmName="SHA-512" hashValue="/sKj/RL3GWxfPNDe/Y5wFd7/Vc+p54ga6ZDp1Wl9Gf7+JjZXUxb3ekgQqcXa8WaPX0j0/LA+TQx3MHIoYB28Gw==" saltValue="yS4RJ+nJoF0fr+sBNkak5g==" spinCount="100000" sheet="1" objects="1" scenarios="1"/>
  <mergeCells count="126">
    <mergeCell ref="AC16:AG16"/>
    <mergeCell ref="V13:Z13"/>
    <mergeCell ref="AN54:AN67"/>
    <mergeCell ref="AN13:AN29"/>
    <mergeCell ref="AJ7:AJ9"/>
    <mergeCell ref="AC43:AG43"/>
    <mergeCell ref="AC18:AG18"/>
    <mergeCell ref="AC61:AG61"/>
    <mergeCell ref="AC49:AG49"/>
    <mergeCell ref="AC50:AG50"/>
    <mergeCell ref="AC51:AG51"/>
    <mergeCell ref="AC52:AG52"/>
    <mergeCell ref="AC17:AG17"/>
    <mergeCell ref="AC13:AG13"/>
    <mergeCell ref="AC14:AG14"/>
    <mergeCell ref="AC15:AG15"/>
    <mergeCell ref="AC46:AG46"/>
    <mergeCell ref="AC20:AG20"/>
    <mergeCell ref="AC21:AG21"/>
    <mergeCell ref="AC22:AG22"/>
    <mergeCell ref="AC23:AG23"/>
    <mergeCell ref="AN11:AN12"/>
    <mergeCell ref="AC53:AG53"/>
    <mergeCell ref="X20:Z20"/>
    <mergeCell ref="AB2:AG2"/>
    <mergeCell ref="AB8:AG9"/>
    <mergeCell ref="AB3:AG4"/>
    <mergeCell ref="AC5:AG6"/>
    <mergeCell ref="AC12:AG12"/>
    <mergeCell ref="B2:F3"/>
    <mergeCell ref="B4:F4"/>
    <mergeCell ref="B8:AA9"/>
    <mergeCell ref="B6:F6"/>
    <mergeCell ref="B5:F5"/>
    <mergeCell ref="B10:D10"/>
    <mergeCell ref="AC11:AG11"/>
    <mergeCell ref="B92:E94"/>
    <mergeCell ref="AC85:AG85"/>
    <mergeCell ref="AC56:AG56"/>
    <mergeCell ref="AC59:AG59"/>
    <mergeCell ref="AC60:AG60"/>
    <mergeCell ref="V58:Z58"/>
    <mergeCell ref="V57:Z57"/>
    <mergeCell ref="AB86:AB87"/>
    <mergeCell ref="AC86:AG87"/>
    <mergeCell ref="W66:AA66"/>
    <mergeCell ref="W69:AA69"/>
    <mergeCell ref="W72:AA72"/>
    <mergeCell ref="AC84:AG84"/>
    <mergeCell ref="AC66:AG66"/>
    <mergeCell ref="AC68:AG68"/>
    <mergeCell ref="AC69:AG69"/>
    <mergeCell ref="AC71:AG71"/>
    <mergeCell ref="AC72:AG72"/>
    <mergeCell ref="AC73:AG73"/>
    <mergeCell ref="AC75:AG75"/>
    <mergeCell ref="AC78:AG78"/>
    <mergeCell ref="AC79:AG79"/>
    <mergeCell ref="AC81:AG81"/>
    <mergeCell ref="W82:AA82"/>
    <mergeCell ref="W78:AA78"/>
    <mergeCell ref="D40:T40"/>
    <mergeCell ref="N39:T39"/>
    <mergeCell ref="AC41:AG41"/>
    <mergeCell ref="AC26:AG26"/>
    <mergeCell ref="AC27:AG27"/>
    <mergeCell ref="AC28:AG28"/>
    <mergeCell ref="AC29:AG29"/>
    <mergeCell ref="AC54:AG54"/>
    <mergeCell ref="B46:D46"/>
    <mergeCell ref="AC47:AG47"/>
    <mergeCell ref="AC48:AG48"/>
    <mergeCell ref="X46:AA46"/>
    <mergeCell ref="W28:AA28"/>
    <mergeCell ref="W29:AA29"/>
    <mergeCell ref="W32:AA32"/>
    <mergeCell ref="W26:AA26"/>
    <mergeCell ref="W27:AA27"/>
    <mergeCell ref="D83:T83"/>
    <mergeCell ref="W83:AA83"/>
    <mergeCell ref="AC83:AG83"/>
    <mergeCell ref="O82:T82"/>
    <mergeCell ref="AC34:AG34"/>
    <mergeCell ref="AC35:AG35"/>
    <mergeCell ref="AC36:AG36"/>
    <mergeCell ref="AC37:AG37"/>
    <mergeCell ref="AC38:AG38"/>
    <mergeCell ref="W65:AA65"/>
    <mergeCell ref="W67:AA67"/>
    <mergeCell ref="W68:AA68"/>
    <mergeCell ref="W70:AA70"/>
    <mergeCell ref="W71:AA71"/>
    <mergeCell ref="W73:AA73"/>
    <mergeCell ref="W79:AA79"/>
    <mergeCell ref="W74:AA74"/>
    <mergeCell ref="W80:AA80"/>
    <mergeCell ref="W64:AA64"/>
    <mergeCell ref="AC40:AG40"/>
    <mergeCell ref="W37:AA37"/>
    <mergeCell ref="W38:AA38"/>
    <mergeCell ref="W40:AA40"/>
    <mergeCell ref="W39:AA39"/>
    <mergeCell ref="AM38:AM39"/>
    <mergeCell ref="AN38:AN39"/>
    <mergeCell ref="AM37:AN37"/>
    <mergeCell ref="W22:AA22"/>
    <mergeCell ref="W24:AA24"/>
    <mergeCell ref="W25:AA25"/>
    <mergeCell ref="W21:AA21"/>
    <mergeCell ref="W81:AA81"/>
    <mergeCell ref="AC24:AG24"/>
    <mergeCell ref="AC25:AG25"/>
    <mergeCell ref="X23:Z23"/>
    <mergeCell ref="W30:AA30"/>
    <mergeCell ref="W31:AA31"/>
    <mergeCell ref="W33:AA33"/>
    <mergeCell ref="W34:AA34"/>
    <mergeCell ref="W35:AA35"/>
    <mergeCell ref="W36:AA36"/>
    <mergeCell ref="AC64:AG64"/>
    <mergeCell ref="AC32:AG32"/>
    <mergeCell ref="AC55:AG55"/>
    <mergeCell ref="AC62:AG62"/>
    <mergeCell ref="W75:AA75"/>
    <mergeCell ref="W76:AA76"/>
    <mergeCell ref="W77:AA77"/>
  </mergeCells>
  <conditionalFormatting sqref="B8 AB8">
    <cfRule type="expression" dxfId="2831" priority="218">
      <formula>NoColor</formula>
    </cfRule>
  </conditionalFormatting>
  <conditionalFormatting sqref="B4:G4">
    <cfRule type="expression" dxfId="2830" priority="119">
      <formula>NOT(Draft)</formula>
    </cfRule>
  </conditionalFormatting>
  <conditionalFormatting sqref="D40:T40">
    <cfRule type="expression" dxfId="2829" priority="19">
      <formula>NoColor</formula>
    </cfRule>
  </conditionalFormatting>
  <conditionalFormatting sqref="D83:T83">
    <cfRule type="expression" dxfId="2828" priority="2">
      <formula>NoColor</formula>
    </cfRule>
  </conditionalFormatting>
  <conditionalFormatting sqref="E19:Z19">
    <cfRule type="expression" dxfId="2827" priority="69">
      <formula>NoColor</formula>
    </cfRule>
  </conditionalFormatting>
  <conditionalFormatting sqref="N39:T39">
    <cfRule type="expression" dxfId="2826" priority="20">
      <formula>NoColor</formula>
    </cfRule>
  </conditionalFormatting>
  <conditionalFormatting sqref="O82:T82">
    <cfRule type="expression" dxfId="2825" priority="3">
      <formula>NoColor</formula>
    </cfRule>
  </conditionalFormatting>
  <conditionalFormatting sqref="V13">
    <cfRule type="expression" dxfId="2824" priority="23">
      <formula>IF(NoColor,1,0)</formula>
    </cfRule>
  </conditionalFormatting>
  <conditionalFormatting sqref="V57:V58">
    <cfRule type="expression" dxfId="2823" priority="72">
      <formula>IF(NoColor,1,0)</formula>
    </cfRule>
  </conditionalFormatting>
  <conditionalFormatting sqref="W47:Z47">
    <cfRule type="expression" dxfId="2822" priority="110">
      <formula>IF(NoColor,1,0)</formula>
    </cfRule>
  </conditionalFormatting>
  <conditionalFormatting sqref="W49:Z50">
    <cfRule type="expression" dxfId="2821" priority="111">
      <formula>IF(NoColor,1,0)</formula>
    </cfRule>
  </conditionalFormatting>
  <conditionalFormatting sqref="W52:Z55">
    <cfRule type="expression" dxfId="2820" priority="102">
      <formula>IF(NoColor,1,0)</formula>
    </cfRule>
  </conditionalFormatting>
  <conditionalFormatting sqref="W59:Z60">
    <cfRule type="expression" dxfId="2819" priority="101">
      <formula>IF(NoColor,1,0)</formula>
    </cfRule>
  </conditionalFormatting>
  <conditionalFormatting sqref="W21:AA22">
    <cfRule type="expression" dxfId="2818" priority="16">
      <formula>NoColor</formula>
    </cfRule>
  </conditionalFormatting>
  <conditionalFormatting sqref="W24:AA29">
    <cfRule type="expression" dxfId="2817" priority="15">
      <formula>NoColor</formula>
    </cfRule>
  </conditionalFormatting>
  <conditionalFormatting sqref="W32:AA32">
    <cfRule type="expression" dxfId="2816" priority="13">
      <formula>NoColor</formula>
    </cfRule>
  </conditionalFormatting>
  <conditionalFormatting sqref="W34:AA38">
    <cfRule type="expression" dxfId="2815" priority="12">
      <formula>NoColor</formula>
    </cfRule>
  </conditionalFormatting>
  <conditionalFormatting sqref="W40:AA40">
    <cfRule type="expression" dxfId="2814" priority="11">
      <formula>NoColor</formula>
    </cfRule>
  </conditionalFormatting>
  <conditionalFormatting sqref="W64:AA64">
    <cfRule type="expression" dxfId="2813" priority="8">
      <formula>NoColor</formula>
    </cfRule>
  </conditionalFormatting>
  <conditionalFormatting sqref="W66:AA66">
    <cfRule type="expression" dxfId="2812" priority="7">
      <formula>NoColor</formula>
    </cfRule>
  </conditionalFormatting>
  <conditionalFormatting sqref="W68:AA69">
    <cfRule type="expression" dxfId="2811" priority="9">
      <formula>NoColor</formula>
    </cfRule>
  </conditionalFormatting>
  <conditionalFormatting sqref="W71:AA73">
    <cfRule type="expression" dxfId="2810" priority="10">
      <formula>NoColor</formula>
    </cfRule>
  </conditionalFormatting>
  <conditionalFormatting sqref="W75:AA75">
    <cfRule type="expression" dxfId="2809" priority="1">
      <formula>NoColor</formula>
    </cfRule>
  </conditionalFormatting>
  <conditionalFormatting sqref="W78:AA79">
    <cfRule type="expression" dxfId="2808" priority="6">
      <formula>NoColor</formula>
    </cfRule>
  </conditionalFormatting>
  <conditionalFormatting sqref="W81:AA81">
    <cfRule type="expression" dxfId="2807" priority="5">
      <formula>NoColor</formula>
    </cfRule>
  </conditionalFormatting>
  <conditionalFormatting sqref="W83:AA83">
    <cfRule type="expression" dxfId="2806" priority="4">
      <formula>NoColor</formula>
    </cfRule>
  </conditionalFormatting>
  <conditionalFormatting sqref="X20:Z20">
    <cfRule type="expression" dxfId="2805" priority="18">
      <formula>NoColor</formula>
    </cfRule>
  </conditionalFormatting>
  <conditionalFormatting sqref="X23:Z23">
    <cfRule type="expression" dxfId="2804" priority="17">
      <formula>NoColor</formula>
    </cfRule>
  </conditionalFormatting>
  <conditionalFormatting sqref="AC19 AC41 AC42:AG43">
    <cfRule type="expression" dxfId="2803" priority="71">
      <formula>IF(NoColor,1,0)</formula>
    </cfRule>
  </conditionalFormatting>
  <conditionalFormatting sqref="AC84">
    <cfRule type="expression" dxfId="2802" priority="33">
      <formula>IF(NoColor,1,0)</formula>
    </cfRule>
  </conditionalFormatting>
  <conditionalFormatting sqref="AC86">
    <cfRule type="expression" dxfId="2801" priority="138">
      <formula>IF(NoColor,1,0)</formula>
    </cfRule>
  </conditionalFormatting>
  <conditionalFormatting sqref="AC11:AG12">
    <cfRule type="expression" dxfId="2800" priority="90">
      <formula>IF(NoColor,1,0)</formula>
    </cfRule>
  </conditionalFormatting>
  <conditionalFormatting sqref="AC14:AG18">
    <cfRule type="expression" dxfId="2799" priority="92">
      <formula>IF(NoColor,1,0)</formula>
    </cfRule>
  </conditionalFormatting>
  <conditionalFormatting sqref="AC47:AG47">
    <cfRule type="expression" dxfId="2798" priority="78">
      <formula>IF(NoColor,1,0)</formula>
    </cfRule>
  </conditionalFormatting>
  <conditionalFormatting sqref="AC49:AG63">
    <cfRule type="expression" dxfId="2797" priority="24">
      <formula>IF(NoColor,1,0)</formula>
    </cfRule>
  </conditionalFormatting>
  <conditionalFormatting sqref="AC85:AG85">
    <cfRule type="expression" dxfId="2796" priority="67">
      <formula>IF(NoColor,1,0)</formula>
    </cfRule>
  </conditionalFormatting>
  <conditionalFormatting sqref="AJ53:AJ54">
    <cfRule type="expression" dxfId="2795" priority="64">
      <formula>$AI$54</formula>
    </cfRule>
  </conditionalFormatting>
  <conditionalFormatting sqref="AK19">
    <cfRule type="expression" dxfId="2794" priority="21">
      <formula>AND($AC$18&lt;&gt;"",$AC$18&gt;0)</formula>
    </cfRule>
  </conditionalFormatting>
  <conditionalFormatting sqref="AN11:AN12">
    <cfRule type="expression" dxfId="2793" priority="88">
      <formula>$AN$10</formula>
    </cfRule>
  </conditionalFormatting>
  <conditionalFormatting sqref="AN13:AN29">
    <cfRule type="expression" dxfId="2792" priority="22">
      <formula>AN10</formula>
    </cfRule>
  </conditionalFormatting>
  <conditionalFormatting sqref="AN53">
    <cfRule type="expression" dxfId="2791" priority="98">
      <formula>$AN$52</formula>
    </cfRule>
  </conditionalFormatting>
  <conditionalFormatting sqref="AN54:AN67">
    <cfRule type="expression" dxfId="2790" priority="2911">
      <formula>$AN$52</formula>
    </cfRule>
  </conditionalFormatting>
  <hyperlinks>
    <hyperlink ref="B92:E94" location="'Table of Contents'!A1" display="Table of Contents" xr:uid="{00000000-0004-0000-0C00-000000000000}"/>
  </hyperlinks>
  <pageMargins left="0.45" right="0.45" top="0.5" bottom="0.5" header="0" footer="0"/>
  <pageSetup scale="83" fitToHeight="0" orientation="portrait" r:id="rId1"/>
  <rowBreaks count="1" manualBreakCount="1">
    <brk id="44" min="1" max="32"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pageSetUpPr fitToPage="1"/>
  </sheetPr>
  <dimension ref="A1:AE83"/>
  <sheetViews>
    <sheetView zoomScale="115" zoomScaleNormal="115" workbookViewId="0">
      <selection activeCell="P6" sqref="P6"/>
    </sheetView>
  </sheetViews>
  <sheetFormatPr defaultColWidth="9.140625" defaultRowHeight="12.75"/>
  <cols>
    <col min="1" max="1" width="2" style="42" customWidth="1"/>
    <col min="2" max="2" width="3.5703125" style="42" customWidth="1"/>
    <col min="3" max="3" width="2.85546875" style="42" customWidth="1"/>
    <col min="4" max="4" width="5.28515625" style="42" customWidth="1"/>
    <col min="5" max="5" width="9.5703125" style="42" customWidth="1"/>
    <col min="6" max="6" width="2.85546875" style="42" customWidth="1"/>
    <col min="7" max="7" width="40.7109375" style="42" customWidth="1"/>
    <col min="8" max="8" width="7.5703125" style="42" customWidth="1"/>
    <col min="9" max="9" width="4.85546875" style="42" customWidth="1"/>
    <col min="10" max="10" width="13.42578125" style="42" customWidth="1"/>
    <col min="11" max="11" width="3.5703125" style="42" customWidth="1"/>
    <col min="12" max="12" width="13.42578125" style="42" customWidth="1"/>
    <col min="13" max="13" width="3.42578125" style="42" customWidth="1"/>
    <col min="14" max="14" width="2.5703125" style="42" customWidth="1"/>
    <col min="15" max="15" width="2.7109375" style="42" customWidth="1"/>
    <col min="16" max="16" width="3.28515625" style="42" customWidth="1"/>
    <col min="17" max="17" width="1.85546875" style="42" customWidth="1"/>
    <col min="18" max="18" width="10.85546875" style="42" customWidth="1"/>
    <col min="19" max="19" width="18.5703125" style="42" customWidth="1"/>
    <col min="20" max="20" width="8.85546875" style="42" customWidth="1"/>
    <col min="21" max="21" width="9.140625" style="42"/>
    <col min="22" max="31" width="9.140625" style="2595"/>
    <col min="32" max="16384" width="9.140625" style="42"/>
  </cols>
  <sheetData>
    <row r="1" spans="1:22" ht="13.5" thickBot="1">
      <c r="A1" s="78"/>
      <c r="B1" s="78"/>
      <c r="C1" s="78"/>
      <c r="D1" s="78"/>
      <c r="E1" s="78"/>
      <c r="F1" s="78"/>
      <c r="G1" s="3481"/>
      <c r="H1" s="78"/>
      <c r="I1" s="78"/>
      <c r="J1" s="78"/>
      <c r="K1" s="78"/>
      <c r="L1" s="78"/>
      <c r="M1" s="78"/>
      <c r="N1" s="78"/>
      <c r="O1" s="23"/>
      <c r="P1" s="23"/>
      <c r="Q1" s="23"/>
      <c r="R1" s="2527"/>
      <c r="S1" s="23"/>
      <c r="T1" s="23"/>
      <c r="U1" s="1179"/>
    </row>
    <row r="2" spans="1:22" ht="15.75">
      <c r="A2" s="78"/>
      <c r="B2" s="78"/>
      <c r="C2" s="78"/>
      <c r="D2" s="78"/>
      <c r="E2" s="78"/>
      <c r="F2" s="78"/>
      <c r="G2" s="3481"/>
      <c r="H2" s="78"/>
      <c r="I2" s="78"/>
      <c r="J2" s="78"/>
      <c r="K2" s="78"/>
      <c r="L2" s="78"/>
      <c r="M2" s="4148" t="str">
        <f>"Indicate your "&amp;TaxYear-1&amp;" filing status here. "</f>
        <v xml:space="preserve">Indicate your 2020 filing status here. </v>
      </c>
      <c r="N2" s="4149" t="s">
        <v>316</v>
      </c>
      <c r="O2" s="535"/>
      <c r="P2" s="351"/>
      <c r="Q2" s="31"/>
      <c r="R2" s="31"/>
      <c r="S2" s="31"/>
      <c r="T2" s="96"/>
      <c r="U2" s="1179"/>
    </row>
    <row r="3" spans="1:22" ht="15.75" customHeight="1">
      <c r="A3" s="78"/>
      <c r="B3" s="78"/>
      <c r="C3" s="78"/>
      <c r="D3" s="78"/>
      <c r="E3" s="78"/>
      <c r="F3" s="78"/>
      <c r="G3" s="78"/>
      <c r="H3" s="78"/>
      <c r="I3" s="78"/>
      <c r="J3" s="78"/>
      <c r="K3" s="78"/>
      <c r="L3" s="78"/>
      <c r="M3" s="78"/>
      <c r="N3" s="78"/>
      <c r="O3" s="531"/>
      <c r="P3" s="4128" t="str">
        <f>"Indicate your "&amp;TaxYear-1&amp;" filing status below:"</f>
        <v>Indicate your 2020 filing status below:</v>
      </c>
      <c r="Q3" s="23"/>
      <c r="R3" s="23"/>
      <c r="S3" s="23"/>
      <c r="T3" s="97"/>
      <c r="U3" s="1179"/>
      <c r="V3" s="2594" t="s">
        <v>2033</v>
      </c>
    </row>
    <row r="4" spans="1:22" ht="13.5" customHeight="1">
      <c r="A4" s="78"/>
      <c r="B4" s="1362" t="s">
        <v>2160</v>
      </c>
      <c r="C4" s="1361"/>
      <c r="D4" s="1361"/>
      <c r="E4" s="1361"/>
      <c r="F4" s="1361"/>
      <c r="G4" s="1361"/>
      <c r="H4" s="1361"/>
      <c r="I4" s="1361"/>
      <c r="J4" s="1361"/>
      <c r="K4" s="1361"/>
      <c r="L4" s="1361"/>
      <c r="M4" s="78"/>
      <c r="N4" s="78"/>
      <c r="O4" s="533"/>
      <c r="P4" s="129" t="str">
        <f>IF(O4=0,"Check one.",IF(O15&gt;1,"Check only one.",""))</f>
        <v>Check one.</v>
      </c>
      <c r="Q4" s="23"/>
      <c r="R4" s="23"/>
      <c r="S4" s="23"/>
      <c r="T4" s="97"/>
      <c r="U4" s="1179"/>
    </row>
    <row r="5" spans="1:22" ht="13.5" customHeight="1" thickBot="1">
      <c r="A5" s="78"/>
      <c r="B5" s="1363" t="str">
        <f>"1. You received a refund in "&amp;TaxYear&amp;" that is for a tax year other than "&amp;TaxYear-1&amp;"."</f>
        <v>1. You received a refund in 2021 that is for a tax year other than 2020.</v>
      </c>
      <c r="C5" s="1361"/>
      <c r="D5" s="1361"/>
      <c r="E5" s="1361"/>
      <c r="F5" s="1361"/>
      <c r="G5" s="1361"/>
      <c r="H5" s="1361"/>
      <c r="I5" s="1361"/>
      <c r="J5" s="1361"/>
      <c r="K5" s="1361"/>
      <c r="L5" s="1361"/>
      <c r="M5" s="78"/>
      <c r="N5" s="78"/>
      <c r="O5" s="6660" t="b">
        <f>IF(O15=1,TRUE,FALSE)</f>
        <v>0</v>
      </c>
      <c r="P5" s="6661"/>
      <c r="Q5" s="23"/>
      <c r="R5" s="23"/>
      <c r="S5" s="23"/>
      <c r="T5" s="97"/>
      <c r="U5" s="1179"/>
    </row>
    <row r="6" spans="1:22" ht="13.5" customHeight="1" thickBot="1">
      <c r="A6" s="78"/>
      <c r="B6" s="1363" t="str">
        <f>"2. You received a refund other than an income tax refund, such as a general sales tax or real property tax refund, in "&amp;TaxYear&amp;" of an amount deducted or"</f>
        <v>2. You received a refund other than an income tax refund, such as a general sales tax or real property tax refund, in 2021 of an amount deducted or</v>
      </c>
      <c r="C6" s="1361"/>
      <c r="D6" s="1361"/>
      <c r="E6" s="1361"/>
      <c r="F6" s="1361"/>
      <c r="G6" s="1361"/>
      <c r="H6" s="1361"/>
      <c r="I6" s="1361"/>
      <c r="J6" s="1361"/>
      <c r="K6" s="1361"/>
      <c r="L6" s="1361"/>
      <c r="M6" s="78"/>
      <c r="N6" s="78"/>
      <c r="O6" s="533">
        <f>IF(P6&lt;&gt;"",1,0)</f>
        <v>0</v>
      </c>
      <c r="P6" s="1184"/>
      <c r="Q6" s="23"/>
      <c r="R6" s="70" t="s">
        <v>3397</v>
      </c>
      <c r="S6" s="23"/>
      <c r="T6" s="97"/>
      <c r="U6" s="1927"/>
    </row>
    <row r="7" spans="1:22" ht="13.5" customHeight="1" thickBot="1">
      <c r="A7" s="78"/>
      <c r="B7" s="1363" t="s">
        <v>806</v>
      </c>
      <c r="C7" s="1361"/>
      <c r="D7" s="1361"/>
      <c r="E7" s="1361"/>
      <c r="F7" s="1361"/>
      <c r="G7" s="1361"/>
      <c r="H7" s="1361"/>
      <c r="I7" s="1361"/>
      <c r="J7" s="1361"/>
      <c r="K7" s="1361"/>
      <c r="L7" s="1361"/>
      <c r="M7" s="78"/>
      <c r="N7" s="78"/>
      <c r="O7" s="533"/>
      <c r="P7" s="485"/>
      <c r="Q7" s="23"/>
      <c r="R7" s="23"/>
      <c r="S7" s="23"/>
      <c r="T7" s="97"/>
      <c r="U7" s="1179"/>
    </row>
    <row r="8" spans="1:22" ht="13.5" customHeight="1" thickBot="1">
      <c r="A8" s="78"/>
      <c r="B8" s="1363" t="str">
        <f>"3. You had taxable income on your "&amp;TaxYear-1&amp;" Form 1040 or 1040-SR, line 15, but no tax on your Form 1040 or 1040-SR, line 16, because of the 0% tax rate on"</f>
        <v>3. You had taxable income on your 2020 Form 1040 or 1040-SR, line 15, but no tax on your Form 1040 or 1040-SR, line 16, because of the 0% tax rate on</v>
      </c>
      <c r="C8" s="1361"/>
      <c r="D8" s="1361"/>
      <c r="E8" s="1361"/>
      <c r="F8" s="1361"/>
      <c r="G8" s="1361"/>
      <c r="H8" s="1361"/>
      <c r="I8" s="1361"/>
      <c r="J8" s="1361"/>
      <c r="K8" s="1361"/>
      <c r="L8" s="1361"/>
      <c r="M8" s="78"/>
      <c r="N8" s="78"/>
      <c r="O8" s="533">
        <f>IF(P8&lt;&gt;"",1,0)</f>
        <v>0</v>
      </c>
      <c r="P8" s="1184"/>
      <c r="Q8" s="23"/>
      <c r="R8" s="70" t="s">
        <v>3396</v>
      </c>
      <c r="S8" s="23"/>
      <c r="T8" s="97"/>
      <c r="U8" s="1179"/>
    </row>
    <row r="9" spans="1:22" ht="13.5" customHeight="1" thickBot="1">
      <c r="A9" s="78"/>
      <c r="B9" s="1363" t="s">
        <v>5115</v>
      </c>
      <c r="C9" s="1361"/>
      <c r="D9" s="1361"/>
      <c r="E9" s="1361"/>
      <c r="F9" s="1361"/>
      <c r="G9" s="1361"/>
      <c r="H9" s="1361"/>
      <c r="I9" s="1361"/>
      <c r="J9" s="1361"/>
      <c r="K9" s="1361"/>
      <c r="L9" s="1361"/>
      <c r="M9" s="78"/>
      <c r="N9" s="78"/>
      <c r="O9" s="533"/>
      <c r="P9" s="485"/>
      <c r="Q9" s="23"/>
      <c r="R9" s="23"/>
      <c r="S9" s="23"/>
      <c r="T9" s="97"/>
      <c r="U9" s="1179"/>
    </row>
    <row r="10" spans="1:22" ht="13.5" customHeight="1" thickBot="1">
      <c r="A10" s="78"/>
      <c r="B10" s="1363" t="str">
        <f>"4. Your "&amp;TaxYear-1&amp;" state and local income tax refund is more than your "&amp;TaxYear-1&amp;" state and local income tax deduction minus the amount you could have"</f>
        <v>4. Your 2020 state and local income tax refund is more than your 2020 state and local income tax deduction minus the amount you could have</v>
      </c>
      <c r="C10" s="1361"/>
      <c r="D10" s="1361"/>
      <c r="E10" s="1361"/>
      <c r="F10" s="1361"/>
      <c r="G10" s="1361"/>
      <c r="H10" s="1361"/>
      <c r="I10" s="1361"/>
      <c r="J10" s="1361"/>
      <c r="K10" s="1361"/>
      <c r="L10" s="1361"/>
      <c r="M10" s="78"/>
      <c r="N10" s="78"/>
      <c r="O10" s="533">
        <f>IF(P10&lt;&gt;"",1,0)</f>
        <v>0</v>
      </c>
      <c r="P10" s="1184"/>
      <c r="Q10" s="23"/>
      <c r="R10" s="70" t="s">
        <v>3297</v>
      </c>
      <c r="S10" s="23"/>
      <c r="T10" s="97"/>
      <c r="U10" s="1179"/>
    </row>
    <row r="11" spans="1:22" ht="12.75" customHeight="1" thickBot="1">
      <c r="A11" s="78"/>
      <c r="B11" s="1363" t="str">
        <f>"    deducted as your "&amp;TaxYear-1&amp;" state and local general sales taxes."</f>
        <v xml:space="preserve">    deducted as your 2020 state and local general sales taxes.</v>
      </c>
      <c r="C11" s="1361"/>
      <c r="D11" s="1361"/>
      <c r="E11" s="1361"/>
      <c r="F11" s="1361"/>
      <c r="G11" s="1361"/>
      <c r="H11" s="1361"/>
      <c r="I11" s="1361"/>
      <c r="J11" s="1361"/>
      <c r="K11" s="1361"/>
      <c r="L11" s="1361"/>
      <c r="M11" s="78"/>
      <c r="N11" s="78"/>
      <c r="O11" s="533"/>
      <c r="P11" s="408"/>
      <c r="Q11" s="23"/>
      <c r="R11" s="23"/>
      <c r="S11" s="23"/>
      <c r="T11" s="97"/>
      <c r="U11" s="1179"/>
    </row>
    <row r="12" spans="1:22" ht="13.5" customHeight="1" thickBot="1">
      <c r="A12" s="78"/>
      <c r="B12" s="1363" t="str">
        <f>"5. You made your last payment of "&amp;TaxYear-1&amp;" estimated state or local income tax in "&amp;TaxYear&amp;"."</f>
        <v>5. You made your last payment of 2020 estimated state or local income tax in 2021.</v>
      </c>
      <c r="C12" s="1361"/>
      <c r="D12" s="1361"/>
      <c r="E12" s="1361"/>
      <c r="F12" s="1361"/>
      <c r="G12" s="1361"/>
      <c r="H12" s="1361"/>
      <c r="I12" s="1361"/>
      <c r="J12" s="1361"/>
      <c r="K12" s="1361"/>
      <c r="L12" s="1361"/>
      <c r="M12" s="78"/>
      <c r="N12" s="78"/>
      <c r="O12" s="533">
        <f>IF(P12&lt;&gt;"",1,0)</f>
        <v>0</v>
      </c>
      <c r="P12" s="1184"/>
      <c r="Q12" s="23"/>
      <c r="R12" s="70" t="s">
        <v>3398</v>
      </c>
      <c r="S12" s="23"/>
      <c r="T12" s="97"/>
      <c r="U12" s="1179"/>
    </row>
    <row r="13" spans="1:22" ht="13.5" customHeight="1" thickBot="1">
      <c r="A13" s="78"/>
      <c r="B13" s="1363" t="str">
        <f>"6. You owed alternative minimum tax in "&amp;TaxYear-1&amp;"."</f>
        <v>6. You owed alternative minimum tax in 2020.</v>
      </c>
      <c r="C13" s="1361"/>
      <c r="D13" s="1361"/>
      <c r="E13" s="1361"/>
      <c r="F13" s="1361"/>
      <c r="G13" s="1361"/>
      <c r="H13" s="1361"/>
      <c r="I13" s="1361"/>
      <c r="J13" s="1361"/>
      <c r="K13" s="1361"/>
      <c r="L13" s="1361"/>
      <c r="M13" s="78"/>
      <c r="N13" s="78"/>
      <c r="O13" s="533"/>
      <c r="P13" s="408"/>
      <c r="Q13" s="23"/>
      <c r="R13" s="23"/>
      <c r="S13" s="23"/>
      <c r="T13" s="97"/>
      <c r="U13" s="1179"/>
    </row>
    <row r="14" spans="1:22" ht="13.5" customHeight="1" thickBot="1">
      <c r="A14" s="78"/>
      <c r="B14" s="1363" t="str">
        <f>"7. You couldn't use the full amount of credits you were entitled to in "&amp;TaxYear-1&amp;" because the total credits were more than"</f>
        <v>7. You couldn't use the full amount of credits you were entitled to in 2020 because the total credits were more than</v>
      </c>
      <c r="C14" s="1361"/>
      <c r="D14" s="1361"/>
      <c r="E14" s="1361"/>
      <c r="F14" s="1361"/>
      <c r="G14" s="1361"/>
      <c r="H14" s="1361"/>
      <c r="I14" s="1361"/>
      <c r="J14" s="1361"/>
      <c r="K14" s="1361"/>
      <c r="L14" s="1361"/>
      <c r="M14" s="78"/>
      <c r="N14" s="78"/>
      <c r="O14" s="533">
        <f>IF(P14&lt;&gt;"",1,0)</f>
        <v>0</v>
      </c>
      <c r="P14" s="1184"/>
      <c r="Q14" s="23"/>
      <c r="R14" s="70" t="s">
        <v>3399</v>
      </c>
      <c r="S14" s="23"/>
      <c r="T14" s="97"/>
      <c r="U14" s="1179"/>
    </row>
    <row r="15" spans="1:22" ht="13.5" customHeight="1" thickBot="1">
      <c r="A15" s="78"/>
      <c r="B15" s="1363" t="str">
        <f>"    the amount shown on your "&amp;TaxYear-1&amp;" Form 1040, line 16."</f>
        <v xml:space="preserve">    the amount shown on your 2020 Form 1040, line 16.</v>
      </c>
      <c r="C15" s="1361"/>
      <c r="D15" s="1361"/>
      <c r="E15" s="1361"/>
      <c r="F15" s="1361"/>
      <c r="G15" s="1361"/>
      <c r="H15" s="1361"/>
      <c r="I15" s="1361"/>
      <c r="J15" s="1361"/>
      <c r="K15" s="1361"/>
      <c r="L15" s="1361"/>
      <c r="M15" s="78"/>
      <c r="N15" s="78"/>
      <c r="O15" s="2095">
        <f>SUM(O6,O8,O10,O12,O14)</f>
        <v>0</v>
      </c>
      <c r="P15" s="2096"/>
      <c r="Q15" s="36"/>
      <c r="R15" s="36"/>
      <c r="S15" s="36"/>
      <c r="T15" s="98"/>
      <c r="U15" s="1179"/>
    </row>
    <row r="16" spans="1:22" ht="13.5" customHeight="1" thickBot="1">
      <c r="A16" s="78"/>
      <c r="B16" s="1362" t="str">
        <f>"8. You could be claimed as a dependent by someone else in "&amp;TaxYear-1&amp;"."</f>
        <v>8. You could be claimed as a dependent by someone else in 2020.</v>
      </c>
      <c r="C16" s="1361"/>
      <c r="D16" s="1361"/>
      <c r="E16" s="1361"/>
      <c r="F16" s="1361"/>
      <c r="G16" s="1361"/>
      <c r="H16" s="1361"/>
      <c r="I16" s="1361"/>
      <c r="J16" s="1361"/>
      <c r="K16" s="1361"/>
      <c r="L16" s="1361"/>
      <c r="M16" s="78"/>
      <c r="N16" s="78"/>
      <c r="O16" s="2093"/>
      <c r="P16" s="2094"/>
      <c r="Q16" s="31"/>
      <c r="R16" s="31"/>
      <c r="S16" s="31"/>
      <c r="T16" s="96"/>
      <c r="U16" s="1179"/>
    </row>
    <row r="17" spans="1:25" ht="13.5" customHeight="1" thickBot="1">
      <c r="A17" s="78"/>
      <c r="B17" s="1363" t="str">
        <f>"9. You received a refund because of a jointly filed state or local income tax return, but you are not filing a joint "&amp;TaxYear&amp;" Form 1040 with the same person."</f>
        <v>9. You received a refund because of a jointly filed state or local income tax return, but you are not filing a joint 2021 Form 1040 with the same person.</v>
      </c>
      <c r="C17" s="1361"/>
      <c r="D17" s="1361"/>
      <c r="E17" s="1361"/>
      <c r="F17" s="1361"/>
      <c r="G17" s="1361"/>
      <c r="H17" s="1361"/>
      <c r="I17" s="1361"/>
      <c r="J17" s="1361"/>
      <c r="K17" s="1361"/>
      <c r="L17" s="1361"/>
      <c r="M17" s="78"/>
      <c r="N17" s="78"/>
      <c r="O17" s="533"/>
      <c r="P17" s="1184"/>
      <c r="Q17" s="23"/>
      <c r="R17" s="23" t="s">
        <v>43</v>
      </c>
      <c r="S17" s="23"/>
      <c r="T17" s="97"/>
      <c r="U17" s="1179"/>
    </row>
    <row r="18" spans="1:25">
      <c r="A18" s="78"/>
      <c r="B18" s="78"/>
      <c r="C18" s="78"/>
      <c r="D18" s="78"/>
      <c r="E18" s="78"/>
      <c r="F18" s="78"/>
      <c r="G18" s="3481"/>
      <c r="H18" s="78"/>
      <c r="I18" s="78"/>
      <c r="J18" s="78"/>
      <c r="K18" s="78"/>
      <c r="L18" s="78"/>
      <c r="M18" s="78"/>
      <c r="N18" s="78"/>
      <c r="O18" s="531"/>
      <c r="P18" s="1129"/>
      <c r="Q18" s="23"/>
      <c r="R18" s="23" t="str">
        <f>"on your "&amp;TaxYear-1&amp;" tax return."</f>
        <v>on your 2020 tax return.</v>
      </c>
      <c r="S18" s="23"/>
      <c r="T18" s="4155" t="b">
        <f>(P17&lt;&gt;"")</f>
        <v>0</v>
      </c>
      <c r="U18" s="1179"/>
    </row>
    <row r="19" spans="1:25">
      <c r="A19" s="78"/>
      <c r="B19" s="6663" t="str">
        <f>IF(T18,"STOP!  You may not use this worksheet.   See Exception above and Publication 525.","")</f>
        <v/>
      </c>
      <c r="C19" s="6371"/>
      <c r="D19" s="6371"/>
      <c r="E19" s="6371"/>
      <c r="F19" s="6371"/>
      <c r="G19" s="6371"/>
      <c r="H19" s="6371"/>
      <c r="I19" s="6371"/>
      <c r="J19" s="6371"/>
      <c r="K19" s="6371"/>
      <c r="L19" s="6371"/>
      <c r="M19" s="78"/>
      <c r="N19" s="78"/>
      <c r="O19" s="2097"/>
      <c r="P19" s="449"/>
      <c r="Q19" s="41"/>
      <c r="R19" s="41"/>
      <c r="S19" s="41"/>
      <c r="T19" s="1877"/>
      <c r="U19" s="1179"/>
    </row>
    <row r="20" spans="1:25" ht="13.5" thickBot="1">
      <c r="A20" s="78"/>
      <c r="B20" s="78"/>
      <c r="C20" s="78"/>
      <c r="D20" s="78"/>
      <c r="E20" s="78"/>
      <c r="F20" s="78"/>
      <c r="G20" s="3481"/>
      <c r="H20" s="78"/>
      <c r="I20" s="78"/>
      <c r="J20" s="78"/>
      <c r="K20" s="78"/>
      <c r="L20" s="78"/>
      <c r="M20" s="78"/>
      <c r="N20" s="78"/>
      <c r="O20" s="2098"/>
      <c r="P20" s="2099"/>
      <c r="Q20" s="54"/>
      <c r="R20" s="54"/>
      <c r="S20" s="54"/>
      <c r="T20" s="2100"/>
      <c r="U20" s="1179"/>
    </row>
    <row r="21" spans="1:25" ht="13.5" thickBot="1">
      <c r="A21" s="78"/>
      <c r="B21" s="78"/>
      <c r="C21" s="78"/>
      <c r="D21" s="78"/>
      <c r="E21" s="78"/>
      <c r="F21" s="78"/>
      <c r="G21" s="3481"/>
      <c r="H21" s="78"/>
      <c r="I21" s="78"/>
      <c r="J21" s="78"/>
      <c r="K21" s="78"/>
      <c r="L21" s="78"/>
      <c r="M21" s="78"/>
      <c r="N21" s="78"/>
      <c r="O21" s="533"/>
      <c r="P21" s="1184"/>
      <c r="Q21" s="23"/>
      <c r="R21" s="1176" t="s">
        <v>1724</v>
      </c>
      <c r="S21" s="23"/>
      <c r="T21" s="4155" t="b">
        <f>IF(AND(P10&lt;&gt;"",P21&lt;&gt;""),TRUE,FALSE)</f>
        <v>0</v>
      </c>
      <c r="U21" s="1179"/>
    </row>
    <row r="22" spans="1:25" ht="31.5" customHeight="1" thickBot="1">
      <c r="A22" s="78"/>
      <c r="B22" s="3449" t="s">
        <v>3402</v>
      </c>
      <c r="C22" s="64"/>
      <c r="D22" s="85"/>
      <c r="E22" s="85"/>
      <c r="F22" s="85"/>
      <c r="G22" s="85"/>
      <c r="H22" s="85"/>
      <c r="I22" s="345"/>
      <c r="J22" s="353"/>
      <c r="K22" s="345" t="s">
        <v>175</v>
      </c>
      <c r="L22" s="87"/>
      <c r="M22" s="87"/>
      <c r="N22" s="78"/>
      <c r="O22" s="532"/>
      <c r="P22" s="4151"/>
      <c r="Q22" s="36"/>
      <c r="R22" s="4152" t="str">
        <f>"deductions on your "&amp;TaxYear-1&amp;" tax return."</f>
        <v>deductions on your 2020 tax return.</v>
      </c>
      <c r="S22" s="36"/>
      <c r="T22" s="98"/>
      <c r="U22" s="1179"/>
    </row>
    <row r="23" spans="1:25" ht="15.75" customHeight="1">
      <c r="A23" s="78"/>
      <c r="B23" s="346"/>
      <c r="C23" s="492" t="s">
        <v>214</v>
      </c>
      <c r="D23" s="811"/>
      <c r="E23" s="811"/>
      <c r="F23" s="814" t="s">
        <v>42</v>
      </c>
      <c r="G23" s="1008" t="s">
        <v>3377</v>
      </c>
      <c r="H23" s="811"/>
      <c r="I23" s="812"/>
      <c r="J23" s="813"/>
      <c r="K23" s="812"/>
      <c r="L23" s="773"/>
      <c r="M23" s="774"/>
      <c r="N23" s="78"/>
      <c r="O23" s="4153"/>
      <c r="P23" s="1129"/>
      <c r="Q23" s="31"/>
      <c r="R23" s="4154"/>
      <c r="S23" s="31"/>
      <c r="T23" s="31"/>
      <c r="U23" s="1179"/>
      <c r="Y23" s="2596"/>
    </row>
    <row r="24" spans="1:25" ht="15.75" customHeight="1">
      <c r="A24" s="78"/>
      <c r="B24" s="815"/>
      <c r="C24" s="816"/>
      <c r="D24" s="817"/>
      <c r="E24" s="817"/>
      <c r="F24" s="818"/>
      <c r="G24" s="823" t="s">
        <v>129</v>
      </c>
      <c r="H24" s="817"/>
      <c r="I24" s="819"/>
      <c r="J24" s="820"/>
      <c r="K24" s="819"/>
      <c r="L24" s="821"/>
      <c r="M24" s="822"/>
      <c r="N24" s="78"/>
      <c r="O24" s="23"/>
      <c r="P24" s="23"/>
      <c r="Q24" s="23"/>
      <c r="R24" s="2527"/>
      <c r="S24" s="23"/>
      <c r="T24" s="23"/>
      <c r="U24" s="1179"/>
    </row>
    <row r="25" spans="1:25" ht="14.25" customHeight="1">
      <c r="A25" s="78"/>
      <c r="B25" s="307">
        <v>1</v>
      </c>
      <c r="C25" s="70" t="s">
        <v>3395</v>
      </c>
      <c r="D25" s="59"/>
      <c r="E25" s="59"/>
      <c r="F25" s="59"/>
      <c r="G25" s="59"/>
      <c r="H25" s="126" t="s">
        <v>3675</v>
      </c>
      <c r="I25" s="64"/>
      <c r="J25" s="59"/>
      <c r="K25" s="65"/>
      <c r="L25" s="1917" t="b">
        <f>AND(O5,L26&gt;R28)</f>
        <v>0</v>
      </c>
      <c r="M25" s="66"/>
      <c r="N25" s="78"/>
      <c r="O25" s="23"/>
      <c r="P25" s="23"/>
      <c r="Q25" s="23"/>
      <c r="R25" s="2527" t="s">
        <v>411</v>
      </c>
      <c r="S25" s="23"/>
      <c r="T25" s="23"/>
      <c r="U25" s="1179"/>
    </row>
    <row r="26" spans="1:25">
      <c r="A26" s="78"/>
      <c r="B26" s="63"/>
      <c r="C26" s="126" t="str">
        <f>"amount of your state and local income taxes shown on your "&amp;TaxYear-1&amp;" Schedule A, line 5d"</f>
        <v>amount of your state and local income taxes shown on your 2020 Schedule A, line 5d</v>
      </c>
      <c r="D26" s="59"/>
      <c r="E26" s="59"/>
      <c r="F26" s="59"/>
      <c r="G26" s="59"/>
      <c r="H26" s="59"/>
      <c r="I26" s="64"/>
      <c r="J26" s="296" t="s">
        <v>532</v>
      </c>
      <c r="K26" s="65">
        <v>1</v>
      </c>
      <c r="L26" s="1371">
        <f>IF(R26&lt;&gt;"",ROUND(R26,0),IF(AND(SALT_Refund&gt;0,NOT(O5)),"",IF(T18,"",SALT_Refund)))</f>
        <v>0</v>
      </c>
      <c r="M26" s="349"/>
      <c r="N26" s="78"/>
      <c r="O26" s="1179"/>
      <c r="P26" s="6662">
        <v>1</v>
      </c>
      <c r="Q26" s="6637"/>
      <c r="R26" s="4140"/>
      <c r="S26" s="1179"/>
      <c r="T26" s="1179"/>
      <c r="U26" s="1179"/>
    </row>
    <row r="27" spans="1:25">
      <c r="A27" s="78"/>
      <c r="B27" s="4123" t="s">
        <v>0</v>
      </c>
      <c r="C27" s="70" t="s">
        <v>3378</v>
      </c>
      <c r="D27" s="59"/>
      <c r="E27" s="59"/>
      <c r="F27" s="59"/>
      <c r="G27" s="59"/>
      <c r="H27" s="59"/>
      <c r="I27" s="64"/>
      <c r="J27" s="59"/>
      <c r="K27" s="64"/>
      <c r="L27" s="329"/>
      <c r="M27" s="349"/>
      <c r="N27" s="78"/>
      <c r="O27" s="1179"/>
      <c r="P27" s="1179"/>
      <c r="Q27" s="1179"/>
      <c r="R27" s="558"/>
      <c r="S27" s="1179"/>
      <c r="T27" s="1179"/>
      <c r="U27" s="3978">
        <v>5000</v>
      </c>
    </row>
    <row r="28" spans="1:25">
      <c r="A28" s="78"/>
      <c r="B28" s="4123"/>
      <c r="C28" s="70" t="str">
        <f>"taxes paid in "&amp;TaxYear-1&amp;" (generally, this is the amount reported on your "&amp;TaxYear-1&amp;" Schedule A, line 5d), more than the"</f>
        <v>taxes paid in 2020 (generally, this is the amount reported on your 2020 Schedule A, line 5d), more than the</v>
      </c>
      <c r="D28" s="59"/>
      <c r="E28" s="59"/>
      <c r="F28" s="59"/>
      <c r="G28" s="59"/>
      <c r="H28" s="59"/>
      <c r="I28" s="64"/>
      <c r="J28" s="59"/>
      <c r="K28" s="64"/>
      <c r="L28" s="329"/>
      <c r="M28" s="349"/>
      <c r="N28" s="78"/>
      <c r="O28" s="1179"/>
      <c r="P28" s="1179"/>
      <c r="Q28" s="1179"/>
      <c r="R28" s="4140"/>
      <c r="S28" s="1818" t="str">
        <f>TaxYear-1&amp;" Schedule A, line 5d"</f>
        <v>2020 Schedule A, line 5d</v>
      </c>
      <c r="T28" s="1179"/>
      <c r="U28" s="3978">
        <v>10000</v>
      </c>
    </row>
    <row r="29" spans="1:25">
      <c r="A29" s="78"/>
      <c r="B29" s="4123"/>
      <c r="C29" s="70" t="str">
        <f>"amount on your "&amp;TaxYear-1&amp;" Schedule A, line 5e?"</f>
        <v>amount on your 2020 Schedule A, line 5e?</v>
      </c>
      <c r="D29" s="59"/>
      <c r="E29" s="59"/>
      <c r="F29" s="59"/>
      <c r="G29" s="59"/>
      <c r="H29" s="59"/>
      <c r="I29" s="64"/>
      <c r="J29" s="59"/>
      <c r="K29" s="64"/>
      <c r="L29" s="1432" t="b">
        <f>R28&gt;R29</f>
        <v>0</v>
      </c>
      <c r="M29" s="349"/>
      <c r="N29" s="78"/>
      <c r="O29" s="1179"/>
      <c r="P29" s="1179"/>
      <c r="Q29" s="1179"/>
      <c r="R29" s="4150" t="str">
        <f>IF($O$15=0,"",MIN(R28,U29))</f>
        <v/>
      </c>
      <c r="S29" s="1818" t="str">
        <f>TaxYear-1&amp;" Schedule A, line 5e"</f>
        <v>2020 Schedule A, line 5e</v>
      </c>
      <c r="T29" s="1179"/>
      <c r="U29" s="3978">
        <f>IF(P10&lt;&gt;"",U27,U28)</f>
        <v>10000</v>
      </c>
    </row>
    <row r="30" spans="1:25" ht="11.25" customHeight="1" thickBot="1">
      <c r="A30" s="78"/>
      <c r="B30" s="63"/>
      <c r="C30" s="23"/>
      <c r="D30" s="59"/>
      <c r="E30" s="59"/>
      <c r="F30" s="59"/>
      <c r="G30" s="59"/>
      <c r="H30" s="59"/>
      <c r="I30" s="64"/>
      <c r="J30" s="59"/>
      <c r="K30" s="64"/>
      <c r="L30" s="3991"/>
      <c r="M30" s="66"/>
      <c r="N30" s="78"/>
      <c r="O30" s="1179"/>
      <c r="P30" s="1179"/>
      <c r="Q30" s="1179"/>
      <c r="R30" s="558"/>
      <c r="S30" s="1179"/>
      <c r="T30" s="1179"/>
      <c r="U30" s="1179"/>
    </row>
    <row r="31" spans="1:25" ht="12" customHeight="1" thickBot="1">
      <c r="A31" s="78"/>
      <c r="B31" s="63"/>
      <c r="C31" s="1372" t="str">
        <f>IF(OR(NOT(O5),L29),"","X")</f>
        <v/>
      </c>
      <c r="D31" s="59" t="s">
        <v>414</v>
      </c>
      <c r="E31" s="126" t="s">
        <v>3379</v>
      </c>
      <c r="F31" s="296"/>
      <c r="G31" s="296"/>
      <c r="H31" s="59"/>
      <c r="I31" s="64"/>
      <c r="J31" s="59"/>
      <c r="K31" s="64"/>
      <c r="L31" s="59"/>
      <c r="M31" s="66"/>
      <c r="N31" s="78"/>
      <c r="O31" s="1179"/>
      <c r="P31" s="1179"/>
      <c r="Q31" s="1179"/>
      <c r="R31" s="4157" t="str">
        <f>IF(R28&gt;U29,"In tax year "&amp;TaxYear-1&amp;", for your filing status, ","")</f>
        <v/>
      </c>
      <c r="S31" s="1179"/>
      <c r="T31" s="40"/>
      <c r="U31" s="1179"/>
    </row>
    <row r="32" spans="1:25" ht="11.25" customHeight="1" thickBot="1">
      <c r="A32" s="78"/>
      <c r="B32" s="63"/>
      <c r="C32" s="59"/>
      <c r="D32" s="59"/>
      <c r="E32" s="126"/>
      <c r="F32" s="296"/>
      <c r="G32" s="296"/>
      <c r="H32" s="59"/>
      <c r="I32" s="64"/>
      <c r="J32" s="59"/>
      <c r="K32" s="64"/>
      <c r="L32" s="59"/>
      <c r="M32" s="66"/>
      <c r="N32" s="78"/>
      <c r="O32" s="1179"/>
      <c r="P32" s="6662"/>
      <c r="Q32" s="6636"/>
      <c r="R32" s="4157" t="str">
        <f>IF(R28&gt;U29,"Schedule A, line 5e, limited your SALT","")</f>
        <v/>
      </c>
      <c r="S32" s="1179"/>
      <c r="T32" s="40"/>
      <c r="U32" s="1179"/>
    </row>
    <row r="33" spans="1:31" ht="12" customHeight="1" thickBot="1">
      <c r="A33" s="78"/>
      <c r="B33" s="63"/>
      <c r="C33" s="1372" t="str">
        <f>IF(L29,"X","")</f>
        <v/>
      </c>
      <c r="D33" s="59" t="s">
        <v>416</v>
      </c>
      <c r="E33" s="4124" t="str">
        <f>"Subtract the amount on your "&amp;TaxYear-1&amp;" Schedule A, line 5e,"</f>
        <v>Subtract the amount on your 2020 Schedule A, line 5e,</v>
      </c>
      <c r="F33" s="296"/>
      <c r="G33" s="296"/>
      <c r="H33" s="59"/>
      <c r="I33" s="64"/>
      <c r="J33" s="59"/>
      <c r="K33" s="64"/>
      <c r="L33" s="59"/>
      <c r="M33" s="66"/>
      <c r="N33" s="78"/>
      <c r="O33" s="1179"/>
      <c r="P33" s="1179"/>
      <c r="Q33" s="1179"/>
      <c r="R33" s="4157" t="str">
        <f>IF(R28&gt;U29,"deduction to "&amp;TEXT($U$29,"$0,000")&amp;".","")</f>
        <v/>
      </c>
      <c r="S33" s="1179"/>
      <c r="T33" s="40"/>
      <c r="U33" s="1179"/>
    </row>
    <row r="34" spans="1:31" ht="11.25" customHeight="1">
      <c r="A34" s="78"/>
      <c r="B34" s="63"/>
      <c r="C34" s="23"/>
      <c r="D34" s="59"/>
      <c r="E34" s="4124" t="s">
        <v>3380</v>
      </c>
      <c r="F34" s="59"/>
      <c r="G34" s="59"/>
      <c r="H34" s="59"/>
      <c r="I34" s="64"/>
      <c r="J34" s="59"/>
      <c r="K34" s="64"/>
      <c r="L34" s="59"/>
      <c r="M34" s="66"/>
      <c r="N34" s="78"/>
      <c r="O34" s="1179"/>
      <c r="P34" s="64"/>
      <c r="Q34"/>
      <c r="R34" s="558"/>
      <c r="S34" s="1817"/>
      <c r="T34" s="1179"/>
      <c r="U34" s="1179"/>
    </row>
    <row r="35" spans="1:31" ht="11.25" customHeight="1">
      <c r="A35" s="78"/>
      <c r="B35" s="63"/>
      <c r="C35" s="23"/>
      <c r="D35" s="59"/>
      <c r="E35" s="4124" t="s">
        <v>3381</v>
      </c>
      <c r="F35" s="59"/>
      <c r="G35" s="59"/>
      <c r="H35" s="59"/>
      <c r="I35" s="64"/>
      <c r="J35" s="59"/>
      <c r="K35" s="64"/>
      <c r="L35" s="59"/>
      <c r="M35" s="66"/>
      <c r="N35" s="78"/>
      <c r="O35" s="1179"/>
      <c r="P35" s="1179"/>
      <c r="Q35" s="1179"/>
      <c r="R35" s="558"/>
      <c r="S35" s="1179"/>
      <c r="T35" s="1179"/>
      <c r="U35" s="1179"/>
    </row>
    <row r="36" spans="1:31" ht="12.75" customHeight="1">
      <c r="A36" s="78"/>
      <c r="B36" s="63"/>
      <c r="C36" s="23"/>
      <c r="D36" s="59"/>
      <c r="E36" s="4124" t="str">
        <f>"property taxes paid in "&amp;TaxYear-1&amp;" (generally, this is the amount"</f>
        <v>property taxes paid in 2020 (generally, this is the amount</v>
      </c>
      <c r="F36" s="59"/>
      <c r="G36" s="59"/>
      <c r="H36" s="59"/>
      <c r="I36" s="64"/>
      <c r="J36" s="59"/>
      <c r="K36" s="64"/>
      <c r="L36" s="59"/>
      <c r="M36" s="66"/>
      <c r="N36" s="78"/>
      <c r="O36" s="1179"/>
      <c r="P36" s="1179"/>
      <c r="Q36" s="1179"/>
      <c r="R36" s="558"/>
      <c r="S36" s="1179"/>
      <c r="T36" s="1179"/>
      <c r="U36" s="1179"/>
    </row>
    <row r="37" spans="1:31" ht="11.25" customHeight="1">
      <c r="A37" s="78"/>
      <c r="B37" s="63"/>
      <c r="C37" s="23"/>
      <c r="D37" s="59"/>
      <c r="E37" s="4124" t="str">
        <f>"reported on your "&amp;TaxYear-1&amp;" Schedule A, line 5d)."</f>
        <v>reported on your 2020 Schedule A, line 5d).</v>
      </c>
      <c r="F37" s="59"/>
      <c r="G37" s="59"/>
      <c r="H37" s="59"/>
      <c r="I37" s="64">
        <v>2</v>
      </c>
      <c r="J37" s="1371" t="str">
        <f>IF(R37&lt;&gt;"",ROUND(R37,0),IF(OR(NOT(O5),T18,C31="X"),"",SUM(R28,-R29)))</f>
        <v/>
      </c>
      <c r="K37" s="64"/>
      <c r="L37" s="59"/>
      <c r="M37" s="66"/>
      <c r="N37" s="78"/>
      <c r="O37" s="1179"/>
      <c r="P37" s="6662">
        <v>2</v>
      </c>
      <c r="Q37" s="6637"/>
      <c r="R37" s="4140"/>
      <c r="S37" s="1817"/>
      <c r="T37" s="1179"/>
      <c r="U37" s="1179"/>
    </row>
    <row r="38" spans="1:31" s="3286" customFormat="1" ht="11.25" customHeight="1">
      <c r="A38" s="4141"/>
      <c r="B38" s="4142"/>
      <c r="C38" s="4143"/>
      <c r="D38" s="4143"/>
      <c r="E38" s="4144"/>
      <c r="F38" s="4143"/>
      <c r="G38" s="4143"/>
      <c r="H38" s="4143"/>
      <c r="I38" s="64"/>
      <c r="J38" s="4147">
        <f>IF(J37="",0,J37)</f>
        <v>0</v>
      </c>
      <c r="K38" s="4145"/>
      <c r="L38" s="4143"/>
      <c r="M38" s="4146"/>
      <c r="N38" s="4141"/>
      <c r="O38" s="23"/>
      <c r="P38" s="23"/>
      <c r="Q38" s="23"/>
      <c r="R38" s="558"/>
      <c r="S38" s="23"/>
      <c r="T38" s="23"/>
      <c r="U38" s="1179"/>
      <c r="V38" s="3851"/>
      <c r="W38" s="3851"/>
      <c r="X38" s="3851"/>
      <c r="Y38" s="3851"/>
      <c r="Z38" s="3851"/>
      <c r="AA38" s="3851"/>
      <c r="AB38" s="3851"/>
      <c r="AC38" s="3851"/>
      <c r="AD38" s="3851"/>
      <c r="AE38" s="3851"/>
    </row>
    <row r="39" spans="1:31">
      <c r="A39" s="78"/>
      <c r="B39" s="4123">
        <v>3</v>
      </c>
      <c r="C39" s="70" t="s">
        <v>3382</v>
      </c>
      <c r="D39" s="59"/>
      <c r="E39" s="59"/>
      <c r="F39" s="59"/>
      <c r="G39" s="59"/>
      <c r="H39" s="59"/>
      <c r="I39" s="4145"/>
      <c r="J39" s="4147"/>
      <c r="K39" s="64"/>
      <c r="L39" s="1432" t="b">
        <f>L26&gt;J37</f>
        <v>0</v>
      </c>
      <c r="M39" s="349"/>
      <c r="N39" s="78"/>
      <c r="O39" s="23"/>
      <c r="P39" s="23"/>
      <c r="Q39" s="23"/>
      <c r="R39" s="558"/>
      <c r="S39" s="23"/>
      <c r="T39" s="23"/>
      <c r="U39" s="1179"/>
    </row>
    <row r="40" spans="1:31" ht="12" customHeight="1" thickBot="1">
      <c r="A40" s="78"/>
      <c r="B40" s="63"/>
      <c r="C40" s="23"/>
      <c r="D40" s="59"/>
      <c r="E40" s="59"/>
      <c r="F40" s="59"/>
      <c r="G40" s="59"/>
      <c r="H40" s="59"/>
      <c r="I40" s="64"/>
      <c r="J40" s="59"/>
      <c r="K40" s="64"/>
      <c r="L40" s="3991"/>
      <c r="M40" s="66"/>
      <c r="N40" s="78"/>
      <c r="O40" s="2079"/>
      <c r="P40" s="2079"/>
      <c r="Q40" s="2079"/>
      <c r="R40" s="558"/>
      <c r="S40" s="2079"/>
      <c r="T40" s="2079"/>
      <c r="U40" s="2079"/>
    </row>
    <row r="41" spans="1:31" ht="12" customHeight="1" thickBot="1">
      <c r="A41" s="78"/>
      <c r="B41" s="63"/>
      <c r="C41" s="1372" t="str">
        <f>IF(OR(NOT(O5),C31&lt;&gt;""),"",IF(L39,"","X"))</f>
        <v/>
      </c>
      <c r="D41" s="68" t="s">
        <v>278</v>
      </c>
      <c r="E41" s="4125" t="s">
        <v>3384</v>
      </c>
      <c r="F41" s="296"/>
      <c r="G41" s="4124" t="s">
        <v>3383</v>
      </c>
      <c r="H41" s="59"/>
      <c r="I41" s="64"/>
      <c r="J41" s="59"/>
      <c r="K41" s="64"/>
      <c r="L41" s="59"/>
      <c r="M41" s="66"/>
      <c r="N41" s="78"/>
      <c r="O41" s="1179"/>
      <c r="P41" s="6662"/>
      <c r="Q41" s="6636"/>
      <c r="R41" s="558"/>
      <c r="S41" s="1817"/>
      <c r="T41" s="1179"/>
      <c r="U41" s="1179"/>
    </row>
    <row r="42" spans="1:31" ht="12" customHeight="1" thickBot="1">
      <c r="A42" s="78"/>
      <c r="B42" s="63"/>
      <c r="C42" s="59"/>
      <c r="D42" s="59"/>
      <c r="E42" s="126"/>
      <c r="F42" s="296"/>
      <c r="G42" s="296"/>
      <c r="H42" s="59"/>
      <c r="I42" s="64"/>
      <c r="J42" s="59"/>
      <c r="K42" s="64"/>
      <c r="L42" s="59"/>
      <c r="M42" s="66"/>
      <c r="N42" s="78"/>
      <c r="O42" s="1179"/>
      <c r="P42" s="1179"/>
      <c r="Q42" s="1179"/>
      <c r="R42" s="558"/>
      <c r="S42" s="1179"/>
      <c r="T42" s="1179"/>
      <c r="U42" s="1179"/>
    </row>
    <row r="43" spans="1:31" ht="12" customHeight="1" thickBot="1">
      <c r="A43" s="78"/>
      <c r="B43" s="63"/>
      <c r="C43" s="1372" t="str">
        <f>IF(OR(NOT(O5),C31&lt;&gt;""),"",IF(L39,"X",""))</f>
        <v/>
      </c>
      <c r="D43" s="68" t="s">
        <v>168</v>
      </c>
      <c r="E43" s="4124" t="s">
        <v>2294</v>
      </c>
      <c r="F43" s="296"/>
      <c r="G43" s="296"/>
      <c r="H43" s="59"/>
      <c r="I43" s="2711" t="s">
        <v>1</v>
      </c>
      <c r="J43" s="1371" t="str">
        <f>IF(R43&lt;&gt;"",ROUND(R43,0),IF(OR(O15&lt;&gt;1,T18),"",IF(C31="X",L26,IF(C43="X",SUM(L26,-J38),0))))</f>
        <v/>
      </c>
      <c r="K43" s="64"/>
      <c r="L43" s="59"/>
      <c r="M43" s="66"/>
      <c r="N43" s="78"/>
      <c r="O43" s="1179"/>
      <c r="P43" s="6662">
        <v>3</v>
      </c>
      <c r="Q43" s="6637"/>
      <c r="R43" s="4140"/>
      <c r="S43" s="1817"/>
      <c r="T43" s="1179"/>
      <c r="U43" s="1179"/>
    </row>
    <row r="44" spans="1:31" ht="12.75" customHeight="1">
      <c r="A44" s="78"/>
      <c r="B44" s="63"/>
      <c r="C44" s="38"/>
      <c r="D44" s="59"/>
      <c r="E44" s="59"/>
      <c r="F44" s="59"/>
      <c r="G44" s="59"/>
      <c r="H44" s="59"/>
      <c r="I44" s="64"/>
      <c r="J44" s="59"/>
      <c r="K44" s="64"/>
      <c r="L44" s="59"/>
      <c r="M44" s="349"/>
      <c r="N44" s="78"/>
      <c r="O44" s="1179"/>
      <c r="P44" s="1179"/>
      <c r="Q44" s="1179"/>
      <c r="R44" s="558"/>
      <c r="S44" s="1179"/>
      <c r="T44" s="1179"/>
      <c r="U44" s="1179"/>
    </row>
    <row r="45" spans="1:31" ht="15.75" customHeight="1">
      <c r="A45" s="78"/>
      <c r="B45" s="2710" t="s">
        <v>399</v>
      </c>
      <c r="C45" s="23" t="str">
        <f>"Enter your total itemized deductions from your "&amp;TaxYear-1&amp;" Schedule A, line 17."</f>
        <v>Enter your total itemized deductions from your 2020 Schedule A, line 17.</v>
      </c>
      <c r="D45" s="59"/>
      <c r="E45" s="59"/>
      <c r="F45" s="59"/>
      <c r="G45" s="59"/>
      <c r="H45" s="707"/>
      <c r="I45" s="2711" t="s">
        <v>399</v>
      </c>
      <c r="J45" s="1841"/>
      <c r="K45" s="64"/>
      <c r="L45" s="1432"/>
      <c r="M45" s="349"/>
      <c r="N45" s="78"/>
      <c r="O45" s="23"/>
      <c r="P45" s="23"/>
      <c r="Q45" s="23"/>
      <c r="R45" s="558"/>
      <c r="S45" s="23"/>
      <c r="T45" s="23"/>
      <c r="U45" s="1179"/>
    </row>
    <row r="46" spans="1:31" ht="9" customHeight="1">
      <c r="A46" s="78"/>
      <c r="B46" s="63"/>
      <c r="C46" s="23"/>
      <c r="D46" s="59"/>
      <c r="E46" s="59"/>
      <c r="F46" s="59"/>
      <c r="G46" s="59"/>
      <c r="H46" s="59"/>
      <c r="I46" s="64"/>
      <c r="J46" s="329"/>
      <c r="K46" s="64"/>
      <c r="L46" s="352"/>
      <c r="M46" s="349"/>
      <c r="N46" s="78"/>
      <c r="O46" s="23"/>
      <c r="P46" s="23"/>
      <c r="Q46" s="23"/>
      <c r="R46" s="558"/>
      <c r="S46" s="23"/>
      <c r="T46" s="23"/>
      <c r="U46" s="1179"/>
    </row>
    <row r="47" spans="1:31" ht="16.5" customHeight="1">
      <c r="A47" s="78"/>
      <c r="B47" s="63"/>
      <c r="C47" s="347" t="s">
        <v>315</v>
      </c>
      <c r="D47" s="347"/>
      <c r="E47" s="348" t="str">
        <f>"If the filing status on your "&amp;TaxYear-1&amp;" Form 1040 return was married filing separately and"</f>
        <v>If the filing status on your 2020 Form 1040 return was married filing separately and</v>
      </c>
      <c r="F47" s="348"/>
      <c r="G47" s="348"/>
      <c r="H47" s="348"/>
      <c r="I47" s="64"/>
      <c r="J47" s="59"/>
      <c r="K47" s="64"/>
      <c r="L47" s="886"/>
      <c r="M47" s="66"/>
      <c r="N47" s="78"/>
      <c r="O47" s="23"/>
      <c r="P47" s="23"/>
      <c r="Q47" s="23"/>
      <c r="R47" s="558"/>
      <c r="S47" s="23"/>
      <c r="T47" s="23"/>
      <c r="U47" s="1179"/>
    </row>
    <row r="48" spans="1:31">
      <c r="A48" s="78"/>
      <c r="B48" s="63"/>
      <c r="C48" s="268" t="str">
        <f>"your spouse itemized deductions in "&amp;TaxYear-1&amp;", skip lines 5 through 7, enter the amount from"</f>
        <v>your spouse itemized deductions in 2020, skip lines 5 through 7, enter the amount from</v>
      </c>
      <c r="D48" s="59"/>
      <c r="E48" s="59"/>
      <c r="F48" s="59"/>
      <c r="G48" s="59"/>
      <c r="H48" s="59"/>
      <c r="I48" s="64"/>
      <c r="J48" s="886"/>
      <c r="K48" s="64"/>
      <c r="L48" s="1128"/>
      <c r="M48" s="66"/>
      <c r="N48" s="78"/>
      <c r="O48" s="23"/>
      <c r="P48" s="23"/>
      <c r="Q48" s="23"/>
      <c r="R48" s="558"/>
      <c r="S48" s="23"/>
      <c r="T48" s="23"/>
      <c r="U48" s="1179"/>
    </row>
    <row r="49" spans="1:21" ht="15" customHeight="1">
      <c r="A49" s="78"/>
      <c r="B49" s="63"/>
      <c r="C49" s="1005" t="s">
        <v>3385</v>
      </c>
      <c r="D49" s="540"/>
      <c r="E49" s="540"/>
      <c r="F49" s="540"/>
      <c r="G49" s="540"/>
      <c r="H49" s="1842"/>
      <c r="I49" s="1128"/>
      <c r="J49" s="1128"/>
      <c r="K49" s="64"/>
      <c r="L49" s="723"/>
      <c r="M49" s="698"/>
      <c r="N49" s="78"/>
      <c r="O49" s="23"/>
      <c r="P49" s="23"/>
      <c r="Q49" s="23"/>
      <c r="R49" s="558"/>
      <c r="S49" s="23"/>
      <c r="T49" s="23"/>
      <c r="U49" s="1179"/>
    </row>
    <row r="50" spans="1:21" ht="24.75" customHeight="1">
      <c r="A50" s="78"/>
      <c r="B50" s="307">
        <v>5</v>
      </c>
      <c r="C50" s="4348" t="s">
        <v>3676</v>
      </c>
      <c r="D50" s="348"/>
      <c r="E50" s="348"/>
      <c r="F50" s="348"/>
      <c r="G50" s="348"/>
      <c r="H50" s="330"/>
      <c r="I50" s="64"/>
      <c r="J50" s="59"/>
      <c r="K50" s="64"/>
      <c r="L50" s="723"/>
      <c r="M50" s="66"/>
      <c r="N50" s="78"/>
      <c r="O50" s="23"/>
      <c r="P50" s="23"/>
      <c r="Q50" s="23"/>
      <c r="R50" s="558"/>
      <c r="S50" s="23"/>
      <c r="T50" s="23"/>
      <c r="U50" s="1179"/>
    </row>
    <row r="51" spans="1:21">
      <c r="A51" s="78"/>
      <c r="B51" s="63"/>
      <c r="C51" s="23" t="str">
        <f>TaxYear-1&amp;" Form 1040."</f>
        <v>2020 Form 1040.</v>
      </c>
      <c r="D51" s="59"/>
      <c r="E51" s="59"/>
      <c r="F51" s="59"/>
      <c r="G51" s="59"/>
      <c r="H51" s="303"/>
      <c r="I51" s="64"/>
      <c r="J51" s="59"/>
      <c r="K51" s="64"/>
      <c r="L51" s="4127">
        <v>12400</v>
      </c>
      <c r="M51" s="66"/>
      <c r="N51" s="78"/>
      <c r="O51" s="23"/>
      <c r="P51" s="23"/>
      <c r="Q51" s="23"/>
      <c r="R51" s="558"/>
      <c r="S51" s="23"/>
      <c r="T51" s="23"/>
      <c r="U51" s="1179"/>
    </row>
    <row r="52" spans="1:21" ht="15.75">
      <c r="A52" s="78"/>
      <c r="B52" s="63"/>
      <c r="C52" s="2730" t="s">
        <v>340</v>
      </c>
      <c r="D52" s="23" t="str">
        <f>"Single or married filing separately–- "&amp;TEXT(L51,"$0,000")</f>
        <v>Single or married filing separately–- $12,400</v>
      </c>
      <c r="E52" s="59"/>
      <c r="F52" s="59"/>
      <c r="G52" s="59"/>
      <c r="H52" s="303"/>
      <c r="I52" s="64"/>
      <c r="J52" s="59"/>
      <c r="K52" s="64"/>
      <c r="L52" s="4127">
        <v>24800</v>
      </c>
      <c r="M52" s="698"/>
      <c r="N52" s="78"/>
      <c r="O52" s="23"/>
      <c r="P52" s="23"/>
      <c r="Q52" s="23"/>
      <c r="R52" s="558"/>
      <c r="S52" s="23"/>
      <c r="T52" s="23"/>
      <c r="U52" s="1927"/>
    </row>
    <row r="53" spans="1:21" ht="15" customHeight="1">
      <c r="A53" s="78"/>
      <c r="B53" s="63"/>
      <c r="C53" s="2730" t="s">
        <v>340</v>
      </c>
      <c r="D53" s="23" t="str">
        <f>"Married filing jointly or qualifying widow(er)–-"&amp;TEXT(L52,"$0,000")</f>
        <v>Married filing jointly or qualifying widow(er)–-$24,800</v>
      </c>
      <c r="E53" s="59"/>
      <c r="F53" s="59"/>
      <c r="G53" s="59"/>
      <c r="H53" s="707"/>
      <c r="I53" s="64">
        <v>5</v>
      </c>
      <c r="J53" s="1364" t="str">
        <f>IF(OR(T18,T21,O15&gt;1),"",IF(OR(P6&lt;&gt;"",P10&lt;&gt;""),L51,IF(OR(P8&lt;&gt;"",P14&lt;&gt;""),L52,IF(P12&lt;&gt;"",L53,""))))</f>
        <v/>
      </c>
      <c r="K53" s="64"/>
      <c r="L53" s="4127">
        <v>18650</v>
      </c>
      <c r="M53" s="66"/>
      <c r="N53" s="78"/>
      <c r="O53" s="23"/>
      <c r="P53" s="23"/>
      <c r="Q53" s="23"/>
      <c r="R53" s="558"/>
      <c r="S53" s="23"/>
      <c r="T53" s="23"/>
      <c r="U53" s="1179"/>
    </row>
    <row r="54" spans="1:21">
      <c r="A54" s="78"/>
      <c r="B54" s="63"/>
      <c r="C54" s="2730" t="s">
        <v>340</v>
      </c>
      <c r="D54" s="23" t="str">
        <f>"Head of household–-"&amp;TEXT(L53,"$0,000")</f>
        <v>Head of household–-$18,650</v>
      </c>
      <c r="E54" s="59"/>
      <c r="F54" s="59"/>
      <c r="G54" s="59"/>
      <c r="H54" s="296"/>
      <c r="I54" s="64"/>
      <c r="J54" s="329"/>
      <c r="K54" s="64"/>
      <c r="L54" s="1917"/>
      <c r="M54" s="66"/>
      <c r="N54" s="78"/>
      <c r="O54" s="23"/>
      <c r="P54" s="23"/>
      <c r="Q54" s="23"/>
      <c r="R54" s="558"/>
      <c r="S54" s="23"/>
      <c r="T54" s="23"/>
      <c r="U54" s="1179"/>
    </row>
    <row r="55" spans="1:21" ht="11.25" customHeight="1">
      <c r="A55" s="78"/>
      <c r="B55" s="63"/>
      <c r="C55" s="67"/>
      <c r="D55" s="23"/>
      <c r="E55" s="59"/>
      <c r="F55" s="59"/>
      <c r="G55" s="59"/>
      <c r="H55" s="59"/>
      <c r="I55" s="64"/>
      <c r="J55" s="59"/>
      <c r="K55" s="64"/>
      <c r="L55" s="5508"/>
      <c r="M55" s="698"/>
      <c r="N55" s="78"/>
      <c r="O55" s="23"/>
      <c r="P55" s="23"/>
      <c r="Q55" s="23"/>
      <c r="R55" s="558"/>
      <c r="S55" s="23"/>
      <c r="T55" s="23"/>
      <c r="U55" s="1179"/>
    </row>
    <row r="56" spans="1:21">
      <c r="A56" s="78"/>
      <c r="B56" s="307">
        <v>6</v>
      </c>
      <c r="C56" s="70" t="s">
        <v>3386</v>
      </c>
      <c r="D56" s="59"/>
      <c r="E56" s="59"/>
      <c r="F56" s="59"/>
      <c r="G56" s="59"/>
      <c r="H56" s="59"/>
      <c r="I56" s="64"/>
      <c r="J56" s="102"/>
      <c r="K56" s="64"/>
      <c r="L56" s="5508"/>
      <c r="M56" s="66"/>
      <c r="N56" s="78"/>
      <c r="O56" s="23"/>
      <c r="P56" s="23"/>
      <c r="Q56" s="23"/>
      <c r="R56" s="558"/>
      <c r="S56" s="23"/>
      <c r="T56" s="23"/>
      <c r="U56" s="1179"/>
    </row>
    <row r="57" spans="1:21" ht="9.75" customHeight="1" thickBot="1">
      <c r="A57" s="78"/>
      <c r="B57" s="307"/>
      <c r="C57" s="70"/>
      <c r="D57" s="59"/>
      <c r="E57" s="59"/>
      <c r="F57" s="59"/>
      <c r="G57" s="59"/>
      <c r="H57" s="59"/>
      <c r="I57" s="64"/>
      <c r="J57" s="102"/>
      <c r="K57" s="64"/>
      <c r="L57" s="4138"/>
      <c r="M57" s="66"/>
      <c r="N57" s="78"/>
      <c r="O57" s="23"/>
      <c r="P57" s="23"/>
      <c r="Q57" s="23"/>
      <c r="R57" s="558"/>
      <c r="S57" s="23"/>
      <c r="T57" s="23"/>
      <c r="U57" s="1179"/>
    </row>
    <row r="58" spans="1:21" ht="12.75" customHeight="1" thickBot="1">
      <c r="A58" s="78"/>
      <c r="B58" s="4135">
        <f>IF(C58&lt;&gt;"",1,0)</f>
        <v>0</v>
      </c>
      <c r="C58" s="1372" t="str">
        <f>IF(OR(NOT(O5),T18,T21),"",IF(You65onJan2,"X",""))</f>
        <v/>
      </c>
      <c r="D58" s="4126" t="str">
        <f>"You were born before January 2, "&amp;TaxYear-65&amp;"."</f>
        <v>You were born before January 2, 1956.</v>
      </c>
      <c r="E58" s="59"/>
      <c r="F58" s="59"/>
      <c r="G58" s="59"/>
      <c r="H58" s="4137">
        <f>IF(I58&lt;&gt;"",1,0)</f>
        <v>0</v>
      </c>
      <c r="I58" s="1372" t="str">
        <f>IF(T21,"",IF(you_blind&lt;&gt;"","X",""))</f>
        <v/>
      </c>
      <c r="J58" s="129" t="s">
        <v>3388</v>
      </c>
      <c r="K58" s="64"/>
      <c r="L58" s="4127">
        <v>1300</v>
      </c>
      <c r="M58" s="66"/>
      <c r="N58" s="78"/>
      <c r="O58" s="23"/>
      <c r="P58" s="23"/>
      <c r="Q58" s="23"/>
      <c r="R58" s="558"/>
      <c r="S58" s="23"/>
      <c r="T58" s="23"/>
      <c r="U58" s="1179"/>
    </row>
    <row r="59" spans="1:21" ht="8.25" customHeight="1" thickBot="1">
      <c r="A59" s="78"/>
      <c r="B59" s="4136"/>
      <c r="C59" s="39"/>
      <c r="D59" s="401"/>
      <c r="E59" s="69"/>
      <c r="F59" s="69"/>
      <c r="G59" s="69"/>
      <c r="H59" s="4138"/>
      <c r="I59" s="59"/>
      <c r="J59" s="102"/>
      <c r="K59" s="64"/>
      <c r="L59" s="4138"/>
      <c r="M59" s="66"/>
      <c r="N59" s="78"/>
      <c r="O59" s="23"/>
      <c r="P59" s="23"/>
      <c r="Q59" s="23"/>
      <c r="R59" s="558"/>
      <c r="S59" s="23"/>
      <c r="T59" s="23"/>
      <c r="U59" s="1179"/>
    </row>
    <row r="60" spans="1:21" ht="12.75" customHeight="1" thickBot="1">
      <c r="A60" s="78"/>
      <c r="B60" s="4135">
        <f>IF(C60&lt;&gt;"",1,0)</f>
        <v>0</v>
      </c>
      <c r="C60" s="1372" t="str">
        <f>IF(OR(NOT(O5),T18,T21,P6&lt;&gt;"",P12&lt;&gt;""),"",IF(Spouse65onJan2,"X",""))</f>
        <v/>
      </c>
      <c r="D60" s="4126" t="str">
        <f>"Spouse was born before January 2, "&amp;TaxYear-65&amp;"."</f>
        <v>Spouse was born before January 2, 1956.</v>
      </c>
      <c r="E60" s="59"/>
      <c r="F60" s="59"/>
      <c r="G60" s="59"/>
      <c r="H60" s="4137">
        <f>IF(I60&lt;&gt;"",1,0)</f>
        <v>0</v>
      </c>
      <c r="I60" s="1372" t="str">
        <f>IF(OR(T21,P6&lt;&gt;"",P12&lt;&gt;""),"",IF(sp_blind&lt;&gt;"","X",""))</f>
        <v/>
      </c>
      <c r="J60" s="129" t="s">
        <v>3389</v>
      </c>
      <c r="K60" s="64"/>
      <c r="L60" s="4127">
        <v>1650</v>
      </c>
      <c r="M60" s="66"/>
      <c r="N60" s="78"/>
      <c r="O60" s="23"/>
      <c r="P60" s="23"/>
      <c r="Q60" s="23"/>
      <c r="R60" s="558"/>
      <c r="S60" s="23"/>
      <c r="T60" s="23"/>
      <c r="U60" s="1179"/>
    </row>
    <row r="61" spans="1:21" ht="7.5" customHeight="1">
      <c r="A61" s="78"/>
      <c r="B61" s="4136"/>
      <c r="C61" s="70"/>
      <c r="D61" s="4126"/>
      <c r="E61" s="59"/>
      <c r="F61" s="59"/>
      <c r="G61" s="59"/>
      <c r="H61" s="239"/>
      <c r="I61" s="59"/>
      <c r="J61" s="102"/>
      <c r="K61" s="64"/>
      <c r="L61" s="499"/>
      <c r="M61" s="66"/>
      <c r="N61" s="78"/>
      <c r="O61" s="23"/>
      <c r="P61" s="23"/>
      <c r="Q61" s="23"/>
      <c r="R61" s="558"/>
      <c r="S61" s="23"/>
      <c r="T61" s="23"/>
      <c r="U61" s="1179"/>
    </row>
    <row r="62" spans="1:21" ht="12" customHeight="1">
      <c r="A62" s="78"/>
      <c r="B62" s="4135">
        <f>SUM(B58,B60,H58,H60)</f>
        <v>0</v>
      </c>
      <c r="C62" s="70"/>
      <c r="D62" s="59"/>
      <c r="E62" s="70" t="s">
        <v>3387</v>
      </c>
      <c r="F62" s="70"/>
      <c r="G62" s="70"/>
      <c r="H62" s="38"/>
      <c r="I62" s="71"/>
      <c r="J62" s="59"/>
      <c r="K62" s="64"/>
      <c r="L62" s="59"/>
      <c r="M62" s="66"/>
      <c r="N62" s="78"/>
      <c r="O62" s="23"/>
      <c r="P62" s="23"/>
      <c r="Q62" s="23"/>
      <c r="R62" s="558"/>
      <c r="S62" s="23"/>
      <c r="T62" s="23"/>
      <c r="U62" s="1179"/>
    </row>
    <row r="63" spans="1:21" ht="8.25" customHeight="1">
      <c r="A63" s="78"/>
      <c r="B63" s="63"/>
      <c r="C63" s="70"/>
      <c r="D63" s="59"/>
      <c r="E63" s="126"/>
      <c r="F63" s="59"/>
      <c r="G63" s="59"/>
      <c r="H63" s="59"/>
      <c r="I63" s="697"/>
      <c r="J63" s="59"/>
      <c r="K63" s="64"/>
      <c r="L63" s="59"/>
      <c r="M63" s="66"/>
      <c r="N63" s="78"/>
      <c r="O63" s="1179"/>
      <c r="P63" s="1179"/>
      <c r="Q63" s="1179"/>
      <c r="R63" s="558"/>
      <c r="S63" s="1179"/>
      <c r="T63" s="1179"/>
      <c r="U63" s="1179"/>
    </row>
    <row r="64" spans="1:21" ht="13.5" customHeight="1">
      <c r="A64" s="78"/>
      <c r="B64" s="63"/>
      <c r="C64" s="70"/>
      <c r="D64" s="59"/>
      <c r="E64" s="126" t="str">
        <f>"Multiply the number of boxes checked by "&amp;TEXT(L58,"$0,000")&amp;" ("&amp;TEXT(L60,"$0,000")</f>
        <v>Multiply the number of boxes checked by $1,300 ($1,650</v>
      </c>
      <c r="F64" s="59"/>
      <c r="G64" s="59"/>
      <c r="H64" s="59"/>
      <c r="I64" s="697"/>
      <c r="J64" s="59"/>
      <c r="K64" s="64"/>
      <c r="L64" s="723"/>
      <c r="M64" s="698"/>
      <c r="N64" s="78"/>
      <c r="O64" s="1179"/>
      <c r="P64" s="1179"/>
      <c r="Q64" s="1179"/>
      <c r="R64" s="558"/>
      <c r="S64" s="1179"/>
      <c r="T64" s="1179"/>
      <c r="U64" s="1179"/>
    </row>
    <row r="65" spans="1:21" ht="13.5" customHeight="1">
      <c r="A65" s="78"/>
      <c r="B65" s="63"/>
      <c r="C65" s="70"/>
      <c r="D65" s="59"/>
      <c r="E65" s="59" t="str">
        <f>"if your "&amp;TaxYear-1&amp;" filing status was single or head of household)."</f>
        <v>if your 2020 filing status was single or head of household).</v>
      </c>
      <c r="F65" s="59"/>
      <c r="G65" s="59"/>
      <c r="H65" s="59"/>
      <c r="I65" s="64">
        <v>6</v>
      </c>
      <c r="J65" s="1364" t="str">
        <f>IF(OR(T18,T21,O15=0,O15&gt;1),"",IF(B62=0,0,L65))</f>
        <v/>
      </c>
      <c r="K65" s="64"/>
      <c r="L65" s="4139">
        <f>IF(OR(P6&lt;&gt;"",P12&lt;&gt;""),B62*L60,B62*L58)</f>
        <v>0</v>
      </c>
      <c r="M65" s="698"/>
      <c r="N65" s="78"/>
      <c r="O65" s="1179"/>
      <c r="P65" s="1179"/>
      <c r="Q65" s="1179"/>
      <c r="R65" s="558"/>
      <c r="S65" s="1179"/>
      <c r="T65" s="1179"/>
      <c r="U65" s="1179"/>
    </row>
    <row r="66" spans="1:21" ht="12" customHeight="1">
      <c r="A66" s="78"/>
      <c r="B66" s="63"/>
      <c r="C66" s="70"/>
      <c r="D66" s="59"/>
      <c r="E66" s="59"/>
      <c r="F66" s="59"/>
      <c r="G66" s="59"/>
      <c r="H66" s="59"/>
      <c r="I66" s="697"/>
      <c r="J66" s="59"/>
      <c r="K66" s="64"/>
      <c r="L66" s="723"/>
      <c r="M66" s="698"/>
      <c r="N66" s="78"/>
      <c r="O66" s="1179"/>
      <c r="P66" s="1179"/>
      <c r="Q66" s="1179"/>
      <c r="R66" s="558"/>
      <c r="S66" s="1179"/>
      <c r="T66" s="1179"/>
      <c r="U66" s="1179"/>
    </row>
    <row r="67" spans="1:21" ht="12" customHeight="1">
      <c r="A67" s="78"/>
      <c r="B67" s="63"/>
      <c r="C67" s="70" t="s">
        <v>3391</v>
      </c>
      <c r="D67" s="59"/>
      <c r="E67" s="59"/>
      <c r="F67" s="59"/>
      <c r="G67" s="59"/>
      <c r="H67" s="59"/>
      <c r="I67" s="697"/>
      <c r="J67" s="59"/>
      <c r="K67" s="64"/>
      <c r="L67" s="723"/>
      <c r="M67" s="698"/>
      <c r="N67" s="78"/>
      <c r="O67" s="1179"/>
      <c r="P67" s="1179"/>
      <c r="Q67" s="1179"/>
      <c r="R67" s="558"/>
      <c r="S67" s="1179"/>
      <c r="T67" s="1179"/>
      <c r="U67" s="1179"/>
    </row>
    <row r="68" spans="1:21" ht="11.25" customHeight="1">
      <c r="A68" s="78"/>
      <c r="B68" s="63"/>
      <c r="C68" s="999" t="s">
        <v>3390</v>
      </c>
      <c r="D68" s="59"/>
      <c r="E68" s="59"/>
      <c r="F68" s="59"/>
      <c r="G68" s="59"/>
      <c r="H68" s="59"/>
      <c r="I68" s="697"/>
      <c r="J68" s="59"/>
      <c r="K68" s="64"/>
      <c r="L68" s="723"/>
      <c r="M68" s="698"/>
      <c r="N68" s="78"/>
      <c r="O68" s="1179"/>
      <c r="P68" s="1179"/>
      <c r="Q68" s="1179"/>
      <c r="R68" s="558"/>
      <c r="S68" s="1179"/>
      <c r="T68" s="1179"/>
      <c r="U68" s="1179"/>
    </row>
    <row r="69" spans="1:21" ht="15.75">
      <c r="A69" s="78"/>
      <c r="B69" s="63"/>
      <c r="C69" s="1005" t="s">
        <v>3392</v>
      </c>
      <c r="D69" s="59"/>
      <c r="E69" s="59"/>
      <c r="F69" s="59"/>
      <c r="G69" s="59"/>
      <c r="H69" s="59"/>
      <c r="I69" s="697"/>
      <c r="J69" s="59"/>
      <c r="K69" s="64"/>
      <c r="L69" s="723"/>
      <c r="M69" s="698"/>
      <c r="N69" s="78"/>
      <c r="O69" s="1179"/>
      <c r="P69" s="1179"/>
      <c r="Q69" s="1179"/>
      <c r="R69" s="558"/>
      <c r="S69" s="1179"/>
      <c r="T69" s="1179"/>
      <c r="U69" s="1179"/>
    </row>
    <row r="70" spans="1:21" ht="11.25" customHeight="1">
      <c r="A70" s="78"/>
      <c r="B70" s="63"/>
      <c r="C70" s="70"/>
      <c r="D70" s="59"/>
      <c r="E70" s="59"/>
      <c r="F70" s="59"/>
      <c r="G70" s="59"/>
      <c r="H70" s="59"/>
      <c r="I70" s="697"/>
      <c r="J70" s="59"/>
      <c r="K70" s="64"/>
      <c r="L70" s="723"/>
      <c r="M70" s="698"/>
      <c r="N70" s="78"/>
      <c r="O70" s="1179"/>
      <c r="P70" s="1179"/>
      <c r="Q70" s="1179"/>
      <c r="R70" s="558"/>
      <c r="S70" s="1179"/>
      <c r="T70" s="1179"/>
      <c r="U70" s="1179"/>
    </row>
    <row r="71" spans="1:21">
      <c r="A71" s="78"/>
      <c r="B71" s="63">
        <v>7</v>
      </c>
      <c r="C71" s="70" t="s">
        <v>3393</v>
      </c>
      <c r="D71" s="59"/>
      <c r="E71" s="59"/>
      <c r="F71" s="59"/>
      <c r="G71" s="59"/>
      <c r="H71" s="39" t="s">
        <v>636</v>
      </c>
      <c r="I71" s="64">
        <v>7</v>
      </c>
      <c r="J71" s="1364" t="str">
        <f>IF(OR(T21,NOT(O5)),"",IF(OR(T18,AND(J53="",J65="")),"",ROUND(SUM(J53,J65),0)))</f>
        <v/>
      </c>
      <c r="K71" s="64"/>
      <c r="L71" s="59"/>
      <c r="M71" s="66"/>
      <c r="N71" s="78"/>
      <c r="O71" s="1179"/>
      <c r="P71" s="1179"/>
      <c r="Q71" s="1179"/>
      <c r="R71" s="558"/>
      <c r="S71" s="1179"/>
      <c r="T71" s="1179"/>
      <c r="U71" s="1179"/>
    </row>
    <row r="72" spans="1:21" ht="10.5" customHeight="1">
      <c r="A72" s="78"/>
      <c r="B72" s="63"/>
      <c r="C72" s="23"/>
      <c r="D72" s="59"/>
      <c r="E72" s="59"/>
      <c r="F72" s="59"/>
      <c r="G72" s="59"/>
      <c r="H72" s="59"/>
      <c r="I72" s="64"/>
      <c r="J72" s="59"/>
      <c r="K72" s="64"/>
      <c r="L72" s="59"/>
      <c r="M72" s="66"/>
      <c r="N72" s="78"/>
      <c r="O72" s="1179"/>
      <c r="P72" s="1179"/>
      <c r="Q72" s="1179"/>
      <c r="R72" s="558"/>
      <c r="S72" s="1179"/>
      <c r="T72" s="1179"/>
      <c r="U72" s="1179"/>
    </row>
    <row r="73" spans="1:21">
      <c r="A73" s="78"/>
      <c r="B73" s="63">
        <v>8</v>
      </c>
      <c r="C73" s="70" t="s">
        <v>3400</v>
      </c>
      <c r="D73" s="59"/>
      <c r="E73" s="59"/>
      <c r="F73" s="59"/>
      <c r="G73" s="59"/>
      <c r="H73" s="59"/>
      <c r="I73" s="64"/>
      <c r="J73" s="59"/>
      <c r="K73" s="64"/>
      <c r="L73" s="329"/>
      <c r="M73" s="349"/>
      <c r="N73" s="78"/>
      <c r="O73" s="1179"/>
      <c r="P73" s="1179"/>
      <c r="Q73" s="1179"/>
      <c r="R73" s="558"/>
      <c r="S73" s="1179"/>
      <c r="T73" s="1179"/>
      <c r="U73" s="1179"/>
    </row>
    <row r="74" spans="1:21" ht="12" customHeight="1" thickBot="1">
      <c r="A74" s="78"/>
      <c r="B74" s="63"/>
      <c r="C74" s="23"/>
      <c r="D74" s="59"/>
      <c r="E74" s="59"/>
      <c r="F74" s="59"/>
      <c r="G74" s="59"/>
      <c r="H74" s="59"/>
      <c r="I74" s="64"/>
      <c r="J74" s="59"/>
      <c r="K74" s="64"/>
      <c r="L74" s="3991" t="b">
        <f>AND(L26&gt;0,O15&lt;&gt;1)</f>
        <v>0</v>
      </c>
      <c r="M74" s="66"/>
      <c r="N74" s="78"/>
      <c r="O74" s="1179"/>
      <c r="P74" s="1179"/>
      <c r="Q74" s="1179"/>
      <c r="R74" s="558"/>
      <c r="S74" s="1179"/>
      <c r="T74" s="1179"/>
      <c r="U74" s="1179"/>
    </row>
    <row r="75" spans="1:21" ht="12" customHeight="1" thickBot="1">
      <c r="A75" s="78"/>
      <c r="B75" s="63"/>
      <c r="C75" s="1372" t="str">
        <f>IF(OR(NOT(O5),J45="",L26="",T21,T18,J71&lt;J45),"","X")</f>
        <v/>
      </c>
      <c r="D75" s="59" t="s">
        <v>414</v>
      </c>
      <c r="E75" s="296" t="s">
        <v>335</v>
      </c>
      <c r="F75" s="296"/>
      <c r="G75" s="296"/>
      <c r="H75" s="59"/>
      <c r="I75" s="64"/>
      <c r="J75" s="59"/>
      <c r="K75" s="64"/>
      <c r="L75" s="59"/>
      <c r="M75" s="66"/>
      <c r="N75" s="78"/>
      <c r="O75" s="1179"/>
      <c r="P75" s="1179"/>
      <c r="Q75" s="1179"/>
      <c r="R75" s="558"/>
      <c r="S75" s="1179"/>
      <c r="T75" s="1179"/>
      <c r="U75" s="1179"/>
    </row>
    <row r="76" spans="1:21" ht="7.5" customHeight="1" thickBot="1">
      <c r="A76" s="78"/>
      <c r="B76" s="63"/>
      <c r="C76" s="23"/>
      <c r="D76" s="59"/>
      <c r="E76" s="59"/>
      <c r="F76" s="59"/>
      <c r="G76" s="59"/>
      <c r="H76" s="59"/>
      <c r="I76" s="64"/>
      <c r="J76" s="59"/>
      <c r="K76" s="64"/>
      <c r="L76" s="59"/>
      <c r="M76" s="66"/>
      <c r="N76" s="78"/>
      <c r="O76" s="1179"/>
      <c r="P76" s="1179"/>
      <c r="Q76" s="1179"/>
      <c r="R76" s="558"/>
      <c r="S76" s="1179"/>
      <c r="T76" s="1179"/>
      <c r="U76" s="1179"/>
    </row>
    <row r="77" spans="1:21" ht="13.5" thickBot="1">
      <c r="A77" s="78"/>
      <c r="B77" s="63"/>
      <c r="C77" s="1372" t="str">
        <f>IF(OR(NOT(O5),L26="",T18,T21,C75="X"),"","X")</f>
        <v/>
      </c>
      <c r="D77" s="59" t="s">
        <v>416</v>
      </c>
      <c r="E77" s="126" t="s">
        <v>3401</v>
      </c>
      <c r="F77" s="59"/>
      <c r="G77" s="59"/>
      <c r="H77" s="59"/>
      <c r="I77" s="64"/>
      <c r="J77" s="707" t="s">
        <v>210</v>
      </c>
      <c r="K77" s="64">
        <v>8</v>
      </c>
      <c r="L77" s="1364" t="str">
        <f>IF(OR(T18,NOT(O5)),"",IF(T21,J45,IF(J71&lt;J45,ROUND(J45-J71,0),0)))</f>
        <v/>
      </c>
      <c r="M77" s="66"/>
      <c r="N77" s="78"/>
      <c r="O77" s="1179"/>
      <c r="P77" s="1179"/>
      <c r="Q77" s="1179"/>
      <c r="R77" s="24" t="s">
        <v>411</v>
      </c>
      <c r="S77" s="1179"/>
      <c r="T77" s="1179"/>
      <c r="U77" s="1179"/>
    </row>
    <row r="78" spans="1:21">
      <c r="A78" s="78"/>
      <c r="B78" s="63"/>
      <c r="C78" s="38"/>
      <c r="D78" s="59"/>
      <c r="E78" s="59"/>
      <c r="F78" s="59"/>
      <c r="G78" s="59"/>
      <c r="H78" s="59"/>
      <c r="I78" s="64"/>
      <c r="J78" s="59"/>
      <c r="K78" s="64"/>
      <c r="L78" s="59"/>
      <c r="M78" s="349"/>
      <c r="N78" s="78"/>
      <c r="O78" s="1179"/>
      <c r="P78" s="1179"/>
      <c r="Q78" s="1179"/>
      <c r="R78" s="558"/>
      <c r="S78" s="1179"/>
      <c r="T78" s="1179"/>
      <c r="U78" s="1179"/>
    </row>
    <row r="79" spans="1:21">
      <c r="A79" s="78"/>
      <c r="B79" s="63">
        <v>9</v>
      </c>
      <c r="C79" s="24" t="s">
        <v>3394</v>
      </c>
      <c r="D79" s="59"/>
      <c r="E79" s="59"/>
      <c r="F79" s="59"/>
      <c r="G79" s="59"/>
      <c r="H79" s="59"/>
      <c r="I79" s="64"/>
      <c r="J79" s="69"/>
      <c r="K79" s="64">
        <v>9</v>
      </c>
      <c r="L79" s="1364">
        <f>IF(R79&lt;&gt;"",ROUND(R79,0),IF(OR(T18,T21),"",IF(O5,MIN(J43,L77),0)))</f>
        <v>0</v>
      </c>
      <c r="M79" s="66"/>
      <c r="N79" s="78"/>
      <c r="O79" s="1179"/>
      <c r="P79" s="1179"/>
      <c r="Q79" s="1179"/>
      <c r="R79" s="4156"/>
      <c r="S79" s="1179"/>
      <c r="T79" s="1179"/>
      <c r="U79" s="1179"/>
    </row>
    <row r="80" spans="1:21" ht="13.5" thickBot="1">
      <c r="A80" s="78"/>
      <c r="B80" s="89"/>
      <c r="C80" s="36"/>
      <c r="D80" s="36"/>
      <c r="E80" s="36"/>
      <c r="F80" s="36"/>
      <c r="G80" s="36"/>
      <c r="H80" s="36"/>
      <c r="I80" s="36"/>
      <c r="J80" s="36"/>
      <c r="K80" s="36"/>
      <c r="L80" s="36"/>
      <c r="M80" s="98"/>
      <c r="N80" s="78"/>
      <c r="O80" s="1179"/>
      <c r="P80" s="1179"/>
      <c r="Q80" s="1179"/>
      <c r="R80" s="558"/>
      <c r="S80" s="1179"/>
      <c r="T80" s="1179"/>
      <c r="U80" s="1179"/>
    </row>
    <row r="81" spans="1:21">
      <c r="A81" s="78"/>
      <c r="B81" s="78"/>
      <c r="C81" s="78"/>
      <c r="D81" s="78"/>
      <c r="E81" s="78"/>
      <c r="F81" s="78"/>
      <c r="G81" s="78"/>
      <c r="H81" s="78"/>
      <c r="I81" s="78"/>
      <c r="J81" s="78"/>
      <c r="K81" s="78"/>
      <c r="L81" s="78"/>
      <c r="M81" s="78"/>
      <c r="N81" s="78"/>
      <c r="O81" s="1179"/>
      <c r="P81" s="1179"/>
      <c r="Q81" s="1179"/>
      <c r="R81" s="558"/>
      <c r="S81" s="1179"/>
      <c r="T81" s="1179"/>
      <c r="U81" s="1179"/>
    </row>
    <row r="82" spans="1:21">
      <c r="A82" s="23"/>
      <c r="B82" s="23"/>
      <c r="C82" s="23"/>
      <c r="D82" s="23"/>
      <c r="E82" s="23"/>
      <c r="F82" s="23"/>
      <c r="G82" s="23"/>
      <c r="H82" s="23"/>
      <c r="I82" s="23"/>
      <c r="J82" s="23"/>
      <c r="K82" s="23"/>
      <c r="L82" s="23"/>
      <c r="M82" s="23"/>
      <c r="N82" s="23"/>
      <c r="O82" s="1179"/>
      <c r="P82" s="1179"/>
      <c r="Q82" s="1179"/>
      <c r="R82" s="1179"/>
      <c r="S82" s="1179"/>
      <c r="T82" s="1179"/>
      <c r="U82" s="1179"/>
    </row>
    <row r="83" spans="1:21">
      <c r="A83" s="23"/>
      <c r="B83" s="23"/>
      <c r="C83" s="23"/>
      <c r="D83" s="23"/>
      <c r="E83" s="23"/>
      <c r="F83" s="23"/>
      <c r="G83" s="23"/>
      <c r="H83" s="23"/>
      <c r="I83" s="23"/>
      <c r="J83" s="23"/>
      <c r="K83" s="23"/>
      <c r="L83" s="23"/>
      <c r="M83" s="23"/>
      <c r="N83" s="23"/>
      <c r="O83" s="1179"/>
      <c r="P83" s="1179"/>
      <c r="Q83" s="1179"/>
      <c r="R83" s="1179"/>
      <c r="S83" s="1179"/>
      <c r="T83" s="1179"/>
      <c r="U83" s="1179"/>
    </row>
  </sheetData>
  <sheetProtection password="F07E" sheet="1" objects="1" scenarios="1"/>
  <mergeCells count="7">
    <mergeCell ref="O5:P5"/>
    <mergeCell ref="P43:Q43"/>
    <mergeCell ref="P37:Q37"/>
    <mergeCell ref="B19:L19"/>
    <mergeCell ref="P26:Q26"/>
    <mergeCell ref="P32:Q32"/>
    <mergeCell ref="P41:Q41"/>
  </mergeCells>
  <phoneticPr fontId="14" type="noConversion"/>
  <conditionalFormatting sqref="B16">
    <cfRule type="expression" dxfId="2789" priority="2911">
      <formula>$T$18</formula>
    </cfRule>
  </conditionalFormatting>
  <conditionalFormatting sqref="B19">
    <cfRule type="expression" dxfId="2788" priority="4">
      <formula>$T$18</formula>
    </cfRule>
  </conditionalFormatting>
  <conditionalFormatting sqref="C26">
    <cfRule type="expression" dxfId="2787" priority="7">
      <formula>$L$25</formula>
    </cfRule>
  </conditionalFormatting>
  <conditionalFormatting sqref="C31">
    <cfRule type="expression" dxfId="2786" priority="41">
      <formula>NoColor</formula>
    </cfRule>
  </conditionalFormatting>
  <conditionalFormatting sqref="C33">
    <cfRule type="expression" dxfId="2785" priority="23">
      <formula>NoColor</formula>
    </cfRule>
  </conditionalFormatting>
  <conditionalFormatting sqref="C41">
    <cfRule type="expression" dxfId="2784" priority="34">
      <formula>NoColor</formula>
    </cfRule>
  </conditionalFormatting>
  <conditionalFormatting sqref="C43">
    <cfRule type="expression" dxfId="2783" priority="20">
      <formula>NoColor</formula>
    </cfRule>
  </conditionalFormatting>
  <conditionalFormatting sqref="C47:C49">
    <cfRule type="expression" dxfId="2782" priority="6">
      <formula>$T$21</formula>
    </cfRule>
  </conditionalFormatting>
  <conditionalFormatting sqref="C58">
    <cfRule type="expression" dxfId="2781" priority="52">
      <formula>NoColor</formula>
    </cfRule>
  </conditionalFormatting>
  <conditionalFormatting sqref="C60">
    <cfRule type="expression" dxfId="2780" priority="51">
      <formula>NoColor</formula>
    </cfRule>
  </conditionalFormatting>
  <conditionalFormatting sqref="C75">
    <cfRule type="expression" dxfId="2779" priority="50">
      <formula>NoColor</formula>
    </cfRule>
  </conditionalFormatting>
  <conditionalFormatting sqref="C77">
    <cfRule type="expression" dxfId="2778" priority="49">
      <formula>NoColor</formula>
    </cfRule>
  </conditionalFormatting>
  <conditionalFormatting sqref="E41:E42">
    <cfRule type="expression" dxfId="2777" priority="35" stopIfTrue="1">
      <formula>AND(O5,NOT($L$39))</formula>
    </cfRule>
  </conditionalFormatting>
  <conditionalFormatting sqref="E47">
    <cfRule type="expression" dxfId="2776" priority="5">
      <formula>$T$21</formula>
    </cfRule>
  </conditionalFormatting>
  <conditionalFormatting sqref="E75">
    <cfRule type="expression" dxfId="2775" priority="126" stopIfTrue="1">
      <formula>IF($C$75&lt;&gt;"",1,0)</formula>
    </cfRule>
  </conditionalFormatting>
  <conditionalFormatting sqref="F31:G33">
    <cfRule type="expression" dxfId="2774" priority="2904" stopIfTrue="1">
      <formula>IF(K25&gt;=K4,1,0)</formula>
    </cfRule>
  </conditionalFormatting>
  <conditionalFormatting sqref="F75:G75">
    <cfRule type="expression" dxfId="2773" priority="2902" stopIfTrue="1">
      <formula>IF(K71&gt;=K45,1,0)</formula>
    </cfRule>
  </conditionalFormatting>
  <conditionalFormatting sqref="G23:G24">
    <cfRule type="expression" dxfId="2772" priority="98" stopIfTrue="1">
      <formula>AND($O$5,$L$26="")</formula>
    </cfRule>
  </conditionalFormatting>
  <conditionalFormatting sqref="H25">
    <cfRule type="expression" dxfId="2771" priority="8">
      <formula>$L$25</formula>
    </cfRule>
  </conditionalFormatting>
  <conditionalFormatting sqref="I58">
    <cfRule type="expression" dxfId="2770" priority="30">
      <formula>NoColor</formula>
    </cfRule>
  </conditionalFormatting>
  <conditionalFormatting sqref="I60">
    <cfRule type="expression" dxfId="2769" priority="29">
      <formula>NoColor</formula>
    </cfRule>
  </conditionalFormatting>
  <conditionalFormatting sqref="J37">
    <cfRule type="expression" dxfId="2768" priority="25">
      <formula>IF(NoColor,1,0)</formula>
    </cfRule>
  </conditionalFormatting>
  <conditionalFormatting sqref="J43">
    <cfRule type="expression" dxfId="2767" priority="19">
      <formula>IF(NoColor,1,0)</formula>
    </cfRule>
  </conditionalFormatting>
  <conditionalFormatting sqref="J45">
    <cfRule type="expression" dxfId="2766" priority="77">
      <formula>IF(NoColor,1,0)</formula>
    </cfRule>
  </conditionalFormatting>
  <conditionalFormatting sqref="J53">
    <cfRule type="expression" dxfId="2765" priority="69">
      <formula>IF(NoColor,1,0)</formula>
    </cfRule>
  </conditionalFormatting>
  <conditionalFormatting sqref="J65">
    <cfRule type="expression" dxfId="2764" priority="68">
      <formula>IF(NoColor,1,0)</formula>
    </cfRule>
  </conditionalFormatting>
  <conditionalFormatting sqref="J71">
    <cfRule type="expression" dxfId="2763" priority="67">
      <formula>IF(NoColor,1,0)</formula>
    </cfRule>
  </conditionalFormatting>
  <conditionalFormatting sqref="L26">
    <cfRule type="expression" dxfId="2762" priority="78">
      <formula>IF(NoColor,1,0)</formula>
    </cfRule>
  </conditionalFormatting>
  <conditionalFormatting sqref="L47:L48 J48 I49:J49">
    <cfRule type="expression" dxfId="2761" priority="2906" stopIfTrue="1">
      <formula>IF(OR(NOT($O$5),$P$10=""),1,0)</formula>
    </cfRule>
  </conditionalFormatting>
  <conditionalFormatting sqref="L64:L70">
    <cfRule type="expression" dxfId="2760" priority="2912" stopIfTrue="1">
      <formula>IF($R$38&lt;&gt;"",1,0)</formula>
    </cfRule>
  </conditionalFormatting>
  <conditionalFormatting sqref="L77">
    <cfRule type="expression" dxfId="2759" priority="66">
      <formula>IF(NoColor,1,0)</formula>
    </cfRule>
  </conditionalFormatting>
  <conditionalFormatting sqref="L79">
    <cfRule type="expression" dxfId="2758" priority="65">
      <formula>IF(NoColor,1,0)</formula>
    </cfRule>
  </conditionalFormatting>
  <conditionalFormatting sqref="M49 L49:L50 M52 M55">
    <cfRule type="expression" dxfId="2757" priority="2905" stopIfTrue="1">
      <formula>IF($O$15&gt;0,1,0)</formula>
    </cfRule>
  </conditionalFormatting>
  <conditionalFormatting sqref="M64:M70">
    <cfRule type="expression" dxfId="2756" priority="80" stopIfTrue="1">
      <formula>IF(L64="",1,0)</formula>
    </cfRule>
  </conditionalFormatting>
  <conditionalFormatting sqref="M2:N2">
    <cfRule type="expression" dxfId="2755" priority="9" stopIfTrue="1">
      <formula>($O$15=0)</formula>
    </cfRule>
  </conditionalFormatting>
  <conditionalFormatting sqref="O15:T15">
    <cfRule type="expression" dxfId="2754" priority="96" stopIfTrue="1">
      <formula>IF(2&gt;1,1,0)</formula>
    </cfRule>
  </conditionalFormatting>
  <conditionalFormatting sqref="P3:P4">
    <cfRule type="expression" dxfId="2753" priority="63" stopIfTrue="1">
      <formula>IF(NOT($O$5),1,0)</formula>
    </cfRule>
  </conditionalFormatting>
  <conditionalFormatting sqref="P6">
    <cfRule type="expression" dxfId="2752" priority="76">
      <formula>IF(NoColor,1,0)</formula>
    </cfRule>
  </conditionalFormatting>
  <conditionalFormatting sqref="P8">
    <cfRule type="expression" dxfId="2751" priority="75">
      <formula>IF(NoColor,1,0)</formula>
    </cfRule>
  </conditionalFormatting>
  <conditionalFormatting sqref="P10">
    <cfRule type="expression" dxfId="2750" priority="74">
      <formula>IF(NoColor,1,0)</formula>
    </cfRule>
  </conditionalFormatting>
  <conditionalFormatting sqref="P12">
    <cfRule type="expression" dxfId="2749" priority="73">
      <formula>IF(NoColor,1,0)</formula>
    </cfRule>
  </conditionalFormatting>
  <conditionalFormatting sqref="P14">
    <cfRule type="expression" dxfId="2748" priority="72">
      <formula>IF(NoColor,1,0)</formula>
    </cfRule>
  </conditionalFormatting>
  <conditionalFormatting sqref="P17">
    <cfRule type="expression" dxfId="2747" priority="71">
      <formula>IF(NoColor,1,0)</formula>
    </cfRule>
  </conditionalFormatting>
  <conditionalFormatting sqref="P21">
    <cfRule type="expression" dxfId="2746" priority="57">
      <formula>IF($P$10="",1,0)</formula>
    </cfRule>
    <cfRule type="expression" dxfId="2745" priority="58">
      <formula>IF(NoColor,1,0)</formula>
    </cfRule>
  </conditionalFormatting>
  <conditionalFormatting sqref="R21:R22">
    <cfRule type="expression" dxfId="2744" priority="54">
      <formula>IF($P$10&lt;&gt;"",1,0)</formula>
    </cfRule>
  </conditionalFormatting>
  <conditionalFormatting sqref="R26">
    <cfRule type="expression" dxfId="2743" priority="28">
      <formula>NoColor</formula>
    </cfRule>
  </conditionalFormatting>
  <conditionalFormatting sqref="R28:R29">
    <cfRule type="expression" dxfId="2742" priority="10">
      <formula>NoColor</formula>
    </cfRule>
  </conditionalFormatting>
  <conditionalFormatting sqref="R31">
    <cfRule type="expression" dxfId="2741" priority="3">
      <formula>R28&gt;U29</formula>
    </cfRule>
  </conditionalFormatting>
  <conditionalFormatting sqref="R32">
    <cfRule type="expression" dxfId="2740" priority="2">
      <formula>R28&gt;U29</formula>
    </cfRule>
  </conditionalFormatting>
  <conditionalFormatting sqref="R33">
    <cfRule type="expression" dxfId="2739" priority="1">
      <formula>R28&gt;U29</formula>
    </cfRule>
  </conditionalFormatting>
  <conditionalFormatting sqref="R37">
    <cfRule type="expression" dxfId="2738" priority="12">
      <formula>NoColor</formula>
    </cfRule>
  </conditionalFormatting>
  <conditionalFormatting sqref="R43">
    <cfRule type="expression" dxfId="2737" priority="11">
      <formula>NoColor</formula>
    </cfRule>
  </conditionalFormatting>
  <pageMargins left="0.27" right="0" top="0.55000000000000004" bottom="0" header="0" footer="0"/>
  <pageSetup scale="95"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pageSetUpPr fitToPage="1"/>
  </sheetPr>
  <dimension ref="A1:AN105"/>
  <sheetViews>
    <sheetView zoomScaleNormal="100" zoomScaleSheetLayoutView="100" workbookViewId="0"/>
  </sheetViews>
  <sheetFormatPr defaultRowHeight="12.75"/>
  <cols>
    <col min="1" max="1" width="1.7109375" customWidth="1"/>
    <col min="2" max="2" width="3.5703125" customWidth="1"/>
    <col min="3" max="3" width="2.7109375" customWidth="1"/>
    <col min="4" max="4" width="5.28515625" customWidth="1"/>
    <col min="5" max="5" width="7" customWidth="1"/>
    <col min="6" max="6" width="6.28515625" customWidth="1"/>
    <col min="7" max="7" width="40.28515625" customWidth="1"/>
    <col min="8" max="8" width="9" customWidth="1"/>
    <col min="9" max="9" width="7.85546875" customWidth="1"/>
    <col min="10" max="10" width="9.28515625" customWidth="1"/>
    <col min="11" max="11" width="4" customWidth="1"/>
    <col min="12" max="12" width="8" customWidth="1"/>
    <col min="13" max="13" width="3.28515625" customWidth="1"/>
    <col min="14" max="14" width="4.5703125" customWidth="1"/>
    <col min="15" max="15" width="1.5703125" customWidth="1"/>
    <col min="16" max="16" width="3.28515625" customWidth="1"/>
    <col min="17" max="17" width="6.28515625" customWidth="1"/>
    <col min="18" max="18" width="3" customWidth="1"/>
    <col min="19" max="19" width="4.42578125" customWidth="1"/>
    <col min="20" max="20" width="2" customWidth="1"/>
    <col min="21" max="21" width="1.85546875" customWidth="1"/>
    <col min="22" max="22" width="1.42578125" customWidth="1"/>
    <col min="23" max="23" width="3.140625" customWidth="1"/>
    <col min="24" max="24" width="12.85546875" customWidth="1"/>
    <col min="25" max="25" width="3.85546875" customWidth="1"/>
    <col min="26" max="26" width="2.140625" customWidth="1"/>
    <col min="27" max="27" width="13.28515625" customWidth="1"/>
    <col min="28" max="28" width="4.28515625" customWidth="1"/>
    <col min="29" max="29" width="18.5703125" customWidth="1"/>
    <col min="30" max="40" width="9.140625" style="2595"/>
  </cols>
  <sheetData>
    <row r="1" spans="1:40" ht="9.75" customHeight="1">
      <c r="A1" s="750"/>
      <c r="B1" s="750"/>
      <c r="C1" s="750"/>
      <c r="D1" s="750"/>
      <c r="E1" s="751"/>
      <c r="F1" s="751"/>
      <c r="G1" s="751"/>
      <c r="H1" s="750"/>
      <c r="I1" s="752"/>
      <c r="J1" s="752"/>
      <c r="K1" s="750"/>
      <c r="L1" s="753"/>
      <c r="M1" s="753"/>
      <c r="N1" s="753"/>
      <c r="O1" s="753"/>
      <c r="P1" s="753"/>
      <c r="Q1" s="753"/>
      <c r="R1" s="753"/>
      <c r="S1" s="753"/>
      <c r="T1" s="753"/>
      <c r="U1" s="753"/>
      <c r="V1" s="25"/>
      <c r="W1" s="25"/>
      <c r="X1" s="917"/>
      <c r="Y1" s="282"/>
      <c r="Z1" s="282"/>
      <c r="AA1" s="282"/>
      <c r="AB1" s="282"/>
      <c r="AC1" s="282"/>
    </row>
    <row r="2" spans="1:40" ht="35.25" customHeight="1" thickBot="1">
      <c r="A2" s="588"/>
      <c r="B2" s="3383" t="s">
        <v>5385</v>
      </c>
      <c r="C2" s="26"/>
      <c r="D2" s="26"/>
      <c r="E2" s="26"/>
      <c r="F2" s="26"/>
      <c r="G2" s="26"/>
      <c r="H2" s="26"/>
      <c r="I2" s="26"/>
      <c r="J2" s="4897"/>
      <c r="K2" s="4897"/>
      <c r="L2" s="4897"/>
      <c r="M2" s="4897"/>
      <c r="N2" s="4897"/>
      <c r="O2" s="4897"/>
      <c r="P2" s="4896" t="s">
        <v>175</v>
      </c>
      <c r="Q2" s="739"/>
      <c r="R2" s="739"/>
      <c r="S2" s="739"/>
      <c r="T2" s="739"/>
      <c r="U2" s="754"/>
      <c r="V2" s="25"/>
      <c r="W2" s="25"/>
      <c r="X2" s="917"/>
      <c r="Y2" s="282"/>
      <c r="Z2" s="282"/>
      <c r="AA2" s="282"/>
      <c r="AB2" s="282"/>
      <c r="AC2" s="282"/>
      <c r="AD2" s="2604" t="s">
        <v>2033</v>
      </c>
    </row>
    <row r="3" spans="1:40" ht="15.75" customHeight="1">
      <c r="A3" s="588"/>
      <c r="B3" s="481" t="s">
        <v>214</v>
      </c>
      <c r="C3" s="840"/>
      <c r="D3" s="840"/>
      <c r="E3" s="840"/>
      <c r="F3" s="938" t="s">
        <v>42</v>
      </c>
      <c r="G3" s="1015" t="s">
        <v>4337</v>
      </c>
      <c r="H3" s="840"/>
      <c r="I3" s="840"/>
      <c r="J3" s="26"/>
      <c r="K3" s="26"/>
      <c r="L3" s="26"/>
      <c r="M3" s="26"/>
      <c r="N3" s="26"/>
      <c r="O3" s="26"/>
      <c r="P3" s="26"/>
      <c r="Q3" s="26"/>
      <c r="R3" s="26"/>
      <c r="S3" s="26"/>
      <c r="T3" s="302"/>
      <c r="U3" s="756"/>
      <c r="V3" s="25"/>
      <c r="W3" s="25"/>
      <c r="X3" s="917"/>
      <c r="Y3" s="282"/>
      <c r="Z3" s="282"/>
      <c r="AA3" s="282"/>
      <c r="AB3" s="282"/>
      <c r="AC3" s="282"/>
    </row>
    <row r="4" spans="1:40" ht="12.75" customHeight="1">
      <c r="A4" s="588"/>
      <c r="B4" s="482"/>
      <c r="C4" s="26"/>
      <c r="D4" s="26"/>
      <c r="E4" s="26"/>
      <c r="F4" s="940" t="s">
        <v>42</v>
      </c>
      <c r="G4" s="1130" t="s">
        <v>5138</v>
      </c>
      <c r="H4" s="26"/>
      <c r="I4" s="26"/>
      <c r="J4" s="839"/>
      <c r="K4" s="26"/>
      <c r="L4" s="26"/>
      <c r="M4" s="26"/>
      <c r="N4" s="26"/>
      <c r="O4" s="26"/>
      <c r="P4" s="26"/>
      <c r="Q4" s="26"/>
      <c r="R4" s="26"/>
      <c r="S4" s="26"/>
      <c r="T4" s="302"/>
      <c r="U4" s="756"/>
      <c r="V4" s="25"/>
      <c r="W4" s="25"/>
      <c r="X4" s="917"/>
      <c r="Y4" s="282"/>
      <c r="Z4" s="282"/>
      <c r="AA4" s="282"/>
      <c r="AB4" s="282"/>
      <c r="AC4" s="282"/>
    </row>
    <row r="5" spans="1:40" ht="12.75" customHeight="1">
      <c r="A5" s="588"/>
      <c r="B5" s="482"/>
      <c r="C5" s="26"/>
      <c r="D5" s="26"/>
      <c r="E5" s="26"/>
      <c r="F5" s="940"/>
      <c r="G5" s="1130" t="s">
        <v>5139</v>
      </c>
      <c r="H5" s="26"/>
      <c r="I5" s="26"/>
      <c r="J5" s="839"/>
      <c r="K5" s="26"/>
      <c r="L5" s="26"/>
      <c r="M5" s="26"/>
      <c r="N5" s="26"/>
      <c r="O5" s="26"/>
      <c r="P5" s="26"/>
      <c r="Q5" s="26"/>
      <c r="R5" s="26"/>
      <c r="S5" s="26"/>
      <c r="T5" s="302"/>
      <c r="U5" s="756"/>
      <c r="V5" s="25"/>
      <c r="W5" s="25"/>
      <c r="X5" s="917"/>
      <c r="Y5" s="282"/>
      <c r="Z5" s="282"/>
      <c r="AA5" s="282"/>
      <c r="AB5" s="282"/>
      <c r="AC5" s="282"/>
    </row>
    <row r="6" spans="1:40" ht="12.75" customHeight="1">
      <c r="A6" s="588"/>
      <c r="B6" s="482"/>
      <c r="C6" s="26"/>
      <c r="D6" s="26"/>
      <c r="E6" s="26"/>
      <c r="F6" s="940" t="s">
        <v>42</v>
      </c>
      <c r="G6" s="939" t="str">
        <f>"If you are married filing separately and you lived apart from your spouse for all of "&amp;TaxYear&amp;", enter “D” on the dotted"</f>
        <v>If you are married filing separately and you lived apart from your spouse for all of 2021, enter “D” on the dotted</v>
      </c>
      <c r="H6" s="26"/>
      <c r="I6" s="26"/>
      <c r="J6" s="839"/>
      <c r="K6" s="26"/>
      <c r="L6" s="26"/>
      <c r="M6" s="26"/>
      <c r="N6" s="26"/>
      <c r="O6" s="26"/>
      <c r="P6" s="26"/>
      <c r="Q6" s="26"/>
      <c r="R6" s="26"/>
      <c r="S6" s="26"/>
      <c r="T6" s="302"/>
      <c r="U6" s="756"/>
      <c r="V6" s="25"/>
      <c r="W6" s="25"/>
      <c r="X6" s="917"/>
      <c r="Y6" s="282"/>
      <c r="Z6" s="282"/>
      <c r="AA6" s="282"/>
      <c r="AB6" s="282"/>
      <c r="AC6" s="282"/>
    </row>
    <row r="7" spans="1:40" ht="16.5" customHeight="1">
      <c r="A7" s="636"/>
      <c r="B7" s="483"/>
      <c r="C7" s="120"/>
      <c r="D7" s="120"/>
      <c r="E7" s="120"/>
      <c r="F7" s="120"/>
      <c r="G7" s="3695" t="s">
        <v>5393</v>
      </c>
      <c r="H7" s="121"/>
      <c r="I7" s="121"/>
      <c r="J7" s="121"/>
      <c r="K7" s="121"/>
      <c r="L7" s="121"/>
      <c r="M7" s="121"/>
      <c r="N7" s="121"/>
      <c r="O7" s="121"/>
      <c r="P7" s="121"/>
      <c r="Q7" s="121"/>
      <c r="R7" s="121"/>
      <c r="S7" s="121"/>
      <c r="T7" s="301"/>
      <c r="U7" s="755"/>
      <c r="V7" s="25"/>
      <c r="W7" s="25"/>
      <c r="X7" s="917"/>
      <c r="Y7" s="282"/>
      <c r="Z7" s="282"/>
      <c r="AA7" s="282"/>
      <c r="AB7" s="282"/>
      <c r="AC7" s="282"/>
    </row>
    <row r="8" spans="1:40" s="613" customFormat="1" ht="21.75" customHeight="1">
      <c r="A8" s="636"/>
      <c r="B8" s="761"/>
      <c r="C8" s="362"/>
      <c r="D8" s="3384"/>
      <c r="E8" s="362"/>
      <c r="F8" s="362"/>
      <c r="G8" s="363"/>
      <c r="H8" s="361"/>
      <c r="I8" s="361"/>
      <c r="J8" s="764"/>
      <c r="K8" s="762"/>
      <c r="L8" s="765" t="s">
        <v>249</v>
      </c>
      <c r="M8" s="762"/>
      <c r="N8" s="766" t="s">
        <v>22</v>
      </c>
      <c r="O8" s="766"/>
      <c r="P8" s="762"/>
      <c r="Q8" s="762"/>
      <c r="R8" s="762"/>
      <c r="S8" s="762"/>
      <c r="T8" s="359"/>
      <c r="U8" s="755"/>
      <c r="V8" s="767"/>
      <c r="W8" s="767"/>
      <c r="X8" s="918"/>
      <c r="Y8" s="768"/>
      <c r="Z8" s="768"/>
      <c r="AA8" s="768"/>
      <c r="AB8" s="768"/>
      <c r="AC8" s="768"/>
      <c r="AD8" s="2602"/>
      <c r="AE8" s="2602"/>
      <c r="AF8" s="2602"/>
      <c r="AG8" s="2602"/>
      <c r="AH8" s="2602"/>
      <c r="AI8" s="2602"/>
      <c r="AJ8" s="2602"/>
      <c r="AK8" s="2602"/>
      <c r="AL8" s="2602"/>
      <c r="AM8" s="2602"/>
      <c r="AN8" s="2602"/>
    </row>
    <row r="9" spans="1:40" ht="13.5" thickBot="1">
      <c r="A9" s="588"/>
      <c r="B9" s="477" t="s">
        <v>12</v>
      </c>
      <c r="C9" s="70" t="s">
        <v>1738</v>
      </c>
      <c r="D9" s="23"/>
      <c r="E9" s="59"/>
      <c r="F9" s="59"/>
      <c r="G9" s="59"/>
      <c r="H9" s="64"/>
      <c r="I9" s="71"/>
      <c r="J9" s="71"/>
      <c r="K9" s="71"/>
      <c r="L9" s="71"/>
      <c r="M9" s="71"/>
      <c r="N9" s="68"/>
      <c r="O9" s="68"/>
      <c r="P9" s="760"/>
      <c r="Q9" s="59"/>
      <c r="R9" s="59"/>
      <c r="S9" s="59"/>
      <c r="T9" s="66"/>
      <c r="U9" s="701"/>
      <c r="V9" s="25"/>
      <c r="W9" s="25"/>
      <c r="X9" s="825">
        <v>6000</v>
      </c>
      <c r="Y9" s="282"/>
      <c r="Z9" s="282"/>
      <c r="AA9" s="282"/>
      <c r="AB9" s="282"/>
      <c r="AC9" s="282"/>
    </row>
    <row r="10" spans="1:40" ht="13.5" thickBot="1">
      <c r="A10" s="588"/>
      <c r="B10" s="477"/>
      <c r="C10" s="1748" t="s">
        <v>5388</v>
      </c>
      <c r="D10" s="23"/>
      <c r="E10" s="59"/>
      <c r="F10" s="59"/>
      <c r="G10" s="59"/>
      <c r="H10" s="64"/>
      <c r="I10" s="69" t="s">
        <v>1056</v>
      </c>
      <c r="J10" s="71" t="s">
        <v>13</v>
      </c>
      <c r="K10" s="1369"/>
      <c r="L10" s="68" t="s">
        <v>271</v>
      </c>
      <c r="M10" s="1368" t="str">
        <f>IF(AND(Yourself,K10=""),"X","")</f>
        <v/>
      </c>
      <c r="N10" s="68" t="s">
        <v>272</v>
      </c>
      <c r="O10" s="68"/>
      <c r="P10" s="760"/>
      <c r="Q10" s="59"/>
      <c r="R10" s="59"/>
      <c r="S10" s="59"/>
      <c r="T10" s="66"/>
      <c r="U10" s="701"/>
      <c r="V10" s="25"/>
      <c r="W10" s="25"/>
      <c r="X10" s="825"/>
      <c r="Y10" s="282"/>
      <c r="Z10" s="282"/>
      <c r="AA10" s="282"/>
      <c r="AB10" s="282"/>
      <c r="AC10" s="282"/>
    </row>
    <row r="11" spans="1:40" ht="13.5" thickBot="1">
      <c r="A11" s="588"/>
      <c r="B11" s="477" t="s">
        <v>15</v>
      </c>
      <c r="C11" s="23" t="s">
        <v>207</v>
      </c>
      <c r="D11" s="23"/>
      <c r="E11" s="59"/>
      <c r="F11" s="59"/>
      <c r="G11" s="59"/>
      <c r="H11" s="64"/>
      <c r="I11" s="59"/>
      <c r="J11" s="71"/>
      <c r="K11" s="69"/>
      <c r="L11" s="69"/>
      <c r="M11" s="707" t="s">
        <v>644</v>
      </c>
      <c r="N11" s="69"/>
      <c r="O11" s="69" t="s">
        <v>14</v>
      </c>
      <c r="P11" s="1369"/>
      <c r="Q11" s="68" t="s">
        <v>271</v>
      </c>
      <c r="R11" s="1368" t="str">
        <f>IF(AND(Spouse,P11=""),"X","")</f>
        <v/>
      </c>
      <c r="S11" s="68" t="s">
        <v>272</v>
      </c>
      <c r="T11" s="66"/>
      <c r="U11" s="701"/>
      <c r="V11" s="25"/>
      <c r="W11" s="25"/>
      <c r="X11" s="825">
        <v>7000</v>
      </c>
      <c r="Y11" s="282"/>
      <c r="Z11" s="282"/>
      <c r="AA11" s="282"/>
      <c r="AB11" s="282"/>
      <c r="AC11" s="282"/>
    </row>
    <row r="12" spans="1:40" ht="18.75" customHeight="1">
      <c r="A12" s="588"/>
      <c r="B12" s="477"/>
      <c r="C12" s="38" t="s">
        <v>4</v>
      </c>
      <c r="D12" s="38"/>
      <c r="E12" s="59"/>
      <c r="F12" s="59"/>
      <c r="G12" s="59"/>
      <c r="H12" s="64"/>
      <c r="I12" s="69"/>
      <c r="J12" s="69"/>
      <c r="K12" s="69"/>
      <c r="L12" s="69"/>
      <c r="M12" s="68"/>
      <c r="N12" s="124"/>
      <c r="O12" s="124"/>
      <c r="P12" s="763"/>
      <c r="Q12" s="68"/>
      <c r="R12" s="123"/>
      <c r="S12" s="68"/>
      <c r="T12" s="125"/>
      <c r="U12" s="757"/>
      <c r="V12" s="25"/>
      <c r="W12" s="25"/>
      <c r="X12" s="825"/>
      <c r="Y12" s="282"/>
      <c r="Z12" s="282"/>
      <c r="AA12" s="282"/>
      <c r="AB12" s="282"/>
      <c r="AC12" s="282"/>
    </row>
    <row r="13" spans="1:40">
      <c r="A13" s="588"/>
      <c r="B13" s="477"/>
      <c r="C13" s="126" t="s">
        <v>645</v>
      </c>
      <c r="D13" s="126"/>
      <c r="E13" s="59"/>
      <c r="F13" s="59"/>
      <c r="G13" s="59"/>
      <c r="H13" s="64"/>
      <c r="I13" s="59"/>
      <c r="J13" s="59"/>
      <c r="K13" s="124"/>
      <c r="L13" s="68"/>
      <c r="M13" s="68"/>
      <c r="N13" s="68"/>
      <c r="O13" s="68"/>
      <c r="P13" s="68"/>
      <c r="Q13" s="68"/>
      <c r="R13" s="68"/>
      <c r="S13" s="1891" t="str">
        <f>IF(AND(K10="",P11=""),"",IF(OR(Q15,(AND(BadBirthdate_Yours,BadBirthdate_Spouse))),"Check birthdate entries on '1040' sheet.",IF(AND(File_Marr_Joint&lt;&gt;"",BadBirthdate_Spouse),"Check birthdate entry for spouse on '1040' sheet.",IF(BadBirthdate_Yours,"Check your birthdate entry on '1040' sheet.",""))))</f>
        <v/>
      </c>
      <c r="T13" s="125"/>
      <c r="U13" s="757"/>
      <c r="V13" s="25"/>
      <c r="W13" s="1016" t="str">
        <f>IF(OR(AND(File_Marr_Joint="",DependentYOU="",K10=""),AND(File_Marr_Joint&lt;&gt;"",DependentYOU="",DependentSPOUSE="",K10="",P11="")),"No","Yes")</f>
        <v>No</v>
      </c>
      <c r="X13" s="825"/>
      <c r="Y13" s="282"/>
      <c r="Z13" s="282"/>
      <c r="AA13" s="282"/>
      <c r="AB13" s="282"/>
      <c r="AC13" s="282"/>
    </row>
    <row r="14" spans="1:40">
      <c r="A14" s="588"/>
      <c r="B14" s="477"/>
      <c r="C14" s="126" t="s">
        <v>646</v>
      </c>
      <c r="D14" s="126"/>
      <c r="E14" s="59"/>
      <c r="F14" s="59"/>
      <c r="G14" s="59"/>
      <c r="H14" s="64"/>
      <c r="I14" s="59"/>
      <c r="J14" s="59"/>
      <c r="K14" s="124"/>
      <c r="L14" s="68"/>
      <c r="M14" s="68"/>
      <c r="N14" s="68"/>
      <c r="O14" s="68"/>
      <c r="P14" s="68"/>
      <c r="Q14" s="4898"/>
      <c r="R14" s="68"/>
      <c r="S14" s="68"/>
      <c r="T14" s="125"/>
      <c r="U14" s="757"/>
      <c r="V14" s="25"/>
      <c r="W14" s="543"/>
      <c r="X14" s="825"/>
      <c r="Y14" s="282"/>
      <c r="Z14" s="282"/>
      <c r="AA14" s="282"/>
      <c r="AB14" s="282"/>
      <c r="AC14" s="282"/>
    </row>
    <row r="15" spans="1:40">
      <c r="A15" s="588"/>
      <c r="B15" s="477"/>
      <c r="C15" s="883" t="s">
        <v>420</v>
      </c>
      <c r="D15" s="59" t="str">
        <f>TEXT(X9,"$0,000")&amp;", if under age 50 at the end of "&amp;TaxYear&amp;"."</f>
        <v>$6,000, if under age 50 at the end of 2021.</v>
      </c>
      <c r="E15" s="59"/>
      <c r="F15" s="59"/>
      <c r="G15" s="59"/>
      <c r="H15" s="23"/>
      <c r="I15" s="23"/>
      <c r="J15" s="23"/>
      <c r="K15" s="64"/>
      <c r="L15" s="59"/>
      <c r="M15" s="59"/>
      <c r="N15" s="59"/>
      <c r="O15" s="59"/>
      <c r="P15" s="495"/>
      <c r="Q15" s="6666" t="b">
        <f>IF(AND(File_Marr_Joint&lt;&gt;"",OR(BadBirthdate_Yours,BadBirthdate_Spouse)),TRUE,IF(BadBirthdate_Yours,TRUE,FALSE))</f>
        <v>1</v>
      </c>
      <c r="R15" s="6667"/>
      <c r="S15" s="59"/>
      <c r="T15" s="66"/>
      <c r="U15" s="701"/>
      <c r="V15" s="767"/>
      <c r="W15" s="767"/>
      <c r="X15" s="882">
        <v>76000</v>
      </c>
      <c r="Y15" s="768"/>
      <c r="Z15" s="768"/>
      <c r="AA15" s="282"/>
      <c r="AB15" s="282"/>
      <c r="AC15" s="282"/>
    </row>
    <row r="16" spans="1:40">
      <c r="A16" s="588"/>
      <c r="B16" s="477"/>
      <c r="C16" s="883" t="s">
        <v>420</v>
      </c>
      <c r="D16" s="59" t="str">
        <f>TEXT(X11,"$0,000")&amp;", if age 50 or older at the end of "&amp;TaxYear&amp;"."</f>
        <v>$7,000, if age 50 or older at the end of 2021.</v>
      </c>
      <c r="E16" s="59"/>
      <c r="F16" s="59"/>
      <c r="G16" s="59"/>
      <c r="H16" s="23"/>
      <c r="I16" s="23"/>
      <c r="J16" s="23"/>
      <c r="K16" s="64"/>
      <c r="L16" s="937"/>
      <c r="M16" s="59"/>
      <c r="N16" s="59"/>
      <c r="O16" s="59"/>
      <c r="P16" s="495"/>
      <c r="Q16" s="937"/>
      <c r="R16" s="1917"/>
      <c r="S16" s="59"/>
      <c r="T16" s="66"/>
      <c r="U16" s="701"/>
      <c r="V16" s="767"/>
      <c r="W16" s="767"/>
      <c r="X16" s="882">
        <v>125000</v>
      </c>
      <c r="Y16" s="768"/>
      <c r="Z16" s="768"/>
      <c r="AA16" s="282"/>
      <c r="AB16" s="282"/>
      <c r="AC16" s="282"/>
    </row>
    <row r="17" spans="1:29">
      <c r="A17" s="588"/>
      <c r="B17" s="477"/>
      <c r="C17" s="126" t="s">
        <v>5</v>
      </c>
      <c r="D17" s="126"/>
      <c r="E17" s="59"/>
      <c r="F17" s="59"/>
      <c r="G17" s="59"/>
      <c r="H17" s="64"/>
      <c r="I17" s="59"/>
      <c r="J17" s="59"/>
      <c r="K17" s="124"/>
      <c r="L17" s="68"/>
      <c r="M17" s="68"/>
      <c r="N17" s="68"/>
      <c r="O17" s="68"/>
      <c r="P17" s="723"/>
      <c r="Q17" s="723" t="str">
        <f>IF(AND(File_Marr_Joint="",P11&lt;&gt;""),"Your filing status must be","")</f>
        <v/>
      </c>
      <c r="R17" s="6666"/>
      <c r="S17" s="6667"/>
      <c r="T17" s="6674"/>
      <c r="U17" s="757"/>
      <c r="V17" s="25"/>
      <c r="W17" s="543"/>
      <c r="X17" s="825">
        <v>208000</v>
      </c>
      <c r="Y17" s="282"/>
      <c r="Z17" s="282"/>
      <c r="AA17" s="282"/>
      <c r="AB17" s="282"/>
      <c r="AC17" s="282"/>
    </row>
    <row r="18" spans="1:29" ht="14.25" customHeight="1" thickBot="1">
      <c r="A18" s="588"/>
      <c r="B18" s="477">
        <v>2</v>
      </c>
      <c r="C18" s="23" t="s">
        <v>329</v>
      </c>
      <c r="D18" s="23"/>
      <c r="E18" s="59"/>
      <c r="F18" s="59"/>
      <c r="G18" s="59"/>
      <c r="H18" s="23"/>
      <c r="I18" s="23"/>
      <c r="J18" s="23"/>
      <c r="K18" s="64"/>
      <c r="L18" s="59"/>
      <c r="M18" s="59"/>
      <c r="N18" s="59"/>
      <c r="O18" s="59"/>
      <c r="P18" s="495" t="str">
        <f>IF(AND(File_Marr_Joint="",P11&lt;&gt;""),"Married Filing Jointly","")</f>
        <v/>
      </c>
      <c r="Q18" s="59"/>
      <c r="R18" s="59"/>
      <c r="S18" s="59"/>
      <c r="T18" s="66"/>
      <c r="U18" s="701"/>
      <c r="V18" s="25"/>
      <c r="W18" s="25"/>
      <c r="X18" s="825">
        <v>10000</v>
      </c>
      <c r="Y18" s="282"/>
      <c r="Z18" s="282"/>
      <c r="AA18" s="282"/>
      <c r="AB18" s="282"/>
      <c r="AC18" s="282"/>
    </row>
    <row r="19" spans="1:29">
      <c r="A19" s="588"/>
      <c r="B19" s="477"/>
      <c r="C19" s="883" t="s">
        <v>420</v>
      </c>
      <c r="D19" s="59" t="s">
        <v>330</v>
      </c>
      <c r="E19" s="59"/>
      <c r="F19" s="59"/>
      <c r="G19" s="59"/>
      <c r="H19" s="23"/>
      <c r="I19" s="23"/>
      <c r="J19" s="23"/>
      <c r="K19" s="64"/>
      <c r="L19" s="59"/>
      <c r="M19" s="59"/>
      <c r="N19" s="59"/>
      <c r="O19" s="59"/>
      <c r="P19" s="495" t="str">
        <f>IF(AND(File_Marr_Joint="",P11&lt;&gt;""),"to use the 'b' column.","")</f>
        <v/>
      </c>
      <c r="Q19" s="59"/>
      <c r="R19" s="59"/>
      <c r="S19" s="59"/>
      <c r="T19" s="66"/>
      <c r="U19" s="701"/>
      <c r="V19" s="88"/>
      <c r="W19" s="31"/>
      <c r="X19" s="31"/>
      <c r="Y19" s="293"/>
      <c r="Z19" s="282"/>
      <c r="AA19" s="884"/>
      <c r="AB19" s="282"/>
      <c r="AC19" s="282"/>
    </row>
    <row r="20" spans="1:29">
      <c r="A20" s="588"/>
      <c r="B20" s="477"/>
      <c r="C20" s="23"/>
      <c r="D20" s="357" t="str">
        <f>"from your spouse for all of "&amp;TaxYear&amp;", enter "&amp;TEXT(X15,"$0,000")</f>
        <v>from your spouse for all of 2021, enter $76,000</v>
      </c>
      <c r="E20" s="357"/>
      <c r="F20" s="357"/>
      <c r="G20" s="68"/>
      <c r="H20" s="23"/>
      <c r="I20" s="23"/>
      <c r="J20" s="23"/>
      <c r="K20" s="64"/>
      <c r="L20" s="59"/>
      <c r="M20" s="59"/>
      <c r="N20" s="59"/>
      <c r="O20" s="59"/>
      <c r="P20" s="495"/>
      <c r="Q20" s="59"/>
      <c r="R20" s="59"/>
      <c r="S20" s="59"/>
      <c r="T20" s="66"/>
      <c r="U20" s="701"/>
      <c r="V20" s="55"/>
      <c r="W20" s="3229"/>
      <c r="X20" s="742"/>
      <c r="Y20" s="294"/>
      <c r="Z20" s="282"/>
      <c r="AA20" s="884" t="str">
        <f>IF(File_Marr_Sep="","","Married persons filing separately.")</f>
        <v/>
      </c>
      <c r="AB20" s="282"/>
      <c r="AC20" s="282"/>
    </row>
    <row r="21" spans="1:29">
      <c r="A21" s="588"/>
      <c r="B21" s="477"/>
      <c r="C21" s="883" t="s">
        <v>420</v>
      </c>
      <c r="D21" s="23" t="str">
        <f>"Qualifying widow(er), enter "&amp;TEXT(X16,"$0,000")</f>
        <v>Qualifying widow(er), enter $125,000</v>
      </c>
      <c r="E21" s="23"/>
      <c r="F21" s="23"/>
      <c r="G21" s="68"/>
      <c r="H21" s="23"/>
      <c r="I21" s="23"/>
      <c r="J21" s="23"/>
      <c r="K21" s="64"/>
      <c r="L21" s="59"/>
      <c r="M21" s="59"/>
      <c r="N21" s="59"/>
      <c r="O21" s="59"/>
      <c r="P21" s="59"/>
      <c r="Q21" s="59"/>
      <c r="R21" s="59"/>
      <c r="S21" s="59"/>
      <c r="T21" s="66"/>
      <c r="U21" s="701"/>
      <c r="V21" s="55"/>
      <c r="W21" s="3229"/>
      <c r="X21" s="23"/>
      <c r="Y21" s="294"/>
      <c r="Z21" s="282"/>
      <c r="AA21" s="282" t="str">
        <f>IF(File_Marr_Sep="","","If you were not covered by a retirement plan but")</f>
        <v/>
      </c>
      <c r="AB21" s="282"/>
      <c r="AC21" s="282"/>
    </row>
    <row r="22" spans="1:29">
      <c r="A22" s="588"/>
      <c r="B22" s="477"/>
      <c r="C22" s="883" t="s">
        <v>420</v>
      </c>
      <c r="D22" s="126" t="str">
        <f>"Married filing jointly, enter "&amp;TEXT(X16,"$0,000")&amp;" in both columns. But if you checked"</f>
        <v>Married filing jointly, enter $125,000 in both columns. But if you checked</v>
      </c>
      <c r="E22" s="126"/>
      <c r="F22" s="126"/>
      <c r="G22" s="126"/>
      <c r="H22" s="23"/>
      <c r="I22" s="23"/>
      <c r="J22" s="23"/>
      <c r="K22" s="71" t="s">
        <v>341</v>
      </c>
      <c r="L22" s="6585" t="str">
        <f>IF(OR(NOT(Yourself),Q15,BadBirthdate_Yours,NumFileStatusBoxes=0),"",L23)</f>
        <v/>
      </c>
      <c r="M22" s="6673"/>
      <c r="N22" s="6673"/>
      <c r="O22" s="866"/>
      <c r="P22" s="69" t="s">
        <v>342</v>
      </c>
      <c r="Q22" s="6585" t="str">
        <f>IF(File_Marr_Joint="","",IF(Q15,"",IF(AND(File_Marr_Joint&lt;&gt;"",K10&lt;&gt;"",P11&lt;&gt;""),X16,IF(R17,"Age &gt; 70½    ",Q23))))</f>
        <v/>
      </c>
      <c r="R22" s="6673"/>
      <c r="S22" s="6673"/>
      <c r="T22" s="297"/>
      <c r="U22" s="758"/>
      <c r="V22" s="55"/>
      <c r="W22" s="3229"/>
      <c r="X22" s="742"/>
      <c r="Y22" s="294"/>
      <c r="Z22" s="282"/>
      <c r="AA22" s="282" t="str">
        <f>IF(File_Marr_Sep="","","your spouse was, you are considered covered")</f>
        <v/>
      </c>
      <c r="AB22" s="282"/>
      <c r="AC22" s="282"/>
    </row>
    <row r="23" spans="1:29">
      <c r="A23" s="588"/>
      <c r="B23" s="477"/>
      <c r="C23" s="23"/>
      <c r="D23" s="126" t="str">
        <f>"'No' on either line 1a or 1b, enter "&amp;TEXT(X17,"$0,000")&amp;" for the person who was not"</f>
        <v>'No' on either line 1a or 1b, enter $208,000 for the person who was not</v>
      </c>
      <c r="E23" s="126"/>
      <c r="F23" s="126"/>
      <c r="G23" s="126"/>
      <c r="H23" s="23"/>
      <c r="I23" s="23"/>
      <c r="J23" s="23"/>
      <c r="K23" s="64"/>
      <c r="L23" s="6668" t="str">
        <f>IF(W13="No","",IF(OR(File_Single&lt;&gt;"",File_Head&lt;&gt;"",AND(File_Marr_Sep&lt;&gt;"",LivedApart)),X15,IF(File_Qual_Widow&lt;&gt;"",X16,IF(AND(File_Marr_Joint&lt;&gt;"",K10&lt;&gt;""),X16,IF(AND(File_Marr_Joint&lt;&gt;"",K10=""),X17,IF(AND(File_Marr_Sep&lt;&gt;"",NOT(LivedApart)),X18,0))))))</f>
        <v/>
      </c>
      <c r="M23" s="6668"/>
      <c r="N23" s="6668"/>
      <c r="O23" s="59"/>
      <c r="P23" s="59"/>
      <c r="Q23" s="6669" t="str">
        <f>IF(OR(File_Marr_Joint="",W13="No"),"",IF(P11&lt;&gt;"",X16,IF(P11="",X17,0)))</f>
        <v/>
      </c>
      <c r="R23" s="6670"/>
      <c r="S23" s="6670"/>
      <c r="T23" s="66"/>
      <c r="U23" s="701"/>
      <c r="V23" s="55"/>
      <c r="W23" s="3229"/>
      <c r="X23" s="23"/>
      <c r="Y23" s="294"/>
      <c r="Z23" s="282"/>
      <c r="AA23" s="282" t="str">
        <f>IF(File_Marr_Sep="","","by a plan unless you lived apart from")</f>
        <v/>
      </c>
      <c r="AB23" s="282"/>
      <c r="AC23" s="282"/>
    </row>
    <row r="24" spans="1:29">
      <c r="A24" s="588"/>
      <c r="B24" s="477"/>
      <c r="C24" s="23"/>
      <c r="D24" s="59" t="s">
        <v>331</v>
      </c>
      <c r="E24" s="59"/>
      <c r="F24" s="59"/>
      <c r="G24" s="59"/>
      <c r="H24" s="23"/>
      <c r="I24" s="23"/>
      <c r="J24" s="23"/>
      <c r="K24" s="64"/>
      <c r="L24" s="59"/>
      <c r="M24" s="59"/>
      <c r="N24" s="59"/>
      <c r="O24" s="59"/>
      <c r="P24" s="59"/>
      <c r="Q24" s="59"/>
      <c r="R24" s="59"/>
      <c r="S24" s="59"/>
      <c r="T24" s="66"/>
      <c r="U24" s="701"/>
      <c r="V24" s="55"/>
      <c r="W24" s="24"/>
      <c r="X24" s="24"/>
      <c r="Y24" s="282"/>
      <c r="Z24" s="282"/>
      <c r="AA24" s="282"/>
      <c r="AB24" s="282"/>
      <c r="AC24" s="282"/>
    </row>
    <row r="25" spans="1:29">
      <c r="A25" s="588"/>
      <c r="B25" s="477"/>
      <c r="C25" s="883" t="s">
        <v>420</v>
      </c>
      <c r="D25" s="126" t="str">
        <f>"Married filing separately and you lived with your spouse at any time in "&amp;TaxYear&amp;","</f>
        <v>Married filing separately and you lived with your spouse at any time in 2021,</v>
      </c>
      <c r="E25" s="126"/>
      <c r="F25" s="126"/>
      <c r="G25" s="126"/>
      <c r="H25" s="23"/>
      <c r="I25" s="23"/>
      <c r="J25" s="23"/>
      <c r="K25" s="64"/>
      <c r="L25" s="59"/>
      <c r="M25" s="59"/>
      <c r="N25" s="59"/>
      <c r="O25" s="59"/>
      <c r="P25" s="59"/>
      <c r="Q25" s="59"/>
      <c r="R25" s="59"/>
      <c r="S25" s="59"/>
      <c r="T25" s="66"/>
      <c r="U25" s="701"/>
      <c r="V25" s="55"/>
      <c r="W25" s="6664"/>
      <c r="X25" s="6665"/>
      <c r="Y25" s="6665"/>
      <c r="Z25" s="872"/>
      <c r="AA25" s="282"/>
      <c r="AB25" s="282"/>
      <c r="AC25" s="282"/>
    </row>
    <row r="26" spans="1:29" ht="13.5" thickBot="1">
      <c r="A26" s="588"/>
      <c r="B26" s="477"/>
      <c r="C26" s="23"/>
      <c r="D26" s="126" t="str">
        <f>"enter "&amp;TEXT(X18,"$0,000")&amp;"."</f>
        <v>enter $10,000.</v>
      </c>
      <c r="E26" s="126"/>
      <c r="F26" s="126"/>
      <c r="G26" s="886" t="str">
        <f>IF(File_Marr_Sep="","",IF(AND(K10="",W22&lt;&gt;"",R11&lt;&gt;"X",NOT(LivedApart)),"See NOTE in Column AA and check box 1a 'Yes' if spouse was covered by a retirement plan or check box 1b 'No'.",""))</f>
        <v/>
      </c>
      <c r="H26" s="23"/>
      <c r="I26" s="23"/>
      <c r="J26" s="23"/>
      <c r="K26" s="64"/>
      <c r="L26" s="6675"/>
      <c r="M26" s="6675"/>
      <c r="N26" s="6675"/>
      <c r="O26" s="59"/>
      <c r="P26" s="59"/>
      <c r="Q26" s="59"/>
      <c r="R26" s="59"/>
      <c r="S26" s="59"/>
      <c r="T26" s="66"/>
      <c r="U26" s="701"/>
      <c r="V26" s="89"/>
      <c r="W26" s="24" t="s">
        <v>90</v>
      </c>
      <c r="X26" s="282"/>
      <c r="Y26" s="282"/>
      <c r="Z26" s="282"/>
      <c r="AA26" s="282"/>
      <c r="AB26" s="282"/>
      <c r="AC26" s="282"/>
    </row>
    <row r="27" spans="1:29">
      <c r="A27" s="588"/>
      <c r="B27" s="477">
        <v>3</v>
      </c>
      <c r="C27" s="70" t="s">
        <v>4338</v>
      </c>
      <c r="D27" s="23"/>
      <c r="E27" s="23"/>
      <c r="F27" s="23"/>
      <c r="G27" s="23"/>
      <c r="H27" s="127">
        <v>3</v>
      </c>
      <c r="I27" s="6677"/>
      <c r="J27" s="6677"/>
      <c r="K27" s="64"/>
      <c r="L27" s="408" t="str">
        <f>IF(OR(I27&lt;&gt;"",AND(K10="",P11=""),Q15),"",IF(Total_Income&gt;=1000,"Manually enter "&amp;TEXT(Total_Income,"$0,000")&amp;" on this line.","Manually enter "&amp;TEXT(Total_Income,"$0")&amp;" on this line."))</f>
        <v/>
      </c>
      <c r="M27" s="239"/>
      <c r="N27" s="239"/>
      <c r="O27" s="239"/>
      <c r="P27" s="59"/>
      <c r="Q27" s="59"/>
      <c r="R27" s="59"/>
      <c r="S27" s="59"/>
      <c r="T27" s="66"/>
      <c r="U27" s="701"/>
      <c r="V27" s="23"/>
      <c r="W27" s="6664" t="s">
        <v>91</v>
      </c>
      <c r="X27" s="6665"/>
      <c r="Y27" s="6665"/>
      <c r="Z27" s="282"/>
      <c r="AA27" s="282"/>
      <c r="AB27" s="282"/>
      <c r="AC27" s="282"/>
    </row>
    <row r="28" spans="1:29">
      <c r="A28" s="588"/>
      <c r="B28" s="477">
        <v>4</v>
      </c>
      <c r="C28" s="70" t="s">
        <v>5390</v>
      </c>
      <c r="D28" s="268"/>
      <c r="E28" s="498"/>
      <c r="F28" s="498"/>
      <c r="G28" s="23"/>
      <c r="H28" s="64"/>
      <c r="I28" s="23"/>
      <c r="J28" s="23"/>
      <c r="K28" s="64"/>
      <c r="L28" s="59"/>
      <c r="M28" s="59"/>
      <c r="N28" s="59"/>
      <c r="O28" s="59"/>
      <c r="P28" s="59"/>
      <c r="Q28" s="59"/>
      <c r="R28" s="59"/>
      <c r="S28" s="59"/>
      <c r="T28" s="66"/>
      <c r="U28" s="701"/>
      <c r="V28" s="23"/>
      <c r="W28" s="78"/>
      <c r="X28" s="676"/>
      <c r="Y28" s="588"/>
      <c r="Z28" s="588"/>
      <c r="AA28" s="588"/>
      <c r="AB28" s="588"/>
      <c r="AC28" s="282"/>
    </row>
    <row r="29" spans="1:29">
      <c r="A29" s="588"/>
      <c r="B29" s="477"/>
      <c r="C29" s="70" t="s">
        <v>5389</v>
      </c>
      <c r="D29" s="268"/>
      <c r="E29" s="498"/>
      <c r="F29" s="498"/>
      <c r="G29" s="2725"/>
      <c r="H29" s="127">
        <v>4</v>
      </c>
      <c r="I29" s="6676" t="str">
        <f>IF(X29&lt;&gt;"",X29,IF(AND(K10="",P11=""),"",SUM('Sch. 1'!AC47,'Sch. 1'!AC49,'Sch. 1'!AC50,'Sch. 1'!AC51,'Sch. 1'!AC52,'Sch. 1'!AC53,'Sch. 1'!AC54,'Sch. 1'!AC55,'Sch. 1'!AC56,'Sch. 1'!AC62,'Sch. 1'!AC84)))</f>
        <v/>
      </c>
      <c r="J29" s="6685"/>
      <c r="K29" s="64"/>
      <c r="L29" s="59"/>
      <c r="M29" s="59"/>
      <c r="N29" s="59"/>
      <c r="O29" s="59"/>
      <c r="P29" s="59"/>
      <c r="Q29" s="59"/>
      <c r="R29" s="59"/>
      <c r="S29" s="59"/>
      <c r="T29" s="66"/>
      <c r="U29" s="701"/>
      <c r="V29" s="23"/>
      <c r="W29" s="77">
        <v>4</v>
      </c>
      <c r="X29" s="3696"/>
      <c r="Y29" s="588"/>
      <c r="Z29" s="588"/>
      <c r="AA29" s="588"/>
      <c r="AB29" s="588"/>
      <c r="AC29" s="282"/>
    </row>
    <row r="30" spans="1:29" ht="15.75" customHeight="1">
      <c r="A30" s="588"/>
      <c r="B30" s="477">
        <v>5</v>
      </c>
      <c r="C30" s="70" t="s">
        <v>647</v>
      </c>
      <c r="D30" s="23"/>
      <c r="E30" s="23"/>
      <c r="F30" s="23"/>
      <c r="G30" s="23"/>
      <c r="H30" s="64"/>
      <c r="I30" s="23"/>
      <c r="J30" s="39" t="s">
        <v>648</v>
      </c>
      <c r="K30" s="71" t="s">
        <v>369</v>
      </c>
      <c r="L30" s="6585" t="str">
        <f>IF(X30&lt;&gt;"",ROUND(X30,0),IF(OR(NOT(Yourself),Q15,W13="No",I27=""),"",SUM(I27,-I29)))</f>
        <v/>
      </c>
      <c r="M30" s="6673"/>
      <c r="N30" s="6673"/>
      <c r="O30" s="866"/>
      <c r="P30" s="69" t="s">
        <v>370</v>
      </c>
      <c r="Q30" s="6585" t="str">
        <f>IF(AA30&lt;&gt;"",ROUND(AA30,0),IF(OR(Q15,File_Marr_Joint="",R17,W13="No",I27=""),"",(I27-I29)))</f>
        <v/>
      </c>
      <c r="R30" s="6673"/>
      <c r="S30" s="6673"/>
      <c r="T30" s="297"/>
      <c r="U30" s="758"/>
      <c r="V30" s="23"/>
      <c r="W30" s="77" t="s">
        <v>369</v>
      </c>
      <c r="X30" s="3696"/>
      <c r="Y30" s="77" t="s">
        <v>370</v>
      </c>
      <c r="Z30" s="80"/>
      <c r="AA30" s="3696"/>
      <c r="AB30" s="588"/>
      <c r="AC30" s="282"/>
    </row>
    <row r="31" spans="1:29" ht="15.75" customHeight="1">
      <c r="A31" s="588"/>
      <c r="B31" s="477">
        <v>6</v>
      </c>
      <c r="C31" s="23" t="s">
        <v>302</v>
      </c>
      <c r="D31" s="23"/>
      <c r="E31" s="23"/>
      <c r="F31" s="23"/>
      <c r="G31" s="23"/>
      <c r="H31" s="23"/>
      <c r="I31" s="23"/>
      <c r="J31" s="23"/>
      <c r="K31" s="64"/>
      <c r="L31" s="59"/>
      <c r="M31" s="59"/>
      <c r="N31" s="59"/>
      <c r="O31" s="59"/>
      <c r="P31" s="59"/>
      <c r="Q31" s="59"/>
      <c r="R31" s="59"/>
      <c r="S31" s="59"/>
      <c r="T31" s="66"/>
      <c r="U31" s="701"/>
      <c r="V31" s="23"/>
      <c r="W31" s="78"/>
      <c r="X31" s="676"/>
      <c r="Y31" s="78"/>
      <c r="Z31" s="78"/>
      <c r="AA31" s="676"/>
      <c r="AB31" s="588"/>
      <c r="AC31" s="282"/>
    </row>
    <row r="32" spans="1:29" ht="6" customHeight="1" thickBot="1">
      <c r="A32" s="588"/>
      <c r="B32" s="477"/>
      <c r="C32" s="23"/>
      <c r="D32" s="23"/>
      <c r="E32" s="23"/>
      <c r="F32" s="23"/>
      <c r="G32" s="23"/>
      <c r="H32" s="23"/>
      <c r="I32" s="23"/>
      <c r="J32" s="23"/>
      <c r="K32" s="64"/>
      <c r="L32" s="59"/>
      <c r="M32" s="59"/>
      <c r="N32" s="59"/>
      <c r="O32" s="59"/>
      <c r="P32" s="59"/>
      <c r="Q32" s="59"/>
      <c r="R32" s="59"/>
      <c r="S32" s="59"/>
      <c r="T32" s="66"/>
      <c r="U32" s="701"/>
      <c r="V32" s="23"/>
      <c r="W32" s="23"/>
      <c r="X32" s="498"/>
      <c r="Y32" s="282"/>
      <c r="Z32" s="282"/>
      <c r="AA32" s="282"/>
      <c r="AB32" s="282"/>
      <c r="AC32" s="282"/>
    </row>
    <row r="33" spans="1:40" ht="12.75" customHeight="1" thickBot="1">
      <c r="A33" s="588"/>
      <c r="B33" s="477"/>
      <c r="C33" s="117" t="str">
        <f>IF(W13="No","",IF(OR(LEFT(L33,2)="No",LEFT(Q33,2)="No"),"X",""))</f>
        <v/>
      </c>
      <c r="D33" s="40"/>
      <c r="E33" s="38" t="s">
        <v>546</v>
      </c>
      <c r="F33" s="24"/>
      <c r="G33" s="23" t="s">
        <v>547</v>
      </c>
      <c r="H33" s="23"/>
      <c r="I33" s="64"/>
      <c r="J33" s="64"/>
      <c r="K33" s="59"/>
      <c r="L33" s="2117" t="str">
        <f>IF(OR(I27="",AND(K10="",P11="")),"",IF(L30&lt;L22,"Yes","No.  Stop."))</f>
        <v/>
      </c>
      <c r="M33" s="497"/>
      <c r="N33" s="497"/>
      <c r="O33" s="497"/>
      <c r="P33" s="498"/>
      <c r="Q33" s="2117" t="str">
        <f>IF(OR(I27="",File_Marr_Joint="",W13="No"),"",IF(Q30&lt;Q22,"Yes","No.  Stop."))</f>
        <v/>
      </c>
      <c r="R33" s="497"/>
      <c r="S33" s="497"/>
      <c r="T33" s="308"/>
      <c r="U33" s="328"/>
      <c r="V33" s="23"/>
      <c r="W33" s="23"/>
      <c r="X33" s="498"/>
      <c r="Y33" s="282"/>
      <c r="Z33" s="282"/>
      <c r="AA33" s="282"/>
      <c r="AB33" s="282"/>
      <c r="AC33" s="282"/>
    </row>
    <row r="34" spans="1:40" ht="12" customHeight="1">
      <c r="A34" s="588"/>
      <c r="B34" s="477"/>
      <c r="C34" s="40"/>
      <c r="D34" s="40"/>
      <c r="E34" s="24"/>
      <c r="F34" s="24"/>
      <c r="G34" s="23" t="s">
        <v>413</v>
      </c>
      <c r="H34" s="23"/>
      <c r="I34" s="64"/>
      <c r="J34" s="64"/>
      <c r="K34" s="59"/>
      <c r="L34" s="498"/>
      <c r="M34" s="498"/>
      <c r="N34" s="498"/>
      <c r="O34" s="498"/>
      <c r="P34" s="498"/>
      <c r="Q34" s="1145"/>
      <c r="R34" s="496"/>
      <c r="S34" s="496"/>
      <c r="T34" s="66"/>
      <c r="U34" s="701"/>
      <c r="V34" s="23"/>
      <c r="W34" s="23"/>
      <c r="X34" s="498"/>
      <c r="Y34" s="282"/>
      <c r="Z34" s="282"/>
      <c r="AA34" s="282"/>
      <c r="AB34" s="282"/>
      <c r="AC34" s="282"/>
    </row>
    <row r="35" spans="1:40" ht="6" customHeight="1" thickBot="1">
      <c r="A35" s="588"/>
      <c r="B35" s="477"/>
      <c r="C35" s="40"/>
      <c r="D35" s="40"/>
      <c r="E35" s="24"/>
      <c r="F35" s="24"/>
      <c r="G35" s="23"/>
      <c r="H35" s="23"/>
      <c r="I35" s="64"/>
      <c r="J35" s="64"/>
      <c r="K35" s="59"/>
      <c r="L35" s="498"/>
      <c r="M35" s="498"/>
      <c r="N35" s="498"/>
      <c r="O35" s="498"/>
      <c r="P35" s="498"/>
      <c r="Q35" s="1145"/>
      <c r="R35" s="496"/>
      <c r="S35" s="496"/>
      <c r="T35" s="66"/>
      <c r="U35" s="701"/>
      <c r="V35" s="23"/>
      <c r="W35" s="23"/>
      <c r="X35" s="498"/>
      <c r="Y35" s="282"/>
      <c r="Z35" s="282"/>
      <c r="AA35" s="282"/>
      <c r="AB35" s="282"/>
      <c r="AC35" s="282"/>
    </row>
    <row r="36" spans="1:40" ht="12.75" customHeight="1" thickBot="1">
      <c r="A36" s="588"/>
      <c r="B36" s="477"/>
      <c r="C36" s="117" t="str">
        <f>IF(W13="No","",IF(OR(LEFT(L33,3)="Yes",LEFT(Q33,3)="Yes"),"X",""))</f>
        <v/>
      </c>
      <c r="D36" s="40"/>
      <c r="E36" s="24" t="s">
        <v>416</v>
      </c>
      <c r="F36" s="24"/>
      <c r="G36" s="23" t="s">
        <v>7</v>
      </c>
      <c r="H36" s="38"/>
      <c r="I36" s="64"/>
      <c r="J36" s="64"/>
      <c r="K36" s="59"/>
      <c r="L36" s="498"/>
      <c r="M36" s="498"/>
      <c r="N36" s="498"/>
      <c r="O36" s="498"/>
      <c r="P36" s="498"/>
      <c r="Q36" s="496"/>
      <c r="R36" s="496"/>
      <c r="S36" s="496"/>
      <c r="T36" s="66"/>
      <c r="U36" s="701"/>
      <c r="V36" s="23"/>
      <c r="W36" s="23"/>
      <c r="X36" s="14"/>
      <c r="Y36" s="282"/>
      <c r="Z36" s="282"/>
      <c r="AA36" s="282"/>
      <c r="AB36" s="282"/>
      <c r="AC36" s="282"/>
    </row>
    <row r="37" spans="1:40" ht="10.5" customHeight="1">
      <c r="A37" s="588"/>
      <c r="B37" s="477"/>
      <c r="C37" s="24"/>
      <c r="D37" s="24"/>
      <c r="E37" s="38"/>
      <c r="F37" s="38"/>
      <c r="G37" s="410" t="s">
        <v>6</v>
      </c>
      <c r="H37" s="23"/>
      <c r="I37" s="64"/>
      <c r="J37" s="64"/>
      <c r="K37" s="59"/>
      <c r="L37" s="498"/>
      <c r="M37" s="498"/>
      <c r="N37" s="498"/>
      <c r="O37" s="498"/>
      <c r="P37" s="498"/>
      <c r="Q37" s="496"/>
      <c r="R37" s="496"/>
      <c r="S37" s="496"/>
      <c r="T37" s="66"/>
      <c r="U37" s="701"/>
      <c r="V37" s="23"/>
      <c r="W37" s="23"/>
      <c r="X37" s="14"/>
      <c r="Y37" s="282"/>
      <c r="Z37" s="282"/>
      <c r="AA37" s="282"/>
      <c r="AB37" s="282"/>
      <c r="AC37" s="282"/>
    </row>
    <row r="38" spans="1:40" ht="12" customHeight="1">
      <c r="A38" s="588"/>
      <c r="B38" s="477"/>
      <c r="C38" s="24"/>
      <c r="D38" s="883" t="s">
        <v>420</v>
      </c>
      <c r="E38" s="268" t="s">
        <v>8</v>
      </c>
      <c r="F38" s="268"/>
      <c r="G38" s="23"/>
      <c r="H38" s="23"/>
      <c r="I38" s="64"/>
      <c r="J38" s="64"/>
      <c r="K38" s="59"/>
      <c r="L38" s="498"/>
      <c r="M38" s="496"/>
      <c r="N38" s="498"/>
      <c r="O38" s="498"/>
      <c r="P38" s="498"/>
      <c r="Q38" s="496"/>
      <c r="R38" s="496"/>
      <c r="S38" s="496"/>
      <c r="T38" s="66"/>
      <c r="U38" s="701"/>
      <c r="V38" s="23"/>
      <c r="W38" s="23"/>
      <c r="X38" s="14"/>
      <c r="Y38" s="282"/>
      <c r="Z38" s="282"/>
      <c r="AA38" s="282"/>
      <c r="AB38" s="282"/>
      <c r="AC38" s="282"/>
    </row>
    <row r="39" spans="1:40" ht="12" customHeight="1">
      <c r="A39" s="588"/>
      <c r="B39" s="477"/>
      <c r="C39" s="24"/>
      <c r="D39" s="24"/>
      <c r="E39" s="268" t="str">
        <f>"result is "&amp;TEXT(X18,"$0,000")&amp;" or more, enter the applicable amount below on"</f>
        <v>result is $10,000 or more, enter the applicable amount below on</v>
      </c>
      <c r="F39" s="268"/>
      <c r="G39" s="23"/>
      <c r="H39" s="23"/>
      <c r="I39" s="64"/>
      <c r="J39" s="64"/>
      <c r="K39" s="59"/>
      <c r="L39" s="498"/>
      <c r="M39" s="498"/>
      <c r="N39" s="498"/>
      <c r="O39" s="498"/>
      <c r="P39" s="498"/>
      <c r="Q39" s="496"/>
      <c r="R39" s="496"/>
      <c r="S39" s="496"/>
      <c r="T39" s="66"/>
      <c r="U39" s="701"/>
      <c r="V39" s="23"/>
      <c r="W39" s="23"/>
      <c r="X39" s="14"/>
      <c r="Y39" s="282"/>
      <c r="Z39" s="282"/>
      <c r="AA39" s="282"/>
      <c r="AB39" s="282"/>
      <c r="AC39" s="282"/>
    </row>
    <row r="40" spans="1:40" ht="12" customHeight="1">
      <c r="A40" s="588"/>
      <c r="B40" s="477"/>
      <c r="C40" s="24"/>
      <c r="D40" s="24"/>
      <c r="E40" s="268" t="s">
        <v>9</v>
      </c>
      <c r="F40" s="268"/>
      <c r="G40" s="23"/>
      <c r="H40" s="23"/>
      <c r="I40" s="64"/>
      <c r="J40" s="64"/>
      <c r="K40" s="59"/>
      <c r="L40" s="498"/>
      <c r="M40" s="498"/>
      <c r="N40" s="498"/>
      <c r="O40" s="498"/>
      <c r="P40" s="498"/>
      <c r="Q40" s="496"/>
      <c r="R40" s="496"/>
      <c r="S40" s="496"/>
      <c r="T40" s="66"/>
      <c r="U40" s="701"/>
      <c r="V40" s="23"/>
      <c r="W40" s="23"/>
      <c r="X40" s="14"/>
      <c r="Y40" s="282"/>
      <c r="Z40" s="282"/>
      <c r="AA40" s="282"/>
      <c r="AB40" s="282"/>
      <c r="AC40" s="282"/>
    </row>
    <row r="41" spans="1:40" ht="12" customHeight="1">
      <c r="A41" s="588"/>
      <c r="B41" s="477"/>
      <c r="C41" s="24"/>
      <c r="D41" s="24"/>
      <c r="E41" s="268"/>
      <c r="F41" s="268"/>
      <c r="G41" s="23" t="str">
        <f>"i. "&amp;TEXT($X$9,"$0,000")&amp;", if under age 50 at the end of "&amp;TaxYear&amp;"."</f>
        <v>i. $6,000, if under age 50 at the end of 2021.</v>
      </c>
      <c r="H41" s="23"/>
      <c r="I41" s="64"/>
      <c r="J41" s="64"/>
      <c r="K41" s="59"/>
      <c r="L41" s="498"/>
      <c r="M41" s="498"/>
      <c r="N41" s="498"/>
      <c r="O41" s="498"/>
      <c r="P41" s="498"/>
      <c r="Q41" s="496"/>
      <c r="R41" s="496"/>
      <c r="S41" s="496"/>
      <c r="T41" s="66"/>
      <c r="U41" s="701"/>
      <c r="V41" s="23"/>
      <c r="W41" s="24" t="s">
        <v>90</v>
      </c>
      <c r="X41" s="24"/>
      <c r="Y41" s="282"/>
      <c r="Z41" s="282"/>
      <c r="AA41" s="282"/>
      <c r="AB41" s="282"/>
      <c r="AC41" s="282"/>
    </row>
    <row r="42" spans="1:40" s="237" customFormat="1" ht="12" customHeight="1">
      <c r="A42" s="238"/>
      <c r="B42" s="885"/>
      <c r="C42" s="24"/>
      <c r="D42" s="268"/>
      <c r="E42" s="268"/>
      <c r="F42" s="268"/>
      <c r="G42" s="268" t="str">
        <f>"ii. "&amp;TEXT($X$11,"$0,000")&amp;", if age 50 or older at the"</f>
        <v>ii. $7,000, if age 50 or older at the</v>
      </c>
      <c r="H42" s="268"/>
      <c r="I42" s="300"/>
      <c r="J42" s="300"/>
      <c r="K42" s="357"/>
      <c r="L42" s="498"/>
      <c r="M42" s="498"/>
      <c r="N42" s="498"/>
      <c r="O42" s="498"/>
      <c r="P42" s="498"/>
      <c r="Q42" s="496"/>
      <c r="R42" s="496"/>
      <c r="S42" s="496"/>
      <c r="T42" s="116"/>
      <c r="U42" s="700"/>
      <c r="V42" s="268"/>
      <c r="W42" s="6664" t="s">
        <v>91</v>
      </c>
      <c r="X42" s="6665"/>
      <c r="Y42" s="6665"/>
      <c r="Z42" s="320"/>
      <c r="AA42" s="320"/>
      <c r="AB42" s="320"/>
      <c r="AC42" s="320"/>
      <c r="AD42" s="2603"/>
      <c r="AE42" s="2603"/>
      <c r="AF42" s="2603"/>
      <c r="AG42" s="2603"/>
      <c r="AH42" s="2603"/>
      <c r="AI42" s="2603"/>
      <c r="AJ42" s="2603"/>
      <c r="AK42" s="2603"/>
      <c r="AL42" s="2603"/>
      <c r="AM42" s="2603"/>
      <c r="AN42" s="2603"/>
    </row>
    <row r="43" spans="1:40" s="237" customFormat="1" ht="12" customHeight="1">
      <c r="A43" s="238"/>
      <c r="B43" s="885"/>
      <c r="C43" s="24"/>
      <c r="D43" s="268"/>
      <c r="E43" s="268"/>
      <c r="F43" s="268"/>
      <c r="G43" s="268" t="str">
        <f>"   end of "&amp;TaxYear&amp;"."</f>
        <v xml:space="preserve">   end of 2021.</v>
      </c>
      <c r="H43" s="268"/>
      <c r="I43" s="300"/>
      <c r="J43" s="300"/>
      <c r="K43" s="357"/>
      <c r="L43" s="498"/>
      <c r="M43" s="498"/>
      <c r="N43" s="498"/>
      <c r="O43" s="498"/>
      <c r="P43" s="498"/>
      <c r="Q43" s="496"/>
      <c r="R43" s="496"/>
      <c r="S43" s="496"/>
      <c r="T43" s="116"/>
      <c r="U43" s="700"/>
      <c r="V43" s="268"/>
      <c r="W43" s="78"/>
      <c r="X43" s="676"/>
      <c r="Y43" s="78"/>
      <c r="Z43" s="78"/>
      <c r="AA43" s="676"/>
      <c r="AB43" s="588"/>
      <c r="AC43" s="320"/>
      <c r="AD43" s="2603"/>
      <c r="AE43" s="2603"/>
      <c r="AF43" s="2603"/>
      <c r="AG43" s="2603"/>
      <c r="AH43" s="2603"/>
      <c r="AI43" s="2603"/>
      <c r="AJ43" s="2603"/>
      <c r="AK43" s="2603"/>
      <c r="AL43" s="2603"/>
      <c r="AM43" s="2603"/>
      <c r="AN43" s="2603"/>
    </row>
    <row r="44" spans="1:40" ht="12" customHeight="1">
      <c r="A44" s="588"/>
      <c r="B44" s="477"/>
      <c r="C44" s="24"/>
      <c r="D44" s="40"/>
      <c r="E44" s="70" t="str">
        <f>"If the result is less than "&amp;TEXT(X18,"$0,000")&amp;", go to line 7."</f>
        <v>If the result is less than $10,000, go to line 7.</v>
      </c>
      <c r="F44" s="268"/>
      <c r="G44" s="23"/>
      <c r="H44" s="23"/>
      <c r="I44" s="64"/>
      <c r="J44" s="64"/>
      <c r="K44" s="71" t="s">
        <v>238</v>
      </c>
      <c r="L44" s="6585" t="str">
        <f>IF(X44&lt;&gt;"",ROUND(X44,0),IF(OR(BadBirthdate_Yours,L22="",$W$13="No",I27=""),"",IF(LEFT(L33,2)="No","",L22-L30)))</f>
        <v/>
      </c>
      <c r="M44" s="6673"/>
      <c r="N44" s="6673"/>
      <c r="O44" s="866"/>
      <c r="P44" s="71" t="s">
        <v>409</v>
      </c>
      <c r="Q44" s="6585" t="str">
        <f>IF(AA44&lt;&gt;"",ROUND(AA44,0),IF(OR(Q15,R17,File_Marr_Joint="",I27=""),"",IF(OR(AND(File_Marr_Sep&lt;&gt;"",LivedApart),Q22="",$W$13="No"),"",IF(LEFT(Q33,2)="No","",Q22-Q30))))</f>
        <v/>
      </c>
      <c r="R44" s="6673"/>
      <c r="S44" s="6673"/>
      <c r="T44" s="469"/>
      <c r="U44" s="746"/>
      <c r="V44" s="23"/>
      <c r="W44" s="77" t="s">
        <v>430</v>
      </c>
      <c r="X44" s="3697"/>
      <c r="Y44" s="77" t="s">
        <v>940</v>
      </c>
      <c r="Z44" s="80"/>
      <c r="AA44" s="3697"/>
      <c r="AB44" s="588"/>
      <c r="AC44" s="282"/>
    </row>
    <row r="45" spans="1:40" ht="12" customHeight="1">
      <c r="A45" s="588"/>
      <c r="B45" s="477"/>
      <c r="C45" s="24"/>
      <c r="D45" s="883" t="s">
        <v>420</v>
      </c>
      <c r="E45" s="268" t="s">
        <v>454</v>
      </c>
      <c r="F45" s="268"/>
      <c r="G45" s="23"/>
      <c r="H45" s="23"/>
      <c r="I45" s="64"/>
      <c r="J45" s="64"/>
      <c r="K45" s="59"/>
      <c r="L45" s="6671"/>
      <c r="M45" s="6672"/>
      <c r="N45" s="6672"/>
      <c r="O45" s="498"/>
      <c r="P45" s="498"/>
      <c r="Q45" s="6682" t="str">
        <f>IF(OR(File_Marr_Joint="",W13="No"),"",IF(OR(LivedApart,AND(File_Marr_Joint="",File_Marr_Sep="")),"",IF(LEFT(Q33,2)="No","",Q22-Q30)))</f>
        <v/>
      </c>
      <c r="R45" s="6682"/>
      <c r="S45" s="6682"/>
      <c r="T45" s="66"/>
      <c r="U45" s="701"/>
      <c r="V45" s="23"/>
      <c r="W45" s="78"/>
      <c r="X45" s="676"/>
      <c r="Y45" s="78"/>
      <c r="Z45" s="78"/>
      <c r="AA45" s="676"/>
      <c r="AB45" s="588"/>
      <c r="AC45" s="282"/>
    </row>
    <row r="46" spans="1:40" ht="12" customHeight="1">
      <c r="A46" s="588"/>
      <c r="B46" s="477"/>
      <c r="C46" s="24"/>
      <c r="D46" s="24"/>
      <c r="E46" s="268" t="str">
        <f>TEXT(2*X18,"$0,000")&amp;" or more ("&amp;TEXT(X18,"$0,000")&amp;" or more in the column for the IRA of"</f>
        <v>$20,000 or more ($10,000 or more in the column for the IRA of</v>
      </c>
      <c r="F46" s="268"/>
      <c r="G46" s="23"/>
      <c r="H46" s="23"/>
      <c r="I46" s="64"/>
      <c r="J46" s="64"/>
      <c r="K46" s="59"/>
      <c r="L46" s="6682">
        <f>IF(K10&lt;&gt;"",2*$X$18,$X$18)</f>
        <v>10000</v>
      </c>
      <c r="M46" s="6682"/>
      <c r="N46" s="6682"/>
      <c r="O46" s="498"/>
      <c r="P46" s="498"/>
      <c r="Q46" s="6682">
        <f>IF(P11&lt;&gt;"",2*$X$18,$X$18)</f>
        <v>10000</v>
      </c>
      <c r="R46" s="6682"/>
      <c r="S46" s="6682"/>
      <c r="T46" s="66"/>
      <c r="U46" s="701"/>
      <c r="V46" s="23"/>
      <c r="W46" s="23"/>
      <c r="X46" s="14"/>
      <c r="Y46" s="282"/>
      <c r="Z46" s="282"/>
      <c r="AA46" s="282"/>
      <c r="AB46" s="282"/>
      <c r="AC46" s="282"/>
    </row>
    <row r="47" spans="1:40" ht="12" customHeight="1">
      <c r="A47" s="588"/>
      <c r="B47" s="477"/>
      <c r="C47" s="24"/>
      <c r="D47" s="24"/>
      <c r="E47" s="268" t="s">
        <v>455</v>
      </c>
      <c r="F47" s="268"/>
      <c r="G47" s="23"/>
      <c r="H47" s="23"/>
      <c r="I47" s="64"/>
      <c r="J47" s="64"/>
      <c r="K47" s="59"/>
      <c r="L47" s="498"/>
      <c r="M47" s="498"/>
      <c r="N47" s="498"/>
      <c r="O47" s="498"/>
      <c r="P47" s="498"/>
      <c r="Q47" s="6682"/>
      <c r="R47" s="6682"/>
      <c r="S47" s="6682"/>
      <c r="T47" s="66"/>
      <c r="U47" s="701"/>
      <c r="V47" s="23"/>
      <c r="W47" s="23"/>
      <c r="X47" s="14"/>
      <c r="Y47" s="282"/>
      <c r="Z47" s="282"/>
      <c r="AA47" s="282"/>
      <c r="AB47" s="282"/>
      <c r="AC47" s="282"/>
    </row>
    <row r="48" spans="1:40" ht="12" customHeight="1">
      <c r="A48" s="588"/>
      <c r="B48" s="477"/>
      <c r="C48" s="24"/>
      <c r="D48" s="24"/>
      <c r="E48" s="70" t="s">
        <v>3428</v>
      </c>
      <c r="F48" s="268"/>
      <c r="G48" s="23"/>
      <c r="H48" s="23"/>
      <c r="I48" s="64"/>
      <c r="J48" s="64"/>
      <c r="K48" s="59"/>
      <c r="L48" s="498"/>
      <c r="M48" s="498"/>
      <c r="N48" s="498"/>
      <c r="O48" s="498"/>
      <c r="P48" s="498"/>
      <c r="Q48" s="496"/>
      <c r="R48" s="496"/>
      <c r="S48" s="496"/>
      <c r="T48" s="66"/>
      <c r="U48" s="701"/>
      <c r="V48" s="23"/>
      <c r="W48" s="23"/>
      <c r="X48" s="14"/>
      <c r="Y48" s="282"/>
      <c r="Z48" s="282"/>
      <c r="AA48" s="282"/>
      <c r="AB48" s="282"/>
      <c r="AC48" s="282"/>
    </row>
    <row r="49" spans="1:40" ht="12" customHeight="1">
      <c r="A49" s="588"/>
      <c r="B49" s="477"/>
      <c r="C49" s="24"/>
      <c r="D49" s="24"/>
      <c r="E49" s="268"/>
      <c r="F49" s="268"/>
      <c r="G49" s="23" t="str">
        <f>"i. "&amp;TEXT($X$9,"$0,000")&amp;", if under age 50 at the end of "&amp;TaxYear&amp;"."</f>
        <v>i. $6,000, if under age 50 at the end of 2021.</v>
      </c>
      <c r="H49" s="23"/>
      <c r="I49" s="64"/>
      <c r="J49" s="64"/>
      <c r="K49" s="59"/>
      <c r="L49" s="498"/>
      <c r="M49" s="498"/>
      <c r="N49" s="498"/>
      <c r="O49" s="498"/>
      <c r="P49" s="498"/>
      <c r="Q49" s="496"/>
      <c r="R49" s="496"/>
      <c r="S49" s="496"/>
      <c r="T49" s="66"/>
      <c r="U49" s="701"/>
      <c r="V49" s="23"/>
      <c r="W49" s="23"/>
      <c r="X49" s="14"/>
      <c r="Y49" s="282"/>
      <c r="Z49" s="282"/>
      <c r="AA49" s="282"/>
      <c r="AB49" s="282"/>
      <c r="AC49" s="282"/>
    </row>
    <row r="50" spans="1:40" s="237" customFormat="1" ht="12" customHeight="1">
      <c r="A50" s="238"/>
      <c r="B50" s="885"/>
      <c r="C50" s="24"/>
      <c r="D50" s="268"/>
      <c r="E50" s="268"/>
      <c r="F50" s="268"/>
      <c r="G50" s="268" t="str">
        <f>"ii. "&amp;TEXT($X$11,"$0,000")&amp;", if age 50 or older at the"</f>
        <v>ii. $7,000, if age 50 or older at the</v>
      </c>
      <c r="H50" s="268"/>
      <c r="I50" s="300"/>
      <c r="J50" s="300"/>
      <c r="K50" s="357"/>
      <c r="L50" s="498"/>
      <c r="M50" s="498"/>
      <c r="N50" s="498"/>
      <c r="O50" s="498"/>
      <c r="P50" s="498"/>
      <c r="Q50" s="496"/>
      <c r="R50" s="496"/>
      <c r="S50" s="496"/>
      <c r="T50" s="116"/>
      <c r="U50" s="700"/>
      <c r="V50" s="268"/>
      <c r="W50" s="268"/>
      <c r="X50" s="14"/>
      <c r="Y50" s="320"/>
      <c r="Z50" s="320"/>
      <c r="AA50" s="320"/>
      <c r="AB50" s="320"/>
      <c r="AC50" s="320"/>
      <c r="AD50" s="2603"/>
      <c r="AE50" s="2603"/>
      <c r="AF50" s="2603"/>
      <c r="AG50" s="2603"/>
      <c r="AH50" s="2603"/>
      <c r="AI50" s="2603"/>
      <c r="AJ50" s="2603"/>
      <c r="AK50" s="2603"/>
      <c r="AL50" s="2603"/>
      <c r="AM50" s="2603"/>
      <c r="AN50" s="2603"/>
    </row>
    <row r="51" spans="1:40" s="237" customFormat="1" ht="12" customHeight="1">
      <c r="A51" s="238"/>
      <c r="B51" s="885"/>
      <c r="C51" s="24"/>
      <c r="D51" s="268"/>
      <c r="E51" s="268"/>
      <c r="F51" s="268"/>
      <c r="G51" s="268" t="str">
        <f>"   end of "&amp;TaxYear&amp;"."</f>
        <v xml:space="preserve">   end of 2021.</v>
      </c>
      <c r="H51" s="268"/>
      <c r="I51" s="300"/>
      <c r="J51" s="300"/>
      <c r="K51" s="357"/>
      <c r="L51" s="498"/>
      <c r="M51" s="498"/>
      <c r="N51" s="498"/>
      <c r="O51" s="498"/>
      <c r="P51" s="498"/>
      <c r="Q51" s="496"/>
      <c r="R51" s="496"/>
      <c r="S51" s="496"/>
      <c r="T51" s="116"/>
      <c r="U51" s="700"/>
      <c r="V51" s="268"/>
      <c r="W51" s="268"/>
      <c r="X51" s="14"/>
      <c r="Y51" s="320"/>
      <c r="Z51" s="320"/>
      <c r="AA51" s="320"/>
      <c r="AB51" s="320"/>
      <c r="AC51" s="320"/>
      <c r="AD51" s="2603"/>
      <c r="AE51" s="2603"/>
      <c r="AF51" s="2603"/>
      <c r="AG51" s="2603"/>
      <c r="AH51" s="2603"/>
      <c r="AI51" s="2603"/>
      <c r="AJ51" s="2603"/>
      <c r="AK51" s="2603"/>
      <c r="AL51" s="2603"/>
      <c r="AM51" s="2603"/>
      <c r="AN51" s="2603"/>
    </row>
    <row r="52" spans="1:40" ht="12" customHeight="1">
      <c r="A52" s="588"/>
      <c r="B52" s="477"/>
      <c r="C52" s="24"/>
      <c r="D52" s="40"/>
      <c r="E52" s="70" t="s">
        <v>649</v>
      </c>
      <c r="F52" s="268"/>
      <c r="G52" s="23"/>
      <c r="H52" s="23"/>
      <c r="I52" s="300"/>
      <c r="J52" s="300"/>
      <c r="K52" s="357"/>
      <c r="L52" s="498"/>
      <c r="M52" s="498"/>
      <c r="N52" s="498"/>
      <c r="O52" s="498"/>
      <c r="P52" s="498"/>
      <c r="Q52" s="496"/>
      <c r="R52" s="496"/>
      <c r="S52" s="496"/>
      <c r="T52" s="116"/>
      <c r="U52" s="746"/>
      <c r="V52" s="23"/>
      <c r="W52" s="23"/>
      <c r="X52" s="14"/>
      <c r="Y52" s="282"/>
      <c r="Z52" s="282"/>
      <c r="AA52" s="282"/>
      <c r="AB52" s="282"/>
      <c r="AC52" s="282"/>
    </row>
    <row r="53" spans="1:40" ht="12" customHeight="1" thickBot="1">
      <c r="A53" s="588"/>
      <c r="B53" s="889"/>
      <c r="C53" s="890"/>
      <c r="D53" s="890"/>
      <c r="E53" s="891"/>
      <c r="F53" s="891"/>
      <c r="G53" s="36"/>
      <c r="H53" s="36"/>
      <c r="I53" s="316"/>
      <c r="J53" s="316"/>
      <c r="K53" s="892"/>
      <c r="L53" s="893"/>
      <c r="M53" s="894"/>
      <c r="N53" s="894"/>
      <c r="O53" s="316"/>
      <c r="P53" s="316"/>
      <c r="Q53" s="893"/>
      <c r="R53" s="894"/>
      <c r="S53" s="894"/>
      <c r="T53" s="895"/>
      <c r="U53" s="746"/>
      <c r="V53" s="23"/>
      <c r="W53" s="23"/>
      <c r="X53" s="14"/>
      <c r="Y53" s="282"/>
      <c r="Z53" s="282"/>
      <c r="AA53" s="282"/>
      <c r="AB53" s="282"/>
      <c r="AC53" s="282"/>
    </row>
    <row r="54" spans="1:40" ht="1.5" customHeight="1">
      <c r="A54" s="588"/>
      <c r="B54" s="896"/>
      <c r="C54" s="897"/>
      <c r="D54" s="897"/>
      <c r="E54" s="898"/>
      <c r="F54" s="898"/>
      <c r="G54" s="899"/>
      <c r="H54" s="899"/>
      <c r="I54" s="900"/>
      <c r="J54" s="900"/>
      <c r="K54" s="901"/>
      <c r="L54" s="902"/>
      <c r="M54" s="903"/>
      <c r="N54" s="903"/>
      <c r="O54" s="900"/>
      <c r="P54" s="900"/>
      <c r="Q54" s="902"/>
      <c r="R54" s="903"/>
      <c r="S54" s="903"/>
      <c r="T54" s="904"/>
      <c r="U54" s="746"/>
      <c r="V54" s="23"/>
      <c r="W54" s="23"/>
      <c r="X54" s="14"/>
      <c r="Y54" s="282"/>
      <c r="Z54" s="282"/>
      <c r="AA54" s="282"/>
      <c r="AB54" s="282"/>
      <c r="AC54" s="282"/>
    </row>
    <row r="55" spans="1:40" ht="22.5" customHeight="1">
      <c r="A55" s="588"/>
      <c r="B55" s="4352" t="str">
        <f>B2&amp;"  -  Continued"</f>
        <v>IRA Deduction Worksheet – Schedule 1, Line 20  -  Continued</v>
      </c>
      <c r="C55" s="26"/>
      <c r="D55" s="26"/>
      <c r="E55" s="26"/>
      <c r="F55" s="26"/>
      <c r="G55" s="26"/>
      <c r="H55" s="4351"/>
      <c r="I55" s="26"/>
      <c r="J55" s="26"/>
      <c r="K55" s="26"/>
      <c r="L55" s="26"/>
      <c r="M55" s="26"/>
      <c r="N55" s="26"/>
      <c r="O55" s="26"/>
      <c r="P55" s="358"/>
      <c r="Q55" s="358"/>
      <c r="R55" s="358"/>
      <c r="S55" s="906"/>
      <c r="T55" s="888"/>
      <c r="U55" s="754"/>
      <c r="V55" s="25"/>
      <c r="W55" s="25"/>
      <c r="X55" s="25"/>
      <c r="Y55" s="282"/>
      <c r="Z55" s="282"/>
      <c r="AA55" s="282"/>
      <c r="AB55" s="282"/>
      <c r="AC55" s="282"/>
    </row>
    <row r="56" spans="1:40" s="613" customFormat="1" ht="21.75" customHeight="1">
      <c r="A56" s="636"/>
      <c r="B56" s="761"/>
      <c r="C56" s="362"/>
      <c r="D56" s="362"/>
      <c r="E56" s="362"/>
      <c r="F56" s="362"/>
      <c r="G56" s="363"/>
      <c r="H56" s="361"/>
      <c r="I56" s="361"/>
      <c r="J56" s="764"/>
      <c r="K56" s="762"/>
      <c r="L56" s="765" t="s">
        <v>249</v>
      </c>
      <c r="M56" s="762"/>
      <c r="N56" s="766" t="s">
        <v>22</v>
      </c>
      <c r="O56" s="766"/>
      <c r="P56" s="762"/>
      <c r="Q56" s="762"/>
      <c r="R56" s="762"/>
      <c r="S56" s="762"/>
      <c r="T56" s="359"/>
      <c r="U56" s="755"/>
      <c r="V56" s="767"/>
      <c r="W56" s="767"/>
      <c r="X56" s="767"/>
      <c r="Y56" s="768"/>
      <c r="Z56" s="768"/>
      <c r="AA56" s="768"/>
      <c r="AB56" s="768"/>
      <c r="AC56" s="768"/>
      <c r="AD56" s="2602"/>
      <c r="AE56" s="2602"/>
      <c r="AF56" s="2595"/>
      <c r="AG56" s="2595"/>
      <c r="AH56" s="2595"/>
      <c r="AI56" s="2602"/>
      <c r="AJ56" s="2602"/>
      <c r="AK56" s="2602"/>
      <c r="AL56" s="2602"/>
      <c r="AM56" s="2602"/>
      <c r="AN56" s="2602"/>
    </row>
    <row r="57" spans="1:40" ht="12" customHeight="1">
      <c r="A57" s="588"/>
      <c r="B57" s="477">
        <v>7</v>
      </c>
      <c r="C57" s="49" t="s">
        <v>184</v>
      </c>
      <c r="D57" s="49"/>
      <c r="E57" s="23"/>
      <c r="F57" s="23"/>
      <c r="G57" s="23"/>
      <c r="H57" s="23"/>
      <c r="I57" s="957"/>
      <c r="J57" s="490"/>
      <c r="K57" s="491" t="s">
        <v>365</v>
      </c>
      <c r="L57" s="6683">
        <f>IF(AND(L44&gt;$X$18,YourAge&lt;50),$X$9,IF(L44&gt;$X$18,$X$11,IF(YourAge&lt;50,ROUNDUP($AA$58*L44,-1),ROUNDUP($AA$59*L44,-1))))</f>
        <v>7000</v>
      </c>
      <c r="M57" s="6684"/>
      <c r="N57" s="6684"/>
      <c r="O57" s="490"/>
      <c r="P57" s="490"/>
      <c r="Q57" s="6683">
        <f>IF(L57&lt;$AA$57,$AA$57,L57)</f>
        <v>7000</v>
      </c>
      <c r="R57" s="6684"/>
      <c r="S57" s="6684"/>
      <c r="T57" s="911"/>
      <c r="U57" s="912"/>
      <c r="V57" s="913"/>
      <c r="W57" s="913"/>
      <c r="X57" s="913"/>
      <c r="Y57" s="913"/>
      <c r="Z57" s="913"/>
      <c r="AA57" s="1176">
        <v>200</v>
      </c>
      <c r="AB57" s="282"/>
      <c r="AC57" s="282"/>
    </row>
    <row r="58" spans="1:40">
      <c r="A58" s="588"/>
      <c r="B58" s="477"/>
      <c r="C58" s="268" t="s">
        <v>185</v>
      </c>
      <c r="D58" s="268"/>
      <c r="E58" s="108"/>
      <c r="F58" s="108"/>
      <c r="G58" s="108"/>
      <c r="H58" s="64"/>
      <c r="I58" s="498"/>
      <c r="J58" s="14"/>
      <c r="K58" s="491" t="s">
        <v>366</v>
      </c>
      <c r="L58" s="6683" t="str">
        <f>IF(YourAge="?","",IF(AND(L44&gt;L46,YourAge&lt;50),$X$9,IF(L44&gt;L46,$X$11,IF(ROUNDUP(L60*L44,-1)&lt;$AA$57,$AA$57,ROUNDUP(L60*L44,-1)))))</f>
        <v/>
      </c>
      <c r="M58" s="6684"/>
      <c r="N58" s="6684"/>
      <c r="O58" s="887"/>
      <c r="P58" s="491"/>
      <c r="Q58" s="6683">
        <f>IF(SpouseAge="®","",IF(AND(Q44&gt;Q46,SpouseAge&lt;50),$X$9,IF(AND(Q44&gt;Q46),$X$11,IF(ROUNDUP(Q60*Q44,-1)&lt;$AA$57,$AA$57,ROUNDUP(Q60*Q44,-1)))))</f>
        <v>7000</v>
      </c>
      <c r="R58" s="6684"/>
      <c r="S58" s="6684"/>
      <c r="T58" s="914"/>
      <c r="U58" s="912"/>
      <c r="V58" s="498"/>
      <c r="W58" s="498"/>
      <c r="X58" s="498"/>
      <c r="Y58" s="498"/>
      <c r="Z58" s="498"/>
      <c r="AA58" s="14">
        <v>0.6</v>
      </c>
      <c r="AB58" s="282"/>
      <c r="AC58" s="282"/>
    </row>
    <row r="59" spans="1:40">
      <c r="A59" s="588"/>
      <c r="B59" s="477"/>
      <c r="C59" s="268" t="str">
        <f>"example, increase $490.30 to $500). If the result is "&amp;TEXT(AA57,"$0")&amp;", or more, enter the"</f>
        <v>example, increase $490.30 to $500). If the result is $200, or more, enter the</v>
      </c>
      <c r="D59" s="268"/>
      <c r="E59" s="108"/>
      <c r="F59" s="108"/>
      <c r="G59" s="108"/>
      <c r="H59" s="64"/>
      <c r="I59" s="915"/>
      <c r="J59" s="915"/>
      <c r="K59" s="915"/>
      <c r="L59" s="915"/>
      <c r="M59" s="915"/>
      <c r="N59" s="915"/>
      <c r="O59" s="915"/>
      <c r="P59" s="915"/>
      <c r="Q59" s="915"/>
      <c r="R59" s="915"/>
      <c r="S59" s="915"/>
      <c r="T59" s="914"/>
      <c r="U59" s="912"/>
      <c r="V59" s="498"/>
      <c r="W59" s="498"/>
      <c r="X59" s="498"/>
      <c r="Y59" s="498"/>
      <c r="Z59" s="498"/>
      <c r="AA59" s="14">
        <v>0.7</v>
      </c>
      <c r="AB59" s="282"/>
      <c r="AC59" s="282"/>
    </row>
    <row r="60" spans="1:40">
      <c r="A60" s="588"/>
      <c r="B60" s="477"/>
      <c r="C60" s="268" t="str">
        <f>"result. But if it is less than "&amp;TEXT(AA57,"$0")&amp;", enter "&amp;TEXT(AA57,"$0")&amp;"."</f>
        <v>result. But if it is less than $200, enter $200.</v>
      </c>
      <c r="D60" s="268"/>
      <c r="E60" s="108"/>
      <c r="F60" s="108"/>
      <c r="G60" s="108"/>
      <c r="H60" s="64"/>
      <c r="I60" s="915"/>
      <c r="J60" s="915"/>
      <c r="K60" s="915"/>
      <c r="L60" s="1431">
        <f>IF(AND(K10&lt;&gt;"",YourAge&lt;50),AA60,IF(K10&lt;&gt;"",AA61,IF(YourAge&lt;50,AA58,AA59)))</f>
        <v>0.7</v>
      </c>
      <c r="M60" s="915"/>
      <c r="N60" s="915"/>
      <c r="O60" s="915"/>
      <c r="P60" s="915"/>
      <c r="Q60" s="1431">
        <f>IF(AND(P11&lt;&gt;"",SpouseAge&lt;50),AA60,IF(P11&lt;&gt;"",AA61,IF(SpouseAge&lt;50,AA58,AA59)))</f>
        <v>0.7</v>
      </c>
      <c r="R60" s="915"/>
      <c r="S60" s="915"/>
      <c r="T60" s="914"/>
      <c r="U60" s="912"/>
      <c r="V60" s="498"/>
      <c r="W60" s="24" t="s">
        <v>90</v>
      </c>
      <c r="X60" s="24"/>
      <c r="Y60" s="282"/>
      <c r="Z60" s="498"/>
      <c r="AA60" s="14">
        <v>0.3</v>
      </c>
      <c r="AB60" s="282"/>
      <c r="AC60" s="282"/>
    </row>
    <row r="61" spans="1:40">
      <c r="A61" s="588"/>
      <c r="B61" s="477"/>
      <c r="C61" s="883" t="s">
        <v>420</v>
      </c>
      <c r="D61" s="268" t="str">
        <f>"Single, head of household, or married filing separately, multiply by "&amp;TEXT(AA58,"0%")</f>
        <v>Single, head of household, or married filing separately, multiply by 60%</v>
      </c>
      <c r="E61" s="108"/>
      <c r="F61" s="108"/>
      <c r="G61" s="108"/>
      <c r="H61" s="64"/>
      <c r="I61" s="915"/>
      <c r="J61" s="958"/>
      <c r="K61" s="910"/>
      <c r="L61" s="239"/>
      <c r="M61" s="239"/>
      <c r="N61" s="239"/>
      <c r="O61" s="239"/>
      <c r="P61" s="239"/>
      <c r="Q61" s="239"/>
      <c r="R61" s="915"/>
      <c r="S61" s="905" t="str">
        <f>IF(AND(K10&lt;&gt;"",File_Marr_Joint="",YourAge="®"),"Birthdate information needed on 'Form 1040 or 1040-SR', Row 73.",IF(AND(P11&lt;&gt;"",File_Marr_Joint&lt;&gt;"",SpouseAge=""),"Birthdate information needed on 'Form 1040 or 1040-SR', Rows 73 &amp; 75.",""))</f>
        <v/>
      </c>
      <c r="T61" s="914"/>
      <c r="U61" s="912"/>
      <c r="V61" s="498"/>
      <c r="W61" s="6664" t="s">
        <v>91</v>
      </c>
      <c r="X61" s="6665"/>
      <c r="Y61" s="6665"/>
      <c r="Z61" s="498"/>
      <c r="AA61" s="14">
        <v>0.35</v>
      </c>
      <c r="AB61" s="282"/>
      <c r="AC61" s="282"/>
    </row>
    <row r="62" spans="1:40">
      <c r="A62" s="588"/>
      <c r="B62" s="477"/>
      <c r="C62" s="268"/>
      <c r="D62" s="268" t="str">
        <f>"("&amp;TEXT(AA58,"0.00")&amp;")(or by "&amp;TEXT(AA59,"0%")&amp;" ("&amp;TEXT(AA59,"0.00")&amp;") in the column for the IRA of a person who is age"</f>
        <v>(0.60)(or by 70% (0.70) in the column for the IRA of a person who is age</v>
      </c>
      <c r="E62" s="108"/>
      <c r="F62" s="108"/>
      <c r="G62" s="108"/>
      <c r="H62" s="64"/>
      <c r="I62" s="59"/>
      <c r="J62" s="59"/>
      <c r="K62" s="64"/>
      <c r="L62" s="239"/>
      <c r="M62" s="239"/>
      <c r="N62" s="944"/>
      <c r="O62" s="239"/>
      <c r="P62" s="496"/>
      <c r="Q62" s="496"/>
      <c r="R62" s="496"/>
      <c r="S62" s="905" t="str">
        <f>IF(AND(K10&lt;&gt;"",DependentYOU="",YourAge="®"),"Your birthdate is needed on Form 1040 or 1040-SR, Column AF.","")</f>
        <v/>
      </c>
      <c r="T62" s="66"/>
      <c r="U62" s="701"/>
      <c r="V62" s="23"/>
      <c r="W62" s="78"/>
      <c r="X62" s="676"/>
      <c r="Y62" s="78"/>
      <c r="Z62" s="78"/>
      <c r="AA62" s="676"/>
      <c r="AB62" s="588"/>
      <c r="AC62" s="282"/>
    </row>
    <row r="63" spans="1:40">
      <c r="A63" s="588"/>
      <c r="B63" s="477"/>
      <c r="C63" s="23"/>
      <c r="D63" s="23" t="str">
        <f>"50 or older at the end of "&amp;TaxYear&amp;")"</f>
        <v>50 or older at the end of 2021)</v>
      </c>
      <c r="E63" s="59"/>
      <c r="F63" s="59"/>
      <c r="G63" s="59"/>
      <c r="H63" s="64"/>
      <c r="I63" s="59"/>
      <c r="J63" s="707" t="s">
        <v>94</v>
      </c>
      <c r="K63" s="71" t="s">
        <v>488</v>
      </c>
      <c r="L63" s="6585" t="str">
        <f>IF(X63&lt;&gt;"",ROUND(X63,0),IF(OR(NOT(Yourself),Q15,BadBirthdate_Yours,LEFT(L33,3)="No."),"",IF(AND(K10="",YourAge&lt;50),$X$9,IF(AND(K10="",YourAge&gt;=50),$X$11,IF(OR(File_Single&lt;&gt;"",File_Head&lt;&gt;"",File_Marr_Sep&lt;&gt;""),Q57,IF(OR(File_Marr_Joint&lt;&gt;"",File_Qual_Widow&lt;&gt;""),L58,""))))))</f>
        <v/>
      </c>
      <c r="M63" s="6673"/>
      <c r="N63" s="6673"/>
      <c r="O63" s="866"/>
      <c r="P63" s="71" t="s">
        <v>489</v>
      </c>
      <c r="Q63" s="6585" t="str">
        <f>IF(AA63&lt;&gt;"",ROUND(AA63,0),IF(OR(R17,Q15,File_Marr_Joint="",SpouseAge="",LEFT(Q33,3)="No."),"",IF(AND(K10="",P11="",SpouseAge&lt;50),$X$9,IF(AND(K10="",P11="",SpouseAge&gt;=50),$X$11,Q58))))</f>
        <v/>
      </c>
      <c r="R63" s="6673"/>
      <c r="S63" s="6673"/>
      <c r="T63" s="469"/>
      <c r="U63" s="746"/>
      <c r="V63" s="23"/>
      <c r="W63" s="80" t="s">
        <v>265</v>
      </c>
      <c r="X63" s="3696"/>
      <c r="Y63" s="80" t="s">
        <v>39</v>
      </c>
      <c r="Z63" s="80"/>
      <c r="AA63" s="3696"/>
      <c r="AB63" s="588"/>
      <c r="AC63" s="282"/>
    </row>
    <row r="64" spans="1:40">
      <c r="A64" s="588"/>
      <c r="B64" s="477"/>
      <c r="C64" s="883" t="s">
        <v>420</v>
      </c>
      <c r="D64" s="268" t="str">
        <f>"Married filing jointly or qualifying widow(er), multiply by "&amp;TEXT(AA60,"0%")&amp;" ("&amp;TEXT(AA60,"0.00")&amp;")"</f>
        <v>Married filing jointly or qualifying widow(er), multiply by 30% (0.30)</v>
      </c>
      <c r="E64" s="108"/>
      <c r="F64" s="108"/>
      <c r="G64" s="108"/>
      <c r="H64" s="64"/>
      <c r="I64" s="59"/>
      <c r="J64" s="59"/>
      <c r="K64" s="64"/>
      <c r="L64" s="239"/>
      <c r="M64" s="239"/>
      <c r="N64" s="239"/>
      <c r="O64" s="239"/>
      <c r="P64" s="496"/>
      <c r="Q64" s="496"/>
      <c r="R64" s="496"/>
      <c r="S64" s="496"/>
      <c r="T64" s="66"/>
      <c r="U64" s="701"/>
      <c r="V64" s="23"/>
      <c r="W64" s="78"/>
      <c r="X64" s="676"/>
      <c r="Y64" s="78"/>
      <c r="Z64" s="78"/>
      <c r="AA64" s="676"/>
      <c r="AB64" s="588"/>
      <c r="AC64" s="282"/>
    </row>
    <row r="65" spans="1:29">
      <c r="A65" s="588"/>
      <c r="B65" s="477"/>
      <c r="C65" s="268"/>
      <c r="D65" s="268" t="str">
        <f>"(or by "&amp;TEXT(AA61,"0%")&amp;" ("&amp;TEXT(AA61,"0.00")&amp;") in the column for the IRA of a person who is age 50 or"</f>
        <v>(or by 35% (0.35) in the column for the IRA of a person who is age 50 or</v>
      </c>
      <c r="E65" s="108"/>
      <c r="F65" s="108"/>
      <c r="G65" s="108"/>
      <c r="H65" s="64"/>
      <c r="I65" s="59"/>
      <c r="J65" s="59"/>
      <c r="K65" s="64"/>
      <c r="L65" s="239"/>
      <c r="M65" s="239"/>
      <c r="N65" s="239"/>
      <c r="O65" s="239"/>
      <c r="P65" s="496"/>
      <c r="Q65" s="496"/>
      <c r="R65" s="496"/>
      <c r="S65" s="496"/>
      <c r="T65" s="66"/>
      <c r="U65" s="701"/>
      <c r="V65" s="23"/>
      <c r="W65" s="78"/>
      <c r="X65" s="676"/>
      <c r="Y65" s="78"/>
      <c r="Z65" s="78"/>
      <c r="AA65" s="676"/>
      <c r="AB65" s="588"/>
      <c r="AC65" s="282"/>
    </row>
    <row r="66" spans="1:29">
      <c r="A66" s="588"/>
      <c r="B66" s="477"/>
      <c r="C66" s="268"/>
      <c r="D66" s="268" t="str">
        <f>"older at the end of "&amp;TaxYear&amp;"). But if you checked “No” on either line 1a"</f>
        <v>older at the end of 2021). But if you checked “No” on either line 1a</v>
      </c>
      <c r="E66" s="108"/>
      <c r="F66" s="108"/>
      <c r="G66" s="108"/>
      <c r="H66" s="64"/>
      <c r="I66" s="59"/>
      <c r="J66" s="59"/>
      <c r="K66" s="64"/>
      <c r="L66" s="239"/>
      <c r="M66" s="239"/>
      <c r="N66" s="239"/>
      <c r="O66" s="239"/>
      <c r="P66" s="496"/>
      <c r="Q66" s="496"/>
      <c r="R66" s="496"/>
      <c r="S66" s="496"/>
      <c r="T66" s="66"/>
      <c r="U66" s="701"/>
      <c r="V66" s="23"/>
      <c r="W66" s="78"/>
      <c r="X66" s="676"/>
      <c r="Y66" s="78"/>
      <c r="Z66" s="78"/>
      <c r="AA66" s="676"/>
      <c r="AB66" s="588"/>
      <c r="AC66" s="282"/>
    </row>
    <row r="67" spans="1:29">
      <c r="A67" s="588"/>
      <c r="B67" s="477"/>
      <c r="C67" s="268"/>
      <c r="D67" s="70" t="s">
        <v>2579</v>
      </c>
      <c r="E67" s="108"/>
      <c r="F67" s="108"/>
      <c r="G67" s="108"/>
      <c r="H67" s="64"/>
      <c r="I67" s="59"/>
      <c r="J67" s="59"/>
      <c r="K67" s="64"/>
      <c r="L67" s="239"/>
      <c r="M67" s="239"/>
      <c r="N67" s="239"/>
      <c r="O67" s="239"/>
      <c r="P67" s="496"/>
      <c r="Q67" s="496"/>
      <c r="R67" s="496"/>
      <c r="S67" s="496"/>
      <c r="T67" s="66"/>
      <c r="U67" s="701"/>
      <c r="V67" s="23"/>
      <c r="W67" s="78"/>
      <c r="X67" s="676"/>
      <c r="Y67" s="78"/>
      <c r="Z67" s="78"/>
      <c r="AA67" s="676"/>
      <c r="AB67" s="588"/>
      <c r="AC67" s="282"/>
    </row>
    <row r="68" spans="1:29">
      <c r="A68" s="588"/>
      <c r="B68" s="477"/>
      <c r="C68" s="268"/>
      <c r="D68" s="268" t="str">
        <f>"retirement plan, multiply by "&amp;TEXT(AA58,"0%")&amp;" ("&amp;TEXT(AA58,"0.00")&amp;") (or by "&amp;TEXT(AA59,"0%")&amp;" ("&amp;TEXT(AA59,"0.00")&amp;") if age 50 or"</f>
        <v>retirement plan, multiply by 60% (0.60) (or by 70% (0.70) if age 50 or</v>
      </c>
      <c r="E68" s="108"/>
      <c r="F68" s="108"/>
      <c r="G68" s="108"/>
      <c r="H68" s="64"/>
      <c r="I68" s="59"/>
      <c r="J68" s="59"/>
      <c r="K68" s="64"/>
      <c r="L68" s="239"/>
      <c r="M68" s="239"/>
      <c r="N68" s="239"/>
      <c r="O68" s="239"/>
      <c r="P68" s="496"/>
      <c r="Q68" s="496"/>
      <c r="R68" s="496"/>
      <c r="S68" s="496"/>
      <c r="T68" s="66"/>
      <c r="U68" s="701"/>
      <c r="V68" s="23"/>
      <c r="W68" s="78"/>
      <c r="X68" s="676"/>
      <c r="Y68" s="78"/>
      <c r="Z68" s="78"/>
      <c r="AA68" s="676"/>
      <c r="AB68" s="588"/>
      <c r="AC68" s="282"/>
    </row>
    <row r="69" spans="1:29">
      <c r="A69" s="588"/>
      <c r="B69" s="477"/>
      <c r="C69" s="268"/>
      <c r="D69" s="268" t="str">
        <f>"older at the end of "&amp;TaxYear&amp;")."</f>
        <v>older at the end of 2021).</v>
      </c>
      <c r="E69" s="108"/>
      <c r="F69" s="108"/>
      <c r="G69" s="108"/>
      <c r="H69" s="64"/>
      <c r="I69" s="59"/>
      <c r="J69" s="59"/>
      <c r="K69" s="64"/>
      <c r="L69" s="239"/>
      <c r="M69" s="239"/>
      <c r="N69" s="239"/>
      <c r="O69" s="239"/>
      <c r="P69" s="496"/>
      <c r="Q69" s="496"/>
      <c r="R69" s="496"/>
      <c r="S69" s="496"/>
      <c r="T69" s="66"/>
      <c r="U69" s="701"/>
      <c r="V69" s="23"/>
      <c r="W69" s="78"/>
      <c r="X69" s="676"/>
      <c r="Y69" s="78"/>
      <c r="Z69" s="78"/>
      <c r="AA69" s="676"/>
      <c r="AB69" s="588"/>
      <c r="AC69" s="282"/>
    </row>
    <row r="70" spans="1:29" ht="12.75" customHeight="1">
      <c r="A70" s="588"/>
      <c r="B70" s="477">
        <v>8</v>
      </c>
      <c r="C70" s="23" t="s">
        <v>267</v>
      </c>
      <c r="D70" s="23"/>
      <c r="E70" s="59"/>
      <c r="F70" s="59"/>
      <c r="G70" s="59"/>
      <c r="H70" s="64"/>
      <c r="I70" s="59"/>
      <c r="J70" s="59"/>
      <c r="K70" s="71"/>
      <c r="L70" s="841"/>
      <c r="M70" s="868"/>
      <c r="N70" s="311"/>
      <c r="O70" s="133"/>
      <c r="P70" s="71"/>
      <c r="Q70" s="303"/>
      <c r="R70" s="23"/>
      <c r="S70" s="415"/>
      <c r="T70" s="469"/>
      <c r="U70" s="746"/>
      <c r="V70" s="23"/>
      <c r="W70" s="78"/>
      <c r="X70" s="676"/>
      <c r="Y70" s="78"/>
      <c r="Z70" s="78"/>
      <c r="AA70" s="676"/>
      <c r="AB70" s="588"/>
      <c r="AC70" s="282"/>
    </row>
    <row r="71" spans="1:29" ht="12.75" customHeight="1">
      <c r="A71" s="588"/>
      <c r="B71" s="477"/>
      <c r="C71" s="883" t="s">
        <v>420</v>
      </c>
      <c r="D71" s="126" t="s">
        <v>650</v>
      </c>
      <c r="E71" s="59"/>
      <c r="F71" s="59"/>
      <c r="G71" s="59"/>
      <c r="H71" s="64"/>
      <c r="I71" s="59"/>
      <c r="J71" s="59"/>
      <c r="K71" s="71"/>
      <c r="L71" s="841"/>
      <c r="M71" s="133"/>
      <c r="N71" s="133"/>
      <c r="O71" s="133"/>
      <c r="P71" s="71"/>
      <c r="Q71" s="303"/>
      <c r="R71" s="23"/>
      <c r="S71" s="23"/>
      <c r="T71" s="469"/>
      <c r="U71" s="746"/>
      <c r="V71" s="23"/>
      <c r="W71" s="24" t="s">
        <v>90</v>
      </c>
      <c r="X71" s="24"/>
      <c r="Y71" s="282"/>
      <c r="Z71" s="282"/>
      <c r="AA71" s="282"/>
      <c r="AB71" s="282"/>
      <c r="AC71" s="282"/>
    </row>
    <row r="72" spans="1:29" ht="12.75" customHeight="1">
      <c r="A72" s="588"/>
      <c r="B72" s="477"/>
      <c r="C72" s="23"/>
      <c r="D72" s="126" t="s">
        <v>651</v>
      </c>
      <c r="E72" s="126"/>
      <c r="F72" s="59"/>
      <c r="G72" s="59"/>
      <c r="H72" s="64"/>
      <c r="I72" s="59"/>
      <c r="J72" s="59"/>
      <c r="K72" s="71"/>
      <c r="L72" s="841"/>
      <c r="M72" s="133"/>
      <c r="N72" s="133"/>
      <c r="O72" s="133"/>
      <c r="P72" s="71"/>
      <c r="Q72" s="303"/>
      <c r="R72" s="23"/>
      <c r="S72" s="23"/>
      <c r="T72" s="469"/>
      <c r="U72" s="746"/>
      <c r="V72" s="23"/>
      <c r="W72" s="6664" t="s">
        <v>91</v>
      </c>
      <c r="X72" s="6665"/>
      <c r="Y72" s="6665"/>
      <c r="Z72" s="282"/>
      <c r="AA72" s="282"/>
      <c r="AB72" s="282"/>
      <c r="AC72" s="282"/>
    </row>
    <row r="73" spans="1:29" ht="12.75" customHeight="1">
      <c r="A73" s="588"/>
      <c r="B73" s="477"/>
      <c r="C73" s="23"/>
      <c r="D73" s="126" t="s">
        <v>5692</v>
      </c>
      <c r="E73" s="126"/>
      <c r="F73" s="59"/>
      <c r="G73" s="59"/>
      <c r="H73" s="64"/>
      <c r="I73" s="59"/>
      <c r="J73" s="59"/>
      <c r="K73" s="71"/>
      <c r="L73" s="841"/>
      <c r="M73" s="133"/>
      <c r="N73" s="133"/>
      <c r="O73" s="133"/>
      <c r="P73" s="71"/>
      <c r="Q73" s="303"/>
      <c r="R73" s="23"/>
      <c r="S73" s="23"/>
      <c r="T73" s="469"/>
      <c r="U73" s="746"/>
      <c r="V73" s="23"/>
      <c r="W73" s="78"/>
      <c r="X73" s="676"/>
      <c r="Y73" s="588"/>
      <c r="Z73" s="588"/>
      <c r="AA73" s="282"/>
      <c r="AB73" s="282"/>
      <c r="AC73" s="282"/>
    </row>
    <row r="74" spans="1:29" ht="12.75" customHeight="1">
      <c r="A74" s="588"/>
      <c r="B74" s="477"/>
      <c r="C74" s="883" t="s">
        <v>420</v>
      </c>
      <c r="D74" s="126" t="s">
        <v>750</v>
      </c>
      <c r="E74" s="59"/>
      <c r="F74" s="59"/>
      <c r="G74" s="59"/>
      <c r="H74" s="64">
        <f>B70</f>
        <v>8</v>
      </c>
      <c r="I74" s="6676">
        <f>IF(X74&lt;&gt;"",ROUND(X74,0),ROUND(SUM(W2_Wages,AlimonyRcvd,X78),2))</f>
        <v>0</v>
      </c>
      <c r="J74" s="6676"/>
      <c r="K74" s="71"/>
      <c r="L74" s="841"/>
      <c r="M74" s="133"/>
      <c r="N74" s="133"/>
      <c r="O74" s="133"/>
      <c r="P74" s="71"/>
      <c r="Q74" s="303"/>
      <c r="R74" s="23"/>
      <c r="S74" s="23"/>
      <c r="T74" s="469"/>
      <c r="U74" s="746"/>
      <c r="V74" s="23"/>
      <c r="W74" s="847" t="s">
        <v>103</v>
      </c>
      <c r="X74" s="3696"/>
      <c r="Y74" s="588"/>
      <c r="Z74" s="588"/>
      <c r="AA74" s="282"/>
      <c r="AB74" s="282"/>
      <c r="AC74" s="282"/>
    </row>
    <row r="75" spans="1:29" ht="12.75" customHeight="1">
      <c r="A75" s="588"/>
      <c r="B75" s="477"/>
      <c r="C75" s="23"/>
      <c r="D75" s="126" t="s">
        <v>3429</v>
      </c>
      <c r="E75" s="59"/>
      <c r="F75" s="59"/>
      <c r="G75" s="59"/>
      <c r="H75" s="64"/>
      <c r="I75" s="59"/>
      <c r="J75" s="59"/>
      <c r="K75" s="71"/>
      <c r="L75" s="841"/>
      <c r="M75" s="133"/>
      <c r="N75" s="133"/>
      <c r="O75" s="133"/>
      <c r="P75" s="71"/>
      <c r="Q75" s="303"/>
      <c r="R75" s="23"/>
      <c r="S75" s="23"/>
      <c r="T75" s="469"/>
      <c r="U75" s="746"/>
      <c r="V75" s="23"/>
      <c r="W75" s="78"/>
      <c r="X75" s="676"/>
      <c r="Y75" s="588"/>
      <c r="Z75" s="588"/>
      <c r="AA75" s="282"/>
      <c r="AB75" s="282"/>
      <c r="AC75" s="282"/>
    </row>
    <row r="76" spans="1:29" ht="12.75" customHeight="1">
      <c r="A76" s="588"/>
      <c r="B76" s="477"/>
      <c r="C76" s="883" t="s">
        <v>420</v>
      </c>
      <c r="D76" s="126" t="s">
        <v>548</v>
      </c>
      <c r="E76" s="126"/>
      <c r="F76" s="59"/>
      <c r="G76" s="59"/>
      <c r="H76" s="64"/>
      <c r="I76" s="59"/>
      <c r="J76" s="59"/>
      <c r="K76" s="71"/>
      <c r="L76" s="841"/>
      <c r="M76" s="133"/>
      <c r="N76" s="133"/>
      <c r="O76" s="133"/>
      <c r="P76" s="71"/>
      <c r="Q76" s="303"/>
      <c r="R76" s="23"/>
      <c r="S76" s="23"/>
      <c r="T76" s="469"/>
      <c r="U76" s="746"/>
      <c r="V76" s="23"/>
      <c r="W76" s="23"/>
      <c r="X76" s="14"/>
      <c r="Y76" s="282"/>
      <c r="Z76" s="282"/>
      <c r="AA76" s="282"/>
      <c r="AB76" s="282"/>
      <c r="AC76" s="282"/>
    </row>
    <row r="77" spans="1:29">
      <c r="A77" s="588"/>
      <c r="B77" s="477"/>
      <c r="C77" s="23"/>
      <c r="D77" s="126" t="s">
        <v>549</v>
      </c>
      <c r="E77" s="126"/>
      <c r="F77" s="59"/>
      <c r="G77" s="59"/>
      <c r="H77" s="64"/>
      <c r="I77" s="59"/>
      <c r="J77" s="59"/>
      <c r="K77" s="71"/>
      <c r="L77" s="841"/>
      <c r="M77" s="133"/>
      <c r="N77" s="133"/>
      <c r="O77" s="133"/>
      <c r="P77" s="71"/>
      <c r="Q77" s="303"/>
      <c r="R77" s="23"/>
      <c r="S77" s="23"/>
      <c r="T77" s="469"/>
      <c r="U77" s="746"/>
      <c r="V77" s="59"/>
      <c r="W77" s="78"/>
      <c r="X77" s="846" t="s">
        <v>396</v>
      </c>
      <c r="Y77" s="849" t="s">
        <v>477</v>
      </c>
      <c r="Z77" s="849"/>
      <c r="AA77" s="282"/>
      <c r="AB77" s="282"/>
      <c r="AC77" s="282"/>
    </row>
    <row r="78" spans="1:29" ht="13.5" customHeight="1">
      <c r="A78" s="588"/>
      <c r="B78" s="477">
        <v>9</v>
      </c>
      <c r="C78" s="23" t="s">
        <v>208</v>
      </c>
      <c r="D78" s="23"/>
      <c r="E78" s="59"/>
      <c r="F78" s="59"/>
      <c r="G78" s="59"/>
      <c r="H78" s="64"/>
      <c r="I78" s="59"/>
      <c r="J78" s="59"/>
      <c r="K78" s="71"/>
      <c r="L78" s="841"/>
      <c r="M78" s="133"/>
      <c r="N78" s="133"/>
      <c r="O78" s="133"/>
      <c r="P78" s="71"/>
      <c r="Q78" s="303"/>
      <c r="R78" s="23"/>
      <c r="S78" s="23"/>
      <c r="T78" s="469"/>
      <c r="U78" s="746"/>
      <c r="V78" s="59"/>
      <c r="W78" s="847" t="s">
        <v>220</v>
      </c>
      <c r="X78" s="3698"/>
      <c r="Y78" s="848" t="s">
        <v>478</v>
      </c>
      <c r="Z78" s="848"/>
      <c r="AA78" s="282"/>
      <c r="AB78" s="282"/>
      <c r="AC78" s="282"/>
    </row>
    <row r="79" spans="1:29" ht="13.5" customHeight="1">
      <c r="A79" s="588"/>
      <c r="B79" s="477"/>
      <c r="C79" s="23" t="s">
        <v>209</v>
      </c>
      <c r="D79" s="23"/>
      <c r="E79" s="59"/>
      <c r="F79" s="59"/>
      <c r="G79" s="59"/>
      <c r="H79" s="64"/>
      <c r="I79" s="59"/>
      <c r="J79" s="59"/>
      <c r="K79" s="71"/>
      <c r="L79" s="841"/>
      <c r="M79" s="133"/>
      <c r="N79" s="133"/>
      <c r="O79" s="133"/>
      <c r="P79" s="71"/>
      <c r="Q79" s="303"/>
      <c r="R79" s="23"/>
      <c r="S79" s="23"/>
      <c r="T79" s="469"/>
      <c r="U79" s="746"/>
      <c r="V79" s="59"/>
      <c r="W79" s="78"/>
      <c r="X79" s="845" t="s">
        <v>76</v>
      </c>
      <c r="Y79" s="588"/>
      <c r="Z79" s="588"/>
      <c r="AA79" s="282"/>
      <c r="AB79" s="282"/>
      <c r="AC79" s="282"/>
    </row>
    <row r="80" spans="1:29" ht="13.5" customHeight="1">
      <c r="A80" s="588"/>
      <c r="B80" s="477"/>
      <c r="C80" s="23" t="s">
        <v>146</v>
      </c>
      <c r="D80" s="23"/>
      <c r="E80" s="59"/>
      <c r="F80" s="59"/>
      <c r="G80" s="59"/>
      <c r="H80" s="64"/>
      <c r="I80" s="59"/>
      <c r="J80" s="59"/>
      <c r="K80" s="71"/>
      <c r="L80" s="841"/>
      <c r="M80" s="133"/>
      <c r="N80" s="133"/>
      <c r="O80" s="133"/>
      <c r="P80" s="71"/>
      <c r="Q80" s="303"/>
      <c r="R80" s="23"/>
      <c r="S80" s="23"/>
      <c r="T80" s="469"/>
      <c r="U80" s="746"/>
      <c r="V80" s="23"/>
      <c r="W80" s="23"/>
      <c r="X80" s="23"/>
      <c r="Y80" s="282"/>
      <c r="Z80" s="282"/>
      <c r="AA80" s="282"/>
      <c r="AB80" s="282"/>
      <c r="AC80" s="282"/>
    </row>
    <row r="81" spans="1:40" ht="13.5" customHeight="1">
      <c r="A81" s="588"/>
      <c r="B81" s="477"/>
      <c r="C81" s="23" t="s">
        <v>292</v>
      </c>
      <c r="D81" s="23"/>
      <c r="E81" s="59"/>
      <c r="F81" s="59"/>
      <c r="G81" s="59"/>
      <c r="H81" s="64"/>
      <c r="I81" s="59"/>
      <c r="J81" s="59"/>
      <c r="K81" s="71"/>
      <c r="L81" s="841"/>
      <c r="M81" s="133"/>
      <c r="N81" s="133"/>
      <c r="O81" s="133"/>
      <c r="P81" s="71"/>
      <c r="Q81" s="303"/>
      <c r="R81" s="23"/>
      <c r="S81" s="23"/>
      <c r="T81" s="469"/>
      <c r="U81" s="746"/>
      <c r="V81" s="23"/>
      <c r="W81" s="24"/>
      <c r="X81" s="24"/>
      <c r="Y81" s="282"/>
      <c r="Z81" s="282"/>
      <c r="AA81" s="282"/>
      <c r="AB81" s="282"/>
      <c r="AC81" s="282"/>
    </row>
    <row r="82" spans="1:40" ht="13.5" customHeight="1">
      <c r="A82" s="588"/>
      <c r="B82" s="477"/>
      <c r="C82" s="70" t="s">
        <v>2580</v>
      </c>
      <c r="D82" s="23"/>
      <c r="E82" s="59"/>
      <c r="F82" s="59"/>
      <c r="G82" s="59"/>
      <c r="H82" s="64"/>
      <c r="I82" s="59"/>
      <c r="J82" s="59"/>
      <c r="K82" s="71"/>
      <c r="L82" s="841"/>
      <c r="M82" s="133"/>
      <c r="N82" s="133"/>
      <c r="O82" s="133"/>
      <c r="P82" s="71"/>
      <c r="Q82" s="303"/>
      <c r="R82" s="23"/>
      <c r="S82" s="23"/>
      <c r="T82" s="469"/>
      <c r="U82" s="746"/>
      <c r="V82" s="23"/>
      <c r="W82" s="6664"/>
      <c r="X82" s="6665"/>
      <c r="Y82" s="6665"/>
      <c r="Z82" s="282"/>
      <c r="AA82" s="282"/>
      <c r="AB82" s="282"/>
      <c r="AC82" s="282"/>
    </row>
    <row r="83" spans="1:40" ht="13.5" customHeight="1">
      <c r="A83" s="588"/>
      <c r="B83" s="477"/>
      <c r="C83" s="70" t="s">
        <v>5391</v>
      </c>
      <c r="D83" s="23"/>
      <c r="E83" s="59"/>
      <c r="F83" s="126" t="s">
        <v>2581</v>
      </c>
      <c r="G83" s="59"/>
      <c r="H83" s="64"/>
      <c r="I83" s="59"/>
      <c r="J83" s="59"/>
      <c r="K83" s="71"/>
      <c r="L83" s="841"/>
      <c r="M83" s="133"/>
      <c r="N83" s="133"/>
      <c r="O83" s="133"/>
      <c r="P83" s="71"/>
      <c r="Q83" s="303"/>
      <c r="R83" s="23"/>
      <c r="S83" s="23"/>
      <c r="T83" s="469"/>
      <c r="U83" s="746"/>
      <c r="V83" s="23"/>
      <c r="W83" s="6664"/>
      <c r="X83" s="6665"/>
      <c r="Y83" s="6665"/>
      <c r="Z83" s="282"/>
      <c r="AA83" s="282"/>
      <c r="AB83" s="282"/>
      <c r="AC83" s="282"/>
    </row>
    <row r="84" spans="1:40" ht="15.75" customHeight="1">
      <c r="A84" s="588"/>
      <c r="B84" s="477"/>
      <c r="C84" s="70" t="s">
        <v>1592</v>
      </c>
      <c r="D84" s="23"/>
      <c r="E84" s="59"/>
      <c r="F84" s="59"/>
      <c r="G84" s="59"/>
      <c r="H84" s="64">
        <f>B78</f>
        <v>9</v>
      </c>
      <c r="I84" s="6677"/>
      <c r="J84" s="6677"/>
      <c r="K84" s="71"/>
      <c r="L84" s="841"/>
      <c r="M84" s="133"/>
      <c r="N84" s="133"/>
      <c r="O84" s="133"/>
      <c r="P84" s="71"/>
      <c r="Q84" s="303"/>
      <c r="R84" s="23"/>
      <c r="S84" s="23"/>
      <c r="T84" s="469"/>
      <c r="U84" s="746"/>
      <c r="V84" s="23"/>
      <c r="W84" s="6664"/>
      <c r="X84" s="6665"/>
      <c r="Y84" s="6665"/>
      <c r="Z84" s="282"/>
      <c r="AA84" s="282"/>
      <c r="AB84" s="282"/>
      <c r="AC84" s="282"/>
    </row>
    <row r="85" spans="1:40" s="857" customFormat="1" ht="18" customHeight="1">
      <c r="A85" s="850"/>
      <c r="B85" s="477">
        <v>10</v>
      </c>
      <c r="C85" s="460" t="s">
        <v>279</v>
      </c>
      <c r="D85" s="460"/>
      <c r="E85" s="460"/>
      <c r="F85" s="460"/>
      <c r="G85" s="69" t="s">
        <v>751</v>
      </c>
      <c r="H85" s="851">
        <f>B85</f>
        <v>10</v>
      </c>
      <c r="I85" s="6676">
        <f>ROUND(SUM(I74,I84),2)</f>
        <v>0</v>
      </c>
      <c r="J85" s="6676"/>
      <c r="K85" s="852"/>
      <c r="L85" s="853"/>
      <c r="M85" s="854"/>
      <c r="N85" s="854"/>
      <c r="O85" s="854"/>
      <c r="P85" s="852"/>
      <c r="Q85" s="460"/>
      <c r="R85" s="460"/>
      <c r="S85" s="460"/>
      <c r="T85" s="855"/>
      <c r="U85" s="856"/>
      <c r="V85" s="460"/>
      <c r="W85" s="6664"/>
      <c r="X85" s="6665"/>
      <c r="Y85" s="6665"/>
      <c r="Z85" s="282"/>
      <c r="AA85" s="460"/>
      <c r="AB85" s="460"/>
      <c r="AC85" s="460"/>
      <c r="AD85" s="2595"/>
      <c r="AE85" s="2595"/>
      <c r="AF85" s="2595"/>
      <c r="AG85" s="2595"/>
      <c r="AH85" s="2595"/>
      <c r="AI85" s="2595"/>
      <c r="AJ85" s="2595"/>
      <c r="AK85" s="2595"/>
      <c r="AL85" s="2595"/>
      <c r="AM85" s="2595"/>
      <c r="AN85" s="2595"/>
    </row>
    <row r="86" spans="1:40" ht="6.75" customHeight="1" thickBot="1">
      <c r="A86" s="588"/>
      <c r="B86" s="477"/>
      <c r="C86" s="23"/>
      <c r="D86" s="23"/>
      <c r="E86" s="129"/>
      <c r="F86" s="129"/>
      <c r="G86" s="129"/>
      <c r="H86" s="64"/>
      <c r="I86" s="303"/>
      <c r="J86" s="303"/>
      <c r="K86" s="64"/>
      <c r="L86" s="59"/>
      <c r="M86" s="59"/>
      <c r="N86" s="59"/>
      <c r="O86" s="59"/>
      <c r="P86" s="59"/>
      <c r="Q86" s="59"/>
      <c r="R86" s="59"/>
      <c r="S86" s="59"/>
      <c r="T86" s="66"/>
      <c r="U86" s="701"/>
      <c r="V86" s="23"/>
      <c r="W86" s="6664"/>
      <c r="X86" s="6665"/>
      <c r="Y86" s="6665"/>
      <c r="Z86" s="282"/>
      <c r="AA86" s="282"/>
      <c r="AB86" s="282"/>
      <c r="AC86" s="282"/>
    </row>
    <row r="87" spans="1:40" ht="13.5" customHeight="1">
      <c r="A87" s="588"/>
      <c r="B87" s="477"/>
      <c r="C87" s="292"/>
      <c r="D87" s="292"/>
      <c r="E87" s="492"/>
      <c r="F87" s="492"/>
      <c r="G87" s="5063" t="str">
        <f>"If married filing jointly and line "&amp;B85&amp;" is less than "&amp;TEXT(X87,"$0,000")&amp;" ("&amp;TEXT(X88,"$0,000")&amp;" if one"</f>
        <v>If married filing jointly and line 10 is less than $12,000 ($13,000 if one</v>
      </c>
      <c r="H87" s="61"/>
      <c r="I87" s="61"/>
      <c r="J87" s="61"/>
      <c r="K87" s="60"/>
      <c r="L87" s="59"/>
      <c r="M87" s="59"/>
      <c r="N87" s="59"/>
      <c r="O87" s="59"/>
      <c r="P87" s="64"/>
      <c r="Q87" s="59"/>
      <c r="R87" s="59"/>
      <c r="S87" s="59"/>
      <c r="T87" s="66"/>
      <c r="U87" s="701"/>
      <c r="V87" s="23"/>
      <c r="W87" s="23"/>
      <c r="X87" s="14">
        <v>12000</v>
      </c>
      <c r="Y87" s="282"/>
      <c r="Z87" s="282"/>
      <c r="AA87" s="282"/>
      <c r="AB87" s="282"/>
      <c r="AC87" s="282"/>
    </row>
    <row r="88" spans="1:40" ht="13.5" customHeight="1">
      <c r="A88" s="588"/>
      <c r="B88" s="477"/>
      <c r="C88" s="282"/>
      <c r="D88" s="282"/>
      <c r="E88" s="127"/>
      <c r="F88" s="127"/>
      <c r="G88" s="538" t="str">
        <f>"spouse is age 50 or older at the end of "&amp;TaxYear&amp;"; "&amp;TEXT(X89,"$0,000")&amp;" if both "</f>
        <v xml:space="preserve">spouse is age 50 or older at the end of 2021; $14,000 if both </v>
      </c>
      <c r="H88" s="103"/>
      <c r="I88" s="103"/>
      <c r="J88" s="103"/>
      <c r="K88" s="64"/>
      <c r="L88" s="296"/>
      <c r="M88" s="296"/>
      <c r="N88" s="296"/>
      <c r="O88" s="296"/>
      <c r="P88" s="64"/>
      <c r="Q88" s="59"/>
      <c r="R88" s="59"/>
      <c r="S88" s="59"/>
      <c r="T88" s="66"/>
      <c r="U88" s="701"/>
      <c r="V88" s="23"/>
      <c r="W88" s="23"/>
      <c r="X88" s="14">
        <v>13000</v>
      </c>
      <c r="Y88" s="282"/>
      <c r="Z88" s="282"/>
      <c r="AA88" s="282"/>
      <c r="AB88" s="282"/>
      <c r="AC88" s="282"/>
    </row>
    <row r="89" spans="1:40" ht="13.5" customHeight="1">
      <c r="A89" s="588"/>
      <c r="B89" s="477"/>
      <c r="C89" s="282"/>
      <c r="D89" s="282"/>
      <c r="E89" s="127"/>
      <c r="F89" s="127"/>
      <c r="G89" s="538" t="str">
        <f>"spouses  are  age 50 or older  at  the  end of  "&amp;TaxYear&amp;"), "</f>
        <v xml:space="preserve">spouses  are  age 50 or older  at  the  end of  2021), </v>
      </c>
      <c r="H89" s="769"/>
      <c r="I89" s="5062" t="s">
        <v>4661</v>
      </c>
      <c r="J89" s="102"/>
      <c r="K89" s="64"/>
      <c r="L89" s="68"/>
      <c r="M89" s="68"/>
      <c r="N89" s="68"/>
      <c r="O89" s="68"/>
      <c r="P89" s="64"/>
      <c r="Q89" s="59"/>
      <c r="R89" s="59"/>
      <c r="S89" s="59"/>
      <c r="T89" s="66"/>
      <c r="U89" s="701"/>
      <c r="V89" s="23"/>
      <c r="W89" s="23"/>
      <c r="X89" s="14">
        <v>14000</v>
      </c>
      <c r="Y89" s="282"/>
      <c r="Z89" s="282"/>
      <c r="AA89" s="282"/>
      <c r="AB89" s="282"/>
      <c r="AC89" s="282"/>
    </row>
    <row r="90" spans="1:40" ht="13.5" customHeight="1">
      <c r="A90" s="588"/>
      <c r="B90" s="477"/>
      <c r="C90" s="282"/>
      <c r="D90" s="282"/>
      <c r="E90" s="127"/>
      <c r="F90" s="127"/>
      <c r="G90" s="538" t="s">
        <v>1593</v>
      </c>
      <c r="H90" s="102"/>
      <c r="I90" s="458"/>
      <c r="J90" s="458"/>
      <c r="K90" s="315"/>
      <c r="L90" s="315">
        <f>IF(AND(YourAge&gt;=50,SpouseAge&gt;=50),X89,IF(OR(YourAge&gt;=50,SpouseAge&gt;=50),X88,X87))</f>
        <v>14000</v>
      </c>
      <c r="M90" s="315"/>
      <c r="N90" s="315"/>
      <c r="O90" s="315"/>
      <c r="P90" s="64"/>
      <c r="Q90" s="59"/>
      <c r="R90" s="59"/>
      <c r="S90" s="59"/>
      <c r="T90" s="66"/>
      <c r="U90" s="701"/>
      <c r="V90" s="23"/>
      <c r="W90" s="23"/>
      <c r="X90" s="1176" t="str">
        <f>"April 15, "&amp;TaxYear+1</f>
        <v>April 15, 2022</v>
      </c>
      <c r="Y90" s="1840">
        <f>WEEKDAY(X90)</f>
        <v>6</v>
      </c>
      <c r="Z90" s="282"/>
      <c r="AA90" s="282"/>
      <c r="AB90" s="282"/>
      <c r="AC90" s="282"/>
    </row>
    <row r="91" spans="1:40" ht="13.5" customHeight="1" thickBot="1">
      <c r="A91" s="588"/>
      <c r="B91" s="477"/>
      <c r="C91" s="295"/>
      <c r="D91" s="295"/>
      <c r="E91" s="131"/>
      <c r="F91" s="131"/>
      <c r="G91" s="493" t="str">
        <f>IF(AND(L63="",Q63=""),"",IF(AND(File_Marr_Joint&lt;&gt;"",I85&lt;L90),"STOP HERE and see Publication 590 to figure your IRA deduction.",""))</f>
        <v/>
      </c>
      <c r="H91" s="304"/>
      <c r="I91" s="304"/>
      <c r="J91" s="304"/>
      <c r="K91" s="75"/>
      <c r="L91" s="68"/>
      <c r="M91" s="68"/>
      <c r="N91" s="68"/>
      <c r="O91" s="68"/>
      <c r="P91" s="64"/>
      <c r="Q91" s="68" t="str">
        <f>IF(AND(File_Marr_Joint&lt;&gt;"",I84&lt;4000,),"See Pub. 590 (below)","")</f>
        <v/>
      </c>
      <c r="R91" s="68"/>
      <c r="S91" s="68"/>
      <c r="T91" s="125"/>
      <c r="U91" s="757"/>
      <c r="V91" s="23"/>
      <c r="W91" s="23"/>
      <c r="X91" s="1176"/>
      <c r="Y91" s="1840"/>
      <c r="Z91" s="282"/>
      <c r="AA91" s="282"/>
      <c r="AB91" s="282"/>
      <c r="AC91" s="282"/>
    </row>
    <row r="92" spans="1:40">
      <c r="A92" s="588"/>
      <c r="B92" s="477">
        <v>11</v>
      </c>
      <c r="C92" s="129" t="s">
        <v>2582</v>
      </c>
      <c r="D92" s="108"/>
      <c r="E92" s="108"/>
      <c r="F92" s="108"/>
      <c r="G92" s="108"/>
      <c r="H92" s="108"/>
      <c r="I92" s="108"/>
      <c r="J92" s="108"/>
      <c r="K92" s="64"/>
      <c r="L92" s="68"/>
      <c r="M92" s="68"/>
      <c r="N92" s="68"/>
      <c r="O92" s="68"/>
      <c r="P92" s="64"/>
      <c r="Q92" s="59"/>
      <c r="R92" s="59"/>
      <c r="S92" s="59"/>
      <c r="T92" s="66"/>
      <c r="U92" s="701"/>
      <c r="V92" s="23"/>
      <c r="W92" s="23"/>
      <c r="X92" s="5786">
        <f>IF(Y90=6,X90+3,IF(Y90=7,X90+2,IF(Y90=1,X90+1,X90)))</f>
        <v>44669</v>
      </c>
      <c r="Y92" s="1840"/>
      <c r="Z92" s="282"/>
      <c r="AA92" s="282"/>
      <c r="AB92" s="282"/>
      <c r="AC92" s="282"/>
    </row>
    <row r="93" spans="1:40">
      <c r="A93" s="588"/>
      <c r="B93" s="477"/>
      <c r="C93" s="129" t="str">
        <f>"of your "&amp;TaxYear&amp;" return not counting extensions ("&amp;TEXT(TaxDay,"mmmm dd, yyyy")&amp;" for most people),"</f>
        <v>of your 2021 return not counting extensions (April 18, 2022 for most people),</v>
      </c>
      <c r="D93" s="108"/>
      <c r="E93" s="108"/>
      <c r="F93" s="108"/>
      <c r="G93" s="108"/>
      <c r="H93" s="108"/>
      <c r="I93" s="108"/>
      <c r="J93" s="108"/>
      <c r="K93" s="64"/>
      <c r="L93" s="68"/>
      <c r="M93" s="68"/>
      <c r="N93" s="68"/>
      <c r="O93" s="68"/>
      <c r="P93" s="64"/>
      <c r="Q93" s="59"/>
      <c r="R93" s="59"/>
      <c r="S93" s="59"/>
      <c r="T93" s="66"/>
      <c r="U93" s="701"/>
      <c r="V93" s="23"/>
      <c r="W93" s="23"/>
      <c r="X93" s="3263"/>
      <c r="Y93" s="282"/>
      <c r="Z93" s="282"/>
      <c r="AA93" s="282"/>
      <c r="AB93" s="282"/>
      <c r="AC93" s="282"/>
    </row>
    <row r="94" spans="1:40" ht="15.75" customHeight="1">
      <c r="A94" s="588"/>
      <c r="B94" s="477"/>
      <c r="C94" s="129" t="str">
        <f>"for "&amp;TaxYear&amp;" to your IRA on line 11a and to your spouse's IRA on line 11b"</f>
        <v>for 2021 to your IRA on line 11a and to your spouse's IRA on line 11b</v>
      </c>
      <c r="D94" s="108"/>
      <c r="E94" s="108"/>
      <c r="F94" s="108"/>
      <c r="G94" s="108"/>
      <c r="H94" s="108"/>
      <c r="I94" s="108"/>
      <c r="J94" s="69" t="s">
        <v>2584</v>
      </c>
      <c r="K94" s="71" t="s">
        <v>72</v>
      </c>
      <c r="L94" s="6677"/>
      <c r="M94" s="6677"/>
      <c r="N94" s="6681"/>
      <c r="O94" s="867"/>
      <c r="P94" s="71" t="s">
        <v>73</v>
      </c>
      <c r="Q94" s="6677"/>
      <c r="R94" s="6677"/>
      <c r="S94" s="6681"/>
      <c r="T94" s="494"/>
      <c r="U94" s="759"/>
      <c r="V94" s="23"/>
      <c r="W94" s="23"/>
      <c r="X94" s="3263"/>
      <c r="Y94" s="282"/>
      <c r="Z94" s="282"/>
      <c r="AA94" s="282"/>
      <c r="AB94" s="282"/>
      <c r="AC94" s="282"/>
    </row>
    <row r="95" spans="1:40" s="42" customFormat="1" ht="17.25" customHeight="1">
      <c r="A95" s="78"/>
      <c r="B95" s="477">
        <v>12</v>
      </c>
      <c r="C95" s="70" t="s">
        <v>1595</v>
      </c>
      <c r="D95" s="23"/>
      <c r="E95" s="108"/>
      <c r="F95" s="108"/>
      <c r="G95" s="108"/>
      <c r="H95" s="108"/>
      <c r="I95" s="108"/>
      <c r="J95" s="108"/>
      <c r="K95" s="64"/>
      <c r="L95" s="842">
        <f>IF(L94="",0,L94)</f>
        <v>0</v>
      </c>
      <c r="M95" s="842"/>
      <c r="N95" s="842"/>
      <c r="O95" s="842"/>
      <c r="P95" s="64"/>
      <c r="Q95" s="842">
        <f>IF(Q94="",0,Q94)</f>
        <v>0</v>
      </c>
      <c r="R95" s="842"/>
      <c r="S95" s="842"/>
      <c r="T95" s="843"/>
      <c r="U95" s="844"/>
      <c r="V95" s="23"/>
      <c r="W95" s="24" t="s">
        <v>90</v>
      </c>
      <c r="X95" s="24"/>
      <c r="Y95" s="282"/>
      <c r="Z95" s="282"/>
      <c r="AA95" s="282"/>
      <c r="AB95" s="282"/>
      <c r="AC95" s="23"/>
      <c r="AD95" s="2595"/>
      <c r="AE95" s="2595"/>
      <c r="AF95" s="2595"/>
      <c r="AG95" s="2595"/>
      <c r="AH95" s="2595"/>
      <c r="AI95" s="2595"/>
      <c r="AJ95" s="2595"/>
      <c r="AK95" s="2595"/>
      <c r="AL95" s="2595"/>
      <c r="AM95" s="2595"/>
      <c r="AN95" s="2595"/>
    </row>
    <row r="96" spans="1:40" ht="12.75" customHeight="1">
      <c r="A96" s="588"/>
      <c r="B96" s="63"/>
      <c r="C96" s="70" t="s">
        <v>1594</v>
      </c>
      <c r="D96" s="23"/>
      <c r="E96" s="108"/>
      <c r="F96" s="108"/>
      <c r="G96" s="108"/>
      <c r="H96" s="108"/>
      <c r="I96" s="108"/>
      <c r="J96" s="108"/>
      <c r="K96" s="130"/>
      <c r="L96" s="68"/>
      <c r="M96" s="68"/>
      <c r="N96" s="68"/>
      <c r="O96" s="68"/>
      <c r="P96" s="64"/>
      <c r="Q96" s="59"/>
      <c r="R96" s="59"/>
      <c r="S96" s="59"/>
      <c r="T96" s="66"/>
      <c r="U96" s="701"/>
      <c r="V96" s="23"/>
      <c r="W96" s="6664" t="s">
        <v>91</v>
      </c>
      <c r="X96" s="6665"/>
      <c r="Y96" s="6665"/>
      <c r="Z96" s="282"/>
      <c r="AA96" s="282"/>
      <c r="AB96" s="282"/>
      <c r="AC96" s="282"/>
    </row>
    <row r="97" spans="1:29">
      <c r="A97" s="588"/>
      <c r="B97" s="63"/>
      <c r="C97" s="70" t="s">
        <v>5691</v>
      </c>
      <c r="D97" s="23"/>
      <c r="E97" s="108"/>
      <c r="F97" s="108"/>
      <c r="G97" s="108"/>
      <c r="H97" s="108"/>
      <c r="I97" s="108"/>
      <c r="J97" s="108"/>
      <c r="K97" s="130"/>
      <c r="L97" s="68"/>
      <c r="M97" s="68"/>
      <c r="N97" s="68"/>
      <c r="O97" s="68"/>
      <c r="P97" s="64"/>
      <c r="Q97" s="59"/>
      <c r="R97" s="59"/>
      <c r="S97" s="59"/>
      <c r="T97" s="66"/>
      <c r="U97" s="701"/>
      <c r="V97" s="23"/>
      <c r="W97" s="78"/>
      <c r="X97" s="676"/>
      <c r="Y97" s="78"/>
      <c r="Z97" s="78"/>
      <c r="AA97" s="676"/>
      <c r="AB97" s="588"/>
      <c r="AC97" s="282"/>
    </row>
    <row r="98" spans="1:29">
      <c r="A98" s="588"/>
      <c r="B98" s="63"/>
      <c r="C98" s="70" t="s">
        <v>2585</v>
      </c>
      <c r="D98" s="23"/>
      <c r="E98" s="102"/>
      <c r="F98" s="102"/>
      <c r="G98" s="102"/>
      <c r="H98" s="102"/>
      <c r="I98" s="102"/>
      <c r="J98" s="69" t="s">
        <v>328</v>
      </c>
      <c r="K98" s="71" t="s">
        <v>74</v>
      </c>
      <c r="L98" s="6585" t="str">
        <f>IF(X98&lt;&gt;"",ROUND(X98,0),IF(OR(NOT(Yourself),Q15,BadBirthdate_Yours,LEFT(G91,4)="STOP",LEFT(L33,2)="No"),"",MIN(L63,I85,L95)))</f>
        <v/>
      </c>
      <c r="M98" s="6673"/>
      <c r="N98" s="6673"/>
      <c r="O98" s="42"/>
      <c r="P98" s="71" t="s">
        <v>75</v>
      </c>
      <c r="Q98" s="6585" t="str">
        <f>IF(AA98&lt;&gt;"",ROUND(AA98,0),IF(OR(LEFT(G91,4)="STOP",Q63=""),"",IF(LEFT(Q33,2)="No","",MIN(Q63,I85,Q95))))</f>
        <v/>
      </c>
      <c r="R98" s="6673"/>
      <c r="S98" s="6673"/>
      <c r="T98" s="297"/>
      <c r="U98" s="758"/>
      <c r="V98" s="23"/>
      <c r="W98" s="78"/>
      <c r="X98" s="826"/>
      <c r="Y98" s="78"/>
      <c r="Z98" s="78"/>
      <c r="AA98" s="826"/>
      <c r="AB98" s="588"/>
      <c r="AC98" s="282"/>
    </row>
    <row r="99" spans="1:29" ht="13.5" thickBot="1">
      <c r="A99" s="588"/>
      <c r="B99" s="73"/>
      <c r="C99" s="36"/>
      <c r="D99" s="36"/>
      <c r="E99" s="74"/>
      <c r="F99" s="74"/>
      <c r="G99" s="74"/>
      <c r="H99" s="74"/>
      <c r="I99" s="74"/>
      <c r="J99" s="74"/>
      <c r="K99" s="75"/>
      <c r="L99" s="74"/>
      <c r="M99" s="74"/>
      <c r="N99" s="74"/>
      <c r="O99" s="74"/>
      <c r="P99" s="75"/>
      <c r="Q99" s="74"/>
      <c r="R99" s="74"/>
      <c r="S99" s="74"/>
      <c r="T99" s="76"/>
      <c r="U99" s="701"/>
      <c r="V99" s="23"/>
      <c r="W99" s="78"/>
      <c r="X99" s="676"/>
      <c r="Y99" s="78"/>
      <c r="Z99" s="78"/>
      <c r="AA99" s="676"/>
      <c r="AB99" s="588"/>
      <c r="AC99" s="282"/>
    </row>
    <row r="100" spans="1:29">
      <c r="A100" s="588"/>
      <c r="B100" s="478"/>
      <c r="C100" s="127"/>
      <c r="D100" s="127"/>
      <c r="E100" s="85"/>
      <c r="F100" s="85"/>
      <c r="G100" s="85"/>
      <c r="H100" s="64"/>
      <c r="I100" s="59"/>
      <c r="J100" s="59"/>
      <c r="K100" s="64"/>
      <c r="L100" s="59"/>
      <c r="M100" s="59"/>
      <c r="N100" s="59"/>
      <c r="O100" s="59"/>
      <c r="P100" s="59"/>
      <c r="Q100" s="59"/>
      <c r="R100" s="59"/>
      <c r="S100" s="59"/>
      <c r="T100" s="66"/>
      <c r="U100" s="701"/>
      <c r="V100" s="23"/>
      <c r="W100" s="23"/>
      <c r="X100" s="23"/>
      <c r="Y100" s="282"/>
      <c r="Z100" s="282"/>
      <c r="AA100" s="282"/>
      <c r="AB100" s="282"/>
      <c r="AC100" s="282"/>
    </row>
    <row r="101" spans="1:29" ht="15.75">
      <c r="A101" s="588"/>
      <c r="B101" s="479"/>
      <c r="C101" s="127"/>
      <c r="D101" s="127"/>
      <c r="E101" s="85"/>
      <c r="F101" s="85"/>
      <c r="G101" s="85"/>
      <c r="H101" s="64"/>
      <c r="I101" s="59"/>
      <c r="J101" s="59"/>
      <c r="K101" s="3318" t="s">
        <v>5392</v>
      </c>
      <c r="L101" s="6678" t="str">
        <f>IF(AND(L98="",Q98=""),"",IF(Q98="",L98,SUM(L98,Q98)))</f>
        <v/>
      </c>
      <c r="M101" s="6679"/>
      <c r="N101" s="6680"/>
      <c r="O101" s="42"/>
      <c r="P101" s="59"/>
      <c r="Q101" s="59"/>
      <c r="R101" s="59"/>
      <c r="S101" s="59"/>
      <c r="T101" s="66"/>
      <c r="U101" s="701"/>
      <c r="V101" s="23"/>
      <c r="W101" s="23"/>
      <c r="X101" s="282"/>
      <c r="Y101" s="282"/>
      <c r="Z101" s="282"/>
      <c r="AA101" s="282"/>
      <c r="AB101" s="282"/>
      <c r="AC101" s="282"/>
    </row>
    <row r="102" spans="1:29" ht="16.5" thickBot="1">
      <c r="A102" s="588"/>
      <c r="B102" s="480"/>
      <c r="C102" s="131"/>
      <c r="D102" s="131"/>
      <c r="E102" s="112"/>
      <c r="F102" s="112"/>
      <c r="G102" s="112"/>
      <c r="H102" s="75"/>
      <c r="I102" s="74"/>
      <c r="J102" s="74"/>
      <c r="K102" s="305"/>
      <c r="L102" s="306"/>
      <c r="M102" s="306"/>
      <c r="N102" s="306"/>
      <c r="O102" s="306"/>
      <c r="P102" s="74"/>
      <c r="Q102" s="74"/>
      <c r="R102" s="74"/>
      <c r="S102" s="74"/>
      <c r="T102" s="76"/>
      <c r="U102" s="701"/>
      <c r="V102" s="23"/>
      <c r="W102" s="23"/>
      <c r="X102" s="282"/>
      <c r="Y102" s="282"/>
      <c r="Z102" s="282"/>
      <c r="AA102" s="282"/>
      <c r="AB102" s="282"/>
      <c r="AC102" s="282"/>
    </row>
    <row r="103" spans="1:29">
      <c r="A103" s="588"/>
      <c r="B103" s="588"/>
      <c r="C103" s="588"/>
      <c r="D103" s="588"/>
      <c r="E103" s="588"/>
      <c r="F103" s="588"/>
      <c r="G103" s="588"/>
      <c r="H103" s="588"/>
      <c r="I103" s="588"/>
      <c r="J103" s="588"/>
      <c r="K103" s="588"/>
      <c r="L103" s="588"/>
      <c r="M103" s="588"/>
      <c r="N103" s="588"/>
      <c r="O103" s="588"/>
      <c r="P103" s="588"/>
      <c r="Q103" s="588"/>
      <c r="R103" s="588"/>
      <c r="S103" s="588"/>
      <c r="T103" s="588"/>
      <c r="U103" s="588"/>
      <c r="V103" s="282"/>
      <c r="W103" s="282"/>
      <c r="X103" s="282"/>
      <c r="Y103" s="282"/>
      <c r="Z103" s="282"/>
      <c r="AA103" s="282"/>
      <c r="AB103" s="282"/>
      <c r="AC103" s="282"/>
    </row>
    <row r="104" spans="1:29">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row>
    <row r="105" spans="1:29">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row>
  </sheetData>
  <sheetProtection algorithmName="SHA-512" hashValue="7DXhNdosmssjzxwzOCxM1MTF9o7jYviNUCJyYAjBB3LB7ssJ+pBUbOO/23Rq0l8SpslB7zMk0Ye1bUYbQNYZqA==" saltValue="J72mkSQvXQ5x0syrSZM1Xg==" spinCount="100000" sheet="1" objects="1" scenarios="1"/>
  <mergeCells count="43">
    <mergeCell ref="I27:J27"/>
    <mergeCell ref="I29:J29"/>
    <mergeCell ref="Q57:S57"/>
    <mergeCell ref="Q58:S58"/>
    <mergeCell ref="Q47:S47"/>
    <mergeCell ref="Q45:S45"/>
    <mergeCell ref="L46:N46"/>
    <mergeCell ref="L63:N63"/>
    <mergeCell ref="I74:J74"/>
    <mergeCell ref="Q30:S30"/>
    <mergeCell ref="Q44:S44"/>
    <mergeCell ref="Q63:S63"/>
    <mergeCell ref="Q46:S46"/>
    <mergeCell ref="L30:N30"/>
    <mergeCell ref="L57:N57"/>
    <mergeCell ref="L58:N58"/>
    <mergeCell ref="L44:N44"/>
    <mergeCell ref="I85:J85"/>
    <mergeCell ref="I84:J84"/>
    <mergeCell ref="L101:N101"/>
    <mergeCell ref="L94:N94"/>
    <mergeCell ref="Q94:S94"/>
    <mergeCell ref="Q98:S98"/>
    <mergeCell ref="L98:N98"/>
    <mergeCell ref="Q15:R15"/>
    <mergeCell ref="L23:N23"/>
    <mergeCell ref="Q23:S23"/>
    <mergeCell ref="L45:N45"/>
    <mergeCell ref="Q22:S22"/>
    <mergeCell ref="L22:N22"/>
    <mergeCell ref="R17:T17"/>
    <mergeCell ref="L26:N26"/>
    <mergeCell ref="W25:Y25"/>
    <mergeCell ref="W72:Y72"/>
    <mergeCell ref="W96:Y96"/>
    <mergeCell ref="W42:Y42"/>
    <mergeCell ref="W61:Y61"/>
    <mergeCell ref="W82:Y82"/>
    <mergeCell ref="W83:Y83"/>
    <mergeCell ref="W84:Y84"/>
    <mergeCell ref="W85:Y85"/>
    <mergeCell ref="W86:Y86"/>
    <mergeCell ref="W27:Y27"/>
  </mergeCells>
  <phoneticPr fontId="14" type="noConversion"/>
  <conditionalFormatting sqref="F83">
    <cfRule type="expression" dxfId="2736" priority="21">
      <formula>$I$84&lt;0</formula>
    </cfRule>
  </conditionalFormatting>
  <conditionalFormatting sqref="I27:J27">
    <cfRule type="expression" dxfId="2735" priority="17">
      <formula>IF(NoColor,1,0)</formula>
    </cfRule>
  </conditionalFormatting>
  <conditionalFormatting sqref="I29:J29">
    <cfRule type="expression" dxfId="2734" priority="41">
      <formula>IF(NoColor,1,0)</formula>
    </cfRule>
  </conditionalFormatting>
  <conditionalFormatting sqref="I74:J74">
    <cfRule type="expression" dxfId="2733" priority="32">
      <formula>IF(NoColor,1,0)</formula>
    </cfRule>
  </conditionalFormatting>
  <conditionalFormatting sqref="I84:J85">
    <cfRule type="expression" dxfId="2732" priority="26">
      <formula>IF(NoColor,1,0)</formula>
    </cfRule>
  </conditionalFormatting>
  <conditionalFormatting sqref="K10">
    <cfRule type="expression" dxfId="2731" priority="30">
      <formula>IF(NoColor,1,0)</formula>
    </cfRule>
  </conditionalFormatting>
  <conditionalFormatting sqref="L94:M94">
    <cfRule type="expression" dxfId="2730" priority="48">
      <formula>IF(NoColor,1,0)</formula>
    </cfRule>
  </conditionalFormatting>
  <conditionalFormatting sqref="L22:N22">
    <cfRule type="expression" dxfId="2729" priority="44">
      <formula>IF(NoColor,1,0)</formula>
    </cfRule>
  </conditionalFormatting>
  <conditionalFormatting sqref="L30:N30">
    <cfRule type="expression" dxfId="2728" priority="43">
      <formula>IF(NoColor,1,0)</formula>
    </cfRule>
  </conditionalFormatting>
  <conditionalFormatting sqref="L44:N44">
    <cfRule type="expression" dxfId="2727" priority="42">
      <formula>IF(NoColor,1,0)</formula>
    </cfRule>
  </conditionalFormatting>
  <conditionalFormatting sqref="L63:N63">
    <cfRule type="expression" dxfId="2726" priority="35">
      <formula>IF(NoColor,1,0)</formula>
    </cfRule>
  </conditionalFormatting>
  <conditionalFormatting sqref="L98:N98">
    <cfRule type="expression" dxfId="2725" priority="34">
      <formula>IF(NoColor,1,0)</formula>
    </cfRule>
  </conditionalFormatting>
  <conditionalFormatting sqref="L101:N101">
    <cfRule type="expression" dxfId="2724" priority="33">
      <formula>IF(NoColor,1,0)</formula>
    </cfRule>
  </conditionalFormatting>
  <conditionalFormatting sqref="M10">
    <cfRule type="expression" dxfId="2723" priority="29">
      <formula>IF(NoColor,1,0)</formula>
    </cfRule>
  </conditionalFormatting>
  <conditionalFormatting sqref="P11">
    <cfRule type="expression" dxfId="2722" priority="51">
      <formula>IF(NoColor,1,0)</formula>
    </cfRule>
  </conditionalFormatting>
  <conditionalFormatting sqref="Q94:R94">
    <cfRule type="expression" dxfId="2721" priority="47">
      <formula>IF(NoColor,1,0)</formula>
    </cfRule>
  </conditionalFormatting>
  <conditionalFormatting sqref="Q22:S22">
    <cfRule type="expression" dxfId="2720" priority="19">
      <formula>IF(NoColor,1,0)</formula>
    </cfRule>
  </conditionalFormatting>
  <conditionalFormatting sqref="Q30:S30">
    <cfRule type="expression" dxfId="2719" priority="39">
      <formula>IF(NoColor,1,0)</formula>
    </cfRule>
  </conditionalFormatting>
  <conditionalFormatting sqref="Q44:S44">
    <cfRule type="expression" dxfId="2718" priority="38">
      <formula>IF(NoColor,1,0)</formula>
    </cfRule>
  </conditionalFormatting>
  <conditionalFormatting sqref="Q63:S63">
    <cfRule type="expression" dxfId="2717" priority="37">
      <formula>IF(NoColor,1,0)</formula>
    </cfRule>
  </conditionalFormatting>
  <conditionalFormatting sqref="Q98:S98">
    <cfRule type="expression" dxfId="2716" priority="36">
      <formula>IF(NoColor,1,0)</formula>
    </cfRule>
  </conditionalFormatting>
  <conditionalFormatting sqref="R11">
    <cfRule type="expression" dxfId="2715" priority="45">
      <formula>IF(NoColor,1,0)</formula>
    </cfRule>
  </conditionalFormatting>
  <conditionalFormatting sqref="V26:W26">
    <cfRule type="expression" dxfId="2714" priority="5">
      <formula>File_Marr_Sep=""</formula>
    </cfRule>
  </conditionalFormatting>
  <conditionalFormatting sqref="V19:Y25">
    <cfRule type="expression" dxfId="2713" priority="22">
      <formula>File_Marr_Sep=""</formula>
    </cfRule>
  </conditionalFormatting>
  <conditionalFormatting sqref="W20:W27">
    <cfRule type="expression" dxfId="2712" priority="4">
      <formula>LivedApartAnswered</formula>
    </cfRule>
  </conditionalFormatting>
  <conditionalFormatting sqref="W27:Y27">
    <cfRule type="expression" dxfId="2711" priority="1">
      <formula>File_Marr_Sep=""</formula>
    </cfRule>
  </conditionalFormatting>
  <conditionalFormatting sqref="X25:Y25">
    <cfRule type="expression" dxfId="2710" priority="23">
      <formula>LivedApartAnswered</formula>
    </cfRule>
  </conditionalFormatting>
  <conditionalFormatting sqref="X27:Y27">
    <cfRule type="expression" dxfId="2709" priority="2">
      <formula>LivedApartAnswered</formula>
    </cfRule>
  </conditionalFormatting>
  <pageMargins left="0.39" right="0" top="0.43" bottom="0" header="0.31" footer="0"/>
  <pageSetup scale="79" fitToHeight="0" orientation="portrait" r:id="rId1"/>
  <headerFooter alignWithMargins="0"/>
  <rowBreaks count="1" manualBreakCount="1">
    <brk id="53" min="1" max="19"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40"/>
  <sheetViews>
    <sheetView zoomScaleNormal="100" zoomScaleSheetLayoutView="100" workbookViewId="0"/>
  </sheetViews>
  <sheetFormatPr defaultRowHeight="12.75"/>
  <cols>
    <col min="1" max="1" width="3.140625" customWidth="1"/>
    <col min="2" max="2" width="8.140625" style="42" customWidth="1"/>
    <col min="3" max="3" width="2.7109375" style="42" customWidth="1"/>
    <col min="4" max="4" width="8.85546875" style="42" customWidth="1"/>
    <col min="5" max="5" width="20.42578125" style="42" customWidth="1"/>
    <col min="6" max="6" width="10.140625" style="42" customWidth="1"/>
    <col min="7" max="7" width="15.28515625" style="42" customWidth="1"/>
    <col min="8" max="8" width="17.140625" style="42" customWidth="1"/>
    <col min="9" max="9" width="3.28515625" style="42" customWidth="1"/>
    <col min="10" max="10" width="12.85546875" style="42" customWidth="1"/>
    <col min="11" max="11" width="7.140625" style="42" customWidth="1"/>
    <col min="12" max="12" width="11.28515625" style="42" customWidth="1"/>
    <col min="13" max="13" width="2.7109375" style="42" customWidth="1"/>
    <col min="14" max="14" width="3.5703125" customWidth="1"/>
    <col min="15" max="15" width="10.7109375" style="3699" customWidth="1"/>
    <col min="16" max="26" width="10.7109375" style="3402" customWidth="1"/>
    <col min="27" max="28" width="10.7109375" customWidth="1"/>
  </cols>
  <sheetData>
    <row r="1" spans="1:26" ht="16.5" customHeight="1" thickBot="1">
      <c r="A1" s="1179"/>
      <c r="B1" s="1179"/>
      <c r="C1" s="1179"/>
      <c r="D1" s="1179"/>
      <c r="E1" s="1179"/>
      <c r="F1" s="1179"/>
      <c r="G1" s="1179"/>
      <c r="H1" s="1179"/>
      <c r="I1" s="1179"/>
      <c r="J1" s="1179"/>
      <c r="K1" s="1179"/>
      <c r="L1" s="1179"/>
      <c r="M1" s="1179"/>
      <c r="N1" s="1145"/>
      <c r="O1" s="3700" t="s">
        <v>2033</v>
      </c>
      <c r="P1" s="2595"/>
      <c r="Q1" s="2595"/>
      <c r="R1" s="2595"/>
      <c r="S1" s="2595"/>
      <c r="T1" s="2595"/>
      <c r="U1" s="2595"/>
      <c r="V1" s="2595"/>
      <c r="W1" s="2595"/>
      <c r="X1" s="2595"/>
      <c r="Y1" s="2595"/>
      <c r="Z1" s="2595"/>
    </row>
    <row r="2" spans="1:26" ht="18.75" customHeight="1">
      <c r="A2" s="1179"/>
      <c r="B2" s="924"/>
      <c r="C2" s="966"/>
      <c r="D2" s="3450"/>
      <c r="E2" s="920"/>
      <c r="F2" s="920"/>
      <c r="G2" s="920"/>
      <c r="H2" s="920"/>
      <c r="I2" s="920"/>
      <c r="J2" s="925"/>
      <c r="K2" s="3225" t="s">
        <v>175</v>
      </c>
      <c r="L2" s="920"/>
      <c r="M2" s="96"/>
      <c r="N2" s="1145"/>
      <c r="O2" s="3701" t="s">
        <v>2763</v>
      </c>
      <c r="P2" s="2595"/>
      <c r="Q2" s="2595"/>
      <c r="R2" s="2595"/>
      <c r="S2" s="2595"/>
      <c r="T2" s="2595"/>
      <c r="U2" s="2595"/>
      <c r="V2" s="2595"/>
      <c r="W2" s="2595"/>
      <c r="X2" s="2595"/>
      <c r="Y2" s="2595"/>
      <c r="Z2" s="2595"/>
    </row>
    <row r="3" spans="1:26" ht="14.25" customHeight="1">
      <c r="A3" s="1145"/>
      <c r="B3" s="988" t="s">
        <v>5394</v>
      </c>
      <c r="C3" s="322"/>
      <c r="D3" s="268"/>
      <c r="E3" s="268"/>
      <c r="F3" s="268"/>
      <c r="G3" s="268"/>
      <c r="H3" s="268"/>
      <c r="I3" s="268"/>
      <c r="J3" s="1048"/>
      <c r="K3" s="1861"/>
      <c r="L3" s="268"/>
      <c r="M3" s="97"/>
      <c r="N3" s="1145"/>
      <c r="O3" s="3408"/>
      <c r="P3" s="2595"/>
      <c r="Q3" s="2595"/>
      <c r="R3" s="2595"/>
      <c r="S3" s="2595"/>
      <c r="T3" s="2595"/>
      <c r="U3" s="2595"/>
      <c r="V3" s="2595"/>
      <c r="W3" s="2595"/>
      <c r="X3" s="2595"/>
      <c r="Y3" s="2595"/>
      <c r="Z3" s="2595"/>
    </row>
    <row r="4" spans="1:26" ht="14.25" customHeight="1">
      <c r="A4" s="1179"/>
      <c r="B4" s="970"/>
      <c r="C4" s="24" t="s">
        <v>214</v>
      </c>
      <c r="D4" s="38"/>
      <c r="E4" s="268"/>
      <c r="F4" s="921"/>
      <c r="G4" s="923"/>
      <c r="H4" s="1049"/>
      <c r="I4" s="1050"/>
      <c r="J4" s="1050"/>
      <c r="K4" s="1050"/>
      <c r="L4" s="1051"/>
      <c r="M4" s="97"/>
      <c r="N4" s="1145"/>
      <c r="O4" s="3408"/>
      <c r="P4" s="2595"/>
      <c r="Q4" s="2595"/>
      <c r="R4" s="2595"/>
      <c r="S4" s="2595"/>
      <c r="T4" s="2595"/>
      <c r="U4" s="2595"/>
      <c r="V4" s="2595"/>
      <c r="W4" s="2595"/>
      <c r="X4" s="2595"/>
      <c r="Y4" s="2595"/>
      <c r="Z4" s="2595"/>
    </row>
    <row r="5" spans="1:26" ht="14.25" customHeight="1">
      <c r="A5" s="1179"/>
      <c r="B5" s="1870" t="s">
        <v>42</v>
      </c>
      <c r="C5" s="70" t="s">
        <v>5395</v>
      </c>
      <c r="D5" s="38"/>
      <c r="E5" s="268"/>
      <c r="F5" s="921"/>
      <c r="G5" s="923"/>
      <c r="H5" s="1049"/>
      <c r="I5" s="1050"/>
      <c r="J5" s="1050"/>
      <c r="K5" s="1050"/>
      <c r="L5" s="1051"/>
      <c r="M5" s="97"/>
      <c r="N5" s="1145"/>
      <c r="O5" s="3408"/>
      <c r="P5" s="2595"/>
      <c r="Q5" s="2595"/>
      <c r="R5" s="2595"/>
      <c r="S5" s="2595"/>
      <c r="T5" s="2595"/>
      <c r="U5" s="2595"/>
      <c r="V5" s="2595"/>
      <c r="W5" s="2595"/>
      <c r="X5" s="2595"/>
      <c r="Y5" s="2595"/>
      <c r="Z5" s="2595"/>
    </row>
    <row r="6" spans="1:26" ht="14.25" customHeight="1">
      <c r="A6" s="1179"/>
      <c r="B6" s="1870"/>
      <c r="C6" s="70" t="s">
        <v>5396</v>
      </c>
      <c r="D6" s="38"/>
      <c r="E6" s="268"/>
      <c r="F6" s="921"/>
      <c r="G6" s="923"/>
      <c r="H6" s="1049"/>
      <c r="I6" s="1050"/>
      <c r="J6" s="1050"/>
      <c r="K6" s="1050"/>
      <c r="L6" s="1051"/>
      <c r="M6" s="97"/>
      <c r="N6" s="1145"/>
      <c r="O6" s="3408"/>
      <c r="P6" s="2595"/>
      <c r="Q6" s="2595"/>
      <c r="R6" s="2595"/>
      <c r="S6" s="2595"/>
      <c r="T6" s="2595"/>
      <c r="U6" s="2595"/>
      <c r="V6" s="2595"/>
      <c r="W6" s="2595"/>
      <c r="X6" s="2595"/>
      <c r="Y6" s="2595"/>
      <c r="Z6" s="2595"/>
    </row>
    <row r="7" spans="1:26" ht="14.25" customHeight="1">
      <c r="A7" s="1179"/>
      <c r="B7" s="1870" t="s">
        <v>42</v>
      </c>
      <c r="C7" s="70" t="s">
        <v>2646</v>
      </c>
      <c r="D7" s="38"/>
      <c r="E7" s="268"/>
      <c r="F7" s="921"/>
      <c r="G7" s="923"/>
      <c r="H7" s="1049"/>
      <c r="I7" s="1050"/>
      <c r="J7" s="1050"/>
      <c r="K7" s="1050"/>
      <c r="L7" s="1051"/>
      <c r="M7" s="97"/>
      <c r="N7" s="1145"/>
      <c r="O7" s="3408"/>
      <c r="P7" s="2595"/>
      <c r="Q7" s="2595"/>
      <c r="R7" s="2595"/>
      <c r="S7" s="2595"/>
      <c r="T7" s="2595"/>
      <c r="U7" s="2595"/>
      <c r="V7" s="2595"/>
      <c r="W7" s="2595"/>
      <c r="X7" s="2595"/>
      <c r="Y7" s="2595"/>
      <c r="Z7" s="2595"/>
    </row>
    <row r="8" spans="1:26" ht="14.25" customHeight="1">
      <c r="A8" s="1179"/>
      <c r="B8" s="1871"/>
      <c r="C8" s="1234" t="s">
        <v>1648</v>
      </c>
      <c r="D8" s="1872"/>
      <c r="E8" s="310"/>
      <c r="F8" s="1873"/>
      <c r="G8" s="1882" t="str">
        <f>IF(L11="","",IF(NumFileStatusBoxes=0,"Indicate filing status.",IF(NumFileStatusBoxes&gt;1,"Too many filing status boxes are checked.",IF(Form2555_Used,"Use Pub. 974 to figure your deduction if you file Form 2555.",IF(File_Marr_Sep&lt;&gt;"","Cannot claim deduction if filing - Married Filing Separate return.",IF(OR(DependentYOU&lt;&gt;"",DependentSPOUSE&lt;&gt;""),"Cannot claim deduction if you (or spouse) are claimed as a dependent.",""))))))</f>
        <v/>
      </c>
      <c r="H8" s="1874"/>
      <c r="I8" s="1875"/>
      <c r="J8" s="1875"/>
      <c r="K8" s="1875"/>
      <c r="L8" s="1876"/>
      <c r="M8" s="1877"/>
      <c r="N8" s="1145"/>
      <c r="O8" s="3408"/>
      <c r="P8" s="2595"/>
      <c r="Q8" s="2595"/>
      <c r="R8" s="2595"/>
      <c r="S8" s="2595"/>
      <c r="T8" s="2595"/>
      <c r="U8" s="2595"/>
      <c r="V8" s="2595"/>
      <c r="W8" s="2595"/>
      <c r="X8" s="2595"/>
      <c r="Y8" s="2595"/>
      <c r="Z8" s="2595"/>
    </row>
    <row r="9" spans="1:26" ht="14.25" customHeight="1">
      <c r="A9" s="1179"/>
      <c r="B9" s="970"/>
      <c r="C9" s="268"/>
      <c r="D9" s="38"/>
      <c r="E9" s="268"/>
      <c r="F9" s="921"/>
      <c r="G9" s="923"/>
      <c r="H9" s="1049"/>
      <c r="I9" s="1050"/>
      <c r="J9" s="1050"/>
      <c r="K9" s="1050"/>
      <c r="L9" s="1051" t="b">
        <f>OR(L11="",NumFileStatusBoxes&lt;&gt;1,File_Marr_Sep&lt;&gt;"",Form2555_Used,DependentYOU&lt;&gt;"",DependentSPOUSE&lt;&gt;"")</f>
        <v>1</v>
      </c>
      <c r="M9" s="97"/>
      <c r="N9" s="1145"/>
      <c r="O9" s="3408"/>
      <c r="P9" s="2595"/>
      <c r="Q9" s="2595"/>
      <c r="R9" s="2595"/>
      <c r="S9" s="2595"/>
      <c r="T9" s="2595"/>
      <c r="U9" s="2595"/>
      <c r="V9" s="2595"/>
      <c r="W9" s="2595"/>
      <c r="X9" s="2595"/>
      <c r="Y9" s="2595"/>
      <c r="Z9" s="2595"/>
    </row>
    <row r="10" spans="1:26" ht="14.25" customHeight="1">
      <c r="A10" s="1179"/>
      <c r="B10" s="969" t="s">
        <v>294</v>
      </c>
      <c r="C10" s="967"/>
      <c r="D10" s="70" t="str">
        <f>"Enter the total interest you paid in "&amp;TaxYear&amp;" on qualified student loans (see the instructions for line 20). "</f>
        <v xml:space="preserve">Enter the total interest you paid in 2021 on qualified student loans (see the instructions for line 20). </v>
      </c>
      <c r="E10" s="268"/>
      <c r="F10" s="268"/>
      <c r="G10" s="923"/>
      <c r="H10" s="1050"/>
      <c r="I10" s="1050"/>
      <c r="J10" s="1051"/>
      <c r="K10" s="1051"/>
      <c r="L10" s="1051"/>
      <c r="M10" s="97"/>
      <c r="N10" s="1145"/>
      <c r="O10" s="3408"/>
      <c r="P10" s="2595"/>
      <c r="Q10" s="2595"/>
      <c r="R10" s="2595"/>
      <c r="S10" s="2595"/>
      <c r="T10" s="2595"/>
      <c r="U10" s="2595"/>
      <c r="V10" s="2595"/>
      <c r="W10" s="2595"/>
      <c r="X10" s="2595"/>
      <c r="Y10" s="2595"/>
      <c r="Z10" s="2595"/>
    </row>
    <row r="11" spans="1:26" ht="14.25" customHeight="1">
      <c r="A11" s="1179"/>
      <c r="B11" s="969"/>
      <c r="C11" s="967"/>
      <c r="D11" s="70" t="str">
        <f>"Don't enter more than "&amp;TEXT(L12,"$0,000")</f>
        <v>Don't enter more than $2,500</v>
      </c>
      <c r="E11" s="268"/>
      <c r="F11" s="268"/>
      <c r="G11" s="923"/>
      <c r="H11" s="319"/>
      <c r="I11" s="319"/>
      <c r="J11" s="14"/>
      <c r="K11" s="1037" t="str">
        <f>".   .   .   .   .   .   .   .   .   .   .   .   .   .   .   .   .   .   .   .   .   .   .   .   .   1."</f>
        <v>.   .   .   .   .   .   .   .   .   .   .   .   .   .   .   .   .   .   .   .   .   .   .   .   .   1.</v>
      </c>
      <c r="L11" s="1884"/>
      <c r="M11" s="97"/>
      <c r="N11" s="1145"/>
      <c r="O11" s="3408"/>
      <c r="P11" s="2595"/>
      <c r="Q11" s="2595"/>
      <c r="R11" s="2595"/>
      <c r="S11" s="2595"/>
      <c r="T11" s="2595"/>
      <c r="U11" s="2595"/>
      <c r="V11" s="2595"/>
      <c r="W11" s="2595"/>
      <c r="X11" s="2595"/>
      <c r="Y11" s="2595"/>
      <c r="Z11" s="2595"/>
    </row>
    <row r="12" spans="1:26" ht="14.25" customHeight="1">
      <c r="A12" s="1179"/>
      <c r="B12" s="969"/>
      <c r="C12" s="24"/>
      <c r="D12" s="24"/>
      <c r="E12" s="23"/>
      <c r="F12" s="23"/>
      <c r="G12" s="23"/>
      <c r="H12" s="1050"/>
      <c r="I12" s="1050"/>
      <c r="J12" s="1051"/>
      <c r="K12" s="1051" t="b">
        <f>IF(L11&gt;L12,TRUE,FALSE)</f>
        <v>0</v>
      </c>
      <c r="L12" s="1051">
        <v>2500</v>
      </c>
      <c r="M12" s="97"/>
      <c r="N12" s="1145"/>
      <c r="O12" s="3408"/>
      <c r="P12" s="2595"/>
      <c r="Q12" s="2595"/>
      <c r="R12" s="2595"/>
      <c r="S12" s="2595"/>
      <c r="T12" s="2595"/>
      <c r="U12" s="2595"/>
      <c r="V12" s="2595"/>
      <c r="W12" s="2595"/>
      <c r="X12" s="2595"/>
      <c r="Y12" s="2595"/>
      <c r="Z12" s="2595"/>
    </row>
    <row r="13" spans="1:26" ht="14.25" customHeight="1">
      <c r="A13" s="1179"/>
      <c r="B13" s="1336" t="s">
        <v>0</v>
      </c>
      <c r="C13" s="967"/>
      <c r="D13" s="70" t="s">
        <v>4338</v>
      </c>
      <c r="E13" s="268"/>
      <c r="F13" s="268"/>
      <c r="G13" s="923"/>
      <c r="H13" s="2714" t="s">
        <v>4339</v>
      </c>
      <c r="I13" s="1338" t="s">
        <v>0</v>
      </c>
      <c r="J13" s="1865" t="str">
        <f>IF(OR(K12,Line33_NOT),"",Total_Income)</f>
        <v/>
      </c>
      <c r="K13" s="1037"/>
      <c r="L13" s="438"/>
      <c r="M13" s="97"/>
      <c r="N13" s="1145"/>
      <c r="O13" s="3408"/>
      <c r="P13" s="2595"/>
      <c r="Q13" s="2595"/>
      <c r="R13" s="2595"/>
      <c r="S13" s="2595"/>
      <c r="T13" s="2595"/>
      <c r="U13" s="2595"/>
      <c r="V13" s="2595"/>
      <c r="W13" s="2595"/>
      <c r="X13" s="2595"/>
      <c r="Y13" s="2595"/>
      <c r="Z13" s="2595"/>
    </row>
    <row r="14" spans="1:26" ht="14.25" customHeight="1">
      <c r="A14" s="1179"/>
      <c r="B14" s="1336"/>
      <c r="C14" s="24"/>
      <c r="D14" s="70"/>
      <c r="E14" s="23"/>
      <c r="F14" s="23"/>
      <c r="G14" s="23"/>
      <c r="H14" s="1050"/>
      <c r="I14" s="1050"/>
      <c r="J14" s="1051"/>
      <c r="K14" s="1051"/>
      <c r="L14" s="1051"/>
      <c r="M14" s="97"/>
      <c r="N14" s="1145"/>
      <c r="O14" s="3408"/>
      <c r="P14" s="2595"/>
      <c r="Q14" s="2595"/>
      <c r="R14" s="2595"/>
      <c r="S14" s="2595"/>
      <c r="T14" s="2595"/>
      <c r="U14" s="2595"/>
      <c r="V14" s="2595"/>
      <c r="W14" s="2595"/>
      <c r="X14" s="2595"/>
      <c r="Y14" s="2595"/>
      <c r="Z14" s="2595"/>
    </row>
    <row r="15" spans="1:26" ht="14.25" customHeight="1">
      <c r="A15" s="1179"/>
      <c r="B15" s="1336" t="s">
        <v>1</v>
      </c>
      <c r="C15" s="24"/>
      <c r="D15" s="70" t="s">
        <v>5141</v>
      </c>
      <c r="E15" s="23"/>
      <c r="F15" s="23"/>
      <c r="G15" s="23"/>
      <c r="H15" s="2714"/>
      <c r="I15" s="1037" t="str">
        <f>"3."</f>
        <v>3.</v>
      </c>
      <c r="J15" s="1865" t="str">
        <f>IF(OR(K12,Line33_NOT),"",SUM(SUM('Sch. 1'!AC47,'Sch. 1'!AC49,'Sch. 1'!AC50,'Sch. 1'!AC51,'Sch. 1'!AC52,'Sch. 1'!AC53,'Sch. 1'!AC54,'Sch. 1'!AC55,'Sch. 1'!AC56,IRADeduct,'Sch. 1'!AC62,'Sch. 1'!AC84)))</f>
        <v/>
      </c>
      <c r="K15" s="1051"/>
      <c r="L15" s="1051"/>
      <c r="M15" s="97"/>
      <c r="N15" s="1145"/>
      <c r="O15" s="3408"/>
      <c r="P15" s="2595"/>
      <c r="Q15" s="2595"/>
      <c r="R15" s="2595"/>
      <c r="S15" s="2595"/>
      <c r="T15" s="2595"/>
      <c r="U15" s="2595"/>
      <c r="V15" s="2595"/>
      <c r="W15" s="2595"/>
      <c r="X15" s="2595"/>
      <c r="Y15" s="2595"/>
      <c r="Z15" s="2595"/>
    </row>
    <row r="16" spans="1:26" ht="14.25" customHeight="1">
      <c r="A16" s="1179"/>
      <c r="B16" s="969"/>
      <c r="C16" s="24"/>
      <c r="D16" s="24"/>
      <c r="E16" s="23"/>
      <c r="F16" s="23"/>
      <c r="G16" s="23"/>
      <c r="H16" s="1050"/>
      <c r="I16" s="1050"/>
      <c r="J16" s="1051"/>
      <c r="K16" s="1051"/>
      <c r="L16" s="1051"/>
      <c r="M16" s="97"/>
      <c r="N16" s="1145"/>
      <c r="O16" s="3408"/>
      <c r="P16" s="2595"/>
      <c r="Q16" s="2595"/>
      <c r="R16" s="2595"/>
      <c r="S16" s="2595"/>
      <c r="T16" s="2595"/>
      <c r="U16" s="2595"/>
      <c r="V16" s="2595"/>
      <c r="W16" s="2595"/>
      <c r="X16" s="2595"/>
      <c r="Y16" s="2595"/>
      <c r="Z16" s="2595"/>
    </row>
    <row r="17" spans="1:26" ht="14.25" customHeight="1">
      <c r="A17" s="1179"/>
      <c r="B17" s="1336" t="s">
        <v>399</v>
      </c>
      <c r="C17" s="967"/>
      <c r="D17" s="70" t="s">
        <v>1649</v>
      </c>
      <c r="E17" s="268"/>
      <c r="F17" s="268"/>
      <c r="G17" s="923"/>
      <c r="H17" s="2714" t="s">
        <v>94</v>
      </c>
      <c r="I17" s="1037" t="str">
        <f>"4."</f>
        <v>4.</v>
      </c>
      <c r="J17" s="1865" t="str">
        <f>IF(OR(K12,Line33_NOT),"",SUM(J13,-J15))</f>
        <v/>
      </c>
      <c r="K17" s="1037"/>
      <c r="L17" s="438"/>
      <c r="M17" s="97"/>
      <c r="N17" s="1145"/>
      <c r="O17" s="3408"/>
      <c r="P17" s="2595"/>
      <c r="Q17" s="2595"/>
      <c r="R17" s="2595"/>
      <c r="S17" s="2595"/>
      <c r="T17" s="2595"/>
      <c r="U17" s="2595"/>
      <c r="V17" s="2595"/>
      <c r="W17" s="2595"/>
      <c r="X17" s="2595"/>
      <c r="Y17" s="2595"/>
      <c r="Z17" s="2595"/>
    </row>
    <row r="18" spans="1:26" ht="14.25" customHeight="1">
      <c r="A18" s="1179"/>
      <c r="B18" s="969"/>
      <c r="C18" s="24"/>
      <c r="D18" s="24"/>
      <c r="E18" s="23"/>
      <c r="F18" s="23"/>
      <c r="G18" s="23"/>
      <c r="H18" s="1050"/>
      <c r="I18" s="1050"/>
      <c r="J18" s="1051"/>
      <c r="K18" s="1051"/>
      <c r="L18" s="1051"/>
      <c r="M18" s="97"/>
      <c r="N18" s="1145"/>
      <c r="O18" s="3408"/>
      <c r="P18" s="2595"/>
      <c r="Q18" s="2595"/>
      <c r="R18" s="2595"/>
      <c r="S18" s="2595"/>
      <c r="T18" s="2595"/>
      <c r="U18" s="2595"/>
      <c r="V18" s="2595"/>
      <c r="W18" s="2595"/>
      <c r="X18" s="2595"/>
      <c r="Y18" s="2595"/>
      <c r="Z18" s="2595"/>
    </row>
    <row r="19" spans="1:26" ht="14.25" customHeight="1">
      <c r="A19" s="1179"/>
      <c r="B19" s="1336" t="s">
        <v>31</v>
      </c>
      <c r="C19" s="24"/>
      <c r="D19" s="70" t="s">
        <v>188</v>
      </c>
      <c r="E19" s="23"/>
      <c r="F19" s="23"/>
      <c r="G19" s="23"/>
      <c r="H19" s="1050"/>
      <c r="I19" s="1050"/>
      <c r="J19" s="1051"/>
      <c r="K19" s="1051"/>
      <c r="L19" s="1051"/>
      <c r="M19" s="97"/>
      <c r="N19" s="1145"/>
      <c r="O19" s="3408"/>
      <c r="P19" s="2595"/>
      <c r="Q19" s="2595"/>
      <c r="R19" s="2595"/>
      <c r="S19" s="2595"/>
      <c r="T19" s="2595"/>
      <c r="U19" s="2595"/>
      <c r="V19" s="2595"/>
      <c r="W19" s="2595"/>
      <c r="X19" s="2595"/>
      <c r="Y19" s="2595"/>
      <c r="Z19" s="2595"/>
    </row>
    <row r="20" spans="1:26" ht="14.25" customHeight="1">
      <c r="A20" s="1179"/>
      <c r="B20" s="969"/>
      <c r="C20" s="24"/>
      <c r="D20" s="70" t="str">
        <f>"Single, head of household, or qualifying widow(er) — "&amp;TEXT(L20,"$0,000")</f>
        <v>Single, head of household, or qualifying widow(er) — $70,000</v>
      </c>
      <c r="E20" s="23"/>
      <c r="F20" s="23"/>
      <c r="G20" s="23"/>
      <c r="H20" s="49"/>
      <c r="I20" s="1037" t="str">
        <f>".   .   .   .   5."</f>
        <v>.   .   .   .   5.</v>
      </c>
      <c r="J20" s="1865" t="str">
        <f>IF(Line33_NOT,"",IF(NumFileStatusBoxes&lt;&gt;1,"Filing status?",IF(OR(K12,Line33_NOT),"",IF(File_Marr_Joint&lt;&gt;"",L21,IF(OR(File_Single&lt;&gt;"",File_Head&lt;&gt;"",File_Qual_Widow&lt;&gt;""),L20,IF(File_Marr_Sep&lt;&gt;"","","Filing status?"))))))</f>
        <v/>
      </c>
      <c r="K20" s="1051"/>
      <c r="L20" s="1051">
        <v>70000</v>
      </c>
      <c r="M20" s="97"/>
      <c r="N20" s="1145"/>
      <c r="O20" s="3408"/>
      <c r="P20" s="2595"/>
      <c r="Q20" s="2595"/>
      <c r="R20" s="2595"/>
      <c r="S20" s="2595"/>
      <c r="T20" s="2595"/>
      <c r="U20" s="2595"/>
      <c r="V20" s="2595"/>
      <c r="W20" s="2595"/>
      <c r="X20" s="2595"/>
      <c r="Y20" s="2595"/>
      <c r="Z20" s="2595"/>
    </row>
    <row r="21" spans="1:26" ht="14.25" customHeight="1">
      <c r="A21" s="1179"/>
      <c r="B21" s="969"/>
      <c r="C21" s="24"/>
      <c r="D21" s="1005" t="str">
        <f>"Married filing jointly — "&amp;TEXT(L21,"$0,000")</f>
        <v>Married filing jointly — $140,000</v>
      </c>
      <c r="E21" s="23"/>
      <c r="F21" s="1005"/>
      <c r="G21" s="23"/>
      <c r="H21" s="1005"/>
      <c r="I21" s="1050"/>
      <c r="J21" s="1051"/>
      <c r="K21" s="1051"/>
      <c r="L21" s="1878">
        <v>140000</v>
      </c>
      <c r="M21" s="97"/>
      <c r="N21" s="1145"/>
      <c r="O21" s="3408"/>
      <c r="P21" s="2595"/>
      <c r="Q21" s="2595"/>
      <c r="R21" s="2595"/>
      <c r="S21" s="2595"/>
      <c r="T21" s="2595"/>
      <c r="U21" s="2595"/>
      <c r="V21" s="2595"/>
      <c r="W21" s="2595"/>
      <c r="X21" s="2595"/>
      <c r="Y21" s="2595"/>
      <c r="Z21" s="2595"/>
    </row>
    <row r="22" spans="1:26" ht="25.5" customHeight="1">
      <c r="A22" s="1179"/>
      <c r="B22" s="1336" t="s">
        <v>67</v>
      </c>
      <c r="C22" s="24"/>
      <c r="D22" s="70" t="s">
        <v>655</v>
      </c>
      <c r="E22" s="23"/>
      <c r="F22" s="23"/>
      <c r="G22" s="23"/>
      <c r="H22" s="1050"/>
      <c r="I22" s="1050"/>
      <c r="J22" s="1051" t="b">
        <f>J17&gt;J20</f>
        <v>0</v>
      </c>
      <c r="K22" s="1051"/>
      <c r="L22" s="1051"/>
      <c r="M22" s="97"/>
      <c r="N22" s="1145"/>
      <c r="O22" s="3408"/>
      <c r="P22" s="2595"/>
      <c r="Q22" s="2595"/>
      <c r="R22" s="2595"/>
      <c r="S22" s="2595"/>
      <c r="T22" s="2595"/>
      <c r="U22" s="2595"/>
      <c r="V22" s="2595"/>
      <c r="W22" s="2595"/>
      <c r="X22" s="2595"/>
      <c r="Y22" s="2595"/>
      <c r="Z22" s="2595"/>
    </row>
    <row r="23" spans="1:26" ht="14.25" customHeight="1">
      <c r="A23" s="1179"/>
      <c r="B23" s="969"/>
      <c r="C23" s="24"/>
      <c r="D23" s="24"/>
      <c r="E23" s="23"/>
      <c r="F23" s="23"/>
      <c r="G23" s="23"/>
      <c r="H23" s="1050"/>
      <c r="I23" s="1050"/>
      <c r="J23" s="1051"/>
      <c r="K23" s="1051"/>
      <c r="L23" s="1051"/>
      <c r="M23" s="97"/>
      <c r="N23" s="1145"/>
      <c r="O23" s="3408"/>
      <c r="P23" s="2595"/>
      <c r="Q23" s="2595"/>
      <c r="R23" s="2595"/>
      <c r="S23" s="2595"/>
      <c r="T23" s="2595"/>
      <c r="U23" s="2595"/>
      <c r="V23" s="2595"/>
      <c r="W23" s="2595"/>
      <c r="X23" s="2595"/>
      <c r="Y23" s="2595"/>
      <c r="Z23" s="2595"/>
    </row>
    <row r="24" spans="1:26" ht="14.25" customHeight="1">
      <c r="A24" s="1179"/>
      <c r="B24" s="969"/>
      <c r="C24" s="1866" t="str">
        <f>IF(OR(NumFileStatusBoxes&lt;&gt;1,K12,Line33_NOT),"",IF(J22,"","X"))</f>
        <v/>
      </c>
      <c r="D24" s="40" t="s">
        <v>794</v>
      </c>
      <c r="E24" s="70" t="s">
        <v>1650</v>
      </c>
      <c r="F24" s="23"/>
      <c r="G24" s="23"/>
      <c r="H24" s="1050"/>
      <c r="I24" s="1050"/>
      <c r="J24" s="1051"/>
      <c r="K24" s="1051"/>
      <c r="L24" s="1051"/>
      <c r="M24" s="97"/>
      <c r="N24" s="1145"/>
      <c r="O24" s="3408"/>
      <c r="P24" s="2595"/>
      <c r="Q24" s="2595"/>
      <c r="R24" s="2595"/>
      <c r="S24" s="2595"/>
      <c r="T24" s="2595"/>
      <c r="U24" s="2595"/>
      <c r="V24" s="2595"/>
      <c r="W24" s="2595"/>
      <c r="X24" s="2595"/>
      <c r="Y24" s="2595"/>
      <c r="Z24" s="2595"/>
    </row>
    <row r="25" spans="1:26" ht="14.25" customHeight="1">
      <c r="A25" s="1179"/>
      <c r="B25" s="969"/>
      <c r="C25" s="24"/>
      <c r="D25" s="24"/>
      <c r="E25" s="23"/>
      <c r="F25" s="23"/>
      <c r="G25" s="23"/>
      <c r="H25" s="1050"/>
      <c r="I25" s="1050"/>
      <c r="J25" s="1051"/>
      <c r="K25" s="1051"/>
      <c r="L25" s="1051"/>
      <c r="M25" s="97"/>
      <c r="N25" s="1145"/>
      <c r="O25" s="3408"/>
      <c r="P25" s="2595"/>
      <c r="Q25" s="2595"/>
      <c r="R25" s="2595"/>
      <c r="S25" s="2595"/>
      <c r="T25" s="2595"/>
      <c r="U25" s="2595"/>
      <c r="V25" s="2595"/>
      <c r="W25" s="2595"/>
      <c r="X25" s="2595"/>
      <c r="Y25" s="2595"/>
      <c r="Z25" s="2595"/>
    </row>
    <row r="26" spans="1:26" ht="14.25" customHeight="1">
      <c r="A26" s="1179"/>
      <c r="B26" s="969"/>
      <c r="C26" s="1866" t="str">
        <f>IF(OR(NumFileStatusBoxes&lt;&gt;1,K12,Line33_NOT),"",IF(J22,"X",""))</f>
        <v/>
      </c>
      <c r="D26" s="40" t="s">
        <v>416</v>
      </c>
      <c r="E26" s="70" t="s">
        <v>1651</v>
      </c>
      <c r="F26" s="23"/>
      <c r="G26" s="23"/>
      <c r="H26" s="530"/>
      <c r="I26" s="1037" t="str">
        <f>" .   .   .   .   .   .   .   .   .   .   .   .   6."</f>
        <v xml:space="preserve"> .   .   .   .   .   .   .   .   .   .   .   .   6.</v>
      </c>
      <c r="J26" s="1883" t="str">
        <f>IF(OR(NumFileStatusBoxes&lt;&gt;1,K12,Line33_NOT,C24="X"),"",SUM(J17,-J20))</f>
        <v/>
      </c>
      <c r="K26" s="1037"/>
      <c r="L26" s="1335"/>
      <c r="M26" s="97"/>
      <c r="N26" s="1145"/>
      <c r="O26" s="3408"/>
      <c r="P26" s="2595"/>
      <c r="Q26" s="2595"/>
      <c r="R26" s="2595"/>
      <c r="S26" s="2595"/>
      <c r="T26" s="2595"/>
      <c r="U26" s="2595"/>
      <c r="V26" s="2595"/>
      <c r="W26" s="2595"/>
      <c r="X26" s="2595"/>
      <c r="Y26" s="2595"/>
      <c r="Z26" s="2595"/>
    </row>
    <row r="27" spans="1:26" ht="14.25" customHeight="1">
      <c r="A27" s="1179"/>
      <c r="B27" s="969"/>
      <c r="C27" s="967"/>
      <c r="D27" s="268"/>
      <c r="E27" s="268"/>
      <c r="F27" s="268"/>
      <c r="G27" s="923"/>
      <c r="H27" s="319"/>
      <c r="I27" s="319"/>
      <c r="J27" s="14"/>
      <c r="K27" s="23"/>
      <c r="L27" s="14">
        <v>15000</v>
      </c>
      <c r="M27" s="97"/>
      <c r="N27" s="1145"/>
      <c r="O27" s="3408"/>
      <c r="P27" s="2595"/>
      <c r="Q27" s="2595"/>
      <c r="R27" s="2595"/>
      <c r="S27" s="2595"/>
      <c r="T27" s="2595"/>
      <c r="U27" s="2595"/>
      <c r="V27" s="2595"/>
      <c r="W27" s="2595"/>
      <c r="X27" s="2595"/>
      <c r="Y27" s="2595"/>
      <c r="Z27" s="2595"/>
    </row>
    <row r="28" spans="1:26" ht="14.25" customHeight="1">
      <c r="A28" s="1179"/>
      <c r="B28" s="1336" t="s">
        <v>68</v>
      </c>
      <c r="C28" s="24"/>
      <c r="D28" s="70" t="str">
        <f>"Divide line 6 by "&amp;TEXT(L27,"$0,000")&amp;" ("&amp;TEXT(L28,"$0,000")&amp;" if married filing jointly). Enter the result as a decimal"</f>
        <v>Divide line 6 by $15,000 ($30,000 if married filing jointly). Enter the result as a decimal</v>
      </c>
      <c r="E28" s="70"/>
      <c r="F28" s="23"/>
      <c r="G28" s="23"/>
      <c r="H28" s="1050"/>
      <c r="I28" s="1050"/>
      <c r="J28" s="1051"/>
      <c r="K28" s="1051"/>
      <c r="L28" s="1051">
        <v>30000</v>
      </c>
      <c r="M28" s="97"/>
      <c r="N28" s="1145"/>
      <c r="O28" s="3408"/>
      <c r="P28" s="2595"/>
      <c r="Q28" s="2595"/>
      <c r="R28" s="2595"/>
      <c r="S28" s="2595"/>
      <c r="T28" s="2595"/>
      <c r="U28" s="2595"/>
      <c r="V28" s="2595"/>
      <c r="W28" s="2595"/>
      <c r="X28" s="2595"/>
      <c r="Y28" s="2595"/>
      <c r="Z28" s="2595"/>
    </row>
    <row r="29" spans="1:26" ht="14.25" customHeight="1">
      <c r="A29" s="1179"/>
      <c r="B29" s="969"/>
      <c r="C29" s="967"/>
      <c r="D29" s="70" t="s">
        <v>1652</v>
      </c>
      <c r="E29" s="268"/>
      <c r="F29" s="268"/>
      <c r="G29" s="923"/>
      <c r="H29" s="319"/>
      <c r="I29" s="319"/>
      <c r="J29" s="14"/>
      <c r="K29" s="1037" t="str">
        <f>".   .   .   .   .   .   .   .   7."</f>
        <v>.   .   .   .   .   .   .   .   7.</v>
      </c>
      <c r="L29" s="1885" t="str">
        <f>IF(OR(NumFileStatusBoxes&lt;&gt;1,K12,Line33_NOT,C24="X"),"",IF(File_Marr_Joint&lt;&gt;"",H30,G30))</f>
        <v/>
      </c>
      <c r="M29" s="97"/>
      <c r="N29" s="1145"/>
      <c r="O29" s="3408"/>
      <c r="P29" s="2595"/>
      <c r="Q29" s="2595"/>
      <c r="R29" s="2595"/>
      <c r="S29" s="2595"/>
      <c r="T29" s="2595"/>
      <c r="U29" s="2595"/>
      <c r="V29" s="2595"/>
      <c r="W29" s="2595"/>
      <c r="X29" s="2595"/>
      <c r="Y29" s="2595"/>
      <c r="Z29" s="2595"/>
    </row>
    <row r="30" spans="1:26" ht="14.25" customHeight="1">
      <c r="A30" s="1179"/>
      <c r="B30" s="969"/>
      <c r="C30" s="967"/>
      <c r="D30" s="268"/>
      <c r="E30" s="268"/>
      <c r="F30" s="268"/>
      <c r="G30" s="1886" t="str">
        <f>IF(J26="","",IF(ROUND(J26/L27,3)&gt;1,1,ROUND(J26/L27,3)))</f>
        <v/>
      </c>
      <c r="H30" s="1886" t="str">
        <f>IF(J26="","",IF(ROUND(J26/L28,3)&gt;1,1,ROUND(J26/L28,3)))</f>
        <v/>
      </c>
      <c r="I30" s="319"/>
      <c r="J30" s="14"/>
      <c r="K30" s="23"/>
      <c r="L30" s="14"/>
      <c r="M30" s="97"/>
      <c r="N30" s="1145"/>
      <c r="O30" s="3408"/>
      <c r="P30" s="2595"/>
      <c r="Q30" s="2595"/>
      <c r="R30" s="2595"/>
      <c r="S30" s="2595"/>
      <c r="T30" s="2595"/>
      <c r="U30" s="2595"/>
      <c r="V30" s="2595"/>
      <c r="W30" s="2595"/>
      <c r="X30" s="2595"/>
      <c r="Y30" s="2595"/>
      <c r="Z30" s="2595"/>
    </row>
    <row r="31" spans="1:26" ht="14.25" customHeight="1">
      <c r="A31" s="1179"/>
      <c r="B31" s="1336" t="s">
        <v>204</v>
      </c>
      <c r="C31" s="24"/>
      <c r="D31" s="70" t="s">
        <v>1653</v>
      </c>
      <c r="E31" s="23"/>
      <c r="F31" s="23"/>
      <c r="G31" s="23"/>
      <c r="H31" s="1050"/>
      <c r="I31" s="1050"/>
      <c r="J31" s="1051"/>
      <c r="K31" s="1037" t="str">
        <f>".   .   .   .   .   .   .   .   .   .   .   .   .   .   .   .   .   .   .   .   .   .   .   .   .   .   .   .   .   8."</f>
        <v>.   .   .   .   .   .   .   .   .   .   .   .   .   .   .   .   .   .   .   .   .   .   .   .   .   .   .   .   .   8.</v>
      </c>
      <c r="L31" s="1865" t="str">
        <f>IF(OR(NumFileStatusBoxes&lt;&gt;1,K12,Line33_NOT),"",IF(C24="X",0,ROUND(L11*L29,0)))</f>
        <v/>
      </c>
      <c r="M31" s="97"/>
      <c r="N31" s="1145"/>
      <c r="O31" s="3408"/>
      <c r="P31" s="2595"/>
      <c r="Q31" s="2595"/>
      <c r="R31" s="2595"/>
      <c r="S31" s="2595"/>
      <c r="T31" s="2595"/>
      <c r="U31" s="2595"/>
      <c r="V31" s="2595"/>
      <c r="W31" s="2595"/>
      <c r="X31" s="2595"/>
      <c r="Y31" s="2595"/>
      <c r="Z31" s="2595"/>
    </row>
    <row r="32" spans="1:26" ht="14.25" customHeight="1">
      <c r="A32" s="1179"/>
      <c r="B32" s="969"/>
      <c r="C32" s="967"/>
      <c r="D32" s="268"/>
      <c r="E32" s="268"/>
      <c r="F32" s="268"/>
      <c r="G32" s="923"/>
      <c r="H32" s="319"/>
      <c r="I32" s="319"/>
      <c r="J32" s="14"/>
      <c r="K32" s="23"/>
      <c r="L32" s="14"/>
      <c r="M32" s="97"/>
      <c r="N32" s="1145"/>
      <c r="O32" s="3408"/>
      <c r="P32" s="2595"/>
      <c r="Q32" s="2595"/>
      <c r="R32" s="2595"/>
      <c r="S32" s="2595"/>
      <c r="T32" s="2595"/>
      <c r="U32" s="2595"/>
      <c r="V32" s="2595"/>
      <c r="W32" s="2595"/>
      <c r="X32" s="2595"/>
      <c r="Y32" s="2595"/>
      <c r="Z32" s="2595"/>
    </row>
    <row r="33" spans="1:26" ht="14.25" customHeight="1">
      <c r="A33" s="1179"/>
      <c r="B33" s="1336" t="s">
        <v>205</v>
      </c>
      <c r="C33" s="967"/>
      <c r="D33" s="70" t="s">
        <v>5397</v>
      </c>
      <c r="E33" s="268"/>
      <c r="F33" s="268"/>
      <c r="G33" s="923"/>
      <c r="H33" s="319"/>
      <c r="I33" s="319"/>
      <c r="J33" s="14"/>
      <c r="K33" s="23"/>
      <c r="L33" s="14"/>
      <c r="M33" s="97"/>
      <c r="N33" s="1145"/>
      <c r="O33" s="3408"/>
      <c r="P33" s="2595"/>
      <c r="Q33" s="2595"/>
      <c r="R33" s="2595"/>
      <c r="S33" s="2595"/>
      <c r="T33" s="2595"/>
      <c r="U33" s="2595"/>
      <c r="V33" s="2595"/>
      <c r="W33" s="2595"/>
      <c r="X33" s="2595"/>
      <c r="Y33" s="2595"/>
      <c r="Z33" s="2595"/>
    </row>
    <row r="34" spans="1:26" ht="14.25" customHeight="1">
      <c r="A34" s="1830"/>
      <c r="B34" s="969"/>
      <c r="C34" s="967"/>
      <c r="D34" s="56" t="s">
        <v>4340</v>
      </c>
      <c r="E34" s="268"/>
      <c r="F34" s="268"/>
      <c r="G34" s="923"/>
      <c r="H34" s="319"/>
      <c r="I34" s="319"/>
      <c r="J34" s="14"/>
      <c r="K34" s="1037" t="str">
        <f>".   .   9."</f>
        <v>.   .   9.</v>
      </c>
      <c r="L34" s="1865" t="str">
        <f>IF(OR(NumFileStatusBoxes&lt;&gt;1,K12,Line33_NOT),"",SUM(L11,-L31))</f>
        <v/>
      </c>
      <c r="M34" s="97"/>
      <c r="N34" s="1145"/>
      <c r="O34" s="3408"/>
      <c r="P34" s="2595"/>
      <c r="Q34" s="2595"/>
      <c r="R34" s="2595"/>
      <c r="S34" s="2595"/>
      <c r="T34" s="2595"/>
      <c r="U34" s="2595"/>
      <c r="V34" s="2595"/>
      <c r="W34" s="2595"/>
      <c r="X34" s="2595"/>
      <c r="Y34" s="2595"/>
      <c r="Z34" s="2595"/>
    </row>
    <row r="35" spans="1:26" ht="14.25" customHeight="1">
      <c r="A35" s="1179"/>
      <c r="B35" s="969"/>
      <c r="C35" s="967"/>
      <c r="D35" s="268"/>
      <c r="E35" s="268"/>
      <c r="F35" s="268"/>
      <c r="G35" s="923"/>
      <c r="H35" s="319"/>
      <c r="I35" s="319"/>
      <c r="J35" s="14"/>
      <c r="K35" s="23"/>
      <c r="L35" s="14"/>
      <c r="M35" s="97"/>
      <c r="N35" s="1145"/>
      <c r="O35" s="3408"/>
      <c r="P35" s="2595"/>
      <c r="Q35" s="2595"/>
      <c r="R35" s="2595"/>
      <c r="S35" s="2595"/>
      <c r="T35" s="2595"/>
      <c r="U35" s="2595"/>
      <c r="V35" s="2595"/>
      <c r="W35" s="2595"/>
      <c r="X35" s="2595"/>
      <c r="Y35" s="2595"/>
      <c r="Z35" s="2595"/>
    </row>
    <row r="36" spans="1:26" ht="14.25" customHeight="1">
      <c r="A36" s="1179"/>
      <c r="B36" s="969"/>
      <c r="C36" s="967"/>
      <c r="D36" s="70" t="s">
        <v>5398</v>
      </c>
      <c r="E36" s="268"/>
      <c r="F36" s="268"/>
      <c r="G36" s="923"/>
      <c r="H36" s="319"/>
      <c r="I36" s="319"/>
      <c r="J36" s="14"/>
      <c r="K36" s="23"/>
      <c r="L36" s="14"/>
      <c r="M36" s="97"/>
      <c r="N36" s="1145"/>
      <c r="O36" s="3408"/>
      <c r="P36" s="2595"/>
      <c r="Q36" s="2595"/>
      <c r="R36" s="2595"/>
      <c r="S36" s="2595"/>
      <c r="T36" s="2595"/>
      <c r="U36" s="2595"/>
      <c r="V36" s="2595"/>
      <c r="W36" s="2595"/>
      <c r="X36" s="2595"/>
      <c r="Y36" s="2595"/>
      <c r="Z36" s="2595"/>
    </row>
    <row r="37" spans="1:26" ht="13.5" customHeight="1" thickBot="1">
      <c r="A37" s="1179"/>
      <c r="B37" s="1862"/>
      <c r="C37" s="1879"/>
      <c r="D37" s="891"/>
      <c r="E37" s="891"/>
      <c r="F37" s="891"/>
      <c r="G37" s="1864"/>
      <c r="H37" s="1880"/>
      <c r="I37" s="1880"/>
      <c r="J37" s="1881"/>
      <c r="K37" s="36"/>
      <c r="L37" s="1881"/>
      <c r="M37" s="98"/>
      <c r="N37" s="1145"/>
      <c r="O37" s="3408"/>
      <c r="P37" s="2595"/>
      <c r="Q37" s="2595"/>
      <c r="R37" s="2595"/>
      <c r="S37" s="2595"/>
      <c r="T37" s="2595"/>
      <c r="U37" s="2595"/>
      <c r="V37" s="2595"/>
      <c r="W37" s="2595"/>
      <c r="X37" s="2595"/>
      <c r="Y37" s="2595"/>
      <c r="Z37" s="2595"/>
    </row>
    <row r="38" spans="1:26" ht="19.5" customHeight="1">
      <c r="A38" s="3405"/>
      <c r="B38" s="1179"/>
      <c r="C38" s="1179"/>
      <c r="D38" s="1179"/>
      <c r="E38" s="1179"/>
      <c r="F38" s="1179"/>
      <c r="G38" s="1179"/>
      <c r="H38" s="1179"/>
      <c r="I38" s="1179"/>
      <c r="J38" s="1179"/>
      <c r="K38" s="1179"/>
      <c r="L38" s="1179"/>
      <c r="M38" s="1179"/>
      <c r="N38" s="1145"/>
      <c r="O38" s="3408"/>
      <c r="P38" s="2595"/>
      <c r="Q38" s="2595"/>
      <c r="R38" s="2595"/>
      <c r="S38" s="2595"/>
      <c r="T38" s="2595"/>
      <c r="U38" s="2595"/>
      <c r="V38" s="2595"/>
      <c r="W38" s="2595"/>
      <c r="X38" s="2595"/>
      <c r="Y38" s="2595"/>
      <c r="Z38" s="2595"/>
    </row>
    <row r="40" spans="1:26" ht="13.5" customHeight="1"/>
  </sheetData>
  <sheetProtection password="F07E" sheet="1" objects="1" scenarios="1"/>
  <conditionalFormatting sqref="C24">
    <cfRule type="expression" dxfId="2708" priority="16">
      <formula>IF(NoColor,1,0)</formula>
    </cfRule>
  </conditionalFormatting>
  <conditionalFormatting sqref="C26">
    <cfRule type="expression" dxfId="2707" priority="15">
      <formula>IF(NoColor,1,0)</formula>
    </cfRule>
  </conditionalFormatting>
  <conditionalFormatting sqref="D11">
    <cfRule type="expression" dxfId="2706" priority="5">
      <formula>IF($K$12,1,0)</formula>
    </cfRule>
  </conditionalFormatting>
  <conditionalFormatting sqref="J13">
    <cfRule type="expression" dxfId="2705" priority="13">
      <formula>IF(NoColor,1,0)</formula>
    </cfRule>
  </conditionalFormatting>
  <conditionalFormatting sqref="J15">
    <cfRule type="expression" dxfId="2704" priority="11">
      <formula>IF(NoColor,1,0)</formula>
    </cfRule>
  </conditionalFormatting>
  <conditionalFormatting sqref="J17">
    <cfRule type="expression" dxfId="2703" priority="10">
      <formula>IF(NoColor,1,0)</formula>
    </cfRule>
  </conditionalFormatting>
  <conditionalFormatting sqref="J20">
    <cfRule type="expression" dxfId="2702" priority="9">
      <formula>IF(NoColor,1,0)</formula>
    </cfRule>
  </conditionalFormatting>
  <conditionalFormatting sqref="J26">
    <cfRule type="expression" dxfId="2701" priority="8">
      <formula>IF(NoColor,1,0)</formula>
    </cfRule>
  </conditionalFormatting>
  <conditionalFormatting sqref="L11">
    <cfRule type="expression" dxfId="2700" priority="12">
      <formula>IF(NoColor,1,0)</formula>
    </cfRule>
  </conditionalFormatting>
  <conditionalFormatting sqref="L29">
    <cfRule type="expression" dxfId="2699" priority="14">
      <formula>IF(NoColor,1,0)</formula>
    </cfRule>
  </conditionalFormatting>
  <conditionalFormatting sqref="L31">
    <cfRule type="expression" dxfId="2698" priority="7">
      <formula>IF(NoColor,1,0)</formula>
    </cfRule>
  </conditionalFormatting>
  <conditionalFormatting sqref="L34">
    <cfRule type="expression" dxfId="2697" priority="6">
      <formula>IF(NoColor,1,0)</formula>
    </cfRule>
  </conditionalFormatting>
  <printOptions horizontalCentered="1"/>
  <pageMargins left="0.3" right="0.42" top="0.39" bottom="0.56000000000000005" header="0" footer="0"/>
  <pageSetup scale="84" fitToHeight="0"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Z96"/>
  <sheetViews>
    <sheetView zoomScaleNormal="100" zoomScaleSheetLayoutView="115" workbookViewId="0">
      <selection activeCell="AC11" sqref="AC11:AG11"/>
    </sheetView>
  </sheetViews>
  <sheetFormatPr defaultColWidth="3.42578125" defaultRowHeight="12.75"/>
  <cols>
    <col min="1" max="1" width="3.42578125" style="42"/>
    <col min="2" max="2" width="3.28515625" style="42" customWidth="1"/>
    <col min="3" max="3" width="3.85546875" style="42" customWidth="1"/>
    <col min="4" max="4" width="2.5703125" style="147" customWidth="1"/>
    <col min="5" max="5" width="3.85546875" style="42" customWidth="1"/>
    <col min="6" max="6" width="5.7109375" style="42" customWidth="1"/>
    <col min="7" max="20" width="3.42578125" style="42" customWidth="1"/>
    <col min="21" max="21" width="2.140625" style="42" customWidth="1"/>
    <col min="22" max="22" width="5.7109375" style="42" customWidth="1"/>
    <col min="23" max="26" width="3.42578125" style="42" customWidth="1"/>
    <col min="27" max="27" width="2" style="42" customWidth="1"/>
    <col min="28" max="28" width="5.7109375" style="42" customWidth="1"/>
    <col min="29" max="34" width="3.42578125" style="42"/>
    <col min="35" max="35" width="2.140625" style="42" customWidth="1"/>
    <col min="36" max="36" width="15" style="42" customWidth="1"/>
    <col min="37" max="37" width="2.5703125" style="42" customWidth="1"/>
    <col min="38" max="39" width="12.140625" style="42" customWidth="1"/>
    <col min="40" max="40" width="15.140625" style="42" hidden="1" customWidth="1"/>
    <col min="41" max="41" width="3.7109375" style="42" customWidth="1"/>
    <col min="42" max="42" width="10.7109375" style="3403" customWidth="1"/>
    <col min="43" max="52" width="10.7109375" style="3402" customWidth="1"/>
    <col min="53" max="16384" width="3.42578125" style="42"/>
  </cols>
  <sheetData>
    <row r="1" spans="1:52" ht="18">
      <c r="A1" s="2757"/>
      <c r="B1" s="2757"/>
      <c r="C1" s="2757"/>
      <c r="D1" s="3906"/>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I1" s="1179"/>
      <c r="AJ1" s="385"/>
      <c r="AK1" s="385"/>
      <c r="AP1" s="5777" t="s">
        <v>2033</v>
      </c>
      <c r="AQ1" s="2595"/>
      <c r="AR1" s="2595"/>
      <c r="AS1" s="2595"/>
      <c r="AT1" s="3013"/>
      <c r="AU1" s="2595"/>
      <c r="AV1" s="2595"/>
      <c r="AW1" s="2595"/>
      <c r="AX1" s="3013"/>
      <c r="AY1" s="2595"/>
      <c r="AZ1" s="2595"/>
    </row>
    <row r="2" spans="1:52" ht="11.25" customHeight="1">
      <c r="A2" s="2757"/>
      <c r="B2" s="6629" t="s">
        <v>4891</v>
      </c>
      <c r="C2" s="6630"/>
      <c r="D2" s="6630"/>
      <c r="E2" s="6630"/>
      <c r="F2" s="6631"/>
      <c r="G2" s="1179"/>
      <c r="H2" s="1179"/>
      <c r="I2" s="1179"/>
      <c r="J2" s="1179"/>
      <c r="K2" s="1179"/>
      <c r="L2" s="1179"/>
      <c r="M2" s="1179"/>
      <c r="N2" s="1179"/>
      <c r="O2" s="1179"/>
      <c r="P2" s="1179"/>
      <c r="Q2" s="1179"/>
      <c r="R2" s="1179"/>
      <c r="S2" s="1179"/>
      <c r="T2" s="1179"/>
      <c r="U2" s="1179"/>
      <c r="V2" s="1179"/>
      <c r="W2" s="1179"/>
      <c r="X2" s="1179"/>
      <c r="Y2" s="1179"/>
      <c r="Z2" s="1179"/>
      <c r="AA2" s="1179"/>
      <c r="AB2" s="6615" t="s">
        <v>152</v>
      </c>
      <c r="AC2" s="6616"/>
      <c r="AD2" s="6616"/>
      <c r="AE2" s="6616"/>
      <c r="AF2" s="6616"/>
      <c r="AG2" s="6616"/>
      <c r="AH2" s="2757"/>
      <c r="AI2" s="1179"/>
      <c r="AJ2" s="385"/>
      <c r="AK2" s="385"/>
      <c r="AP2" s="3445"/>
      <c r="AQ2" s="2595"/>
      <c r="AR2" s="2595"/>
      <c r="AS2" s="2595"/>
      <c r="AT2" s="2595"/>
      <c r="AU2" s="2595"/>
      <c r="AV2" s="2595"/>
      <c r="AW2" s="2595"/>
      <c r="AX2" s="2595"/>
      <c r="AY2" s="2595"/>
      <c r="AZ2" s="2595"/>
    </row>
    <row r="3" spans="1:52" ht="16.5" customHeight="1">
      <c r="A3" s="2757"/>
      <c r="B3" s="6630"/>
      <c r="C3" s="6630"/>
      <c r="D3" s="6630"/>
      <c r="E3" s="6630"/>
      <c r="F3" s="6631"/>
      <c r="G3" s="3001" t="s">
        <v>3349</v>
      </c>
      <c r="H3" s="3002"/>
      <c r="I3" s="3002"/>
      <c r="J3" s="3002"/>
      <c r="K3" s="3002"/>
      <c r="L3" s="3002"/>
      <c r="M3" s="3002"/>
      <c r="N3" s="3002"/>
      <c r="O3" s="3002"/>
      <c r="P3" s="3002"/>
      <c r="Q3" s="3002"/>
      <c r="R3" s="3002"/>
      <c r="S3" s="3002"/>
      <c r="T3" s="3002"/>
      <c r="U3" s="3002"/>
      <c r="V3" s="3002"/>
      <c r="W3" s="3002"/>
      <c r="X3" s="3002"/>
      <c r="Y3" s="3002"/>
      <c r="Z3" s="3002"/>
      <c r="AA3" s="3003"/>
      <c r="AB3" s="6719">
        <f>TaxYear</f>
        <v>2021</v>
      </c>
      <c r="AC3" s="6720"/>
      <c r="AD3" s="6720"/>
      <c r="AE3" s="6720"/>
      <c r="AF3" s="6720"/>
      <c r="AG3" s="6720"/>
      <c r="AH3" s="2757"/>
      <c r="AI3" s="1179"/>
      <c r="AJ3" s="385"/>
      <c r="AK3" s="385"/>
      <c r="AP3" s="3445"/>
      <c r="AQ3" s="2595"/>
      <c r="AR3" s="2595"/>
      <c r="AS3" s="2595"/>
      <c r="AT3" s="2595"/>
      <c r="AU3" s="2595"/>
      <c r="AV3" s="2595"/>
      <c r="AW3" s="2595"/>
      <c r="AX3" s="2595"/>
      <c r="AY3" s="2595"/>
      <c r="AZ3" s="2595"/>
    </row>
    <row r="4" spans="1:52" ht="14.25" customHeight="1">
      <c r="A4" s="2757"/>
      <c r="B4" s="6722"/>
      <c r="C4" s="6723"/>
      <c r="D4" s="6723"/>
      <c r="E4" s="6723"/>
      <c r="F4" s="6724"/>
      <c r="G4" s="3007"/>
      <c r="H4" s="1179"/>
      <c r="I4" s="1179"/>
      <c r="J4" s="1179"/>
      <c r="K4" s="1179"/>
      <c r="L4" s="1179"/>
      <c r="M4" s="1179"/>
      <c r="N4" s="1179"/>
      <c r="O4" s="1179"/>
      <c r="P4" s="1179"/>
      <c r="Q4" s="1179"/>
      <c r="R4" s="1179"/>
      <c r="S4" s="1179"/>
      <c r="T4" s="1179"/>
      <c r="U4" s="1179"/>
      <c r="V4" s="1179"/>
      <c r="W4" s="1179"/>
      <c r="X4" s="1179"/>
      <c r="Y4" s="1179"/>
      <c r="Z4" s="1179"/>
      <c r="AA4" s="1179"/>
      <c r="AB4" s="6721"/>
      <c r="AC4" s="6618"/>
      <c r="AD4" s="6618"/>
      <c r="AE4" s="6618"/>
      <c r="AF4" s="6618"/>
      <c r="AG4" s="6618"/>
      <c r="AH4" s="2757"/>
      <c r="AI4" s="1179"/>
      <c r="AJ4" s="385"/>
      <c r="AK4" s="385"/>
      <c r="AP4" s="3445"/>
      <c r="AQ4" s="2595"/>
      <c r="AR4" s="2595"/>
      <c r="AS4" s="2595"/>
      <c r="AT4" s="2595"/>
      <c r="AU4" s="2595"/>
      <c r="AV4" s="2595"/>
      <c r="AW4" s="2595"/>
      <c r="AX4" s="2595"/>
      <c r="AY4" s="2595"/>
      <c r="AZ4" s="2595"/>
    </row>
    <row r="5" spans="1:52" ht="14.25" customHeight="1">
      <c r="A5" s="2757"/>
      <c r="B5" s="6641" t="s">
        <v>176</v>
      </c>
      <c r="C5" s="6641"/>
      <c r="D5" s="6641"/>
      <c r="E5" s="6641"/>
      <c r="F5" s="6642"/>
      <c r="G5" s="1278"/>
      <c r="H5" s="1179"/>
      <c r="I5" s="1179"/>
      <c r="J5" s="1179"/>
      <c r="K5" s="1283" t="s">
        <v>3286</v>
      </c>
      <c r="L5" s="1283"/>
      <c r="M5" s="1283"/>
      <c r="N5" s="1283"/>
      <c r="O5" s="1179"/>
      <c r="P5" s="1283"/>
      <c r="Q5" s="1179"/>
      <c r="R5" s="1179"/>
      <c r="S5" s="1179"/>
      <c r="T5" s="1179"/>
      <c r="U5" s="1179"/>
      <c r="V5" s="1179"/>
      <c r="W5" s="1179"/>
      <c r="X5" s="1179"/>
      <c r="Y5" s="1179"/>
      <c r="Z5" s="1179"/>
      <c r="AA5" s="1179"/>
      <c r="AB5" s="2999"/>
      <c r="AC5" s="6725" t="s">
        <v>177</v>
      </c>
      <c r="AD5" s="6726"/>
      <c r="AE5" s="6726"/>
      <c r="AF5" s="6726"/>
      <c r="AG5" s="6726"/>
      <c r="AH5" s="2757"/>
      <c r="AI5" s="1179"/>
      <c r="AJ5" s="385"/>
      <c r="AK5" s="385"/>
      <c r="AP5" s="3445"/>
      <c r="AQ5" s="2595"/>
      <c r="AR5" s="2595"/>
      <c r="AS5" s="2595"/>
      <c r="AT5" s="2595"/>
      <c r="AU5" s="2595"/>
      <c r="AV5" s="2595"/>
      <c r="AW5" s="2595"/>
      <c r="AX5" s="2595"/>
      <c r="AY5" s="2595"/>
      <c r="AZ5" s="2595"/>
    </row>
    <row r="6" spans="1:52" ht="14.25" customHeight="1" thickBot="1">
      <c r="A6" s="2757"/>
      <c r="B6" s="6639" t="s">
        <v>395</v>
      </c>
      <c r="C6" s="6639"/>
      <c r="D6" s="6639"/>
      <c r="E6" s="6639"/>
      <c r="F6" s="6640"/>
      <c r="G6" s="3016" t="s">
        <v>2299</v>
      </c>
      <c r="H6" s="3017"/>
      <c r="I6" s="3016"/>
      <c r="J6" s="3018"/>
      <c r="K6" s="3017"/>
      <c r="L6" s="3017"/>
      <c r="M6" s="3017"/>
      <c r="N6" s="3017"/>
      <c r="O6" s="3017"/>
      <c r="P6" s="3017"/>
      <c r="Q6" s="3017"/>
      <c r="R6" s="3017"/>
      <c r="S6" s="3017"/>
      <c r="T6" s="3017"/>
      <c r="U6" s="3017"/>
      <c r="V6" s="3017"/>
      <c r="W6" s="3017"/>
      <c r="X6" s="3017"/>
      <c r="Y6" s="3017"/>
      <c r="Z6" s="3017"/>
      <c r="AA6" s="3017"/>
      <c r="AB6" s="3000"/>
      <c r="AC6" s="6727" t="s">
        <v>3363</v>
      </c>
      <c r="AD6" s="6728"/>
      <c r="AE6" s="6728"/>
      <c r="AF6" s="6728"/>
      <c r="AG6" s="6728"/>
      <c r="AH6" s="2757"/>
      <c r="AI6" s="1179"/>
      <c r="AJ6" s="385"/>
      <c r="AK6" s="385"/>
      <c r="AP6" s="3445"/>
      <c r="AQ6" s="2595"/>
      <c r="AR6" s="2595"/>
      <c r="AS6" s="2595"/>
      <c r="AT6" s="2595"/>
      <c r="AU6" s="2595"/>
      <c r="AV6" s="2595"/>
      <c r="AW6" s="2595"/>
      <c r="AX6" s="2595"/>
      <c r="AY6" s="2595"/>
      <c r="AZ6" s="2595"/>
    </row>
    <row r="7" spans="1:52">
      <c r="A7" s="2757"/>
      <c r="B7" s="1276" t="s">
        <v>3951</v>
      </c>
      <c r="C7" s="1179"/>
      <c r="D7" s="1283"/>
      <c r="E7" s="1179"/>
      <c r="F7" s="1179"/>
      <c r="G7" s="1179"/>
      <c r="H7" s="1179"/>
      <c r="I7" s="1179"/>
      <c r="J7" s="1179"/>
      <c r="K7" s="1179"/>
      <c r="L7" s="1179"/>
      <c r="M7" s="1179"/>
      <c r="N7" s="1179"/>
      <c r="O7" s="1179"/>
      <c r="P7" s="1179"/>
      <c r="Q7" s="1179"/>
      <c r="R7" s="1179"/>
      <c r="S7" s="1179"/>
      <c r="T7" s="1179"/>
      <c r="U7" s="1179"/>
      <c r="V7" s="1179"/>
      <c r="W7" s="1179"/>
      <c r="X7" s="1179"/>
      <c r="Y7" s="1179"/>
      <c r="Z7" s="1179"/>
      <c r="AA7" s="1179"/>
      <c r="AB7" s="3011" t="s">
        <v>2308</v>
      </c>
      <c r="AC7" s="1274"/>
      <c r="AD7" s="1274"/>
      <c r="AE7" s="1274"/>
      <c r="AF7" s="1274"/>
      <c r="AG7" s="1274"/>
      <c r="AH7" s="2757"/>
      <c r="AI7" s="1179"/>
      <c r="AJ7" s="6647" t="s">
        <v>1736</v>
      </c>
      <c r="AK7" s="385"/>
      <c r="AP7" s="3445"/>
      <c r="AQ7" s="2595"/>
      <c r="AR7" s="2595"/>
      <c r="AS7" s="2595"/>
      <c r="AT7" s="2595"/>
      <c r="AU7" s="2595"/>
      <c r="AV7" s="2595"/>
      <c r="AW7" s="2595"/>
      <c r="AX7" s="2595"/>
      <c r="AY7" s="2595"/>
      <c r="AZ7" s="2595"/>
    </row>
    <row r="8" spans="1:52" ht="9.75" customHeight="1">
      <c r="A8" s="2757"/>
      <c r="B8" s="6635" t="str">
        <f>Names</f>
        <v/>
      </c>
      <c r="C8" s="6636"/>
      <c r="D8" s="6636"/>
      <c r="E8" s="6636"/>
      <c r="F8" s="6636"/>
      <c r="G8" s="6636"/>
      <c r="H8" s="6636"/>
      <c r="I8" s="6636"/>
      <c r="J8" s="6636"/>
      <c r="K8" s="6636"/>
      <c r="L8" s="6636"/>
      <c r="M8" s="6636"/>
      <c r="N8" s="6636"/>
      <c r="O8" s="6636"/>
      <c r="P8" s="6636"/>
      <c r="Q8" s="6636"/>
      <c r="R8" s="6636"/>
      <c r="S8" s="6636"/>
      <c r="T8" s="6636"/>
      <c r="U8" s="6636"/>
      <c r="V8" s="6636"/>
      <c r="W8" s="6636"/>
      <c r="X8" s="6636"/>
      <c r="Y8" s="6636"/>
      <c r="Z8" s="6636"/>
      <c r="AA8" s="6637"/>
      <c r="AB8" s="6617">
        <f>IF(NoSSN,"",SS_Yours)</f>
        <v>1010001</v>
      </c>
      <c r="AC8" s="6618"/>
      <c r="AD8" s="6618"/>
      <c r="AE8" s="6618"/>
      <c r="AF8" s="6618"/>
      <c r="AG8" s="6618"/>
      <c r="AH8" s="2757"/>
      <c r="AI8" s="1179"/>
      <c r="AJ8" s="6648"/>
      <c r="AK8" s="385"/>
      <c r="AP8" s="3445"/>
      <c r="AQ8" s="2595"/>
      <c r="AR8" s="2595"/>
      <c r="AS8" s="2595"/>
      <c r="AT8" s="2595"/>
      <c r="AU8" s="2595"/>
      <c r="AV8" s="2595"/>
      <c r="AW8" s="2595"/>
      <c r="AX8" s="2595"/>
      <c r="AY8" s="2595"/>
      <c r="AZ8" s="2595"/>
    </row>
    <row r="9" spans="1:52" ht="9.75" customHeight="1">
      <c r="A9" s="2757"/>
      <c r="B9" s="6290"/>
      <c r="C9" s="6290"/>
      <c r="D9" s="6290"/>
      <c r="E9" s="6290"/>
      <c r="F9" s="6290"/>
      <c r="G9" s="6290"/>
      <c r="H9" s="6290"/>
      <c r="I9" s="6290"/>
      <c r="J9" s="6290"/>
      <c r="K9" s="6290"/>
      <c r="L9" s="6290"/>
      <c r="M9" s="6290"/>
      <c r="N9" s="6290"/>
      <c r="O9" s="6290"/>
      <c r="P9" s="6290"/>
      <c r="Q9" s="6290"/>
      <c r="R9" s="6290"/>
      <c r="S9" s="6290"/>
      <c r="T9" s="6290"/>
      <c r="U9" s="6290"/>
      <c r="V9" s="6290"/>
      <c r="W9" s="6290"/>
      <c r="X9" s="6290"/>
      <c r="Y9" s="6290"/>
      <c r="Z9" s="6290"/>
      <c r="AA9" s="6638"/>
      <c r="AB9" s="6619"/>
      <c r="AC9" s="6616"/>
      <c r="AD9" s="6616"/>
      <c r="AE9" s="6616"/>
      <c r="AF9" s="6616"/>
      <c r="AG9" s="6616"/>
      <c r="AH9" s="2757"/>
      <c r="AI9" s="1179"/>
      <c r="AJ9" s="6649"/>
      <c r="AK9" s="385"/>
      <c r="AP9" s="3445"/>
      <c r="AQ9" s="2595"/>
      <c r="AR9" s="2595"/>
      <c r="AS9" s="2595"/>
      <c r="AT9" s="2595"/>
      <c r="AU9" s="2595"/>
      <c r="AV9" s="2595"/>
      <c r="AW9" s="2595"/>
      <c r="AX9" s="2595"/>
      <c r="AY9" s="2595"/>
      <c r="AZ9" s="2595"/>
    </row>
    <row r="10" spans="1:52" ht="22.5" customHeight="1">
      <c r="A10" s="2757"/>
      <c r="B10" s="6710" t="s">
        <v>51</v>
      </c>
      <c r="C10" s="6711"/>
      <c r="D10" s="6712"/>
      <c r="E10" s="3092"/>
      <c r="F10" s="4609" t="s">
        <v>2309</v>
      </c>
      <c r="G10" s="3092"/>
      <c r="H10" s="3092"/>
      <c r="I10" s="3092"/>
      <c r="J10" s="3092"/>
      <c r="K10" s="3092"/>
      <c r="L10" s="1554"/>
      <c r="M10" s="1554"/>
      <c r="N10" s="1554"/>
      <c r="O10" s="1554"/>
      <c r="P10" s="1554"/>
      <c r="Q10" s="1554"/>
      <c r="R10" s="1554"/>
      <c r="S10" s="1554"/>
      <c r="T10" s="1554"/>
      <c r="U10" s="1554"/>
      <c r="V10" s="1554"/>
      <c r="W10" s="1554"/>
      <c r="X10" s="1554"/>
      <c r="Y10" s="1554"/>
      <c r="Z10" s="1554"/>
      <c r="AA10" s="1554"/>
      <c r="AB10" s="1554"/>
      <c r="AC10" s="1554"/>
      <c r="AD10" s="1554"/>
      <c r="AE10" s="1554"/>
      <c r="AF10" s="1554"/>
      <c r="AG10" s="1554"/>
      <c r="AH10" s="2757"/>
      <c r="AI10" s="1179"/>
      <c r="AJ10" s="385"/>
      <c r="AK10" s="385"/>
      <c r="AL10" s="147" t="s">
        <v>2644</v>
      </c>
      <c r="AP10" s="3445"/>
      <c r="AQ10" s="2595"/>
      <c r="AR10" s="2595"/>
      <c r="AS10" s="2595"/>
      <c r="AT10" s="2595"/>
      <c r="AU10" s="2595"/>
      <c r="AV10" s="2595"/>
      <c r="AW10" s="2595"/>
      <c r="AX10" s="2595"/>
      <c r="AY10" s="2595"/>
      <c r="AZ10" s="2595"/>
    </row>
    <row r="11" spans="1:52" ht="18.75" customHeight="1">
      <c r="A11" s="2757"/>
      <c r="B11" s="1179"/>
      <c r="C11" s="1824">
        <v>1</v>
      </c>
      <c r="D11" s="1577"/>
      <c r="E11" s="2686" t="s">
        <v>2911</v>
      </c>
      <c r="F11" s="1179"/>
      <c r="G11" s="1179"/>
      <c r="H11" s="1179"/>
      <c r="I11" s="1179"/>
      <c r="J11" s="1179"/>
      <c r="K11" s="1179"/>
      <c r="L11" s="1179"/>
      <c r="M11" s="1179"/>
      <c r="N11" s="1179"/>
      <c r="O11" s="1179"/>
      <c r="P11" s="1179"/>
      <c r="Q11" s="1179"/>
      <c r="R11" s="1179"/>
      <c r="S11" s="1179"/>
      <c r="T11" s="1179"/>
      <c r="U11" s="1179"/>
      <c r="V11" s="1179"/>
      <c r="W11" s="2703"/>
      <c r="X11" s="2701"/>
      <c r="Y11" s="1179"/>
      <c r="Z11" s="1179"/>
      <c r="AA11" s="1560" t="s">
        <v>2211</v>
      </c>
      <c r="AB11" s="2204">
        <v>1</v>
      </c>
      <c r="AC11" s="6573">
        <f>IF(AJ11&lt;&gt;"",ROUND(AJ11,0),IF(FilingStatusError,"",AMT))</f>
        <v>0</v>
      </c>
      <c r="AD11" s="6709"/>
      <c r="AE11" s="6709"/>
      <c r="AF11" s="6709"/>
      <c r="AG11" s="6709"/>
      <c r="AH11" s="2757"/>
      <c r="AI11" s="1179"/>
      <c r="AJ11" s="2868"/>
      <c r="AK11" s="385"/>
      <c r="AL11" s="261" t="s">
        <v>4892</v>
      </c>
      <c r="AP11" s="3445"/>
      <c r="AQ11" s="2595"/>
      <c r="AR11" s="2595"/>
      <c r="AS11" s="2595"/>
      <c r="AT11" s="2595"/>
      <c r="AU11" s="2595"/>
      <c r="AV11" s="2595"/>
      <c r="AW11" s="2595"/>
      <c r="AX11" s="2595"/>
      <c r="AY11" s="2595"/>
      <c r="AZ11" s="2595"/>
    </row>
    <row r="12" spans="1:52" ht="18.75" customHeight="1">
      <c r="A12" s="2757"/>
      <c r="B12" s="1179"/>
      <c r="C12" s="1824">
        <v>2</v>
      </c>
      <c r="D12" s="1577"/>
      <c r="E12" s="2686" t="s">
        <v>3351</v>
      </c>
      <c r="F12" s="1179"/>
      <c r="G12" s="1179"/>
      <c r="H12" s="1179"/>
      <c r="I12" s="1179"/>
      <c r="J12" s="1179"/>
      <c r="K12" s="1179"/>
      <c r="L12" s="1179"/>
      <c r="M12" s="1179"/>
      <c r="N12" s="1179"/>
      <c r="O12" s="1179"/>
      <c r="P12" s="1179"/>
      <c r="Q12" s="1179"/>
      <c r="R12" s="1179"/>
      <c r="S12" s="1179"/>
      <c r="T12" s="1179"/>
      <c r="U12" s="1179"/>
      <c r="V12" s="1179"/>
      <c r="W12" s="2703"/>
      <c r="X12" s="2701"/>
      <c r="Y12" s="1179"/>
      <c r="Z12" s="1179"/>
      <c r="AA12" s="1560" t="s">
        <v>1978</v>
      </c>
      <c r="AB12" s="2204">
        <v>2</v>
      </c>
      <c r="AC12" s="6573" t="str">
        <f>IF(AJ12&lt;&gt;"",ROUND(AJ12,0),PTC_Excess)</f>
        <v/>
      </c>
      <c r="AD12" s="6709"/>
      <c r="AE12" s="6709"/>
      <c r="AF12" s="6709"/>
      <c r="AG12" s="6709"/>
      <c r="AH12" s="2757"/>
      <c r="AI12" s="1179"/>
      <c r="AJ12" s="2868"/>
      <c r="AK12" s="385"/>
      <c r="AL12" s="261" t="s">
        <v>4893</v>
      </c>
      <c r="AP12" s="3445"/>
      <c r="AQ12" s="2595"/>
      <c r="AR12" s="2595"/>
      <c r="AS12" s="2595"/>
      <c r="AT12" s="2595"/>
      <c r="AU12" s="2595"/>
      <c r="AV12" s="2595"/>
      <c r="AW12" s="2595"/>
      <c r="AX12" s="2595"/>
      <c r="AY12" s="2595"/>
      <c r="AZ12" s="2595"/>
    </row>
    <row r="13" spans="1:52" ht="18.75" customHeight="1" thickBot="1">
      <c r="A13" s="2757"/>
      <c r="B13" s="1280"/>
      <c r="C13" s="4107">
        <v>3</v>
      </c>
      <c r="D13" s="5341"/>
      <c r="E13" s="2704" t="s">
        <v>4416</v>
      </c>
      <c r="F13" s="1280"/>
      <c r="G13" s="1280"/>
      <c r="H13" s="1280"/>
      <c r="I13" s="1280"/>
      <c r="J13" s="1280"/>
      <c r="K13" s="1280"/>
      <c r="L13" s="1280"/>
      <c r="M13" s="1280"/>
      <c r="N13" s="1280"/>
      <c r="O13" s="1280"/>
      <c r="P13" s="1280"/>
      <c r="Q13" s="1280"/>
      <c r="R13" s="1280"/>
      <c r="S13" s="1280"/>
      <c r="T13" s="1280"/>
      <c r="U13" s="1280"/>
      <c r="V13" s="1280"/>
      <c r="W13" s="4108"/>
      <c r="X13" s="4109"/>
      <c r="Y13" s="1280"/>
      <c r="Z13" s="1280"/>
      <c r="AA13" s="3307" t="s">
        <v>5401</v>
      </c>
      <c r="AB13" s="2673">
        <v>3</v>
      </c>
      <c r="AC13" s="6729">
        <f>IF(AJ13&lt;&gt;"",ROUND(AJ13,0),SUM(AC11:AC12))</f>
        <v>0</v>
      </c>
      <c r="AD13" s="6730"/>
      <c r="AE13" s="6730"/>
      <c r="AF13" s="6730"/>
      <c r="AG13" s="6730"/>
      <c r="AH13" s="2757"/>
      <c r="AI13" s="1179"/>
      <c r="AJ13" s="2868"/>
      <c r="AK13" s="385"/>
      <c r="AP13" s="3445"/>
      <c r="AQ13" s="2595"/>
      <c r="AR13" s="2595"/>
      <c r="AS13" s="2595"/>
      <c r="AT13" s="2595"/>
      <c r="AU13" s="2595"/>
      <c r="AV13" s="2595"/>
      <c r="AW13" s="2595"/>
      <c r="AX13" s="2595"/>
      <c r="AY13" s="2595"/>
      <c r="AZ13" s="2595"/>
    </row>
    <row r="14" spans="1:52" ht="22.5" customHeight="1">
      <c r="A14" s="2757"/>
      <c r="B14" s="6713" t="s">
        <v>118</v>
      </c>
      <c r="C14" s="6714"/>
      <c r="D14" s="6715"/>
      <c r="E14" s="3119"/>
      <c r="F14" s="4608" t="s">
        <v>2315</v>
      </c>
      <c r="G14" s="3119"/>
      <c r="H14" s="3119"/>
      <c r="I14" s="3119"/>
      <c r="J14" s="3119"/>
      <c r="K14" s="3119"/>
      <c r="L14" s="1553"/>
      <c r="M14" s="1553"/>
      <c r="N14" s="1553"/>
      <c r="O14" s="1553"/>
      <c r="P14" s="1553"/>
      <c r="Q14" s="1553"/>
      <c r="R14" s="1553"/>
      <c r="S14" s="1553"/>
      <c r="T14" s="1553"/>
      <c r="U14" s="1553"/>
      <c r="V14" s="1553"/>
      <c r="W14" s="1553"/>
      <c r="X14" s="1553"/>
      <c r="Y14" s="1553"/>
      <c r="Z14" s="1553"/>
      <c r="AA14" s="1553"/>
      <c r="AB14" s="1553"/>
      <c r="AC14" s="1553"/>
      <c r="AD14" s="1553"/>
      <c r="AE14" s="1553"/>
      <c r="AF14" s="1553"/>
      <c r="AG14" s="1553"/>
      <c r="AH14" s="2757"/>
      <c r="AI14" s="1179"/>
      <c r="AJ14" s="385"/>
      <c r="AK14" s="385"/>
      <c r="AN14" s="3286">
        <f>ROUND(AC16,0)</f>
        <v>0</v>
      </c>
      <c r="AP14" s="3445"/>
      <c r="AQ14" s="2595"/>
      <c r="AR14" s="2595"/>
      <c r="AS14" s="2595"/>
      <c r="AT14" s="2595"/>
      <c r="AU14" s="2595"/>
      <c r="AV14" s="2595"/>
      <c r="AW14" s="2595"/>
      <c r="AX14" s="2595"/>
      <c r="AY14" s="2595"/>
      <c r="AZ14" s="2595"/>
    </row>
    <row r="15" spans="1:52" ht="18" customHeight="1">
      <c r="A15" s="2757"/>
      <c r="B15" s="1179"/>
      <c r="C15" s="1824">
        <v>4</v>
      </c>
      <c r="D15" s="1577"/>
      <c r="E15" s="2686" t="s">
        <v>3352</v>
      </c>
      <c r="F15" s="1179"/>
      <c r="G15" s="1179"/>
      <c r="H15" s="1179"/>
      <c r="I15" s="1179"/>
      <c r="J15" s="1179"/>
      <c r="K15" s="1179"/>
      <c r="L15" s="1179"/>
      <c r="M15" s="1179"/>
      <c r="N15" s="1179"/>
      <c r="O15" s="1179"/>
      <c r="P15" s="1179"/>
      <c r="Q15" s="1179"/>
      <c r="R15" s="1179"/>
      <c r="S15" s="1179"/>
      <c r="T15" s="1179"/>
      <c r="U15" s="1179"/>
      <c r="V15" s="1179"/>
      <c r="W15" s="2703"/>
      <c r="X15" s="2701"/>
      <c r="Y15" s="1179"/>
      <c r="Z15" s="1179"/>
      <c r="AA15" s="1560" t="s">
        <v>2027</v>
      </c>
      <c r="AB15" s="2204">
        <v>4</v>
      </c>
      <c r="AC15" s="6573">
        <f>IF(AJ15&lt;&gt;"",ROUND(AJ15,0),SchSE_Tax)</f>
        <v>0</v>
      </c>
      <c r="AD15" s="6709"/>
      <c r="AE15" s="6709"/>
      <c r="AF15" s="6709"/>
      <c r="AG15" s="6709"/>
      <c r="AH15" s="2757"/>
      <c r="AI15" s="1179"/>
      <c r="AJ15" s="2868"/>
      <c r="AK15" s="385"/>
      <c r="AL15" s="261" t="s">
        <v>4894</v>
      </c>
      <c r="AN15" s="3286">
        <f>ROUND(AC22,0)</f>
        <v>0</v>
      </c>
      <c r="AP15" s="3445"/>
      <c r="AQ15" s="2595"/>
      <c r="AR15" s="2595"/>
      <c r="AS15" s="2595"/>
      <c r="AT15" s="2595"/>
      <c r="AU15" s="2595"/>
      <c r="AV15" s="2595"/>
      <c r="AW15" s="2595"/>
      <c r="AX15" s="2595"/>
      <c r="AY15" s="2595"/>
      <c r="AZ15" s="2595"/>
    </row>
    <row r="16" spans="1:52" ht="18" customHeight="1">
      <c r="A16" s="2757"/>
      <c r="B16" s="1179"/>
      <c r="C16" s="1824">
        <v>5</v>
      </c>
      <c r="D16" s="1577"/>
      <c r="E16" s="2686" t="s">
        <v>4896</v>
      </c>
      <c r="F16" s="1179"/>
      <c r="G16" s="1179"/>
      <c r="H16" s="1179"/>
      <c r="I16" s="1179"/>
      <c r="J16" s="1179"/>
      <c r="K16" s="1179"/>
      <c r="L16" s="1179"/>
      <c r="M16" s="1179"/>
      <c r="N16" s="1179"/>
      <c r="O16" s="1179"/>
      <c r="P16" s="1179"/>
      <c r="Q16" s="1179"/>
      <c r="R16" s="1179"/>
      <c r="S16" s="1179"/>
      <c r="T16" s="1179"/>
      <c r="U16" s="1179"/>
      <c r="V16" s="3004"/>
      <c r="W16" s="6696"/>
      <c r="X16" s="6697"/>
      <c r="Y16" s="6697"/>
      <c r="Z16" s="6697"/>
      <c r="AA16" s="6698"/>
      <c r="AB16" s="3034"/>
      <c r="AC16" s="6716"/>
      <c r="AD16" s="6717"/>
      <c r="AE16" s="6717"/>
      <c r="AF16" s="6717"/>
      <c r="AG16" s="6717"/>
      <c r="AH16" s="2757"/>
      <c r="AI16" s="1179"/>
      <c r="AJ16" s="385"/>
      <c r="AK16" s="385"/>
      <c r="AL16" s="3286"/>
      <c r="AN16" s="3286">
        <f>ROUND(AC23,0)</f>
        <v>0</v>
      </c>
      <c r="AP16" s="3445"/>
      <c r="AQ16" s="2595"/>
      <c r="AR16" s="2595"/>
      <c r="AS16" s="2595"/>
      <c r="AT16" s="2595"/>
      <c r="AU16" s="2595"/>
      <c r="AV16" s="2595"/>
      <c r="AW16" s="2595"/>
      <c r="AX16" s="2595"/>
      <c r="AY16" s="2595"/>
      <c r="AZ16" s="2595"/>
    </row>
    <row r="17" spans="1:52" ht="18" customHeight="1">
      <c r="A17" s="2757"/>
      <c r="B17" s="1179"/>
      <c r="C17" s="1824"/>
      <c r="D17" s="1577"/>
      <c r="E17" s="2686" t="s">
        <v>4895</v>
      </c>
      <c r="F17" s="1179"/>
      <c r="G17" s="1179"/>
      <c r="H17" s="1179"/>
      <c r="I17" s="1179"/>
      <c r="J17" s="1179"/>
      <c r="K17" s="1179"/>
      <c r="L17" s="1179"/>
      <c r="M17" s="1179"/>
      <c r="N17" s="1179"/>
      <c r="O17" s="1179"/>
      <c r="P17" s="1179"/>
      <c r="Q17" s="1179"/>
      <c r="R17" s="1179"/>
      <c r="S17" s="1179"/>
      <c r="T17" s="1179"/>
      <c r="U17" s="1560" t="s">
        <v>644</v>
      </c>
      <c r="V17" s="1557">
        <v>5</v>
      </c>
      <c r="W17" s="6570"/>
      <c r="X17" s="6692"/>
      <c r="Y17" s="6692"/>
      <c r="Z17" s="6692"/>
      <c r="AA17" s="6693"/>
      <c r="AB17" s="3037"/>
      <c r="AC17" s="5124"/>
      <c r="AD17" s="1540"/>
      <c r="AE17" s="1540"/>
      <c r="AF17" s="1540"/>
      <c r="AG17" s="1540"/>
      <c r="AH17" s="2757"/>
      <c r="AI17" s="1179"/>
      <c r="AJ17" s="385"/>
      <c r="AK17" s="385"/>
      <c r="AL17" s="3286"/>
      <c r="AN17" s="3286"/>
      <c r="AP17" s="3445"/>
      <c r="AQ17" s="2595"/>
      <c r="AR17" s="2595"/>
      <c r="AS17" s="2595"/>
      <c r="AT17" s="2595"/>
      <c r="AU17" s="2595"/>
      <c r="AV17" s="2595"/>
      <c r="AW17" s="2595"/>
      <c r="AX17" s="2595"/>
      <c r="AY17" s="2595"/>
      <c r="AZ17" s="2595"/>
    </row>
    <row r="18" spans="1:52" ht="18" customHeight="1">
      <c r="A18" s="2757"/>
      <c r="B18" s="1179"/>
      <c r="C18" s="1824">
        <v>6</v>
      </c>
      <c r="D18" s="1577"/>
      <c r="E18" s="2686" t="s">
        <v>4897</v>
      </c>
      <c r="F18" s="1179"/>
      <c r="G18" s="1179"/>
      <c r="H18" s="1179"/>
      <c r="I18" s="1179"/>
      <c r="J18" s="1179"/>
      <c r="K18" s="1179"/>
      <c r="L18" s="1179"/>
      <c r="M18" s="1179"/>
      <c r="N18" s="1179"/>
      <c r="O18" s="1179"/>
      <c r="P18" s="1179"/>
      <c r="Q18" s="1179"/>
      <c r="R18" s="1179"/>
      <c r="S18" s="1179"/>
      <c r="T18" s="1179"/>
      <c r="U18" s="1179"/>
      <c r="V18" s="3004"/>
      <c r="W18" s="6696"/>
      <c r="X18" s="6697"/>
      <c r="Y18" s="6697"/>
      <c r="Z18" s="6697"/>
      <c r="AA18" s="6698"/>
      <c r="AB18" s="3037"/>
      <c r="AC18" s="5124"/>
      <c r="AD18" s="1540"/>
      <c r="AE18" s="1540"/>
      <c r="AF18" s="1540"/>
      <c r="AG18" s="1540"/>
      <c r="AH18" s="2757"/>
      <c r="AI18" s="1179"/>
      <c r="AJ18" s="385"/>
      <c r="AK18" s="385"/>
      <c r="AL18" s="3286"/>
      <c r="AN18" s="3286"/>
      <c r="AP18" s="3445"/>
      <c r="AQ18" s="2595"/>
      <c r="AR18" s="2595"/>
      <c r="AS18" s="2595"/>
      <c r="AT18" s="2595"/>
      <c r="AU18" s="2595"/>
      <c r="AV18" s="2595"/>
      <c r="AW18" s="2595"/>
      <c r="AX18" s="2595"/>
      <c r="AY18" s="2595"/>
      <c r="AZ18" s="2595"/>
    </row>
    <row r="19" spans="1:52" ht="18" customHeight="1">
      <c r="A19" s="2757"/>
      <c r="B19" s="1179"/>
      <c r="C19" s="1824"/>
      <c r="D19" s="1577"/>
      <c r="E19" s="2686" t="s">
        <v>4898</v>
      </c>
      <c r="F19" s="1179"/>
      <c r="G19" s="1179"/>
      <c r="H19" s="1179"/>
      <c r="I19" s="1179"/>
      <c r="J19" s="1179"/>
      <c r="K19" s="1179"/>
      <c r="L19" s="1179"/>
      <c r="M19" s="1179"/>
      <c r="N19" s="1179"/>
      <c r="O19" s="1179"/>
      <c r="P19" s="1179"/>
      <c r="Q19" s="1179"/>
      <c r="R19" s="1179"/>
      <c r="S19" s="1179"/>
      <c r="T19" s="1179"/>
      <c r="U19" s="1560" t="s">
        <v>604</v>
      </c>
      <c r="V19" s="1557">
        <v>6</v>
      </c>
      <c r="W19" s="6570"/>
      <c r="X19" s="6692"/>
      <c r="Y19" s="6692"/>
      <c r="Z19" s="6692"/>
      <c r="AA19" s="6693"/>
      <c r="AB19" s="3037"/>
      <c r="AC19" s="5124"/>
      <c r="AD19" s="1540"/>
      <c r="AE19" s="1540"/>
      <c r="AF19" s="1540"/>
      <c r="AG19" s="1540"/>
      <c r="AH19" s="2757"/>
      <c r="AI19" s="1179"/>
      <c r="AJ19" s="385"/>
      <c r="AK19" s="385"/>
      <c r="AL19" s="3286"/>
      <c r="AN19" s="3286"/>
      <c r="AP19" s="3445"/>
      <c r="AQ19" s="2595"/>
      <c r="AR19" s="2595"/>
      <c r="AS19" s="2595"/>
      <c r="AT19" s="2595"/>
      <c r="AU19" s="2595"/>
      <c r="AV19" s="2595"/>
      <c r="AW19" s="2595"/>
      <c r="AX19" s="2595"/>
      <c r="AY19" s="2595"/>
      <c r="AZ19" s="2595"/>
    </row>
    <row r="20" spans="1:52" ht="18" customHeight="1">
      <c r="A20" s="2757"/>
      <c r="B20" s="1179"/>
      <c r="C20" s="1824">
        <v>7</v>
      </c>
      <c r="D20" s="1577"/>
      <c r="E20" s="2686" t="s">
        <v>4899</v>
      </c>
      <c r="F20" s="1179"/>
      <c r="G20" s="1179"/>
      <c r="H20" s="1179"/>
      <c r="I20" s="1179"/>
      <c r="J20" s="1179"/>
      <c r="K20" s="1179"/>
      <c r="L20" s="1179"/>
      <c r="M20" s="1179"/>
      <c r="N20" s="1179"/>
      <c r="O20" s="1179"/>
      <c r="P20" s="1179"/>
      <c r="Q20" s="1179"/>
      <c r="R20" s="1179"/>
      <c r="S20" s="1179"/>
      <c r="T20" s="1179"/>
      <c r="U20" s="1179"/>
      <c r="V20" s="1179"/>
      <c r="W20" s="2703"/>
      <c r="X20" s="2701"/>
      <c r="Y20" s="1179"/>
      <c r="Z20" s="1179"/>
      <c r="AA20" s="1560" t="s">
        <v>2514</v>
      </c>
      <c r="AB20" s="1557">
        <v>7</v>
      </c>
      <c r="AC20" s="6690" t="str">
        <f>IF(AND(W17="",W19=""),"",SUM(W17,W19))</f>
        <v/>
      </c>
      <c r="AD20" s="6702"/>
      <c r="AE20" s="6702"/>
      <c r="AF20" s="6702"/>
      <c r="AG20" s="6702"/>
      <c r="AH20" s="2757"/>
      <c r="AI20" s="1179"/>
      <c r="AJ20" s="385"/>
      <c r="AK20" s="385"/>
      <c r="AN20" s="3286">
        <f>ROUND(AC23,0)</f>
        <v>0</v>
      </c>
      <c r="AP20" s="3445"/>
      <c r="AQ20" s="2595"/>
      <c r="AR20" s="2595"/>
      <c r="AS20" s="2595"/>
      <c r="AT20" s="2595"/>
      <c r="AU20" s="2595"/>
      <c r="AV20" s="2595"/>
      <c r="AW20" s="2595"/>
      <c r="AX20" s="2595"/>
      <c r="AY20" s="2595"/>
      <c r="AZ20" s="2595"/>
    </row>
    <row r="21" spans="1:52" ht="18" customHeight="1">
      <c r="A21" s="2757"/>
      <c r="B21" s="1179"/>
      <c r="C21" s="1824">
        <v>8</v>
      </c>
      <c r="D21" s="1577"/>
      <c r="E21" s="2686" t="s">
        <v>4900</v>
      </c>
      <c r="F21" s="1179"/>
      <c r="G21" s="1179"/>
      <c r="H21" s="1179"/>
      <c r="I21" s="1179"/>
      <c r="J21" s="1179"/>
      <c r="K21" s="1179"/>
      <c r="L21" s="1179"/>
      <c r="M21" s="1179"/>
      <c r="N21" s="1179"/>
      <c r="O21" s="1179"/>
      <c r="P21" s="1179"/>
      <c r="Q21" s="1179"/>
      <c r="R21" s="1179"/>
      <c r="S21" s="1179"/>
      <c r="T21" s="1179"/>
      <c r="U21" s="1179"/>
      <c r="V21" s="1179"/>
      <c r="W21" s="2703"/>
      <c r="X21" s="2701"/>
      <c r="Y21" s="1179"/>
      <c r="Z21" s="1179"/>
      <c r="AA21" s="1560" t="s">
        <v>2523</v>
      </c>
      <c r="AB21" s="1557">
        <v>8</v>
      </c>
      <c r="AC21" s="6570"/>
      <c r="AD21" s="6692"/>
      <c r="AE21" s="6692"/>
      <c r="AF21" s="6692"/>
      <c r="AG21" s="6692"/>
      <c r="AH21" s="2757"/>
      <c r="AI21" s="1179"/>
      <c r="AJ21" s="385"/>
      <c r="AK21" s="385"/>
      <c r="AN21" s="3286"/>
      <c r="AP21" s="3445"/>
      <c r="AQ21" s="2595"/>
      <c r="AR21" s="2595"/>
      <c r="AS21" s="2595"/>
      <c r="AT21" s="2595"/>
      <c r="AU21" s="2595"/>
      <c r="AV21" s="2595"/>
      <c r="AW21" s="2595"/>
      <c r="AX21" s="2595"/>
      <c r="AY21" s="2595"/>
      <c r="AZ21" s="2595"/>
    </row>
    <row r="22" spans="1:52" ht="18" customHeight="1">
      <c r="A22" s="2757"/>
      <c r="B22" s="1179"/>
      <c r="C22" s="1824">
        <v>9</v>
      </c>
      <c r="D22" s="1577"/>
      <c r="E22" s="2686" t="s">
        <v>3353</v>
      </c>
      <c r="F22" s="1179"/>
      <c r="G22" s="1179"/>
      <c r="H22" s="1179"/>
      <c r="I22" s="1179"/>
      <c r="J22" s="1179"/>
      <c r="K22" s="1179"/>
      <c r="L22" s="1179"/>
      <c r="M22" s="1179"/>
      <c r="N22" s="1179"/>
      <c r="O22" s="1179"/>
      <c r="P22" s="1179"/>
      <c r="Q22" s="1179"/>
      <c r="R22" s="1179"/>
      <c r="S22" s="1179"/>
      <c r="T22" s="1179"/>
      <c r="U22" s="1179"/>
      <c r="V22" s="1179"/>
      <c r="W22" s="2703"/>
      <c r="X22" s="2701"/>
      <c r="Y22" s="1179"/>
      <c r="Z22" s="1179"/>
      <c r="AA22" s="1560" t="s">
        <v>1055</v>
      </c>
      <c r="AB22" s="1557">
        <v>9</v>
      </c>
      <c r="AC22" s="6570"/>
      <c r="AD22" s="6692"/>
      <c r="AE22" s="6692"/>
      <c r="AF22" s="6692"/>
      <c r="AG22" s="6692"/>
      <c r="AH22" s="2757"/>
      <c r="AI22" s="1179"/>
      <c r="AJ22" s="385"/>
      <c r="AK22" s="385"/>
      <c r="AL22" s="4118"/>
      <c r="AM22" s="1286"/>
      <c r="AN22" s="3849"/>
      <c r="AO22" s="1286"/>
      <c r="AP22" s="3445"/>
      <c r="AQ22" s="2595"/>
      <c r="AR22" s="2595"/>
      <c r="AS22" s="2595"/>
      <c r="AT22" s="2595"/>
      <c r="AU22" s="2595"/>
      <c r="AV22" s="2595"/>
      <c r="AW22" s="2595"/>
      <c r="AX22" s="2595"/>
      <c r="AY22" s="2595"/>
      <c r="AZ22" s="2595"/>
    </row>
    <row r="23" spans="1:52" ht="18" customHeight="1">
      <c r="A23" s="2757"/>
      <c r="B23" s="1179"/>
      <c r="C23" s="1824">
        <v>10</v>
      </c>
      <c r="D23" s="1577"/>
      <c r="E23" s="2686" t="s">
        <v>4901</v>
      </c>
      <c r="F23" s="1179"/>
      <c r="G23" s="1179"/>
      <c r="H23" s="1179"/>
      <c r="I23" s="1179"/>
      <c r="J23" s="1179"/>
      <c r="K23" s="1179"/>
      <c r="L23" s="1179"/>
      <c r="M23" s="1179"/>
      <c r="N23" s="1179"/>
      <c r="O23" s="1179"/>
      <c r="P23" s="1179"/>
      <c r="Q23" s="1179"/>
      <c r="R23" s="1179"/>
      <c r="S23" s="1179"/>
      <c r="T23" s="1179"/>
      <c r="U23" s="1179"/>
      <c r="V23" s="1179"/>
      <c r="W23" s="2703"/>
      <c r="X23" s="2701"/>
      <c r="Y23" s="1179"/>
      <c r="Z23" s="1179"/>
      <c r="AA23" s="1560" t="s">
        <v>4960</v>
      </c>
      <c r="AB23" s="2204">
        <v>10</v>
      </c>
      <c r="AC23" s="6575"/>
      <c r="AD23" s="6718"/>
      <c r="AE23" s="6718"/>
      <c r="AF23" s="6718"/>
      <c r="AG23" s="6718"/>
      <c r="AH23" s="2757"/>
      <c r="AI23" s="1179"/>
      <c r="AJ23" s="385"/>
      <c r="AK23" s="385"/>
      <c r="AL23" s="4118"/>
      <c r="AM23" s="1286"/>
      <c r="AN23" s="3849"/>
      <c r="AO23" s="1286"/>
      <c r="AP23" s="3445"/>
      <c r="AQ23" s="2595"/>
      <c r="AR23" s="2595"/>
      <c r="AS23" s="2595"/>
      <c r="AT23" s="2595"/>
      <c r="AU23" s="2595"/>
      <c r="AV23" s="2595"/>
      <c r="AW23" s="2595"/>
      <c r="AX23" s="2595"/>
      <c r="AY23" s="2595"/>
      <c r="AZ23" s="2595"/>
    </row>
    <row r="24" spans="1:52" ht="18" customHeight="1">
      <c r="A24" s="2757"/>
      <c r="B24" s="1179"/>
      <c r="C24" s="1824">
        <v>11</v>
      </c>
      <c r="D24" s="1577"/>
      <c r="E24" s="2686" t="s">
        <v>4902</v>
      </c>
      <c r="F24" s="1179"/>
      <c r="G24" s="1179"/>
      <c r="H24" s="1179"/>
      <c r="I24" s="1179"/>
      <c r="J24" s="1179"/>
      <c r="K24" s="1179"/>
      <c r="L24" s="1179"/>
      <c r="M24" s="1179"/>
      <c r="N24" s="1179"/>
      <c r="O24" s="1179"/>
      <c r="P24" s="1179"/>
      <c r="Q24" s="1179"/>
      <c r="R24" s="1179"/>
      <c r="S24" s="1179"/>
      <c r="T24" s="1179"/>
      <c r="U24" s="1179"/>
      <c r="V24" s="1179"/>
      <c r="W24" s="2703"/>
      <c r="X24" s="2701"/>
      <c r="Y24" s="1179"/>
      <c r="Z24" s="1179"/>
      <c r="AA24" s="1560" t="s">
        <v>2211</v>
      </c>
      <c r="AB24" s="2204">
        <v>11</v>
      </c>
      <c r="AC24" s="6626" t="str">
        <f>IF(AJ24&lt;&gt;"",ROUND(AJ24,0),F8959_Tax)</f>
        <v/>
      </c>
      <c r="AD24" s="6707"/>
      <c r="AE24" s="6707"/>
      <c r="AF24" s="6707"/>
      <c r="AG24" s="6707"/>
      <c r="AH24" s="2757"/>
      <c r="AI24" s="1179"/>
      <c r="AJ24" s="2868"/>
      <c r="AK24" s="385"/>
      <c r="AL24" s="261" t="s">
        <v>4961</v>
      </c>
      <c r="AM24" s="1286"/>
      <c r="AN24" s="3849"/>
      <c r="AO24" s="1286"/>
      <c r="AP24" s="3445"/>
      <c r="AQ24" s="2595"/>
      <c r="AR24" s="2595"/>
      <c r="AS24" s="2595"/>
      <c r="AT24" s="2595"/>
      <c r="AU24" s="2595"/>
      <c r="AV24" s="2595"/>
      <c r="AW24" s="2595"/>
      <c r="AX24" s="2595"/>
      <c r="AY24" s="2595"/>
      <c r="AZ24" s="2595"/>
    </row>
    <row r="25" spans="1:52" ht="18" customHeight="1">
      <c r="A25" s="2757"/>
      <c r="B25" s="1179"/>
      <c r="C25" s="1824">
        <v>12</v>
      </c>
      <c r="D25" s="1577"/>
      <c r="E25" s="2686" t="s">
        <v>4903</v>
      </c>
      <c r="F25" s="1179"/>
      <c r="G25" s="1179"/>
      <c r="H25" s="1179"/>
      <c r="I25" s="1179"/>
      <c r="J25" s="1179"/>
      <c r="K25" s="1179"/>
      <c r="L25" s="1179"/>
      <c r="M25" s="1179"/>
      <c r="N25" s="1179"/>
      <c r="O25" s="1179"/>
      <c r="P25" s="1179"/>
      <c r="Q25" s="1179"/>
      <c r="R25" s="1179"/>
      <c r="S25" s="1179"/>
      <c r="T25" s="1179"/>
      <c r="U25" s="1179"/>
      <c r="V25" s="1179"/>
      <c r="W25" s="2703"/>
      <c r="X25" s="2701"/>
      <c r="Y25" s="1179"/>
      <c r="Z25" s="1179"/>
      <c r="AA25" s="1560" t="s">
        <v>2780</v>
      </c>
      <c r="AB25" s="2204">
        <v>12</v>
      </c>
      <c r="AC25" s="6626" t="str">
        <f>IF(AJ25&lt;&gt;"",ROUND(AJ25,0),F8960_Tax)</f>
        <v/>
      </c>
      <c r="AD25" s="6707"/>
      <c r="AE25" s="6707"/>
      <c r="AF25" s="6707"/>
      <c r="AG25" s="6707"/>
      <c r="AH25" s="2757"/>
      <c r="AI25" s="1179"/>
      <c r="AJ25" s="2868"/>
      <c r="AK25" s="385"/>
      <c r="AL25" s="261" t="s">
        <v>4964</v>
      </c>
      <c r="AM25" s="1286"/>
      <c r="AN25" s="3849"/>
      <c r="AO25" s="1286"/>
      <c r="AP25" s="3445"/>
      <c r="AQ25" s="2595"/>
      <c r="AR25" s="2595"/>
      <c r="AS25" s="2595"/>
      <c r="AT25" s="2595"/>
      <c r="AU25" s="2595"/>
      <c r="AV25" s="2595"/>
      <c r="AW25" s="2595"/>
      <c r="AX25" s="2595"/>
      <c r="AY25" s="2595"/>
      <c r="AZ25" s="2595"/>
    </row>
    <row r="26" spans="1:52" ht="18" customHeight="1">
      <c r="A26" s="2757"/>
      <c r="B26" s="1179"/>
      <c r="C26" s="1824">
        <v>13</v>
      </c>
      <c r="D26" s="1577"/>
      <c r="E26" s="2686" t="s">
        <v>4904</v>
      </c>
      <c r="F26" s="1179"/>
      <c r="G26" s="1179"/>
      <c r="H26" s="1179"/>
      <c r="I26" s="1179"/>
      <c r="J26" s="1179"/>
      <c r="K26" s="1179"/>
      <c r="L26" s="1179"/>
      <c r="M26" s="1179"/>
      <c r="N26" s="1179"/>
      <c r="O26" s="1179"/>
      <c r="P26" s="1179"/>
      <c r="Q26" s="1179"/>
      <c r="R26" s="1179"/>
      <c r="S26" s="1179"/>
      <c r="T26" s="1179"/>
      <c r="U26" s="1179"/>
      <c r="V26" s="1179"/>
      <c r="W26" s="2703"/>
      <c r="X26" s="2701"/>
      <c r="Y26" s="1179"/>
      <c r="Z26" s="1179"/>
      <c r="AA26" s="1560"/>
      <c r="AB26" s="3006"/>
      <c r="AC26" s="6694"/>
      <c r="AD26" s="6695"/>
      <c r="AE26" s="6695"/>
      <c r="AF26" s="6695"/>
      <c r="AG26" s="6695"/>
      <c r="AH26" s="2757"/>
      <c r="AI26" s="1179"/>
      <c r="AJ26" s="385"/>
      <c r="AK26" s="385"/>
      <c r="AL26" s="4118"/>
      <c r="AM26" s="1286"/>
      <c r="AN26" s="5338"/>
      <c r="AO26" s="1286"/>
      <c r="AP26" s="3445"/>
      <c r="AQ26" s="2595"/>
      <c r="AR26" s="2595"/>
      <c r="AS26" s="2595"/>
      <c r="AT26" s="2595"/>
      <c r="AU26" s="2595"/>
      <c r="AV26" s="2595"/>
      <c r="AW26" s="2595"/>
      <c r="AX26" s="2595"/>
      <c r="AY26" s="2595"/>
      <c r="AZ26" s="2595"/>
    </row>
    <row r="27" spans="1:52" ht="18" customHeight="1">
      <c r="A27" s="2757"/>
      <c r="B27" s="1179"/>
      <c r="C27" s="1824"/>
      <c r="D27" s="1577"/>
      <c r="E27" s="2686" t="s">
        <v>4905</v>
      </c>
      <c r="F27" s="1179"/>
      <c r="G27" s="1179"/>
      <c r="H27" s="1179"/>
      <c r="I27" s="1179"/>
      <c r="J27" s="1179"/>
      <c r="K27" s="1179"/>
      <c r="L27" s="1179"/>
      <c r="M27" s="1179"/>
      <c r="N27" s="1179"/>
      <c r="O27" s="1179"/>
      <c r="P27" s="1179"/>
      <c r="Q27" s="1179"/>
      <c r="R27" s="1179"/>
      <c r="S27" s="1179"/>
      <c r="T27" s="1179"/>
      <c r="U27" s="1179"/>
      <c r="V27" s="1179"/>
      <c r="W27" s="2703"/>
      <c r="X27" s="2701"/>
      <c r="Y27" s="1179"/>
      <c r="Z27" s="1179"/>
      <c r="AA27" s="1560" t="s">
        <v>2576</v>
      </c>
      <c r="AB27" s="1557">
        <v>13</v>
      </c>
      <c r="AC27" s="6708"/>
      <c r="AD27" s="6659"/>
      <c r="AE27" s="6659"/>
      <c r="AF27" s="6659"/>
      <c r="AG27" s="6659"/>
      <c r="AH27" s="2757"/>
      <c r="AI27" s="1179"/>
      <c r="AJ27" s="385"/>
      <c r="AK27" s="385"/>
      <c r="AL27" s="4118"/>
      <c r="AM27" s="1286"/>
      <c r="AN27" s="5338"/>
      <c r="AO27" s="1286"/>
      <c r="AP27" s="3445"/>
      <c r="AQ27" s="2595"/>
      <c r="AR27" s="2595"/>
      <c r="AS27" s="2595"/>
      <c r="AT27" s="2595"/>
      <c r="AU27" s="2595"/>
      <c r="AV27" s="2595"/>
      <c r="AW27" s="2595"/>
      <c r="AX27" s="2595"/>
      <c r="AY27" s="2595"/>
      <c r="AZ27" s="2595"/>
    </row>
    <row r="28" spans="1:52" ht="18" customHeight="1">
      <c r="A28" s="2757"/>
      <c r="B28" s="1283"/>
      <c r="C28" s="1283">
        <v>14</v>
      </c>
      <c r="D28" s="1283"/>
      <c r="E28" s="2686" t="s">
        <v>4906</v>
      </c>
      <c r="F28" s="1179"/>
      <c r="G28" s="1179"/>
      <c r="H28" s="1179"/>
      <c r="I28" s="1179"/>
      <c r="J28" s="1179"/>
      <c r="K28" s="1179"/>
      <c r="L28" s="1179"/>
      <c r="M28" s="1179"/>
      <c r="N28" s="1179"/>
      <c r="O28" s="1179"/>
      <c r="P28" s="1179"/>
      <c r="Q28" s="1179"/>
      <c r="R28" s="1179"/>
      <c r="S28" s="1179"/>
      <c r="T28" s="1179"/>
      <c r="U28" s="1179"/>
      <c r="V28" s="1179"/>
      <c r="W28" s="1179"/>
      <c r="X28" s="1179"/>
      <c r="Y28" s="1179"/>
      <c r="Z28" s="1179"/>
      <c r="AA28" s="1179"/>
      <c r="AB28" s="3006"/>
      <c r="AC28" s="6694"/>
      <c r="AD28" s="6695"/>
      <c r="AE28" s="6695"/>
      <c r="AF28" s="6695"/>
      <c r="AG28" s="6695"/>
      <c r="AH28" s="2757"/>
      <c r="AI28" s="1179"/>
      <c r="AJ28" s="385"/>
      <c r="AK28" s="385"/>
      <c r="AL28" s="4118"/>
      <c r="AM28" s="1286"/>
      <c r="AN28" s="5338"/>
      <c r="AO28" s="1286"/>
      <c r="AP28" s="3445"/>
      <c r="AQ28" s="2595"/>
      <c r="AR28" s="2595"/>
      <c r="AS28" s="2595"/>
      <c r="AT28" s="2595"/>
      <c r="AU28" s="2595"/>
      <c r="AV28" s="2595"/>
      <c r="AW28" s="2595"/>
      <c r="AX28" s="2595"/>
      <c r="AY28" s="2595"/>
      <c r="AZ28" s="2595"/>
    </row>
    <row r="29" spans="1:52" ht="18" customHeight="1">
      <c r="A29" s="2757"/>
      <c r="B29" s="1283"/>
      <c r="C29" s="1283"/>
      <c r="D29" s="1283"/>
      <c r="E29" s="2686" t="s">
        <v>4907</v>
      </c>
      <c r="F29" s="1179"/>
      <c r="G29" s="1179"/>
      <c r="H29" s="1179"/>
      <c r="I29" s="1179"/>
      <c r="J29" s="1179"/>
      <c r="K29" s="1179"/>
      <c r="L29" s="1179"/>
      <c r="M29" s="1179"/>
      <c r="N29" s="1179"/>
      <c r="O29" s="1179"/>
      <c r="P29" s="1179"/>
      <c r="Q29" s="1179"/>
      <c r="R29" s="1179"/>
      <c r="S29" s="1179"/>
      <c r="T29" s="1179"/>
      <c r="U29" s="1179"/>
      <c r="V29" s="1179"/>
      <c r="W29" s="1179"/>
      <c r="X29" s="1179"/>
      <c r="Y29" s="1179"/>
      <c r="Z29" s="1179"/>
      <c r="AA29" s="1560" t="s">
        <v>2422</v>
      </c>
      <c r="AB29" s="1557">
        <v>14</v>
      </c>
      <c r="AC29" s="6708"/>
      <c r="AD29" s="6659"/>
      <c r="AE29" s="6659"/>
      <c r="AF29" s="6659"/>
      <c r="AG29" s="6659"/>
      <c r="AH29" s="2757"/>
      <c r="AI29" s="1179"/>
      <c r="AJ29" s="385"/>
      <c r="AK29" s="385"/>
      <c r="AL29" s="4118"/>
      <c r="AM29" s="1286"/>
      <c r="AN29" s="5338"/>
      <c r="AO29" s="1286"/>
      <c r="AP29" s="3445"/>
      <c r="AQ29" s="2595"/>
      <c r="AR29" s="2595"/>
      <c r="AS29" s="2595"/>
      <c r="AT29" s="2595"/>
      <c r="AU29" s="2595"/>
      <c r="AV29" s="2595"/>
      <c r="AW29" s="2595"/>
      <c r="AX29" s="2595"/>
      <c r="AY29" s="2595"/>
      <c r="AZ29" s="2595"/>
    </row>
    <row r="30" spans="1:52" ht="18" customHeight="1">
      <c r="A30" s="2757"/>
      <c r="B30" s="1283"/>
      <c r="C30" s="1283">
        <v>15</v>
      </c>
      <c r="D30" s="1283"/>
      <c r="E30" s="2686" t="s">
        <v>4908</v>
      </c>
      <c r="F30" s="1179"/>
      <c r="G30" s="1179"/>
      <c r="H30" s="1179"/>
      <c r="I30" s="1179"/>
      <c r="J30" s="1179"/>
      <c r="K30" s="1179"/>
      <c r="L30" s="1179"/>
      <c r="M30" s="1179"/>
      <c r="N30" s="1179"/>
      <c r="O30" s="1179"/>
      <c r="P30" s="1179"/>
      <c r="Q30" s="1179"/>
      <c r="R30" s="1179"/>
      <c r="S30" s="1179"/>
      <c r="T30" s="1179"/>
      <c r="U30" s="1179"/>
      <c r="V30" s="1179"/>
      <c r="W30" s="1179"/>
      <c r="X30" s="1179"/>
      <c r="Y30" s="1179"/>
      <c r="Z30" s="1179"/>
      <c r="AA30" s="1179"/>
      <c r="AB30" s="3006"/>
      <c r="AC30" s="6694"/>
      <c r="AD30" s="6695"/>
      <c r="AE30" s="6695"/>
      <c r="AF30" s="6695"/>
      <c r="AG30" s="6695"/>
      <c r="AH30" s="2757"/>
      <c r="AI30" s="1179"/>
      <c r="AJ30" s="385"/>
      <c r="AK30" s="385"/>
      <c r="AL30" s="4118"/>
      <c r="AM30" s="1286"/>
      <c r="AN30" s="5338"/>
      <c r="AO30" s="1286"/>
      <c r="AP30" s="3445"/>
      <c r="AQ30" s="2595"/>
      <c r="AR30" s="2595"/>
      <c r="AS30" s="2595"/>
      <c r="AT30" s="2595"/>
      <c r="AU30" s="2595"/>
      <c r="AV30" s="2595"/>
      <c r="AW30" s="2595"/>
      <c r="AX30" s="2595"/>
      <c r="AY30" s="2595"/>
      <c r="AZ30" s="2595"/>
    </row>
    <row r="31" spans="1:52" ht="18" customHeight="1">
      <c r="A31" s="2757"/>
      <c r="B31" s="1283"/>
      <c r="C31" s="1283"/>
      <c r="D31" s="1283"/>
      <c r="E31" s="2686" t="s">
        <v>4909</v>
      </c>
      <c r="F31" s="1179"/>
      <c r="G31" s="1179"/>
      <c r="H31" s="1179"/>
      <c r="I31" s="1179"/>
      <c r="J31" s="1179"/>
      <c r="K31" s="1179"/>
      <c r="L31" s="1179"/>
      <c r="M31" s="1179"/>
      <c r="N31" s="1179"/>
      <c r="O31" s="1179"/>
      <c r="P31" s="1179"/>
      <c r="Q31" s="1179"/>
      <c r="R31" s="1179"/>
      <c r="S31" s="1179"/>
      <c r="T31" s="1179"/>
      <c r="U31" s="1179"/>
      <c r="V31" s="1179"/>
      <c r="W31" s="1179"/>
      <c r="X31" s="1179"/>
      <c r="Y31" s="1179"/>
      <c r="Z31" s="1179"/>
      <c r="AA31" s="1560" t="s">
        <v>5402</v>
      </c>
      <c r="AB31" s="1557">
        <v>15</v>
      </c>
      <c r="AC31" s="6708"/>
      <c r="AD31" s="6659"/>
      <c r="AE31" s="6659"/>
      <c r="AF31" s="6659"/>
      <c r="AG31" s="6659"/>
      <c r="AH31" s="2757"/>
      <c r="AI31" s="1179"/>
      <c r="AJ31" s="385"/>
      <c r="AK31" s="385"/>
      <c r="AL31" s="4118"/>
      <c r="AM31" s="1286"/>
      <c r="AN31" s="5338"/>
      <c r="AO31" s="1286"/>
      <c r="AP31" s="3445"/>
      <c r="AQ31" s="2595"/>
      <c r="AR31" s="2595"/>
      <c r="AS31" s="2595"/>
      <c r="AT31" s="2595"/>
      <c r="AU31" s="2595"/>
      <c r="AV31" s="2595"/>
      <c r="AW31" s="2595"/>
      <c r="AX31" s="2595"/>
      <c r="AY31" s="2595"/>
      <c r="AZ31" s="2595"/>
    </row>
    <row r="32" spans="1:52" ht="18" customHeight="1">
      <c r="A32" s="2757"/>
      <c r="B32" s="1283"/>
      <c r="C32" s="1283">
        <v>16</v>
      </c>
      <c r="D32" s="1283"/>
      <c r="E32" s="2686" t="s">
        <v>4910</v>
      </c>
      <c r="F32" s="1179"/>
      <c r="G32" s="1179"/>
      <c r="H32" s="1179"/>
      <c r="I32" s="1179"/>
      <c r="J32" s="1179"/>
      <c r="K32" s="1179"/>
      <c r="L32" s="1179"/>
      <c r="M32" s="1179"/>
      <c r="N32" s="1179"/>
      <c r="O32" s="1179"/>
      <c r="P32" s="1179"/>
      <c r="Q32" s="1179"/>
      <c r="R32" s="1179"/>
      <c r="S32" s="1179"/>
      <c r="T32" s="1179"/>
      <c r="U32" s="1179"/>
      <c r="V32" s="1179"/>
      <c r="W32" s="1179"/>
      <c r="X32" s="1179"/>
      <c r="Y32" s="1179"/>
      <c r="Z32" s="1179"/>
      <c r="AA32" s="1560" t="s">
        <v>1930</v>
      </c>
      <c r="AB32" s="1557">
        <v>16</v>
      </c>
      <c r="AC32" s="6708"/>
      <c r="AD32" s="6659"/>
      <c r="AE32" s="6659"/>
      <c r="AF32" s="6659"/>
      <c r="AG32" s="6659"/>
      <c r="AH32" s="2757"/>
      <c r="AI32" s="1179"/>
      <c r="AJ32" s="2868"/>
      <c r="AK32" s="385"/>
      <c r="AL32" s="4118"/>
      <c r="AM32" s="1286"/>
      <c r="AN32" s="5338"/>
      <c r="AO32" s="1286"/>
      <c r="AP32" s="3445"/>
      <c r="AQ32" s="2595"/>
      <c r="AR32" s="2595"/>
      <c r="AS32" s="2595"/>
      <c r="AT32" s="2595"/>
      <c r="AU32" s="2595"/>
      <c r="AV32" s="2595"/>
      <c r="AW32" s="2595"/>
      <c r="AX32" s="2595"/>
      <c r="AY32" s="2595"/>
      <c r="AZ32" s="2595"/>
    </row>
    <row r="33" spans="1:52" ht="15.75" thickBot="1">
      <c r="A33" s="2757"/>
      <c r="B33" s="1179"/>
      <c r="C33" s="1824"/>
      <c r="D33" s="1577"/>
      <c r="E33" s="1179"/>
      <c r="F33" s="1179"/>
      <c r="G33" s="1179"/>
      <c r="H33" s="1179"/>
      <c r="I33" s="1179"/>
      <c r="J33" s="1179"/>
      <c r="K33" s="1179"/>
      <c r="L33" s="1179"/>
      <c r="M33" s="1179"/>
      <c r="N33" s="1179"/>
      <c r="O33" s="1179"/>
      <c r="P33" s="1179"/>
      <c r="Q33" s="1179"/>
      <c r="R33" s="1179"/>
      <c r="S33" s="1179"/>
      <c r="T33" s="1179"/>
      <c r="U33" s="1179"/>
      <c r="V33" s="1179"/>
      <c r="W33" s="1179"/>
      <c r="X33" s="1179"/>
      <c r="Y33" s="1179"/>
      <c r="Z33" s="1179"/>
      <c r="AA33" s="1179"/>
      <c r="AB33" s="1179"/>
      <c r="AC33" s="1179"/>
      <c r="AD33" s="1179"/>
      <c r="AE33" s="1179"/>
      <c r="AF33" s="1179"/>
      <c r="AG33" s="5339" t="s">
        <v>4845</v>
      </c>
      <c r="AH33" s="2757"/>
      <c r="AI33" s="1179"/>
      <c r="AJ33" s="385"/>
      <c r="AK33" s="385"/>
      <c r="AL33" s="4118"/>
      <c r="AM33" s="1286"/>
      <c r="AN33" s="5338"/>
      <c r="AO33" s="1286"/>
      <c r="AP33" s="3445"/>
      <c r="AQ33" s="2595"/>
      <c r="AR33" s="2595"/>
      <c r="AS33" s="2595"/>
      <c r="AT33" s="2595"/>
      <c r="AU33" s="2595"/>
      <c r="AV33" s="2595"/>
      <c r="AW33" s="2595"/>
      <c r="AX33" s="2595"/>
      <c r="AY33" s="2595"/>
      <c r="AZ33" s="2595"/>
    </row>
    <row r="34" spans="1:52" ht="16.5" customHeight="1">
      <c r="A34" s="2757"/>
      <c r="B34" s="4105" t="s">
        <v>484</v>
      </c>
      <c r="C34" s="2992"/>
      <c r="D34" s="5342"/>
      <c r="E34" s="2993"/>
      <c r="F34" s="2993"/>
      <c r="G34" s="2993"/>
      <c r="H34" s="2993"/>
      <c r="I34" s="2993"/>
      <c r="J34" s="2993"/>
      <c r="K34" s="2993"/>
      <c r="L34" s="2993"/>
      <c r="M34" s="2993"/>
      <c r="N34" s="2993"/>
      <c r="O34" s="2993"/>
      <c r="P34" s="2993"/>
      <c r="Q34" s="2993"/>
      <c r="R34" s="2993"/>
      <c r="S34" s="2993"/>
      <c r="T34" s="4106"/>
      <c r="U34" s="4106"/>
      <c r="V34" s="4111"/>
      <c r="W34" s="4111" t="s">
        <v>2310</v>
      </c>
      <c r="X34" s="2993"/>
      <c r="Y34" s="2993"/>
      <c r="Z34" s="2993"/>
      <c r="AA34" s="2993"/>
      <c r="AB34" s="2993"/>
      <c r="AC34" s="2993"/>
      <c r="AD34" s="2993"/>
      <c r="AE34" s="2993"/>
      <c r="AF34" s="2993"/>
      <c r="AG34" s="2990" t="str">
        <f>"Schedule 2 (Form 1040) "&amp;TaxYear</f>
        <v>Schedule 2 (Form 1040) 2021</v>
      </c>
      <c r="AH34" s="2757"/>
      <c r="AI34" s="1179"/>
      <c r="AJ34" s="385"/>
      <c r="AK34" s="385"/>
      <c r="AL34" s="4118"/>
      <c r="AM34" s="1286"/>
      <c r="AN34" s="5338"/>
      <c r="AO34" s="1286"/>
      <c r="AP34" s="3445"/>
      <c r="AQ34" s="2595"/>
      <c r="AR34" s="2595"/>
      <c r="AS34" s="2595"/>
      <c r="AT34" s="2595"/>
      <c r="AU34" s="2595"/>
      <c r="AV34" s="2595"/>
      <c r="AW34" s="2595"/>
      <c r="AX34" s="2595"/>
      <c r="AY34" s="2595"/>
      <c r="AZ34" s="2595"/>
    </row>
    <row r="35" spans="1:52" ht="14.25" customHeight="1" thickBot="1">
      <c r="A35" s="2757"/>
      <c r="B35" s="5180" t="s">
        <v>4911</v>
      </c>
      <c r="C35" s="5175"/>
      <c r="D35" s="5343"/>
      <c r="E35" s="1359"/>
      <c r="F35" s="1359"/>
      <c r="G35" s="1359"/>
      <c r="H35" s="1359"/>
      <c r="I35" s="1359"/>
      <c r="J35" s="1359"/>
      <c r="K35" s="1359"/>
      <c r="L35" s="1359"/>
      <c r="M35" s="1359"/>
      <c r="N35" s="1359"/>
      <c r="O35" s="1359"/>
      <c r="P35" s="1359"/>
      <c r="Q35" s="1359"/>
      <c r="R35" s="1359"/>
      <c r="S35" s="1359"/>
      <c r="T35" s="5181"/>
      <c r="U35" s="5181"/>
      <c r="V35" s="1359"/>
      <c r="W35" s="3724"/>
      <c r="X35" s="1359"/>
      <c r="Y35" s="1359"/>
      <c r="Z35" s="1359"/>
      <c r="AA35" s="1359"/>
      <c r="AB35" s="1359"/>
      <c r="AC35" s="1359"/>
      <c r="AD35" s="1359"/>
      <c r="AE35" s="1359"/>
      <c r="AF35" s="1359"/>
      <c r="AG35" s="3350" t="s">
        <v>160</v>
      </c>
      <c r="AH35" s="2757"/>
      <c r="AI35" s="1179"/>
      <c r="AJ35" s="385"/>
      <c r="AK35" s="385"/>
      <c r="AL35" s="4118"/>
      <c r="AM35" s="1286"/>
      <c r="AN35" s="5338"/>
      <c r="AO35" s="1286"/>
      <c r="AP35" s="3445"/>
      <c r="AQ35" s="2595"/>
      <c r="AR35" s="2595"/>
      <c r="AS35" s="2595"/>
      <c r="AT35" s="2595"/>
      <c r="AU35" s="2595"/>
      <c r="AV35" s="2595"/>
      <c r="AW35" s="2595"/>
      <c r="AX35" s="2595"/>
      <c r="AY35" s="2595"/>
      <c r="AZ35" s="2595"/>
    </row>
    <row r="36" spans="1:52" ht="20.25" customHeight="1" thickTop="1">
      <c r="A36" s="2757"/>
      <c r="B36" s="6704" t="s">
        <v>118</v>
      </c>
      <c r="C36" s="6705"/>
      <c r="D36" s="6706"/>
      <c r="E36" s="5170"/>
      <c r="F36" s="5172" t="s">
        <v>4912</v>
      </c>
      <c r="G36" s="5170"/>
      <c r="H36" s="5170"/>
      <c r="I36" s="5170"/>
      <c r="J36" s="5170"/>
      <c r="K36" s="5170"/>
      <c r="L36" s="5171"/>
      <c r="M36" s="5171"/>
      <c r="N36" s="5171"/>
      <c r="O36" s="5171"/>
      <c r="P36" s="5171"/>
      <c r="Q36" s="5171"/>
      <c r="R36" s="5171"/>
      <c r="S36" s="5171"/>
      <c r="T36" s="5171"/>
      <c r="U36" s="5171"/>
      <c r="V36" s="5171"/>
      <c r="W36" s="5171"/>
      <c r="X36" s="5171"/>
      <c r="Y36" s="5171"/>
      <c r="Z36" s="5171"/>
      <c r="AA36" s="5171"/>
      <c r="AB36" s="5171"/>
      <c r="AC36" s="5171"/>
      <c r="AD36" s="5171"/>
      <c r="AE36" s="5171"/>
      <c r="AF36" s="5171"/>
      <c r="AG36" s="5171"/>
      <c r="AH36" s="2757"/>
      <c r="AI36" s="1179"/>
      <c r="AJ36" s="385"/>
      <c r="AK36" s="385"/>
      <c r="AL36" s="147" t="s">
        <v>2644</v>
      </c>
      <c r="AM36" s="1286"/>
      <c r="AN36" s="5338"/>
      <c r="AO36" s="1286"/>
      <c r="AP36" s="3445"/>
      <c r="AQ36" s="2595"/>
      <c r="AR36" s="2595"/>
      <c r="AS36" s="2595"/>
      <c r="AT36" s="2595"/>
      <c r="AU36" s="2595"/>
      <c r="AV36" s="2595"/>
      <c r="AW36" s="2595"/>
      <c r="AX36" s="2595"/>
      <c r="AY36" s="2595"/>
      <c r="AZ36" s="2595"/>
    </row>
    <row r="37" spans="1:52" ht="22.5" customHeight="1">
      <c r="A37" s="2757"/>
      <c r="B37" s="1283"/>
      <c r="C37" s="1283">
        <v>17</v>
      </c>
      <c r="D37" s="1283"/>
      <c r="E37" s="2686" t="s">
        <v>4913</v>
      </c>
      <c r="F37" s="1179"/>
      <c r="G37" s="1179"/>
      <c r="H37" s="1179"/>
      <c r="I37" s="1179"/>
      <c r="J37" s="1179"/>
      <c r="K37" s="1179"/>
      <c r="L37" s="1179"/>
      <c r="M37" s="1179"/>
      <c r="N37" s="1179"/>
      <c r="O37" s="1179"/>
      <c r="P37" s="1179"/>
      <c r="Q37" s="1179"/>
      <c r="R37" s="1179"/>
      <c r="S37" s="1179"/>
      <c r="T37" s="1179"/>
      <c r="U37" s="1179"/>
      <c r="V37" s="1555"/>
      <c r="W37" s="1179"/>
      <c r="X37" s="1179"/>
      <c r="Y37" s="1179"/>
      <c r="Z37" s="1179"/>
      <c r="AA37" s="1179"/>
      <c r="AB37" s="3034"/>
      <c r="AC37" s="5127" t="s">
        <v>4692</v>
      </c>
      <c r="AD37" s="5128"/>
      <c r="AE37" s="5128"/>
      <c r="AF37" s="5128"/>
      <c r="AG37" s="5128"/>
      <c r="AH37" s="2757"/>
      <c r="AI37" s="1179"/>
      <c r="AJ37" s="385"/>
      <c r="AK37" s="385"/>
      <c r="AL37" s="4118"/>
      <c r="AM37" s="1286"/>
      <c r="AN37" s="5338"/>
      <c r="AO37" s="1286"/>
      <c r="AP37" s="3445"/>
      <c r="AQ37" s="2595"/>
      <c r="AR37" s="2595"/>
      <c r="AS37" s="2595"/>
      <c r="AT37" s="2595"/>
      <c r="AU37" s="2595"/>
      <c r="AV37" s="2595"/>
      <c r="AW37" s="2595"/>
      <c r="AX37" s="2595"/>
      <c r="AY37" s="2595"/>
      <c r="AZ37" s="2595"/>
    </row>
    <row r="38" spans="1:52" ht="15" customHeight="1">
      <c r="A38" s="2757"/>
      <c r="B38" s="1179"/>
      <c r="C38" s="1179"/>
      <c r="D38" s="1283" t="s">
        <v>33</v>
      </c>
      <c r="E38" s="2686" t="s">
        <v>4915</v>
      </c>
      <c r="F38" s="1179"/>
      <c r="G38" s="1179"/>
      <c r="H38" s="1179"/>
      <c r="I38" s="1179"/>
      <c r="J38" s="1179"/>
      <c r="K38" s="1179"/>
      <c r="L38" s="1179"/>
      <c r="M38" s="1179"/>
      <c r="N38" s="1179"/>
      <c r="O38" s="1179"/>
      <c r="P38" s="1179"/>
      <c r="Q38" s="1179"/>
      <c r="R38" s="2703"/>
      <c r="S38" s="2701"/>
      <c r="T38" s="1179"/>
      <c r="U38" s="1179"/>
      <c r="V38" s="3004"/>
      <c r="W38" s="6696"/>
      <c r="X38" s="6697"/>
      <c r="Y38" s="6697"/>
      <c r="Z38" s="6697"/>
      <c r="AA38" s="6698"/>
      <c r="AB38" s="5344"/>
      <c r="AC38" s="5124"/>
      <c r="AD38" s="5129"/>
      <c r="AE38" s="5129"/>
      <c r="AF38" s="5129"/>
      <c r="AG38" s="5129"/>
      <c r="AH38" s="2757"/>
      <c r="AI38" s="1276"/>
      <c r="AJ38" s="385"/>
      <c r="AK38" s="385"/>
      <c r="AL38" s="4118"/>
      <c r="AM38" s="1286"/>
      <c r="AN38" s="5338"/>
      <c r="AO38" s="1286"/>
      <c r="AP38" s="3445"/>
      <c r="AQ38" s="2595"/>
      <c r="AR38" s="2595"/>
      <c r="AS38" s="2595"/>
      <c r="AT38" s="2595"/>
      <c r="AU38" s="2595"/>
      <c r="AV38" s="2595"/>
      <c r="AW38" s="2595"/>
      <c r="AX38" s="2595"/>
      <c r="AY38" s="2595"/>
      <c r="AZ38" s="2595"/>
    </row>
    <row r="39" spans="1:52" ht="15" customHeight="1">
      <c r="A39" s="2757"/>
      <c r="B39" s="1179"/>
      <c r="C39" s="1179"/>
      <c r="D39" s="1283"/>
      <c r="E39" s="2686" t="s">
        <v>4914</v>
      </c>
      <c r="F39" s="1179"/>
      <c r="G39" s="6731"/>
      <c r="H39" s="6731"/>
      <c r="I39" s="6731"/>
      <c r="J39" s="6731"/>
      <c r="K39" s="6731"/>
      <c r="L39" s="6731"/>
      <c r="M39" s="6731"/>
      <c r="N39" s="6731"/>
      <c r="O39" s="6731"/>
      <c r="P39" s="6731"/>
      <c r="Q39" s="6731"/>
      <c r="R39" s="6731"/>
      <c r="S39" s="6731"/>
      <c r="T39" s="6731"/>
      <c r="U39" s="1560"/>
      <c r="V39" s="1557" t="s">
        <v>1915</v>
      </c>
      <c r="W39" s="6570"/>
      <c r="X39" s="6692"/>
      <c r="Y39" s="6692"/>
      <c r="Z39" s="6692"/>
      <c r="AA39" s="6693"/>
      <c r="AB39" s="5344"/>
      <c r="AC39" s="6732">
        <f>ROUND(W39,0)</f>
        <v>0</v>
      </c>
      <c r="AD39" s="6733"/>
      <c r="AE39" s="6733"/>
      <c r="AF39" s="6733"/>
      <c r="AG39" s="6733"/>
      <c r="AH39" s="2757"/>
      <c r="AI39" s="1276"/>
      <c r="AJ39" s="385"/>
      <c r="AK39" s="385"/>
      <c r="AL39" s="4118"/>
      <c r="AM39" s="1286"/>
      <c r="AN39" s="5338"/>
      <c r="AO39" s="1286"/>
      <c r="AP39" s="3445"/>
      <c r="AQ39" s="2595"/>
      <c r="AR39" s="2595"/>
      <c r="AS39" s="2595"/>
      <c r="AT39" s="2595"/>
      <c r="AU39" s="2595"/>
      <c r="AV39" s="2595"/>
      <c r="AW39" s="2595"/>
      <c r="AX39" s="2595"/>
      <c r="AY39" s="2595"/>
      <c r="AZ39" s="2595"/>
    </row>
    <row r="40" spans="1:52" ht="15" customHeight="1">
      <c r="A40" s="2757"/>
      <c r="B40" s="1179"/>
      <c r="C40" s="1179"/>
      <c r="D40" s="1283" t="s">
        <v>47</v>
      </c>
      <c r="E40" s="2686" t="s">
        <v>4931</v>
      </c>
      <c r="F40" s="1179"/>
      <c r="G40" s="1179"/>
      <c r="H40" s="1179"/>
      <c r="I40" s="1179"/>
      <c r="J40" s="1179"/>
      <c r="K40" s="1179"/>
      <c r="L40" s="1179"/>
      <c r="M40" s="1179"/>
      <c r="N40" s="1179"/>
      <c r="O40" s="1179"/>
      <c r="P40" s="1179"/>
      <c r="Q40" s="1179"/>
      <c r="R40" s="2703"/>
      <c r="S40" s="2701"/>
      <c r="T40" s="1179"/>
      <c r="U40" s="1179"/>
      <c r="V40" s="3004"/>
      <c r="W40" s="6696"/>
      <c r="X40" s="6697"/>
      <c r="Y40" s="6697"/>
      <c r="Z40" s="6697"/>
      <c r="AA40" s="6698"/>
      <c r="AB40" s="5344"/>
      <c r="AC40" s="5448"/>
      <c r="AD40" s="5490"/>
      <c r="AE40" s="5490"/>
      <c r="AF40" s="5490"/>
      <c r="AG40" s="5490"/>
      <c r="AH40" s="2757"/>
      <c r="AI40" s="1276"/>
      <c r="AJ40" s="6647" t="s">
        <v>1736</v>
      </c>
      <c r="AK40" s="385"/>
      <c r="AL40" s="4118"/>
      <c r="AM40" s="1286"/>
      <c r="AN40" s="5338"/>
      <c r="AO40" s="1286"/>
      <c r="AP40" s="3445"/>
      <c r="AQ40" s="2595"/>
      <c r="AR40" s="2595"/>
      <c r="AS40" s="2595"/>
      <c r="AT40" s="2595"/>
      <c r="AU40" s="2595"/>
      <c r="AV40" s="2595"/>
      <c r="AW40" s="2595"/>
      <c r="AX40" s="2595"/>
      <c r="AY40" s="2595"/>
      <c r="AZ40" s="2595"/>
    </row>
    <row r="41" spans="1:52" ht="15" customHeight="1">
      <c r="A41" s="2757"/>
      <c r="B41" s="1179"/>
      <c r="C41" s="1179"/>
      <c r="D41" s="1283"/>
      <c r="E41" s="2686" t="str">
        <f>TaxYear&amp;", see instructions"</f>
        <v>2021, see instructions</v>
      </c>
      <c r="F41" s="1179"/>
      <c r="G41" s="1179"/>
      <c r="H41" s="1179"/>
      <c r="I41" s="1179"/>
      <c r="J41" s="1179"/>
      <c r="K41" s="1179"/>
      <c r="L41" s="1179"/>
      <c r="M41" s="1179"/>
      <c r="N41" s="1179"/>
      <c r="O41" s="1179"/>
      <c r="P41" s="1179"/>
      <c r="Q41" s="1179"/>
      <c r="R41" s="2703"/>
      <c r="S41" s="2701"/>
      <c r="T41" s="1179"/>
      <c r="U41" s="1560" t="s">
        <v>2515</v>
      </c>
      <c r="V41" s="1557" t="s">
        <v>1916</v>
      </c>
      <c r="W41" s="6570"/>
      <c r="X41" s="6692"/>
      <c r="Y41" s="6692"/>
      <c r="Z41" s="6692"/>
      <c r="AA41" s="6693"/>
      <c r="AB41" s="5344"/>
      <c r="AC41" s="6732">
        <f>ROUND(W41,0)</f>
        <v>0</v>
      </c>
      <c r="AD41" s="6733"/>
      <c r="AE41" s="6733"/>
      <c r="AF41" s="6733"/>
      <c r="AG41" s="6733"/>
      <c r="AH41" s="2757"/>
      <c r="AI41" s="1276"/>
      <c r="AJ41" s="6686"/>
      <c r="AK41" s="385"/>
      <c r="AL41" s="4118"/>
      <c r="AM41" s="1286"/>
      <c r="AN41" s="5338"/>
      <c r="AO41" s="1286"/>
      <c r="AP41" s="3445"/>
      <c r="AQ41" s="2595"/>
      <c r="AR41" s="2595"/>
      <c r="AS41" s="2595"/>
      <c r="AT41" s="2595"/>
      <c r="AU41" s="2595"/>
      <c r="AV41" s="2595"/>
      <c r="AW41" s="2595"/>
      <c r="AX41" s="2595"/>
      <c r="AY41" s="2595"/>
      <c r="AZ41" s="2595"/>
    </row>
    <row r="42" spans="1:52" ht="15" customHeight="1">
      <c r="A42" s="2757"/>
      <c r="B42" s="1179"/>
      <c r="C42" s="1179"/>
      <c r="D42" s="1283" t="s">
        <v>48</v>
      </c>
      <c r="E42" s="2686" t="s">
        <v>4965</v>
      </c>
      <c r="F42" s="1179"/>
      <c r="G42" s="1179"/>
      <c r="H42" s="1179"/>
      <c r="I42" s="1179"/>
      <c r="J42" s="1179"/>
      <c r="K42" s="1179"/>
      <c r="L42" s="1179"/>
      <c r="M42" s="1179"/>
      <c r="N42" s="1179"/>
      <c r="O42" s="1179"/>
      <c r="P42" s="1179"/>
      <c r="Q42" s="1179"/>
      <c r="R42" s="2703"/>
      <c r="S42" s="2701"/>
      <c r="T42" s="1179"/>
      <c r="U42" s="1560" t="s">
        <v>4958</v>
      </c>
      <c r="V42" s="1557" t="s">
        <v>3284</v>
      </c>
      <c r="W42" s="6690">
        <f>IF(AJ42&lt;&gt;"",ROUND(AJ42,0),'8889'!K144)</f>
        <v>0</v>
      </c>
      <c r="X42" s="6702"/>
      <c r="Y42" s="6702"/>
      <c r="Z42" s="6702"/>
      <c r="AA42" s="6703"/>
      <c r="AB42" s="5344"/>
      <c r="AC42" s="6732">
        <f>ROUND(W42,0)</f>
        <v>0</v>
      </c>
      <c r="AD42" s="6733"/>
      <c r="AE42" s="6733"/>
      <c r="AF42" s="6733"/>
      <c r="AG42" s="6733"/>
      <c r="AH42" s="2757"/>
      <c r="AI42" s="1276"/>
      <c r="AJ42" s="2868"/>
      <c r="AK42" s="385"/>
      <c r="AL42" s="261" t="s">
        <v>5472</v>
      </c>
      <c r="AM42" s="1286"/>
      <c r="AN42" s="5338"/>
      <c r="AO42" s="1286"/>
      <c r="AP42" s="3445"/>
      <c r="AQ42" s="2595"/>
      <c r="AR42" s="2595"/>
      <c r="AS42" s="2595"/>
      <c r="AT42" s="2595"/>
      <c r="AU42" s="2595"/>
      <c r="AV42" s="2595"/>
      <c r="AW42" s="2595"/>
      <c r="AX42" s="2595"/>
      <c r="AY42" s="2595"/>
      <c r="AZ42" s="2595"/>
    </row>
    <row r="43" spans="1:52" ht="15" customHeight="1">
      <c r="A43" s="2757"/>
      <c r="B43" s="1179"/>
      <c r="C43" s="1179"/>
      <c r="D43" s="1283" t="s">
        <v>92</v>
      </c>
      <c r="E43" s="2686" t="s">
        <v>4966</v>
      </c>
      <c r="F43" s="1179"/>
      <c r="G43" s="1179"/>
      <c r="H43" s="1179"/>
      <c r="I43" s="1179"/>
      <c r="J43" s="1179"/>
      <c r="K43" s="1179"/>
      <c r="L43" s="1179"/>
      <c r="M43" s="1179"/>
      <c r="N43" s="1179"/>
      <c r="O43" s="1179"/>
      <c r="P43" s="1179"/>
      <c r="Q43" s="1179"/>
      <c r="R43" s="2703"/>
      <c r="S43" s="2701"/>
      <c r="T43" s="1179"/>
      <c r="U43" s="1179"/>
      <c r="V43" s="3004"/>
      <c r="W43" s="6696"/>
      <c r="X43" s="6697"/>
      <c r="Y43" s="6697"/>
      <c r="Z43" s="6697"/>
      <c r="AA43" s="6698"/>
      <c r="AB43" s="5344"/>
      <c r="AC43" s="5448"/>
      <c r="AD43" s="5490"/>
      <c r="AE43" s="5490"/>
      <c r="AF43" s="5490"/>
      <c r="AG43" s="5490"/>
      <c r="AH43" s="2757"/>
      <c r="AI43" s="1276"/>
      <c r="AJ43" s="385"/>
      <c r="AK43" s="385"/>
      <c r="AL43" s="4118"/>
      <c r="AM43" s="1286"/>
      <c r="AN43" s="5338"/>
      <c r="AO43" s="1286"/>
      <c r="AP43" s="3445"/>
      <c r="AQ43" s="2595"/>
      <c r="AR43" s="2595"/>
      <c r="AS43" s="2595"/>
      <c r="AT43" s="2595"/>
      <c r="AU43" s="2595"/>
      <c r="AV43" s="2595"/>
      <c r="AW43" s="2595"/>
      <c r="AX43" s="2595"/>
      <c r="AY43" s="2595"/>
      <c r="AZ43" s="2595"/>
    </row>
    <row r="44" spans="1:52" ht="15" customHeight="1">
      <c r="A44" s="2757"/>
      <c r="B44" s="1179"/>
      <c r="C44" s="1179"/>
      <c r="D44" s="1283"/>
      <c r="E44" s="2686" t="s">
        <v>4932</v>
      </c>
      <c r="F44" s="1179"/>
      <c r="G44" s="1179"/>
      <c r="H44" s="1179"/>
      <c r="I44" s="1179"/>
      <c r="J44" s="1179"/>
      <c r="K44" s="1179"/>
      <c r="L44" s="1179"/>
      <c r="M44" s="1179"/>
      <c r="N44" s="1179"/>
      <c r="O44" s="1179"/>
      <c r="P44" s="1179"/>
      <c r="Q44" s="1179"/>
      <c r="R44" s="2703"/>
      <c r="S44" s="2701"/>
      <c r="T44" s="1179"/>
      <c r="U44" s="1560" t="s">
        <v>1625</v>
      </c>
      <c r="V44" s="1557" t="s">
        <v>4938</v>
      </c>
      <c r="W44" s="6690">
        <f>IF(AJ44&lt;&gt;"",ROUND(AJ44,0),'8889'!K150)</f>
        <v>0</v>
      </c>
      <c r="X44" s="6702"/>
      <c r="Y44" s="6702"/>
      <c r="Z44" s="6702"/>
      <c r="AA44" s="6703"/>
      <c r="AB44" s="5344"/>
      <c r="AC44" s="6732">
        <f>ROUND(W44,0)</f>
        <v>0</v>
      </c>
      <c r="AD44" s="6733"/>
      <c r="AE44" s="6733"/>
      <c r="AF44" s="6733"/>
      <c r="AG44" s="6733"/>
      <c r="AH44" s="2757"/>
      <c r="AI44" s="1276"/>
      <c r="AJ44" s="2868"/>
      <c r="AK44" s="385"/>
      <c r="AL44" s="261" t="s">
        <v>5473</v>
      </c>
      <c r="AM44" s="1286"/>
      <c r="AN44" s="5338"/>
      <c r="AO44" s="1286"/>
      <c r="AP44" s="3445"/>
      <c r="AQ44" s="2595"/>
      <c r="AR44" s="2595"/>
      <c r="AS44" s="2595"/>
      <c r="AT44" s="2595"/>
      <c r="AU44" s="2595"/>
      <c r="AV44" s="2595"/>
      <c r="AW44" s="2595"/>
      <c r="AX44" s="2595"/>
      <c r="AY44" s="2595"/>
      <c r="AZ44" s="2595"/>
    </row>
    <row r="45" spans="1:52" ht="15" customHeight="1">
      <c r="A45" s="2757"/>
      <c r="B45" s="1179"/>
      <c r="C45" s="1179"/>
      <c r="D45" s="1283" t="s">
        <v>964</v>
      </c>
      <c r="E45" s="2686" t="s">
        <v>4967</v>
      </c>
      <c r="F45" s="1179"/>
      <c r="G45" s="1179"/>
      <c r="H45" s="1179"/>
      <c r="I45" s="1179"/>
      <c r="J45" s="1179"/>
      <c r="K45" s="1179"/>
      <c r="L45" s="1179"/>
      <c r="M45" s="1179"/>
      <c r="N45" s="1179"/>
      <c r="O45" s="1179"/>
      <c r="P45" s="1179"/>
      <c r="Q45" s="1179"/>
      <c r="R45" s="2703"/>
      <c r="S45" s="2701"/>
      <c r="T45" s="1179"/>
      <c r="U45" s="1560" t="s">
        <v>2424</v>
      </c>
      <c r="V45" s="1557" t="s">
        <v>4939</v>
      </c>
      <c r="W45" s="6570"/>
      <c r="X45" s="6692"/>
      <c r="Y45" s="6692"/>
      <c r="Z45" s="6692"/>
      <c r="AA45" s="6693"/>
      <c r="AB45" s="5344"/>
      <c r="AC45" s="6732">
        <f>ROUND(W45,0)</f>
        <v>0</v>
      </c>
      <c r="AD45" s="6733"/>
      <c r="AE45" s="6733"/>
      <c r="AF45" s="6733"/>
      <c r="AG45" s="6733"/>
      <c r="AH45" s="2757"/>
      <c r="AI45" s="1276"/>
      <c r="AJ45" s="385"/>
      <c r="AK45" s="385"/>
      <c r="AL45" s="4118"/>
      <c r="AM45" s="1286"/>
      <c r="AN45" s="5338"/>
      <c r="AO45" s="1286"/>
      <c r="AP45" s="3445"/>
      <c r="AQ45" s="2595"/>
      <c r="AR45" s="2595"/>
      <c r="AS45" s="2595"/>
      <c r="AT45" s="2595"/>
      <c r="AU45" s="2595"/>
      <c r="AV45" s="2595"/>
      <c r="AW45" s="2595"/>
      <c r="AX45" s="2595"/>
      <c r="AY45" s="2595"/>
      <c r="AZ45" s="2595"/>
    </row>
    <row r="46" spans="1:52" ht="15" customHeight="1">
      <c r="A46" s="2757"/>
      <c r="B46" s="1179"/>
      <c r="C46" s="1179"/>
      <c r="D46" s="1283" t="s">
        <v>965</v>
      </c>
      <c r="E46" s="2686" t="s">
        <v>4933</v>
      </c>
      <c r="F46" s="1179"/>
      <c r="G46" s="1179"/>
      <c r="H46" s="1179"/>
      <c r="I46" s="1179"/>
      <c r="J46" s="1179"/>
      <c r="K46" s="1179"/>
      <c r="L46" s="1179"/>
      <c r="M46" s="1179"/>
      <c r="N46" s="1179"/>
      <c r="O46" s="1179"/>
      <c r="P46" s="1179"/>
      <c r="Q46" s="1179"/>
      <c r="R46" s="2703"/>
      <c r="S46" s="2701"/>
      <c r="T46" s="1179"/>
      <c r="U46" s="1179"/>
      <c r="V46" s="3004"/>
      <c r="W46" s="6696"/>
      <c r="X46" s="6697"/>
      <c r="Y46" s="6697"/>
      <c r="Z46" s="6697"/>
      <c r="AA46" s="6698"/>
      <c r="AB46" s="5344"/>
      <c r="AC46" s="5448"/>
      <c r="AD46" s="5490"/>
      <c r="AE46" s="5490"/>
      <c r="AF46" s="5490"/>
      <c r="AG46" s="5490"/>
      <c r="AH46" s="2757"/>
      <c r="AI46" s="1276"/>
      <c r="AJ46" s="385"/>
      <c r="AK46" s="385"/>
      <c r="AL46" s="4118"/>
      <c r="AM46" s="1286"/>
      <c r="AN46" s="5338"/>
      <c r="AO46" s="1286"/>
      <c r="AP46" s="3445"/>
      <c r="AQ46" s="2595"/>
      <c r="AR46" s="2595"/>
      <c r="AS46" s="2595"/>
      <c r="AT46" s="2595"/>
      <c r="AU46" s="2595"/>
      <c r="AV46" s="2595"/>
      <c r="AW46" s="2595"/>
      <c r="AX46" s="2595"/>
      <c r="AY46" s="2595"/>
      <c r="AZ46" s="2595"/>
    </row>
    <row r="47" spans="1:52" ht="15" customHeight="1">
      <c r="A47" s="2757"/>
      <c r="B47" s="1179"/>
      <c r="C47" s="1179"/>
      <c r="D47" s="1283"/>
      <c r="E47" s="2686" t="s">
        <v>4934</v>
      </c>
      <c r="F47" s="1179"/>
      <c r="G47" s="1179"/>
      <c r="H47" s="1179"/>
      <c r="I47" s="1179"/>
      <c r="J47" s="1179"/>
      <c r="K47" s="1179"/>
      <c r="L47" s="1179"/>
      <c r="M47" s="1179"/>
      <c r="N47" s="1179"/>
      <c r="O47" s="1179"/>
      <c r="P47" s="1179"/>
      <c r="Q47" s="1179"/>
      <c r="R47" s="2703"/>
      <c r="S47" s="2701"/>
      <c r="T47" s="1179"/>
      <c r="U47" s="1560" t="s">
        <v>2395</v>
      </c>
      <c r="V47" s="1557" t="s">
        <v>4940</v>
      </c>
      <c r="W47" s="6570"/>
      <c r="X47" s="6692"/>
      <c r="Y47" s="6692"/>
      <c r="Z47" s="6692"/>
      <c r="AA47" s="6693"/>
      <c r="AB47" s="5344"/>
      <c r="AC47" s="6732">
        <f>ROUND(W47,0)</f>
        <v>0</v>
      </c>
      <c r="AD47" s="6733"/>
      <c r="AE47" s="6733"/>
      <c r="AF47" s="6733"/>
      <c r="AG47" s="6733"/>
      <c r="AH47" s="2757"/>
      <c r="AI47" s="1276"/>
      <c r="AJ47" s="385"/>
      <c r="AK47" s="385"/>
      <c r="AL47" s="4118"/>
      <c r="AM47" s="1286"/>
      <c r="AN47" s="5338"/>
      <c r="AO47" s="1286"/>
      <c r="AP47" s="3445"/>
      <c r="AQ47" s="2595"/>
      <c r="AR47" s="2595"/>
      <c r="AS47" s="2595"/>
      <c r="AT47" s="2595"/>
      <c r="AU47" s="2595"/>
      <c r="AV47" s="2595"/>
      <c r="AW47" s="2595"/>
      <c r="AX47" s="2595"/>
      <c r="AY47" s="2595"/>
      <c r="AZ47" s="2595"/>
    </row>
    <row r="48" spans="1:52" ht="15" customHeight="1">
      <c r="A48" s="2757"/>
      <c r="B48" s="1179"/>
      <c r="C48" s="1179"/>
      <c r="D48" s="1283" t="s">
        <v>2133</v>
      </c>
      <c r="E48" s="2686" t="s">
        <v>4935</v>
      </c>
      <c r="F48" s="1179"/>
      <c r="G48" s="1179"/>
      <c r="H48" s="1179"/>
      <c r="I48" s="1179"/>
      <c r="J48" s="1179"/>
      <c r="K48" s="1179"/>
      <c r="L48" s="1179"/>
      <c r="M48" s="1179"/>
      <c r="N48" s="1179"/>
      <c r="O48" s="1179"/>
      <c r="P48" s="1179"/>
      <c r="Q48" s="1179"/>
      <c r="R48" s="2703"/>
      <c r="S48" s="2701"/>
      <c r="T48" s="1179"/>
      <c r="U48" s="1179"/>
      <c r="V48" s="3004"/>
      <c r="W48" s="6696"/>
      <c r="X48" s="6697"/>
      <c r="Y48" s="6697"/>
      <c r="Z48" s="6697"/>
      <c r="AA48" s="6698"/>
      <c r="AB48" s="5344"/>
      <c r="AC48" s="5448"/>
      <c r="AD48" s="5490"/>
      <c r="AE48" s="5490"/>
      <c r="AF48" s="5490"/>
      <c r="AG48" s="5490"/>
      <c r="AH48" s="2757"/>
      <c r="AI48" s="1276"/>
      <c r="AJ48" s="385"/>
      <c r="AK48" s="385"/>
      <c r="AL48" s="4118"/>
      <c r="AM48" s="1286"/>
      <c r="AN48" s="5338"/>
      <c r="AO48" s="1286"/>
      <c r="AP48" s="3445"/>
      <c r="AQ48" s="2595"/>
      <c r="AR48" s="2595"/>
      <c r="AS48" s="2595"/>
      <c r="AT48" s="2595"/>
      <c r="AU48" s="2595"/>
      <c r="AV48" s="2595"/>
      <c r="AW48" s="2595"/>
      <c r="AX48" s="2595"/>
      <c r="AY48" s="2595"/>
      <c r="AZ48" s="2595"/>
    </row>
    <row r="49" spans="1:52" ht="15" customHeight="1">
      <c r="A49" s="2757"/>
      <c r="B49" s="1179"/>
      <c r="C49" s="1179"/>
      <c r="D49" s="1283"/>
      <c r="E49" s="2686" t="s">
        <v>5736</v>
      </c>
      <c r="F49" s="1179"/>
      <c r="G49" s="1179"/>
      <c r="H49" s="1179"/>
      <c r="I49" s="1179"/>
      <c r="J49" s="1179"/>
      <c r="K49" s="1179"/>
      <c r="L49" s="1179"/>
      <c r="M49" s="1179"/>
      <c r="N49" s="1179"/>
      <c r="O49" s="1179"/>
      <c r="P49" s="1179"/>
      <c r="Q49" s="1179"/>
      <c r="R49" s="2703"/>
      <c r="S49" s="2701"/>
      <c r="T49" s="1179"/>
      <c r="U49" s="1560" t="s">
        <v>1978</v>
      </c>
      <c r="V49" s="1557" t="s">
        <v>4941</v>
      </c>
      <c r="W49" s="6570"/>
      <c r="X49" s="6692"/>
      <c r="Y49" s="6692"/>
      <c r="Z49" s="6692"/>
      <c r="AA49" s="6693"/>
      <c r="AB49" s="5344"/>
      <c r="AC49" s="6732">
        <f>ROUND(W49,0)</f>
        <v>0</v>
      </c>
      <c r="AD49" s="6733"/>
      <c r="AE49" s="6733"/>
      <c r="AF49" s="6733"/>
      <c r="AG49" s="6733"/>
      <c r="AH49" s="2757"/>
      <c r="AI49" s="1276"/>
      <c r="AJ49" s="385"/>
      <c r="AK49" s="385"/>
      <c r="AL49" s="4118"/>
      <c r="AM49" s="1286"/>
      <c r="AN49" s="5338"/>
      <c r="AO49" s="1286"/>
      <c r="AP49" s="3445"/>
      <c r="AQ49" s="2595"/>
      <c r="AR49" s="2595"/>
      <c r="AS49" s="2595"/>
      <c r="AT49" s="2595"/>
      <c r="AU49" s="2595"/>
      <c r="AV49" s="2595"/>
      <c r="AW49" s="2595"/>
      <c r="AX49" s="2595"/>
      <c r="AY49" s="2595"/>
      <c r="AZ49" s="2595"/>
    </row>
    <row r="50" spans="1:52" ht="15" customHeight="1">
      <c r="A50" s="2757"/>
      <c r="B50" s="1179"/>
      <c r="C50" s="1179"/>
      <c r="D50" s="1283" t="s">
        <v>120</v>
      </c>
      <c r="E50" s="2686" t="s">
        <v>5611</v>
      </c>
      <c r="F50" s="1179"/>
      <c r="G50" s="1179"/>
      <c r="H50" s="1179"/>
      <c r="I50" s="1179"/>
      <c r="J50" s="1179"/>
      <c r="K50" s="1179"/>
      <c r="L50" s="1179"/>
      <c r="M50" s="1179"/>
      <c r="N50" s="1179"/>
      <c r="O50" s="1179"/>
      <c r="P50" s="1179"/>
      <c r="Q50" s="1179"/>
      <c r="R50" s="2703"/>
      <c r="S50" s="2701"/>
      <c r="T50" s="1179"/>
      <c r="U50" s="1179"/>
      <c r="V50" s="3004"/>
      <c r="W50" s="6696"/>
      <c r="X50" s="6697"/>
      <c r="Y50" s="6697"/>
      <c r="Z50" s="6697"/>
      <c r="AA50" s="6698"/>
      <c r="AB50" s="5344"/>
      <c r="AC50" s="5448"/>
      <c r="AD50" s="5490"/>
      <c r="AE50" s="5490"/>
      <c r="AF50" s="5490"/>
      <c r="AG50" s="5490"/>
      <c r="AH50" s="2757"/>
      <c r="AI50" s="1276"/>
      <c r="AJ50" s="385"/>
      <c r="AK50" s="385"/>
      <c r="AL50" s="4118"/>
      <c r="AM50" s="1286"/>
      <c r="AN50" s="5338"/>
      <c r="AO50" s="1286"/>
      <c r="AP50" s="3445"/>
      <c r="AQ50" s="2595"/>
      <c r="AR50" s="2595"/>
      <c r="AS50" s="2595"/>
      <c r="AT50" s="2595"/>
      <c r="AU50" s="2595"/>
      <c r="AV50" s="2595"/>
      <c r="AW50" s="2595"/>
      <c r="AX50" s="2595"/>
      <c r="AY50" s="2595"/>
      <c r="AZ50" s="2595"/>
    </row>
    <row r="51" spans="1:52" ht="15" customHeight="1">
      <c r="A51" s="2757"/>
      <c r="B51" s="1179"/>
      <c r="C51" s="1179"/>
      <c r="D51" s="1283"/>
      <c r="E51" s="2686" t="s">
        <v>5610</v>
      </c>
      <c r="F51" s="1179"/>
      <c r="G51" s="1179"/>
      <c r="H51" s="1179"/>
      <c r="I51" s="1179"/>
      <c r="J51" s="1179"/>
      <c r="K51" s="1179"/>
      <c r="L51" s="1179"/>
      <c r="M51" s="1179"/>
      <c r="N51" s="1179"/>
      <c r="O51" s="1179"/>
      <c r="P51" s="1179"/>
      <c r="Q51" s="1179"/>
      <c r="R51" s="2703"/>
      <c r="S51" s="2701"/>
      <c r="T51" s="1179"/>
      <c r="U51" s="1585" t="s">
        <v>5612</v>
      </c>
      <c r="V51" s="1557" t="s">
        <v>4942</v>
      </c>
      <c r="W51" s="6570"/>
      <c r="X51" s="6692"/>
      <c r="Y51" s="6692"/>
      <c r="Z51" s="6692"/>
      <c r="AA51" s="6693"/>
      <c r="AB51" s="5344"/>
      <c r="AC51" s="6732">
        <f>ROUND(W51,0)</f>
        <v>0</v>
      </c>
      <c r="AD51" s="6733"/>
      <c r="AE51" s="6733"/>
      <c r="AF51" s="6733"/>
      <c r="AG51" s="6733"/>
      <c r="AH51" s="2757"/>
      <c r="AI51" s="1276"/>
      <c r="AJ51" s="385"/>
      <c r="AK51" s="385"/>
      <c r="AL51" s="4118"/>
      <c r="AM51" s="1286"/>
      <c r="AN51" s="5338"/>
      <c r="AO51" s="1286"/>
      <c r="AP51" s="3445"/>
      <c r="AQ51" s="2595"/>
      <c r="AR51" s="2595"/>
      <c r="AS51" s="2595"/>
      <c r="AT51" s="2595"/>
      <c r="AU51" s="2595"/>
      <c r="AV51" s="2595"/>
      <c r="AW51" s="2595"/>
      <c r="AX51" s="2595"/>
      <c r="AY51" s="2595"/>
      <c r="AZ51" s="2595"/>
    </row>
    <row r="52" spans="1:52" ht="15" customHeight="1">
      <c r="A52" s="2757"/>
      <c r="B52" s="1179"/>
      <c r="C52" s="1179"/>
      <c r="D52" s="1283" t="s">
        <v>2142</v>
      </c>
      <c r="E52" s="2686" t="s">
        <v>4916</v>
      </c>
      <c r="F52" s="1179"/>
      <c r="G52" s="1179"/>
      <c r="H52" s="1179"/>
      <c r="I52" s="1179"/>
      <c r="J52" s="1179"/>
      <c r="K52" s="1179"/>
      <c r="L52" s="1179"/>
      <c r="M52" s="1179"/>
      <c r="N52" s="1179"/>
      <c r="O52" s="1179"/>
      <c r="P52" s="1179"/>
      <c r="Q52" s="1179"/>
      <c r="R52" s="2703"/>
      <c r="S52" s="2701"/>
      <c r="T52" s="1179"/>
      <c r="U52" s="1179"/>
      <c r="V52" s="3004"/>
      <c r="W52" s="6696"/>
      <c r="X52" s="6697"/>
      <c r="Y52" s="6697"/>
      <c r="Z52" s="6697"/>
      <c r="AA52" s="6698"/>
      <c r="AB52" s="5344"/>
      <c r="AC52" s="5448"/>
      <c r="AD52" s="5490"/>
      <c r="AE52" s="5490"/>
      <c r="AF52" s="5490"/>
      <c r="AG52" s="5490"/>
      <c r="AH52" s="2757"/>
      <c r="AI52" s="1276"/>
      <c r="AJ52" s="385"/>
      <c r="AK52" s="385"/>
      <c r="AL52" s="4118"/>
      <c r="AM52" s="1286"/>
      <c r="AN52" s="5338"/>
      <c r="AO52" s="1286"/>
      <c r="AP52" s="3445"/>
      <c r="AQ52" s="2595"/>
      <c r="AR52" s="2595"/>
      <c r="AS52" s="2595"/>
      <c r="AT52" s="2595"/>
      <c r="AU52" s="2595"/>
      <c r="AV52" s="2595"/>
      <c r="AW52" s="2595"/>
      <c r="AX52" s="2595"/>
      <c r="AY52" s="2595"/>
      <c r="AZ52" s="2595"/>
    </row>
    <row r="53" spans="1:52" ht="15" customHeight="1">
      <c r="A53" s="2757"/>
      <c r="B53" s="1179"/>
      <c r="C53" s="1179"/>
      <c r="D53" s="1283"/>
      <c r="E53" s="2686" t="s">
        <v>4917</v>
      </c>
      <c r="F53" s="1179"/>
      <c r="G53" s="1179"/>
      <c r="H53" s="1179"/>
      <c r="I53" s="1179"/>
      <c r="J53" s="1179"/>
      <c r="K53" s="1179"/>
      <c r="L53" s="1179"/>
      <c r="M53" s="1179"/>
      <c r="N53" s="1179"/>
      <c r="O53" s="1179"/>
      <c r="P53" s="1179"/>
      <c r="Q53" s="1179"/>
      <c r="R53" s="2703"/>
      <c r="S53" s="2701"/>
      <c r="T53" s="1179"/>
      <c r="U53" s="1560" t="s">
        <v>2517</v>
      </c>
      <c r="V53" s="1557" t="s">
        <v>4943</v>
      </c>
      <c r="W53" s="6570"/>
      <c r="X53" s="6692"/>
      <c r="Y53" s="6692"/>
      <c r="Z53" s="6692"/>
      <c r="AA53" s="6693"/>
      <c r="AB53" s="5344"/>
      <c r="AC53" s="6732">
        <f>ROUND(W53,0)</f>
        <v>0</v>
      </c>
      <c r="AD53" s="6733"/>
      <c r="AE53" s="6733"/>
      <c r="AF53" s="6733"/>
      <c r="AG53" s="6733"/>
      <c r="AH53" s="2757"/>
      <c r="AI53" s="1276"/>
      <c r="AJ53" s="385"/>
      <c r="AK53" s="385"/>
      <c r="AL53" s="4118"/>
      <c r="AM53" s="1286"/>
      <c r="AN53" s="5338"/>
      <c r="AO53" s="1286"/>
      <c r="AP53" s="3445"/>
      <c r="AQ53" s="2595"/>
      <c r="AR53" s="2595"/>
      <c r="AS53" s="2595"/>
      <c r="AT53" s="2595"/>
      <c r="AU53" s="2595"/>
      <c r="AV53" s="2595"/>
      <c r="AW53" s="2595"/>
      <c r="AX53" s="2595"/>
      <c r="AY53" s="2595"/>
      <c r="AZ53" s="2595"/>
    </row>
    <row r="54" spans="1:52" ht="15" customHeight="1">
      <c r="A54" s="2757"/>
      <c r="B54" s="1179"/>
      <c r="C54" s="1179"/>
      <c r="D54" s="1283" t="s">
        <v>2134</v>
      </c>
      <c r="E54" s="2686" t="s">
        <v>4918</v>
      </c>
      <c r="F54" s="1179"/>
      <c r="G54" s="1179"/>
      <c r="H54" s="1179"/>
      <c r="I54" s="1179"/>
      <c r="J54" s="1179"/>
      <c r="K54" s="1179"/>
      <c r="L54" s="1179"/>
      <c r="M54" s="1179"/>
      <c r="N54" s="1179"/>
      <c r="O54" s="1179"/>
      <c r="P54" s="1179"/>
      <c r="Q54" s="1179"/>
      <c r="R54" s="2703"/>
      <c r="S54" s="2701"/>
      <c r="T54" s="1179"/>
      <c r="U54" s="1560" t="s">
        <v>2401</v>
      </c>
      <c r="V54" s="1557" t="s">
        <v>4944</v>
      </c>
      <c r="W54" s="6570"/>
      <c r="X54" s="6692"/>
      <c r="Y54" s="6692"/>
      <c r="Z54" s="6692"/>
      <c r="AA54" s="6693"/>
      <c r="AB54" s="5344"/>
      <c r="AC54" s="6732">
        <f>ROUND(W54,0)</f>
        <v>0</v>
      </c>
      <c r="AD54" s="6733"/>
      <c r="AE54" s="6733"/>
      <c r="AF54" s="6733"/>
      <c r="AG54" s="6733"/>
      <c r="AH54" s="2757"/>
      <c r="AI54" s="1276"/>
      <c r="AJ54" s="385"/>
      <c r="AK54" s="385"/>
      <c r="AL54" s="4118"/>
      <c r="AM54" s="1286"/>
      <c r="AN54" s="5338"/>
      <c r="AO54" s="1286"/>
      <c r="AP54" s="3445"/>
      <c r="AQ54" s="2595"/>
      <c r="AR54" s="2595"/>
      <c r="AS54" s="2595"/>
      <c r="AT54" s="2595"/>
      <c r="AU54" s="2595"/>
      <c r="AV54" s="2595"/>
      <c r="AW54" s="2595"/>
      <c r="AX54" s="2595"/>
      <c r="AY54" s="2595"/>
      <c r="AZ54" s="2595"/>
    </row>
    <row r="55" spans="1:52" ht="15" customHeight="1">
      <c r="A55" s="2757"/>
      <c r="B55" s="1179"/>
      <c r="C55" s="1179"/>
      <c r="D55" s="1283" t="s">
        <v>2449</v>
      </c>
      <c r="E55" s="2686" t="s">
        <v>4919</v>
      </c>
      <c r="F55" s="1179"/>
      <c r="G55" s="1179"/>
      <c r="H55" s="1179"/>
      <c r="I55" s="1179"/>
      <c r="J55" s="1179"/>
      <c r="K55" s="1179"/>
      <c r="L55" s="1179"/>
      <c r="M55" s="1179"/>
      <c r="N55" s="1179"/>
      <c r="O55" s="1179"/>
      <c r="P55" s="1179"/>
      <c r="Q55" s="1179"/>
      <c r="R55" s="2703"/>
      <c r="S55" s="2701"/>
      <c r="T55" s="1179"/>
      <c r="U55" s="1560" t="s">
        <v>2780</v>
      </c>
      <c r="V55" s="1557" t="s">
        <v>4945</v>
      </c>
      <c r="W55" s="6570"/>
      <c r="X55" s="6692"/>
      <c r="Y55" s="6692"/>
      <c r="Z55" s="6692"/>
      <c r="AA55" s="6693"/>
      <c r="AB55" s="5344"/>
      <c r="AC55" s="6732">
        <f>ROUND(W55,0)</f>
        <v>0</v>
      </c>
      <c r="AD55" s="6733"/>
      <c r="AE55" s="6733"/>
      <c r="AF55" s="6733"/>
      <c r="AG55" s="6733"/>
      <c r="AH55" s="2757"/>
      <c r="AI55" s="1276"/>
      <c r="AJ55" s="385"/>
      <c r="AK55" s="385"/>
      <c r="AL55" s="4118"/>
      <c r="AM55" s="1286"/>
      <c r="AN55" s="5338"/>
      <c r="AO55" s="1286"/>
      <c r="AP55" s="3445"/>
      <c r="AQ55" s="2595"/>
      <c r="AR55" s="2595"/>
      <c r="AS55" s="2595"/>
      <c r="AT55" s="2595"/>
      <c r="AU55" s="2595"/>
      <c r="AV55" s="2595"/>
      <c r="AW55" s="2595"/>
      <c r="AX55" s="2595"/>
      <c r="AY55" s="2595"/>
      <c r="AZ55" s="2595"/>
    </row>
    <row r="56" spans="1:52" ht="15" customHeight="1">
      <c r="A56" s="2757"/>
      <c r="B56" s="1179"/>
      <c r="C56" s="1179"/>
      <c r="D56" s="1283" t="s">
        <v>340</v>
      </c>
      <c r="E56" s="2686" t="s">
        <v>4920</v>
      </c>
      <c r="F56" s="1179"/>
      <c r="G56" s="1179"/>
      <c r="H56" s="1179"/>
      <c r="I56" s="1179"/>
      <c r="J56" s="1179"/>
      <c r="K56" s="1179"/>
      <c r="L56" s="1179"/>
      <c r="M56" s="1179"/>
      <c r="N56" s="1179"/>
      <c r="O56" s="1179"/>
      <c r="P56" s="1179"/>
      <c r="Q56" s="1179"/>
      <c r="R56" s="2703"/>
      <c r="S56" s="2701"/>
      <c r="T56" s="1179"/>
      <c r="U56" s="1560" t="s">
        <v>2419</v>
      </c>
      <c r="V56" s="1557" t="s">
        <v>4946</v>
      </c>
      <c r="W56" s="6570"/>
      <c r="X56" s="6692"/>
      <c r="Y56" s="6692"/>
      <c r="Z56" s="6692"/>
      <c r="AA56" s="6693"/>
      <c r="AB56" s="5344"/>
      <c r="AC56" s="6732">
        <f>ROUND(W56,0)</f>
        <v>0</v>
      </c>
      <c r="AD56" s="6733"/>
      <c r="AE56" s="6733"/>
      <c r="AF56" s="6733"/>
      <c r="AG56" s="6733"/>
      <c r="AH56" s="2757"/>
      <c r="AI56" s="1276"/>
      <c r="AJ56" s="385"/>
      <c r="AK56" s="385"/>
      <c r="AL56" s="4118"/>
      <c r="AM56" s="1286"/>
      <c r="AN56" s="5338"/>
      <c r="AO56" s="1286"/>
      <c r="AP56" s="3445"/>
      <c r="AQ56" s="2595"/>
      <c r="AR56" s="2595"/>
      <c r="AS56" s="2595"/>
      <c r="AT56" s="2595"/>
      <c r="AU56" s="2595"/>
      <c r="AV56" s="2595"/>
      <c r="AW56" s="2595"/>
      <c r="AX56" s="2595"/>
      <c r="AY56" s="2595"/>
      <c r="AZ56" s="2595"/>
    </row>
    <row r="57" spans="1:52" ht="15" customHeight="1">
      <c r="A57" s="2757"/>
      <c r="B57" s="1179"/>
      <c r="C57" s="1179"/>
      <c r="D57" s="1283" t="s">
        <v>2448</v>
      </c>
      <c r="E57" s="2686" t="s">
        <v>4921</v>
      </c>
      <c r="F57" s="1179"/>
      <c r="G57" s="1179"/>
      <c r="H57" s="1179"/>
      <c r="I57" s="1179"/>
      <c r="J57" s="1179"/>
      <c r="K57" s="1179"/>
      <c r="L57" s="1179"/>
      <c r="M57" s="1179"/>
      <c r="N57" s="1179"/>
      <c r="O57" s="1179"/>
      <c r="P57" s="1179"/>
      <c r="Q57" s="1179"/>
      <c r="R57" s="2703"/>
      <c r="S57" s="2701"/>
      <c r="T57" s="1179"/>
      <c r="U57" s="1179"/>
      <c r="V57" s="3004"/>
      <c r="W57" s="6696"/>
      <c r="X57" s="6697"/>
      <c r="Y57" s="6697"/>
      <c r="Z57" s="6697"/>
      <c r="AA57" s="6698"/>
      <c r="AB57" s="5344"/>
      <c r="AC57" s="5448"/>
      <c r="AD57" s="5490"/>
      <c r="AE57" s="5490"/>
      <c r="AF57" s="5490"/>
      <c r="AG57" s="5490"/>
      <c r="AH57" s="2757"/>
      <c r="AI57" s="1276"/>
      <c r="AJ57" s="385"/>
      <c r="AK57" s="385"/>
      <c r="AL57" s="4118"/>
      <c r="AM57" s="1286"/>
      <c r="AN57" s="5338"/>
      <c r="AO57" s="1286"/>
      <c r="AP57" s="3445"/>
      <c r="AQ57" s="2595"/>
      <c r="AR57" s="2595"/>
      <c r="AS57" s="2595"/>
      <c r="AT57" s="2595"/>
      <c r="AU57" s="2595"/>
      <c r="AV57" s="2595"/>
      <c r="AW57" s="2595"/>
      <c r="AX57" s="2595"/>
      <c r="AY57" s="2595"/>
      <c r="AZ57" s="2595"/>
    </row>
    <row r="58" spans="1:52" ht="15" customHeight="1">
      <c r="A58" s="2757"/>
      <c r="B58" s="1179"/>
      <c r="C58" s="1179"/>
      <c r="D58" s="1283"/>
      <c r="E58" s="2686" t="s">
        <v>4922</v>
      </c>
      <c r="F58" s="1179"/>
      <c r="G58" s="1179"/>
      <c r="H58" s="1179"/>
      <c r="I58" s="1179"/>
      <c r="J58" s="1179"/>
      <c r="K58" s="1179"/>
      <c r="L58" s="1179"/>
      <c r="M58" s="1179"/>
      <c r="N58" s="1179"/>
      <c r="O58" s="1179"/>
      <c r="P58" s="1179"/>
      <c r="Q58" s="1179"/>
      <c r="R58" s="2703"/>
      <c r="S58" s="2701"/>
      <c r="T58" s="1179"/>
      <c r="U58" s="1560" t="s">
        <v>4959</v>
      </c>
      <c r="V58" s="1557" t="s">
        <v>4947</v>
      </c>
      <c r="W58" s="6570"/>
      <c r="X58" s="6692"/>
      <c r="Y58" s="6692"/>
      <c r="Z58" s="6692"/>
      <c r="AA58" s="6693"/>
      <c r="AB58" s="5344"/>
      <c r="AC58" s="6732">
        <f>ROUND(W58,0)</f>
        <v>0</v>
      </c>
      <c r="AD58" s="6733"/>
      <c r="AE58" s="6733"/>
      <c r="AF58" s="6733"/>
      <c r="AG58" s="6733"/>
      <c r="AH58" s="2757"/>
      <c r="AI58" s="1276"/>
      <c r="AJ58" s="385"/>
      <c r="AK58" s="385"/>
      <c r="AL58" s="4118"/>
      <c r="AM58" s="1286"/>
      <c r="AN58" s="5338"/>
      <c r="AO58" s="1286"/>
      <c r="AP58" s="3445"/>
      <c r="AQ58" s="2595"/>
      <c r="AR58" s="2595"/>
      <c r="AS58" s="2595"/>
      <c r="AT58" s="2595"/>
      <c r="AU58" s="2595"/>
      <c r="AV58" s="2595"/>
      <c r="AW58" s="2595"/>
      <c r="AX58" s="2595"/>
      <c r="AY58" s="2595"/>
      <c r="AZ58" s="2595"/>
    </row>
    <row r="59" spans="1:52" ht="15" customHeight="1">
      <c r="A59" s="2757"/>
      <c r="B59" s="1179"/>
      <c r="C59" s="1179"/>
      <c r="D59" s="1283" t="s">
        <v>2447</v>
      </c>
      <c r="E59" s="2686" t="s">
        <v>4923</v>
      </c>
      <c r="F59" s="1179"/>
      <c r="G59" s="1179"/>
      <c r="H59" s="1179"/>
      <c r="I59" s="1179"/>
      <c r="J59" s="1179"/>
      <c r="K59" s="1179"/>
      <c r="L59" s="1179"/>
      <c r="M59" s="1179"/>
      <c r="N59" s="1179"/>
      <c r="O59" s="1179"/>
      <c r="P59" s="1179"/>
      <c r="Q59" s="1179"/>
      <c r="R59" s="2703"/>
      <c r="S59" s="2701"/>
      <c r="T59" s="1179"/>
      <c r="U59" s="1179"/>
      <c r="V59" s="3004"/>
      <c r="W59" s="6696"/>
      <c r="X59" s="6697"/>
      <c r="Y59" s="6697"/>
      <c r="Z59" s="6697"/>
      <c r="AA59" s="6698"/>
      <c r="AB59" s="5344"/>
      <c r="AC59" s="5448"/>
      <c r="AD59" s="5490"/>
      <c r="AE59" s="5490"/>
      <c r="AF59" s="5490"/>
      <c r="AG59" s="5490"/>
      <c r="AH59" s="2757"/>
      <c r="AI59" s="1276"/>
      <c r="AJ59" s="385"/>
      <c r="AK59" s="385"/>
      <c r="AL59" s="4118"/>
      <c r="AM59" s="1286"/>
      <c r="AN59" s="5338"/>
      <c r="AO59" s="1286"/>
      <c r="AP59" s="3445"/>
      <c r="AQ59" s="2595"/>
      <c r="AR59" s="2595"/>
      <c r="AS59" s="2595"/>
      <c r="AT59" s="2595"/>
      <c r="AU59" s="2595"/>
      <c r="AV59" s="2595"/>
      <c r="AW59" s="2595"/>
      <c r="AX59" s="2595"/>
      <c r="AY59" s="2595"/>
      <c r="AZ59" s="2595"/>
    </row>
    <row r="60" spans="1:52" ht="15" customHeight="1">
      <c r="A60" s="2757"/>
      <c r="B60" s="1179"/>
      <c r="C60" s="1179"/>
      <c r="D60" s="1283"/>
      <c r="E60" s="2686" t="s">
        <v>4924</v>
      </c>
      <c r="F60" s="1179"/>
      <c r="G60" s="1179"/>
      <c r="H60" s="1179"/>
      <c r="I60" s="1179"/>
      <c r="J60" s="1179"/>
      <c r="K60" s="1179"/>
      <c r="L60" s="1179"/>
      <c r="M60" s="1179"/>
      <c r="N60" s="1179"/>
      <c r="O60" s="1179"/>
      <c r="P60" s="1179"/>
      <c r="Q60" s="1179"/>
      <c r="R60" s="2703"/>
      <c r="S60" s="2701"/>
      <c r="T60" s="1179"/>
      <c r="U60" s="1560" t="s">
        <v>2576</v>
      </c>
      <c r="V60" s="1557" t="s">
        <v>4948</v>
      </c>
      <c r="W60" s="6570"/>
      <c r="X60" s="6692"/>
      <c r="Y60" s="6692"/>
      <c r="Z60" s="6692"/>
      <c r="AA60" s="6693"/>
      <c r="AB60" s="5344"/>
      <c r="AC60" s="6732">
        <f>ROUND(W60,0)</f>
        <v>0</v>
      </c>
      <c r="AD60" s="6733"/>
      <c r="AE60" s="6733"/>
      <c r="AF60" s="6733"/>
      <c r="AG60" s="6733"/>
      <c r="AH60" s="2757"/>
      <c r="AI60" s="1276"/>
      <c r="AJ60" s="385"/>
      <c r="AK60" s="385"/>
      <c r="AL60" s="4118"/>
      <c r="AM60" s="1286"/>
      <c r="AN60" s="5338"/>
      <c r="AO60" s="1286"/>
      <c r="AP60" s="3445"/>
      <c r="AQ60" s="2595"/>
      <c r="AR60" s="2595"/>
      <c r="AS60" s="2595"/>
      <c r="AT60" s="2595"/>
      <c r="AU60" s="2595"/>
      <c r="AV60" s="2595"/>
      <c r="AW60" s="2595"/>
      <c r="AX60" s="2595"/>
      <c r="AY60" s="2595"/>
      <c r="AZ60" s="2595"/>
    </row>
    <row r="61" spans="1:52" ht="15" customHeight="1">
      <c r="A61" s="2757"/>
      <c r="B61" s="1179"/>
      <c r="C61" s="1179"/>
      <c r="D61" s="1283" t="s">
        <v>2295</v>
      </c>
      <c r="E61" s="2686" t="s">
        <v>4925</v>
      </c>
      <c r="F61" s="1179"/>
      <c r="G61" s="1179"/>
      <c r="H61" s="1179"/>
      <c r="I61" s="1179"/>
      <c r="J61" s="1179"/>
      <c r="K61" s="1179"/>
      <c r="L61" s="1179"/>
      <c r="M61" s="1179"/>
      <c r="N61" s="1179"/>
      <c r="O61" s="1179"/>
      <c r="P61" s="1179"/>
      <c r="Q61" s="1179"/>
      <c r="R61" s="2703"/>
      <c r="S61" s="2701"/>
      <c r="T61" s="1179"/>
      <c r="U61" s="1179"/>
      <c r="V61" s="3004"/>
      <c r="W61" s="6696"/>
      <c r="X61" s="6697"/>
      <c r="Y61" s="6697"/>
      <c r="Z61" s="6697"/>
      <c r="AA61" s="6698"/>
      <c r="AB61" s="5344"/>
      <c r="AC61" s="5448"/>
      <c r="AD61" s="5490"/>
      <c r="AE61" s="5490"/>
      <c r="AF61" s="5490"/>
      <c r="AG61" s="5490"/>
      <c r="AH61" s="2757"/>
      <c r="AI61" s="1276"/>
      <c r="AJ61" s="385"/>
      <c r="AK61" s="385"/>
      <c r="AL61" s="4118"/>
      <c r="AM61" s="1286"/>
      <c r="AN61" s="5338"/>
      <c r="AO61" s="1286"/>
      <c r="AP61" s="3445"/>
      <c r="AQ61" s="2595"/>
      <c r="AR61" s="2595"/>
      <c r="AS61" s="2595"/>
      <c r="AT61" s="2595"/>
      <c r="AU61" s="2595"/>
      <c r="AV61" s="2595"/>
      <c r="AW61" s="2595"/>
      <c r="AX61" s="2595"/>
      <c r="AY61" s="2595"/>
      <c r="AZ61" s="2595"/>
    </row>
    <row r="62" spans="1:52" ht="15" customHeight="1">
      <c r="A62" s="2757"/>
      <c r="B62" s="1179"/>
      <c r="C62" s="1179"/>
      <c r="D62" s="1283"/>
      <c r="E62" s="2686" t="s">
        <v>4926</v>
      </c>
      <c r="F62" s="1179"/>
      <c r="G62" s="1179"/>
      <c r="H62" s="1179"/>
      <c r="I62" s="1179"/>
      <c r="J62" s="1179"/>
      <c r="K62" s="1179"/>
      <c r="L62" s="1179"/>
      <c r="M62" s="1179"/>
      <c r="N62" s="1179"/>
      <c r="O62" s="1179"/>
      <c r="P62" s="1179"/>
      <c r="Q62" s="1179"/>
      <c r="R62" s="2703"/>
      <c r="S62" s="2701"/>
      <c r="T62" s="1179"/>
      <c r="U62" s="1560" t="s">
        <v>4958</v>
      </c>
      <c r="V62" s="1557" t="s">
        <v>4949</v>
      </c>
      <c r="W62" s="6570"/>
      <c r="X62" s="6692"/>
      <c r="Y62" s="6692"/>
      <c r="Z62" s="6692"/>
      <c r="AA62" s="6693"/>
      <c r="AB62" s="5344"/>
      <c r="AC62" s="6732">
        <f>ROUND(W62,0)</f>
        <v>0</v>
      </c>
      <c r="AD62" s="6733"/>
      <c r="AE62" s="6733"/>
      <c r="AF62" s="6733"/>
      <c r="AG62" s="6733"/>
      <c r="AH62" s="2757"/>
      <c r="AI62" s="1276"/>
      <c r="AJ62" s="385"/>
      <c r="AK62" s="385"/>
      <c r="AL62" s="4118"/>
      <c r="AM62" s="1286"/>
      <c r="AN62" s="5338"/>
      <c r="AO62" s="1286"/>
      <c r="AP62" s="3445"/>
      <c r="AQ62" s="2595"/>
      <c r="AR62" s="2595"/>
      <c r="AS62" s="2595"/>
      <c r="AT62" s="2595"/>
      <c r="AU62" s="2595"/>
      <c r="AV62" s="2595"/>
      <c r="AW62" s="2595"/>
      <c r="AX62" s="2595"/>
      <c r="AY62" s="2595"/>
      <c r="AZ62" s="2595"/>
    </row>
    <row r="63" spans="1:52" ht="15" customHeight="1">
      <c r="A63" s="2757"/>
      <c r="B63" s="1179"/>
      <c r="C63" s="1179"/>
      <c r="D63" s="1283" t="s">
        <v>2446</v>
      </c>
      <c r="E63" s="2686" t="s">
        <v>4927</v>
      </c>
      <c r="F63" s="1179"/>
      <c r="G63" s="1179"/>
      <c r="H63" s="1179"/>
      <c r="I63" s="1179"/>
      <c r="J63" s="1179"/>
      <c r="K63" s="1179"/>
      <c r="L63" s="1179"/>
      <c r="M63" s="1179"/>
      <c r="N63" s="1179"/>
      <c r="O63" s="1179"/>
      <c r="P63" s="1179"/>
      <c r="Q63" s="1179"/>
      <c r="R63" s="2703"/>
      <c r="S63" s="2701"/>
      <c r="T63" s="1179"/>
      <c r="U63" s="1179"/>
      <c r="V63" s="3004"/>
      <c r="W63" s="6696"/>
      <c r="X63" s="6697"/>
      <c r="Y63" s="6697"/>
      <c r="Z63" s="6697"/>
      <c r="AA63" s="6698"/>
      <c r="AB63" s="5344"/>
      <c r="AC63" s="5448"/>
      <c r="AD63" s="5490"/>
      <c r="AE63" s="5490"/>
      <c r="AF63" s="5490"/>
      <c r="AG63" s="5490"/>
      <c r="AH63" s="2757"/>
      <c r="AI63" s="1276"/>
      <c r="AJ63" s="385"/>
      <c r="AK63" s="385"/>
      <c r="AL63" s="4118"/>
      <c r="AM63" s="1286"/>
      <c r="AN63" s="5338"/>
      <c r="AO63" s="1286"/>
      <c r="AP63" s="3445"/>
      <c r="AQ63" s="2595"/>
      <c r="AR63" s="2595"/>
      <c r="AS63" s="2595"/>
      <c r="AT63" s="2595"/>
      <c r="AU63" s="2595"/>
      <c r="AV63" s="2595"/>
      <c r="AW63" s="2595"/>
      <c r="AX63" s="2595"/>
      <c r="AY63" s="2595"/>
      <c r="AZ63" s="2595"/>
    </row>
    <row r="64" spans="1:52" ht="15" customHeight="1">
      <c r="A64" s="2757"/>
      <c r="B64" s="1179"/>
      <c r="C64" s="1179"/>
      <c r="D64" s="1283"/>
      <c r="E64" s="2686" t="s">
        <v>4928</v>
      </c>
      <c r="F64" s="1179"/>
      <c r="G64" s="1179"/>
      <c r="H64" s="1179"/>
      <c r="I64" s="1179"/>
      <c r="J64" s="1179"/>
      <c r="K64" s="1179"/>
      <c r="L64" s="1179"/>
      <c r="M64" s="1179"/>
      <c r="N64" s="1179"/>
      <c r="O64" s="1179"/>
      <c r="P64" s="1179"/>
      <c r="Q64" s="1179"/>
      <c r="R64" s="2703"/>
      <c r="S64" s="2701"/>
      <c r="T64" s="1179"/>
      <c r="U64" s="1560" t="s">
        <v>4958</v>
      </c>
      <c r="V64" s="1557" t="s">
        <v>4950</v>
      </c>
      <c r="W64" s="6570"/>
      <c r="X64" s="6692"/>
      <c r="Y64" s="6692"/>
      <c r="Z64" s="6692"/>
      <c r="AA64" s="6693"/>
      <c r="AB64" s="5344"/>
      <c r="AC64" s="6732">
        <f>ROUND(W64,0)</f>
        <v>0</v>
      </c>
      <c r="AD64" s="6733"/>
      <c r="AE64" s="6733"/>
      <c r="AF64" s="6733"/>
      <c r="AG64" s="6733"/>
      <c r="AH64" s="2757"/>
      <c r="AI64" s="1276"/>
      <c r="AJ64" s="385"/>
      <c r="AK64" s="385"/>
      <c r="AL64" s="4118"/>
      <c r="AM64" s="1286"/>
      <c r="AN64" s="5338"/>
      <c r="AO64" s="1286"/>
      <c r="AP64" s="3445"/>
      <c r="AQ64" s="2595"/>
      <c r="AR64" s="2595"/>
      <c r="AS64" s="2595"/>
      <c r="AT64" s="2595"/>
      <c r="AU64" s="2595"/>
      <c r="AV64" s="2595"/>
      <c r="AW64" s="2595"/>
      <c r="AX64" s="2595"/>
      <c r="AY64" s="2595"/>
      <c r="AZ64" s="2595"/>
    </row>
    <row r="65" spans="1:52" ht="15" customHeight="1">
      <c r="A65" s="2757"/>
      <c r="B65" s="1179"/>
      <c r="C65" s="1179"/>
      <c r="D65" s="1283" t="s">
        <v>2445</v>
      </c>
      <c r="E65" s="2686" t="s">
        <v>4929</v>
      </c>
      <c r="F65" s="1179"/>
      <c r="G65" s="1179"/>
      <c r="H65" s="1179"/>
      <c r="I65" s="1179"/>
      <c r="J65" s="1179"/>
      <c r="K65" s="1179"/>
      <c r="L65" s="1179"/>
      <c r="M65" s="1179"/>
      <c r="N65" s="1179"/>
      <c r="O65" s="1179"/>
      <c r="P65" s="1179"/>
      <c r="Q65" s="1179"/>
      <c r="R65" s="2703"/>
      <c r="S65" s="2701"/>
      <c r="T65" s="1179"/>
      <c r="U65" s="1560" t="s">
        <v>4957</v>
      </c>
      <c r="V65" s="1557" t="s">
        <v>4951</v>
      </c>
      <c r="W65" s="6570"/>
      <c r="X65" s="6692"/>
      <c r="Y65" s="6692"/>
      <c r="Z65" s="6692"/>
      <c r="AA65" s="6693"/>
      <c r="AB65" s="5344"/>
      <c r="AC65" s="6732">
        <f>ROUND(W65,0)</f>
        <v>0</v>
      </c>
      <c r="AD65" s="6733"/>
      <c r="AE65" s="6733"/>
      <c r="AF65" s="6733"/>
      <c r="AG65" s="6733"/>
      <c r="AH65" s="2757"/>
      <c r="AI65" s="1276"/>
      <c r="AJ65" s="385"/>
      <c r="AK65" s="385"/>
      <c r="AL65" s="4118"/>
      <c r="AM65" s="1286"/>
      <c r="AN65" s="5338"/>
      <c r="AO65" s="1286"/>
      <c r="AP65" s="3445"/>
      <c r="AQ65" s="2595"/>
      <c r="AR65" s="2595"/>
      <c r="AS65" s="2595"/>
      <c r="AT65" s="2595"/>
      <c r="AU65" s="2595"/>
      <c r="AV65" s="2595"/>
      <c r="AW65" s="2595"/>
      <c r="AX65" s="2595"/>
      <c r="AY65" s="2595"/>
      <c r="AZ65" s="2595"/>
    </row>
    <row r="66" spans="1:52" ht="15" customHeight="1">
      <c r="A66" s="2757"/>
      <c r="B66" s="1179"/>
      <c r="C66" s="1179"/>
      <c r="D66" s="1283" t="s">
        <v>4716</v>
      </c>
      <c r="E66" s="2686" t="s">
        <v>4930</v>
      </c>
      <c r="F66" s="1179"/>
      <c r="G66" s="1179"/>
      <c r="H66" s="1179"/>
      <c r="I66" s="1179"/>
      <c r="J66" s="1179"/>
      <c r="K66" s="1179"/>
      <c r="L66" s="1179"/>
      <c r="M66" s="1179"/>
      <c r="N66" s="1179"/>
      <c r="O66" s="6687"/>
      <c r="P66" s="6687"/>
      <c r="Q66" s="6687"/>
      <c r="R66" s="6687"/>
      <c r="S66" s="6687"/>
      <c r="T66" s="6687"/>
      <c r="U66" s="1179"/>
      <c r="V66" s="3004"/>
      <c r="W66" s="6696"/>
      <c r="X66" s="6697"/>
      <c r="Y66" s="6697"/>
      <c r="Z66" s="6697"/>
      <c r="AA66" s="6698"/>
      <c r="AB66" s="5344"/>
      <c r="AC66" s="5448"/>
      <c r="AD66" s="5490"/>
      <c r="AE66" s="5490"/>
      <c r="AF66" s="5490"/>
      <c r="AG66" s="5490"/>
      <c r="AH66" s="2757"/>
      <c r="AI66" s="1276"/>
      <c r="AJ66" s="6647" t="s">
        <v>1736</v>
      </c>
      <c r="AK66" s="385"/>
      <c r="AL66" s="4118"/>
      <c r="AM66" s="1286"/>
      <c r="AN66" s="5338"/>
      <c r="AO66" s="1286"/>
      <c r="AP66" s="3445"/>
      <c r="AQ66" s="2595"/>
      <c r="AR66" s="2595"/>
      <c r="AS66" s="2595"/>
      <c r="AT66" s="2595"/>
      <c r="AU66" s="2595"/>
      <c r="AV66" s="2595"/>
      <c r="AW66" s="2595"/>
      <c r="AX66" s="2595"/>
      <c r="AY66" s="2595"/>
      <c r="AZ66" s="2595"/>
    </row>
    <row r="67" spans="1:52" ht="15" customHeight="1" thickBot="1">
      <c r="A67" s="2757"/>
      <c r="B67" s="1179"/>
      <c r="C67" s="1179"/>
      <c r="D67" s="1283"/>
      <c r="E67" s="6687"/>
      <c r="F67" s="6687"/>
      <c r="G67" s="6687"/>
      <c r="H67" s="6687"/>
      <c r="I67" s="6687"/>
      <c r="J67" s="6687"/>
      <c r="K67" s="6687"/>
      <c r="L67" s="6687"/>
      <c r="M67" s="6687"/>
      <c r="N67" s="6687"/>
      <c r="O67" s="6687"/>
      <c r="P67" s="6687"/>
      <c r="Q67" s="6687"/>
      <c r="R67" s="6687"/>
      <c r="S67" s="6687"/>
      <c r="T67" s="6687"/>
      <c r="U67" s="1560"/>
      <c r="V67" s="1564" t="s">
        <v>4937</v>
      </c>
      <c r="W67" s="6699"/>
      <c r="X67" s="6700"/>
      <c r="Y67" s="6700"/>
      <c r="Z67" s="6700"/>
      <c r="AA67" s="6701"/>
      <c r="AB67" s="5344"/>
      <c r="AC67" s="6732">
        <f>ROUND(W67,0)</f>
        <v>0</v>
      </c>
      <c r="AD67" s="6733"/>
      <c r="AE67" s="6733"/>
      <c r="AF67" s="6733"/>
      <c r="AG67" s="6733"/>
      <c r="AH67" s="2757"/>
      <c r="AI67" s="1276"/>
      <c r="AJ67" s="6686"/>
      <c r="AK67" s="385"/>
      <c r="AL67" s="4118"/>
      <c r="AM67" s="1286"/>
      <c r="AN67" s="5338"/>
      <c r="AO67" s="1286"/>
      <c r="AP67" s="3445"/>
      <c r="AQ67" s="2595"/>
      <c r="AR67" s="2595"/>
      <c r="AS67" s="2595"/>
      <c r="AT67" s="2595"/>
      <c r="AU67" s="2595"/>
      <c r="AV67" s="2595"/>
      <c r="AW67" s="2595"/>
      <c r="AX67" s="2595"/>
      <c r="AY67" s="2595"/>
      <c r="AZ67" s="2595"/>
    </row>
    <row r="68" spans="1:52" ht="20.25" customHeight="1">
      <c r="A68" s="2757"/>
      <c r="B68" s="1179"/>
      <c r="C68" s="1283">
        <v>18</v>
      </c>
      <c r="D68" s="1283"/>
      <c r="E68" s="2686" t="s">
        <v>4936</v>
      </c>
      <c r="F68" s="1179"/>
      <c r="G68" s="1179"/>
      <c r="H68" s="1179"/>
      <c r="I68" s="1179"/>
      <c r="J68" s="1179"/>
      <c r="K68" s="1179"/>
      <c r="L68" s="1179"/>
      <c r="M68" s="1179"/>
      <c r="N68" s="1179"/>
      <c r="O68" s="1179"/>
      <c r="P68" s="1179"/>
      <c r="Q68" s="1179"/>
      <c r="R68" s="2703"/>
      <c r="S68" s="2701"/>
      <c r="T68" s="1179"/>
      <c r="U68" s="1179"/>
      <c r="V68" s="1179"/>
      <c r="W68" s="1179"/>
      <c r="X68" s="1179"/>
      <c r="Y68" s="1179"/>
      <c r="Z68" s="1179"/>
      <c r="AA68" s="1560" t="s">
        <v>2780</v>
      </c>
      <c r="AB68" s="5121">
        <v>18</v>
      </c>
      <c r="AC68" s="6690">
        <f>IF(AJ68&lt;&gt;"",ROUND(AJ68,0),SUM(AC39,AC41,AC42,AC44,AC45,AC47,AC49,AC51,AC53,AC54,AC55,AC56,AC58,AC60,AC62,AC64,AC65,AC67))</f>
        <v>0</v>
      </c>
      <c r="AD68" s="6691"/>
      <c r="AE68" s="6691"/>
      <c r="AF68" s="6691"/>
      <c r="AG68" s="6691"/>
      <c r="AH68" s="2757"/>
      <c r="AI68" s="1276"/>
      <c r="AJ68" s="2868"/>
      <c r="AK68" s="385"/>
      <c r="AL68" s="4118"/>
      <c r="AM68" s="1286"/>
      <c r="AN68" s="5338"/>
      <c r="AO68" s="1286"/>
      <c r="AP68" s="3445"/>
      <c r="AQ68" s="2595"/>
      <c r="AR68" s="2595"/>
      <c r="AS68" s="2595"/>
      <c r="AT68" s="2595"/>
      <c r="AU68" s="2595"/>
      <c r="AV68" s="2595"/>
      <c r="AW68" s="2595"/>
      <c r="AX68" s="2595"/>
      <c r="AY68" s="2595"/>
      <c r="AZ68" s="2595"/>
    </row>
    <row r="69" spans="1:52" ht="20.25" customHeight="1">
      <c r="A69" s="2757"/>
      <c r="B69" s="1179"/>
      <c r="C69" s="1283">
        <v>19</v>
      </c>
      <c r="D69" s="1283"/>
      <c r="E69" s="2686" t="s">
        <v>4952</v>
      </c>
      <c r="F69" s="1179"/>
      <c r="G69" s="1179"/>
      <c r="H69" s="1179"/>
      <c r="I69" s="1179"/>
      <c r="J69" s="1179"/>
      <c r="K69" s="1179"/>
      <c r="L69" s="1179"/>
      <c r="M69" s="1179"/>
      <c r="N69" s="1179"/>
      <c r="O69" s="1179"/>
      <c r="P69" s="1179"/>
      <c r="Q69" s="1179"/>
      <c r="R69" s="2703"/>
      <c r="S69" s="2701"/>
      <c r="T69" s="1179"/>
      <c r="U69" s="1179"/>
      <c r="V69" s="1179"/>
      <c r="W69" s="1179"/>
      <c r="X69" s="1179"/>
      <c r="Y69" s="1179"/>
      <c r="Z69" s="1179"/>
      <c r="AA69" s="1560" t="s">
        <v>2883</v>
      </c>
      <c r="AB69" s="5121">
        <v>19</v>
      </c>
      <c r="AC69" s="6690" t="str">
        <f>IF(AJ69&lt;&gt;"",ROUND(AJ69,0),F8812_Add_Tax)</f>
        <v/>
      </c>
      <c r="AD69" s="6691"/>
      <c r="AE69" s="6691"/>
      <c r="AF69" s="6691"/>
      <c r="AG69" s="6691"/>
      <c r="AH69" s="2757"/>
      <c r="AI69" s="1276"/>
      <c r="AJ69" s="2868"/>
      <c r="AK69" s="385"/>
      <c r="AL69" s="4118"/>
      <c r="AM69" s="1286"/>
      <c r="AN69" s="5338"/>
      <c r="AO69" s="1286"/>
      <c r="AP69" s="3445"/>
      <c r="AQ69" s="2595"/>
      <c r="AR69" s="2595"/>
      <c r="AS69" s="2595"/>
      <c r="AT69" s="2595"/>
      <c r="AU69" s="2595"/>
      <c r="AV69" s="2595"/>
      <c r="AW69" s="2595"/>
      <c r="AX69" s="2595"/>
      <c r="AY69" s="2595"/>
      <c r="AZ69" s="2595"/>
    </row>
    <row r="70" spans="1:52" ht="20.25" customHeight="1">
      <c r="A70" s="2757"/>
      <c r="B70" s="1179"/>
      <c r="C70" s="1283">
        <v>20</v>
      </c>
      <c r="D70" s="1283"/>
      <c r="E70" s="2686" t="s">
        <v>4953</v>
      </c>
      <c r="F70" s="1179"/>
      <c r="G70" s="1179"/>
      <c r="H70" s="1179"/>
      <c r="I70" s="1179"/>
      <c r="J70" s="1179"/>
      <c r="K70" s="1179"/>
      <c r="L70" s="1179"/>
      <c r="M70" s="1179"/>
      <c r="N70" s="1179"/>
      <c r="O70" s="1179"/>
      <c r="P70" s="1179"/>
      <c r="Q70" s="1179"/>
      <c r="R70" s="2703"/>
      <c r="S70" s="2701"/>
      <c r="T70" s="1179"/>
      <c r="U70" s="1560" t="s">
        <v>2472</v>
      </c>
      <c r="V70" s="1557">
        <v>20</v>
      </c>
      <c r="W70" s="6570"/>
      <c r="X70" s="6692"/>
      <c r="Y70" s="6692"/>
      <c r="Z70" s="6692"/>
      <c r="AA70" s="6693"/>
      <c r="AB70" s="5344"/>
      <c r="AC70" s="5124"/>
      <c r="AD70" s="5129"/>
      <c r="AE70" s="5129"/>
      <c r="AF70" s="5129"/>
      <c r="AG70" s="5129"/>
      <c r="AH70" s="2757"/>
      <c r="AI70" s="1276"/>
      <c r="AJ70" s="385"/>
      <c r="AK70" s="385"/>
      <c r="AL70" s="4118"/>
      <c r="AM70" s="1286"/>
      <c r="AN70" s="5338"/>
      <c r="AO70" s="1286"/>
      <c r="AP70" s="3445"/>
      <c r="AQ70" s="2595"/>
      <c r="AR70" s="2595"/>
      <c r="AS70" s="2595"/>
      <c r="AT70" s="2595"/>
      <c r="AU70" s="2595"/>
      <c r="AV70" s="2595"/>
      <c r="AW70" s="2595"/>
      <c r="AX70" s="2595"/>
      <c r="AY70" s="2595"/>
      <c r="AZ70" s="2595"/>
    </row>
    <row r="71" spans="1:52" ht="22.5" customHeight="1">
      <c r="A71" s="2757"/>
      <c r="B71" s="1283"/>
      <c r="C71" s="1283">
        <v>21</v>
      </c>
      <c r="D71" s="1283"/>
      <c r="E71" s="2686" t="s">
        <v>4954</v>
      </c>
      <c r="F71" s="1179"/>
      <c r="G71" s="1179"/>
      <c r="H71" s="1179"/>
      <c r="I71" s="1179"/>
      <c r="J71" s="1179"/>
      <c r="K71" s="1179"/>
      <c r="L71" s="1179"/>
      <c r="M71" s="1179"/>
      <c r="N71" s="1179"/>
      <c r="O71" s="1179"/>
      <c r="P71" s="1179"/>
      <c r="Q71" s="1179"/>
      <c r="R71" s="1179"/>
      <c r="S71" s="1179"/>
      <c r="T71" s="1179"/>
      <c r="U71" s="1179"/>
      <c r="V71" s="1179"/>
      <c r="W71" s="1179"/>
      <c r="X71" s="1179"/>
      <c r="Y71" s="1179"/>
      <c r="Z71" s="1179"/>
      <c r="AA71" s="1179"/>
      <c r="AB71" s="5344"/>
      <c r="AC71" s="6694"/>
      <c r="AD71" s="6695"/>
      <c r="AE71" s="6695"/>
      <c r="AF71" s="6695"/>
      <c r="AG71" s="6695"/>
      <c r="AH71" s="2757"/>
      <c r="AI71" s="1179"/>
      <c r="AJ71" s="385"/>
      <c r="AK71" s="385"/>
      <c r="AL71" s="4118"/>
      <c r="AM71" s="1286"/>
      <c r="AN71" s="5338"/>
      <c r="AO71" s="1286"/>
      <c r="AP71" s="3445"/>
      <c r="AQ71" s="2595"/>
      <c r="AR71" s="2595"/>
      <c r="AS71" s="2595"/>
      <c r="AT71" s="2595"/>
      <c r="AU71" s="2595"/>
      <c r="AV71" s="2595"/>
      <c r="AW71" s="2595"/>
      <c r="AX71" s="2595"/>
      <c r="AY71" s="2595"/>
      <c r="AZ71" s="2595"/>
    </row>
    <row r="72" spans="1:52" ht="18.75" customHeight="1" thickBot="1">
      <c r="A72" s="2757"/>
      <c r="B72" s="2947"/>
      <c r="C72" s="2947"/>
      <c r="D72" s="2947"/>
      <c r="E72" s="2704" t="s">
        <v>4955</v>
      </c>
      <c r="F72" s="1280"/>
      <c r="G72" s="1280"/>
      <c r="H72" s="1280"/>
      <c r="I72" s="1280"/>
      <c r="J72" s="1280"/>
      <c r="K72" s="1280"/>
      <c r="L72" s="1280"/>
      <c r="M72" s="1280"/>
      <c r="N72" s="1280"/>
      <c r="O72" s="1280"/>
      <c r="P72" s="1280"/>
      <c r="Q72" s="1280"/>
      <c r="R72" s="1280"/>
      <c r="S72" s="1280"/>
      <c r="T72" s="1280"/>
      <c r="U72" s="1280"/>
      <c r="V72" s="1280"/>
      <c r="W72" s="1280"/>
      <c r="X72" s="1280"/>
      <c r="Y72" s="1280"/>
      <c r="Z72" s="1280"/>
      <c r="AA72" s="4477" t="s">
        <v>2517</v>
      </c>
      <c r="AB72" s="1564">
        <v>21</v>
      </c>
      <c r="AC72" s="6688">
        <f>IF(AJ72&lt;&gt;"",ROUND(AJ72,0),SUM(SelfEmploymentTax,AC20:AG32,AC68,AC69))</f>
        <v>0</v>
      </c>
      <c r="AD72" s="6689"/>
      <c r="AE72" s="6689"/>
      <c r="AF72" s="6689"/>
      <c r="AG72" s="6689"/>
      <c r="AH72" s="2757"/>
      <c r="AI72" s="1179"/>
      <c r="AJ72" s="2868"/>
      <c r="AK72" s="385"/>
      <c r="AL72" s="4118"/>
      <c r="AM72" s="1286"/>
      <c r="AN72" s="5338"/>
      <c r="AO72" s="1286"/>
      <c r="AP72" s="3445"/>
      <c r="AQ72" s="2595"/>
      <c r="AR72" s="2595"/>
      <c r="AS72" s="2595"/>
      <c r="AT72" s="2595"/>
      <c r="AU72" s="2595"/>
      <c r="AV72" s="2595"/>
      <c r="AW72" s="2595"/>
      <c r="AX72" s="2595"/>
      <c r="AY72" s="2595"/>
      <c r="AZ72" s="2595"/>
    </row>
    <row r="73" spans="1:52" ht="16.5" customHeight="1">
      <c r="A73" s="2757"/>
      <c r="B73" s="4105"/>
      <c r="C73" s="2992"/>
      <c r="D73" s="5342"/>
      <c r="E73" s="2993"/>
      <c r="F73" s="2993"/>
      <c r="G73" s="2993"/>
      <c r="H73" s="2993"/>
      <c r="I73" s="2993"/>
      <c r="J73" s="2993"/>
      <c r="K73" s="2993"/>
      <c r="L73" s="2993"/>
      <c r="M73" s="2993"/>
      <c r="N73" s="2993"/>
      <c r="O73" s="2993"/>
      <c r="P73" s="2993"/>
      <c r="Q73" s="2993"/>
      <c r="R73" s="2993"/>
      <c r="S73" s="2993"/>
      <c r="T73" s="4106"/>
      <c r="U73" s="4106"/>
      <c r="V73" s="4111"/>
      <c r="W73" s="2994"/>
      <c r="X73" s="2993"/>
      <c r="Y73" s="2993"/>
      <c r="Z73" s="2993"/>
      <c r="AA73" s="2993"/>
      <c r="AB73" s="2993"/>
      <c r="AC73" s="2993"/>
      <c r="AD73" s="2993"/>
      <c r="AE73" s="2993"/>
      <c r="AF73" s="2993"/>
      <c r="AG73" s="2990" t="str">
        <f>"Schedule 2 (Form 1040) "&amp;TaxYear</f>
        <v>Schedule 2 (Form 1040) 2021</v>
      </c>
      <c r="AH73" s="2757"/>
      <c r="AI73" s="1179"/>
      <c r="AJ73" s="385"/>
      <c r="AK73" s="385"/>
      <c r="AL73" s="4118"/>
      <c r="AM73" s="1286"/>
      <c r="AN73" s="5338"/>
      <c r="AO73" s="1286"/>
      <c r="AP73" s="3445"/>
      <c r="AQ73" s="2595"/>
      <c r="AR73" s="2595"/>
      <c r="AS73" s="2595"/>
      <c r="AT73" s="2595"/>
      <c r="AU73" s="2595"/>
      <c r="AV73" s="2595"/>
      <c r="AW73" s="2595"/>
      <c r="AX73" s="2595"/>
      <c r="AY73" s="2595"/>
      <c r="AZ73" s="2595"/>
    </row>
    <row r="74" spans="1:52">
      <c r="A74" s="2757"/>
      <c r="B74" s="2757"/>
      <c r="C74" s="2757"/>
      <c r="D74" s="2757"/>
      <c r="E74" s="2757"/>
      <c r="F74" s="2757"/>
      <c r="G74" s="2757"/>
      <c r="H74" s="2757"/>
      <c r="I74" s="2757"/>
      <c r="J74" s="2757"/>
      <c r="K74" s="2757"/>
      <c r="L74" s="2757"/>
      <c r="M74" s="2757"/>
      <c r="N74" s="2757"/>
      <c r="O74" s="2757"/>
      <c r="P74" s="2757"/>
      <c r="Q74" s="2757"/>
      <c r="R74" s="2757"/>
      <c r="S74" s="2757"/>
      <c r="T74" s="2757"/>
      <c r="U74" s="2757"/>
      <c r="V74" s="2757"/>
      <c r="W74" s="2757"/>
      <c r="X74" s="2757"/>
      <c r="Y74" s="2757"/>
      <c r="Z74" s="2757"/>
      <c r="AA74" s="2757"/>
      <c r="AB74" s="2757"/>
      <c r="AC74" s="2757"/>
      <c r="AD74" s="2757"/>
      <c r="AE74" s="2757"/>
      <c r="AF74" s="2757"/>
      <c r="AG74" s="2757"/>
      <c r="AH74" s="2757"/>
      <c r="AJ74" s="385"/>
      <c r="AK74" s="385"/>
      <c r="AL74" s="4118"/>
      <c r="AM74" s="1286"/>
      <c r="AN74" s="5338"/>
      <c r="AO74" s="1286"/>
      <c r="AP74" s="3445"/>
      <c r="AQ74" s="2595"/>
      <c r="AR74" s="2595"/>
      <c r="AS74" s="2595"/>
      <c r="AT74" s="2595"/>
      <c r="AU74" s="2595"/>
      <c r="AV74" s="2595"/>
      <c r="AW74" s="2595"/>
      <c r="AX74" s="2595"/>
      <c r="AY74" s="2595"/>
      <c r="AZ74" s="2595"/>
    </row>
    <row r="95" spans="2:2" ht="13.5" thickBot="1"/>
    <row r="96" spans="2:2">
      <c r="B96" s="5340" t="s">
        <v>3219</v>
      </c>
    </row>
  </sheetData>
  <sheetProtection algorithmName="SHA-512" hashValue="jIB4XrRkyA5G8KqLW9y05O8QJsH3tut33NYMI+ytgIybGYFGc/xgm3FIGE/PSInZiGNzYCdlzC1QMWUh3sMRbw==" saltValue="qWsZJyuOVTft3JtWNBZrcA==" spinCount="100000" sheet="1" objects="1" scenarios="1"/>
  <mergeCells count="94">
    <mergeCell ref="AC62:AG62"/>
    <mergeCell ref="AC64:AG64"/>
    <mergeCell ref="AC65:AG65"/>
    <mergeCell ref="AC67:AG67"/>
    <mergeCell ref="AC54:AG54"/>
    <mergeCell ref="AC55:AG55"/>
    <mergeCell ref="AC56:AG56"/>
    <mergeCell ref="AC58:AG58"/>
    <mergeCell ref="AC60:AG60"/>
    <mergeCell ref="AC45:AG45"/>
    <mergeCell ref="AC47:AG47"/>
    <mergeCell ref="AC49:AG49"/>
    <mergeCell ref="AC51:AG51"/>
    <mergeCell ref="AC53:AG53"/>
    <mergeCell ref="G39:T39"/>
    <mergeCell ref="AC39:AG39"/>
    <mergeCell ref="AC41:AG41"/>
    <mergeCell ref="AC42:AG42"/>
    <mergeCell ref="AC44:AG44"/>
    <mergeCell ref="W43:AA43"/>
    <mergeCell ref="W44:AA44"/>
    <mergeCell ref="AC22:AG22"/>
    <mergeCell ref="AC23:AG23"/>
    <mergeCell ref="W16:AA16"/>
    <mergeCell ref="W17:AA17"/>
    <mergeCell ref="B2:F3"/>
    <mergeCell ref="AB2:AG2"/>
    <mergeCell ref="AB3:AG4"/>
    <mergeCell ref="B4:F4"/>
    <mergeCell ref="B6:F6"/>
    <mergeCell ref="B5:F5"/>
    <mergeCell ref="AC5:AG5"/>
    <mergeCell ref="AC6:AG6"/>
    <mergeCell ref="W18:AA18"/>
    <mergeCell ref="W19:AA19"/>
    <mergeCell ref="AC20:AG20"/>
    <mergeCell ref="AC13:AG13"/>
    <mergeCell ref="B14:D14"/>
    <mergeCell ref="AC15:AG15"/>
    <mergeCell ref="AC16:AG16"/>
    <mergeCell ref="AC21:AG21"/>
    <mergeCell ref="AC12:AG12"/>
    <mergeCell ref="AC11:AG11"/>
    <mergeCell ref="AJ7:AJ9"/>
    <mergeCell ref="B8:AA9"/>
    <mergeCell ref="AB8:AG9"/>
    <mergeCell ref="B10:D10"/>
    <mergeCell ref="B36:D36"/>
    <mergeCell ref="AC24:AG24"/>
    <mergeCell ref="AC28:AG28"/>
    <mergeCell ref="AC32:AG32"/>
    <mergeCell ref="AC30:AG30"/>
    <mergeCell ref="AC27:AG27"/>
    <mergeCell ref="AC29:AG29"/>
    <mergeCell ref="AC31:AG31"/>
    <mergeCell ref="AC25:AG25"/>
    <mergeCell ref="AC26:AG26"/>
    <mergeCell ref="W48:AA48"/>
    <mergeCell ref="W49:AA49"/>
    <mergeCell ref="W50:AA50"/>
    <mergeCell ref="W51:AA51"/>
    <mergeCell ref="W52:AA52"/>
    <mergeCell ref="W45:AA45"/>
    <mergeCell ref="W46:AA46"/>
    <mergeCell ref="W47:AA47"/>
    <mergeCell ref="W38:AA38"/>
    <mergeCell ref="W39:AA39"/>
    <mergeCell ref="W40:AA40"/>
    <mergeCell ref="W41:AA41"/>
    <mergeCell ref="W42:AA42"/>
    <mergeCell ref="W60:AA60"/>
    <mergeCell ref="W61:AA61"/>
    <mergeCell ref="W62:AA62"/>
    <mergeCell ref="W53:AA53"/>
    <mergeCell ref="W54:AA54"/>
    <mergeCell ref="W55:AA55"/>
    <mergeCell ref="W56:AA56"/>
    <mergeCell ref="W57:AA57"/>
    <mergeCell ref="AJ40:AJ41"/>
    <mergeCell ref="O66:T66"/>
    <mergeCell ref="AJ66:AJ67"/>
    <mergeCell ref="AC72:AG72"/>
    <mergeCell ref="E67:T67"/>
    <mergeCell ref="AC69:AG69"/>
    <mergeCell ref="W70:AA70"/>
    <mergeCell ref="AC71:AG71"/>
    <mergeCell ref="AC68:AG68"/>
    <mergeCell ref="W63:AA63"/>
    <mergeCell ref="W64:AA64"/>
    <mergeCell ref="W65:AA65"/>
    <mergeCell ref="W66:AA66"/>
    <mergeCell ref="W67:AA67"/>
    <mergeCell ref="W58:AA58"/>
    <mergeCell ref="W59:AA59"/>
  </mergeCells>
  <conditionalFormatting sqref="B8 AB8">
    <cfRule type="expression" dxfId="2696" priority="152">
      <formula>NoColor</formula>
    </cfRule>
  </conditionalFormatting>
  <conditionalFormatting sqref="B4:G4">
    <cfRule type="expression" dxfId="2695" priority="122">
      <formula>NOT(Draft)</formula>
    </cfRule>
  </conditionalFormatting>
  <conditionalFormatting sqref="G39:T39">
    <cfRule type="expression" dxfId="2694" priority="2">
      <formula>NoColor</formula>
    </cfRule>
  </conditionalFormatting>
  <conditionalFormatting sqref="W16:AA19">
    <cfRule type="expression" dxfId="2693" priority="86">
      <formula>IF(NoColor,1,0)</formula>
    </cfRule>
  </conditionalFormatting>
  <conditionalFormatting sqref="W38:AA67">
    <cfRule type="expression" dxfId="2692" priority="1">
      <formula>IF(NoColor,1,0)</formula>
    </cfRule>
  </conditionalFormatting>
  <conditionalFormatting sqref="W70:AA70">
    <cfRule type="expression" dxfId="2691" priority="5">
      <formula>IF(NoColor,1,0)</formula>
    </cfRule>
  </conditionalFormatting>
  <conditionalFormatting sqref="AC27">
    <cfRule type="expression" dxfId="2690" priority="83">
      <formula>IF(NoColor,1,0)</formula>
    </cfRule>
  </conditionalFormatting>
  <conditionalFormatting sqref="AC29">
    <cfRule type="expression" dxfId="2689" priority="74">
      <formula>IF(NoColor,1,0)</formula>
    </cfRule>
  </conditionalFormatting>
  <conditionalFormatting sqref="AC31:AC32">
    <cfRule type="expression" dxfId="2688" priority="72">
      <formula>IF(NoColor,1,0)</formula>
    </cfRule>
  </conditionalFormatting>
  <conditionalFormatting sqref="AC37">
    <cfRule type="expression" dxfId="2687" priority="126">
      <formula>IF(NoColor,1,0)</formula>
    </cfRule>
  </conditionalFormatting>
  <conditionalFormatting sqref="AC72">
    <cfRule type="expression" dxfId="2686" priority="3">
      <formula>IF(NoColor,1,0)</formula>
    </cfRule>
  </conditionalFormatting>
  <conditionalFormatting sqref="AC11:AG13">
    <cfRule type="expression" dxfId="2685" priority="119">
      <formula>IF(NoColor,1,0)</formula>
    </cfRule>
  </conditionalFormatting>
  <conditionalFormatting sqref="AC15:AG26">
    <cfRule type="expression" dxfId="2684" priority="82">
      <formula>IF(NoColor,1,0)</formula>
    </cfRule>
  </conditionalFormatting>
  <conditionalFormatting sqref="AC28:AG28">
    <cfRule type="expression" dxfId="2683" priority="80">
      <formula>IF(NoColor,1,0)</formula>
    </cfRule>
  </conditionalFormatting>
  <conditionalFormatting sqref="AC30:AG30">
    <cfRule type="expression" dxfId="2682" priority="78">
      <formula>IF(NoColor,1,0)</formula>
    </cfRule>
  </conditionalFormatting>
  <conditionalFormatting sqref="AC68:AG69">
    <cfRule type="expression" dxfId="2681" priority="6">
      <formula>IF(NoColor,1,0)</formula>
    </cfRule>
  </conditionalFormatting>
  <conditionalFormatting sqref="AC71:AG71">
    <cfRule type="expression" dxfId="2680" priority="4">
      <formula>IF(NoColor,1,0)</formula>
    </cfRule>
  </conditionalFormatting>
  <pageMargins left="0.45" right="0.45" top="0.5" bottom="0.5" header="0" footer="0"/>
  <pageSetup scale="87" fitToHeight="0" orientation="portrait" r:id="rId1"/>
  <rowBreaks count="1" manualBreakCount="1">
    <brk id="34" min="1" max="32"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Z67"/>
  <sheetViews>
    <sheetView zoomScaleNormal="100" zoomScaleSheetLayoutView="130" workbookViewId="0">
      <selection activeCell="AJ11" sqref="AJ11"/>
    </sheetView>
  </sheetViews>
  <sheetFormatPr defaultColWidth="3.42578125" defaultRowHeight="12.75"/>
  <cols>
    <col min="1" max="1" width="3.42578125" style="42"/>
    <col min="2" max="2" width="4.7109375" style="42" customWidth="1"/>
    <col min="3" max="3" width="2.5703125" style="42" customWidth="1"/>
    <col min="4" max="5" width="3.85546875" style="42" customWidth="1"/>
    <col min="6" max="6" width="5.7109375" style="42" customWidth="1"/>
    <col min="7" max="18" width="3.42578125" style="42" customWidth="1"/>
    <col min="19" max="19" width="7.140625" style="42" customWidth="1"/>
    <col min="20" max="20" width="7.28515625" style="42" customWidth="1"/>
    <col min="21" max="21" width="1.140625" style="42" customWidth="1"/>
    <col min="22" max="22" width="4.7109375" style="42" customWidth="1"/>
    <col min="23" max="26" width="4.28515625" style="42" customWidth="1"/>
    <col min="27" max="27" width="2" style="42" customWidth="1"/>
    <col min="28" max="28" width="5.7109375" style="42" customWidth="1"/>
    <col min="29" max="33" width="3.85546875" style="42" customWidth="1"/>
    <col min="34" max="34" width="3.42578125" style="42"/>
    <col min="35" max="35" width="2.140625" style="42" customWidth="1"/>
    <col min="36" max="36" width="15" style="42" customWidth="1"/>
    <col min="37" max="37" width="2.5703125" style="42" customWidth="1"/>
    <col min="38" max="38" width="21.85546875" style="42" customWidth="1"/>
    <col min="39" max="39" width="6.28515625" style="42" customWidth="1"/>
    <col min="40" max="40" width="3.42578125" style="42"/>
    <col min="41" max="41" width="10.7109375" style="3013" customWidth="1"/>
    <col min="42" max="51" width="10.7109375" style="2595" customWidth="1"/>
    <col min="52" max="53" width="3.42578125" style="42"/>
    <col min="54" max="64" width="3.28515625" style="42" customWidth="1"/>
    <col min="65" max="16384" width="3.42578125" style="42"/>
  </cols>
  <sheetData>
    <row r="1" spans="1:51" ht="15">
      <c r="A1" s="2757"/>
      <c r="B1" s="2757"/>
      <c r="C1" s="2757"/>
      <c r="D1" s="2757"/>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I1" s="1276"/>
      <c r="AJ1" s="385"/>
      <c r="AO1" s="3012" t="s">
        <v>2033</v>
      </c>
    </row>
    <row r="2" spans="1:51" ht="12" customHeight="1">
      <c r="A2" s="2757"/>
      <c r="B2" s="6759" t="s">
        <v>4866</v>
      </c>
      <c r="C2" s="6760"/>
      <c r="D2" s="6760"/>
      <c r="E2" s="6760"/>
      <c r="F2" s="6761"/>
      <c r="G2" s="1179"/>
      <c r="H2" s="1179"/>
      <c r="I2" s="1179"/>
      <c r="J2" s="1179"/>
      <c r="K2" s="1179"/>
      <c r="L2" s="1179"/>
      <c r="M2" s="1179"/>
      <c r="N2" s="1179"/>
      <c r="O2" s="1179"/>
      <c r="P2" s="1179"/>
      <c r="Q2" s="1179"/>
      <c r="R2" s="1179"/>
      <c r="S2" s="1179"/>
      <c r="T2" s="1179"/>
      <c r="U2" s="1179"/>
      <c r="V2" s="1179"/>
      <c r="W2" s="1179"/>
      <c r="X2" s="1179"/>
      <c r="Y2" s="1179"/>
      <c r="Z2" s="1179"/>
      <c r="AA2" s="1179"/>
      <c r="AB2" s="6762" t="s">
        <v>152</v>
      </c>
      <c r="AC2" s="6763"/>
      <c r="AD2" s="6763"/>
      <c r="AE2" s="6763"/>
      <c r="AF2" s="6763"/>
      <c r="AG2" s="6763"/>
      <c r="AH2" s="2757"/>
      <c r="AI2" s="1276"/>
      <c r="AJ2" s="385"/>
    </row>
    <row r="3" spans="1:51" ht="16.5" customHeight="1">
      <c r="A3" s="2757"/>
      <c r="B3" s="6760"/>
      <c r="C3" s="6760"/>
      <c r="D3" s="6760"/>
      <c r="E3" s="6760"/>
      <c r="F3" s="6761"/>
      <c r="G3" s="5182" t="s">
        <v>3863</v>
      </c>
      <c r="H3" s="4161"/>
      <c r="I3" s="4161"/>
      <c r="J3" s="4161"/>
      <c r="K3" s="4161"/>
      <c r="L3" s="4161"/>
      <c r="M3" s="4161"/>
      <c r="N3" s="4161"/>
      <c r="O3" s="4161"/>
      <c r="P3" s="4161"/>
      <c r="Q3" s="4161"/>
      <c r="R3" s="4161"/>
      <c r="S3" s="4161"/>
      <c r="T3" s="4161"/>
      <c r="U3" s="4161"/>
      <c r="V3" s="4161"/>
      <c r="W3" s="4161"/>
      <c r="X3" s="4161"/>
      <c r="Y3" s="4161"/>
      <c r="Z3" s="4161"/>
      <c r="AA3" s="4162"/>
      <c r="AB3" s="6719">
        <f>TaxYear</f>
        <v>2021</v>
      </c>
      <c r="AC3" s="6720"/>
      <c r="AD3" s="6720"/>
      <c r="AE3" s="6720"/>
      <c r="AF3" s="6720"/>
      <c r="AG3" s="6720"/>
      <c r="AH3" s="2757"/>
      <c r="AI3" s="1276"/>
      <c r="AJ3" s="385"/>
    </row>
    <row r="4" spans="1:51" ht="14.25" customHeight="1">
      <c r="A4" s="2757"/>
      <c r="B4" s="6632"/>
      <c r="C4" s="6633"/>
      <c r="D4" s="6633"/>
      <c r="E4" s="6633"/>
      <c r="F4" s="6634"/>
      <c r="G4" s="3007"/>
      <c r="H4" s="1179"/>
      <c r="I4" s="1179"/>
      <c r="J4" s="1179"/>
      <c r="K4" s="1179"/>
      <c r="L4" s="1179"/>
      <c r="M4" s="1179"/>
      <c r="N4" s="1179"/>
      <c r="O4" s="1179"/>
      <c r="P4" s="1179"/>
      <c r="Q4" s="1179"/>
      <c r="R4" s="1179"/>
      <c r="S4" s="1179"/>
      <c r="T4" s="1179"/>
      <c r="U4" s="1179"/>
      <c r="V4" s="1179"/>
      <c r="W4" s="1179"/>
      <c r="X4" s="1179"/>
      <c r="Y4" s="1179"/>
      <c r="Z4" s="1179"/>
      <c r="AA4" s="1179"/>
      <c r="AB4" s="6721"/>
      <c r="AC4" s="6618"/>
      <c r="AD4" s="6618"/>
      <c r="AE4" s="6618"/>
      <c r="AF4" s="6618"/>
      <c r="AG4" s="6618"/>
      <c r="AH4" s="2757"/>
      <c r="AI4" s="1276"/>
      <c r="AJ4" s="385"/>
    </row>
    <row r="5" spans="1:51" ht="14.25" customHeight="1">
      <c r="A5" s="2757"/>
      <c r="B5" s="6641" t="s">
        <v>176</v>
      </c>
      <c r="C5" s="6641"/>
      <c r="D5" s="6641"/>
      <c r="E5" s="6641"/>
      <c r="F5" s="6642"/>
      <c r="G5" s="1278"/>
      <c r="H5" s="1179"/>
      <c r="I5" s="1179"/>
      <c r="J5" s="1179"/>
      <c r="K5" s="1179"/>
      <c r="L5" s="1179"/>
      <c r="M5" s="1283"/>
      <c r="N5" s="1283"/>
      <c r="O5" s="1283"/>
      <c r="P5" s="1283"/>
      <c r="Q5" s="1824" t="s">
        <v>3286</v>
      </c>
      <c r="R5" s="1179"/>
      <c r="S5" s="1179"/>
      <c r="T5" s="1179"/>
      <c r="U5" s="1179"/>
      <c r="V5" s="1179"/>
      <c r="W5" s="1179"/>
      <c r="X5" s="1179"/>
      <c r="Y5" s="1179"/>
      <c r="Z5" s="1179"/>
      <c r="AA5" s="1179"/>
      <c r="AB5" s="2999"/>
      <c r="AC5" s="6624" t="s">
        <v>2587</v>
      </c>
      <c r="AD5" s="6764"/>
      <c r="AE5" s="6764"/>
      <c r="AF5" s="6764"/>
      <c r="AG5" s="6764"/>
      <c r="AH5" s="2757"/>
      <c r="AI5" s="1276"/>
      <c r="AJ5" s="385"/>
    </row>
    <row r="6" spans="1:51" ht="13.5" thickBot="1">
      <c r="A6" s="2757"/>
      <c r="B6" s="6766" t="s">
        <v>395</v>
      </c>
      <c r="C6" s="6766"/>
      <c r="D6" s="6766"/>
      <c r="E6" s="6766"/>
      <c r="F6" s="6767"/>
      <c r="G6" s="3016" t="s">
        <v>2299</v>
      </c>
      <c r="H6" s="3017"/>
      <c r="I6" s="3016"/>
      <c r="J6" s="3018"/>
      <c r="K6" s="3017"/>
      <c r="L6" s="3017"/>
      <c r="M6" s="3017"/>
      <c r="N6" s="3017"/>
      <c r="O6" s="3017"/>
      <c r="P6" s="3017"/>
      <c r="Q6" s="3017"/>
      <c r="R6" s="3017"/>
      <c r="S6" s="3017"/>
      <c r="T6" s="3017"/>
      <c r="U6" s="3017"/>
      <c r="V6" s="3017"/>
      <c r="W6" s="3017"/>
      <c r="X6" s="3017"/>
      <c r="Y6" s="3017"/>
      <c r="Z6" s="3017"/>
      <c r="AA6" s="3017"/>
      <c r="AB6" s="3000"/>
      <c r="AC6" s="6765"/>
      <c r="AD6" s="6765"/>
      <c r="AE6" s="6765"/>
      <c r="AF6" s="6765"/>
      <c r="AG6" s="6765"/>
      <c r="AH6" s="2757"/>
      <c r="AI6" s="1276"/>
      <c r="AJ6" s="385"/>
      <c r="AL6" s="1286"/>
    </row>
    <row r="7" spans="1:51">
      <c r="A7" s="2757"/>
      <c r="B7" s="1262" t="s">
        <v>3951</v>
      </c>
      <c r="C7" s="1179"/>
      <c r="D7" s="1179"/>
      <c r="E7" s="1179"/>
      <c r="F7" s="1179"/>
      <c r="G7" s="1179"/>
      <c r="H7" s="1179"/>
      <c r="I7" s="1179"/>
      <c r="J7" s="1179"/>
      <c r="K7" s="1179"/>
      <c r="L7" s="1179"/>
      <c r="M7" s="1179"/>
      <c r="N7" s="1179"/>
      <c r="O7" s="1179"/>
      <c r="P7" s="1179"/>
      <c r="Q7" s="1179"/>
      <c r="R7" s="1179"/>
      <c r="S7" s="1179"/>
      <c r="T7" s="1179"/>
      <c r="U7" s="1179"/>
      <c r="V7" s="1179"/>
      <c r="W7" s="1179"/>
      <c r="X7" s="1179"/>
      <c r="Y7" s="1179"/>
      <c r="Z7" s="1179"/>
      <c r="AA7" s="1179"/>
      <c r="AB7" s="3011" t="s">
        <v>89</v>
      </c>
      <c r="AC7" s="1274"/>
      <c r="AD7" s="1274"/>
      <c r="AE7" s="1274"/>
      <c r="AF7" s="1274"/>
      <c r="AG7" s="1274"/>
      <c r="AH7" s="2757"/>
      <c r="AI7" s="1276"/>
      <c r="AJ7" s="6647" t="s">
        <v>1736</v>
      </c>
      <c r="AL7" s="2387" t="b">
        <f>AND(ForeignTaxPaid&lt;&gt;"",ForeignTaxPaid&gt;0,ForeignTaxPaid_F1116=0)</f>
        <v>0</v>
      </c>
    </row>
    <row r="8" spans="1:51" ht="9.75" customHeight="1">
      <c r="A8" s="2757"/>
      <c r="B8" s="6635" t="str">
        <f>Names</f>
        <v/>
      </c>
      <c r="C8" s="6636"/>
      <c r="D8" s="6636"/>
      <c r="E8" s="6636"/>
      <c r="F8" s="6636"/>
      <c r="G8" s="6636"/>
      <c r="H8" s="6636"/>
      <c r="I8" s="6636"/>
      <c r="J8" s="6636"/>
      <c r="K8" s="6636"/>
      <c r="L8" s="6636"/>
      <c r="M8" s="6636"/>
      <c r="N8" s="6636"/>
      <c r="O8" s="6636"/>
      <c r="P8" s="6636"/>
      <c r="Q8" s="6636"/>
      <c r="R8" s="6636"/>
      <c r="S8" s="6636"/>
      <c r="T8" s="6636"/>
      <c r="U8" s="6636"/>
      <c r="V8" s="6636"/>
      <c r="W8" s="6636"/>
      <c r="X8" s="6636"/>
      <c r="Y8" s="6636"/>
      <c r="Z8" s="6636"/>
      <c r="AA8" s="6637"/>
      <c r="AB8" s="6617">
        <f>IF(NoSSN,"",SS_Yours)</f>
        <v>1010001</v>
      </c>
      <c r="AC8" s="6618"/>
      <c r="AD8" s="6618"/>
      <c r="AE8" s="6618"/>
      <c r="AF8" s="6618"/>
      <c r="AG8" s="6618"/>
      <c r="AH8" s="2757"/>
      <c r="AI8" s="1276"/>
      <c r="AJ8" s="6648"/>
    </row>
    <row r="9" spans="1:51" ht="9.75" customHeight="1">
      <c r="A9" s="2757"/>
      <c r="B9" s="6290"/>
      <c r="C9" s="6290"/>
      <c r="D9" s="6290"/>
      <c r="E9" s="6290"/>
      <c r="F9" s="6290"/>
      <c r="G9" s="6290"/>
      <c r="H9" s="6290"/>
      <c r="I9" s="6290"/>
      <c r="J9" s="6290"/>
      <c r="K9" s="6290"/>
      <c r="L9" s="6290"/>
      <c r="M9" s="6290"/>
      <c r="N9" s="6290"/>
      <c r="O9" s="6290"/>
      <c r="P9" s="6290"/>
      <c r="Q9" s="6290"/>
      <c r="R9" s="6290"/>
      <c r="S9" s="6290"/>
      <c r="T9" s="6290"/>
      <c r="U9" s="6290"/>
      <c r="V9" s="6290"/>
      <c r="W9" s="6290"/>
      <c r="X9" s="6290"/>
      <c r="Y9" s="6290"/>
      <c r="Z9" s="6290"/>
      <c r="AA9" s="6638"/>
      <c r="AB9" s="6619"/>
      <c r="AC9" s="6616"/>
      <c r="AD9" s="6616"/>
      <c r="AE9" s="6616"/>
      <c r="AF9" s="6616"/>
      <c r="AG9" s="6616"/>
      <c r="AH9" s="2757"/>
      <c r="AI9" s="1276"/>
      <c r="AJ9" s="6649"/>
    </row>
    <row r="10" spans="1:51" ht="23.25" customHeight="1">
      <c r="A10" s="2757"/>
      <c r="B10" s="6769" t="s">
        <v>51</v>
      </c>
      <c r="C10" s="6770"/>
      <c r="D10" s="6771"/>
      <c r="E10" s="3092"/>
      <c r="F10" s="4609" t="s">
        <v>2311</v>
      </c>
      <c r="G10" s="3092"/>
      <c r="H10" s="3092"/>
      <c r="I10" s="3092"/>
      <c r="J10" s="3092"/>
      <c r="K10" s="3092"/>
      <c r="L10" s="1554"/>
      <c r="M10" s="1554"/>
      <c r="N10" s="1554"/>
      <c r="O10" s="1554"/>
      <c r="P10" s="1554"/>
      <c r="Q10" s="1554"/>
      <c r="R10" s="1554"/>
      <c r="S10" s="1554"/>
      <c r="T10" s="1554"/>
      <c r="U10" s="1554"/>
      <c r="V10" s="1554"/>
      <c r="W10" s="1554"/>
      <c r="X10" s="1554"/>
      <c r="Y10" s="1554"/>
      <c r="Z10" s="1554"/>
      <c r="AA10" s="1554"/>
      <c r="AB10" s="1554"/>
      <c r="AC10" s="1554"/>
      <c r="AD10" s="1554"/>
      <c r="AE10" s="1554"/>
      <c r="AF10" s="1554"/>
      <c r="AG10" s="1554"/>
      <c r="AH10" s="2757"/>
      <c r="AI10" s="1179"/>
      <c r="AJ10" s="385"/>
      <c r="AL10" s="6758" t="str">
        <f>IF(AL7,"See"&amp;CHAR(10)&amp;"Form 1116, Foreign Tax Credit,"&amp;CHAR(10)&amp;"to determine if the form"&amp;CHAR(10)&amp;"needs to be filed.","")</f>
        <v/>
      </c>
      <c r="AM10" s="6758"/>
      <c r="AO10" s="2595"/>
      <c r="AQ10" s="3013"/>
      <c r="AR10" s="3013"/>
      <c r="AS10" s="3013"/>
      <c r="AT10" s="3013"/>
      <c r="AU10" s="3013"/>
      <c r="AV10" s="3013"/>
      <c r="AW10" s="3013"/>
      <c r="AX10" s="3013"/>
      <c r="AY10" s="3013"/>
    </row>
    <row r="11" spans="1:51" ht="20.25" customHeight="1">
      <c r="A11" s="2757"/>
      <c r="B11" s="1813">
        <v>1</v>
      </c>
      <c r="C11" s="2772"/>
      <c r="D11" s="1540" t="s">
        <v>2313</v>
      </c>
      <c r="E11" s="1276"/>
      <c r="F11" s="1179"/>
      <c r="G11" s="1179"/>
      <c r="H11" s="1179"/>
      <c r="I11" s="1179"/>
      <c r="J11" s="1179"/>
      <c r="K11" s="1179"/>
      <c r="L11" s="1179"/>
      <c r="M11" s="1179"/>
      <c r="N11" s="1179"/>
      <c r="O11" s="1179"/>
      <c r="P11" s="1179"/>
      <c r="Q11" s="1179"/>
      <c r="R11" s="2703"/>
      <c r="S11" s="2701"/>
      <c r="T11" s="1179"/>
      <c r="U11" s="1179"/>
      <c r="V11" s="1179"/>
      <c r="W11" s="1179"/>
      <c r="X11" s="1179"/>
      <c r="Y11" s="1179"/>
      <c r="Z11" s="1179"/>
      <c r="AA11" s="1560" t="s">
        <v>2027</v>
      </c>
      <c r="AB11" s="4602">
        <v>1</v>
      </c>
      <c r="AC11" s="6643">
        <f>IF(OR(ForeignTaxPaid&gt;0,AJ11&lt;&gt;""),AC12,"")</f>
        <v>0</v>
      </c>
      <c r="AD11" s="6768"/>
      <c r="AE11" s="6768"/>
      <c r="AF11" s="6768"/>
      <c r="AG11" s="6768"/>
      <c r="AH11" s="2757"/>
      <c r="AI11" s="1276"/>
      <c r="AJ11" s="5807"/>
      <c r="AL11" s="6758"/>
      <c r="AM11" s="6758"/>
    </row>
    <row r="12" spans="1:51" ht="20.25" customHeight="1">
      <c r="A12" s="2757"/>
      <c r="B12" s="1813">
        <v>2</v>
      </c>
      <c r="C12" s="2772"/>
      <c r="D12" s="1540" t="s">
        <v>4815</v>
      </c>
      <c r="E12" s="1276"/>
      <c r="F12" s="1179"/>
      <c r="G12" s="1179"/>
      <c r="H12" s="1179"/>
      <c r="I12" s="1179"/>
      <c r="J12" s="1179"/>
      <c r="K12" s="1179"/>
      <c r="L12" s="1179"/>
      <c r="M12" s="1179"/>
      <c r="N12" s="1179"/>
      <c r="O12" s="1179"/>
      <c r="P12" s="1179"/>
      <c r="Q12" s="1179"/>
      <c r="R12" s="2703"/>
      <c r="S12" s="2701"/>
      <c r="T12" s="1179"/>
      <c r="U12" s="1179"/>
      <c r="V12" s="1179"/>
      <c r="W12" s="1179"/>
      <c r="X12" s="1179"/>
      <c r="Y12" s="1179"/>
      <c r="Z12" s="1179"/>
      <c r="AA12" s="1560"/>
      <c r="AB12" s="4606"/>
      <c r="AC12" s="6772">
        <f>IF(AJ11&lt;&gt;"",ROUND(AJ11,0),IF(ForeignTaxPaid&gt;0,SUM(ForeignTaxCredit_1,ForeignTaxCredit_2,ForeignTaxCredit_3),0))</f>
        <v>0</v>
      </c>
      <c r="AD12" s="6773"/>
      <c r="AE12" s="6773"/>
      <c r="AF12" s="6773"/>
      <c r="AG12" s="6773"/>
      <c r="AH12" s="2757"/>
      <c r="AI12" s="1276"/>
      <c r="AJ12" s="385"/>
      <c r="AL12" s="6758"/>
      <c r="AM12" s="6758"/>
    </row>
    <row r="13" spans="1:51" ht="20.25" customHeight="1">
      <c r="A13" s="2757"/>
      <c r="B13" s="1813"/>
      <c r="C13" s="2772"/>
      <c r="D13" s="1540" t="s">
        <v>4816</v>
      </c>
      <c r="E13" s="1179"/>
      <c r="F13" s="1179"/>
      <c r="G13" s="1179"/>
      <c r="H13" s="1179"/>
      <c r="I13" s="1179"/>
      <c r="J13" s="1179"/>
      <c r="K13" s="1179"/>
      <c r="L13" s="1179"/>
      <c r="M13" s="1179"/>
      <c r="N13" s="1179"/>
      <c r="O13" s="1179"/>
      <c r="P13" s="1179"/>
      <c r="Q13" s="1179"/>
      <c r="R13" s="2703"/>
      <c r="S13" s="2701"/>
      <c r="T13" s="1179"/>
      <c r="U13" s="1179"/>
      <c r="V13" s="1179"/>
      <c r="W13" s="1179"/>
      <c r="X13" s="1179"/>
      <c r="Y13" s="1179"/>
      <c r="Z13" s="1179"/>
      <c r="AA13" s="1560" t="s">
        <v>562</v>
      </c>
      <c r="AB13" s="4605">
        <v>2</v>
      </c>
      <c r="AC13" s="6643" t="str">
        <f>IF(AJ13&lt;&gt;"",ROUND(AJ13,0),F2441_NonRefund)</f>
        <v/>
      </c>
      <c r="AD13" s="6768"/>
      <c r="AE13" s="6768"/>
      <c r="AF13" s="6768"/>
      <c r="AG13" s="6768"/>
      <c r="AH13" s="2757"/>
      <c r="AI13" s="1276"/>
      <c r="AJ13" s="5807"/>
      <c r="AL13" s="5166"/>
      <c r="AM13" s="5166"/>
    </row>
    <row r="14" spans="1:51" ht="20.25" customHeight="1">
      <c r="A14" s="2757"/>
      <c r="B14" s="1813">
        <v>3</v>
      </c>
      <c r="C14" s="2772"/>
      <c r="D14" s="3080" t="s">
        <v>742</v>
      </c>
      <c r="E14" s="1276"/>
      <c r="F14" s="1179"/>
      <c r="G14" s="1179"/>
      <c r="H14" s="1179"/>
      <c r="I14" s="1179"/>
      <c r="J14" s="1179"/>
      <c r="K14" s="1179"/>
      <c r="L14" s="1179"/>
      <c r="M14" s="1179"/>
      <c r="N14" s="1179"/>
      <c r="O14" s="1179"/>
      <c r="P14" s="1179"/>
      <c r="Q14" s="1179"/>
      <c r="R14" s="2703"/>
      <c r="S14" s="2701"/>
      <c r="T14" s="1179"/>
      <c r="U14" s="1179"/>
      <c r="V14" s="1179"/>
      <c r="W14" s="1179"/>
      <c r="X14" s="1179"/>
      <c r="Y14" s="1179"/>
      <c r="Z14" s="1179"/>
      <c r="AA14" s="1560" t="s">
        <v>2576</v>
      </c>
      <c r="AB14" s="4603">
        <v>3</v>
      </c>
      <c r="AC14" s="6573" t="str">
        <f>IF(AJ14&lt;&gt;"",ROUND(AJ14,0),EducationCredits_NR)</f>
        <v/>
      </c>
      <c r="AD14" s="6734"/>
      <c r="AE14" s="6734"/>
      <c r="AF14" s="6734"/>
      <c r="AG14" s="6734"/>
      <c r="AH14" s="2757"/>
      <c r="AI14" s="1276"/>
      <c r="AJ14" s="5807"/>
      <c r="AL14" s="5166"/>
      <c r="AM14" s="5166"/>
    </row>
    <row r="15" spans="1:51" ht="20.25" customHeight="1">
      <c r="A15" s="2757"/>
      <c r="B15" s="1813">
        <v>4</v>
      </c>
      <c r="C15" s="2772"/>
      <c r="D15" s="1540" t="s">
        <v>2312</v>
      </c>
      <c r="E15" s="1179"/>
      <c r="F15" s="1179"/>
      <c r="G15" s="1179"/>
      <c r="H15" s="1179"/>
      <c r="I15" s="1179"/>
      <c r="J15" s="1179"/>
      <c r="K15" s="1179"/>
      <c r="L15" s="1179"/>
      <c r="M15" s="1179"/>
      <c r="N15" s="1179"/>
      <c r="O15" s="1179"/>
      <c r="P15" s="1179"/>
      <c r="Q15" s="1179"/>
      <c r="R15" s="2703"/>
      <c r="S15" s="2701"/>
      <c r="T15" s="1179"/>
      <c r="U15" s="1179"/>
      <c r="V15" s="1179"/>
      <c r="W15" s="1179"/>
      <c r="X15" s="1179"/>
      <c r="Y15" s="1179"/>
      <c r="Z15" s="1179"/>
      <c r="AA15" s="1560" t="s">
        <v>1055</v>
      </c>
      <c r="AB15" s="4603">
        <v>4</v>
      </c>
      <c r="AC15" s="6626" t="str">
        <f>IF(AJ15&lt;&gt;"",ROUND(AJ15,0),F8880_Credit)</f>
        <v/>
      </c>
      <c r="AD15" s="6627"/>
      <c r="AE15" s="6627"/>
      <c r="AF15" s="6627"/>
      <c r="AG15" s="6627"/>
      <c r="AH15" s="2757"/>
      <c r="AI15" s="1276"/>
      <c r="AJ15" s="5807"/>
      <c r="AL15" s="3381">
        <f>IF(Retirement_Savings="",0,ROUND(Retirement_Savings,0))</f>
        <v>0</v>
      </c>
    </row>
    <row r="16" spans="1:51" ht="20.25" customHeight="1">
      <c r="A16" s="2757"/>
      <c r="B16" s="1813">
        <v>5</v>
      </c>
      <c r="C16" s="2772"/>
      <c r="D16" s="1540" t="s">
        <v>2314</v>
      </c>
      <c r="E16" s="1179"/>
      <c r="F16" s="1179"/>
      <c r="G16" s="1179"/>
      <c r="H16" s="1179"/>
      <c r="I16" s="1179"/>
      <c r="J16" s="1179"/>
      <c r="K16" s="1179"/>
      <c r="L16" s="1179"/>
      <c r="M16" s="1179"/>
      <c r="N16" s="1179"/>
      <c r="O16" s="1179"/>
      <c r="P16" s="1179"/>
      <c r="Q16" s="1179"/>
      <c r="R16" s="2703"/>
      <c r="S16" s="2701"/>
      <c r="T16" s="1179"/>
      <c r="U16" s="1179"/>
      <c r="V16" s="1179"/>
      <c r="W16" s="1179"/>
      <c r="X16" s="1179"/>
      <c r="Y16" s="1179"/>
      <c r="Z16" s="1179"/>
      <c r="AA16" s="1560" t="s">
        <v>2027</v>
      </c>
      <c r="AB16" s="4603">
        <v>5</v>
      </c>
      <c r="AC16" s="6575"/>
      <c r="AD16" s="6576"/>
      <c r="AE16" s="6576"/>
      <c r="AF16" s="6576"/>
      <c r="AG16" s="6576"/>
      <c r="AH16" s="2757"/>
      <c r="AI16" s="1276"/>
      <c r="AJ16" s="385"/>
      <c r="AL16" s="3381">
        <f>IF(AC16="",0,ROUND(AC16,0))</f>
        <v>0</v>
      </c>
    </row>
    <row r="17" spans="1:38" ht="20.25" customHeight="1">
      <c r="A17" s="2757"/>
      <c r="B17" s="1813">
        <v>6</v>
      </c>
      <c r="C17" s="2772"/>
      <c r="D17" s="1540" t="s">
        <v>4817</v>
      </c>
      <c r="E17" s="1179"/>
      <c r="F17" s="1179"/>
      <c r="G17" s="1179"/>
      <c r="H17" s="1179"/>
      <c r="I17" s="1179"/>
      <c r="J17" s="1179"/>
      <c r="K17" s="1179"/>
      <c r="L17" s="1179"/>
      <c r="M17" s="1179"/>
      <c r="N17" s="1179"/>
      <c r="O17" s="1179"/>
      <c r="P17" s="1179"/>
      <c r="Q17" s="1179"/>
      <c r="R17" s="1179"/>
      <c r="S17" s="1179"/>
      <c r="T17" s="1179"/>
      <c r="U17" s="1179"/>
      <c r="V17" s="1558"/>
      <c r="W17" s="6750"/>
      <c r="X17" s="6751"/>
      <c r="Y17" s="6751"/>
      <c r="Z17" s="6751"/>
      <c r="AA17" s="6752"/>
      <c r="AB17" s="3037"/>
      <c r="AC17" s="6744"/>
      <c r="AD17" s="6745"/>
      <c r="AE17" s="6745"/>
      <c r="AF17" s="6745"/>
      <c r="AG17" s="6745"/>
      <c r="AH17" s="2757"/>
      <c r="AI17" s="1276"/>
      <c r="AJ17" s="385"/>
      <c r="AL17" s="3381"/>
    </row>
    <row r="18" spans="1:38" ht="20.25" customHeight="1">
      <c r="A18" s="2757"/>
      <c r="B18" s="1813"/>
      <c r="C18" s="2408" t="s">
        <v>33</v>
      </c>
      <c r="D18" s="1540" t="s">
        <v>4818</v>
      </c>
      <c r="E18" s="1179"/>
      <c r="F18" s="1179"/>
      <c r="G18" s="1179"/>
      <c r="H18" s="1179"/>
      <c r="I18" s="1179"/>
      <c r="J18" s="1179"/>
      <c r="K18" s="1179"/>
      <c r="L18" s="1179"/>
      <c r="M18" s="1179"/>
      <c r="N18" s="1179"/>
      <c r="O18" s="1179"/>
      <c r="P18" s="1179"/>
      <c r="Q18" s="1179"/>
      <c r="R18" s="1179"/>
      <c r="S18" s="1179"/>
      <c r="T18" s="1179"/>
      <c r="U18" s="1560" t="s">
        <v>4862</v>
      </c>
      <c r="V18" s="4605" t="s">
        <v>430</v>
      </c>
      <c r="W18" s="6708"/>
      <c r="X18" s="6659"/>
      <c r="Y18" s="6659"/>
      <c r="Z18" s="6659"/>
      <c r="AA18" s="6737"/>
      <c r="AB18" s="3037"/>
      <c r="AC18" s="6735" t="str">
        <f>IF(W18="","",ROUND(W18,0))</f>
        <v/>
      </c>
      <c r="AD18" s="6736"/>
      <c r="AE18" s="6736"/>
      <c r="AF18" s="6736"/>
      <c r="AG18" s="6736"/>
      <c r="AH18" s="2757"/>
      <c r="AI18" s="1276"/>
      <c r="AJ18" s="385"/>
      <c r="AL18" s="3381"/>
    </row>
    <row r="19" spans="1:38" ht="20.25" customHeight="1">
      <c r="A19" s="2757"/>
      <c r="B19" s="1813"/>
      <c r="C19" s="2408" t="s">
        <v>47</v>
      </c>
      <c r="D19" s="1540" t="s">
        <v>4819</v>
      </c>
      <c r="E19" s="1179"/>
      <c r="F19" s="1179"/>
      <c r="G19" s="1179"/>
      <c r="H19" s="1179"/>
      <c r="I19" s="1179"/>
      <c r="J19" s="1179"/>
      <c r="K19" s="1179"/>
      <c r="L19" s="1179"/>
      <c r="M19" s="1179"/>
      <c r="N19" s="1179"/>
      <c r="O19" s="1179"/>
      <c r="P19" s="1179"/>
      <c r="Q19" s="1179"/>
      <c r="R19" s="1179"/>
      <c r="S19" s="1179"/>
      <c r="T19" s="1179"/>
      <c r="U19" s="1560" t="s">
        <v>3994</v>
      </c>
      <c r="V19" s="4605" t="s">
        <v>940</v>
      </c>
      <c r="W19" s="6708"/>
      <c r="X19" s="6659"/>
      <c r="Y19" s="6659"/>
      <c r="Z19" s="6659"/>
      <c r="AA19" s="6737"/>
      <c r="AB19" s="3037"/>
      <c r="AC19" s="6735" t="str">
        <f t="shared" ref="AC19:AC29" si="0">IF(W19="","",ROUND(W19,0))</f>
        <v/>
      </c>
      <c r="AD19" s="6736"/>
      <c r="AE19" s="6736"/>
      <c r="AF19" s="6736"/>
      <c r="AG19" s="6736"/>
      <c r="AH19" s="2757"/>
      <c r="AI19" s="1276"/>
      <c r="AJ19" s="385"/>
      <c r="AL19" s="3381"/>
    </row>
    <row r="20" spans="1:38" ht="20.25" customHeight="1">
      <c r="A20" s="2757"/>
      <c r="B20" s="1813"/>
      <c r="C20" s="2408" t="s">
        <v>48</v>
      </c>
      <c r="D20" s="1540" t="s">
        <v>4820</v>
      </c>
      <c r="E20" s="1179"/>
      <c r="F20" s="1179"/>
      <c r="G20" s="1179"/>
      <c r="H20" s="1179"/>
      <c r="I20" s="1179"/>
      <c r="J20" s="1179"/>
      <c r="K20" s="1179"/>
      <c r="L20" s="1179"/>
      <c r="M20" s="1179"/>
      <c r="N20" s="1179"/>
      <c r="O20" s="1179"/>
      <c r="P20" s="1179"/>
      <c r="Q20" s="1179"/>
      <c r="R20" s="1179"/>
      <c r="S20" s="1179"/>
      <c r="T20" s="1179"/>
      <c r="U20" s="1560" t="s">
        <v>1048</v>
      </c>
      <c r="V20" s="4605" t="s">
        <v>4832</v>
      </c>
      <c r="W20" s="6708"/>
      <c r="X20" s="6659"/>
      <c r="Y20" s="6659"/>
      <c r="Z20" s="6659"/>
      <c r="AA20" s="6737"/>
      <c r="AB20" s="3037"/>
      <c r="AC20" s="6735" t="str">
        <f t="shared" si="0"/>
        <v/>
      </c>
      <c r="AD20" s="6736"/>
      <c r="AE20" s="6736"/>
      <c r="AF20" s="6736"/>
      <c r="AG20" s="6736"/>
      <c r="AH20" s="2757"/>
      <c r="AI20" s="1276"/>
      <c r="AJ20" s="385"/>
      <c r="AL20" s="3381"/>
    </row>
    <row r="21" spans="1:38" ht="20.25" customHeight="1">
      <c r="A21" s="2757"/>
      <c r="B21" s="1813"/>
      <c r="C21" s="2408" t="s">
        <v>92</v>
      </c>
      <c r="D21" s="1540" t="s">
        <v>4821</v>
      </c>
      <c r="E21" s="1179"/>
      <c r="F21" s="1179"/>
      <c r="G21" s="1179"/>
      <c r="H21" s="1179"/>
      <c r="I21" s="1179"/>
      <c r="J21" s="1179"/>
      <c r="K21" s="1179"/>
      <c r="L21" s="1179"/>
      <c r="M21" s="1179"/>
      <c r="N21" s="1179"/>
      <c r="O21" s="1179"/>
      <c r="P21" s="1179"/>
      <c r="Q21" s="1179"/>
      <c r="R21" s="1179"/>
      <c r="S21" s="1179"/>
      <c r="T21" s="1179"/>
      <c r="U21" s="1560" t="s">
        <v>3994</v>
      </c>
      <c r="V21" s="4605" t="s">
        <v>941</v>
      </c>
      <c r="W21" s="6747" t="str">
        <f>IF(AJ21&lt;&gt;"",ROUND(AJ21,0),SchR_Line22)</f>
        <v/>
      </c>
      <c r="X21" s="6748"/>
      <c r="Y21" s="6748"/>
      <c r="Z21" s="6748"/>
      <c r="AA21" s="6749"/>
      <c r="AB21" s="3037"/>
      <c r="AC21" s="6735" t="str">
        <f t="shared" si="0"/>
        <v/>
      </c>
      <c r="AD21" s="6736"/>
      <c r="AE21" s="6736"/>
      <c r="AF21" s="6736"/>
      <c r="AG21" s="6736"/>
      <c r="AH21" s="2757"/>
      <c r="AI21" s="1276"/>
      <c r="AJ21" s="5807"/>
      <c r="AL21" s="3381"/>
    </row>
    <row r="22" spans="1:38" ht="20.25" customHeight="1">
      <c r="A22" s="2757"/>
      <c r="B22" s="1813"/>
      <c r="C22" s="2408" t="s">
        <v>964</v>
      </c>
      <c r="D22" s="1540" t="s">
        <v>4822</v>
      </c>
      <c r="E22" s="1179"/>
      <c r="F22" s="1179"/>
      <c r="G22" s="1179"/>
      <c r="H22" s="1179"/>
      <c r="I22" s="1179"/>
      <c r="J22" s="1179"/>
      <c r="K22" s="1179"/>
      <c r="L22" s="1179"/>
      <c r="M22" s="1179"/>
      <c r="N22" s="1179"/>
      <c r="O22" s="1179"/>
      <c r="P22" s="1179"/>
      <c r="Q22" s="1179"/>
      <c r="R22" s="1179"/>
      <c r="S22" s="1179"/>
      <c r="T22" s="1179"/>
      <c r="U22" s="1560" t="s">
        <v>4111</v>
      </c>
      <c r="V22" s="4605" t="s">
        <v>4833</v>
      </c>
      <c r="W22" s="6708"/>
      <c r="X22" s="6659"/>
      <c r="Y22" s="6659"/>
      <c r="Z22" s="6659"/>
      <c r="AA22" s="6737"/>
      <c r="AB22" s="3037"/>
      <c r="AC22" s="6735" t="str">
        <f t="shared" si="0"/>
        <v/>
      </c>
      <c r="AD22" s="6736"/>
      <c r="AE22" s="6736"/>
      <c r="AF22" s="6736"/>
      <c r="AG22" s="6736"/>
      <c r="AH22" s="2757"/>
      <c r="AI22" s="1276"/>
      <c r="AJ22" s="385"/>
      <c r="AL22" s="3381"/>
    </row>
    <row r="23" spans="1:38" ht="20.25" customHeight="1">
      <c r="A23" s="2757"/>
      <c r="B23" s="1813"/>
      <c r="C23" s="2408" t="s">
        <v>965</v>
      </c>
      <c r="D23" s="1540" t="s">
        <v>4823</v>
      </c>
      <c r="E23" s="1179"/>
      <c r="F23" s="1179"/>
      <c r="G23" s="1179"/>
      <c r="H23" s="1179"/>
      <c r="I23" s="1179"/>
      <c r="J23" s="1179"/>
      <c r="K23" s="1179"/>
      <c r="L23" s="1179"/>
      <c r="M23" s="1179"/>
      <c r="N23" s="1179"/>
      <c r="O23" s="1179"/>
      <c r="P23" s="1179"/>
      <c r="Q23" s="1179"/>
      <c r="R23" s="1179"/>
      <c r="S23" s="1179"/>
      <c r="T23" s="1179"/>
      <c r="U23" s="1560" t="s">
        <v>2013</v>
      </c>
      <c r="V23" s="4605" t="s">
        <v>4834</v>
      </c>
      <c r="W23" s="6708"/>
      <c r="X23" s="6659"/>
      <c r="Y23" s="6659"/>
      <c r="Z23" s="6659"/>
      <c r="AA23" s="6737"/>
      <c r="AB23" s="3037"/>
      <c r="AC23" s="6735" t="str">
        <f t="shared" si="0"/>
        <v/>
      </c>
      <c r="AD23" s="6736"/>
      <c r="AE23" s="6736"/>
      <c r="AF23" s="6736"/>
      <c r="AG23" s="6736"/>
      <c r="AH23" s="2757"/>
      <c r="AI23" s="1276"/>
      <c r="AJ23" s="385"/>
      <c r="AL23" s="3381"/>
    </row>
    <row r="24" spans="1:38" ht="20.25" customHeight="1">
      <c r="A24" s="2757"/>
      <c r="B24" s="1813"/>
      <c r="C24" s="2408" t="s">
        <v>2133</v>
      </c>
      <c r="D24" s="1540" t="s">
        <v>4824</v>
      </c>
      <c r="E24" s="1179"/>
      <c r="F24" s="1179"/>
      <c r="G24" s="1179"/>
      <c r="H24" s="1179"/>
      <c r="I24" s="1179"/>
      <c r="J24" s="1179"/>
      <c r="K24" s="1179"/>
      <c r="L24" s="1179"/>
      <c r="M24" s="1179"/>
      <c r="N24" s="1179"/>
      <c r="O24" s="1179"/>
      <c r="P24" s="1179"/>
      <c r="Q24" s="1179"/>
      <c r="R24" s="1179"/>
      <c r="S24" s="1179"/>
      <c r="T24" s="1179"/>
      <c r="U24" s="1560" t="s">
        <v>4862</v>
      </c>
      <c r="V24" s="4605" t="s">
        <v>4835</v>
      </c>
      <c r="W24" s="6708"/>
      <c r="X24" s="6659"/>
      <c r="Y24" s="6659"/>
      <c r="Z24" s="6659"/>
      <c r="AA24" s="6737"/>
      <c r="AB24" s="3037"/>
      <c r="AC24" s="6735" t="str">
        <f t="shared" si="0"/>
        <v/>
      </c>
      <c r="AD24" s="6736"/>
      <c r="AE24" s="6736"/>
      <c r="AF24" s="6736"/>
      <c r="AG24" s="6736"/>
      <c r="AH24" s="2757"/>
      <c r="AI24" s="1276"/>
      <c r="AJ24" s="385"/>
      <c r="AL24" s="3381"/>
    </row>
    <row r="25" spans="1:38" ht="20.25" customHeight="1">
      <c r="A25" s="2757"/>
      <c r="B25" s="1813"/>
      <c r="C25" s="2408" t="s">
        <v>120</v>
      </c>
      <c r="D25" s="1540" t="s">
        <v>4825</v>
      </c>
      <c r="E25" s="1179"/>
      <c r="F25" s="1179"/>
      <c r="G25" s="1179"/>
      <c r="H25" s="1179"/>
      <c r="I25" s="1179"/>
      <c r="J25" s="1179"/>
      <c r="K25" s="1179"/>
      <c r="L25" s="1179"/>
      <c r="M25" s="1179"/>
      <c r="N25" s="1179"/>
      <c r="O25" s="1179"/>
      <c r="P25" s="1179"/>
      <c r="Q25" s="1179"/>
      <c r="R25" s="1179"/>
      <c r="S25" s="1179"/>
      <c r="T25" s="1179"/>
      <c r="U25" s="1560" t="s">
        <v>4875</v>
      </c>
      <c r="V25" s="4605" t="s">
        <v>4836</v>
      </c>
      <c r="W25" s="6708"/>
      <c r="X25" s="6659"/>
      <c r="Y25" s="6659"/>
      <c r="Z25" s="6659"/>
      <c r="AA25" s="6737"/>
      <c r="AB25" s="3037"/>
      <c r="AC25" s="6735" t="str">
        <f t="shared" si="0"/>
        <v/>
      </c>
      <c r="AD25" s="6736"/>
      <c r="AE25" s="6736"/>
      <c r="AF25" s="6736"/>
      <c r="AG25" s="6736"/>
      <c r="AH25" s="2757"/>
      <c r="AI25" s="1276"/>
      <c r="AJ25" s="385"/>
      <c r="AL25" s="3381"/>
    </row>
    <row r="26" spans="1:38" ht="20.25" customHeight="1">
      <c r="A26" s="2757"/>
      <c r="B26" s="1813"/>
      <c r="C26" s="2408" t="s">
        <v>2142</v>
      </c>
      <c r="D26" s="1540" t="s">
        <v>4826</v>
      </c>
      <c r="E26" s="1179"/>
      <c r="F26" s="1179"/>
      <c r="G26" s="1179"/>
      <c r="H26" s="1179"/>
      <c r="I26" s="1179"/>
      <c r="J26" s="1179"/>
      <c r="K26" s="1179"/>
      <c r="L26" s="1179"/>
      <c r="M26" s="1179"/>
      <c r="N26" s="1179"/>
      <c r="O26" s="1179"/>
      <c r="P26" s="1179"/>
      <c r="Q26" s="1179"/>
      <c r="R26" s="1179"/>
      <c r="S26" s="1179"/>
      <c r="T26" s="1179"/>
      <c r="U26" s="1560" t="s">
        <v>4111</v>
      </c>
      <c r="V26" s="4605" t="s">
        <v>4837</v>
      </c>
      <c r="W26" s="6708"/>
      <c r="X26" s="6659"/>
      <c r="Y26" s="6659"/>
      <c r="Z26" s="6659"/>
      <c r="AA26" s="6737"/>
      <c r="AB26" s="3037"/>
      <c r="AC26" s="6735" t="str">
        <f t="shared" si="0"/>
        <v/>
      </c>
      <c r="AD26" s="6736"/>
      <c r="AE26" s="6736"/>
      <c r="AF26" s="6736"/>
      <c r="AG26" s="6736"/>
      <c r="AH26" s="2757"/>
      <c r="AI26" s="1276"/>
      <c r="AJ26" s="385"/>
      <c r="AL26" s="3381"/>
    </row>
    <row r="27" spans="1:38" ht="20.25" customHeight="1">
      <c r="A27" s="2757"/>
      <c r="B27" s="1813"/>
      <c r="C27" s="2408" t="s">
        <v>2134</v>
      </c>
      <c r="D27" s="1540" t="s">
        <v>4827</v>
      </c>
      <c r="E27" s="1179"/>
      <c r="F27" s="1179"/>
      <c r="G27" s="1179"/>
      <c r="H27" s="1179"/>
      <c r="I27" s="1179"/>
      <c r="J27" s="1179"/>
      <c r="K27" s="1179"/>
      <c r="L27" s="1179"/>
      <c r="M27" s="1179"/>
      <c r="N27" s="1179"/>
      <c r="O27" s="1179"/>
      <c r="P27" s="1179"/>
      <c r="Q27" s="1179"/>
      <c r="R27" s="1179"/>
      <c r="S27" s="1179"/>
      <c r="T27" s="1179"/>
      <c r="U27" s="1560" t="s">
        <v>4863</v>
      </c>
      <c r="V27" s="4605" t="s">
        <v>4838</v>
      </c>
      <c r="W27" s="6708"/>
      <c r="X27" s="6659"/>
      <c r="Y27" s="6659"/>
      <c r="Z27" s="6659"/>
      <c r="AA27" s="6737"/>
      <c r="AB27" s="3037"/>
      <c r="AC27" s="6735" t="str">
        <f t="shared" si="0"/>
        <v/>
      </c>
      <c r="AD27" s="6736"/>
      <c r="AE27" s="6736"/>
      <c r="AF27" s="6736"/>
      <c r="AG27" s="6736"/>
      <c r="AH27" s="2757"/>
      <c r="AI27" s="1276"/>
      <c r="AJ27" s="385"/>
      <c r="AL27" s="3381"/>
    </row>
    <row r="28" spans="1:38" ht="20.25" customHeight="1">
      <c r="A28" s="2757"/>
      <c r="B28" s="1813"/>
      <c r="C28" s="2408" t="s">
        <v>2449</v>
      </c>
      <c r="D28" s="1540" t="s">
        <v>4828</v>
      </c>
      <c r="E28" s="1179"/>
      <c r="F28" s="1179"/>
      <c r="G28" s="1179"/>
      <c r="H28" s="1179"/>
      <c r="I28" s="1179"/>
      <c r="J28" s="1179"/>
      <c r="K28" s="1179"/>
      <c r="L28" s="1179"/>
      <c r="M28" s="1179"/>
      <c r="N28" s="1179"/>
      <c r="O28" s="1179"/>
      <c r="P28" s="1179"/>
      <c r="Q28" s="1179"/>
      <c r="R28" s="1179"/>
      <c r="S28" s="1179"/>
      <c r="T28" s="1179"/>
      <c r="U28" s="1560" t="s">
        <v>2013</v>
      </c>
      <c r="V28" s="4605" t="s">
        <v>4839</v>
      </c>
      <c r="W28" s="6708"/>
      <c r="X28" s="6659"/>
      <c r="Y28" s="6659"/>
      <c r="Z28" s="6659"/>
      <c r="AA28" s="6737"/>
      <c r="AB28" s="3037"/>
      <c r="AC28" s="6735" t="str">
        <f t="shared" si="0"/>
        <v/>
      </c>
      <c r="AD28" s="6736"/>
      <c r="AE28" s="6736"/>
      <c r="AF28" s="6736"/>
      <c r="AG28" s="6736"/>
      <c r="AH28" s="2757"/>
      <c r="AI28" s="1276"/>
      <c r="AJ28" s="385"/>
      <c r="AL28" s="3381"/>
    </row>
    <row r="29" spans="1:38" ht="20.25" customHeight="1">
      <c r="A29" s="2757"/>
      <c r="B29" s="1813"/>
      <c r="C29" s="2408" t="s">
        <v>340</v>
      </c>
      <c r="D29" s="1540" t="s">
        <v>4829</v>
      </c>
      <c r="E29" s="1179"/>
      <c r="F29" s="1179"/>
      <c r="G29" s="1179"/>
      <c r="H29" s="1179"/>
      <c r="I29" s="1179"/>
      <c r="J29" s="1179"/>
      <c r="K29" s="1179"/>
      <c r="L29" s="1179"/>
      <c r="M29" s="1179"/>
      <c r="N29" s="1179"/>
      <c r="O29" s="1179"/>
      <c r="P29" s="1179"/>
      <c r="Q29" s="1179"/>
      <c r="R29" s="1179"/>
      <c r="S29" s="1179"/>
      <c r="T29" s="1179"/>
      <c r="U29" s="1560" t="s">
        <v>4861</v>
      </c>
      <c r="V29" s="4605" t="s">
        <v>4840</v>
      </c>
      <c r="W29" s="6708"/>
      <c r="X29" s="6659"/>
      <c r="Y29" s="6659"/>
      <c r="Z29" s="6659"/>
      <c r="AA29" s="6737"/>
      <c r="AB29" s="3037"/>
      <c r="AC29" s="6735" t="str">
        <f t="shared" si="0"/>
        <v/>
      </c>
      <c r="AD29" s="6736"/>
      <c r="AE29" s="6736"/>
      <c r="AF29" s="6736"/>
      <c r="AG29" s="6736"/>
      <c r="AH29" s="2757"/>
      <c r="AI29" s="1276"/>
      <c r="AJ29" s="385"/>
      <c r="AL29" s="3381"/>
    </row>
    <row r="30" spans="1:38" ht="20.25" customHeight="1">
      <c r="A30" s="2757"/>
      <c r="B30" s="1813"/>
      <c r="C30" s="2408" t="s">
        <v>4716</v>
      </c>
      <c r="D30" s="1540" t="s">
        <v>4830</v>
      </c>
      <c r="E30" s="1179"/>
      <c r="F30" s="1179"/>
      <c r="G30" s="1179"/>
      <c r="H30" s="1179"/>
      <c r="I30" s="1179"/>
      <c r="J30" s="1179"/>
      <c r="K30" s="1179"/>
      <c r="L30" s="1179"/>
      <c r="M30" s="1179"/>
      <c r="N30" s="1179"/>
      <c r="O30" s="1179"/>
      <c r="P30" s="1179"/>
      <c r="Q30" s="1179"/>
      <c r="R30" s="1179"/>
      <c r="S30" s="6218"/>
      <c r="T30" s="6218"/>
      <c r="U30" s="1179"/>
      <c r="V30" s="4606"/>
      <c r="W30" s="6753"/>
      <c r="X30" s="6754"/>
      <c r="Y30" s="6754"/>
      <c r="Z30" s="6754"/>
      <c r="AA30" s="6755"/>
      <c r="AB30" s="3037"/>
      <c r="AC30" s="5805"/>
      <c r="AD30" s="5806"/>
      <c r="AE30" s="5806"/>
      <c r="AF30" s="5806"/>
      <c r="AG30" s="5806"/>
      <c r="AH30" s="2757"/>
      <c r="AI30" s="1276"/>
      <c r="AJ30" s="385"/>
      <c r="AL30" s="3381"/>
    </row>
    <row r="31" spans="1:38" ht="20.25" customHeight="1">
      <c r="A31" s="2757"/>
      <c r="B31" s="1813"/>
      <c r="C31" s="2772"/>
      <c r="D31" s="6738"/>
      <c r="E31" s="6738"/>
      <c r="F31" s="6738"/>
      <c r="G31" s="6738"/>
      <c r="H31" s="6738"/>
      <c r="I31" s="6738"/>
      <c r="J31" s="6738"/>
      <c r="K31" s="6738"/>
      <c r="L31" s="6738"/>
      <c r="M31" s="6738"/>
      <c r="N31" s="6738"/>
      <c r="O31" s="6738"/>
      <c r="P31" s="6738"/>
      <c r="Q31" s="6738"/>
      <c r="R31" s="6738"/>
      <c r="S31" s="6738"/>
      <c r="T31" s="6738"/>
      <c r="U31" s="1179"/>
      <c r="V31" s="4605" t="s">
        <v>4841</v>
      </c>
      <c r="W31" s="6708"/>
      <c r="X31" s="6659"/>
      <c r="Y31" s="6659"/>
      <c r="Z31" s="6659"/>
      <c r="AA31" s="6737"/>
      <c r="AB31" s="3037"/>
      <c r="AC31" s="6735" t="str">
        <f>IF(W31="","",ROUND(W31,0))</f>
        <v/>
      </c>
      <c r="AD31" s="6736"/>
      <c r="AE31" s="6736"/>
      <c r="AF31" s="6736"/>
      <c r="AG31" s="6736"/>
      <c r="AH31" s="2757"/>
      <c r="AI31" s="1276"/>
      <c r="AJ31" s="385"/>
      <c r="AL31" s="3381"/>
    </row>
    <row r="32" spans="1:38" ht="20.25" customHeight="1" thickBot="1">
      <c r="A32" s="2757"/>
      <c r="B32" s="1813">
        <v>7</v>
      </c>
      <c r="C32" s="2772"/>
      <c r="D32" s="1540" t="s">
        <v>4831</v>
      </c>
      <c r="E32" s="1179"/>
      <c r="F32" s="1179"/>
      <c r="G32" s="1179"/>
      <c r="H32" s="1179"/>
      <c r="I32" s="1179"/>
      <c r="J32" s="1179"/>
      <c r="K32" s="1179"/>
      <c r="L32" s="1179"/>
      <c r="M32" s="1179"/>
      <c r="N32" s="1179"/>
      <c r="O32" s="1179"/>
      <c r="P32" s="1179"/>
      <c r="Q32" s="1179"/>
      <c r="R32" s="1179"/>
      <c r="S32" s="1179"/>
      <c r="T32" s="1179"/>
      <c r="U32" s="1179"/>
      <c r="V32" s="1179"/>
      <c r="W32" s="1179"/>
      <c r="X32" s="1179"/>
      <c r="Y32" s="1179"/>
      <c r="Z32" s="1179"/>
      <c r="AA32" s="1179"/>
      <c r="AB32" s="4923">
        <v>7</v>
      </c>
      <c r="AC32" s="6688">
        <f>IF(AJ32&lt;&gt;"",ROUND(AJ32,0),SUM(AC18:AC31))</f>
        <v>0</v>
      </c>
      <c r="AD32" s="6689"/>
      <c r="AE32" s="6689"/>
      <c r="AF32" s="6689"/>
      <c r="AG32" s="6689"/>
      <c r="AH32" s="2757"/>
      <c r="AI32" s="1276"/>
      <c r="AJ32" s="5807"/>
      <c r="AL32" s="3381"/>
    </row>
    <row r="33" spans="1:52" ht="20.25" customHeight="1">
      <c r="A33" s="2757"/>
      <c r="B33" s="1813">
        <v>8</v>
      </c>
      <c r="C33" s="2772"/>
      <c r="D33" s="1540" t="s">
        <v>4843</v>
      </c>
      <c r="E33" s="1179"/>
      <c r="F33" s="1179"/>
      <c r="G33" s="1179"/>
      <c r="H33" s="1179"/>
      <c r="I33" s="1179"/>
      <c r="J33" s="1179"/>
      <c r="K33" s="1179"/>
      <c r="L33" s="1179"/>
      <c r="M33" s="1179"/>
      <c r="N33" s="1179"/>
      <c r="O33" s="1179"/>
      <c r="P33" s="1179"/>
      <c r="Q33" s="1179"/>
      <c r="R33" s="1179"/>
      <c r="S33" s="1179"/>
      <c r="T33" s="1179"/>
      <c r="U33" s="1179"/>
      <c r="V33" s="1179"/>
      <c r="W33" s="1179"/>
      <c r="X33" s="1179"/>
      <c r="Y33" s="1179"/>
      <c r="Z33" s="1179"/>
      <c r="AA33" s="1179"/>
      <c r="AB33" s="3004"/>
      <c r="AC33" s="5167"/>
      <c r="AD33" s="5168"/>
      <c r="AE33" s="5168"/>
      <c r="AF33" s="5168"/>
      <c r="AG33" s="5168"/>
      <c r="AH33" s="2757"/>
      <c r="AI33" s="1276"/>
      <c r="AJ33" s="385"/>
      <c r="AL33" s="3381"/>
    </row>
    <row r="34" spans="1:52" ht="20.25" customHeight="1" thickBot="1">
      <c r="A34" s="2757"/>
      <c r="B34" s="4110"/>
      <c r="C34" s="2772"/>
      <c r="D34" s="2686" t="s">
        <v>4844</v>
      </c>
      <c r="E34" s="1179"/>
      <c r="F34" s="1179"/>
      <c r="G34" s="1179"/>
      <c r="H34" s="1179"/>
      <c r="I34" s="1179"/>
      <c r="J34" s="1179"/>
      <c r="K34" s="1179"/>
      <c r="L34" s="1179"/>
      <c r="M34" s="1179"/>
      <c r="N34" s="1179"/>
      <c r="O34" s="1179"/>
      <c r="P34" s="1179"/>
      <c r="Q34" s="1179"/>
      <c r="R34" s="2703"/>
      <c r="S34" s="2701"/>
      <c r="T34" s="1179"/>
      <c r="U34" s="1179"/>
      <c r="V34" s="1179"/>
      <c r="W34" s="1179"/>
      <c r="X34" s="1179"/>
      <c r="Y34" s="1179"/>
      <c r="Z34" s="1179"/>
      <c r="AA34" s="1560" t="s">
        <v>2417</v>
      </c>
      <c r="AB34" s="4923">
        <v>8</v>
      </c>
      <c r="AC34" s="6729">
        <f>IF(AJ34&lt;&gt;"",ROUND(AJ34,0),SUM(AC11, AC13, AC14,AL15,AL16,AC32))</f>
        <v>0</v>
      </c>
      <c r="AD34" s="6746"/>
      <c r="AE34" s="6746"/>
      <c r="AF34" s="6746"/>
      <c r="AG34" s="6746"/>
      <c r="AH34" s="2757"/>
      <c r="AI34" s="1276"/>
      <c r="AJ34" s="5807"/>
    </row>
    <row r="35" spans="1:52" ht="20.25" customHeight="1" thickBot="1">
      <c r="A35" s="2757"/>
      <c r="B35" s="4110"/>
      <c r="C35" s="2772"/>
      <c r="D35" s="2686"/>
      <c r="E35" s="1179"/>
      <c r="F35" s="1179"/>
      <c r="G35" s="1179"/>
      <c r="H35" s="1179"/>
      <c r="I35" s="1179"/>
      <c r="J35" s="1179"/>
      <c r="K35" s="1179"/>
      <c r="L35" s="1179"/>
      <c r="M35" s="1179"/>
      <c r="N35" s="1179"/>
      <c r="O35" s="1179"/>
      <c r="P35" s="1179"/>
      <c r="Q35" s="1179"/>
      <c r="R35" s="2703"/>
      <c r="S35" s="2701"/>
      <c r="T35" s="1179"/>
      <c r="U35" s="1179"/>
      <c r="V35" s="1179"/>
      <c r="W35" s="1179"/>
      <c r="X35" s="1179"/>
      <c r="Y35" s="1179"/>
      <c r="Z35" s="1179"/>
      <c r="AA35" s="1179"/>
      <c r="AB35" s="1179"/>
      <c r="AC35" s="1179"/>
      <c r="AD35" s="1179"/>
      <c r="AE35" s="1179"/>
      <c r="AF35" s="1179"/>
      <c r="AG35" s="1383" t="s">
        <v>4845</v>
      </c>
      <c r="AH35" s="2757"/>
      <c r="AI35" s="1276"/>
      <c r="AJ35" s="385"/>
    </row>
    <row r="36" spans="1:52" ht="15.75" customHeight="1">
      <c r="A36" s="2757"/>
      <c r="B36" s="2991" t="s">
        <v>484</v>
      </c>
      <c r="C36" s="2992"/>
      <c r="D36" s="2993"/>
      <c r="E36" s="2993"/>
      <c r="F36" s="2993"/>
      <c r="G36" s="2993"/>
      <c r="H36" s="2993"/>
      <c r="I36" s="2993"/>
      <c r="J36" s="2993"/>
      <c r="K36" s="2993"/>
      <c r="L36" s="2993"/>
      <c r="M36" s="2993"/>
      <c r="N36" s="2993"/>
      <c r="O36" s="2993"/>
      <c r="P36" s="2993"/>
      <c r="Q36" s="2993"/>
      <c r="R36" s="2993"/>
      <c r="S36" s="2993"/>
      <c r="T36" s="4106" t="s">
        <v>2316</v>
      </c>
      <c r="U36" s="4106"/>
      <c r="V36" s="2993"/>
      <c r="W36" s="2994"/>
      <c r="X36" s="2993"/>
      <c r="Y36" s="2993"/>
      <c r="Z36" s="2993"/>
      <c r="AA36" s="2993"/>
      <c r="AB36" s="2993"/>
      <c r="AC36" s="2993"/>
      <c r="AD36" s="2993"/>
      <c r="AE36" s="2993"/>
      <c r="AF36" s="2993"/>
      <c r="AG36" s="4117" t="str">
        <f>"Schedule 3 (Form 1040) "&amp;TaxYear</f>
        <v>Schedule 3 (Form 1040) 2021</v>
      </c>
      <c r="AH36" s="2757"/>
      <c r="AI36" s="1276"/>
      <c r="AJ36" s="385"/>
    </row>
    <row r="37" spans="1:52" ht="14.25" customHeight="1" thickBot="1">
      <c r="A37" s="2757"/>
      <c r="B37" s="5180" t="str">
        <f>"Schedule 3 (Form 1040)  " &amp; TaxYear</f>
        <v>Schedule 3 (Form 1040)  2021</v>
      </c>
      <c r="C37" s="5175"/>
      <c r="D37" s="1359"/>
      <c r="E37" s="1359"/>
      <c r="F37" s="1359"/>
      <c r="G37" s="1359"/>
      <c r="H37" s="1359"/>
      <c r="I37" s="1359"/>
      <c r="J37" s="1359"/>
      <c r="K37" s="1359"/>
      <c r="L37" s="1359"/>
      <c r="M37" s="1359"/>
      <c r="N37" s="1359"/>
      <c r="O37" s="1359"/>
      <c r="P37" s="1359"/>
      <c r="Q37" s="1359"/>
      <c r="R37" s="1359"/>
      <c r="S37" s="1359"/>
      <c r="T37" s="5181"/>
      <c r="U37" s="5181"/>
      <c r="V37" s="1359"/>
      <c r="W37" s="3724"/>
      <c r="X37" s="1359"/>
      <c r="Y37" s="1359"/>
      <c r="Z37" s="1359"/>
      <c r="AA37" s="1359"/>
      <c r="AB37" s="1359"/>
      <c r="AC37" s="1359"/>
      <c r="AD37" s="1359"/>
      <c r="AE37" s="1359"/>
      <c r="AF37" s="1359"/>
      <c r="AG37" s="3350" t="s">
        <v>160</v>
      </c>
      <c r="AH37" s="2757"/>
      <c r="AI37" s="1179"/>
      <c r="AJ37" s="385"/>
      <c r="AP37" s="3013"/>
      <c r="AQ37" s="3013"/>
      <c r="AR37" s="3013"/>
      <c r="AS37" s="3013"/>
      <c r="AT37" s="3013"/>
      <c r="AU37" s="3013"/>
      <c r="AV37" s="3013"/>
      <c r="AW37" s="3013"/>
      <c r="AX37" s="3013"/>
      <c r="AY37" s="3013"/>
      <c r="AZ37" s="3013"/>
    </row>
    <row r="38" spans="1:52" ht="20.25" customHeight="1" thickTop="1">
      <c r="A38" s="2757"/>
      <c r="B38" s="6704" t="s">
        <v>118</v>
      </c>
      <c r="C38" s="6705"/>
      <c r="D38" s="6706"/>
      <c r="E38" s="5170"/>
      <c r="F38" s="5172" t="s">
        <v>2317</v>
      </c>
      <c r="G38" s="5170"/>
      <c r="H38" s="5170"/>
      <c r="I38" s="5170"/>
      <c r="J38" s="5170"/>
      <c r="K38" s="5170"/>
      <c r="L38" s="5171"/>
      <c r="M38" s="5171"/>
      <c r="N38" s="5171"/>
      <c r="O38" s="5171"/>
      <c r="P38" s="5171"/>
      <c r="Q38" s="5171"/>
      <c r="R38" s="5171"/>
      <c r="S38" s="5171"/>
      <c r="T38" s="5171"/>
      <c r="U38" s="5171"/>
      <c r="V38" s="5171"/>
      <c r="W38" s="5171"/>
      <c r="X38" s="5171"/>
      <c r="Y38" s="5171"/>
      <c r="Z38" s="5171"/>
      <c r="AA38" s="5171"/>
      <c r="AB38" s="5171"/>
      <c r="AC38" s="5171"/>
      <c r="AD38" s="5171"/>
      <c r="AE38" s="5171"/>
      <c r="AF38" s="5171"/>
      <c r="AG38" s="5171"/>
      <c r="AH38" s="2757"/>
      <c r="AI38" s="1179"/>
      <c r="AJ38" s="385"/>
      <c r="AO38" s="2595"/>
      <c r="AQ38" s="3013"/>
      <c r="AR38" s="3013"/>
      <c r="AS38" s="3013"/>
      <c r="AT38" s="3013"/>
      <c r="AU38" s="3013"/>
      <c r="AV38" s="3013"/>
      <c r="AW38" s="3013"/>
      <c r="AX38" s="3013"/>
      <c r="AY38" s="3013"/>
    </row>
    <row r="39" spans="1:52" ht="20.25" customHeight="1">
      <c r="A39" s="2757"/>
      <c r="B39" s="1813">
        <v>9</v>
      </c>
      <c r="C39" s="2408"/>
      <c r="D39" s="1540" t="s">
        <v>3364</v>
      </c>
      <c r="E39" s="1179"/>
      <c r="F39" s="1179"/>
      <c r="G39" s="1179"/>
      <c r="H39" s="1179"/>
      <c r="I39" s="1179"/>
      <c r="J39" s="1179"/>
      <c r="K39" s="1179"/>
      <c r="L39" s="1179"/>
      <c r="M39" s="1179"/>
      <c r="N39" s="1179"/>
      <c r="O39" s="1179"/>
      <c r="P39" s="1179"/>
      <c r="Q39" s="1179"/>
      <c r="R39" s="2703"/>
      <c r="S39" s="2701"/>
      <c r="T39" s="1179"/>
      <c r="U39" s="1179"/>
      <c r="V39" s="1179"/>
      <c r="W39" s="1179"/>
      <c r="X39" s="1179"/>
      <c r="Y39" s="1179"/>
      <c r="Z39" s="1179"/>
      <c r="AA39" s="1560" t="s">
        <v>805</v>
      </c>
      <c r="AB39" s="4603">
        <v>9</v>
      </c>
      <c r="AC39" s="6573" t="str">
        <f>IF(AJ39&lt;&gt;"",ROUND(AJ39,0),PTC_Net)</f>
        <v/>
      </c>
      <c r="AD39" s="6734"/>
      <c r="AE39" s="6734"/>
      <c r="AF39" s="6734"/>
      <c r="AG39" s="6734"/>
      <c r="AH39" s="2757"/>
      <c r="AI39" s="1276"/>
      <c r="AJ39" s="5807"/>
    </row>
    <row r="40" spans="1:52" ht="20.25" customHeight="1">
      <c r="A40" s="2757"/>
      <c r="B40" s="1813">
        <v>10</v>
      </c>
      <c r="C40" s="2408"/>
      <c r="D40" s="3080" t="s">
        <v>2318</v>
      </c>
      <c r="E40" s="1276"/>
      <c r="F40" s="1179"/>
      <c r="G40" s="1179"/>
      <c r="H40" s="1179"/>
      <c r="I40" s="1179"/>
      <c r="J40" s="1179"/>
      <c r="K40" s="1179"/>
      <c r="L40" s="1179"/>
      <c r="M40" s="1179"/>
      <c r="N40" s="1179"/>
      <c r="O40" s="1179"/>
      <c r="P40" s="1179"/>
      <c r="Q40" s="1179"/>
      <c r="R40" s="2703"/>
      <c r="S40" s="2701"/>
      <c r="T40" s="1179"/>
      <c r="U40" s="1179"/>
      <c r="V40" s="1179"/>
      <c r="W40" s="1179"/>
      <c r="X40" s="1179"/>
      <c r="Y40" s="1179"/>
      <c r="Z40" s="1179"/>
      <c r="AA40" s="1560" t="s">
        <v>1055</v>
      </c>
      <c r="AB40" s="4603">
        <v>10</v>
      </c>
      <c r="AC40" s="6575"/>
      <c r="AD40" s="6576"/>
      <c r="AE40" s="6576"/>
      <c r="AF40" s="6576"/>
      <c r="AG40" s="6577"/>
      <c r="AH40" s="2757"/>
      <c r="AI40" s="1276"/>
      <c r="AJ40" s="3014"/>
    </row>
    <row r="41" spans="1:52" ht="20.25" customHeight="1">
      <c r="A41" s="2757"/>
      <c r="B41" s="1813">
        <v>11</v>
      </c>
      <c r="C41" s="2408"/>
      <c r="D41" s="1540" t="s">
        <v>2431</v>
      </c>
      <c r="E41" s="1179"/>
      <c r="F41" s="1179"/>
      <c r="G41" s="1179"/>
      <c r="H41" s="1179"/>
      <c r="I41" s="1179"/>
      <c r="J41" s="1179"/>
      <c r="K41" s="1179"/>
      <c r="L41" s="1179"/>
      <c r="M41" s="1179"/>
      <c r="N41" s="1179"/>
      <c r="O41" s="1179"/>
      <c r="P41" s="1179"/>
      <c r="Q41" s="1179"/>
      <c r="R41" s="2703"/>
      <c r="S41" s="2701"/>
      <c r="T41" s="1179"/>
      <c r="U41" s="1179"/>
      <c r="V41" s="1179"/>
      <c r="W41" s="1179"/>
      <c r="X41" s="1179"/>
      <c r="Y41" s="1179"/>
      <c r="Z41" s="1179"/>
      <c r="AA41" s="1560" t="s">
        <v>2027</v>
      </c>
      <c r="AB41" s="4603">
        <v>11</v>
      </c>
      <c r="AC41" s="6573">
        <f>IF(AJ41&lt;&gt;"",ROUND(AJ41,0),W2_SS_Tax_Excess)</f>
        <v>0</v>
      </c>
      <c r="AD41" s="6734"/>
      <c r="AE41" s="6734"/>
      <c r="AF41" s="6734"/>
      <c r="AG41" s="6734"/>
      <c r="AH41" s="2757"/>
      <c r="AI41" s="1276"/>
      <c r="AJ41" s="5807"/>
    </row>
    <row r="42" spans="1:52" ht="20.25" customHeight="1">
      <c r="A42" s="2757"/>
      <c r="B42" s="1813">
        <v>12</v>
      </c>
      <c r="C42" s="2408"/>
      <c r="D42" s="1540" t="s">
        <v>3365</v>
      </c>
      <c r="E42" s="1179"/>
      <c r="F42" s="1179"/>
      <c r="G42" s="1179"/>
      <c r="H42" s="1179"/>
      <c r="I42" s="1179"/>
      <c r="J42" s="1179"/>
      <c r="K42" s="1179"/>
      <c r="L42" s="1179"/>
      <c r="M42" s="1179"/>
      <c r="N42" s="1179"/>
      <c r="O42" s="1179"/>
      <c r="P42" s="1179"/>
      <c r="Q42" s="1179"/>
      <c r="R42" s="2703"/>
      <c r="S42" s="2701"/>
      <c r="T42" s="1179"/>
      <c r="U42" s="1179"/>
      <c r="V42" s="1179"/>
      <c r="W42" s="1179"/>
      <c r="X42" s="1179"/>
      <c r="Y42" s="1179"/>
      <c r="Z42" s="1179"/>
      <c r="AA42" s="1560" t="s">
        <v>2576</v>
      </c>
      <c r="AB42" s="4603">
        <v>12</v>
      </c>
      <c r="AC42" s="6575"/>
      <c r="AD42" s="6576"/>
      <c r="AE42" s="6576"/>
      <c r="AF42" s="6576"/>
      <c r="AG42" s="6576"/>
      <c r="AH42" s="2757"/>
      <c r="AI42" s="1276"/>
      <c r="AJ42" s="385"/>
    </row>
    <row r="43" spans="1:52" ht="20.25" customHeight="1">
      <c r="A43" s="2757"/>
      <c r="B43" s="1813">
        <v>13</v>
      </c>
      <c r="C43" s="2408"/>
      <c r="D43" s="1540" t="s">
        <v>3916</v>
      </c>
      <c r="E43" s="1179"/>
      <c r="F43" s="1179"/>
      <c r="G43" s="1179"/>
      <c r="H43" s="1179"/>
      <c r="I43" s="1179"/>
      <c r="J43" s="1179"/>
      <c r="K43" s="1179"/>
      <c r="L43" s="1179"/>
      <c r="M43" s="1179"/>
      <c r="N43" s="1179"/>
      <c r="O43" s="1179"/>
      <c r="P43" s="1179"/>
      <c r="Q43" s="1179"/>
      <c r="R43" s="1179"/>
      <c r="S43" s="1179"/>
      <c r="T43" s="1179"/>
      <c r="U43" s="1179"/>
      <c r="V43" s="1558"/>
      <c r="W43" s="1582"/>
      <c r="X43" s="1179"/>
      <c r="Y43" s="1179"/>
      <c r="Z43" s="1179"/>
      <c r="AA43" s="1583"/>
      <c r="AB43" s="3037"/>
      <c r="AC43" s="4590"/>
      <c r="AD43" s="4591"/>
      <c r="AE43" s="4591"/>
      <c r="AF43" s="4591"/>
      <c r="AG43" s="4592"/>
      <c r="AH43" s="2757"/>
      <c r="AI43" s="1276"/>
      <c r="AJ43" s="385"/>
    </row>
    <row r="44" spans="1:52" ht="20.25" customHeight="1">
      <c r="A44" s="2757"/>
      <c r="B44" s="1540"/>
      <c r="C44" s="2408" t="s">
        <v>33</v>
      </c>
      <c r="D44" s="1540" t="s">
        <v>3917</v>
      </c>
      <c r="E44" s="1179"/>
      <c r="F44" s="1179"/>
      <c r="G44" s="1179"/>
      <c r="H44" s="1179"/>
      <c r="I44" s="1179"/>
      <c r="J44" s="1179"/>
      <c r="K44" s="1179"/>
      <c r="L44" s="1179"/>
      <c r="M44" s="1179"/>
      <c r="N44" s="1179"/>
      <c r="O44" s="1179"/>
      <c r="P44" s="1179"/>
      <c r="Q44" s="1179"/>
      <c r="R44" s="1179"/>
      <c r="S44" s="1179"/>
      <c r="T44" s="1179"/>
      <c r="U44" s="1560" t="s">
        <v>2017</v>
      </c>
      <c r="V44" s="5509" t="s">
        <v>2878</v>
      </c>
      <c r="W44" s="6570"/>
      <c r="X44" s="6439"/>
      <c r="Y44" s="6439"/>
      <c r="Z44" s="6439"/>
      <c r="AA44" s="6439"/>
      <c r="AB44" s="3037"/>
      <c r="AC44" s="4590"/>
      <c r="AD44" s="4591"/>
      <c r="AE44" s="4591"/>
      <c r="AF44" s="4591"/>
      <c r="AG44" s="4592"/>
      <c r="AH44" s="2757"/>
      <c r="AI44" s="1276"/>
      <c r="AJ44" s="385"/>
      <c r="AL44" s="3381">
        <f>ROUND(W44,0)</f>
        <v>0</v>
      </c>
    </row>
    <row r="45" spans="1:52" ht="20.25" customHeight="1">
      <c r="A45" s="2757"/>
      <c r="B45" s="1540"/>
      <c r="C45" s="2408" t="s">
        <v>47</v>
      </c>
      <c r="D45" s="1540" t="s">
        <v>3918</v>
      </c>
      <c r="E45" s="1179"/>
      <c r="F45" s="1179"/>
      <c r="G45" s="1179"/>
      <c r="H45" s="1179"/>
      <c r="I45" s="1179"/>
      <c r="J45" s="1179"/>
      <c r="K45" s="1179"/>
      <c r="L45" s="1179"/>
      <c r="M45" s="1179"/>
      <c r="N45" s="1179"/>
      <c r="O45" s="1179"/>
      <c r="P45" s="1179"/>
      <c r="Q45" s="1179"/>
      <c r="R45" s="1179"/>
      <c r="S45" s="1179"/>
      <c r="T45" s="1179"/>
      <c r="U45" s="1179"/>
      <c r="V45" s="5510"/>
      <c r="W45" s="5177"/>
      <c r="X45" s="5178"/>
      <c r="Y45" s="5178"/>
      <c r="Z45" s="5178"/>
      <c r="AA45" s="5179"/>
      <c r="AB45" s="3037"/>
      <c r="AC45" s="4590"/>
      <c r="AD45" s="4591"/>
      <c r="AE45" s="4591"/>
      <c r="AF45" s="4591"/>
      <c r="AG45" s="4592"/>
      <c r="AH45" s="2757"/>
      <c r="AI45" s="1276"/>
      <c r="AJ45" s="385"/>
      <c r="AL45" s="1286"/>
    </row>
    <row r="46" spans="1:52" ht="20.25" customHeight="1">
      <c r="A46" s="2757"/>
      <c r="B46" s="1540"/>
      <c r="C46" s="2408"/>
      <c r="D46" s="1540" t="str">
        <f>"Form(s) 7202 for leave taken before April 1, "&amp;TaxYear</f>
        <v>Form(s) 7202 for leave taken before April 1, 2021</v>
      </c>
      <c r="E46" s="1179"/>
      <c r="F46" s="1179"/>
      <c r="G46" s="1179"/>
      <c r="H46" s="1179"/>
      <c r="I46" s="1179"/>
      <c r="J46" s="1179"/>
      <c r="K46" s="1179"/>
      <c r="L46" s="1179"/>
      <c r="M46" s="1179"/>
      <c r="N46" s="1179"/>
      <c r="O46" s="1179"/>
      <c r="P46" s="1179"/>
      <c r="Q46" s="1179"/>
      <c r="R46" s="1179"/>
      <c r="S46" s="1179"/>
      <c r="T46" s="1179"/>
      <c r="U46" s="1560" t="s">
        <v>4111</v>
      </c>
      <c r="V46" s="5509" t="s">
        <v>2882</v>
      </c>
      <c r="W46" s="6570"/>
      <c r="X46" s="6439"/>
      <c r="Y46" s="6439"/>
      <c r="Z46" s="6439"/>
      <c r="AA46" s="6439"/>
      <c r="AB46" s="3037"/>
      <c r="AC46" s="4590"/>
      <c r="AD46" s="4591"/>
      <c r="AE46" s="4591"/>
      <c r="AF46" s="4591"/>
      <c r="AG46" s="4592"/>
      <c r="AH46" s="2757"/>
      <c r="AI46" s="1276"/>
      <c r="AJ46" s="385"/>
      <c r="AL46" s="3381">
        <f>ROUND(W46,0)</f>
        <v>0</v>
      </c>
    </row>
    <row r="47" spans="1:52" ht="20.25" customHeight="1">
      <c r="A47" s="2757"/>
      <c r="B47" s="1540"/>
      <c r="C47" s="2408" t="s">
        <v>48</v>
      </c>
      <c r="D47" s="1540" t="s">
        <v>3919</v>
      </c>
      <c r="E47" s="1179"/>
      <c r="F47" s="1179"/>
      <c r="G47" s="1179"/>
      <c r="H47" s="1179"/>
      <c r="I47" s="1179"/>
      <c r="J47" s="1179"/>
      <c r="K47" s="1179"/>
      <c r="L47" s="1179"/>
      <c r="M47" s="1179"/>
      <c r="N47" s="1179"/>
      <c r="O47" s="1179"/>
      <c r="P47" s="1179"/>
      <c r="Q47" s="1179"/>
      <c r="R47" s="1179"/>
      <c r="S47" s="1179"/>
      <c r="T47" s="1179"/>
      <c r="U47" s="1560" t="s">
        <v>4862</v>
      </c>
      <c r="V47" s="5509" t="s">
        <v>2891</v>
      </c>
      <c r="W47" s="6570"/>
      <c r="X47" s="6439"/>
      <c r="Y47" s="6439"/>
      <c r="Z47" s="6439"/>
      <c r="AA47" s="6439"/>
      <c r="AB47" s="3037"/>
      <c r="AC47" s="4590"/>
      <c r="AD47" s="4591"/>
      <c r="AE47" s="4591"/>
      <c r="AF47" s="4591"/>
      <c r="AG47" s="4592"/>
      <c r="AH47" s="2757"/>
      <c r="AI47" s="1276"/>
      <c r="AJ47" s="385"/>
      <c r="AL47" s="3381">
        <f>ROUND(W47,0)</f>
        <v>0</v>
      </c>
    </row>
    <row r="48" spans="1:52" ht="20.25" customHeight="1">
      <c r="A48" s="2757"/>
      <c r="B48" s="1540"/>
      <c r="C48" s="2408" t="s">
        <v>92</v>
      </c>
      <c r="D48" s="1540" t="s">
        <v>4846</v>
      </c>
      <c r="E48" s="1179"/>
      <c r="F48" s="1179"/>
      <c r="G48" s="1179"/>
      <c r="H48" s="1179"/>
      <c r="I48" s="1179"/>
      <c r="J48" s="1179"/>
      <c r="K48" s="1179"/>
      <c r="L48" s="1179"/>
      <c r="M48" s="1179"/>
      <c r="N48" s="1179"/>
      <c r="O48" s="1179"/>
      <c r="P48" s="1179"/>
      <c r="Q48" s="1179"/>
      <c r="R48" s="1179"/>
      <c r="S48" s="1179"/>
      <c r="T48" s="1179"/>
      <c r="U48" s="1560"/>
      <c r="V48" s="5511"/>
      <c r="W48" s="5177"/>
      <c r="X48" s="5178"/>
      <c r="Y48" s="5178"/>
      <c r="Z48" s="5178"/>
      <c r="AA48" s="5179"/>
      <c r="AB48" s="3037"/>
      <c r="AC48" s="4590"/>
      <c r="AD48" s="4591"/>
      <c r="AE48" s="4591"/>
      <c r="AF48" s="4591"/>
      <c r="AG48" s="4592"/>
      <c r="AH48" s="2757"/>
      <c r="AI48" s="1276"/>
      <c r="AJ48" s="385"/>
      <c r="AL48" s="1286"/>
    </row>
    <row r="49" spans="1:38" ht="20.25" customHeight="1">
      <c r="A49" s="2757"/>
      <c r="B49" s="1540"/>
      <c r="C49" s="2408"/>
      <c r="D49" s="1540" t="s">
        <v>4847</v>
      </c>
      <c r="E49" s="1179"/>
      <c r="F49" s="1179"/>
      <c r="G49" s="1179"/>
      <c r="H49" s="1179"/>
      <c r="I49" s="1179"/>
      <c r="J49" s="1179"/>
      <c r="K49" s="1179"/>
      <c r="L49" s="1179"/>
      <c r="M49" s="1179"/>
      <c r="N49" s="1179"/>
      <c r="O49" s="1179"/>
      <c r="P49" s="1179"/>
      <c r="Q49" s="1179"/>
      <c r="R49" s="1179"/>
      <c r="S49" s="1179"/>
      <c r="T49" s="1179"/>
      <c r="U49" s="1560" t="s">
        <v>4238</v>
      </c>
      <c r="V49" s="5509" t="s">
        <v>4848</v>
      </c>
      <c r="W49" s="6570"/>
      <c r="X49" s="6439"/>
      <c r="Y49" s="6439"/>
      <c r="Z49" s="6439"/>
      <c r="AA49" s="6439"/>
      <c r="AB49" s="3037"/>
      <c r="AC49" s="4590"/>
      <c r="AD49" s="4591"/>
      <c r="AE49" s="4591"/>
      <c r="AF49" s="4591"/>
      <c r="AG49" s="4592"/>
      <c r="AH49" s="2757"/>
      <c r="AI49" s="1276"/>
      <c r="AJ49" s="385"/>
      <c r="AL49" s="3381">
        <f>ROUND(W49,0)</f>
        <v>0</v>
      </c>
    </row>
    <row r="50" spans="1:38" ht="20.25" customHeight="1">
      <c r="A50" s="2757"/>
      <c r="B50" s="1540"/>
      <c r="C50" s="2408" t="s">
        <v>964</v>
      </c>
      <c r="D50" s="1540" t="s">
        <v>610</v>
      </c>
      <c r="E50" s="1179"/>
      <c r="F50" s="1179"/>
      <c r="G50" s="1179"/>
      <c r="H50" s="1179"/>
      <c r="I50" s="1179"/>
      <c r="J50" s="1179"/>
      <c r="K50" s="1179"/>
      <c r="L50" s="1179"/>
      <c r="M50" s="1179"/>
      <c r="N50" s="1179"/>
      <c r="O50" s="1179"/>
      <c r="P50" s="1179"/>
      <c r="Q50" s="1179"/>
      <c r="R50" s="1179"/>
      <c r="S50" s="1179"/>
      <c r="T50" s="1179"/>
      <c r="U50" s="1560" t="s">
        <v>4864</v>
      </c>
      <c r="V50" s="5509" t="s">
        <v>4849</v>
      </c>
      <c r="W50" s="6739"/>
      <c r="X50" s="6740"/>
      <c r="Y50" s="6740"/>
      <c r="Z50" s="6740"/>
      <c r="AA50" s="6741"/>
      <c r="AB50" s="3037"/>
      <c r="AC50" s="4590"/>
      <c r="AD50" s="4591"/>
      <c r="AE50" s="4591"/>
      <c r="AF50" s="4591"/>
      <c r="AG50" s="4592"/>
      <c r="AH50" s="2757"/>
      <c r="AI50" s="1276"/>
      <c r="AJ50" s="385"/>
      <c r="AL50" s="1286"/>
    </row>
    <row r="51" spans="1:38" ht="20.25" customHeight="1">
      <c r="A51" s="2757"/>
      <c r="B51" s="1540"/>
      <c r="C51" s="2408" t="s">
        <v>965</v>
      </c>
      <c r="D51" s="1540" t="s">
        <v>4854</v>
      </c>
      <c r="E51" s="1179"/>
      <c r="F51" s="1179"/>
      <c r="G51" s="1179"/>
      <c r="H51" s="1179"/>
      <c r="I51" s="1179"/>
      <c r="J51" s="1179"/>
      <c r="K51" s="1179"/>
      <c r="L51" s="1179"/>
      <c r="M51" s="1179"/>
      <c r="N51" s="1179"/>
      <c r="O51" s="1179"/>
      <c r="P51" s="1179"/>
      <c r="Q51" s="1179"/>
      <c r="R51" s="1179"/>
      <c r="S51" s="1179"/>
      <c r="T51" s="1179"/>
      <c r="U51" s="1560" t="s">
        <v>2013</v>
      </c>
      <c r="V51" s="5509" t="s">
        <v>4857</v>
      </c>
      <c r="W51" s="6570"/>
      <c r="X51" s="6439"/>
      <c r="Y51" s="6439"/>
      <c r="Z51" s="6439"/>
      <c r="AA51" s="6439"/>
      <c r="AB51" s="3037"/>
      <c r="AC51" s="4590"/>
      <c r="AD51" s="4591"/>
      <c r="AE51" s="4591"/>
      <c r="AF51" s="4591"/>
      <c r="AG51" s="4592"/>
      <c r="AH51" s="2757"/>
      <c r="AI51" s="1276"/>
      <c r="AJ51" s="385"/>
      <c r="AL51" s="3381">
        <f>ROUND(W51,0)</f>
        <v>0</v>
      </c>
    </row>
    <row r="52" spans="1:38" ht="20.25" customHeight="1">
      <c r="A52" s="2757"/>
      <c r="B52" s="1540"/>
      <c r="C52" s="2408" t="s">
        <v>2133</v>
      </c>
      <c r="D52" s="1540" t="s">
        <v>4855</v>
      </c>
      <c r="E52" s="1179"/>
      <c r="F52" s="1179"/>
      <c r="G52" s="1179"/>
      <c r="H52" s="1179"/>
      <c r="I52" s="1179"/>
      <c r="J52" s="1179"/>
      <c r="K52" s="1179"/>
      <c r="L52" s="1179"/>
      <c r="M52" s="1179"/>
      <c r="N52" s="1179"/>
      <c r="O52" s="1179"/>
      <c r="P52" s="1179"/>
      <c r="Q52" s="1179"/>
      <c r="R52" s="1179"/>
      <c r="S52" s="1179"/>
      <c r="T52" s="1179"/>
      <c r="U52" s="1560"/>
      <c r="V52" s="5511"/>
      <c r="W52" s="5177"/>
      <c r="X52" s="5178"/>
      <c r="Y52" s="5178"/>
      <c r="Z52" s="5178"/>
      <c r="AA52" s="5179"/>
      <c r="AB52" s="3037"/>
      <c r="AC52" s="4590"/>
      <c r="AD52" s="4591"/>
      <c r="AE52" s="4591"/>
      <c r="AF52" s="4591"/>
      <c r="AG52" s="4592"/>
      <c r="AH52" s="2757"/>
      <c r="AI52" s="1276"/>
      <c r="AJ52" s="385"/>
      <c r="AL52" s="1286"/>
    </row>
    <row r="53" spans="1:38" ht="20.25" customHeight="1">
      <c r="A53" s="2757"/>
      <c r="B53" s="1540"/>
      <c r="C53" s="2408"/>
      <c r="D53" s="1540" t="s">
        <v>4856</v>
      </c>
      <c r="E53" s="1179"/>
      <c r="F53" s="1179"/>
      <c r="G53" s="1179"/>
      <c r="H53" s="1179"/>
      <c r="I53" s="1179"/>
      <c r="J53" s="1179"/>
      <c r="K53" s="1179"/>
      <c r="L53" s="1179"/>
      <c r="M53" s="1179"/>
      <c r="N53" s="1179"/>
      <c r="O53" s="1179"/>
      <c r="P53" s="1179"/>
      <c r="Q53" s="1179"/>
      <c r="R53" s="1179"/>
      <c r="S53" s="1179"/>
      <c r="T53" s="1179"/>
      <c r="U53" s="1560" t="s">
        <v>1052</v>
      </c>
      <c r="V53" s="5509" t="s">
        <v>4858</v>
      </c>
      <c r="W53" s="6690" t="str">
        <f>IF(AJ53&lt;&gt;"",ROUND(AJ53,0),F2441_Refundable)</f>
        <v/>
      </c>
      <c r="X53" s="6557"/>
      <c r="Y53" s="6557"/>
      <c r="Z53" s="6557"/>
      <c r="AA53" s="6557"/>
      <c r="AB53" s="3037"/>
      <c r="AC53" s="4590"/>
      <c r="AD53" s="4591"/>
      <c r="AE53" s="4591"/>
      <c r="AF53" s="4591"/>
      <c r="AG53" s="4592"/>
      <c r="AH53" s="2757"/>
      <c r="AI53" s="1276"/>
      <c r="AJ53" s="5807"/>
      <c r="AL53" s="3381" t="str">
        <f>W53</f>
        <v/>
      </c>
    </row>
    <row r="54" spans="1:38" ht="20.25" customHeight="1">
      <c r="A54" s="2757"/>
      <c r="B54" s="1540"/>
      <c r="C54" s="2408" t="s">
        <v>120</v>
      </c>
      <c r="D54" s="1540" t="s">
        <v>3918</v>
      </c>
      <c r="E54" s="1179"/>
      <c r="F54" s="1179"/>
      <c r="G54" s="1179"/>
      <c r="H54" s="1179"/>
      <c r="I54" s="1179"/>
      <c r="J54" s="1179"/>
      <c r="K54" s="1179"/>
      <c r="L54" s="1179"/>
      <c r="M54" s="1179"/>
      <c r="N54" s="1179"/>
      <c r="O54" s="1179"/>
      <c r="P54" s="1179"/>
      <c r="Q54" s="1179"/>
      <c r="R54" s="1179"/>
      <c r="S54" s="1179"/>
      <c r="T54" s="1179"/>
      <c r="U54" s="1560"/>
      <c r="V54" s="5511"/>
      <c r="W54" s="5177"/>
      <c r="X54" s="5178"/>
      <c r="Y54" s="5178"/>
      <c r="Z54" s="5178"/>
      <c r="AA54" s="5179"/>
      <c r="AB54" s="3037"/>
      <c r="AC54" s="4590"/>
      <c r="AD54" s="4591"/>
      <c r="AE54" s="4591"/>
      <c r="AF54" s="4591"/>
      <c r="AG54" s="4592"/>
      <c r="AH54" s="2757"/>
      <c r="AI54" s="1276"/>
      <c r="AJ54" s="385"/>
      <c r="AL54" s="1286"/>
    </row>
    <row r="55" spans="1:38" ht="20.25" customHeight="1">
      <c r="A55" s="2757"/>
      <c r="B55" s="1540"/>
      <c r="C55" s="2408"/>
      <c r="D55" s="1540" t="str">
        <f>"Form(s) 7202 for leave taken after March 31, "&amp;TaxYear</f>
        <v>Form(s) 7202 for leave taken after March 31, 2021</v>
      </c>
      <c r="E55" s="1179"/>
      <c r="F55" s="1179"/>
      <c r="G55" s="1179"/>
      <c r="H55" s="1179"/>
      <c r="I55" s="1179"/>
      <c r="J55" s="1179"/>
      <c r="K55" s="1179"/>
      <c r="L55" s="1179"/>
      <c r="M55" s="1179"/>
      <c r="N55" s="1179"/>
      <c r="O55" s="1179"/>
      <c r="P55" s="1179"/>
      <c r="Q55" s="1179"/>
      <c r="R55" s="1179"/>
      <c r="S55" s="1179"/>
      <c r="T55" s="1179"/>
      <c r="U55" s="1560" t="s">
        <v>3994</v>
      </c>
      <c r="V55" s="5509" t="s">
        <v>4859</v>
      </c>
      <c r="W55" s="6570"/>
      <c r="X55" s="6439"/>
      <c r="Y55" s="6439"/>
      <c r="Z55" s="6439"/>
      <c r="AA55" s="6439"/>
      <c r="AB55" s="3037"/>
      <c r="AC55" s="4590"/>
      <c r="AD55" s="4591"/>
      <c r="AE55" s="4591"/>
      <c r="AF55" s="4591"/>
      <c r="AG55" s="4592"/>
      <c r="AH55" s="2757"/>
      <c r="AI55" s="1276"/>
      <c r="AJ55" s="385"/>
      <c r="AL55" s="3381">
        <f>ROUND(W55,0)</f>
        <v>0</v>
      </c>
    </row>
    <row r="56" spans="1:38" ht="20.25" customHeight="1">
      <c r="A56" s="2757"/>
      <c r="B56" s="1540"/>
      <c r="C56" s="2408" t="s">
        <v>4716</v>
      </c>
      <c r="D56" s="1540" t="s">
        <v>4850</v>
      </c>
      <c r="E56" s="1179"/>
      <c r="F56" s="1179"/>
      <c r="G56" s="1179"/>
      <c r="H56" s="1179"/>
      <c r="I56" s="1179"/>
      <c r="J56" s="1179"/>
      <c r="K56" s="1179"/>
      <c r="L56" s="1179"/>
      <c r="M56" s="1179"/>
      <c r="N56" s="1179"/>
      <c r="O56" s="1179"/>
      <c r="P56" s="1179"/>
      <c r="Q56" s="1179"/>
      <c r="R56" s="1179"/>
      <c r="S56" s="1179"/>
      <c r="T56" s="5183"/>
      <c r="U56" s="1179"/>
      <c r="V56" s="5511"/>
      <c r="W56" s="5177"/>
      <c r="X56" s="5178"/>
      <c r="Y56" s="5178"/>
      <c r="Z56" s="5178"/>
      <c r="AA56" s="5179"/>
      <c r="AB56" s="3037"/>
      <c r="AC56" s="4590"/>
      <c r="AD56" s="4591"/>
      <c r="AE56" s="4591"/>
      <c r="AF56" s="4591"/>
      <c r="AG56" s="4592"/>
      <c r="AH56" s="2757"/>
      <c r="AI56" s="1276"/>
      <c r="AJ56" s="385"/>
      <c r="AL56" s="1286"/>
    </row>
    <row r="57" spans="1:38" ht="20.25" customHeight="1">
      <c r="A57" s="2757"/>
      <c r="B57" s="1540"/>
      <c r="C57" s="2408"/>
      <c r="D57" s="6738"/>
      <c r="E57" s="6738"/>
      <c r="F57" s="6738"/>
      <c r="G57" s="6738"/>
      <c r="H57" s="6738"/>
      <c r="I57" s="6738"/>
      <c r="J57" s="6738"/>
      <c r="K57" s="6738"/>
      <c r="L57" s="6738"/>
      <c r="M57" s="6738"/>
      <c r="N57" s="6738"/>
      <c r="O57" s="6738"/>
      <c r="P57" s="6738"/>
      <c r="Q57" s="6738"/>
      <c r="R57" s="6738"/>
      <c r="S57" s="6738"/>
      <c r="T57" s="6738"/>
      <c r="U57" s="1179"/>
      <c r="V57" s="5509" t="s">
        <v>4860</v>
      </c>
      <c r="W57" s="6570"/>
      <c r="X57" s="6439"/>
      <c r="Y57" s="6439"/>
      <c r="Z57" s="6439"/>
      <c r="AA57" s="6439"/>
      <c r="AB57" s="3037"/>
      <c r="AC57" s="4590"/>
      <c r="AD57" s="4591"/>
      <c r="AE57" s="4591"/>
      <c r="AF57" s="4591"/>
      <c r="AG57" s="4592"/>
      <c r="AH57" s="2757"/>
      <c r="AI57" s="1276"/>
      <c r="AJ57" s="385"/>
      <c r="AL57" s="3381">
        <f>ROUND(W57,0)</f>
        <v>0</v>
      </c>
    </row>
    <row r="58" spans="1:38" ht="20.25" customHeight="1" thickBot="1">
      <c r="A58" s="2757"/>
      <c r="B58" s="1813">
        <v>14</v>
      </c>
      <c r="C58" s="2408"/>
      <c r="D58" s="1540" t="s">
        <v>4851</v>
      </c>
      <c r="E58" s="1179"/>
      <c r="F58" s="1179"/>
      <c r="G58" s="1179"/>
      <c r="H58" s="1179"/>
      <c r="I58" s="1179"/>
      <c r="J58" s="1179"/>
      <c r="K58" s="1179"/>
      <c r="L58" s="1179"/>
      <c r="M58" s="1179"/>
      <c r="N58" s="1179"/>
      <c r="O58" s="1179"/>
      <c r="P58" s="1179"/>
      <c r="Q58" s="1179"/>
      <c r="R58" s="1179"/>
      <c r="S58" s="1179"/>
      <c r="T58" s="1179"/>
      <c r="U58" s="1179"/>
      <c r="V58" s="1179"/>
      <c r="W58" s="1179"/>
      <c r="X58" s="1179"/>
      <c r="Y58" s="1179"/>
      <c r="Z58" s="1179"/>
      <c r="AA58" s="1560" t="s">
        <v>4865</v>
      </c>
      <c r="AB58" s="5512">
        <v>14</v>
      </c>
      <c r="AC58" s="6756">
        <f>IF(AJ58&lt;&gt;"",ROUND(AJ58,0),SUM(AL44,AL46,AL47,AL49,AL51,AL53,AL55,AL57))</f>
        <v>0</v>
      </c>
      <c r="AD58" s="6757"/>
      <c r="AE58" s="6757"/>
      <c r="AF58" s="6757"/>
      <c r="AG58" s="6757"/>
      <c r="AH58" s="2757"/>
      <c r="AI58" s="1276"/>
      <c r="AJ58" s="5807"/>
    </row>
    <row r="59" spans="1:38" ht="20.25" customHeight="1">
      <c r="A59" s="2757"/>
      <c r="B59" s="1813">
        <v>15</v>
      </c>
      <c r="C59" s="2408"/>
      <c r="D59" s="1540" t="s">
        <v>4852</v>
      </c>
      <c r="E59" s="1179"/>
      <c r="F59" s="1179"/>
      <c r="G59" s="1179"/>
      <c r="H59" s="1179"/>
      <c r="I59" s="1179"/>
      <c r="J59" s="1179"/>
      <c r="K59" s="1179"/>
      <c r="L59" s="1179"/>
      <c r="M59" s="1179"/>
      <c r="N59" s="1179"/>
      <c r="O59" s="1179"/>
      <c r="P59" s="1179"/>
      <c r="Q59" s="1179"/>
      <c r="R59" s="1179"/>
      <c r="S59" s="1179"/>
      <c r="T59" s="1179"/>
      <c r="U59" s="1179"/>
      <c r="V59" s="1179"/>
      <c r="W59" s="1179"/>
      <c r="X59" s="1179"/>
      <c r="Y59" s="1179"/>
      <c r="Z59" s="1179"/>
      <c r="AA59" s="1560"/>
      <c r="AB59" s="3004"/>
      <c r="AC59" s="5124"/>
      <c r="AD59" s="5125"/>
      <c r="AE59" s="5125"/>
      <c r="AF59" s="5125"/>
      <c r="AG59" s="5125"/>
      <c r="AH59" s="2757"/>
      <c r="AI59" s="1276"/>
      <c r="AJ59" s="385"/>
    </row>
    <row r="60" spans="1:38" ht="20.25" customHeight="1" thickBot="1">
      <c r="A60" s="2757"/>
      <c r="B60" s="5184"/>
      <c r="C60" s="5185"/>
      <c r="D60" s="5173" t="s">
        <v>4853</v>
      </c>
      <c r="E60" s="1359"/>
      <c r="F60" s="1359"/>
      <c r="G60" s="1359"/>
      <c r="H60" s="1359"/>
      <c r="I60" s="1359"/>
      <c r="J60" s="1359"/>
      <c r="K60" s="1359"/>
      <c r="L60" s="1359"/>
      <c r="M60" s="1359"/>
      <c r="N60" s="1359"/>
      <c r="O60" s="1359"/>
      <c r="P60" s="1359"/>
      <c r="Q60" s="1359"/>
      <c r="R60" s="5174"/>
      <c r="S60" s="5175"/>
      <c r="T60" s="1359"/>
      <c r="U60" s="1359"/>
      <c r="V60" s="1359"/>
      <c r="W60" s="1359"/>
      <c r="X60" s="1359"/>
      <c r="Y60" s="1359"/>
      <c r="Z60" s="1359"/>
      <c r="AA60" s="5176" t="s">
        <v>2417</v>
      </c>
      <c r="AB60" s="5493">
        <v>15</v>
      </c>
      <c r="AC60" s="6650">
        <f>IF(AJ60&lt;&gt;"",ROUND(AJ60,0),SUM(PTCNet,ROUND(AC40,0),ExcessSSTax,ROUND(FedFuelTaxCredit,0),AC58))</f>
        <v>0</v>
      </c>
      <c r="AD60" s="6742"/>
      <c r="AE60" s="6742"/>
      <c r="AF60" s="6742"/>
      <c r="AG60" s="6742"/>
      <c r="AH60" s="2757"/>
      <c r="AI60" s="1276"/>
      <c r="AJ60" s="5807"/>
    </row>
    <row r="61" spans="1:38" ht="15.75" customHeight="1" thickTop="1">
      <c r="A61" s="2757"/>
      <c r="B61" s="5169"/>
      <c r="C61" s="4779"/>
      <c r="D61" s="1830"/>
      <c r="E61" s="1830"/>
      <c r="F61" s="1830"/>
      <c r="G61" s="1830"/>
      <c r="H61" s="1830"/>
      <c r="I61" s="1830"/>
      <c r="J61" s="1830"/>
      <c r="K61" s="1830"/>
      <c r="L61" s="1830"/>
      <c r="M61" s="1830"/>
      <c r="N61" s="1830"/>
      <c r="O61" s="1830"/>
      <c r="P61" s="1830"/>
      <c r="Q61" s="1830"/>
      <c r="R61" s="1830"/>
      <c r="S61" s="1830"/>
      <c r="T61" s="2187"/>
      <c r="U61" s="2187"/>
      <c r="V61" s="1830"/>
      <c r="W61" s="4065"/>
      <c r="X61" s="1830"/>
      <c r="Y61" s="1830"/>
      <c r="Z61" s="1830"/>
      <c r="AA61" s="1830"/>
      <c r="AB61" s="1830"/>
      <c r="AC61" s="1830"/>
      <c r="AD61" s="1830"/>
      <c r="AE61" s="1830"/>
      <c r="AF61" s="1830"/>
      <c r="AG61" s="3875" t="str">
        <f>"Schedule 3 (Form 1040) "&amp;TaxYear</f>
        <v>Schedule 3 (Form 1040) 2021</v>
      </c>
      <c r="AH61" s="2757"/>
      <c r="AI61" s="1276"/>
      <c r="AJ61" s="385"/>
    </row>
    <row r="62" spans="1:38">
      <c r="A62" s="2757"/>
      <c r="B62" s="2757"/>
      <c r="C62" s="2757"/>
      <c r="D62" s="2757"/>
      <c r="E62" s="2757"/>
      <c r="F62" s="2757"/>
      <c r="G62" s="2757"/>
      <c r="H62" s="2757"/>
      <c r="I62" s="2757"/>
      <c r="J62" s="2757"/>
      <c r="K62" s="2757"/>
      <c r="L62" s="2757"/>
      <c r="M62" s="2757"/>
      <c r="N62" s="2757"/>
      <c r="O62" s="2757"/>
      <c r="P62" s="2757"/>
      <c r="Q62" s="2757"/>
      <c r="R62" s="2757"/>
      <c r="S62" s="2757"/>
      <c r="T62" s="2757"/>
      <c r="U62" s="2757"/>
      <c r="V62" s="2757"/>
      <c r="W62" s="2757"/>
      <c r="X62" s="2757"/>
      <c r="Y62" s="2757"/>
      <c r="Z62" s="2757"/>
      <c r="AA62" s="2757"/>
      <c r="AB62" s="2757"/>
      <c r="AC62" s="2757"/>
      <c r="AD62" s="2757"/>
      <c r="AE62" s="2757"/>
      <c r="AF62" s="2757"/>
      <c r="AG62" s="2757"/>
      <c r="AH62" s="2757"/>
      <c r="AI62" s="1276"/>
      <c r="AJ62" s="385"/>
    </row>
    <row r="64" spans="1:38" ht="13.5" thickBot="1"/>
    <row r="65" spans="2:6">
      <c r="B65" s="6592" t="s">
        <v>3219</v>
      </c>
      <c r="C65" s="6593"/>
      <c r="D65" s="6593"/>
      <c r="E65" s="6593"/>
      <c r="F65" s="6594"/>
    </row>
    <row r="66" spans="2:6">
      <c r="B66" s="6595"/>
      <c r="C66" s="6743"/>
      <c r="D66" s="6743"/>
      <c r="E66" s="6743"/>
      <c r="F66" s="6597"/>
    </row>
    <row r="67" spans="2:6" ht="13.5" thickBot="1">
      <c r="B67" s="6598"/>
      <c r="C67" s="6599"/>
      <c r="D67" s="6599"/>
      <c r="E67" s="6599"/>
      <c r="F67" s="6600"/>
    </row>
  </sheetData>
  <sheetProtection algorithmName="SHA-512" hashValue="CXWoURrnavzRJF3eDhXZLcr9DpkOff7+aflsg/42e7YN0obyPCV8dVgfpx3tMBNtFDIW4o5NZQHx9m/5nDR5fg==" saltValue="HmjUwZxphFHFrxalmb0WMg==" spinCount="100000" sheet="1" objects="1" scenarios="1"/>
  <mergeCells count="69">
    <mergeCell ref="AJ7:AJ9"/>
    <mergeCell ref="B8:AA9"/>
    <mergeCell ref="AB8:AG9"/>
    <mergeCell ref="AC13:AG13"/>
    <mergeCell ref="B10:D10"/>
    <mergeCell ref="AC11:AG11"/>
    <mergeCell ref="AC12:AG12"/>
    <mergeCell ref="B2:F3"/>
    <mergeCell ref="AB2:AG2"/>
    <mergeCell ref="AB3:AG4"/>
    <mergeCell ref="B4:F4"/>
    <mergeCell ref="AC5:AG6"/>
    <mergeCell ref="B6:F6"/>
    <mergeCell ref="B5:F5"/>
    <mergeCell ref="AL10:AM12"/>
    <mergeCell ref="D31:T31"/>
    <mergeCell ref="S30:T30"/>
    <mergeCell ref="W24:AA24"/>
    <mergeCell ref="W25:AA25"/>
    <mergeCell ref="W26:AA26"/>
    <mergeCell ref="W27:AA27"/>
    <mergeCell ref="W28:AA28"/>
    <mergeCell ref="W18:AA18"/>
    <mergeCell ref="W19:AA19"/>
    <mergeCell ref="W20:AA20"/>
    <mergeCell ref="W22:AA22"/>
    <mergeCell ref="W23:AA23"/>
    <mergeCell ref="AC31:AG31"/>
    <mergeCell ref="AC27:AG27"/>
    <mergeCell ref="AC28:AG28"/>
    <mergeCell ref="B38:D38"/>
    <mergeCell ref="AC39:AG39"/>
    <mergeCell ref="AC60:AG60"/>
    <mergeCell ref="B65:F67"/>
    <mergeCell ref="AC16:AG16"/>
    <mergeCell ref="AC17:AG17"/>
    <mergeCell ref="AC34:AG34"/>
    <mergeCell ref="AC40:AG40"/>
    <mergeCell ref="AC42:AG42"/>
    <mergeCell ref="AC41:AG41"/>
    <mergeCell ref="W21:AA21"/>
    <mergeCell ref="W17:AA17"/>
    <mergeCell ref="W30:AA30"/>
    <mergeCell ref="W31:AA31"/>
    <mergeCell ref="AC58:AG58"/>
    <mergeCell ref="W44:AA44"/>
    <mergeCell ref="D57:T57"/>
    <mergeCell ref="W50:AA50"/>
    <mergeCell ref="W49:AA49"/>
    <mergeCell ref="W51:AA51"/>
    <mergeCell ref="W53:AA53"/>
    <mergeCell ref="W55:AA55"/>
    <mergeCell ref="AC29:AG29"/>
    <mergeCell ref="W57:AA57"/>
    <mergeCell ref="AC32:AG32"/>
    <mergeCell ref="W46:AA46"/>
    <mergeCell ref="W47:AA47"/>
    <mergeCell ref="W29:AA29"/>
    <mergeCell ref="AC23:AG23"/>
    <mergeCell ref="AC24:AG24"/>
    <mergeCell ref="AC21:AG21"/>
    <mergeCell ref="AC25:AG25"/>
    <mergeCell ref="AC26:AG26"/>
    <mergeCell ref="AC14:AG14"/>
    <mergeCell ref="AC15:AG15"/>
    <mergeCell ref="AC19:AG19"/>
    <mergeCell ref="AC20:AG20"/>
    <mergeCell ref="AC22:AG22"/>
    <mergeCell ref="AC18:AG18"/>
  </mergeCells>
  <conditionalFormatting sqref="B8 AB8">
    <cfRule type="expression" dxfId="2679" priority="82">
      <formula>NoColor</formula>
    </cfRule>
  </conditionalFormatting>
  <conditionalFormatting sqref="B4:G4">
    <cfRule type="expression" dxfId="2678" priority="66">
      <formula>NOT(Draft)</formula>
    </cfRule>
  </conditionalFormatting>
  <conditionalFormatting sqref="D31:T31">
    <cfRule type="expression" dxfId="2677" priority="16">
      <formula>NoColor</formula>
    </cfRule>
  </conditionalFormatting>
  <conditionalFormatting sqref="D57:T57">
    <cfRule type="expression" dxfId="2676" priority="14">
      <formula>NoColor</formula>
    </cfRule>
  </conditionalFormatting>
  <conditionalFormatting sqref="S30:T30">
    <cfRule type="expression" dxfId="2675" priority="17">
      <formula>NoColor</formula>
    </cfRule>
  </conditionalFormatting>
  <conditionalFormatting sqref="T56">
    <cfRule type="expression" dxfId="2674" priority="29">
      <formula>NoColor</formula>
    </cfRule>
  </conditionalFormatting>
  <conditionalFormatting sqref="W50">
    <cfRule type="expression" dxfId="2673" priority="33">
      <formula>IF(NoColor,1,0)</formula>
    </cfRule>
  </conditionalFormatting>
  <conditionalFormatting sqref="W18:AA29">
    <cfRule type="expression" dxfId="2672" priority="18">
      <formula>NoColor</formula>
    </cfRule>
  </conditionalFormatting>
  <conditionalFormatting sqref="W31:AA31">
    <cfRule type="expression" dxfId="2671" priority="1">
      <formula>NoColor</formula>
    </cfRule>
  </conditionalFormatting>
  <conditionalFormatting sqref="W44:AA49">
    <cfRule type="expression" dxfId="2670" priority="23">
      <formula>IF(NoColor,1,0)</formula>
    </cfRule>
  </conditionalFormatting>
  <conditionalFormatting sqref="W51:AA57">
    <cfRule type="expression" dxfId="2669" priority="19">
      <formula>IF(NoColor,1,0)</formula>
    </cfRule>
  </conditionalFormatting>
  <conditionalFormatting sqref="AC18:AC29 AC30:AG30 AC33:AG34">
    <cfRule type="expression" dxfId="2668" priority="70">
      <formula>IF(NoColor,1,0)</formula>
    </cfRule>
  </conditionalFormatting>
  <conditionalFormatting sqref="AC31:AC32">
    <cfRule type="expression" dxfId="2667" priority="2">
      <formula>IF(NoColor,1,0)</formula>
    </cfRule>
  </conditionalFormatting>
  <conditionalFormatting sqref="AC11:AG11 AC12">
    <cfRule type="expression" dxfId="2666" priority="74">
      <formula>IF(NoColor,1,0)</formula>
    </cfRule>
  </conditionalFormatting>
  <conditionalFormatting sqref="AC13:AG17">
    <cfRule type="expression" dxfId="2665" priority="36">
      <formula>IF(NoColor,1,0)</formula>
    </cfRule>
  </conditionalFormatting>
  <conditionalFormatting sqref="AC39:AG60">
    <cfRule type="expression" dxfId="2664" priority="30">
      <formula>IF(NoColor,1,0)</formula>
    </cfRule>
  </conditionalFormatting>
  <conditionalFormatting sqref="AL10:AM12">
    <cfRule type="expression" dxfId="2663" priority="60">
      <formula>$AL$7</formula>
    </cfRule>
  </conditionalFormatting>
  <hyperlinks>
    <hyperlink ref="B65:F67" location="'Table of Contents'!A1" display="Table of Contents" xr:uid="{00000000-0004-0000-1100-000000000000}"/>
  </hyperlinks>
  <pageMargins left="0.45" right="0.45" top="0.5" bottom="0.5" header="0" footer="0"/>
  <pageSetup scale="78" fitToHeight="0" orientation="portrait" r:id="rId1"/>
  <rowBreaks count="1" manualBreakCount="1">
    <brk id="36" min="1" max="32"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M80"/>
  <sheetViews>
    <sheetView zoomScaleNormal="100" workbookViewId="0"/>
  </sheetViews>
  <sheetFormatPr defaultRowHeight="12.75"/>
  <cols>
    <col min="1" max="1" width="2.5703125" customWidth="1"/>
    <col min="2" max="2" width="5.5703125" customWidth="1"/>
    <col min="3" max="3" width="4.42578125" customWidth="1"/>
    <col min="4" max="4" width="18.85546875" customWidth="1"/>
    <col min="5" max="5" width="9.7109375" customWidth="1"/>
    <col min="6" max="6" width="4.7109375" customWidth="1"/>
    <col min="7" max="7" width="24.140625" customWidth="1"/>
    <col min="8" max="8" width="21.85546875" customWidth="1"/>
    <col min="9" max="9" width="4.5703125" customWidth="1"/>
    <col min="10" max="10" width="13" customWidth="1"/>
    <col min="12" max="12" width="3.7109375" customWidth="1"/>
    <col min="13" max="13" width="12" customWidth="1"/>
    <col min="14" max="14" width="6.7109375" customWidth="1"/>
    <col min="15" max="15" width="13.5703125" style="3013" customWidth="1"/>
    <col min="16" max="26" width="9.140625" style="2595"/>
  </cols>
  <sheetData>
    <row r="1" spans="1:34" ht="16.5" customHeight="1" thickBot="1">
      <c r="M1" s="385"/>
      <c r="O1" s="3012" t="s">
        <v>2033</v>
      </c>
    </row>
    <row r="2" spans="1:34" ht="8.25" customHeight="1">
      <c r="B2" s="2043"/>
      <c r="C2" s="1274"/>
      <c r="D2" s="1274"/>
      <c r="E2" s="1274"/>
      <c r="F2" s="1274"/>
      <c r="G2" s="1274"/>
      <c r="H2" s="1274"/>
      <c r="I2" s="1274"/>
      <c r="J2" s="1274"/>
      <c r="K2" s="1275"/>
      <c r="L2" s="42"/>
      <c r="M2" s="385"/>
      <c r="N2" s="42"/>
    </row>
    <row r="3" spans="1:34" ht="20.25">
      <c r="B3" s="4296" t="s">
        <v>3590</v>
      </c>
      <c r="C3" s="1179"/>
      <c r="D3" s="1179"/>
      <c r="E3" s="1179"/>
      <c r="F3" s="1179"/>
      <c r="G3" s="1179"/>
      <c r="H3" s="1179"/>
      <c r="I3" s="1179"/>
      <c r="J3" s="4302" t="s">
        <v>175</v>
      </c>
      <c r="K3" s="1244"/>
      <c r="L3" s="42"/>
      <c r="M3" s="385"/>
      <c r="N3" s="42"/>
      <c r="O3" s="3855" t="s">
        <v>111</v>
      </c>
    </row>
    <row r="4" spans="1:34" ht="15" customHeight="1">
      <c r="B4" s="2044"/>
      <c r="C4" s="3082" t="s">
        <v>3589</v>
      </c>
      <c r="D4" s="1179"/>
      <c r="E4" s="1179"/>
      <c r="F4" s="1179"/>
      <c r="G4" s="1179"/>
      <c r="H4" s="1179"/>
      <c r="I4" s="1179"/>
      <c r="J4" s="1179"/>
      <c r="K4" s="1244"/>
      <c r="L4" s="42"/>
      <c r="M4" s="385"/>
      <c r="N4" s="42"/>
    </row>
    <row r="5" spans="1:34" ht="15.75">
      <c r="B5" s="2044"/>
      <c r="C5" s="3988" t="s">
        <v>2295</v>
      </c>
      <c r="D5" s="3988" t="s">
        <v>5716</v>
      </c>
      <c r="E5" s="1179"/>
      <c r="F5" s="1179"/>
      <c r="G5" s="1179"/>
      <c r="H5" s="1179"/>
      <c r="I5" s="1179"/>
      <c r="J5" s="1179"/>
      <c r="K5" s="1244"/>
      <c r="L5" s="42"/>
      <c r="M5" s="385"/>
      <c r="N5" s="42"/>
    </row>
    <row r="6" spans="1:34" ht="15.75">
      <c r="B6" s="2044"/>
      <c r="C6" s="3988" t="s">
        <v>2295</v>
      </c>
      <c r="D6" s="3988" t="s">
        <v>5717</v>
      </c>
      <c r="E6" s="1179"/>
      <c r="F6" s="1179"/>
      <c r="G6" s="1179"/>
      <c r="H6" s="1179"/>
      <c r="I6" s="1179"/>
      <c r="J6" s="1179"/>
      <c r="K6" s="1244"/>
      <c r="L6" s="42"/>
      <c r="M6" s="385"/>
      <c r="N6" s="42"/>
    </row>
    <row r="7" spans="1:34" ht="9" customHeight="1" thickBot="1">
      <c r="B7" s="4294"/>
      <c r="C7" s="4295"/>
      <c r="D7" s="1280"/>
      <c r="E7" s="1280"/>
      <c r="F7" s="1280"/>
      <c r="G7" s="1280"/>
      <c r="H7" s="1280"/>
      <c r="I7" s="1280"/>
      <c r="J7" s="1280"/>
      <c r="K7" s="1281"/>
      <c r="L7" s="42"/>
      <c r="M7" s="385"/>
      <c r="N7" s="42"/>
    </row>
    <row r="8" spans="1:34" ht="15.75">
      <c r="B8" s="4297" t="s">
        <v>214</v>
      </c>
      <c r="C8" s="3988"/>
      <c r="D8" s="1179"/>
      <c r="E8" s="1179"/>
      <c r="F8" s="1179"/>
      <c r="G8" s="1179"/>
      <c r="H8" s="1179"/>
      <c r="I8" s="1179"/>
      <c r="J8" s="1179"/>
      <c r="K8" s="1244"/>
      <c r="L8" s="42"/>
      <c r="M8" s="385"/>
      <c r="N8" s="42"/>
    </row>
    <row r="9" spans="1:34">
      <c r="B9" s="4298" t="s">
        <v>2295</v>
      </c>
      <c r="C9" s="1276" t="s">
        <v>3644</v>
      </c>
      <c r="D9" s="1179"/>
      <c r="E9" s="1179"/>
      <c r="F9" s="1179"/>
      <c r="G9" s="1179"/>
      <c r="H9" s="1179"/>
      <c r="I9" s="1179"/>
      <c r="J9" s="1179"/>
      <c r="K9" s="1244"/>
      <c r="L9" s="42"/>
      <c r="M9" s="385"/>
      <c r="N9" s="42"/>
    </row>
    <row r="10" spans="1:34" ht="15.75">
      <c r="B10" s="2044"/>
      <c r="C10" s="3432" t="s">
        <v>5718</v>
      </c>
      <c r="D10" s="1179"/>
      <c r="E10" s="1179"/>
      <c r="F10" s="1179"/>
      <c r="G10" s="1179"/>
      <c r="H10" s="1179"/>
      <c r="I10" s="1179"/>
      <c r="J10" s="1179"/>
      <c r="K10" s="1244"/>
      <c r="L10" s="42"/>
      <c r="M10" s="385"/>
      <c r="N10" s="42"/>
    </row>
    <row r="11" spans="1:34" ht="15.75">
      <c r="B11" s="2044"/>
      <c r="C11" s="3432" t="s">
        <v>5719</v>
      </c>
      <c r="D11" s="1179"/>
      <c r="E11" s="1179"/>
      <c r="F11" s="1179"/>
      <c r="G11" s="1179"/>
      <c r="H11" s="1179"/>
      <c r="I11" s="1179"/>
      <c r="J11" s="1179"/>
      <c r="K11" s="1244"/>
      <c r="L11" s="42"/>
      <c r="M11" s="385"/>
      <c r="N11" s="42"/>
    </row>
    <row r="12" spans="1:34">
      <c r="B12" s="4298" t="s">
        <v>2295</v>
      </c>
      <c r="C12" s="1276" t="s">
        <v>3591</v>
      </c>
      <c r="D12" s="1179"/>
      <c r="E12" s="1179"/>
      <c r="F12" s="1179"/>
      <c r="G12" s="1179"/>
      <c r="H12" s="1179"/>
      <c r="I12" s="1179"/>
      <c r="J12" s="1179"/>
      <c r="K12" s="1244"/>
      <c r="L12" s="42"/>
      <c r="M12" s="385"/>
      <c r="N12" s="42"/>
    </row>
    <row r="13" spans="1:34" ht="17.25" customHeight="1">
      <c r="B13" s="4300" t="s">
        <v>2295</v>
      </c>
      <c r="C13" s="2793" t="s">
        <v>3592</v>
      </c>
      <c r="D13" s="1820"/>
      <c r="E13" s="1820"/>
      <c r="F13" s="1820"/>
      <c r="G13" s="1820"/>
      <c r="H13" s="1820"/>
      <c r="I13" s="1820"/>
      <c r="J13" s="1820"/>
      <c r="K13" s="4301"/>
      <c r="L13" s="42"/>
      <c r="M13" s="385"/>
      <c r="N13" s="42"/>
    </row>
    <row r="14" spans="1:34">
      <c r="B14" s="4299"/>
      <c r="C14" s="1410"/>
      <c r="D14" s="1410"/>
      <c r="E14" s="1410"/>
      <c r="F14" s="1410"/>
      <c r="G14" s="1410"/>
      <c r="H14" s="1410"/>
      <c r="I14" s="1410"/>
      <c r="J14" s="1410"/>
      <c r="K14" s="1412"/>
      <c r="M14" s="2047" t="s">
        <v>90</v>
      </c>
      <c r="N14" s="42"/>
    </row>
    <row r="15" spans="1:34" s="42" customFormat="1" ht="13.5" thickBot="1">
      <c r="A15"/>
      <c r="B15" s="1278"/>
      <c r="C15" s="1276"/>
      <c r="D15" s="1179"/>
      <c r="E15" s="1179"/>
      <c r="F15" s="1179"/>
      <c r="G15" s="1179"/>
      <c r="H15" s="1179"/>
      <c r="I15" s="2049"/>
      <c r="J15" s="1179"/>
      <c r="K15" s="1244"/>
      <c r="M15" s="2047" t="s">
        <v>411</v>
      </c>
      <c r="N15" s="2046"/>
      <c r="O15" s="3013"/>
      <c r="P15" s="2595"/>
      <c r="Q15" s="2595"/>
      <c r="R15" s="2595"/>
      <c r="S15" s="2595"/>
      <c r="T15" s="2595"/>
      <c r="U15" s="2595"/>
      <c r="V15" s="2595"/>
      <c r="W15" s="2595"/>
      <c r="X15" s="2595"/>
      <c r="Y15" s="2595"/>
      <c r="Z15" s="2595"/>
      <c r="AG15" s="2046"/>
      <c r="AH15" s="2046"/>
    </row>
    <row r="16" spans="1:34" s="42" customFormat="1" ht="13.5" thickBot="1">
      <c r="A16"/>
      <c r="B16" s="2050" t="s">
        <v>13</v>
      </c>
      <c r="C16" s="1276" t="s">
        <v>3452</v>
      </c>
      <c r="D16" s="1179"/>
      <c r="E16" s="1179"/>
      <c r="F16" s="1179"/>
      <c r="G16" s="1179"/>
      <c r="H16" s="1179"/>
      <c r="I16" s="2049" t="s">
        <v>13</v>
      </c>
      <c r="J16" s="2045">
        <f>IF(M16&lt;&gt;"",ROUND(M16,0),Wages)</f>
        <v>0</v>
      </c>
      <c r="K16" s="1244"/>
      <c r="M16" s="2048"/>
      <c r="N16" s="2046"/>
      <c r="O16" s="3013"/>
      <c r="P16" s="2595"/>
      <c r="Q16" s="2595"/>
      <c r="R16" s="2595"/>
      <c r="S16" s="2595"/>
      <c r="T16" s="2595"/>
      <c r="U16" s="2595"/>
      <c r="V16" s="2595"/>
      <c r="W16" s="2595"/>
      <c r="X16" s="2595"/>
      <c r="Y16" s="2595"/>
      <c r="Z16" s="2595"/>
      <c r="AG16" s="2046"/>
      <c r="AH16" s="2046">
        <v>65</v>
      </c>
    </row>
    <row r="17" spans="1:34" s="42" customFormat="1" ht="9" customHeight="1">
      <c r="A17"/>
      <c r="B17" s="1278"/>
      <c r="C17" s="1179"/>
      <c r="D17" s="1179"/>
      <c r="E17" s="1179"/>
      <c r="F17" s="1179"/>
      <c r="G17" s="1179"/>
      <c r="H17" s="1179"/>
      <c r="I17" s="1179"/>
      <c r="J17" s="1179"/>
      <c r="K17" s="1244"/>
      <c r="M17" s="385"/>
      <c r="N17" s="2046"/>
      <c r="O17" s="3013"/>
      <c r="P17" s="2595"/>
      <c r="Q17" s="2595"/>
      <c r="R17" s="2595"/>
      <c r="S17" s="2595"/>
      <c r="T17" s="2595"/>
      <c r="U17" s="2595"/>
      <c r="V17" s="2595"/>
      <c r="W17" s="2595"/>
      <c r="X17" s="2595"/>
      <c r="Y17" s="2595"/>
      <c r="Z17" s="2595"/>
      <c r="AG17" s="2046"/>
      <c r="AH17" s="2046"/>
    </row>
    <row r="18" spans="1:34" s="42" customFormat="1" ht="6.75" customHeight="1">
      <c r="A18" s="4280"/>
      <c r="B18" s="1278"/>
      <c r="C18" s="1179"/>
      <c r="D18" s="1179"/>
      <c r="E18" s="1179"/>
      <c r="F18" s="1179"/>
      <c r="G18" s="1179"/>
      <c r="H18" s="1179"/>
      <c r="I18" s="1179"/>
      <c r="J18" s="1179"/>
      <c r="K18" s="1244"/>
      <c r="M18" s="385"/>
      <c r="N18" s="2046"/>
      <c r="O18" s="3013"/>
      <c r="P18" s="2595"/>
      <c r="Q18" s="2595"/>
      <c r="R18" s="2595"/>
      <c r="S18" s="2595"/>
      <c r="T18" s="2595"/>
      <c r="U18" s="2595"/>
      <c r="V18" s="2595"/>
      <c r="W18" s="2595"/>
      <c r="X18" s="2595"/>
      <c r="Y18" s="2595"/>
      <c r="Z18" s="2595"/>
      <c r="AG18" s="2046"/>
      <c r="AH18" s="2046"/>
    </row>
    <row r="19" spans="1:34" s="42" customFormat="1">
      <c r="A19"/>
      <c r="B19" s="2050" t="s">
        <v>592</v>
      </c>
      <c r="C19" s="1276" t="s">
        <v>3594</v>
      </c>
      <c r="D19" s="1179"/>
      <c r="E19" s="1179"/>
      <c r="F19" s="1179"/>
      <c r="G19" s="1179"/>
      <c r="H19" s="1179"/>
      <c r="I19" s="1179"/>
      <c r="J19" s="1179"/>
      <c r="K19" s="1244"/>
      <c r="M19" s="385"/>
      <c r="N19" s="2046"/>
      <c r="O19" s="3013"/>
      <c r="P19" s="2595"/>
      <c r="Q19" s="2595"/>
      <c r="R19" s="2595"/>
      <c r="S19" s="2595"/>
      <c r="T19" s="2595"/>
      <c r="U19" s="2595"/>
      <c r="V19" s="2595"/>
      <c r="W19" s="2595"/>
      <c r="X19" s="2595"/>
      <c r="Y19" s="2595"/>
      <c r="Z19" s="2595"/>
      <c r="AG19" s="2046"/>
      <c r="AH19" s="2046"/>
    </row>
    <row r="20" spans="1:34" s="42" customFormat="1" ht="13.5" thickBot="1">
      <c r="A20"/>
      <c r="B20" s="1278"/>
      <c r="C20" s="1276" t="s">
        <v>3654</v>
      </c>
      <c r="D20" s="1179"/>
      <c r="E20" s="1179"/>
      <c r="F20" s="1179"/>
      <c r="G20" s="1179"/>
      <c r="H20" s="1179"/>
      <c r="I20" s="1179"/>
      <c r="J20" s="1179"/>
      <c r="K20" s="1244"/>
      <c r="M20" s="385"/>
      <c r="N20" s="2046"/>
      <c r="O20" s="3013"/>
      <c r="P20" s="2595"/>
      <c r="Q20" s="2595"/>
      <c r="R20" s="2595"/>
      <c r="S20" s="2595"/>
      <c r="T20" s="2595"/>
      <c r="U20" s="2595"/>
      <c r="V20" s="2595"/>
      <c r="W20" s="2595"/>
      <c r="X20" s="2595"/>
      <c r="Y20" s="2595"/>
      <c r="Z20" s="2595"/>
      <c r="AG20" s="2046"/>
      <c r="AH20" s="2046"/>
    </row>
    <row r="21" spans="1:34" s="42" customFormat="1" ht="13.5" thickBot="1">
      <c r="A21"/>
      <c r="B21" s="1278"/>
      <c r="C21" s="1276" t="s">
        <v>3593</v>
      </c>
      <c r="D21" s="1179"/>
      <c r="E21" s="1179"/>
      <c r="F21" s="1179"/>
      <c r="G21" s="1179"/>
      <c r="H21" s="1179"/>
      <c r="I21" s="2049" t="s">
        <v>14</v>
      </c>
      <c r="J21" s="2045">
        <f>IF(M21&lt;&gt;"",ROUND(M21,0),CombatPayNoTax)</f>
        <v>0</v>
      </c>
      <c r="K21" s="1244"/>
      <c r="M21" s="2048"/>
      <c r="N21" s="2046"/>
      <c r="O21" s="3013"/>
      <c r="P21" s="2595"/>
      <c r="Q21" s="2595"/>
      <c r="R21" s="2595"/>
      <c r="S21" s="2595"/>
      <c r="T21" s="2595"/>
      <c r="U21" s="2595"/>
      <c r="V21" s="2595"/>
      <c r="W21" s="2595"/>
      <c r="X21" s="2595"/>
      <c r="Y21" s="2595"/>
      <c r="Z21" s="2595"/>
      <c r="AG21" s="2046"/>
      <c r="AH21" s="2046"/>
    </row>
    <row r="22" spans="1:34" s="42" customFormat="1">
      <c r="A22"/>
      <c r="B22" s="1278"/>
      <c r="C22" s="1179"/>
      <c r="D22" s="1179"/>
      <c r="E22" s="1179"/>
      <c r="F22" s="1179"/>
      <c r="G22" s="1179"/>
      <c r="H22" s="70"/>
      <c r="I22" s="1179"/>
      <c r="J22" s="1771" t="s">
        <v>5674</v>
      </c>
      <c r="K22" s="1244"/>
      <c r="M22" s="385"/>
      <c r="N22" s="2046"/>
      <c r="O22" s="3013"/>
      <c r="P22" s="2595"/>
      <c r="Q22" s="2595"/>
      <c r="R22" s="2595"/>
      <c r="S22" s="2595"/>
      <c r="T22" s="2595"/>
      <c r="U22" s="2595"/>
      <c r="V22" s="2595"/>
      <c r="W22" s="2595"/>
      <c r="X22" s="2595"/>
      <c r="Y22" s="2595"/>
      <c r="Z22" s="2595"/>
      <c r="AG22" s="2046"/>
      <c r="AH22" s="2046"/>
    </row>
    <row r="23" spans="1:34" s="42" customFormat="1">
      <c r="A23"/>
      <c r="B23" s="1278"/>
      <c r="C23" s="1276" t="s">
        <v>3595</v>
      </c>
      <c r="D23" s="1179"/>
      <c r="E23" s="1179"/>
      <c r="F23" s="1179"/>
      <c r="G23" s="1179"/>
      <c r="H23" s="1179"/>
      <c r="I23" s="1179"/>
      <c r="J23" s="1179"/>
      <c r="K23" s="1244"/>
      <c r="M23" s="385"/>
      <c r="N23" s="2046"/>
      <c r="O23" s="3013"/>
      <c r="P23" s="2595"/>
      <c r="Q23" s="2595"/>
      <c r="R23" s="2595"/>
      <c r="S23" s="2595"/>
      <c r="T23" s="2595"/>
      <c r="U23" s="2595"/>
      <c r="V23" s="2595"/>
      <c r="W23" s="2595"/>
      <c r="X23" s="2595"/>
      <c r="Y23" s="2595"/>
      <c r="Z23" s="2595"/>
      <c r="AG23" s="2046"/>
      <c r="AH23" s="2046"/>
    </row>
    <row r="24" spans="1:34" s="42" customFormat="1">
      <c r="A24"/>
      <c r="B24" s="1278"/>
      <c r="C24" s="1276" t="s">
        <v>3453</v>
      </c>
      <c r="D24" s="1179"/>
      <c r="E24" s="1179"/>
      <c r="F24" s="1179"/>
      <c r="G24" s="1179"/>
      <c r="H24" s="1179"/>
      <c r="I24" s="1179"/>
      <c r="J24" s="1179"/>
      <c r="K24" s="1244"/>
      <c r="M24" s="385"/>
      <c r="N24" s="2046"/>
      <c r="O24" s="3013"/>
      <c r="P24" s="2595"/>
      <c r="Q24" s="2595"/>
      <c r="R24" s="2595"/>
      <c r="S24" s="2595"/>
      <c r="T24" s="2595"/>
      <c r="U24" s="2595"/>
      <c r="V24" s="2595"/>
      <c r="W24" s="2595"/>
      <c r="X24" s="2595"/>
      <c r="Y24" s="2595"/>
      <c r="Z24" s="2595"/>
      <c r="AG24" s="2046"/>
      <c r="AH24" s="2046"/>
    </row>
    <row r="25" spans="1:34" s="42" customFormat="1" ht="13.5" thickBot="1">
      <c r="A25"/>
      <c r="B25" s="1278"/>
      <c r="C25" s="1276"/>
      <c r="D25" s="1179"/>
      <c r="E25" s="1179"/>
      <c r="F25" s="1179"/>
      <c r="G25" s="1179"/>
      <c r="H25" s="1179"/>
      <c r="I25" s="1179"/>
      <c r="J25" s="1179"/>
      <c r="K25" s="1244"/>
      <c r="M25" s="385"/>
      <c r="N25" s="2046"/>
      <c r="O25" s="3013"/>
      <c r="P25" s="2595"/>
      <c r="Q25" s="2595"/>
      <c r="R25" s="2595"/>
      <c r="S25" s="2595"/>
      <c r="T25" s="2595"/>
      <c r="U25" s="2595"/>
      <c r="V25" s="2595"/>
      <c r="W25" s="2595"/>
      <c r="X25" s="2595"/>
      <c r="Y25" s="2595"/>
      <c r="Z25" s="2595"/>
      <c r="AG25" s="2046"/>
      <c r="AH25" s="2046"/>
    </row>
    <row r="26" spans="1:34" s="42" customFormat="1" ht="13.5" thickBot="1">
      <c r="A26"/>
      <c r="B26" s="2050" t="s">
        <v>1630</v>
      </c>
      <c r="C26" s="1276" t="s">
        <v>3596</v>
      </c>
      <c r="D26" s="1179"/>
      <c r="E26" s="1179"/>
      <c r="F26" s="1179"/>
      <c r="G26" s="1179"/>
      <c r="H26" s="1179"/>
      <c r="I26" s="2049" t="s">
        <v>1630</v>
      </c>
      <c r="J26" s="2045">
        <f>SchC_StatEmp_Inc</f>
        <v>0</v>
      </c>
      <c r="K26" s="1244"/>
      <c r="M26" s="2048"/>
      <c r="N26" s="2046"/>
      <c r="O26" s="3013"/>
      <c r="P26" s="2595"/>
      <c r="Q26" s="2595"/>
      <c r="R26" s="2595"/>
      <c r="S26" s="2595"/>
      <c r="T26" s="2595"/>
      <c r="U26" s="2595"/>
      <c r="V26" s="2595"/>
      <c r="W26" s="2595"/>
      <c r="X26" s="2595"/>
      <c r="Y26" s="2595"/>
      <c r="Z26" s="2595"/>
      <c r="AG26" s="2046"/>
      <c r="AH26" s="2046"/>
    </row>
    <row r="27" spans="1:34" s="42" customFormat="1">
      <c r="A27"/>
      <c r="B27" s="1278"/>
      <c r="C27" s="1276"/>
      <c r="D27" s="1179"/>
      <c r="E27" s="1179"/>
      <c r="F27" s="1179"/>
      <c r="G27" s="1179"/>
      <c r="H27" s="1179"/>
      <c r="I27" s="1179"/>
      <c r="J27" s="2086" t="s">
        <v>3611</v>
      </c>
      <c r="K27" s="1244"/>
      <c r="M27" s="385"/>
      <c r="N27" s="2046"/>
      <c r="O27" s="3013"/>
      <c r="P27" s="2595"/>
      <c r="Q27" s="2595"/>
      <c r="R27" s="2595"/>
      <c r="S27" s="2595"/>
      <c r="T27" s="2595"/>
      <c r="U27" s="2595"/>
      <c r="V27" s="2595"/>
      <c r="W27" s="2595"/>
      <c r="X27" s="2595"/>
      <c r="Y27" s="2595"/>
      <c r="Z27" s="2595"/>
      <c r="AG27" s="2046"/>
      <c r="AH27" s="2046"/>
    </row>
    <row r="28" spans="1:34" s="42" customFormat="1">
      <c r="A28"/>
      <c r="B28" s="2050" t="s">
        <v>592</v>
      </c>
      <c r="C28" s="1276" t="s">
        <v>3607</v>
      </c>
      <c r="D28" s="1179"/>
      <c r="E28" s="1179"/>
      <c r="F28" s="1179"/>
      <c r="G28" s="1179"/>
      <c r="H28" s="1179"/>
      <c r="I28" s="1179"/>
      <c r="J28" s="2086" t="s">
        <v>3612</v>
      </c>
      <c r="K28" s="1244"/>
      <c r="M28" s="385"/>
      <c r="N28" s="2046"/>
      <c r="O28" s="3013"/>
      <c r="P28" s="2595"/>
      <c r="Q28" s="2595"/>
      <c r="R28" s="2595"/>
      <c r="S28" s="2595"/>
      <c r="T28" s="2595"/>
      <c r="U28" s="2595"/>
      <c r="V28" s="2595"/>
      <c r="W28" s="2595"/>
      <c r="X28" s="2595"/>
      <c r="Y28" s="2595"/>
      <c r="Z28" s="2595"/>
      <c r="AG28" s="2046"/>
      <c r="AH28" s="2046"/>
    </row>
    <row r="29" spans="1:34" s="42" customFormat="1">
      <c r="A29"/>
      <c r="B29" s="2050"/>
      <c r="C29" s="1276" t="s">
        <v>3597</v>
      </c>
      <c r="D29" s="1179"/>
      <c r="E29" s="1179"/>
      <c r="F29" s="1179"/>
      <c r="G29" s="1179"/>
      <c r="H29" s="1179"/>
      <c r="I29" s="1179"/>
      <c r="J29" s="1179"/>
      <c r="K29" s="1244"/>
      <c r="M29" s="385"/>
      <c r="N29" s="2046"/>
      <c r="O29" s="3013"/>
      <c r="P29" s="2595"/>
      <c r="Q29" s="2595"/>
      <c r="R29" s="2595"/>
      <c r="S29" s="2595"/>
      <c r="T29" s="2595"/>
      <c r="U29" s="2595"/>
      <c r="V29" s="2595"/>
      <c r="W29" s="2595"/>
      <c r="X29" s="2595"/>
      <c r="Y29" s="2595"/>
      <c r="Z29" s="2595"/>
      <c r="AG29" s="2046"/>
      <c r="AH29" s="2046"/>
    </row>
    <row r="30" spans="1:34" s="42" customFormat="1">
      <c r="A30"/>
      <c r="B30" s="2050"/>
      <c r="C30" s="1276" t="s">
        <v>3598</v>
      </c>
      <c r="D30" s="1179"/>
      <c r="E30" s="1179"/>
      <c r="F30" s="1179"/>
      <c r="G30" s="1179"/>
      <c r="H30" s="1179"/>
      <c r="I30" s="1179"/>
      <c r="J30" s="1179"/>
      <c r="K30" s="1244"/>
      <c r="M30" s="385"/>
      <c r="N30" s="2046"/>
      <c r="O30" s="3013"/>
      <c r="P30" s="2595"/>
      <c r="Q30" s="2595"/>
      <c r="R30" s="2595"/>
      <c r="S30" s="2595"/>
      <c r="T30" s="2595"/>
      <c r="U30" s="2595"/>
      <c r="V30" s="2595"/>
      <c r="W30" s="2595"/>
      <c r="X30" s="2595"/>
      <c r="Y30" s="2595"/>
      <c r="Z30" s="2595"/>
      <c r="AG30" s="2046"/>
      <c r="AH30" s="2046"/>
    </row>
    <row r="31" spans="1:34" s="42" customFormat="1">
      <c r="A31"/>
      <c r="B31" s="2050"/>
      <c r="C31" s="1276" t="s">
        <v>3599</v>
      </c>
      <c r="D31" s="1179"/>
      <c r="E31" s="1179"/>
      <c r="F31" s="1179"/>
      <c r="G31" s="1179"/>
      <c r="H31" s="1179"/>
      <c r="I31" s="1179"/>
      <c r="J31" s="1179"/>
      <c r="K31" s="1244"/>
      <c r="M31" s="385"/>
      <c r="N31" s="2046"/>
      <c r="O31" s="3013"/>
      <c r="P31" s="2595"/>
      <c r="Q31" s="2595"/>
      <c r="R31" s="2595"/>
      <c r="S31" s="2595"/>
      <c r="T31" s="2595"/>
      <c r="U31" s="2595"/>
      <c r="V31" s="2595"/>
      <c r="W31" s="2595"/>
      <c r="X31" s="2595"/>
      <c r="Y31" s="2595"/>
      <c r="Z31" s="2595"/>
      <c r="AG31" s="2046"/>
      <c r="AH31" s="2046"/>
    </row>
    <row r="32" spans="1:34" s="42" customFormat="1" ht="13.5" thickBot="1">
      <c r="A32"/>
      <c r="B32" s="2050"/>
      <c r="C32" s="1276" t="s">
        <v>3600</v>
      </c>
      <c r="D32" s="1179"/>
      <c r="E32" s="1179"/>
      <c r="F32" s="1179"/>
      <c r="G32" s="1179"/>
      <c r="H32" s="1179"/>
      <c r="I32" s="1179"/>
      <c r="J32" s="1179"/>
      <c r="K32" s="1244"/>
      <c r="M32" s="385"/>
      <c r="N32" s="2046"/>
      <c r="O32" s="3013"/>
      <c r="P32" s="2595"/>
      <c r="Q32" s="2595"/>
      <c r="R32" s="2595"/>
      <c r="S32" s="2595"/>
      <c r="T32" s="2595"/>
      <c r="U32" s="2595"/>
      <c r="V32" s="2595"/>
      <c r="W32" s="2595"/>
      <c r="X32" s="2595"/>
      <c r="Y32" s="2595"/>
      <c r="Z32" s="2595"/>
      <c r="AG32" s="2046"/>
      <c r="AH32" s="2046"/>
    </row>
    <row r="33" spans="1:34" s="42" customFormat="1" ht="13.5" thickBot="1">
      <c r="A33"/>
      <c r="B33" s="1278"/>
      <c r="C33" s="1276" t="s">
        <v>3601</v>
      </c>
      <c r="D33" s="1179"/>
      <c r="E33" s="1179"/>
      <c r="F33" s="1179"/>
      <c r="G33" s="1179"/>
      <c r="H33" s="1179"/>
      <c r="I33" s="2049" t="s">
        <v>2537</v>
      </c>
      <c r="J33" s="2045">
        <f>IF(M33&lt;&gt;"",ROUND(M33,0),SUM(SchC_ProfitLoss1,SchC_ProfitLoss2,-SchC_StatEmp_Inc))</f>
        <v>0</v>
      </c>
      <c r="K33" s="1244"/>
      <c r="M33" s="2048"/>
      <c r="N33" s="2046"/>
      <c r="O33" s="3013"/>
      <c r="P33" s="2595"/>
      <c r="Q33" s="2595"/>
      <c r="R33" s="2595"/>
      <c r="S33" s="2595"/>
      <c r="T33" s="2595"/>
      <c r="U33" s="2595"/>
      <c r="V33" s="2595"/>
      <c r="W33" s="2595"/>
      <c r="X33" s="2595"/>
      <c r="Y33" s="2595"/>
      <c r="Z33" s="2595"/>
      <c r="AG33" s="2046"/>
      <c r="AH33" s="2046"/>
    </row>
    <row r="34" spans="1:34" s="42" customFormat="1">
      <c r="A34"/>
      <c r="B34" s="1278"/>
      <c r="C34" s="1276"/>
      <c r="D34" s="1179"/>
      <c r="E34" s="1179"/>
      <c r="F34" s="1179"/>
      <c r="G34" s="1179"/>
      <c r="H34" s="1179"/>
      <c r="I34" s="1179"/>
      <c r="J34" s="2086" t="s">
        <v>3610</v>
      </c>
      <c r="K34" s="1244"/>
      <c r="M34" s="385"/>
      <c r="N34" s="2046"/>
      <c r="O34" s="3013"/>
      <c r="P34" s="2595"/>
      <c r="Q34" s="2595"/>
      <c r="R34" s="2595"/>
      <c r="S34" s="2595"/>
      <c r="T34" s="2595"/>
      <c r="U34" s="2595"/>
      <c r="V34" s="2595"/>
      <c r="W34" s="2595"/>
      <c r="X34" s="2595"/>
      <c r="Y34" s="2595"/>
      <c r="Z34" s="2595"/>
      <c r="AG34" s="2046"/>
      <c r="AH34" s="2046"/>
    </row>
    <row r="35" spans="1:34" s="42" customFormat="1">
      <c r="A35"/>
      <c r="B35" s="2050" t="s">
        <v>590</v>
      </c>
      <c r="C35" s="1276" t="s">
        <v>3608</v>
      </c>
      <c r="D35" s="1179"/>
      <c r="E35" s="1179"/>
      <c r="F35" s="1179"/>
      <c r="G35" s="1179"/>
      <c r="H35" s="1179"/>
      <c r="I35" s="1179"/>
      <c r="J35" s="1179"/>
      <c r="K35" s="1244"/>
      <c r="M35" s="385"/>
      <c r="N35" s="2046"/>
      <c r="O35" s="3013"/>
      <c r="P35" s="2595"/>
      <c r="Q35" s="2595"/>
      <c r="R35" s="2595"/>
      <c r="S35" s="2595"/>
      <c r="T35" s="2595"/>
      <c r="U35" s="2595"/>
      <c r="V35" s="2595"/>
      <c r="W35" s="2595"/>
      <c r="X35" s="2595"/>
      <c r="Y35" s="2595"/>
      <c r="Z35" s="2595"/>
      <c r="AG35" s="2046"/>
      <c r="AH35" s="2046"/>
    </row>
    <row r="36" spans="1:34" s="42" customFormat="1">
      <c r="A36"/>
      <c r="B36" s="2050"/>
      <c r="C36" s="1276" t="s">
        <v>3603</v>
      </c>
      <c r="D36" s="1179"/>
      <c r="E36" s="1179"/>
      <c r="F36" s="1179"/>
      <c r="G36" s="1179"/>
      <c r="H36" s="1179"/>
      <c r="I36" s="1179"/>
      <c r="J36" s="1179"/>
      <c r="K36" s="1244"/>
      <c r="M36" s="385"/>
      <c r="N36" s="2046"/>
      <c r="O36" s="3013"/>
      <c r="P36" s="2595"/>
      <c r="Q36" s="2595"/>
      <c r="R36" s="2595"/>
      <c r="S36" s="2595"/>
      <c r="T36" s="2595"/>
      <c r="U36" s="2595"/>
      <c r="V36" s="2595"/>
      <c r="W36" s="2595"/>
      <c r="X36" s="2595"/>
      <c r="Y36" s="2595"/>
      <c r="Z36" s="2595"/>
      <c r="AG36" s="2046"/>
      <c r="AH36" s="2046"/>
    </row>
    <row r="37" spans="1:34" s="42" customFormat="1">
      <c r="A37"/>
      <c r="B37" s="2050"/>
      <c r="C37" s="1276" t="s">
        <v>3604</v>
      </c>
      <c r="D37" s="1179"/>
      <c r="E37" s="1179"/>
      <c r="F37" s="1179"/>
      <c r="G37" s="1179"/>
      <c r="H37" s="1179"/>
      <c r="I37" s="1179"/>
      <c r="J37" s="1179"/>
      <c r="K37" s="1244"/>
      <c r="M37" s="385"/>
      <c r="N37" s="2046"/>
      <c r="O37" s="3013"/>
      <c r="P37" s="2595"/>
      <c r="Q37" s="2595"/>
      <c r="R37" s="2595"/>
      <c r="S37" s="2595"/>
      <c r="T37" s="2595"/>
      <c r="U37" s="2595"/>
      <c r="V37" s="2595"/>
      <c r="W37" s="2595"/>
      <c r="X37" s="2595"/>
      <c r="Y37" s="2595"/>
      <c r="Z37" s="2595"/>
      <c r="AG37" s="2046"/>
      <c r="AH37" s="2046"/>
    </row>
    <row r="38" spans="1:34" s="42" customFormat="1" ht="13.5" thickBot="1">
      <c r="A38"/>
      <c r="B38" s="2050"/>
      <c r="C38" s="1276" t="s">
        <v>3605</v>
      </c>
      <c r="D38" s="1179"/>
      <c r="E38" s="1179"/>
      <c r="F38" s="1179"/>
      <c r="G38" s="1179"/>
      <c r="H38" s="1179"/>
      <c r="I38" s="1179"/>
      <c r="J38" s="1179"/>
      <c r="K38" s="1244"/>
      <c r="M38" s="385"/>
      <c r="N38" s="2046"/>
      <c r="O38" s="3013"/>
      <c r="P38" s="2595"/>
      <c r="Q38" s="2595"/>
      <c r="R38" s="2595"/>
      <c r="S38" s="2595"/>
      <c r="T38" s="2595"/>
      <c r="U38" s="2595"/>
      <c r="V38" s="2595"/>
      <c r="W38" s="2595"/>
      <c r="X38" s="2595"/>
      <c r="Y38" s="2595"/>
      <c r="Z38" s="2595"/>
      <c r="AG38" s="2046"/>
      <c r="AH38" s="2046"/>
    </row>
    <row r="39" spans="1:34" s="42" customFormat="1" ht="13.5" thickBot="1">
      <c r="A39"/>
      <c r="B39" s="1278"/>
      <c r="C39" s="1276" t="s">
        <v>3606</v>
      </c>
      <c r="D39" s="1179"/>
      <c r="E39" s="1179"/>
      <c r="F39" s="1179"/>
      <c r="G39" s="1179"/>
      <c r="H39" s="1179"/>
      <c r="I39" s="2049" t="s">
        <v>3602</v>
      </c>
      <c r="J39" s="2045">
        <f>IF(M39&lt;&gt;"",ROUND(M39,0),FarmProfitNet)</f>
        <v>0</v>
      </c>
      <c r="K39" s="1244"/>
      <c r="M39" s="2048"/>
      <c r="N39" s="2046"/>
      <c r="O39" s="3013"/>
      <c r="P39" s="2595"/>
      <c r="Q39" s="2595"/>
      <c r="R39" s="2595"/>
      <c r="S39" s="2595"/>
      <c r="T39" s="2595"/>
      <c r="U39" s="2595"/>
      <c r="V39" s="2595"/>
      <c r="W39" s="2595"/>
      <c r="X39" s="2595"/>
      <c r="Y39" s="2595"/>
      <c r="Z39" s="2595"/>
      <c r="AG39" s="2046"/>
      <c r="AH39" s="2046"/>
    </row>
    <row r="40" spans="1:34" s="42" customFormat="1">
      <c r="A40"/>
      <c r="B40" s="1278"/>
      <c r="C40" s="1276"/>
      <c r="D40" s="1179"/>
      <c r="E40" s="1179"/>
      <c r="F40" s="1179"/>
      <c r="G40" s="1179"/>
      <c r="H40" s="1179"/>
      <c r="I40" s="1179"/>
      <c r="J40" s="2086" t="s">
        <v>3609</v>
      </c>
      <c r="K40" s="1244"/>
      <c r="M40" s="385"/>
      <c r="N40" s="2046"/>
      <c r="O40" s="3013"/>
      <c r="P40" s="2595"/>
      <c r="Q40" s="2595"/>
      <c r="R40" s="2595"/>
      <c r="S40" s="2595"/>
      <c r="T40" s="2595"/>
      <c r="U40" s="2595"/>
      <c r="V40" s="2595"/>
      <c r="W40" s="2595"/>
      <c r="X40" s="2595"/>
      <c r="Y40" s="2595"/>
      <c r="Z40" s="2595"/>
      <c r="AG40" s="2046"/>
      <c r="AH40" s="2046"/>
    </row>
    <row r="41" spans="1:34" s="42" customFormat="1">
      <c r="A41"/>
      <c r="B41" s="2050" t="s">
        <v>1307</v>
      </c>
      <c r="C41" s="1276" t="s">
        <v>3615</v>
      </c>
      <c r="D41" s="1179"/>
      <c r="E41" s="1179"/>
      <c r="F41" s="1179"/>
      <c r="G41" s="1179"/>
      <c r="H41" s="1179"/>
      <c r="I41" s="1179"/>
      <c r="J41" s="1179"/>
      <c r="K41" s="1244"/>
      <c r="M41" s="385"/>
      <c r="N41" s="2046"/>
      <c r="O41" s="3013"/>
      <c r="P41" s="2595"/>
      <c r="Q41" s="2595"/>
      <c r="R41" s="2595"/>
      <c r="S41" s="2595"/>
      <c r="T41" s="2595"/>
      <c r="U41" s="2595"/>
      <c r="V41" s="2595"/>
      <c r="W41" s="2595"/>
      <c r="X41" s="2595"/>
      <c r="Y41" s="2595"/>
      <c r="Z41" s="2595"/>
      <c r="AG41" s="2046"/>
      <c r="AH41" s="2046"/>
    </row>
    <row r="42" spans="1:34" s="42" customFormat="1" ht="13.5" thickBot="1">
      <c r="A42"/>
      <c r="B42" s="2050"/>
      <c r="C42" s="1276" t="s">
        <v>3616</v>
      </c>
      <c r="D42" s="1179"/>
      <c r="E42" s="1179"/>
      <c r="F42" s="1179"/>
      <c r="G42" s="1179"/>
      <c r="H42" s="1179"/>
      <c r="I42" s="1179"/>
      <c r="J42" s="1179"/>
      <c r="K42" s="1244"/>
      <c r="M42" s="385"/>
      <c r="N42" s="2046"/>
      <c r="O42" s="3013"/>
      <c r="P42" s="2595"/>
      <c r="Q42" s="2595"/>
      <c r="R42" s="2595"/>
      <c r="S42" s="2595"/>
      <c r="T42" s="2595"/>
      <c r="U42" s="2595"/>
      <c r="V42" s="2595"/>
      <c r="W42" s="2595"/>
      <c r="X42" s="2595"/>
      <c r="Y42" s="2595"/>
      <c r="Z42" s="2595"/>
      <c r="AG42" s="2046"/>
      <c r="AH42" s="2046"/>
    </row>
    <row r="43" spans="1:34" s="42" customFormat="1" ht="13.5" thickBot="1">
      <c r="A43"/>
      <c r="B43" s="1278"/>
      <c r="C43" s="1276" t="s">
        <v>3614</v>
      </c>
      <c r="D43" s="1179"/>
      <c r="E43" s="1179"/>
      <c r="F43" s="1179"/>
      <c r="G43" s="1179"/>
      <c r="H43" s="1179"/>
      <c r="I43" s="2049" t="s">
        <v>3613</v>
      </c>
      <c r="J43" s="2045">
        <f>IF(M43&lt;&gt;"",ROUND(M43,0),SUM(ROUND(FarmOptMeth1,0),ROUND(FarmOptMeth2,0)))</f>
        <v>0</v>
      </c>
      <c r="K43" s="1244"/>
      <c r="M43" s="2048"/>
      <c r="N43" s="2046"/>
      <c r="O43" s="3013"/>
      <c r="P43" s="2595"/>
      <c r="Q43" s="2595"/>
      <c r="R43" s="2595"/>
      <c r="S43" s="2595"/>
      <c r="T43" s="2595"/>
      <c r="U43" s="2595"/>
      <c r="V43" s="2595"/>
      <c r="W43" s="2595"/>
      <c r="X43" s="2595"/>
      <c r="Y43" s="2595"/>
      <c r="Z43" s="2595"/>
      <c r="AG43" s="2046"/>
      <c r="AH43" s="2046"/>
    </row>
    <row r="44" spans="1:34" s="42" customFormat="1">
      <c r="A44"/>
      <c r="B44" s="1278"/>
      <c r="C44" s="1276"/>
      <c r="D44" s="1179"/>
      <c r="E44" s="1179"/>
      <c r="F44" s="1179"/>
      <c r="G44" s="1179"/>
      <c r="H44" s="1179"/>
      <c r="I44" s="1179"/>
      <c r="J44" s="2086" t="s">
        <v>3617</v>
      </c>
      <c r="K44" s="1244"/>
      <c r="M44" s="385"/>
      <c r="N44" s="2046"/>
      <c r="O44" s="3013"/>
      <c r="P44" s="2595"/>
      <c r="Q44" s="2595"/>
      <c r="R44" s="2595"/>
      <c r="S44" s="2595"/>
      <c r="T44" s="2595"/>
      <c r="U44" s="2595"/>
      <c r="V44" s="2595"/>
      <c r="W44" s="2595"/>
      <c r="X44" s="2595"/>
      <c r="Y44" s="2595"/>
      <c r="Z44" s="2595"/>
      <c r="AG44" s="2046"/>
      <c r="AH44" s="2046"/>
    </row>
    <row r="45" spans="1:34" s="42" customFormat="1">
      <c r="A45"/>
      <c r="B45" s="2050"/>
      <c r="C45" s="1276"/>
      <c r="D45" s="1179"/>
      <c r="E45" s="1179"/>
      <c r="F45" s="1179"/>
      <c r="G45" s="1179"/>
      <c r="H45" s="1179"/>
      <c r="I45" s="1179"/>
      <c r="J45" s="2086" t="s">
        <v>3618</v>
      </c>
      <c r="K45" s="1244"/>
      <c r="M45" s="385"/>
      <c r="N45" s="2046"/>
      <c r="O45" s="3013"/>
      <c r="P45" s="2595"/>
      <c r="Q45" s="2595"/>
      <c r="R45" s="2595"/>
      <c r="S45" s="2595"/>
      <c r="T45" s="2595"/>
      <c r="U45" s="2595"/>
      <c r="V45" s="2595"/>
      <c r="W45" s="2595"/>
      <c r="X45" s="2595"/>
      <c r="Y45" s="2595"/>
      <c r="Z45" s="2595"/>
      <c r="AG45" s="2046"/>
      <c r="AH45" s="2046"/>
    </row>
    <row r="46" spans="1:34" s="42" customFormat="1" ht="13.5" thickBot="1">
      <c r="A46"/>
      <c r="B46" s="2050" t="s">
        <v>1309</v>
      </c>
      <c r="C46" s="1276" t="s">
        <v>3619</v>
      </c>
      <c r="D46" s="1179"/>
      <c r="E46" s="1179"/>
      <c r="F46" s="1179"/>
      <c r="G46" s="1179"/>
      <c r="H46" s="1179"/>
      <c r="I46" s="1179"/>
      <c r="J46" s="2086"/>
      <c r="K46" s="1244"/>
      <c r="M46" s="385"/>
      <c r="N46" s="2046"/>
      <c r="O46" s="3013"/>
      <c r="P46" s="2595"/>
      <c r="Q46" s="2595"/>
      <c r="R46" s="2595"/>
      <c r="S46" s="2595"/>
      <c r="T46" s="2595"/>
      <c r="U46" s="2595"/>
      <c r="V46" s="2595"/>
      <c r="W46" s="2595"/>
      <c r="X46" s="2595"/>
      <c r="Y46" s="2595"/>
      <c r="Z46" s="2595"/>
      <c r="AG46" s="2046"/>
      <c r="AH46" s="2046"/>
    </row>
    <row r="47" spans="1:34" s="42" customFormat="1" ht="13.5" thickBot="1">
      <c r="A47"/>
      <c r="B47" s="1278"/>
      <c r="C47" s="1276" t="s">
        <v>3620</v>
      </c>
      <c r="D47" s="1179"/>
      <c r="E47" s="1179"/>
      <c r="F47" s="1179"/>
      <c r="G47" s="1179"/>
      <c r="H47" s="1179"/>
      <c r="I47" s="2049" t="s">
        <v>3621</v>
      </c>
      <c r="J47" s="2045">
        <f>IF(M47&lt;&gt;"",ROUND(M47,0),IF(J39&gt;0,MIN(J39,J43),IF(J39&lt;0,J39,0)))</f>
        <v>0</v>
      </c>
      <c r="K47" s="1244"/>
      <c r="M47" s="2048"/>
      <c r="N47" s="2046"/>
      <c r="O47" s="3013"/>
      <c r="P47" s="2595"/>
      <c r="Q47" s="2595"/>
      <c r="R47" s="2595"/>
      <c r="S47" s="2595"/>
      <c r="T47" s="2595"/>
      <c r="U47" s="2595"/>
      <c r="V47" s="2595"/>
      <c r="W47" s="2595"/>
      <c r="X47" s="2595"/>
      <c r="Y47" s="2595"/>
      <c r="Z47" s="2595"/>
      <c r="AG47" s="2046"/>
      <c r="AH47" s="2046"/>
    </row>
    <row r="48" spans="1:34" s="42" customFormat="1">
      <c r="A48"/>
      <c r="B48" s="2050"/>
      <c r="C48" s="1276"/>
      <c r="D48" s="1179"/>
      <c r="E48" s="1179"/>
      <c r="F48" s="1179"/>
      <c r="G48" s="1179"/>
      <c r="H48" s="1179"/>
      <c r="I48" s="1179"/>
      <c r="J48" s="2086"/>
      <c r="K48" s="1244"/>
      <c r="M48" s="385"/>
      <c r="N48" s="2046"/>
      <c r="O48" s="3013"/>
      <c r="P48" s="2595"/>
      <c r="Q48" s="2595"/>
      <c r="R48" s="2595"/>
      <c r="S48" s="2595"/>
      <c r="T48" s="2595"/>
      <c r="U48" s="2595"/>
      <c r="V48" s="2595"/>
      <c r="W48" s="2595"/>
      <c r="X48" s="2595"/>
      <c r="Y48" s="2595"/>
      <c r="Z48" s="2595"/>
      <c r="AG48" s="2046"/>
      <c r="AH48" s="2046"/>
    </row>
    <row r="49" spans="1:34" s="42" customFormat="1" ht="13.5" thickBot="1">
      <c r="A49"/>
      <c r="B49" s="2050" t="s">
        <v>1</v>
      </c>
      <c r="C49" s="1276" t="s">
        <v>3623</v>
      </c>
      <c r="D49" s="1179"/>
      <c r="E49" s="1179"/>
      <c r="F49" s="1276" t="s">
        <v>3624</v>
      </c>
      <c r="G49" s="1179"/>
      <c r="H49" s="1179"/>
      <c r="I49" s="1179"/>
      <c r="J49" s="2086"/>
      <c r="K49" s="1244"/>
      <c r="M49" s="385"/>
      <c r="N49" s="2046"/>
      <c r="O49" s="3013"/>
      <c r="P49" s="2595"/>
      <c r="Q49" s="2595"/>
      <c r="R49" s="2595"/>
      <c r="S49" s="2595"/>
      <c r="T49" s="2595"/>
      <c r="U49" s="2595"/>
      <c r="V49" s="2595"/>
      <c r="W49" s="2595"/>
      <c r="X49" s="2595"/>
      <c r="Y49" s="2595"/>
      <c r="Z49" s="2595"/>
      <c r="AG49" s="2046"/>
      <c r="AH49" s="2046"/>
    </row>
    <row r="50" spans="1:34" s="42" customFormat="1" ht="13.5" thickBot="1">
      <c r="A50"/>
      <c r="B50" s="1278"/>
      <c r="C50" s="1276" t="s">
        <v>3622</v>
      </c>
      <c r="D50" s="1179"/>
      <c r="E50" s="1179"/>
      <c r="F50" s="1179"/>
      <c r="G50" s="1179"/>
      <c r="H50" s="1179"/>
      <c r="I50" s="2049" t="s">
        <v>1</v>
      </c>
      <c r="J50" s="2045">
        <f>IF(M50&lt;&gt;"",ROUND(M50,0),SUM(J16,J21,J26,J33,J47))</f>
        <v>0</v>
      </c>
      <c r="K50" s="1244"/>
      <c r="M50" s="2048"/>
      <c r="N50" s="2046"/>
      <c r="O50" s="3013"/>
      <c r="P50" s="2595"/>
      <c r="Q50" s="2595"/>
      <c r="R50" s="2595"/>
      <c r="S50" s="2595"/>
      <c r="T50" s="2595"/>
      <c r="U50" s="2595"/>
      <c r="V50" s="2595"/>
      <c r="W50" s="2595"/>
      <c r="X50" s="2595"/>
      <c r="Y50" s="2595"/>
      <c r="Z50" s="2595"/>
      <c r="AG50" s="2046"/>
      <c r="AH50" s="2046"/>
    </row>
    <row r="51" spans="1:34" s="42" customFormat="1">
      <c r="A51"/>
      <c r="B51" s="1278"/>
      <c r="C51" s="1276"/>
      <c r="D51" s="1179"/>
      <c r="E51" s="1179"/>
      <c r="F51" s="1179"/>
      <c r="G51" s="1179"/>
      <c r="H51" s="1179"/>
      <c r="I51" s="1179"/>
      <c r="J51" s="4281" t="b">
        <f>J50&lt;=0</f>
        <v>1</v>
      </c>
      <c r="K51" s="1244"/>
      <c r="M51" s="385"/>
      <c r="N51" s="2046"/>
      <c r="O51" s="3013"/>
      <c r="P51" s="2595"/>
      <c r="Q51" s="2595"/>
      <c r="R51" s="2595"/>
      <c r="S51" s="2595"/>
      <c r="T51" s="2595"/>
      <c r="U51" s="2595"/>
      <c r="V51" s="2595"/>
      <c r="W51" s="2595"/>
      <c r="X51" s="2595"/>
      <c r="Y51" s="2595"/>
      <c r="Z51" s="2595"/>
      <c r="AG51" s="2046"/>
      <c r="AH51" s="2046"/>
    </row>
    <row r="52" spans="1:34" s="42" customFormat="1">
      <c r="A52"/>
      <c r="B52" s="1278"/>
      <c r="C52" s="1283" t="s">
        <v>3959</v>
      </c>
      <c r="D52" s="1179"/>
      <c r="E52" s="1179"/>
      <c r="F52" s="1179"/>
      <c r="G52" s="1179"/>
      <c r="H52" s="1179"/>
      <c r="I52" s="1179"/>
      <c r="J52" s="4281"/>
      <c r="K52" s="1244"/>
      <c r="M52" s="385"/>
      <c r="N52" s="2046"/>
      <c r="O52" s="3013"/>
      <c r="P52" s="2595"/>
      <c r="Q52" s="2595"/>
      <c r="R52" s="2595"/>
      <c r="S52" s="2595"/>
      <c r="T52" s="2595"/>
      <c r="U52" s="2595"/>
      <c r="V52" s="2595"/>
      <c r="W52" s="2595"/>
      <c r="X52" s="2595"/>
      <c r="Y52" s="2595"/>
      <c r="Z52" s="2595"/>
      <c r="AG52" s="2046"/>
      <c r="AH52" s="2046"/>
    </row>
    <row r="53" spans="1:34" s="42" customFormat="1">
      <c r="A53"/>
      <c r="B53" s="2050" t="s">
        <v>399</v>
      </c>
      <c r="C53" s="1276" t="s">
        <v>3625</v>
      </c>
      <c r="D53" s="1179"/>
      <c r="E53" s="1179"/>
      <c r="F53" s="1179"/>
      <c r="G53" s="1179"/>
      <c r="H53" s="2065"/>
      <c r="I53" s="2049"/>
      <c r="J53" s="1179"/>
      <c r="K53" s="1244"/>
      <c r="M53" s="385"/>
      <c r="N53" s="2046"/>
      <c r="O53" s="3013"/>
      <c r="P53" s="2595"/>
      <c r="Q53" s="2595"/>
      <c r="R53" s="2595"/>
      <c r="S53" s="2595"/>
      <c r="T53" s="2595"/>
      <c r="U53" s="2595"/>
      <c r="V53" s="2595"/>
      <c r="W53" s="2595"/>
      <c r="X53" s="2595"/>
      <c r="Y53" s="2595"/>
      <c r="Z53" s="2595"/>
      <c r="AG53" s="2046"/>
      <c r="AH53" s="2046"/>
    </row>
    <row r="54" spans="1:34" s="42" customFormat="1">
      <c r="A54"/>
      <c r="B54" s="2050"/>
      <c r="C54" s="2057" t="s">
        <v>591</v>
      </c>
      <c r="D54" s="1276" t="s">
        <v>3639</v>
      </c>
      <c r="E54" s="1179"/>
      <c r="F54" s="1179"/>
      <c r="G54" s="1179"/>
      <c r="H54" s="1179"/>
      <c r="I54" s="2049" t="s">
        <v>1321</v>
      </c>
      <c r="J54" s="1849">
        <f>F1099G_TaxGrants</f>
        <v>0</v>
      </c>
      <c r="K54" s="1244"/>
      <c r="M54" s="385"/>
      <c r="N54" s="2046"/>
      <c r="O54" s="3013"/>
      <c r="P54" s="2595"/>
      <c r="Q54" s="2595"/>
      <c r="R54" s="2595"/>
      <c r="S54" s="2595"/>
      <c r="T54" s="2595"/>
      <c r="U54" s="2595"/>
      <c r="V54" s="2595"/>
      <c r="W54" s="2595"/>
      <c r="X54" s="2595"/>
      <c r="Y54" s="2595"/>
      <c r="Z54" s="2595"/>
      <c r="AG54" s="2046"/>
      <c r="AH54" s="2046"/>
    </row>
    <row r="55" spans="1:34" s="42" customFormat="1">
      <c r="A55"/>
      <c r="B55" s="2050"/>
      <c r="C55" s="2057" t="s">
        <v>592</v>
      </c>
      <c r="D55" s="1276" t="s">
        <v>3638</v>
      </c>
      <c r="E55" s="1179"/>
      <c r="F55" s="1179"/>
      <c r="G55" s="1179"/>
      <c r="H55" s="1179"/>
      <c r="I55" s="1179"/>
      <c r="J55" s="1179"/>
      <c r="K55" s="1244"/>
      <c r="M55" s="385"/>
      <c r="N55" s="2046"/>
      <c r="O55" s="3013"/>
      <c r="P55" s="2595"/>
      <c r="Q55" s="2595"/>
      <c r="R55" s="2595"/>
      <c r="S55" s="2595"/>
      <c r="T55" s="2595"/>
      <c r="U55" s="2595"/>
      <c r="V55" s="2595"/>
      <c r="W55" s="2595"/>
      <c r="X55" s="2595"/>
      <c r="Y55" s="2595"/>
      <c r="Z55" s="2595"/>
      <c r="AG55" s="2046"/>
      <c r="AH55" s="2046"/>
    </row>
    <row r="56" spans="1:34" s="42" customFormat="1">
      <c r="A56"/>
      <c r="B56" s="2050"/>
      <c r="C56" s="1276"/>
      <c r="D56" s="1276" t="s">
        <v>3626</v>
      </c>
      <c r="E56" s="1179"/>
      <c r="F56" s="1179"/>
      <c r="G56" s="1179"/>
      <c r="H56" s="1179"/>
      <c r="I56" s="2049" t="s">
        <v>3628</v>
      </c>
      <c r="J56" s="1849"/>
      <c r="K56" s="1244"/>
      <c r="M56" s="385"/>
      <c r="N56" s="2046"/>
      <c r="O56" s="3013"/>
      <c r="P56" s="2595"/>
      <c r="Q56" s="2595"/>
      <c r="R56" s="2595"/>
      <c r="S56" s="2595"/>
      <c r="T56" s="2595"/>
      <c r="U56" s="2595"/>
      <c r="V56" s="2595"/>
      <c r="W56" s="2595"/>
      <c r="X56" s="2595"/>
      <c r="Y56" s="2595"/>
      <c r="Z56" s="2595"/>
      <c r="AG56" s="2046"/>
      <c r="AH56" s="2046"/>
    </row>
    <row r="57" spans="1:34" s="42" customFormat="1">
      <c r="A57"/>
      <c r="B57" s="2050"/>
      <c r="C57" s="2057" t="s">
        <v>590</v>
      </c>
      <c r="D57" s="1276" t="s">
        <v>3637</v>
      </c>
      <c r="E57" s="1179"/>
      <c r="F57" s="1179"/>
      <c r="G57" s="1179"/>
      <c r="H57" s="1179"/>
      <c r="I57" s="1179"/>
      <c r="J57" s="1179"/>
      <c r="K57" s="1244"/>
      <c r="M57" s="385"/>
      <c r="N57" s="2046"/>
      <c r="O57" s="3013"/>
      <c r="P57" s="2595"/>
      <c r="Q57" s="2595"/>
      <c r="R57" s="2595"/>
      <c r="S57" s="2595"/>
      <c r="T57" s="2595"/>
      <c r="U57" s="2595"/>
      <c r="V57" s="2595"/>
      <c r="W57" s="2595"/>
      <c r="X57" s="2595"/>
      <c r="Y57" s="2595"/>
      <c r="Z57" s="2595"/>
      <c r="AG57" s="2046"/>
      <c r="AH57" s="2046"/>
    </row>
    <row r="58" spans="1:34" s="42" customFormat="1">
      <c r="A58"/>
      <c r="B58" s="2050"/>
      <c r="C58" s="1276"/>
      <c r="D58" s="1179" t="s">
        <v>3627</v>
      </c>
      <c r="E58" s="1179"/>
      <c r="F58" s="1179"/>
      <c r="G58" s="1179"/>
      <c r="H58" s="1179"/>
      <c r="I58" s="1179"/>
      <c r="J58" s="1179"/>
      <c r="K58" s="1244"/>
      <c r="M58" s="385"/>
      <c r="N58" s="2046"/>
      <c r="O58" s="3013"/>
      <c r="P58" s="2595"/>
      <c r="Q58" s="2595"/>
      <c r="R58" s="2595"/>
      <c r="S58" s="2595"/>
      <c r="T58" s="2595"/>
      <c r="U58" s="2595"/>
      <c r="V58" s="2595"/>
      <c r="W58" s="2595"/>
      <c r="X58" s="2595"/>
      <c r="Y58" s="2595"/>
      <c r="Z58" s="2595"/>
      <c r="AG58" s="2046"/>
      <c r="AH58" s="2046"/>
    </row>
    <row r="59" spans="1:34" s="42" customFormat="1">
      <c r="A59"/>
      <c r="B59" s="2050"/>
      <c r="C59" s="1276"/>
      <c r="D59" s="1276" t="s">
        <v>3954</v>
      </c>
      <c r="E59" s="1179"/>
      <c r="F59" s="1179"/>
      <c r="G59" s="1179"/>
      <c r="H59" s="1179"/>
      <c r="I59" s="1179"/>
      <c r="J59" s="1179"/>
      <c r="K59" s="1244"/>
      <c r="M59" s="385"/>
      <c r="N59" s="2046"/>
      <c r="O59" s="3013"/>
      <c r="P59" s="2595"/>
      <c r="Q59" s="2595"/>
      <c r="R59" s="2595"/>
      <c r="S59" s="2595"/>
      <c r="T59" s="2595"/>
      <c r="U59" s="2595"/>
      <c r="V59" s="2595"/>
      <c r="W59" s="2595"/>
      <c r="X59" s="2595"/>
      <c r="Y59" s="2595"/>
      <c r="Z59" s="2595"/>
      <c r="AG59" s="2046"/>
      <c r="AH59" s="2046"/>
    </row>
    <row r="60" spans="1:34" s="42" customFormat="1" ht="13.5" thickBot="1">
      <c r="A60"/>
      <c r="B60" s="2050"/>
      <c r="C60" s="1276"/>
      <c r="D60" s="1276" t="s">
        <v>3955</v>
      </c>
      <c r="E60" s="1179"/>
      <c r="F60" s="1179"/>
      <c r="G60" s="1179"/>
      <c r="H60" s="1179"/>
      <c r="I60" s="1179"/>
      <c r="J60" s="1179"/>
      <c r="K60" s="1244"/>
      <c r="M60" s="385"/>
      <c r="N60" s="2046"/>
      <c r="O60" s="3013"/>
      <c r="P60" s="2595"/>
      <c r="Q60" s="2595"/>
      <c r="R60" s="2595"/>
      <c r="S60" s="2595"/>
      <c r="T60" s="2595"/>
      <c r="U60" s="2595"/>
      <c r="V60" s="2595"/>
      <c r="W60" s="2595"/>
      <c r="X60" s="2595"/>
      <c r="Y60" s="2595"/>
      <c r="Z60" s="2595"/>
      <c r="AG60" s="2046"/>
      <c r="AH60" s="2046"/>
    </row>
    <row r="61" spans="1:34" s="42" customFormat="1" ht="13.5" thickBot="1">
      <c r="A61"/>
      <c r="B61" s="1278"/>
      <c r="C61" s="1276"/>
      <c r="D61" s="1276" t="s">
        <v>3956</v>
      </c>
      <c r="E61" s="1179"/>
      <c r="F61" s="1179"/>
      <c r="G61" s="1179"/>
      <c r="H61" s="1179"/>
      <c r="I61" s="2049" t="s">
        <v>3629</v>
      </c>
      <c r="J61" s="1849"/>
      <c r="K61" s="1244"/>
      <c r="M61" s="2048"/>
      <c r="N61" s="2046"/>
      <c r="O61" s="3013"/>
      <c r="P61" s="2595"/>
      <c r="Q61" s="2595"/>
      <c r="R61" s="2595"/>
      <c r="S61" s="2595"/>
      <c r="T61" s="2595"/>
      <c r="U61" s="2595"/>
      <c r="V61" s="2595"/>
      <c r="W61" s="2595"/>
      <c r="X61" s="2595"/>
      <c r="Y61" s="2595"/>
      <c r="Z61" s="2595"/>
      <c r="AG61" s="2046"/>
      <c r="AH61" s="2046"/>
    </row>
    <row r="62" spans="1:34" s="42" customFormat="1">
      <c r="A62"/>
      <c r="B62" s="2050"/>
      <c r="C62" s="2057" t="s">
        <v>1307</v>
      </c>
      <c r="D62" s="1276" t="s">
        <v>3640</v>
      </c>
      <c r="E62" s="1179"/>
      <c r="F62" s="1179"/>
      <c r="G62" s="1179"/>
      <c r="H62" s="1179"/>
      <c r="I62" s="1179"/>
      <c r="J62" s="1179"/>
      <c r="K62" s="1244"/>
      <c r="M62" s="385"/>
      <c r="N62" s="2046"/>
      <c r="O62" s="3013"/>
      <c r="P62" s="2595"/>
      <c r="Q62" s="2595"/>
      <c r="R62" s="2595"/>
      <c r="S62" s="2595"/>
      <c r="T62" s="2595"/>
      <c r="U62" s="2595"/>
      <c r="V62" s="2595"/>
      <c r="W62" s="2595"/>
      <c r="X62" s="2595"/>
      <c r="Y62" s="2595"/>
      <c r="Z62" s="2595"/>
      <c r="AG62" s="2046"/>
      <c r="AH62" s="2046"/>
    </row>
    <row r="63" spans="1:34" s="42" customFormat="1">
      <c r="A63"/>
      <c r="B63" s="2050"/>
      <c r="C63" s="1276"/>
      <c r="D63" s="1276" t="s">
        <v>3958</v>
      </c>
      <c r="E63" s="1179"/>
      <c r="F63" s="1179"/>
      <c r="G63" s="1179"/>
      <c r="H63" s="1179"/>
      <c r="I63" s="1179"/>
      <c r="J63" s="1179"/>
      <c r="K63" s="1244"/>
      <c r="M63" s="385"/>
      <c r="N63" s="2046"/>
      <c r="O63" s="3013"/>
      <c r="P63" s="2595"/>
      <c r="Q63" s="2595"/>
      <c r="R63" s="2595"/>
      <c r="S63" s="2595"/>
      <c r="T63" s="2595"/>
      <c r="U63" s="2595"/>
      <c r="V63" s="2595"/>
      <c r="W63" s="2595"/>
      <c r="X63" s="2595"/>
      <c r="Y63" s="2595"/>
      <c r="Z63" s="2595"/>
      <c r="AG63" s="2046"/>
      <c r="AH63" s="2046"/>
    </row>
    <row r="64" spans="1:34" s="42" customFormat="1">
      <c r="A64"/>
      <c r="B64" s="1278"/>
      <c r="C64" s="1276"/>
      <c r="D64" s="1276" t="s">
        <v>3957</v>
      </c>
      <c r="E64" s="1179"/>
      <c r="F64" s="1179"/>
      <c r="G64" s="1179"/>
      <c r="H64" s="1179"/>
      <c r="I64" s="2049" t="s">
        <v>3630</v>
      </c>
      <c r="J64" s="1849"/>
      <c r="K64" s="1244"/>
      <c r="M64" s="385"/>
      <c r="N64" s="2046"/>
      <c r="O64" s="3013"/>
      <c r="P64" s="2595"/>
      <c r="Q64" s="2595"/>
      <c r="R64" s="2595"/>
      <c r="S64" s="2595"/>
      <c r="T64" s="2595"/>
      <c r="U64" s="2595"/>
      <c r="V64" s="2595"/>
      <c r="W64" s="2595"/>
      <c r="X64" s="2595"/>
      <c r="Y64" s="2595"/>
      <c r="Z64" s="2595"/>
      <c r="AG64" s="2046"/>
      <c r="AH64" s="2046"/>
    </row>
    <row r="65" spans="1:39" s="42" customFormat="1">
      <c r="A65"/>
      <c r="B65" s="2050"/>
      <c r="C65" s="1276"/>
      <c r="D65" s="1179"/>
      <c r="E65" s="1179"/>
      <c r="F65" s="1179"/>
      <c r="G65" s="1179"/>
      <c r="H65" s="1179"/>
      <c r="I65" s="2049"/>
      <c r="J65" s="1179"/>
      <c r="K65" s="1244"/>
      <c r="M65" s="385"/>
      <c r="N65" s="2046"/>
      <c r="O65" s="3013"/>
      <c r="P65" s="2595"/>
      <c r="Q65" s="2595"/>
      <c r="R65" s="2595"/>
      <c r="S65" s="2595"/>
      <c r="T65" s="2595"/>
      <c r="U65" s="2595"/>
      <c r="V65" s="2595"/>
      <c r="W65" s="2595"/>
      <c r="X65" s="2595"/>
      <c r="Y65" s="2595"/>
      <c r="Z65" s="2595"/>
      <c r="AG65" s="2046"/>
      <c r="AH65" s="2046"/>
    </row>
    <row r="66" spans="1:39" s="42" customFormat="1">
      <c r="A66"/>
      <c r="B66" s="2050" t="s">
        <v>31</v>
      </c>
      <c r="C66" s="1276" t="s">
        <v>3631</v>
      </c>
      <c r="D66" s="1179"/>
      <c r="E66" s="1179"/>
      <c r="F66" s="1179"/>
      <c r="G66" s="1179"/>
      <c r="H66" s="1179"/>
      <c r="I66" s="2049" t="s">
        <v>31</v>
      </c>
      <c r="J66" s="2045">
        <f>SE_Deduct</f>
        <v>0</v>
      </c>
      <c r="K66" s="1244"/>
      <c r="M66" s="385"/>
      <c r="N66" s="2046"/>
      <c r="O66" s="3013"/>
      <c r="P66" s="2595"/>
      <c r="Q66" s="2595"/>
      <c r="R66" s="2595"/>
      <c r="S66" s="2595"/>
      <c r="T66" s="2595"/>
      <c r="U66" s="2595"/>
      <c r="V66" s="2595"/>
      <c r="W66" s="2595"/>
      <c r="X66" s="2595"/>
      <c r="Y66" s="2595"/>
      <c r="Z66" s="2595"/>
      <c r="AG66" s="2046"/>
      <c r="AH66" s="2046"/>
    </row>
    <row r="67" spans="1:39" s="42" customFormat="1">
      <c r="A67"/>
      <c r="B67" s="1278"/>
      <c r="C67" s="1276"/>
      <c r="D67" s="1179"/>
      <c r="E67" s="1179"/>
      <c r="F67" s="1179"/>
      <c r="G67" s="1179"/>
      <c r="H67" s="1179"/>
      <c r="I67" s="1179"/>
      <c r="J67" s="1179"/>
      <c r="K67" s="1244"/>
      <c r="M67" s="385"/>
      <c r="N67" s="2046"/>
      <c r="O67" s="3013"/>
      <c r="P67" s="2595"/>
      <c r="Q67" s="2595"/>
      <c r="R67" s="2595"/>
      <c r="S67" s="2595"/>
      <c r="T67" s="2595"/>
      <c r="U67" s="2595"/>
      <c r="V67" s="2595"/>
      <c r="W67" s="2595"/>
      <c r="X67" s="2595"/>
      <c r="Y67" s="2595"/>
      <c r="Z67" s="2595"/>
      <c r="AG67" s="2046"/>
      <c r="AH67" s="2046"/>
    </row>
    <row r="68" spans="1:39" s="2046" customFormat="1">
      <c r="A68"/>
      <c r="B68" s="2050" t="s">
        <v>67</v>
      </c>
      <c r="C68" s="1276" t="s">
        <v>3632</v>
      </c>
      <c r="D68" s="1179"/>
      <c r="E68" s="1179"/>
      <c r="F68" s="1179"/>
      <c r="G68" s="1179"/>
      <c r="H68" s="1179"/>
      <c r="I68" s="2049" t="s">
        <v>67</v>
      </c>
      <c r="J68" s="2045">
        <f>SUM(J54,J56,J61,J64,J66)</f>
        <v>0</v>
      </c>
      <c r="K68" s="1244"/>
      <c r="L68" s="42"/>
      <c r="M68" s="385"/>
      <c r="O68" s="3013"/>
      <c r="P68" s="2595"/>
      <c r="Q68" s="2595"/>
      <c r="R68" s="2595"/>
      <c r="S68" s="2595"/>
      <c r="T68" s="2595"/>
      <c r="U68" s="2595"/>
      <c r="V68" s="2595"/>
      <c r="W68" s="2595"/>
      <c r="X68" s="2595"/>
      <c r="Y68" s="2595"/>
      <c r="Z68" s="2595"/>
      <c r="AA68" s="42"/>
      <c r="AB68" s="42"/>
      <c r="AC68" s="42"/>
      <c r="AD68" s="42"/>
      <c r="AE68" s="42"/>
      <c r="AF68" s="42"/>
      <c r="AI68" s="42"/>
      <c r="AJ68" s="42"/>
      <c r="AK68" s="42"/>
      <c r="AL68" s="42"/>
      <c r="AM68" s="42"/>
    </row>
    <row r="69" spans="1:39" s="42" customFormat="1" ht="13.5" thickBot="1">
      <c r="A69"/>
      <c r="B69" s="1278"/>
      <c r="C69" s="1276"/>
      <c r="D69" s="1179"/>
      <c r="E69" s="1179"/>
      <c r="F69" s="1179"/>
      <c r="G69" s="1179"/>
      <c r="H69" s="1179"/>
      <c r="I69" s="1179"/>
      <c r="J69" s="1179"/>
      <c r="K69" s="1244"/>
      <c r="M69" s="385"/>
      <c r="N69" s="2046"/>
      <c r="O69" s="3013"/>
      <c r="P69" s="2595"/>
      <c r="Q69" s="2595"/>
      <c r="R69" s="2595"/>
      <c r="S69" s="2595"/>
      <c r="T69" s="2595"/>
      <c r="U69" s="2595"/>
      <c r="V69" s="2595"/>
      <c r="W69" s="2595"/>
      <c r="X69" s="2595"/>
      <c r="Y69" s="2595"/>
      <c r="Z69" s="2595"/>
      <c r="AG69" s="2046"/>
      <c r="AH69" s="2046"/>
    </row>
    <row r="70" spans="1:39" s="2046" customFormat="1" ht="13.5" thickBot="1">
      <c r="A70"/>
      <c r="B70" s="2050" t="s">
        <v>68</v>
      </c>
      <c r="C70" s="1276" t="s">
        <v>3643</v>
      </c>
      <c r="D70" s="1179"/>
      <c r="E70" s="1179"/>
      <c r="F70" s="1179"/>
      <c r="G70" s="1179"/>
      <c r="H70" s="1179"/>
      <c r="I70" s="2049" t="s">
        <v>68</v>
      </c>
      <c r="J70" s="2045">
        <f>IF(M70&lt;&gt;"",ROUND(M70,0),SUM(J50,-J68))</f>
        <v>0</v>
      </c>
      <c r="K70" s="1244"/>
      <c r="L70" s="42"/>
      <c r="M70" s="2048"/>
      <c r="O70" s="3013"/>
      <c r="P70" s="2595"/>
      <c r="Q70" s="2595"/>
      <c r="R70" s="2595"/>
      <c r="S70" s="2595"/>
      <c r="T70" s="2595"/>
      <c r="U70" s="2595"/>
      <c r="V70" s="2595"/>
      <c r="W70" s="2595"/>
      <c r="X70" s="2595"/>
      <c r="Y70" s="2595"/>
      <c r="Z70" s="2595"/>
      <c r="AA70" s="42"/>
      <c r="AB70" s="42"/>
      <c r="AC70" s="42"/>
      <c r="AD70" s="42"/>
      <c r="AE70" s="42"/>
      <c r="AF70" s="42"/>
      <c r="AI70" s="42"/>
      <c r="AJ70" s="42"/>
      <c r="AK70" s="42"/>
      <c r="AL70" s="42"/>
      <c r="AM70" s="42"/>
    </row>
    <row r="71" spans="1:39" s="2046" customFormat="1" ht="15">
      <c r="A71"/>
      <c r="B71" s="2050"/>
      <c r="C71" s="4303" t="s">
        <v>593</v>
      </c>
      <c r="D71" s="1276" t="s">
        <v>5714</v>
      </c>
      <c r="E71" s="1179"/>
      <c r="F71" s="1179"/>
      <c r="G71" s="1179"/>
      <c r="H71" s="1179"/>
      <c r="I71" s="4304" t="s">
        <v>3641</v>
      </c>
      <c r="J71" s="1185" t="s">
        <v>5712</v>
      </c>
      <c r="K71" s="1244"/>
      <c r="L71" s="42"/>
      <c r="M71" s="385"/>
      <c r="O71" s="3013"/>
      <c r="P71" s="2595"/>
      <c r="Q71" s="2595"/>
      <c r="R71" s="2595"/>
      <c r="S71" s="2595"/>
      <c r="T71" s="2595"/>
      <c r="U71" s="2595"/>
      <c r="V71" s="2595"/>
      <c r="W71" s="2595"/>
      <c r="X71" s="2595"/>
      <c r="Y71" s="2595"/>
      <c r="Z71" s="2595"/>
      <c r="AA71" s="42"/>
      <c r="AB71" s="42"/>
      <c r="AC71" s="42"/>
      <c r="AD71" s="42"/>
      <c r="AE71" s="42"/>
      <c r="AF71" s="42"/>
      <c r="AI71" s="42"/>
      <c r="AJ71" s="42"/>
      <c r="AK71" s="42"/>
      <c r="AL71" s="42"/>
      <c r="AM71" s="42"/>
    </row>
    <row r="72" spans="1:39" s="2046" customFormat="1" ht="15">
      <c r="A72"/>
      <c r="B72" s="2050"/>
      <c r="C72" s="4303"/>
      <c r="D72" s="1276" t="s">
        <v>5713</v>
      </c>
      <c r="E72" s="1179"/>
      <c r="F72" s="1179"/>
      <c r="G72" s="1179"/>
      <c r="H72" s="1179"/>
      <c r="I72" s="4304"/>
      <c r="J72" s="1185"/>
      <c r="K72" s="1244"/>
      <c r="L72" s="42"/>
      <c r="M72" s="385"/>
      <c r="O72" s="3013"/>
      <c r="P72" s="2595"/>
      <c r="Q72" s="2595"/>
      <c r="R72" s="2595"/>
      <c r="S72" s="2595"/>
      <c r="T72" s="2595"/>
      <c r="U72" s="2595"/>
      <c r="V72" s="2595"/>
      <c r="W72" s="2595"/>
      <c r="X72" s="2595"/>
      <c r="Y72" s="2595"/>
      <c r="Z72" s="2595"/>
      <c r="AA72" s="42"/>
      <c r="AB72" s="42"/>
      <c r="AC72" s="42"/>
      <c r="AD72" s="42"/>
      <c r="AE72" s="42"/>
      <c r="AF72" s="42"/>
      <c r="AI72" s="42"/>
      <c r="AJ72" s="42"/>
      <c r="AK72" s="42"/>
      <c r="AL72" s="42"/>
      <c r="AM72" s="42"/>
    </row>
    <row r="73" spans="1:39" s="2046" customFormat="1" ht="15">
      <c r="A73"/>
      <c r="B73" s="2050"/>
      <c r="C73" s="4303" t="s">
        <v>593</v>
      </c>
      <c r="D73" s="1276" t="s">
        <v>5715</v>
      </c>
      <c r="E73" s="1179"/>
      <c r="F73" s="1179"/>
      <c r="G73" s="1179"/>
      <c r="H73" s="1179"/>
      <c r="I73" s="4304" t="s">
        <v>3641</v>
      </c>
      <c r="J73" s="1185" t="s">
        <v>5711</v>
      </c>
      <c r="K73" s="1244"/>
      <c r="L73" s="42"/>
      <c r="M73" s="385"/>
      <c r="O73" s="3013"/>
      <c r="P73" s="2595"/>
      <c r="Q73" s="2595"/>
      <c r="R73" s="2595"/>
      <c r="S73" s="2595"/>
      <c r="T73" s="2595"/>
      <c r="U73" s="2595"/>
      <c r="V73" s="2595"/>
      <c r="W73" s="2595"/>
      <c r="X73" s="2595"/>
      <c r="Y73" s="2595"/>
      <c r="Z73" s="2595"/>
      <c r="AA73" s="42"/>
      <c r="AB73" s="42"/>
      <c r="AC73" s="42"/>
      <c r="AD73" s="42"/>
      <c r="AE73" s="42"/>
      <c r="AF73" s="42"/>
      <c r="AI73" s="42"/>
      <c r="AJ73" s="42"/>
      <c r="AK73" s="42"/>
      <c r="AL73" s="42"/>
      <c r="AM73" s="42"/>
    </row>
    <row r="74" spans="1:39" s="2046" customFormat="1">
      <c r="A74"/>
      <c r="B74" s="2050"/>
      <c r="C74" s="1276"/>
      <c r="D74" s="1179"/>
      <c r="E74" s="1179"/>
      <c r="F74" s="1179"/>
      <c r="G74" s="1179"/>
      <c r="H74" s="1179"/>
      <c r="I74" s="2049"/>
      <c r="J74" s="1179"/>
      <c r="K74" s="1244"/>
      <c r="L74" s="42"/>
      <c r="M74" s="385"/>
      <c r="O74" s="3013"/>
      <c r="P74" s="2595"/>
      <c r="Q74" s="2595"/>
      <c r="R74" s="2595"/>
      <c r="S74" s="2595"/>
      <c r="T74" s="2595"/>
      <c r="U74" s="2595"/>
      <c r="V74" s="2595"/>
      <c r="W74" s="2595"/>
      <c r="X74" s="2595"/>
      <c r="Y74" s="2595"/>
      <c r="Z74" s="2595"/>
      <c r="AA74" s="42"/>
      <c r="AB74" s="42"/>
      <c r="AC74" s="42"/>
      <c r="AD74" s="42"/>
      <c r="AE74" s="42"/>
      <c r="AF74" s="42"/>
      <c r="AI74" s="42"/>
      <c r="AJ74" s="42"/>
      <c r="AK74" s="42"/>
      <c r="AL74" s="42"/>
      <c r="AM74" s="42"/>
    </row>
    <row r="75" spans="1:39" s="2046" customFormat="1">
      <c r="A75"/>
      <c r="B75" s="2050"/>
      <c r="C75" s="2051" t="s">
        <v>3633</v>
      </c>
      <c r="D75" s="1179"/>
      <c r="E75" s="1179"/>
      <c r="F75" s="1179"/>
      <c r="G75" s="1179"/>
      <c r="H75" s="1179"/>
      <c r="I75" s="2049"/>
      <c r="J75" s="1179"/>
      <c r="K75" s="1244"/>
      <c r="L75" s="42"/>
      <c r="M75" s="385"/>
      <c r="O75" s="3013"/>
      <c r="P75" s="2595"/>
      <c r="Q75" s="2595"/>
      <c r="R75" s="2595"/>
      <c r="S75" s="2595"/>
      <c r="T75" s="2595"/>
      <c r="U75" s="2595"/>
      <c r="V75" s="2595"/>
      <c r="W75" s="2595"/>
      <c r="X75" s="2595"/>
      <c r="Y75" s="2595"/>
      <c r="Z75" s="2595"/>
      <c r="AA75" s="42"/>
      <c r="AB75" s="42"/>
      <c r="AC75" s="42"/>
      <c r="AD75" s="42"/>
      <c r="AE75" s="42"/>
      <c r="AF75" s="42"/>
      <c r="AI75" s="42"/>
      <c r="AJ75" s="42"/>
      <c r="AK75" s="42"/>
      <c r="AL75" s="42"/>
      <c r="AM75" s="42"/>
    </row>
    <row r="76" spans="1:39" s="2046" customFormat="1">
      <c r="A76"/>
      <c r="B76" s="2050"/>
      <c r="C76" s="2051" t="s">
        <v>3634</v>
      </c>
      <c r="D76" s="1179"/>
      <c r="E76" s="1179"/>
      <c r="F76" s="1179"/>
      <c r="G76" s="1179"/>
      <c r="H76" s="1179"/>
      <c r="I76" s="2049"/>
      <c r="J76" s="1179"/>
      <c r="K76" s="1244"/>
      <c r="L76" s="42"/>
      <c r="M76" s="385"/>
      <c r="O76" s="3013"/>
      <c r="P76" s="2595"/>
      <c r="Q76" s="2595"/>
      <c r="R76" s="2595"/>
      <c r="S76" s="2595"/>
      <c r="T76" s="2595"/>
      <c r="U76" s="2595"/>
      <c r="V76" s="2595"/>
      <c r="W76" s="2595"/>
      <c r="X76" s="2595"/>
      <c r="Y76" s="2595"/>
      <c r="Z76" s="2595"/>
      <c r="AA76" s="42"/>
      <c r="AB76" s="42"/>
      <c r="AC76" s="42"/>
      <c r="AD76" s="42"/>
      <c r="AE76" s="42"/>
      <c r="AF76" s="42"/>
      <c r="AI76" s="42"/>
      <c r="AJ76" s="42"/>
      <c r="AK76" s="42"/>
      <c r="AL76" s="42"/>
      <c r="AM76" s="42"/>
    </row>
    <row r="77" spans="1:39" s="2046" customFormat="1">
      <c r="A77"/>
      <c r="B77" s="2050"/>
      <c r="C77" s="2051" t="s">
        <v>3635</v>
      </c>
      <c r="D77" s="1179"/>
      <c r="E77" s="1179"/>
      <c r="F77" s="1179"/>
      <c r="G77" s="1179"/>
      <c r="H77" s="1179"/>
      <c r="I77" s="2049"/>
      <c r="J77" s="1179"/>
      <c r="K77" s="1244"/>
      <c r="L77" s="42"/>
      <c r="M77" s="385"/>
      <c r="O77" s="3013"/>
      <c r="P77" s="2595"/>
      <c r="Q77" s="2595"/>
      <c r="R77" s="2595"/>
      <c r="S77" s="2595"/>
      <c r="T77" s="2595"/>
      <c r="U77" s="2595"/>
      <c r="V77" s="2595"/>
      <c r="W77" s="2595"/>
      <c r="X77" s="2595"/>
      <c r="Y77" s="2595"/>
      <c r="Z77" s="2595"/>
      <c r="AA77" s="42"/>
      <c r="AB77" s="42"/>
      <c r="AC77" s="42"/>
      <c r="AD77" s="42"/>
      <c r="AE77" s="42"/>
      <c r="AF77" s="42"/>
      <c r="AI77" s="42"/>
      <c r="AJ77" s="42"/>
      <c r="AK77" s="42"/>
      <c r="AL77" s="42"/>
      <c r="AM77" s="42"/>
    </row>
    <row r="78" spans="1:39" s="2046" customFormat="1">
      <c r="A78"/>
      <c r="B78" s="2050"/>
      <c r="C78" s="2051"/>
      <c r="D78" s="1179"/>
      <c r="E78" s="1179"/>
      <c r="F78" s="1179"/>
      <c r="G78" s="1179"/>
      <c r="H78" s="1179"/>
      <c r="I78" s="2049"/>
      <c r="J78" s="1179"/>
      <c r="K78" s="1244"/>
      <c r="L78" s="42"/>
      <c r="M78" s="385"/>
      <c r="O78" s="3013"/>
      <c r="P78" s="2595"/>
      <c r="Q78" s="2595"/>
      <c r="R78" s="2595"/>
      <c r="S78" s="2595"/>
      <c r="T78" s="2595"/>
      <c r="U78" s="2595"/>
      <c r="V78" s="2595"/>
      <c r="W78" s="2595"/>
      <c r="X78" s="2595"/>
      <c r="Y78" s="2595"/>
      <c r="Z78" s="2595"/>
      <c r="AA78" s="42"/>
      <c r="AB78" s="42"/>
      <c r="AC78" s="42"/>
      <c r="AD78" s="42"/>
      <c r="AE78" s="42"/>
      <c r="AF78" s="42"/>
      <c r="AI78" s="42"/>
      <c r="AJ78" s="42"/>
      <c r="AK78" s="42"/>
      <c r="AL78" s="42"/>
      <c r="AM78" s="42"/>
    </row>
    <row r="79" spans="1:39" s="42" customFormat="1" ht="15">
      <c r="A79"/>
      <c r="B79" s="1278"/>
      <c r="C79" s="1577" t="s">
        <v>3636</v>
      </c>
      <c r="D79" s="1179"/>
      <c r="E79" s="1179"/>
      <c r="F79" s="1179"/>
      <c r="G79" s="1179"/>
      <c r="H79" s="1179"/>
      <c r="I79" s="2049"/>
      <c r="J79" s="1560" t="s">
        <v>5720</v>
      </c>
      <c r="K79" s="1244"/>
      <c r="M79" s="385"/>
      <c r="O79" s="4305"/>
      <c r="P79" s="2595"/>
      <c r="Q79" s="2625"/>
      <c r="R79" s="2595"/>
      <c r="S79" s="2595"/>
      <c r="T79" s="2595"/>
      <c r="U79" s="2595"/>
      <c r="V79" s="2595"/>
      <c r="W79" s="2595"/>
      <c r="X79" s="2595"/>
      <c r="Y79" s="2595"/>
      <c r="Z79" s="2595"/>
      <c r="AG79" s="2046"/>
      <c r="AH79" s="2046"/>
    </row>
    <row r="80" spans="1:39" s="42" customFormat="1" ht="13.5" thickBot="1">
      <c r="A80"/>
      <c r="B80" s="1279"/>
      <c r="C80" s="1280"/>
      <c r="D80" s="1280"/>
      <c r="E80" s="1280"/>
      <c r="F80" s="1280"/>
      <c r="G80" s="1280"/>
      <c r="H80" s="1280"/>
      <c r="I80" s="1280"/>
      <c r="J80" s="1280"/>
      <c r="K80" s="1281"/>
      <c r="M80" s="385"/>
      <c r="N80" s="2046"/>
      <c r="O80" s="3013"/>
      <c r="P80" s="2595"/>
      <c r="Q80" s="2595"/>
      <c r="R80" s="2595"/>
      <c r="S80" s="2595"/>
      <c r="T80" s="2595"/>
      <c r="U80" s="2595"/>
      <c r="V80" s="2595"/>
      <c r="W80" s="2595"/>
      <c r="X80" s="2595"/>
      <c r="Y80" s="2595"/>
      <c r="Z80" s="2595"/>
      <c r="AG80" s="2046"/>
      <c r="AH80" s="2046"/>
    </row>
  </sheetData>
  <sheetProtection algorithmName="SHA-512" hashValue="FQbl1BRlIKNsCWr2DdruAHB2aqguV6ttMZHVdWluL9itpIx4StpGkts1Pt6nJ2Zyn5zWPRsk9j7y3RDxqWv5Aw==" saltValue="o1T4SjjzxBmRDkOwobrlKA==" spinCount="100000" sheet="1" objects="1" scenarios="1"/>
  <conditionalFormatting sqref="F49">
    <cfRule type="expression" dxfId="2662" priority="14">
      <formula>J51</formula>
    </cfRule>
  </conditionalFormatting>
  <conditionalFormatting sqref="J16">
    <cfRule type="expression" dxfId="2661" priority="1">
      <formula>NoColor</formula>
    </cfRule>
  </conditionalFormatting>
  <conditionalFormatting sqref="J21">
    <cfRule type="expression" dxfId="2660" priority="22">
      <formula>IF(NoColor,1,0)</formula>
    </cfRule>
  </conditionalFormatting>
  <conditionalFormatting sqref="J26">
    <cfRule type="expression" dxfId="2659" priority="21">
      <formula>IF(NoColor,1,0)</formula>
    </cfRule>
  </conditionalFormatting>
  <conditionalFormatting sqref="J33">
    <cfRule type="expression" dxfId="2658" priority="19">
      <formula>IF(NoColor,1,0)</formula>
    </cfRule>
  </conditionalFormatting>
  <conditionalFormatting sqref="J39">
    <cfRule type="expression" dxfId="2657" priority="18">
      <formula>IF(NoColor,1,0)</formula>
    </cfRule>
  </conditionalFormatting>
  <conditionalFormatting sqref="J43">
    <cfRule type="expression" dxfId="2656" priority="17">
      <formula>IF(NoColor,1,0)</formula>
    </cfRule>
  </conditionalFormatting>
  <conditionalFormatting sqref="J47">
    <cfRule type="expression" dxfId="2655" priority="16">
      <formula>IF(NoColor,1,0)</formula>
    </cfRule>
  </conditionalFormatting>
  <conditionalFormatting sqref="J50">
    <cfRule type="expression" dxfId="2654" priority="15">
      <formula>IF(NoColor,1,0)</formula>
    </cfRule>
  </conditionalFormatting>
  <conditionalFormatting sqref="J54">
    <cfRule type="expression" dxfId="2653" priority="10">
      <formula>IF(NoColor,1,0)</formula>
    </cfRule>
  </conditionalFormatting>
  <conditionalFormatting sqref="J56">
    <cfRule type="expression" dxfId="2652" priority="9">
      <formula>IF(NoColor,1,0)</formula>
    </cfRule>
  </conditionalFormatting>
  <conditionalFormatting sqref="J61">
    <cfRule type="expression" dxfId="2651" priority="8">
      <formula>IF(NoColor,1,0)</formula>
    </cfRule>
  </conditionalFormatting>
  <conditionalFormatting sqref="J64">
    <cfRule type="expression" dxfId="2650" priority="7">
      <formula>IF(NoColor,1,0)</formula>
    </cfRule>
  </conditionalFormatting>
  <conditionalFormatting sqref="J66">
    <cfRule type="expression" dxfId="2649" priority="2">
      <formula>IF(NoColor,1,0)</formula>
    </cfRule>
  </conditionalFormatting>
  <conditionalFormatting sqref="J68">
    <cfRule type="expression" dxfId="2648" priority="4">
      <formula>IF(NoColor,1,0)</formula>
    </cfRule>
  </conditionalFormatting>
  <conditionalFormatting sqref="J70">
    <cfRule type="expression" dxfId="2647" priority="3">
      <formula>IF(NoColor,1,0)</formula>
    </cfRule>
  </conditionalFormatting>
  <pageMargins left="0.7" right="0.45" top="0.5" bottom="0.5" header="0.3" footer="0.3"/>
  <pageSetup scale="6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pageSetUpPr fitToPage="1"/>
  </sheetPr>
  <dimension ref="A1:AG103"/>
  <sheetViews>
    <sheetView zoomScaleNormal="100" zoomScaleSheetLayoutView="100" workbookViewId="0"/>
  </sheetViews>
  <sheetFormatPr defaultColWidth="9.140625" defaultRowHeight="12.75"/>
  <cols>
    <col min="1" max="1" width="1.85546875" style="42" customWidth="1"/>
    <col min="2" max="2" width="4.42578125" style="42" customWidth="1"/>
    <col min="3" max="3" width="2.7109375" style="42" customWidth="1"/>
    <col min="4" max="4" width="25.28515625" style="42" customWidth="1"/>
    <col min="5" max="5" width="14.140625" style="42" customWidth="1"/>
    <col min="6" max="6" width="8.5703125" style="42" customWidth="1"/>
    <col min="7" max="7" width="7.7109375" style="42" customWidth="1"/>
    <col min="8" max="8" width="9.5703125" style="42" customWidth="1"/>
    <col min="9" max="9" width="6" style="42" customWidth="1"/>
    <col min="10" max="10" width="13.85546875" style="42" customWidth="1"/>
    <col min="11" max="11" width="3.5703125" style="42" customWidth="1"/>
    <col min="12" max="12" width="12.7109375" style="42" customWidth="1"/>
    <col min="13" max="13" width="4.5703125" style="42" customWidth="1"/>
    <col min="14" max="15" width="1.5703125" style="42" customWidth="1"/>
    <col min="16" max="16" width="1.42578125" style="42" customWidth="1"/>
    <col min="17" max="17" width="2.5703125" style="42" customWidth="1"/>
    <col min="18" max="18" width="10.42578125" style="42" customWidth="1"/>
    <col min="19" max="19" width="2.42578125" style="42" customWidth="1"/>
    <col min="20" max="20" width="12.85546875" style="42" customWidth="1"/>
    <col min="21" max="21" width="2.7109375" style="42" customWidth="1"/>
    <col min="22" max="23" width="10.42578125" style="42" customWidth="1"/>
    <col min="24" max="33" width="9.140625" style="2595"/>
    <col min="34" max="16384" width="9.140625" style="42"/>
  </cols>
  <sheetData>
    <row r="1" spans="1:24" ht="18" customHeight="1">
      <c r="A1" s="23"/>
      <c r="B1" s="23"/>
      <c r="C1" s="23"/>
      <c r="D1" s="3448"/>
      <c r="E1" s="23"/>
      <c r="F1" s="23"/>
      <c r="G1" s="23"/>
      <c r="H1" s="23"/>
      <c r="I1" s="23"/>
      <c r="J1" s="23"/>
      <c r="K1" s="23"/>
      <c r="L1" s="23"/>
      <c r="M1" s="23"/>
      <c r="N1" s="23"/>
      <c r="O1" s="23"/>
      <c r="P1" s="23"/>
      <c r="Q1" s="23"/>
      <c r="R1" s="23"/>
      <c r="S1" s="23"/>
      <c r="T1" s="23"/>
      <c r="U1" s="23"/>
      <c r="V1" s="23"/>
      <c r="W1" s="23"/>
      <c r="X1" s="2594" t="s">
        <v>2033</v>
      </c>
    </row>
    <row r="2" spans="1:24">
      <c r="A2" s="23"/>
      <c r="B2" s="24" t="s">
        <v>1731</v>
      </c>
      <c r="C2" s="23"/>
      <c r="D2" s="23"/>
      <c r="E2" s="23"/>
      <c r="F2" s="23"/>
      <c r="G2" s="23"/>
      <c r="H2" s="23"/>
      <c r="I2" s="23"/>
      <c r="J2" s="23"/>
      <c r="K2" s="23"/>
      <c r="L2" s="23"/>
      <c r="M2" s="23"/>
      <c r="N2" s="23"/>
      <c r="O2" s="23"/>
      <c r="P2" s="23"/>
      <c r="Q2" s="23"/>
      <c r="R2" s="23"/>
      <c r="S2" s="23"/>
      <c r="T2" s="23"/>
      <c r="U2" s="23"/>
      <c r="V2" s="23"/>
      <c r="W2" s="23"/>
    </row>
    <row r="3" spans="1:24">
      <c r="A3" s="23"/>
      <c r="B3" s="2112" t="s">
        <v>1733</v>
      </c>
      <c r="C3" s="70" t="s">
        <v>1732</v>
      </c>
      <c r="D3" s="23"/>
      <c r="E3" s="23"/>
      <c r="F3" s="23"/>
      <c r="G3" s="23"/>
      <c r="H3" s="23"/>
      <c r="I3" s="23"/>
      <c r="J3" s="23"/>
      <c r="K3" s="23"/>
      <c r="L3" s="23"/>
      <c r="M3" s="23"/>
      <c r="N3" s="23"/>
      <c r="O3" s="23"/>
      <c r="P3" s="23"/>
      <c r="Q3" s="23"/>
      <c r="R3" s="23"/>
      <c r="S3" s="23"/>
      <c r="T3" s="23"/>
      <c r="U3" s="23"/>
      <c r="V3" s="23"/>
      <c r="W3" s="23"/>
    </row>
    <row r="4" spans="1:24">
      <c r="A4" s="23"/>
      <c r="B4" s="23"/>
      <c r="C4" s="70" t="s">
        <v>3861</v>
      </c>
      <c r="D4" s="23"/>
      <c r="E4" s="23"/>
      <c r="F4" s="23"/>
      <c r="G4" s="23"/>
      <c r="H4" s="23"/>
      <c r="I4" s="23"/>
      <c r="J4" s="23"/>
      <c r="K4" s="23"/>
      <c r="L4" s="23"/>
      <c r="M4" s="23"/>
      <c r="N4" s="23"/>
      <c r="O4" s="23"/>
      <c r="P4" s="23"/>
      <c r="Q4" s="23"/>
      <c r="R4" s="23"/>
      <c r="S4" s="23"/>
      <c r="T4" s="23"/>
      <c r="U4" s="23"/>
      <c r="V4" s="23"/>
      <c r="W4" s="23"/>
    </row>
    <row r="5" spans="1:24">
      <c r="A5" s="23"/>
      <c r="B5" s="23"/>
      <c r="C5" s="70" t="s">
        <v>2005</v>
      </c>
      <c r="D5" s="23"/>
      <c r="E5" s="23"/>
      <c r="F5" s="23"/>
      <c r="G5" s="23"/>
      <c r="H5" s="23"/>
      <c r="I5" s="23"/>
      <c r="J5" s="23"/>
      <c r="K5" s="23"/>
      <c r="L5" s="23"/>
      <c r="M5" s="23"/>
      <c r="N5" s="23"/>
      <c r="O5" s="23"/>
      <c r="P5" s="23"/>
      <c r="Q5" s="23"/>
      <c r="R5" s="23"/>
      <c r="S5" s="23"/>
      <c r="T5" s="23"/>
      <c r="U5" s="23"/>
      <c r="V5" s="23"/>
      <c r="W5" s="23"/>
    </row>
    <row r="6" spans="1:24" ht="9.75" customHeight="1">
      <c r="A6" s="23"/>
      <c r="B6" s="23"/>
      <c r="C6" s="23"/>
      <c r="D6" s="23"/>
      <c r="E6" s="23"/>
      <c r="F6" s="23"/>
      <c r="G6" s="23"/>
      <c r="H6" s="23"/>
      <c r="I6" s="23"/>
      <c r="J6" s="23"/>
      <c r="K6" s="23"/>
      <c r="L6" s="23"/>
      <c r="M6" s="23"/>
      <c r="N6" s="23"/>
      <c r="O6" s="23"/>
      <c r="P6" s="23"/>
      <c r="Q6" s="23"/>
      <c r="R6" s="23"/>
      <c r="S6" s="23"/>
      <c r="T6" s="23"/>
      <c r="U6" s="23"/>
      <c r="V6" s="23"/>
      <c r="W6" s="23"/>
    </row>
    <row r="7" spans="1:24">
      <c r="A7" s="23"/>
      <c r="B7" s="2112" t="s">
        <v>1733</v>
      </c>
      <c r="C7" s="70" t="s">
        <v>3862</v>
      </c>
      <c r="D7" s="23"/>
      <c r="E7" s="23"/>
      <c r="F7" s="23"/>
      <c r="G7" s="23"/>
      <c r="H7" s="23"/>
      <c r="I7" s="23"/>
      <c r="J7" s="23"/>
      <c r="K7" s="23"/>
      <c r="L7" s="23"/>
      <c r="M7" s="23"/>
      <c r="N7" s="23"/>
      <c r="O7" s="23"/>
      <c r="P7" s="23"/>
      <c r="Q7" s="23"/>
      <c r="R7" s="23"/>
      <c r="S7" s="23"/>
      <c r="T7" s="23"/>
      <c r="U7" s="23"/>
      <c r="V7" s="23"/>
      <c r="W7" s="23"/>
    </row>
    <row r="8" spans="1:24">
      <c r="A8" s="23"/>
      <c r="B8" s="23"/>
      <c r="C8" s="70" t="s">
        <v>1734</v>
      </c>
      <c r="D8" s="23"/>
      <c r="E8" s="23"/>
      <c r="F8" s="23"/>
      <c r="G8" s="23"/>
      <c r="H8" s="23"/>
      <c r="I8" s="23"/>
      <c r="J8" s="23"/>
      <c r="K8" s="23"/>
      <c r="L8" s="23"/>
      <c r="M8" s="23"/>
      <c r="N8" s="23"/>
      <c r="O8" s="23"/>
      <c r="P8" s="23"/>
      <c r="Q8" s="23"/>
      <c r="R8" s="23"/>
      <c r="S8" s="23"/>
      <c r="T8" s="23"/>
      <c r="U8" s="23"/>
      <c r="V8" s="23"/>
      <c r="W8" s="23"/>
    </row>
    <row r="9" spans="1:24">
      <c r="A9" s="23"/>
      <c r="B9" s="23"/>
      <c r="C9" s="70"/>
      <c r="D9" s="23"/>
      <c r="E9" s="23"/>
      <c r="F9" s="23"/>
      <c r="G9" s="23"/>
      <c r="H9" s="23"/>
      <c r="I9" s="23"/>
      <c r="J9" s="23"/>
      <c r="K9" s="23"/>
      <c r="L9" s="23"/>
      <c r="M9" s="23"/>
      <c r="N9" s="23"/>
      <c r="O9" s="23"/>
      <c r="P9" s="23"/>
      <c r="Q9" s="23"/>
      <c r="R9" s="23"/>
      <c r="S9" s="23"/>
      <c r="T9" s="23"/>
      <c r="U9" s="23"/>
      <c r="V9" s="23"/>
      <c r="W9" s="23"/>
    </row>
    <row r="10" spans="1:24">
      <c r="A10" s="23"/>
      <c r="B10" s="2112" t="s">
        <v>1733</v>
      </c>
      <c r="C10" s="70" t="s">
        <v>3115</v>
      </c>
      <c r="D10" s="23"/>
      <c r="E10" s="23"/>
      <c r="F10" s="23"/>
      <c r="G10" s="23"/>
      <c r="H10" s="23"/>
      <c r="I10" s="23"/>
      <c r="J10" s="23"/>
      <c r="K10" s="23"/>
      <c r="L10" s="23"/>
      <c r="M10" s="23"/>
      <c r="N10" s="23"/>
      <c r="O10" s="23"/>
      <c r="P10" s="23"/>
      <c r="Q10" s="23"/>
      <c r="R10" s="23"/>
      <c r="S10" s="23"/>
      <c r="T10" s="23"/>
      <c r="U10" s="23"/>
      <c r="V10" s="23"/>
      <c r="W10" s="23"/>
    </row>
    <row r="11" spans="1:24" ht="15">
      <c r="A11" s="23"/>
      <c r="B11" s="23"/>
      <c r="C11" s="3373" t="s">
        <v>3573</v>
      </c>
      <c r="D11" s="23"/>
      <c r="E11" s="23"/>
      <c r="F11" s="23"/>
      <c r="G11" s="23"/>
      <c r="H11" s="23"/>
      <c r="I11" s="23"/>
      <c r="J11" s="23"/>
      <c r="K11" s="23"/>
      <c r="L11" s="23"/>
      <c r="M11" s="23"/>
      <c r="N11" s="23"/>
      <c r="O11" s="23"/>
      <c r="P11" s="6781" t="str">
        <f>IF($V$16,"Annuity started on or before","")</f>
        <v/>
      </c>
      <c r="Q11" s="6782"/>
      <c r="R11" s="6782"/>
      <c r="S11" s="6782"/>
      <c r="T11" s="6782"/>
      <c r="U11" s="23"/>
      <c r="V11" s="23"/>
      <c r="W11" s="23"/>
    </row>
    <row r="12" spans="1:24" ht="15">
      <c r="A12" s="23"/>
      <c r="B12" s="23"/>
      <c r="C12" s="3373" t="s">
        <v>3125</v>
      </c>
      <c r="D12" s="23"/>
      <c r="E12" s="23"/>
      <c r="F12" s="23"/>
      <c r="G12" s="23"/>
      <c r="H12" s="23"/>
      <c r="I12" s="23"/>
      <c r="J12" s="23"/>
      <c r="K12" s="23"/>
      <c r="L12" s="23"/>
      <c r="M12" s="23"/>
      <c r="N12" s="23"/>
      <c r="O12" s="23"/>
      <c r="P12" s="6781" t="str">
        <f>IF($V$16,TEXT(V15,"mmmm d, yyyy")&amp;".  See Pub. 939.","")</f>
        <v/>
      </c>
      <c r="Q12" s="6782"/>
      <c r="R12" s="6782"/>
      <c r="S12" s="6782"/>
      <c r="T12" s="6782"/>
      <c r="U12" s="23"/>
      <c r="V12" s="23"/>
      <c r="W12" s="23"/>
    </row>
    <row r="13" spans="1:24" ht="15">
      <c r="A13" s="23"/>
      <c r="B13" s="23"/>
      <c r="C13" s="3373" t="s">
        <v>3124</v>
      </c>
      <c r="D13" s="23"/>
      <c r="E13" s="23"/>
      <c r="F13" s="23"/>
      <c r="G13" s="23"/>
      <c r="H13" s="23"/>
      <c r="I13" s="23"/>
      <c r="J13" s="23"/>
      <c r="K13" s="23"/>
      <c r="L13" s="23"/>
      <c r="M13" s="23"/>
      <c r="N13" s="23"/>
      <c r="O13" s="23"/>
      <c r="P13" s="23"/>
      <c r="Q13" s="23"/>
      <c r="R13" s="23"/>
      <c r="S13" s="23"/>
      <c r="T13" s="23"/>
      <c r="U13" s="23"/>
      <c r="V13" s="23"/>
      <c r="W13" s="23"/>
    </row>
    <row r="14" spans="1:24" ht="15.75" thickBot="1">
      <c r="A14" s="23"/>
      <c r="B14" s="23"/>
      <c r="C14" s="3373"/>
      <c r="D14" s="23"/>
      <c r="E14" s="23"/>
      <c r="F14" s="23"/>
      <c r="G14" s="23"/>
      <c r="H14" s="23"/>
      <c r="I14" s="23"/>
      <c r="J14" s="23"/>
      <c r="K14" s="23"/>
      <c r="L14" s="23"/>
      <c r="M14" s="23"/>
      <c r="N14" s="23"/>
      <c r="O14" s="23"/>
      <c r="P14" s="23"/>
      <c r="Q14" s="23"/>
      <c r="R14" s="23"/>
      <c r="S14" s="23"/>
      <c r="T14" s="23"/>
      <c r="U14" s="23"/>
      <c r="V14" s="23"/>
      <c r="W14" s="23"/>
    </row>
    <row r="15" spans="1:24" ht="13.5" thickBot="1">
      <c r="A15" s="23"/>
      <c r="B15" s="38" t="s">
        <v>173</v>
      </c>
      <c r="C15" s="23"/>
      <c r="D15" s="23"/>
      <c r="E15" s="23"/>
      <c r="F15" s="23"/>
      <c r="G15" s="23"/>
      <c r="H15" s="23"/>
      <c r="I15" s="23"/>
      <c r="J15" s="23"/>
      <c r="K15" s="23"/>
      <c r="L15" s="23"/>
      <c r="M15" s="23"/>
      <c r="N15" s="23"/>
      <c r="O15" s="23"/>
      <c r="P15" s="90"/>
      <c r="Q15" s="91"/>
      <c r="R15" s="91"/>
      <c r="S15" s="91"/>
      <c r="T15" s="583"/>
      <c r="U15" s="23"/>
      <c r="V15" s="2113">
        <v>31594</v>
      </c>
      <c r="W15" s="23"/>
    </row>
    <row r="16" spans="1:24" ht="16.5" thickBot="1">
      <c r="A16" s="23"/>
      <c r="B16" s="23" t="s">
        <v>242</v>
      </c>
      <c r="C16" s="23"/>
      <c r="D16" s="23"/>
      <c r="E16" s="23"/>
      <c r="F16" s="23"/>
      <c r="G16" s="23"/>
      <c r="H16" s="23"/>
      <c r="I16" s="23"/>
      <c r="J16" s="23"/>
      <c r="K16" s="23"/>
      <c r="L16" s="23"/>
      <c r="M16" s="2713" t="str">
        <f>IF(R16="","Enter annuity starting date.","")</f>
        <v>Enter annuity starting date.</v>
      </c>
      <c r="N16" s="23"/>
      <c r="O16" s="2105" t="str">
        <f>IF(R16="","®","")</f>
        <v>®</v>
      </c>
      <c r="P16" s="92"/>
      <c r="Q16" s="78"/>
      <c r="R16" s="6777"/>
      <c r="S16" s="6778"/>
      <c r="T16" s="584"/>
      <c r="U16" s="23"/>
      <c r="V16" s="1176" t="b">
        <f>IF(AND(R16&lt;&gt;"",R16&lt;=V15),TRUE,FALSE)</f>
        <v>0</v>
      </c>
      <c r="W16" s="23"/>
    </row>
    <row r="17" spans="1:23">
      <c r="A17" s="23"/>
      <c r="B17" s="23"/>
      <c r="C17" s="23" t="str">
        <f>"-  the first period for which you received a payment"</f>
        <v>-  the first period for which you received a payment</v>
      </c>
      <c r="D17" s="23"/>
      <c r="E17" s="23"/>
      <c r="F17" s="23"/>
      <c r="G17" s="23"/>
      <c r="H17" s="23"/>
      <c r="I17" s="23"/>
      <c r="J17" s="23"/>
      <c r="K17" s="23"/>
      <c r="L17" s="23"/>
      <c r="M17" s="23"/>
      <c r="N17" s="23"/>
      <c r="O17" s="23"/>
      <c r="P17" s="92"/>
      <c r="Q17" s="78"/>
      <c r="R17" s="720" t="s">
        <v>215</v>
      </c>
      <c r="S17" s="93"/>
      <c r="T17" s="584"/>
      <c r="U17" s="23"/>
      <c r="V17" s="23"/>
      <c r="W17" s="23"/>
    </row>
    <row r="18" spans="1:23">
      <c r="A18" s="23"/>
      <c r="B18" s="23"/>
      <c r="C18" s="48" t="s">
        <v>243</v>
      </c>
      <c r="D18" s="23"/>
      <c r="E18" s="23"/>
      <c r="F18" s="23"/>
      <c r="G18" s="23"/>
      <c r="H18" s="23"/>
      <c r="I18" s="23"/>
      <c r="J18" s="23"/>
      <c r="K18" s="23"/>
      <c r="L18" s="23"/>
      <c r="M18" s="23"/>
      <c r="N18" s="23"/>
      <c r="O18" s="23"/>
      <c r="P18" s="92"/>
      <c r="Q18" s="78"/>
      <c r="R18" s="93"/>
      <c r="S18" s="93"/>
      <c r="T18" s="584"/>
      <c r="U18" s="23"/>
      <c r="V18" s="2102">
        <v>35795</v>
      </c>
      <c r="W18" s="23"/>
    </row>
    <row r="19" spans="1:23" ht="13.5" thickBot="1">
      <c r="A19" s="23"/>
      <c r="B19" s="23"/>
      <c r="C19" s="23" t="str">
        <f>"-  the date the plan’s obligations became fixed."</f>
        <v>-  the date the plan’s obligations became fixed.</v>
      </c>
      <c r="D19" s="23"/>
      <c r="E19" s="23"/>
      <c r="F19" s="23"/>
      <c r="G19" s="23"/>
      <c r="H19" s="23"/>
      <c r="I19" s="23"/>
      <c r="J19" s="23"/>
      <c r="K19" s="23"/>
      <c r="L19" s="23"/>
      <c r="M19" s="23"/>
      <c r="N19" s="23"/>
      <c r="O19" s="23"/>
      <c r="P19" s="94"/>
      <c r="Q19" s="84"/>
      <c r="R19" s="95"/>
      <c r="S19" s="95"/>
      <c r="T19" s="585"/>
      <c r="U19" s="23"/>
      <c r="V19" s="1176" t="b">
        <f>IF(R16&gt;V18,TRUE,FALSE)</f>
        <v>0</v>
      </c>
      <c r="W19" s="23"/>
    </row>
    <row r="20" spans="1:23" ht="13.5" thickBot="1">
      <c r="A20" s="23"/>
      <c r="B20" s="23"/>
      <c r="C20" s="23"/>
      <c r="D20" s="23"/>
      <c r="E20" s="23"/>
      <c r="F20" s="23"/>
      <c r="G20" s="23"/>
      <c r="H20" s="23"/>
      <c r="I20" s="23"/>
      <c r="J20" s="23"/>
      <c r="K20" s="23"/>
      <c r="L20" s="23"/>
      <c r="M20" s="23"/>
      <c r="N20" s="23"/>
      <c r="O20" s="23"/>
      <c r="P20" s="6785"/>
      <c r="Q20" s="6786"/>
      <c r="R20" s="6786"/>
      <c r="S20" s="6786"/>
      <c r="T20" s="6786"/>
      <c r="U20" s="23"/>
      <c r="V20" s="23"/>
      <c r="W20" s="23"/>
    </row>
    <row r="21" spans="1:23" ht="13.5" thickBot="1">
      <c r="A21" s="23"/>
      <c r="B21" s="38" t="s">
        <v>52</v>
      </c>
      <c r="C21" s="23"/>
      <c r="D21" s="23"/>
      <c r="E21" s="23"/>
      <c r="F21" s="23"/>
      <c r="G21" s="23"/>
      <c r="H21" s="23"/>
      <c r="I21" s="23"/>
      <c r="J21" s="23"/>
      <c r="K21" s="23"/>
      <c r="L21" s="23"/>
      <c r="M21" s="23"/>
      <c r="N21" s="23"/>
      <c r="O21" s="23"/>
      <c r="P21" s="88"/>
      <c r="Q21" s="31"/>
      <c r="R21" s="31"/>
      <c r="S21" s="31"/>
      <c r="T21" s="96"/>
      <c r="U21" s="55"/>
      <c r="V21" s="2114">
        <v>31778</v>
      </c>
      <c r="W21" s="23"/>
    </row>
    <row r="22" spans="1:23" ht="16.5" thickBot="1">
      <c r="A22" s="23"/>
      <c r="B22" s="23" t="s">
        <v>172</v>
      </c>
      <c r="C22" s="23"/>
      <c r="D22" s="23"/>
      <c r="E22" s="23"/>
      <c r="F22" s="23"/>
      <c r="G22" s="23"/>
      <c r="H22" s="23"/>
      <c r="I22" s="23"/>
      <c r="J22" s="23"/>
      <c r="K22" s="23"/>
      <c r="L22" s="23"/>
      <c r="M22" s="1272" t="str">
        <f>IF(R16&lt;J85,"",IF(AND(Q22="",S22=""),"Check one.",IF(AND(Q22&lt;&gt;"",S22&lt;&gt;""),"Check ONLY one.","")))</f>
        <v/>
      </c>
      <c r="N22" s="23"/>
      <c r="O22" s="2105" t="str">
        <f>IF(R16&lt;J85,"",IF(OR(AND(Q22="",S22=""),AND(Q22&lt;&gt;"",S22&lt;&gt;"")),"®",""))</f>
        <v/>
      </c>
      <c r="P22" s="55"/>
      <c r="Q22" s="534"/>
      <c r="R22" s="278" t="s">
        <v>381</v>
      </c>
      <c r="S22" s="534"/>
      <c r="T22" s="2103" t="s">
        <v>382</v>
      </c>
      <c r="U22" s="55"/>
      <c r="V22" s="2115" t="b">
        <f>IF(AND(R16&lt;&gt;"",R16&lt;V21),TRUE,FALSE)</f>
        <v>0</v>
      </c>
      <c r="W22" s="23"/>
    </row>
    <row r="23" spans="1:23">
      <c r="A23" s="23"/>
      <c r="B23" s="23"/>
      <c r="C23" s="23" t="str">
        <f>"1. Your annuity starting date (defined above) was after "&amp;TEXT(V15,"mmmm d, yyyy")&amp;", and you used this method last year to figure the taxable part."</f>
        <v>1. Your annuity starting date (defined above) was after July 1, 1986, and you used this method last year to figure the taxable part.</v>
      </c>
      <c r="D23" s="23"/>
      <c r="E23" s="23"/>
      <c r="F23" s="23"/>
      <c r="G23" s="23"/>
      <c r="H23" s="23"/>
      <c r="I23" s="23"/>
      <c r="J23" s="23"/>
      <c r="K23" s="23"/>
      <c r="L23" s="23"/>
      <c r="M23" s="23"/>
      <c r="N23" s="23"/>
      <c r="O23" s="23"/>
      <c r="P23" s="6787" t="s">
        <v>1728</v>
      </c>
      <c r="Q23" s="6371"/>
      <c r="R23" s="6371"/>
      <c r="S23" s="6371"/>
      <c r="T23" s="6793"/>
      <c r="U23" s="27" t="s">
        <v>388</v>
      </c>
      <c r="V23" s="23"/>
      <c r="W23" s="23"/>
    </row>
    <row r="24" spans="1:23">
      <c r="A24" s="23"/>
      <c r="B24" s="23"/>
      <c r="C24" s="23" t="str">
        <f>"2. Your annuity starting date was after "&amp;TEXT(J74,"mmmm d, yyyy")&amp;", "</f>
        <v xml:space="preserve">2. Your annuity starting date was after November 18, 1996, </v>
      </c>
      <c r="D24" s="23"/>
      <c r="E24" s="23"/>
      <c r="F24" s="23"/>
      <c r="G24" s="727" t="s">
        <v>384</v>
      </c>
      <c r="H24" s="23"/>
      <c r="I24" s="23"/>
      <c r="J24" s="23"/>
      <c r="K24" s="23"/>
      <c r="L24" s="23"/>
      <c r="M24" s="23"/>
      <c r="N24" s="23"/>
      <c r="O24" s="23"/>
      <c r="P24" s="6787" t="s">
        <v>1729</v>
      </c>
      <c r="Q24" s="6371"/>
      <c r="R24" s="6371"/>
      <c r="S24" s="6371"/>
      <c r="T24" s="6793"/>
      <c r="U24" s="2104"/>
      <c r="V24" s="23"/>
      <c r="W24" s="23"/>
    </row>
    <row r="25" spans="1:23" ht="13.5" thickBot="1">
      <c r="A25" s="23"/>
      <c r="B25" s="23"/>
      <c r="C25" s="23"/>
      <c r="D25" s="23" t="s">
        <v>145</v>
      </c>
      <c r="E25" s="23"/>
      <c r="F25" s="23"/>
      <c r="G25" s="23"/>
      <c r="H25" s="23"/>
      <c r="I25" s="23"/>
      <c r="J25" s="23"/>
      <c r="K25" s="23"/>
      <c r="L25" s="23"/>
      <c r="M25" s="23"/>
      <c r="N25" s="23"/>
      <c r="O25" s="23"/>
      <c r="P25" s="89"/>
      <c r="Q25" s="36"/>
      <c r="R25" s="36"/>
      <c r="S25" s="36"/>
      <c r="T25" s="98"/>
      <c r="U25" s="55"/>
      <c r="V25" s="23"/>
      <c r="W25" s="23"/>
    </row>
    <row r="26" spans="1:23" ht="13.5" thickBot="1">
      <c r="A26" s="23"/>
      <c r="B26" s="23"/>
      <c r="C26" s="23"/>
      <c r="D26" s="23" t="s">
        <v>391</v>
      </c>
      <c r="E26" s="23"/>
      <c r="F26" s="23"/>
      <c r="G26" s="23"/>
      <c r="H26" s="23"/>
      <c r="I26" s="23"/>
      <c r="J26" s="23"/>
      <c r="K26" s="23"/>
      <c r="L26" s="23"/>
      <c r="M26" s="23"/>
      <c r="N26" s="23"/>
      <c r="O26" s="23"/>
      <c r="P26" s="23"/>
      <c r="Q26" s="23"/>
      <c r="R26" s="23"/>
      <c r="S26" s="23"/>
      <c r="T26" s="23"/>
      <c r="U26" s="23"/>
      <c r="V26" s="23"/>
      <c r="W26" s="23"/>
    </row>
    <row r="27" spans="1:23" ht="13.5" thickBot="1">
      <c r="A27" s="23"/>
      <c r="B27" s="23"/>
      <c r="C27" s="23"/>
      <c r="D27" s="23" t="str">
        <f>"    -  you were under age 75"</f>
        <v xml:space="preserve">    -  you were under age 75</v>
      </c>
      <c r="E27" s="23"/>
      <c r="F27" s="23"/>
      <c r="G27" s="23"/>
      <c r="H27" s="23"/>
      <c r="I27" s="23"/>
      <c r="J27" s="23"/>
      <c r="K27" s="23"/>
      <c r="L27" s="23"/>
      <c r="M27" s="23"/>
      <c r="N27" s="23"/>
      <c r="O27" s="23"/>
      <c r="P27" s="90"/>
      <c r="Q27" s="91"/>
      <c r="R27" s="721"/>
      <c r="S27" s="721"/>
      <c r="T27" s="717"/>
      <c r="U27" s="23"/>
      <c r="V27" s="23"/>
      <c r="W27" s="23"/>
    </row>
    <row r="28" spans="1:23" ht="13.5" thickBot="1">
      <c r="A28" s="23"/>
      <c r="B28" s="23"/>
      <c r="C28" s="23"/>
      <c r="D28" s="23" t="s">
        <v>380</v>
      </c>
      <c r="E28" s="23"/>
      <c r="F28" s="23"/>
      <c r="G28" s="23"/>
      <c r="H28" s="23"/>
      <c r="I28" s="23"/>
      <c r="J28" s="23"/>
      <c r="K28" s="23"/>
      <c r="L28" s="23"/>
      <c r="M28" s="23"/>
      <c r="N28" s="23"/>
      <c r="O28" s="23"/>
      <c r="P28" s="92"/>
      <c r="Q28" s="78"/>
      <c r="R28" s="6779"/>
      <c r="S28" s="6780"/>
      <c r="T28" s="584"/>
      <c r="U28" s="23"/>
      <c r="V28" s="23"/>
      <c r="W28" s="23"/>
    </row>
    <row r="29" spans="1:23">
      <c r="A29" s="23"/>
      <c r="B29" s="23"/>
      <c r="C29" s="23"/>
      <c r="D29" s="23" t="str">
        <f>"    -  the number of years of guaranteed payments was fewer than 5. See Pub. 575 for the definition of guaranteed payments."</f>
        <v xml:space="preserve">    -  the number of years of guaranteed payments was fewer than 5. See Pub. 575 for the definition of guaranteed payments.</v>
      </c>
      <c r="E29" s="23"/>
      <c r="F29" s="23"/>
      <c r="G29" s="23"/>
      <c r="H29" s="23"/>
      <c r="I29" s="23"/>
      <c r="J29" s="23"/>
      <c r="K29" s="23"/>
      <c r="L29" s="23"/>
      <c r="M29" s="23"/>
      <c r="N29" s="23"/>
      <c r="O29" s="23"/>
      <c r="P29" s="720"/>
      <c r="Q29" s="2106"/>
      <c r="R29" s="2108" t="str">
        <f>IF(AND($V$19,$Q$22&lt;&gt;""),"COMBINED ages","Your age")</f>
        <v>Your age</v>
      </c>
      <c r="S29" s="2106"/>
      <c r="T29" s="2107"/>
      <c r="U29" s="23"/>
      <c r="V29" s="23"/>
      <c r="W29" s="23"/>
    </row>
    <row r="30" spans="1:23" ht="8.25" customHeight="1">
      <c r="A30" s="23"/>
      <c r="B30" s="23"/>
      <c r="C30" s="23"/>
      <c r="D30" s="23"/>
      <c r="E30" s="23"/>
      <c r="F30" s="23"/>
      <c r="G30" s="23"/>
      <c r="H30" s="23"/>
      <c r="I30" s="23"/>
      <c r="J30" s="23"/>
      <c r="K30" s="23"/>
      <c r="L30" s="23"/>
      <c r="M30" s="23"/>
      <c r="N30" s="23"/>
      <c r="O30" s="23"/>
      <c r="P30" s="720"/>
      <c r="Q30" s="2106"/>
      <c r="R30" s="648" t="s">
        <v>1726</v>
      </c>
      <c r="S30" s="2106"/>
      <c r="T30" s="2107"/>
      <c r="U30" s="23"/>
      <c r="V30" s="23"/>
      <c r="W30" s="23"/>
    </row>
    <row r="31" spans="1:23" ht="13.5" thickBot="1">
      <c r="A31" s="78"/>
      <c r="B31" s="78"/>
      <c r="C31" s="78"/>
      <c r="D31" s="78"/>
      <c r="E31" s="78"/>
      <c r="F31" s="78"/>
      <c r="G31" s="78"/>
      <c r="H31" s="78"/>
      <c r="I31" s="78"/>
      <c r="J31" s="78"/>
      <c r="K31" s="78"/>
      <c r="L31" s="78"/>
      <c r="M31" s="78"/>
      <c r="N31" s="78"/>
      <c r="O31" s="23"/>
      <c r="P31" s="94"/>
      <c r="Q31" s="84"/>
      <c r="R31" s="95"/>
      <c r="S31" s="95"/>
      <c r="T31" s="585"/>
      <c r="U31" s="23"/>
      <c r="V31" s="23"/>
      <c r="W31" s="23"/>
    </row>
    <row r="32" spans="1:23" ht="36" customHeight="1">
      <c r="A32" s="78"/>
      <c r="B32" s="3224" t="s">
        <v>3926</v>
      </c>
      <c r="C32" s="64"/>
      <c r="D32" s="85"/>
      <c r="E32" s="85"/>
      <c r="F32" s="85"/>
      <c r="G32" s="85"/>
      <c r="H32" s="85"/>
      <c r="I32" s="64"/>
      <c r="J32" s="86"/>
      <c r="K32" s="298" t="s">
        <v>175</v>
      </c>
      <c r="L32" s="298"/>
      <c r="M32" s="298"/>
      <c r="N32" s="699"/>
      <c r="O32" s="298"/>
      <c r="P32" s="6790" t="str">
        <f>IF(AND(V19,Q22&lt;&gt;"",R16&lt;&gt;"",R28="",S22=""),"If your annuity starting date was after 1997 and the payments are for your life and that of your beneficiary, use your combined ages on the annuity starting date.","")</f>
        <v/>
      </c>
      <c r="Q32" s="6791"/>
      <c r="R32" s="6791"/>
      <c r="S32" s="6791"/>
      <c r="T32" s="6791"/>
      <c r="U32" s="23"/>
      <c r="V32" s="23"/>
      <c r="W32" s="23"/>
    </row>
    <row r="33" spans="1:23" ht="5.25" customHeight="1" thickBot="1">
      <c r="A33" s="78"/>
      <c r="B33" s="36"/>
      <c r="C33" s="36"/>
      <c r="D33" s="36"/>
      <c r="E33" s="36"/>
      <c r="F33" s="36"/>
      <c r="G33" s="36"/>
      <c r="H33" s="36"/>
      <c r="I33" s="36"/>
      <c r="J33" s="36"/>
      <c r="K33" s="36"/>
      <c r="L33" s="36"/>
      <c r="M33" s="23"/>
      <c r="N33" s="78"/>
      <c r="O33" s="23"/>
      <c r="P33" s="6792"/>
      <c r="Q33" s="6792"/>
      <c r="R33" s="6792"/>
      <c r="S33" s="6792"/>
      <c r="T33" s="6792"/>
      <c r="U33" s="23"/>
      <c r="V33" s="23"/>
      <c r="W33" s="23"/>
    </row>
    <row r="34" spans="1:23" ht="13.5" customHeight="1">
      <c r="A34" s="78"/>
      <c r="B34" s="88"/>
      <c r="C34" s="23"/>
      <c r="D34" s="23"/>
      <c r="E34" s="23"/>
      <c r="F34" s="23"/>
      <c r="G34" s="23"/>
      <c r="H34" s="23"/>
      <c r="I34" s="23"/>
      <c r="J34" s="23"/>
      <c r="K34" s="23"/>
      <c r="L34" s="268"/>
      <c r="M34" s="475"/>
      <c r="N34" s="558"/>
      <c r="O34" s="268"/>
      <c r="P34" s="6792"/>
      <c r="Q34" s="6792"/>
      <c r="R34" s="6792"/>
      <c r="S34" s="6792"/>
      <c r="T34" s="6792"/>
      <c r="U34" s="23"/>
      <c r="V34" s="23"/>
      <c r="W34" s="23"/>
    </row>
    <row r="35" spans="1:23" ht="13.5" customHeight="1">
      <c r="A35" s="78"/>
      <c r="B35" s="55"/>
      <c r="C35" s="405"/>
      <c r="D35" s="402" t="s">
        <v>214</v>
      </c>
      <c r="E35" s="402"/>
      <c r="F35" s="402"/>
      <c r="G35" s="402"/>
      <c r="H35" s="402"/>
      <c r="I35" s="23"/>
      <c r="J35" s="23"/>
      <c r="K35" s="23"/>
      <c r="L35" s="268"/>
      <c r="M35" s="314"/>
      <c r="N35" s="558"/>
      <c r="O35" s="268"/>
      <c r="P35" s="6792"/>
      <c r="Q35" s="6792"/>
      <c r="R35" s="6792"/>
      <c r="S35" s="6792"/>
      <c r="T35" s="6792"/>
      <c r="U35" s="23"/>
      <c r="V35" s="23"/>
      <c r="W35" s="23"/>
    </row>
    <row r="36" spans="1:23" ht="13.5" customHeight="1">
      <c r="A36" s="78"/>
      <c r="B36" s="55"/>
      <c r="C36" s="706" t="s">
        <v>42</v>
      </c>
      <c r="D36" s="70" t="s">
        <v>541</v>
      </c>
      <c r="E36" s="23"/>
      <c r="F36" s="23"/>
      <c r="G36" s="23"/>
      <c r="H36" s="23"/>
      <c r="I36" s="23"/>
      <c r="J36" s="23"/>
      <c r="K36" s="23"/>
      <c r="L36" s="268"/>
      <c r="M36" s="314"/>
      <c r="N36" s="558"/>
      <c r="O36" s="268"/>
      <c r="P36" s="6792"/>
      <c r="Q36" s="6792"/>
      <c r="R36" s="6792"/>
      <c r="S36" s="6792"/>
      <c r="T36" s="6792"/>
      <c r="U36" s="23"/>
      <c r="V36" s="23"/>
      <c r="W36" s="23"/>
    </row>
    <row r="37" spans="1:23" ht="12" customHeight="1">
      <c r="A37" s="78"/>
      <c r="B37" s="55"/>
      <c r="C37" s="23"/>
      <c r="D37" s="70" t="s">
        <v>540</v>
      </c>
      <c r="E37" s="268"/>
      <c r="F37" s="268"/>
      <c r="G37" s="268"/>
      <c r="H37" s="268"/>
      <c r="I37" s="23"/>
      <c r="J37" s="23"/>
      <c r="K37" s="23"/>
      <c r="L37" s="268"/>
      <c r="M37" s="314"/>
      <c r="N37" s="558"/>
      <c r="O37" s="268"/>
      <c r="P37" s="23"/>
      <c r="Q37" s="23"/>
      <c r="R37" s="23"/>
      <c r="S37" s="23"/>
      <c r="T37" s="23"/>
      <c r="U37" s="23"/>
      <c r="V37" s="23"/>
      <c r="W37" s="23"/>
    </row>
    <row r="38" spans="1:23" ht="16.5" customHeight="1">
      <c r="A38" s="558"/>
      <c r="B38" s="3887" t="s">
        <v>3574</v>
      </c>
      <c r="C38" s="312"/>
      <c r="D38" s="312"/>
      <c r="E38" s="312"/>
      <c r="F38" s="312"/>
      <c r="G38" s="312"/>
      <c r="H38" s="312"/>
      <c r="I38" s="268"/>
      <c r="J38" s="268"/>
      <c r="K38" s="268"/>
      <c r="L38" s="268"/>
      <c r="M38" s="314"/>
      <c r="N38" s="558"/>
      <c r="O38" s="268"/>
      <c r="P38" s="23"/>
      <c r="Q38" s="23"/>
      <c r="R38" s="24"/>
      <c r="S38" s="23"/>
      <c r="T38" s="23"/>
      <c r="U38" s="23"/>
      <c r="V38" s="23"/>
      <c r="W38" s="23"/>
    </row>
    <row r="39" spans="1:23">
      <c r="A39" s="558"/>
      <c r="B39" s="4594" t="s">
        <v>3927</v>
      </c>
      <c r="C39" s="312"/>
      <c r="D39" s="312"/>
      <c r="E39" s="312"/>
      <c r="F39" s="56"/>
      <c r="G39" s="70"/>
      <c r="H39" s="312"/>
      <c r="I39" s="268"/>
      <c r="J39" s="268"/>
      <c r="K39" s="268"/>
      <c r="L39" s="357"/>
      <c r="M39" s="116"/>
      <c r="N39" s="700"/>
      <c r="O39" s="268"/>
      <c r="P39" s="23"/>
      <c r="Q39" s="23"/>
      <c r="R39" s="24"/>
      <c r="S39" s="23"/>
      <c r="T39" s="23"/>
      <c r="U39" s="23"/>
      <c r="V39" s="23"/>
      <c r="W39" s="23"/>
    </row>
    <row r="40" spans="1:23">
      <c r="A40" s="558"/>
      <c r="B40" s="4593" t="str">
        <f>"Enter  the total  pension  or  annuity  payments  received  in "&amp;TaxYear</f>
        <v>Enter  the total  pension  or  annuity  payments  received  in 2021</v>
      </c>
      <c r="C40" s="859"/>
      <c r="D40" s="859"/>
      <c r="E40" s="859"/>
      <c r="F40" s="1234"/>
      <c r="G40" s="1234" t="s">
        <v>3928</v>
      </c>
      <c r="H40" s="1234"/>
      <c r="I40" s="310"/>
      <c r="J40" s="310"/>
      <c r="K40" s="310"/>
      <c r="L40" s="1011"/>
      <c r="M40" s="1012"/>
      <c r="N40" s="700"/>
      <c r="O40" s="268"/>
      <c r="P40" s="23"/>
      <c r="Q40" s="23"/>
      <c r="R40" s="24"/>
      <c r="S40" s="23"/>
      <c r="T40" s="23"/>
      <c r="U40" s="23"/>
      <c r="V40" s="23"/>
      <c r="W40" s="23"/>
    </row>
    <row r="41" spans="1:23">
      <c r="A41" s="558"/>
      <c r="B41" s="4272" t="s">
        <v>3930</v>
      </c>
      <c r="C41" s="3892"/>
      <c r="D41" s="3888"/>
      <c r="E41" s="3888"/>
      <c r="F41" s="3889"/>
      <c r="G41" s="3888"/>
      <c r="H41" s="3888"/>
      <c r="I41" s="1042"/>
      <c r="J41" s="1042"/>
      <c r="K41" s="1042"/>
      <c r="L41" s="3890"/>
      <c r="M41" s="3891"/>
      <c r="N41" s="700"/>
      <c r="O41" s="268"/>
      <c r="P41" s="23"/>
      <c r="Q41" s="23"/>
      <c r="R41" s="24"/>
      <c r="S41" s="23"/>
      <c r="T41" s="23"/>
      <c r="U41" s="23"/>
      <c r="V41" s="23"/>
      <c r="W41" s="23"/>
    </row>
    <row r="42" spans="1:23" ht="16.5" customHeight="1">
      <c r="A42" s="78"/>
      <c r="B42" s="4273" t="str">
        <f>"1."</f>
        <v>1.</v>
      </c>
      <c r="C42" s="56" t="s">
        <v>3117</v>
      </c>
      <c r="D42" s="59"/>
      <c r="E42" s="59"/>
      <c r="F42" s="59"/>
      <c r="G42" s="59"/>
      <c r="H42" s="59"/>
      <c r="I42" s="64"/>
      <c r="J42" s="59"/>
      <c r="K42" s="65"/>
      <c r="L42" s="59"/>
      <c r="M42" s="66"/>
      <c r="N42" s="701"/>
      <c r="O42" s="329"/>
      <c r="P42" s="23"/>
      <c r="Q42" s="23"/>
      <c r="R42" s="24"/>
      <c r="S42" s="23"/>
      <c r="T42" s="23"/>
      <c r="U42" s="23"/>
      <c r="V42" s="23"/>
      <c r="W42" s="23"/>
    </row>
    <row r="43" spans="1:23">
      <c r="A43" s="78"/>
      <c r="B43" s="307"/>
      <c r="C43" s="56" t="s">
        <v>3929</v>
      </c>
      <c r="D43" s="59"/>
      <c r="E43" s="59"/>
      <c r="F43" s="59"/>
      <c r="G43" s="59"/>
      <c r="H43" s="59"/>
      <c r="I43" s="64"/>
      <c r="J43" s="69" t="s">
        <v>2562</v>
      </c>
      <c r="K43" s="65">
        <v>1</v>
      </c>
      <c r="L43" s="1365"/>
      <c r="M43" s="476"/>
      <c r="N43" s="702"/>
      <c r="O43" s="59"/>
      <c r="P43" s="23"/>
      <c r="Q43" s="23"/>
      <c r="R43" s="24"/>
      <c r="S43" s="23"/>
      <c r="T43" s="23"/>
      <c r="U43" s="23"/>
      <c r="V43" s="23"/>
      <c r="W43" s="23"/>
    </row>
    <row r="44" spans="1:23">
      <c r="A44" s="78"/>
      <c r="B44" s="307">
        <v>2</v>
      </c>
      <c r="C44" s="56" t="s">
        <v>82</v>
      </c>
      <c r="D44" s="59"/>
      <c r="E44" s="59"/>
      <c r="F44" s="707"/>
      <c r="G44" s="707"/>
      <c r="H44" s="69" t="s">
        <v>3576</v>
      </c>
      <c r="I44" s="64">
        <v>2</v>
      </c>
      <c r="J44" s="1365"/>
      <c r="K44" s="64"/>
      <c r="L44" s="329"/>
      <c r="M44" s="476"/>
      <c r="N44" s="701"/>
      <c r="O44" s="59"/>
      <c r="P44" s="23"/>
      <c r="Q44" s="23"/>
      <c r="R44" s="24"/>
      <c r="S44" s="23"/>
      <c r="T44" s="23"/>
      <c r="U44" s="23"/>
      <c r="V44" s="23"/>
      <c r="W44" s="23"/>
    </row>
    <row r="45" spans="1:23" ht="13.5" thickBot="1">
      <c r="A45" s="78"/>
      <c r="B45" s="307"/>
      <c r="C45" s="278" t="s">
        <v>808</v>
      </c>
      <c r="D45" s="59"/>
      <c r="E45" s="59"/>
      <c r="F45" s="707"/>
      <c r="G45" s="707"/>
      <c r="H45" s="707"/>
      <c r="I45" s="64"/>
      <c r="J45" s="835"/>
      <c r="K45" s="64"/>
      <c r="L45" s="984"/>
      <c r="M45" s="476"/>
      <c r="N45" s="701"/>
      <c r="O45" s="59"/>
      <c r="P45" s="23"/>
      <c r="Q45" s="23"/>
      <c r="R45" s="23"/>
      <c r="S45" s="23"/>
      <c r="T45" s="23"/>
      <c r="U45" s="23"/>
      <c r="V45" s="23"/>
      <c r="W45" s="23"/>
    </row>
    <row r="46" spans="1:23" ht="13.5" thickBot="1">
      <c r="A46" s="78"/>
      <c r="B46" s="307"/>
      <c r="C46" s="56" t="s">
        <v>807</v>
      </c>
      <c r="D46" s="59"/>
      <c r="E46" s="59"/>
      <c r="F46" s="707"/>
      <c r="G46" s="707"/>
      <c r="H46" s="707"/>
      <c r="I46" s="64"/>
      <c r="J46" s="835"/>
      <c r="K46" s="64"/>
      <c r="L46" s="984"/>
      <c r="M46" s="476"/>
      <c r="N46" s="701"/>
      <c r="O46" s="59"/>
      <c r="P46" s="23"/>
      <c r="Q46" s="1270"/>
      <c r="R46" s="70" t="s">
        <v>1727</v>
      </c>
      <c r="S46" s="23"/>
      <c r="T46" s="23"/>
      <c r="U46" s="23"/>
      <c r="V46" s="23"/>
      <c r="W46" s="23"/>
    </row>
    <row r="47" spans="1:23">
      <c r="A47" s="78"/>
      <c r="B47" s="307"/>
      <c r="C47" s="56" t="s">
        <v>236</v>
      </c>
      <c r="D47" s="59"/>
      <c r="E47" s="59"/>
      <c r="F47" s="707"/>
      <c r="G47" s="707"/>
      <c r="H47" s="707"/>
      <c r="I47" s="64"/>
      <c r="J47" s="835"/>
      <c r="K47" s="64"/>
      <c r="L47" s="719"/>
      <c r="M47" s="476"/>
      <c r="N47" s="701"/>
      <c r="O47" s="59"/>
      <c r="P47" s="23"/>
      <c r="Q47" s="2110"/>
      <c r="R47" s="70"/>
      <c r="S47" s="23"/>
      <c r="T47" s="23"/>
      <c r="U47" s="23"/>
      <c r="V47" s="23"/>
      <c r="W47" s="23"/>
    </row>
    <row r="48" spans="1:23">
      <c r="A48" s="78"/>
      <c r="B48" s="307">
        <v>3</v>
      </c>
      <c r="C48" s="56" t="s">
        <v>542</v>
      </c>
      <c r="D48" s="59"/>
      <c r="E48" s="59"/>
      <c r="F48" s="59"/>
      <c r="G48" s="59"/>
      <c r="H48" s="59"/>
      <c r="I48" s="64"/>
      <c r="J48" s="728"/>
      <c r="K48" s="64"/>
      <c r="L48" s="719"/>
      <c r="M48" s="66"/>
      <c r="N48" s="701"/>
      <c r="O48" s="59"/>
      <c r="P48" s="23"/>
      <c r="Q48" s="2111"/>
      <c r="R48" s="70"/>
      <c r="S48" s="23"/>
      <c r="T48" s="23"/>
      <c r="U48" s="23"/>
      <c r="V48" s="23"/>
      <c r="W48" s="23"/>
    </row>
    <row r="49" spans="1:23" ht="11.25" customHeight="1" thickBot="1">
      <c r="A49" s="78"/>
      <c r="B49" s="789"/>
      <c r="C49" s="858" t="s">
        <v>2637</v>
      </c>
      <c r="D49" s="309"/>
      <c r="E49" s="309"/>
      <c r="F49" s="309"/>
      <c r="G49" s="309"/>
      <c r="H49" s="309"/>
      <c r="I49" s="457"/>
      <c r="J49" s="1013"/>
      <c r="K49" s="457"/>
      <c r="L49" s="719"/>
      <c r="M49" s="1014"/>
      <c r="N49" s="701"/>
      <c r="O49" s="59"/>
      <c r="P49" s="36"/>
      <c r="Q49" s="36"/>
      <c r="R49" s="36"/>
      <c r="S49" s="36"/>
      <c r="T49" s="36"/>
      <c r="U49" s="36"/>
      <c r="V49" s="23"/>
      <c r="W49" s="23"/>
    </row>
    <row r="50" spans="1:23" ht="14.25" customHeight="1">
      <c r="A50" s="78"/>
      <c r="B50" s="55"/>
      <c r="C50" s="56" t="s">
        <v>2636</v>
      </c>
      <c r="D50" s="23"/>
      <c r="E50" s="23"/>
      <c r="F50" s="23"/>
      <c r="G50" s="23"/>
      <c r="H50" s="69" t="s">
        <v>2638</v>
      </c>
      <c r="I50" s="64">
        <v>3</v>
      </c>
      <c r="J50" s="1364" t="str">
        <f>IF(Q46&lt;&gt;"","",IF(R16="","Enter date above",IF(R28="","Enter age above",IF(L85,J94,L84))))</f>
        <v>Enter date above</v>
      </c>
      <c r="K50" s="64"/>
      <c r="L50" s="2109" t="s">
        <v>54</v>
      </c>
      <c r="M50" s="724"/>
      <c r="N50" s="701"/>
      <c r="O50" s="59"/>
      <c r="P50" s="88"/>
      <c r="Q50" s="31"/>
      <c r="R50" s="31"/>
      <c r="S50" s="31"/>
      <c r="T50" s="31"/>
      <c r="U50" s="96"/>
      <c r="V50" s="23"/>
      <c r="W50" s="23"/>
    </row>
    <row r="51" spans="1:23" ht="14.25" customHeight="1" thickBot="1">
      <c r="A51" s="78"/>
      <c r="B51" s="307">
        <v>4</v>
      </c>
      <c r="C51" s="56" t="s">
        <v>300</v>
      </c>
      <c r="D51" s="23"/>
      <c r="E51" s="23"/>
      <c r="F51" s="23"/>
      <c r="G51" s="23"/>
      <c r="H51" s="707" t="s">
        <v>234</v>
      </c>
      <c r="I51" s="64">
        <v>4</v>
      </c>
      <c r="J51" s="1364" t="str">
        <f>IF(L51&lt;&gt;"",L51,IF(OR(J50="",J50=0),"",IF(ISERROR(ROUND((J44/J50),0)),"",ROUND((J44/J50),0))))</f>
        <v/>
      </c>
      <c r="K51" s="64"/>
      <c r="L51" s="1365"/>
      <c r="M51" s="66"/>
      <c r="N51" s="701"/>
      <c r="O51" s="59"/>
      <c r="P51" s="55"/>
      <c r="Q51" s="23"/>
      <c r="R51" s="23"/>
      <c r="S51" s="23"/>
      <c r="T51" s="23"/>
      <c r="U51" s="97"/>
      <c r="V51" s="23"/>
      <c r="W51" s="23"/>
    </row>
    <row r="52" spans="1:23" ht="16.5" thickBot="1">
      <c r="A52" s="78"/>
      <c r="B52" s="307">
        <v>5</v>
      </c>
      <c r="C52" s="56" t="s">
        <v>637</v>
      </c>
      <c r="D52" s="23"/>
      <c r="E52" s="23"/>
      <c r="F52" s="23"/>
      <c r="G52" s="23"/>
      <c r="H52" s="23"/>
      <c r="I52" s="64"/>
      <c r="J52" s="59"/>
      <c r="K52" s="64"/>
      <c r="L52" s="719" t="s">
        <v>337</v>
      </c>
      <c r="M52" s="724" t="s">
        <v>316</v>
      </c>
      <c r="N52" s="701"/>
      <c r="O52" s="59"/>
      <c r="P52" s="55"/>
      <c r="Q52" s="729"/>
      <c r="R52" s="725"/>
      <c r="S52" s="23"/>
      <c r="T52" s="23"/>
      <c r="U52" s="97"/>
      <c r="V52" s="23"/>
      <c r="W52" s="23"/>
    </row>
    <row r="53" spans="1:23" ht="12.75" customHeight="1">
      <c r="A53" s="78"/>
      <c r="B53" s="55"/>
      <c r="C53" s="56" t="s">
        <v>2635</v>
      </c>
      <c r="D53" s="23"/>
      <c r="E53" s="23"/>
      <c r="F53" s="23"/>
      <c r="G53" s="23"/>
      <c r="H53" s="23"/>
      <c r="I53" s="64"/>
      <c r="J53" s="2101">
        <v>31778</v>
      </c>
      <c r="K53" s="726" t="b">
        <f>IF(R16&lt;J53,TRUE,FALSE)</f>
        <v>1</v>
      </c>
      <c r="L53" s="719" t="s">
        <v>338</v>
      </c>
      <c r="M53" s="724"/>
      <c r="N53" s="701"/>
      <c r="O53" s="59"/>
      <c r="P53" s="6787" t="s">
        <v>460</v>
      </c>
      <c r="Q53" s="6788"/>
      <c r="R53" s="6788"/>
      <c r="S53" s="6788"/>
      <c r="T53" s="6788"/>
      <c r="U53" s="6789"/>
      <c r="V53" s="23"/>
      <c r="W53" s="23"/>
    </row>
    <row r="54" spans="1:23" ht="12.75" customHeight="1">
      <c r="A54" s="78"/>
      <c r="B54" s="55"/>
      <c r="C54" s="56" t="s">
        <v>638</v>
      </c>
      <c r="D54" s="23"/>
      <c r="E54" s="23"/>
      <c r="F54" s="23"/>
      <c r="G54" s="23"/>
      <c r="H54" s="69" t="s">
        <v>2639</v>
      </c>
      <c r="I54" s="64">
        <v>5</v>
      </c>
      <c r="J54" s="1364" t="str">
        <f>IF(OR(R52&gt;12,R52="",J51=""),"",J51*R52)</f>
        <v/>
      </c>
      <c r="K54" s="64"/>
      <c r="L54" s="719" t="s">
        <v>1725</v>
      </c>
      <c r="M54" s="66"/>
      <c r="N54" s="701"/>
      <c r="O54" s="59"/>
      <c r="P54" s="6787" t="s">
        <v>461</v>
      </c>
      <c r="Q54" s="6788"/>
      <c r="R54" s="6788"/>
      <c r="S54" s="6788"/>
      <c r="T54" s="6788"/>
      <c r="U54" s="6789"/>
      <c r="V54" s="23"/>
      <c r="W54" s="23"/>
    </row>
    <row r="55" spans="1:23" ht="16.5" thickBot="1">
      <c r="A55" s="78"/>
      <c r="B55" s="307">
        <v>6</v>
      </c>
      <c r="C55" s="56" t="s">
        <v>494</v>
      </c>
      <c r="D55" s="23"/>
      <c r="E55" s="23"/>
      <c r="F55" s="23"/>
      <c r="G55" s="23"/>
      <c r="H55" s="707"/>
      <c r="I55" s="64"/>
      <c r="J55" s="881"/>
      <c r="K55" s="64"/>
      <c r="L55" s="719" t="s">
        <v>339</v>
      </c>
      <c r="M55" s="724"/>
      <c r="N55" s="701"/>
      <c r="O55" s="59"/>
      <c r="P55" s="89"/>
      <c r="Q55" s="36"/>
      <c r="R55" s="36"/>
      <c r="S55" s="36"/>
      <c r="T55" s="36"/>
      <c r="U55" s="98"/>
      <c r="V55" s="23"/>
      <c r="W55" s="23"/>
    </row>
    <row r="56" spans="1:23" ht="13.5" customHeight="1">
      <c r="A56" s="78"/>
      <c r="B56" s="307"/>
      <c r="C56" s="56" t="s">
        <v>375</v>
      </c>
      <c r="D56" s="23"/>
      <c r="E56" s="23"/>
      <c r="F56" s="23"/>
      <c r="G56" s="23"/>
      <c r="H56" s="707"/>
      <c r="I56" s="64">
        <v>6</v>
      </c>
      <c r="J56" s="1365"/>
      <c r="K56" s="64"/>
      <c r="L56" s="719"/>
      <c r="M56" s="724"/>
      <c r="N56" s="701"/>
      <c r="O56" s="59"/>
      <c r="P56" s="23"/>
      <c r="Q56" s="23"/>
      <c r="R56" s="23"/>
      <c r="S56" s="23"/>
      <c r="T56" s="23"/>
      <c r="U56" s="23"/>
      <c r="V56" s="23"/>
      <c r="W56" s="23"/>
    </row>
    <row r="57" spans="1:23">
      <c r="A57" s="78"/>
      <c r="B57" s="307">
        <v>7</v>
      </c>
      <c r="C57" s="280" t="s">
        <v>298</v>
      </c>
      <c r="D57" s="23"/>
      <c r="E57" s="23"/>
      <c r="F57" s="23"/>
      <c r="G57" s="23"/>
      <c r="H57" s="707" t="s">
        <v>141</v>
      </c>
      <c r="I57" s="64">
        <v>7</v>
      </c>
      <c r="J57" s="1364" t="str">
        <f>IF(OR(K53,J54=""),"",J44-J56)</f>
        <v/>
      </c>
      <c r="K57" s="64"/>
      <c r="L57" s="59"/>
      <c r="M57" s="66"/>
      <c r="N57" s="701"/>
      <c r="O57" s="59"/>
      <c r="P57" s="23"/>
      <c r="Q57" s="23"/>
      <c r="R57" s="23"/>
      <c r="S57" s="23"/>
      <c r="T57" s="23"/>
      <c r="U57" s="23"/>
      <c r="V57" s="23"/>
      <c r="W57" s="23"/>
    </row>
    <row r="58" spans="1:23">
      <c r="A58" s="78"/>
      <c r="B58" s="307">
        <v>8</v>
      </c>
      <c r="C58" s="280" t="s">
        <v>543</v>
      </c>
      <c r="D58" s="23"/>
      <c r="E58" s="23"/>
      <c r="F58" s="23"/>
      <c r="G58" s="23"/>
      <c r="H58" s="23"/>
      <c r="I58" s="23"/>
      <c r="J58" s="707" t="s">
        <v>408</v>
      </c>
      <c r="K58" s="64">
        <v>8</v>
      </c>
      <c r="L58" s="1364" t="str">
        <f>IF(K53,J54,MIN(J54,J57))</f>
        <v/>
      </c>
      <c r="M58" s="476"/>
      <c r="N58" s="701"/>
      <c r="O58" s="329"/>
      <c r="P58" s="23"/>
      <c r="Q58" s="23"/>
      <c r="R58" s="23"/>
      <c r="S58" s="23"/>
      <c r="T58" s="23"/>
      <c r="U58" s="23"/>
      <c r="V58" s="23"/>
      <c r="W58" s="23"/>
    </row>
    <row r="59" spans="1:23">
      <c r="A59" s="78"/>
      <c r="B59" s="307">
        <v>9</v>
      </c>
      <c r="C59" s="56" t="s">
        <v>2100</v>
      </c>
      <c r="D59" s="23"/>
      <c r="E59" s="23"/>
      <c r="F59" s="23"/>
      <c r="G59" s="23"/>
      <c r="H59" s="23"/>
      <c r="I59" s="23"/>
      <c r="J59" s="23"/>
      <c r="K59" s="64"/>
      <c r="L59" s="59"/>
      <c r="M59" s="66"/>
      <c r="N59" s="701"/>
      <c r="O59" s="329"/>
      <c r="P59" s="23"/>
      <c r="Q59" s="23"/>
      <c r="R59" s="23"/>
      <c r="S59" s="23"/>
      <c r="T59" s="23"/>
      <c r="U59" s="23"/>
      <c r="V59" s="23"/>
      <c r="W59" s="23"/>
    </row>
    <row r="60" spans="1:23" ht="12.75" customHeight="1">
      <c r="A60" s="78"/>
      <c r="B60" s="307"/>
      <c r="C60" s="2709" t="s">
        <v>3116</v>
      </c>
      <c r="D60" s="72"/>
      <c r="E60" s="72"/>
      <c r="F60" s="72"/>
      <c r="G60" s="72"/>
      <c r="H60" s="72"/>
      <c r="I60" s="64"/>
      <c r="J60" s="59"/>
      <c r="K60" s="64"/>
      <c r="L60" s="59"/>
      <c r="M60" s="66"/>
      <c r="N60" s="701"/>
      <c r="O60" s="329"/>
      <c r="P60" s="23"/>
      <c r="Q60" s="23"/>
      <c r="R60" s="24" t="s">
        <v>90</v>
      </c>
      <c r="S60" s="23"/>
      <c r="T60" s="23"/>
      <c r="U60" s="23"/>
      <c r="V60" s="23"/>
      <c r="W60" s="23"/>
    </row>
    <row r="61" spans="1:23" ht="12.75" customHeight="1">
      <c r="A61" s="78"/>
      <c r="B61" s="307"/>
      <c r="C61" s="56" t="s">
        <v>639</v>
      </c>
      <c r="D61" s="72"/>
      <c r="E61" s="72"/>
      <c r="F61" s="72"/>
      <c r="G61" s="72"/>
      <c r="H61" s="72"/>
      <c r="I61" s="64"/>
      <c r="J61" s="59"/>
      <c r="K61" s="64"/>
      <c r="L61" s="59"/>
      <c r="M61" s="66"/>
      <c r="N61" s="701"/>
      <c r="O61" s="329"/>
      <c r="P61" s="23"/>
      <c r="Q61" s="23"/>
      <c r="R61" s="24" t="s">
        <v>411</v>
      </c>
      <c r="S61" s="23"/>
      <c r="T61" s="23"/>
      <c r="U61" s="23"/>
      <c r="V61" s="23"/>
      <c r="W61" s="23"/>
    </row>
    <row r="62" spans="1:23">
      <c r="A62" s="78"/>
      <c r="B62" s="307"/>
      <c r="C62" s="56" t="s">
        <v>3575</v>
      </c>
      <c r="D62" s="59"/>
      <c r="E62" s="59"/>
      <c r="F62" s="59"/>
      <c r="G62" s="59"/>
      <c r="H62" s="59"/>
      <c r="I62" s="64"/>
      <c r="J62" s="69" t="s">
        <v>318</v>
      </c>
      <c r="K62" s="64">
        <v>9</v>
      </c>
      <c r="L62" s="1364" t="str">
        <f>IF(R62&lt;&gt;"",R62,IF(OR(L58="",R16=""),"",IF(Pension_total="",0,MAX(0,SUM(L43,-L58)))))</f>
        <v/>
      </c>
      <c r="M62" s="476"/>
      <c r="N62" s="701"/>
      <c r="O62" s="329"/>
      <c r="P62" s="23"/>
      <c r="Q62" s="23"/>
      <c r="R62" s="384"/>
      <c r="S62" s="23"/>
      <c r="T62" s="23"/>
      <c r="U62" s="23"/>
      <c r="V62" s="23"/>
      <c r="W62" s="23"/>
    </row>
    <row r="63" spans="1:23">
      <c r="A63" s="78"/>
      <c r="B63" s="837" t="s">
        <v>295</v>
      </c>
      <c r="C63" s="56" t="s">
        <v>198</v>
      </c>
      <c r="D63" s="59"/>
      <c r="E63" s="59"/>
      <c r="F63" s="59"/>
      <c r="G63" s="59"/>
      <c r="H63" s="59"/>
      <c r="I63" s="64"/>
      <c r="J63" s="707"/>
      <c r="K63" s="64"/>
      <c r="L63" s="329"/>
      <c r="M63" s="476"/>
      <c r="N63" s="701"/>
      <c r="O63" s="329"/>
      <c r="P63" s="23"/>
      <c r="Q63" s="23"/>
      <c r="R63" s="836"/>
      <c r="S63" s="23"/>
      <c r="T63" s="23"/>
      <c r="U63" s="23"/>
      <c r="V63" s="23"/>
      <c r="W63" s="23"/>
    </row>
    <row r="64" spans="1:23" ht="7.5" customHeight="1">
      <c r="A64" s="78"/>
      <c r="B64" s="307"/>
      <c r="C64" s="23"/>
      <c r="D64" s="59"/>
      <c r="E64" s="59"/>
      <c r="F64" s="59"/>
      <c r="G64" s="59"/>
      <c r="H64" s="59"/>
      <c r="I64" s="64"/>
      <c r="J64" s="707"/>
      <c r="K64" s="64"/>
      <c r="L64" s="329"/>
      <c r="M64" s="476"/>
      <c r="N64" s="701"/>
      <c r="O64" s="329"/>
      <c r="P64" s="23"/>
      <c r="Q64" s="23"/>
      <c r="R64" s="836"/>
      <c r="S64" s="23"/>
      <c r="T64" s="23"/>
      <c r="U64" s="23"/>
      <c r="V64" s="23"/>
      <c r="W64" s="23"/>
    </row>
    <row r="65" spans="1:23" ht="13.5" customHeight="1">
      <c r="A65" s="78"/>
      <c r="B65" s="307"/>
      <c r="C65" s="1893" t="str">
        <f>IF(V22,"X","")</f>
        <v/>
      </c>
      <c r="D65" s="838" t="s">
        <v>1739</v>
      </c>
      <c r="E65" s="126" t="s">
        <v>1596</v>
      </c>
      <c r="F65" s="59"/>
      <c r="G65" s="59"/>
      <c r="H65" s="59"/>
      <c r="I65" s="64"/>
      <c r="J65" s="707"/>
      <c r="K65" s="64"/>
      <c r="L65" s="329"/>
      <c r="M65" s="476"/>
      <c r="N65" s="701"/>
      <c r="O65" s="329"/>
      <c r="P65" s="23"/>
      <c r="Q65" s="23"/>
      <c r="R65" s="2116"/>
      <c r="S65" s="23"/>
      <c r="T65" s="23"/>
      <c r="U65" s="23"/>
      <c r="V65" s="23"/>
      <c r="W65" s="23"/>
    </row>
    <row r="66" spans="1:23">
      <c r="A66" s="78"/>
      <c r="B66" s="307"/>
      <c r="C66" s="23"/>
      <c r="D66" s="59"/>
      <c r="E66" s="59"/>
      <c r="F66" s="59"/>
      <c r="G66" s="59"/>
      <c r="H66" s="59"/>
      <c r="I66" s="64"/>
      <c r="J66" s="707"/>
      <c r="K66" s="64"/>
      <c r="L66" s="329"/>
      <c r="M66" s="476"/>
      <c r="N66" s="701"/>
      <c r="O66" s="329"/>
      <c r="P66" s="23"/>
      <c r="Q66" s="23"/>
      <c r="R66" s="24" t="s">
        <v>90</v>
      </c>
      <c r="S66" s="23"/>
      <c r="T66" s="23"/>
      <c r="U66" s="23"/>
      <c r="V66" s="23"/>
      <c r="W66" s="23"/>
    </row>
    <row r="67" spans="1:23" ht="15" customHeight="1">
      <c r="A67" s="78"/>
      <c r="B67" s="307"/>
      <c r="C67" s="1893" t="str">
        <f>IF(V22,"","X")</f>
        <v>X</v>
      </c>
      <c r="D67" s="68" t="s">
        <v>2919</v>
      </c>
      <c r="E67" s="5513" t="str">
        <f>"This is the amount you have recovered tax free through "&amp;TaxYear&amp;"."</f>
        <v>This is the amount you have recovered tax free through 2021.</v>
      </c>
      <c r="F67" s="59"/>
      <c r="G67" s="59"/>
      <c r="H67" s="59"/>
      <c r="I67" s="3677"/>
      <c r="J67" s="283"/>
      <c r="K67" s="64"/>
      <c r="L67" s="329"/>
      <c r="M67" s="476"/>
      <c r="N67" s="701"/>
      <c r="O67" s="329"/>
      <c r="P67" s="23"/>
      <c r="Q67" s="23"/>
      <c r="R67" s="24" t="s">
        <v>411</v>
      </c>
      <c r="S67" s="23"/>
      <c r="T67" s="23"/>
      <c r="U67" s="23"/>
      <c r="V67" s="23"/>
      <c r="W67" s="23"/>
    </row>
    <row r="68" spans="1:23">
      <c r="A68" s="78"/>
      <c r="B68" s="307"/>
      <c r="C68" s="23"/>
      <c r="D68" s="59" t="s">
        <v>199</v>
      </c>
      <c r="E68" s="59"/>
      <c r="F68" s="59"/>
      <c r="G68" s="59"/>
      <c r="H68" s="59"/>
      <c r="I68" s="64"/>
      <c r="J68" s="707" t="s">
        <v>253</v>
      </c>
      <c r="K68" s="71" t="str">
        <f>B63</f>
        <v>10.</v>
      </c>
      <c r="L68" s="1364" t="str">
        <f>IF(R68&lt;&gt;"",R68,IF(R16="","",IF(C65="X","",SUM(J56,L58))))</f>
        <v/>
      </c>
      <c r="M68" s="476"/>
      <c r="N68" s="701"/>
      <c r="O68" s="329"/>
      <c r="P68" s="23"/>
      <c r="Q68" s="23"/>
      <c r="R68" s="384"/>
      <c r="S68" s="23"/>
      <c r="T68" s="23"/>
      <c r="U68" s="23"/>
      <c r="V68" s="23"/>
      <c r="W68" s="23"/>
    </row>
    <row r="69" spans="1:23">
      <c r="A69" s="78"/>
      <c r="B69" s="307"/>
      <c r="C69" s="23"/>
      <c r="D69" s="59"/>
      <c r="E69" s="59"/>
      <c r="F69" s="59"/>
      <c r="G69" s="59"/>
      <c r="H69" s="59"/>
      <c r="I69" s="64"/>
      <c r="J69" s="707"/>
      <c r="K69" s="71"/>
      <c r="L69" s="2712"/>
      <c r="M69" s="476"/>
      <c r="N69" s="701"/>
      <c r="O69" s="329"/>
      <c r="P69" s="23"/>
      <c r="Q69" s="23"/>
      <c r="R69" s="836"/>
      <c r="S69" s="23"/>
      <c r="T69" s="23"/>
      <c r="U69" s="23"/>
      <c r="V69" s="23"/>
      <c r="W69" s="23"/>
    </row>
    <row r="70" spans="1:23">
      <c r="A70" s="78"/>
      <c r="B70" s="2710" t="s">
        <v>296</v>
      </c>
      <c r="C70" s="70" t="s">
        <v>2102</v>
      </c>
      <c r="D70" s="59"/>
      <c r="E70" s="59"/>
      <c r="F70" s="59"/>
      <c r="G70" s="59"/>
      <c r="H70" s="59"/>
      <c r="I70" s="64"/>
      <c r="J70" s="707"/>
      <c r="K70" s="71"/>
      <c r="L70" s="2712"/>
      <c r="M70" s="476"/>
      <c r="N70" s="701"/>
      <c r="O70" s="329"/>
      <c r="P70" s="23"/>
      <c r="Q70" s="23"/>
      <c r="R70" s="836"/>
      <c r="S70" s="23"/>
      <c r="T70" s="23"/>
      <c r="U70" s="23"/>
      <c r="V70" s="23"/>
      <c r="W70" s="23"/>
    </row>
    <row r="71" spans="1:23">
      <c r="A71" s="78"/>
      <c r="B71" s="307"/>
      <c r="C71" s="23" t="s">
        <v>2101</v>
      </c>
      <c r="D71" s="59"/>
      <c r="E71" s="59"/>
      <c r="F71" s="59"/>
      <c r="G71" s="59"/>
      <c r="H71" s="59"/>
      <c r="I71" s="64"/>
      <c r="J71" s="69" t="s">
        <v>2640</v>
      </c>
      <c r="K71" s="2711" t="s">
        <v>296</v>
      </c>
      <c r="L71" s="1364" t="str">
        <f>IF(R71&lt;&gt;"",R71,IF(R16="","",IF(C65="X","",SUM(J44,-L68))))</f>
        <v/>
      </c>
      <c r="M71" s="476"/>
      <c r="N71" s="701"/>
      <c r="O71" s="329"/>
      <c r="P71" s="23"/>
      <c r="Q71" s="23"/>
      <c r="R71" s="384"/>
      <c r="S71" s="23"/>
      <c r="T71" s="23"/>
      <c r="U71" s="23"/>
      <c r="V71" s="23"/>
      <c r="W71" s="23"/>
    </row>
    <row r="72" spans="1:23" ht="12.75" customHeight="1" thickBot="1">
      <c r="A72" s="78"/>
      <c r="B72" s="710"/>
      <c r="C72" s="1356"/>
      <c r="D72" s="74"/>
      <c r="E72" s="74"/>
      <c r="F72" s="74"/>
      <c r="G72" s="74"/>
      <c r="H72" s="74"/>
      <c r="I72" s="75"/>
      <c r="J72" s="74"/>
      <c r="K72" s="75"/>
      <c r="L72" s="74"/>
      <c r="M72" s="76"/>
      <c r="N72" s="702"/>
      <c r="O72" s="59"/>
      <c r="P72" s="23"/>
      <c r="Q72" s="23"/>
      <c r="R72" s="23"/>
      <c r="S72" s="23"/>
      <c r="T72" s="23"/>
      <c r="U72" s="23"/>
      <c r="V72" s="23"/>
      <c r="W72" s="23"/>
    </row>
    <row r="73" spans="1:23" ht="17.25" customHeight="1">
      <c r="A73" s="78"/>
      <c r="B73" s="307"/>
      <c r="C73" s="23"/>
      <c r="D73" s="71"/>
      <c r="E73" s="71"/>
      <c r="F73" s="71" t="s">
        <v>442</v>
      </c>
      <c r="G73" s="71"/>
      <c r="H73" s="71"/>
      <c r="I73" s="71"/>
      <c r="J73" s="59"/>
      <c r="K73" s="64"/>
      <c r="L73" s="59"/>
      <c r="M73" s="107"/>
      <c r="N73" s="701"/>
      <c r="O73" s="59"/>
      <c r="P73" s="23"/>
      <c r="Q73" s="23"/>
      <c r="R73" s="23"/>
      <c r="S73" s="23"/>
      <c r="T73" s="23"/>
      <c r="U73" s="23"/>
      <c r="V73" s="23"/>
      <c r="W73" s="23"/>
    </row>
    <row r="74" spans="1:23" ht="12" customHeight="1">
      <c r="A74" s="78"/>
      <c r="B74" s="307"/>
      <c r="C74" s="23"/>
      <c r="D74" s="59"/>
      <c r="E74" s="59"/>
      <c r="F74" s="59"/>
      <c r="G74" s="59"/>
      <c r="H74" s="59"/>
      <c r="I74" s="64"/>
      <c r="J74" s="2114">
        <v>35387</v>
      </c>
      <c r="K74" s="64"/>
      <c r="L74" s="722" t="s">
        <v>83</v>
      </c>
      <c r="M74" s="107"/>
      <c r="N74" s="701"/>
      <c r="O74" s="59"/>
      <c r="P74" s="23"/>
      <c r="Q74" s="23"/>
      <c r="R74" s="23"/>
      <c r="S74" s="23"/>
      <c r="T74" s="23"/>
      <c r="U74" s="23"/>
      <c r="V74" s="23"/>
      <c r="W74" s="23"/>
    </row>
    <row r="75" spans="1:23">
      <c r="A75" s="78"/>
      <c r="B75" s="307"/>
      <c r="C75" s="23"/>
      <c r="D75" s="102"/>
      <c r="E75" s="102"/>
      <c r="F75" s="64"/>
      <c r="G75" s="68" t="s">
        <v>443</v>
      </c>
      <c r="H75" s="68"/>
      <c r="I75" s="64"/>
      <c r="J75" s="59"/>
      <c r="K75" s="59"/>
      <c r="L75" s="722" t="s">
        <v>84</v>
      </c>
      <c r="M75" s="107"/>
      <c r="N75" s="702"/>
      <c r="O75" s="59"/>
      <c r="P75" s="23"/>
      <c r="Q75" s="23"/>
      <c r="R75" s="23"/>
      <c r="S75" s="23"/>
      <c r="T75" s="23"/>
      <c r="U75" s="23"/>
      <c r="V75" s="23"/>
      <c r="W75" s="23"/>
    </row>
    <row r="76" spans="1:23">
      <c r="A76" s="78"/>
      <c r="B76" s="307"/>
      <c r="C76" s="23"/>
      <c r="D76" s="299" t="s">
        <v>640</v>
      </c>
      <c r="E76" s="299"/>
      <c r="F76" s="71" t="s">
        <v>438</v>
      </c>
      <c r="G76" s="6783">
        <f>J74+1</f>
        <v>35388</v>
      </c>
      <c r="H76" s="6784"/>
      <c r="I76" s="71" t="s">
        <v>437</v>
      </c>
      <c r="J76" s="6783">
        <f>J74</f>
        <v>35387</v>
      </c>
      <c r="K76" s="6784"/>
      <c r="L76" s="722" t="s">
        <v>418</v>
      </c>
      <c r="M76" s="107"/>
      <c r="N76" s="701"/>
      <c r="O76" s="59"/>
      <c r="P76" s="23"/>
      <c r="Q76" s="23"/>
      <c r="R76" s="23"/>
      <c r="S76" s="23"/>
      <c r="T76" s="23"/>
      <c r="U76" s="23"/>
      <c r="V76" s="23"/>
      <c r="W76" s="23"/>
    </row>
    <row r="77" spans="1:23" ht="12" customHeight="1">
      <c r="A77" s="78"/>
      <c r="B77" s="307"/>
      <c r="C77" s="23"/>
      <c r="D77" s="403" t="s">
        <v>641</v>
      </c>
      <c r="E77" s="713"/>
      <c r="F77" s="708" t="s">
        <v>3</v>
      </c>
      <c r="G77" s="708"/>
      <c r="H77" s="709"/>
      <c r="I77" s="64"/>
      <c r="J77" s="474" t="s">
        <v>139</v>
      </c>
      <c r="K77" s="300"/>
      <c r="L77" s="722" t="s">
        <v>383</v>
      </c>
      <c r="M77" s="107"/>
      <c r="N77" s="701"/>
      <c r="O77" s="59"/>
      <c r="P77" s="23"/>
      <c r="Q77" s="23"/>
      <c r="R77" s="23"/>
      <c r="S77" s="23"/>
      <c r="T77" s="23"/>
      <c r="U77" s="23"/>
      <c r="V77" s="23"/>
      <c r="W77" s="23"/>
    </row>
    <row r="78" spans="1:23" ht="5.25" customHeight="1">
      <c r="A78" s="78"/>
      <c r="B78" s="307"/>
      <c r="C78" s="23"/>
      <c r="D78" s="299"/>
      <c r="E78" s="713"/>
      <c r="F78" s="360"/>
      <c r="G78" s="360"/>
      <c r="H78" s="718"/>
      <c r="I78" s="64"/>
      <c r="J78" s="300"/>
      <c r="K78" s="300"/>
      <c r="L78" s="300"/>
      <c r="M78" s="107"/>
      <c r="N78" s="701"/>
      <c r="O78" s="59"/>
      <c r="P78" s="23"/>
      <c r="Q78" s="23"/>
      <c r="R78" s="23"/>
      <c r="S78" s="23"/>
      <c r="T78" s="23"/>
      <c r="U78" s="23"/>
      <c r="V78" s="23"/>
      <c r="W78" s="23"/>
    </row>
    <row r="79" spans="1:23">
      <c r="A79" s="78"/>
      <c r="B79" s="307"/>
      <c r="C79" s="23"/>
      <c r="D79" s="102" t="str">
        <f>(E80-1)&amp;" or under"</f>
        <v>55 or under</v>
      </c>
      <c r="E79" s="713"/>
      <c r="F79" s="315"/>
      <c r="G79" s="106">
        <v>300</v>
      </c>
      <c r="H79" s="318"/>
      <c r="I79" s="64"/>
      <c r="J79" s="106">
        <v>360</v>
      </c>
      <c r="K79" s="106"/>
      <c r="L79" s="711"/>
      <c r="M79" s="107"/>
      <c r="N79" s="701"/>
      <c r="O79" s="59"/>
      <c r="P79" s="23"/>
      <c r="Q79" s="23"/>
      <c r="R79" s="23"/>
      <c r="S79" s="23"/>
      <c r="T79" s="23"/>
      <c r="U79" s="23"/>
      <c r="V79" s="23"/>
      <c r="W79" s="23"/>
    </row>
    <row r="80" spans="1:23">
      <c r="A80" s="78"/>
      <c r="B80" s="307"/>
      <c r="C80" s="23"/>
      <c r="D80" s="102" t="str">
        <f>E80&amp;"--"&amp;(E80+4)</f>
        <v>56--60</v>
      </c>
      <c r="E80" s="712">
        <v>56</v>
      </c>
      <c r="F80" s="315"/>
      <c r="G80" s="106">
        <v>260</v>
      </c>
      <c r="H80" s="318"/>
      <c r="I80" s="64"/>
      <c r="J80" s="106">
        <v>310</v>
      </c>
      <c r="K80" s="106"/>
      <c r="L80" s="722"/>
      <c r="M80" s="107"/>
      <c r="N80" s="701"/>
      <c r="O80" s="59"/>
      <c r="P80" s="23"/>
      <c r="Q80" s="23"/>
      <c r="R80" s="23"/>
      <c r="S80" s="23"/>
      <c r="T80" s="23"/>
      <c r="U80" s="23"/>
      <c r="V80" s="23"/>
      <c r="W80" s="23"/>
    </row>
    <row r="81" spans="1:23">
      <c r="A81" s="78"/>
      <c r="B81" s="307"/>
      <c r="C81" s="23"/>
      <c r="D81" s="102" t="str">
        <f>E81&amp;"--"&amp;(E81+4)</f>
        <v>61--65</v>
      </c>
      <c r="E81" s="712">
        <v>61</v>
      </c>
      <c r="F81" s="716"/>
      <c r="G81" s="106">
        <v>240</v>
      </c>
      <c r="H81" s="318"/>
      <c r="I81" s="64"/>
      <c r="J81" s="106">
        <v>260</v>
      </c>
      <c r="K81" s="106"/>
      <c r="L81" s="722"/>
      <c r="M81" s="107"/>
      <c r="N81" s="703"/>
      <c r="O81" s="59"/>
      <c r="P81" s="23"/>
      <c r="Q81" s="23"/>
      <c r="R81" s="23"/>
      <c r="S81" s="23"/>
      <c r="T81" s="23"/>
      <c r="U81" s="23"/>
      <c r="V81" s="23"/>
      <c r="W81" s="23"/>
    </row>
    <row r="82" spans="1:23" ht="13.5" customHeight="1">
      <c r="A82" s="78"/>
      <c r="B82" s="307"/>
      <c r="C82" s="23"/>
      <c r="D82" s="102" t="str">
        <f>E82&amp;"--"&amp;(E82+4)</f>
        <v>66--70</v>
      </c>
      <c r="E82" s="712">
        <v>66</v>
      </c>
      <c r="F82" s="315"/>
      <c r="G82" s="106">
        <v>170</v>
      </c>
      <c r="H82" s="318"/>
      <c r="I82" s="64"/>
      <c r="J82" s="106">
        <v>210</v>
      </c>
      <c r="K82" s="106"/>
      <c r="L82" s="722"/>
      <c r="M82" s="107"/>
      <c r="N82" s="704"/>
      <c r="O82" s="59"/>
      <c r="P82" s="23"/>
      <c r="Q82" s="23"/>
      <c r="R82" s="23"/>
      <c r="S82" s="23"/>
      <c r="T82" s="23"/>
      <c r="U82" s="23"/>
      <c r="V82" s="23"/>
      <c r="W82" s="23"/>
    </row>
    <row r="83" spans="1:23">
      <c r="A83" s="78"/>
      <c r="B83" s="307"/>
      <c r="C83" s="23"/>
      <c r="D83" s="102" t="str">
        <f>E83&amp;" or older"</f>
        <v>71 or older</v>
      </c>
      <c r="E83" s="712">
        <v>71</v>
      </c>
      <c r="F83" s="315"/>
      <c r="G83" s="106">
        <v>120</v>
      </c>
      <c r="H83" s="318"/>
      <c r="I83" s="64"/>
      <c r="J83" s="106">
        <v>160</v>
      </c>
      <c r="K83" s="106"/>
      <c r="L83" s="106"/>
      <c r="M83" s="107"/>
      <c r="N83" s="705"/>
      <c r="O83" s="59"/>
      <c r="P83" s="23"/>
      <c r="Q83" s="23"/>
      <c r="R83" s="23"/>
      <c r="S83" s="23"/>
      <c r="T83" s="23"/>
      <c r="U83" s="23"/>
      <c r="V83" s="23"/>
      <c r="W83" s="23"/>
    </row>
    <row r="84" spans="1:23" ht="13.5" thickBot="1">
      <c r="A84" s="78"/>
      <c r="B84" s="710"/>
      <c r="C84" s="36"/>
      <c r="D84" s="74"/>
      <c r="E84" s="74"/>
      <c r="F84" s="715"/>
      <c r="G84" s="5960">
        <f>IF(R28&lt;E80,G79,LOOKUP(R28,E80:E83,G80:G83))</f>
        <v>300</v>
      </c>
      <c r="H84" s="714"/>
      <c r="I84" s="316"/>
      <c r="J84" s="5960">
        <f>IF(R28&lt;E80,J79,LOOKUP(R28,E80:E83,J80:J83))</f>
        <v>360</v>
      </c>
      <c r="K84" s="75"/>
      <c r="L84" s="5958" t="str">
        <f>IF(OR(R16="",R28=""),"",IF(R16&gt;J74,J84,G84))</f>
        <v/>
      </c>
      <c r="M84" s="76"/>
      <c r="N84" s="705"/>
      <c r="O84" s="59"/>
      <c r="P84" s="23"/>
      <c r="Q84" s="23"/>
      <c r="R84" s="23"/>
      <c r="S84" s="23"/>
      <c r="T84" s="23"/>
      <c r="U84" s="23"/>
      <c r="V84" s="23"/>
      <c r="W84" s="23"/>
    </row>
    <row r="85" spans="1:23">
      <c r="A85" s="78"/>
      <c r="B85" s="307"/>
      <c r="C85" s="23"/>
      <c r="D85" s="71"/>
      <c r="E85" s="71"/>
      <c r="F85" s="1366" t="s">
        <v>343</v>
      </c>
      <c r="G85" s="71"/>
      <c r="H85" s="71"/>
      <c r="I85" s="71"/>
      <c r="J85" s="2114">
        <v>35796</v>
      </c>
      <c r="K85" s="5959"/>
      <c r="L85" s="1917" t="b">
        <f>AND(Q22&lt;&gt;"",R16&gt;=J85)</f>
        <v>0</v>
      </c>
      <c r="M85" s="66"/>
      <c r="N85" s="705"/>
      <c r="O85" s="59"/>
      <c r="P85" s="23"/>
      <c r="Q85" s="23"/>
      <c r="R85" s="23"/>
      <c r="S85" s="23"/>
      <c r="T85" s="23"/>
      <c r="U85" s="23"/>
      <c r="V85" s="23"/>
      <c r="W85" s="23"/>
    </row>
    <row r="86" spans="1:23">
      <c r="A86" s="78"/>
      <c r="B86" s="307"/>
      <c r="C86" s="23"/>
      <c r="D86" s="59"/>
      <c r="E86" s="59"/>
      <c r="F86" s="59"/>
      <c r="G86" s="59"/>
      <c r="H86" s="59"/>
      <c r="I86" s="64"/>
      <c r="J86" s="59"/>
      <c r="K86" s="64"/>
      <c r="L86" s="711"/>
      <c r="M86" s="66"/>
      <c r="N86" s="705"/>
      <c r="O86" s="59"/>
      <c r="P86" s="23"/>
      <c r="Q86" s="23"/>
      <c r="R86" s="23"/>
      <c r="S86" s="23"/>
      <c r="T86" s="23"/>
      <c r="U86" s="23"/>
      <c r="V86" s="23"/>
      <c r="W86" s="23"/>
    </row>
    <row r="87" spans="1:23">
      <c r="A87" s="78"/>
      <c r="B87" s="110"/>
      <c r="C87" s="317" t="s">
        <v>642</v>
      </c>
      <c r="D87" s="299"/>
      <c r="E87" s="299"/>
      <c r="F87" s="299"/>
      <c r="G87" s="299"/>
      <c r="H87" s="299"/>
      <c r="I87" s="64"/>
      <c r="J87" s="68"/>
      <c r="K87" s="64"/>
      <c r="L87" s="711"/>
      <c r="M87" s="66"/>
      <c r="N87" s="705"/>
      <c r="O87" s="59"/>
      <c r="P87" s="23"/>
      <c r="Q87" s="23"/>
      <c r="R87" s="23"/>
      <c r="S87" s="23"/>
      <c r="T87" s="23"/>
      <c r="U87" s="23"/>
      <c r="V87" s="23"/>
      <c r="W87" s="23"/>
    </row>
    <row r="88" spans="1:23">
      <c r="A88" s="78"/>
      <c r="B88" s="111"/>
      <c r="C88" s="404"/>
      <c r="D88" s="459" t="s">
        <v>643</v>
      </c>
      <c r="E88" s="459"/>
      <c r="F88" s="459"/>
      <c r="G88" s="459"/>
      <c r="H88" s="459"/>
      <c r="I88" s="109" t="s">
        <v>16</v>
      </c>
      <c r="J88" s="59"/>
      <c r="K88" s="64"/>
      <c r="L88" s="711"/>
      <c r="M88" s="104"/>
      <c r="N88" s="701"/>
      <c r="O88" s="59"/>
      <c r="P88" s="23"/>
      <c r="Q88" s="23"/>
      <c r="R88" s="23"/>
      <c r="S88" s="23"/>
      <c r="T88" s="23"/>
      <c r="U88" s="23"/>
      <c r="V88" s="23"/>
      <c r="W88" s="23"/>
    </row>
    <row r="89" spans="1:23" ht="13.5" customHeight="1">
      <c r="A89" s="78"/>
      <c r="B89" s="110"/>
      <c r="C89" s="108"/>
      <c r="D89" s="102" t="str">
        <f>(E90-1)&amp;" or under"</f>
        <v>110 or under</v>
      </c>
      <c r="E89" s="102"/>
      <c r="F89" s="102"/>
      <c r="G89" s="102"/>
      <c r="H89" s="102"/>
      <c r="I89" s="318"/>
      <c r="J89" s="106">
        <v>410</v>
      </c>
      <c r="K89" s="64"/>
      <c r="L89" s="711"/>
      <c r="M89" s="698"/>
      <c r="N89" s="701"/>
      <c r="O89" s="59"/>
      <c r="P89" s="23"/>
      <c r="Q89" s="23"/>
      <c r="R89" s="23"/>
      <c r="S89" s="23"/>
      <c r="T89" s="23"/>
      <c r="U89" s="23"/>
      <c r="V89" s="23"/>
      <c r="W89" s="23"/>
    </row>
    <row r="90" spans="1:23">
      <c r="A90" s="78"/>
      <c r="B90" s="110"/>
      <c r="C90" s="108"/>
      <c r="D90" s="102" t="str">
        <f>E90&amp;"--"&amp;E90+9</f>
        <v>111--120</v>
      </c>
      <c r="E90" s="712">
        <v>111</v>
      </c>
      <c r="F90" s="102"/>
      <c r="G90" s="102"/>
      <c r="H90" s="102"/>
      <c r="I90" s="318"/>
      <c r="J90" s="106">
        <v>360</v>
      </c>
      <c r="K90" s="64"/>
      <c r="L90" s="106"/>
      <c r="M90" s="107"/>
      <c r="N90" s="701"/>
      <c r="O90" s="59"/>
      <c r="P90" s="23"/>
      <c r="Q90" s="23"/>
      <c r="R90" s="23"/>
      <c r="S90" s="23"/>
      <c r="T90" s="23"/>
      <c r="U90" s="23"/>
      <c r="V90" s="23"/>
      <c r="W90" s="23"/>
    </row>
    <row r="91" spans="1:23">
      <c r="A91" s="78"/>
      <c r="B91" s="110"/>
      <c r="C91" s="108"/>
      <c r="D91" s="102" t="str">
        <f>E91&amp;"--"&amp;E91+9</f>
        <v>121--130</v>
      </c>
      <c r="E91" s="712">
        <v>121</v>
      </c>
      <c r="F91" s="102"/>
      <c r="G91" s="102"/>
      <c r="H91" s="102"/>
      <c r="I91" s="318"/>
      <c r="J91" s="106">
        <v>310</v>
      </c>
      <c r="K91" s="64"/>
      <c r="L91" s="106"/>
      <c r="M91" s="107"/>
      <c r="N91" s="701"/>
      <c r="O91" s="59"/>
      <c r="P91" s="23"/>
      <c r="Q91" s="23"/>
      <c r="R91" s="23"/>
      <c r="S91" s="23"/>
      <c r="T91" s="23"/>
      <c r="U91" s="23"/>
      <c r="V91" s="23"/>
      <c r="W91" s="23"/>
    </row>
    <row r="92" spans="1:23">
      <c r="A92" s="78"/>
      <c r="B92" s="110"/>
      <c r="C92" s="108"/>
      <c r="D92" s="102" t="str">
        <f>E92&amp;"--"&amp;E92+9</f>
        <v>131--140</v>
      </c>
      <c r="E92" s="712">
        <v>131</v>
      </c>
      <c r="F92" s="102"/>
      <c r="G92" s="102"/>
      <c r="H92" s="102"/>
      <c r="I92" s="318"/>
      <c r="J92" s="106">
        <v>260</v>
      </c>
      <c r="K92" s="64"/>
      <c r="L92" s="106"/>
      <c r="M92" s="107"/>
      <c r="N92" s="703"/>
      <c r="O92" s="59"/>
      <c r="P92" s="23"/>
      <c r="Q92" s="23"/>
      <c r="R92" s="23"/>
      <c r="S92" s="23"/>
      <c r="T92" s="23"/>
      <c r="U92" s="23"/>
      <c r="V92" s="23"/>
      <c r="W92" s="23"/>
    </row>
    <row r="93" spans="1:23">
      <c r="A93" s="78"/>
      <c r="B93" s="110"/>
      <c r="C93" s="108"/>
      <c r="D93" s="102" t="str">
        <f>E93&amp;" or older"</f>
        <v>141 or older</v>
      </c>
      <c r="E93" s="712">
        <v>141</v>
      </c>
      <c r="F93" s="102"/>
      <c r="G93" s="102"/>
      <c r="H93" s="102"/>
      <c r="I93" s="318"/>
      <c r="J93" s="106">
        <v>210</v>
      </c>
      <c r="K93" s="64"/>
      <c r="L93" s="106"/>
      <c r="M93" s="107"/>
      <c r="N93" s="705"/>
      <c r="O93" s="59"/>
      <c r="P93" s="23"/>
      <c r="Q93" s="23"/>
      <c r="R93" s="23"/>
      <c r="S93" s="23"/>
      <c r="T93" s="23"/>
      <c r="U93" s="23"/>
      <c r="V93" s="23"/>
      <c r="W93" s="23"/>
    </row>
    <row r="94" spans="1:23" ht="13.5" thickBot="1">
      <c r="A94" s="78"/>
      <c r="B94" s="710"/>
      <c r="C94" s="36"/>
      <c r="D94" s="74"/>
      <c r="E94" s="74"/>
      <c r="F94" s="74"/>
      <c r="G94" s="74"/>
      <c r="H94" s="74"/>
      <c r="I94" s="75"/>
      <c r="J94" s="5958" t="str">
        <f>IF(OR(Q22="",R28=""),"",IF(R28&lt;E90,J89,LOOKUP(R28,E90:E93,J90:J93)))</f>
        <v/>
      </c>
      <c r="K94" s="75"/>
      <c r="L94" s="74"/>
      <c r="M94" s="76"/>
      <c r="N94" s="705"/>
      <c r="O94" s="59"/>
      <c r="P94" s="23"/>
      <c r="Q94" s="23"/>
      <c r="R94" s="23"/>
      <c r="S94" s="23"/>
      <c r="T94" s="23"/>
      <c r="U94" s="23"/>
      <c r="V94" s="23"/>
      <c r="W94" s="23"/>
    </row>
    <row r="95" spans="1:23" ht="9.75" customHeight="1">
      <c r="A95" s="78"/>
      <c r="B95" s="730"/>
      <c r="C95" s="731"/>
      <c r="D95" s="732"/>
      <c r="E95" s="732"/>
      <c r="F95" s="732"/>
      <c r="G95" s="732"/>
      <c r="H95" s="732"/>
      <c r="I95" s="733"/>
      <c r="J95" s="701"/>
      <c r="K95" s="734"/>
      <c r="L95" s="701"/>
      <c r="M95" s="701"/>
      <c r="N95" s="705"/>
      <c r="O95" s="59"/>
      <c r="P95" s="23"/>
      <c r="Q95" s="23"/>
      <c r="R95" s="23"/>
      <c r="S95" s="23"/>
      <c r="T95" s="23"/>
      <c r="U95" s="23"/>
      <c r="V95" s="23"/>
      <c r="W95" s="23"/>
    </row>
    <row r="96" spans="1:23" ht="12.75" customHeight="1">
      <c r="A96" s="127"/>
      <c r="B96" s="127"/>
      <c r="C96" s="127"/>
      <c r="D96" s="85"/>
      <c r="E96" s="85"/>
      <c r="F96" s="85"/>
      <c r="G96" s="85"/>
      <c r="H96" s="85"/>
      <c r="I96" s="64"/>
      <c r="J96" s="59"/>
      <c r="K96" s="64"/>
      <c r="L96" s="59"/>
      <c r="M96" s="59"/>
      <c r="N96" s="59"/>
      <c r="O96" s="59"/>
      <c r="P96" s="23"/>
      <c r="Q96" s="23"/>
      <c r="R96" s="23"/>
      <c r="S96" s="23"/>
      <c r="T96" s="23"/>
      <c r="U96" s="59"/>
      <c r="V96" s="23"/>
      <c r="W96" s="23"/>
    </row>
    <row r="97" spans="4:4" ht="13.5" customHeight="1"/>
    <row r="98" spans="4:4" ht="14.25" customHeight="1"/>
    <row r="100" spans="4:4" ht="13.5" thickBot="1"/>
    <row r="101" spans="4:4">
      <c r="D101" s="6774" t="s">
        <v>3219</v>
      </c>
    </row>
    <row r="102" spans="4:4">
      <c r="D102" s="6775"/>
    </row>
    <row r="103" spans="4:4" ht="13.5" thickBot="1">
      <c r="D103" s="6776"/>
    </row>
  </sheetData>
  <sheetProtection password="F07E" sheet="1" objects="1" scenarios="1"/>
  <mergeCells count="13">
    <mergeCell ref="D101:D103"/>
    <mergeCell ref="R16:S16"/>
    <mergeCell ref="R28:S28"/>
    <mergeCell ref="P12:T12"/>
    <mergeCell ref="P11:T11"/>
    <mergeCell ref="G76:H76"/>
    <mergeCell ref="P20:T20"/>
    <mergeCell ref="P53:U53"/>
    <mergeCell ref="P54:U54"/>
    <mergeCell ref="J76:K76"/>
    <mergeCell ref="P32:T36"/>
    <mergeCell ref="P23:T23"/>
    <mergeCell ref="P24:T24"/>
  </mergeCells>
  <phoneticPr fontId="14" type="noConversion"/>
  <conditionalFormatting sqref="B38">
    <cfRule type="expression" dxfId="2646" priority="5">
      <formula>IF($L$43="",1,0)</formula>
    </cfRule>
  </conditionalFormatting>
  <conditionalFormatting sqref="B41">
    <cfRule type="expression" dxfId="2645" priority="1">
      <formula>($L$43="")</formula>
    </cfRule>
  </conditionalFormatting>
  <conditionalFormatting sqref="C65">
    <cfRule type="expression" dxfId="2644" priority="3">
      <formula>NoColor</formula>
    </cfRule>
  </conditionalFormatting>
  <conditionalFormatting sqref="C67">
    <cfRule type="expression" dxfId="2643" priority="2">
      <formula>NoColor</formula>
    </cfRule>
  </conditionalFormatting>
  <conditionalFormatting sqref="D65">
    <cfRule type="expression" dxfId="2642" priority="60" stopIfTrue="1">
      <formula>IF(C65="X",1,0)</formula>
    </cfRule>
  </conditionalFormatting>
  <conditionalFormatting sqref="G79:G83">
    <cfRule type="expression" dxfId="2641" priority="1529" stopIfTrue="1">
      <formula>IF(AND($L$85=FALSE,G79=$L$84,$R$16&lt;=$J$74),1,0)</formula>
    </cfRule>
  </conditionalFormatting>
  <conditionalFormatting sqref="J44">
    <cfRule type="expression" dxfId="2640" priority="35">
      <formula>IF(NoColor,1,0)</formula>
    </cfRule>
  </conditionalFormatting>
  <conditionalFormatting sqref="J50">
    <cfRule type="expression" dxfId="2639" priority="1531">
      <formula>IF(OR(R28="",AND(L84="",J94="")),1,0)</formula>
    </cfRule>
  </conditionalFormatting>
  <conditionalFormatting sqref="J50:J51">
    <cfRule type="expression" dxfId="2638" priority="41">
      <formula>IF(NoColor,1,0)</formula>
    </cfRule>
  </conditionalFormatting>
  <conditionalFormatting sqref="J54">
    <cfRule type="expression" dxfId="2637" priority="40">
      <formula>IF(NoColor,1,0)</formula>
    </cfRule>
  </conditionalFormatting>
  <conditionalFormatting sqref="J56:J57">
    <cfRule type="expression" dxfId="2636" priority="33">
      <formula>IF(NoColor,1,0)</formula>
    </cfRule>
  </conditionalFormatting>
  <conditionalFormatting sqref="J79:J83">
    <cfRule type="expression" dxfId="2635" priority="1530" stopIfTrue="1">
      <formula>IF(AND($L$85=FALSE,J79=$L$84,$R$16&gt;$J$74),1,0)</formula>
    </cfRule>
  </conditionalFormatting>
  <conditionalFormatting sqref="J89:J93">
    <cfRule type="expression" dxfId="2634" priority="1528" stopIfTrue="1">
      <formula>IF(AND($L$85=TRUE,J89=$J$94),1,0)</formula>
    </cfRule>
  </conditionalFormatting>
  <conditionalFormatting sqref="L43">
    <cfRule type="expression" dxfId="2633" priority="6">
      <formula>IF(NoColor,1,0)</formula>
    </cfRule>
  </conditionalFormatting>
  <conditionalFormatting sqref="L45:L46">
    <cfRule type="expression" dxfId="2632" priority="63" stopIfTrue="1">
      <formula>IF($K$46&lt;&gt;"",1,0)</formula>
    </cfRule>
  </conditionalFormatting>
  <conditionalFormatting sqref="L47:L49">
    <cfRule type="expression" dxfId="2631" priority="15" stopIfTrue="1">
      <formula>IF($R$52&lt;=12,1,0)</formula>
    </cfRule>
  </conditionalFormatting>
  <conditionalFormatting sqref="L50">
    <cfRule type="expression" dxfId="2630" priority="19" stopIfTrue="1">
      <formula>IF(AND($Q$46&lt;&gt;"",$L$51=""),1,0)</formula>
    </cfRule>
    <cfRule type="expression" dxfId="2629" priority="20">
      <formula>IF(AND($Q$46&lt;&gt;"",$L$51&lt;&gt;""),1,0)</formula>
    </cfRule>
  </conditionalFormatting>
  <conditionalFormatting sqref="L51">
    <cfRule type="expression" dxfId="2628" priority="14">
      <formula>IF($Q$46="",1,0)</formula>
    </cfRule>
    <cfRule type="expression" dxfId="2627" priority="34">
      <formula>IF(NoColor,1,0)</formula>
    </cfRule>
  </conditionalFormatting>
  <conditionalFormatting sqref="L52:L55">
    <cfRule type="expression" dxfId="2626" priority="10" stopIfTrue="1">
      <formula>IF($R$52&lt;=12,1,0)</formula>
    </cfRule>
  </conditionalFormatting>
  <conditionalFormatting sqref="L58">
    <cfRule type="expression" dxfId="2625" priority="38">
      <formula>IF(NoColor,1,0)</formula>
    </cfRule>
  </conditionalFormatting>
  <conditionalFormatting sqref="L62">
    <cfRule type="expression" dxfId="2624" priority="37">
      <formula>IF(NoColor,1,0)</formula>
    </cfRule>
  </conditionalFormatting>
  <conditionalFormatting sqref="L68:L71">
    <cfRule type="expression" dxfId="2623" priority="36">
      <formula>IF(NoColor,1,0)</formula>
    </cfRule>
  </conditionalFormatting>
  <conditionalFormatting sqref="L74:L77">
    <cfRule type="expression" dxfId="2622" priority="1267" stopIfTrue="1">
      <formula>IF(OR($R$16="",$L$75=TRUE,$R$28&lt;&gt;""),1,0)</formula>
    </cfRule>
  </conditionalFormatting>
  <conditionalFormatting sqref="L79">
    <cfRule type="expression" dxfId="2621" priority="1564" stopIfTrue="1">
      <formula>IF(OR($L$85=TRUE,$R$77&lt;&gt;""),1,0)</formula>
    </cfRule>
  </conditionalFormatting>
  <conditionalFormatting sqref="L80:L82">
    <cfRule type="expression" dxfId="2620" priority="55" stopIfTrue="1">
      <formula>IF($R$16&lt;&gt;"",1,0)</formula>
    </cfRule>
  </conditionalFormatting>
  <conditionalFormatting sqref="L86:L89 M89">
    <cfRule type="expression" dxfId="2619" priority="1565" stopIfTrue="1">
      <formula>IF(OR($R$89&lt;&gt;"",$L$85=FALSE),1,0)</formula>
    </cfRule>
  </conditionalFormatting>
  <conditionalFormatting sqref="M50">
    <cfRule type="expression" dxfId="2618" priority="21" stopIfTrue="1">
      <formula>IF($R$52&lt;=12,1,0)</formula>
    </cfRule>
  </conditionalFormatting>
  <conditionalFormatting sqref="M52:M53">
    <cfRule type="expression" dxfId="2617" priority="4" stopIfTrue="1">
      <formula>IF($R$52&lt;=12,1,0)</formula>
    </cfRule>
  </conditionalFormatting>
  <conditionalFormatting sqref="M55 L56:M56">
    <cfRule type="expression" dxfId="2616" priority="46" stopIfTrue="1">
      <formula>IF($R$52&lt;=12,1,0)</formula>
    </cfRule>
  </conditionalFormatting>
  <conditionalFormatting sqref="P21 U21">
    <cfRule type="expression" dxfId="2615" priority="804" stopIfTrue="1">
      <formula>IF($R$16&lt;$J$75,1,0)</formula>
    </cfRule>
  </conditionalFormatting>
  <conditionalFormatting sqref="P22">
    <cfRule type="expression" dxfId="2614" priority="806" stopIfTrue="1">
      <formula>IF($R$16&lt;$J$75,1,0)</formula>
    </cfRule>
  </conditionalFormatting>
  <conditionalFormatting sqref="P25:U25">
    <cfRule type="expression" dxfId="2613" priority="807" stopIfTrue="1">
      <formula>IF($R$16&lt;$J$75,1,0)</formula>
    </cfRule>
  </conditionalFormatting>
  <conditionalFormatting sqref="Q22">
    <cfRule type="expression" dxfId="2612" priority="813" stopIfTrue="1">
      <formula>IF($R$16&lt;$J$83,1,0)</formula>
    </cfRule>
  </conditionalFormatting>
  <conditionalFormatting sqref="Q21:T21">
    <cfRule type="expression" dxfId="2611" priority="810" stopIfTrue="1">
      <formula>IF($R$16&lt;$J$75,1,0)</formula>
    </cfRule>
  </conditionalFormatting>
  <conditionalFormatting sqref="R22 T22 P23:P24">
    <cfRule type="expression" dxfId="2610" priority="811" stopIfTrue="1">
      <formula>IF($R$16&lt;$J$83,1,0)</formula>
    </cfRule>
  </conditionalFormatting>
  <conditionalFormatting sqref="S22">
    <cfRule type="expression" dxfId="2609" priority="814" stopIfTrue="1">
      <formula>IF($R$16&lt;$J$83,1,0)</formula>
    </cfRule>
  </conditionalFormatting>
  <conditionalFormatting sqref="U22:U24">
    <cfRule type="expression" dxfId="2608" priority="808" stopIfTrue="1">
      <formula>IF($R$16&lt;$J$75,1,0)</formula>
    </cfRule>
  </conditionalFormatting>
  <hyperlinks>
    <hyperlink ref="D101:D103" location="'Table of Contents'!A1" display="Table of Contents" xr:uid="{00000000-0004-0000-1300-000000000000}"/>
  </hyperlinks>
  <pageMargins left="0.75" right="0.46" top="0.37" bottom="0.55000000000000004" header="0.35" footer="0.5"/>
  <pageSetup scale="83"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pageSetUpPr fitToPage="1"/>
  </sheetPr>
  <dimension ref="A1:AA57"/>
  <sheetViews>
    <sheetView zoomScaleNormal="100" workbookViewId="0"/>
  </sheetViews>
  <sheetFormatPr defaultColWidth="9.140625" defaultRowHeight="12.75"/>
  <cols>
    <col min="1" max="1" width="2.42578125" style="42" customWidth="1"/>
    <col min="2" max="2" width="1.5703125" style="42" customWidth="1"/>
    <col min="3" max="3" width="3.5703125" style="42" customWidth="1"/>
    <col min="4" max="4" width="2.28515625" style="42" customWidth="1"/>
    <col min="5" max="5" width="51.5703125" style="42" customWidth="1"/>
    <col min="6" max="6" width="7.7109375" style="42" customWidth="1"/>
    <col min="7" max="7" width="10" style="42" customWidth="1"/>
    <col min="8" max="8" width="11.140625" style="42" customWidth="1"/>
    <col min="9" max="9" width="4.28515625" style="42" customWidth="1"/>
    <col min="10" max="10" width="16.42578125" style="42" customWidth="1"/>
    <col min="11" max="13" width="2.140625" style="42" customWidth="1"/>
    <col min="14" max="14" width="2" style="42" customWidth="1"/>
    <col min="15" max="15" width="3.140625" style="42" customWidth="1"/>
    <col min="16" max="16" width="11.42578125" style="42" customWidth="1"/>
    <col min="17" max="17" width="9.7109375" style="42" customWidth="1"/>
    <col min="18" max="18" width="9.140625" style="42"/>
    <col min="19" max="19" width="12" style="3403" customWidth="1"/>
    <col min="20" max="21" width="9.140625" style="3402"/>
    <col min="22" max="22" width="10.140625" style="3402" bestFit="1" customWidth="1"/>
    <col min="23" max="26" width="9.140625" style="3402"/>
    <col min="27" max="16384" width="9.140625" style="42"/>
  </cols>
  <sheetData>
    <row r="1" spans="1:27" ht="16.5" customHeight="1">
      <c r="A1" s="78"/>
      <c r="B1" s="78"/>
      <c r="C1" s="78"/>
      <c r="D1" s="78"/>
      <c r="E1" s="78"/>
      <c r="F1" s="78"/>
      <c r="G1" s="78"/>
      <c r="H1" s="78"/>
      <c r="I1" s="78"/>
      <c r="J1" s="78"/>
      <c r="K1" s="78"/>
      <c r="L1" s="78"/>
      <c r="M1" s="23"/>
      <c r="N1" s="59"/>
      <c r="O1" s="23"/>
      <c r="P1" s="23"/>
      <c r="Q1" s="23"/>
      <c r="R1" s="23"/>
      <c r="S1" s="3012" t="s">
        <v>2033</v>
      </c>
      <c r="T1" s="2595"/>
      <c r="U1" s="2595"/>
      <c r="V1" s="2595"/>
      <c r="W1" s="2595"/>
      <c r="X1" s="2595"/>
      <c r="Y1" s="2595"/>
      <c r="Z1" s="2595"/>
      <c r="AA1" s="1250"/>
    </row>
    <row r="2" spans="1:27" ht="37.5" customHeight="1" thickBot="1">
      <c r="A2" s="78"/>
      <c r="B2" s="23"/>
      <c r="C2" s="3053" t="s">
        <v>3960</v>
      </c>
      <c r="D2" s="75"/>
      <c r="E2" s="36"/>
      <c r="F2" s="75"/>
      <c r="G2" s="737"/>
      <c r="H2" s="738" t="s">
        <v>175</v>
      </c>
      <c r="I2" s="738"/>
      <c r="J2" s="739"/>
      <c r="K2" s="740"/>
      <c r="L2" s="743"/>
      <c r="M2" s="740"/>
      <c r="N2" s="59"/>
      <c r="O2" s="23"/>
      <c r="P2" s="23"/>
      <c r="Q2" s="23"/>
      <c r="R2" s="23"/>
      <c r="S2" s="3404" t="s">
        <v>111</v>
      </c>
      <c r="T2" s="2595"/>
      <c r="U2" s="2595"/>
      <c r="V2" s="2595"/>
      <c r="W2" s="2595"/>
      <c r="X2" s="2595"/>
      <c r="Y2" s="2595"/>
      <c r="Z2" s="2595"/>
      <c r="AA2" s="1250"/>
    </row>
    <row r="3" spans="1:27" ht="18.75" customHeight="1">
      <c r="A3" s="747"/>
      <c r="B3" s="748"/>
      <c r="C3" s="287" t="s">
        <v>214</v>
      </c>
      <c r="D3" s="287"/>
      <c r="E3" s="288"/>
      <c r="F3" s="287"/>
      <c r="G3" s="289"/>
      <c r="H3" s="289"/>
      <c r="I3" s="290"/>
      <c r="J3" s="59"/>
      <c r="K3" s="62"/>
      <c r="L3" s="701"/>
      <c r="M3" s="59"/>
      <c r="N3" s="425"/>
      <c r="O3" s="3229" t="str">
        <f>IF(File_Marr_Sep="","",IF(LivedApartAnswered,"You have indicated on","Be sure to indicate on"))</f>
        <v/>
      </c>
      <c r="P3" s="54"/>
      <c r="Q3" s="52"/>
      <c r="R3" s="23"/>
      <c r="S3" s="3013"/>
      <c r="T3" s="2595"/>
      <c r="U3" s="2595"/>
      <c r="V3" s="2595"/>
      <c r="W3" s="2595"/>
      <c r="X3" s="2595"/>
      <c r="Y3" s="2595"/>
      <c r="Z3" s="2595"/>
      <c r="AA3" s="1250"/>
    </row>
    <row r="4" spans="1:27" ht="13.5" customHeight="1">
      <c r="A4" s="78"/>
      <c r="B4" s="55"/>
      <c r="C4" s="284" t="s">
        <v>42</v>
      </c>
      <c r="D4" s="64"/>
      <c r="E4" s="49" t="s">
        <v>5138</v>
      </c>
      <c r="F4" s="285"/>
      <c r="G4" s="286"/>
      <c r="H4" s="286"/>
      <c r="I4" s="283"/>
      <c r="J4" s="59"/>
      <c r="K4" s="66"/>
      <c r="L4" s="701"/>
      <c r="M4" s="59"/>
      <c r="N4" s="2350"/>
      <c r="O4" s="3229" t="str">
        <f>IF(File_Marr_Sep="","",IF(LivedApartAnswered,"on Form 1040 that you have","Form 1040 whether you have"))</f>
        <v/>
      </c>
      <c r="P4" s="742"/>
      <c r="Q4" s="1843"/>
      <c r="R4" s="23"/>
      <c r="S4" s="3013"/>
      <c r="T4" s="2595"/>
      <c r="U4" s="2595"/>
      <c r="V4" s="2595"/>
      <c r="W4" s="2595"/>
      <c r="X4" s="2595"/>
      <c r="Y4" s="2595"/>
      <c r="Z4" s="2595"/>
      <c r="AA4" s="1250"/>
    </row>
    <row r="5" spans="1:27" ht="13.5" customHeight="1">
      <c r="A5" s="78"/>
      <c r="B5" s="55"/>
      <c r="C5" s="284"/>
      <c r="D5" s="64"/>
      <c r="E5" s="49" t="s">
        <v>5139</v>
      </c>
      <c r="F5" s="285"/>
      <c r="G5" s="286"/>
      <c r="H5" s="286"/>
      <c r="I5" s="283"/>
      <c r="J5" s="59"/>
      <c r="K5" s="66"/>
      <c r="L5" s="701"/>
      <c r="M5" s="59"/>
      <c r="N5" s="2350"/>
      <c r="O5" s="3229" t="str">
        <f>IF(AND(File_Marr_Sep&lt;&gt;"",NOT(LivedApartAnswered)),"lived apart",IF(AND(File_Marr_Sep&lt;&gt;"",LivedApart),"LIVED APART",IF(AND(File_Marr_Sep&lt;&gt;"",NOT(LivedApart)),"NOT LIVED APART","")))</f>
        <v/>
      </c>
      <c r="P5" s="3226"/>
      <c r="Q5" s="1843"/>
      <c r="R5" s="23"/>
      <c r="S5" s="3013"/>
      <c r="T5" s="2595"/>
      <c r="U5" s="2595"/>
      <c r="V5" s="2595"/>
      <c r="W5" s="2595"/>
      <c r="X5" s="2595"/>
      <c r="Y5" s="2595"/>
      <c r="Z5" s="2595"/>
      <c r="AA5" s="1250"/>
    </row>
    <row r="6" spans="1:27" ht="13.5" customHeight="1">
      <c r="A6" s="78"/>
      <c r="B6" s="55"/>
      <c r="C6" s="284" t="s">
        <v>42</v>
      </c>
      <c r="D6" s="64"/>
      <c r="E6" s="50" t="str">
        <f>"If you are married filing separately and you lived apart from your spouse for all of "&amp;TaxYear&amp;", enter 'D' to"</f>
        <v>If you are married filing separately and you lived apart from your spouse for all of 2021, enter 'D' to</v>
      </c>
      <c r="F6" s="285"/>
      <c r="G6" s="286"/>
      <c r="H6" s="286"/>
      <c r="I6" s="283"/>
      <c r="J6" s="723"/>
      <c r="K6" s="66"/>
      <c r="L6" s="701"/>
      <c r="M6" s="354"/>
      <c r="N6" s="2350"/>
      <c r="O6" s="3229" t="str">
        <f>IF(File_Marr_Sep&lt;&gt;"","from your spouse","")</f>
        <v/>
      </c>
      <c r="P6" s="742"/>
      <c r="Q6" s="1843"/>
      <c r="R6" s="23"/>
      <c r="S6" s="3013"/>
      <c r="T6" s="2595"/>
      <c r="U6" s="2595"/>
      <c r="V6" s="2595"/>
      <c r="W6" s="2595"/>
      <c r="X6" s="2595"/>
      <c r="Y6" s="2595"/>
      <c r="Z6" s="2595"/>
      <c r="AA6" s="1250"/>
    </row>
    <row r="7" spans="1:27" ht="12" customHeight="1">
      <c r="A7" s="78"/>
      <c r="B7" s="55"/>
      <c r="C7" s="284"/>
      <c r="D7" s="64"/>
      <c r="E7" s="49" t="s">
        <v>3961</v>
      </c>
      <c r="F7" s="285"/>
      <c r="G7" s="286"/>
      <c r="H7" s="286"/>
      <c r="I7" s="283"/>
      <c r="J7" s="466"/>
      <c r="K7" s="467"/>
      <c r="L7" s="744"/>
      <c r="M7" s="354"/>
      <c r="N7" s="387"/>
      <c r="O7" s="3229" t="str">
        <f>IF(File_Marr_Sep&lt;&gt;"","for ALL of "&amp;TaxYear&amp;".","")</f>
        <v/>
      </c>
      <c r="P7" s="409"/>
      <c r="Q7" s="1843"/>
      <c r="R7" s="23"/>
      <c r="S7" s="3013"/>
      <c r="T7" s="2595"/>
      <c r="U7" s="2595"/>
      <c r="V7" s="2595"/>
      <c r="W7" s="2595"/>
      <c r="X7" s="2595"/>
      <c r="Y7" s="2595"/>
      <c r="Z7" s="2595"/>
      <c r="AA7" s="1250"/>
    </row>
    <row r="8" spans="1:27" ht="11.25" customHeight="1">
      <c r="A8" s="78"/>
      <c r="B8" s="55"/>
      <c r="C8" s="284" t="s">
        <v>42</v>
      </c>
      <c r="D8" s="64"/>
      <c r="E8" s="49" t="s">
        <v>3962</v>
      </c>
      <c r="F8" s="285"/>
      <c r="G8" s="286"/>
      <c r="H8" s="286"/>
      <c r="I8" s="283"/>
      <c r="J8" s="59"/>
      <c r="K8" s="66"/>
      <c r="L8" s="701"/>
      <c r="M8" s="59"/>
      <c r="N8" s="387"/>
      <c r="O8" s="3230" t="str">
        <f>IF(File_Marr_Sep&lt;&gt;"","-","")</f>
        <v/>
      </c>
      <c r="P8" s="3235" t="str">
        <f>IF(File_Marr_Sep="","",IF(LivedApartAnswered,"ANSWERED","NOT ANSWERED"))</f>
        <v/>
      </c>
      <c r="Q8" s="427"/>
      <c r="R8" s="23"/>
      <c r="S8" s="3013"/>
      <c r="T8" s="2595"/>
      <c r="U8" s="2595"/>
      <c r="V8" s="2595"/>
      <c r="W8" s="2595"/>
      <c r="X8" s="2595"/>
      <c r="Y8" s="2595"/>
      <c r="Z8" s="2595"/>
      <c r="AA8" s="1250"/>
    </row>
    <row r="9" spans="1:27" ht="12" customHeight="1">
      <c r="A9" s="78"/>
      <c r="B9" s="55"/>
      <c r="C9" s="64"/>
      <c r="D9" s="64"/>
      <c r="E9" s="49" t="s">
        <v>2920</v>
      </c>
      <c r="F9" s="285"/>
      <c r="G9" s="286"/>
      <c r="H9" s="286"/>
      <c r="I9" s="283"/>
      <c r="J9" s="59"/>
      <c r="K9" s="66"/>
      <c r="L9" s="701"/>
      <c r="M9" s="59"/>
      <c r="N9" s="43"/>
      <c r="O9" s="41"/>
      <c r="P9" s="41"/>
      <c r="Q9" s="46"/>
      <c r="R9" s="23"/>
      <c r="S9" s="3013"/>
      <c r="T9" s="2595"/>
      <c r="U9" s="2595"/>
      <c r="V9" s="2595"/>
      <c r="W9" s="2595"/>
      <c r="X9" s="2595"/>
      <c r="Y9" s="2595"/>
      <c r="Z9" s="2595"/>
      <c r="AA9" s="1250"/>
    </row>
    <row r="10" spans="1:27" ht="12.75" customHeight="1">
      <c r="A10" s="78"/>
      <c r="B10" s="749"/>
      <c r="C10" s="113"/>
      <c r="D10" s="114"/>
      <c r="E10" s="3365"/>
      <c r="F10" s="115"/>
      <c r="G10" s="115"/>
      <c r="H10" s="115"/>
      <c r="I10" s="115"/>
      <c r="J10" s="101"/>
      <c r="K10" s="735"/>
      <c r="L10" s="701"/>
      <c r="M10" s="59"/>
      <c r="N10" s="23"/>
      <c r="O10" s="14"/>
      <c r="P10" s="23"/>
      <c r="Q10" s="23"/>
      <c r="R10" s="23"/>
      <c r="S10" s="3013"/>
      <c r="T10" s="2595"/>
      <c r="U10" s="2595"/>
      <c r="V10" s="2595"/>
      <c r="W10" s="2595"/>
      <c r="X10" s="2595"/>
      <c r="Y10" s="2595"/>
      <c r="Z10" s="2595"/>
      <c r="AA10" s="1250"/>
    </row>
    <row r="11" spans="1:27" ht="12" customHeight="1">
      <c r="A11" s="78"/>
      <c r="B11" s="55"/>
      <c r="C11" s="538"/>
      <c r="D11" s="99"/>
      <c r="E11" s="539"/>
      <c r="F11" s="132"/>
      <c r="G11" s="132"/>
      <c r="H11" s="132"/>
      <c r="I11" s="132"/>
      <c r="J11" s="59"/>
      <c r="K11" s="66"/>
      <c r="L11" s="701"/>
      <c r="M11" s="59"/>
      <c r="N11" s="23"/>
      <c r="O11" s="23"/>
      <c r="P11" s="24" t="s">
        <v>90</v>
      </c>
      <c r="Q11" s="23"/>
      <c r="R11" s="23"/>
      <c r="S11" s="3013"/>
      <c r="T11" s="2595"/>
      <c r="U11" s="2595"/>
      <c r="V11" s="2595"/>
      <c r="W11" s="2595"/>
      <c r="X11" s="2595"/>
      <c r="Y11" s="2595"/>
      <c r="Z11" s="2595"/>
      <c r="AA11" s="1250"/>
    </row>
    <row r="12" spans="1:27" ht="12.75" customHeight="1">
      <c r="A12" s="78"/>
      <c r="B12" s="55"/>
      <c r="C12" s="64">
        <v>1</v>
      </c>
      <c r="D12" s="280" t="s">
        <v>544</v>
      </c>
      <c r="E12" s="59"/>
      <c r="F12" s="64"/>
      <c r="G12" s="59"/>
      <c r="H12" s="59"/>
      <c r="I12" s="65"/>
      <c r="J12" s="59"/>
      <c r="K12" s="66"/>
      <c r="L12" s="701"/>
      <c r="M12" s="59"/>
      <c r="N12" s="23"/>
      <c r="O12" s="23"/>
      <c r="P12" s="24" t="s">
        <v>411</v>
      </c>
      <c r="Q12" s="23"/>
      <c r="R12" s="23"/>
      <c r="S12" s="3013"/>
      <c r="T12" s="2595"/>
      <c r="U12" s="2595"/>
      <c r="V12" s="2595"/>
      <c r="W12" s="2595"/>
      <c r="X12" s="2595"/>
      <c r="Y12" s="2595"/>
      <c r="Z12" s="2595"/>
      <c r="AA12" s="1250"/>
    </row>
    <row r="13" spans="1:27" ht="12.75" customHeight="1">
      <c r="A13" s="78"/>
      <c r="B13" s="55"/>
      <c r="C13" s="64"/>
      <c r="D13" s="589" t="s">
        <v>3964</v>
      </c>
      <c r="E13" s="59"/>
      <c r="F13" s="64"/>
      <c r="G13" s="59"/>
      <c r="H13" s="59"/>
      <c r="I13" s="65"/>
      <c r="J13" s="59"/>
      <c r="K13" s="66"/>
      <c r="L13" s="701"/>
      <c r="M13" s="59"/>
      <c r="N13" s="23"/>
      <c r="O13" s="23"/>
      <c r="P13" s="24"/>
      <c r="Q13" s="23"/>
      <c r="R13" s="23"/>
      <c r="S13" s="3694"/>
      <c r="T13" s="2595"/>
      <c r="U13" s="2595"/>
      <c r="V13" s="2595"/>
      <c r="W13" s="2595"/>
      <c r="X13" s="2595"/>
      <c r="Y13" s="2595"/>
      <c r="Z13" s="2595"/>
      <c r="AA13" s="1250"/>
    </row>
    <row r="14" spans="1:27">
      <c r="A14" s="78"/>
      <c r="B14" s="55"/>
      <c r="C14" s="127"/>
      <c r="D14" s="4122" t="s">
        <v>3963</v>
      </c>
      <c r="E14" s="59"/>
      <c r="F14" s="3676" t="s">
        <v>4438</v>
      </c>
      <c r="G14" s="6794">
        <f>IF(P14&lt;&gt;"",ROUND(P14,0),TotalSocSecBenefits)</f>
        <v>0</v>
      </c>
      <c r="H14" s="6676"/>
      <c r="I14" s="65"/>
      <c r="J14" s="59"/>
      <c r="K14" s="66"/>
      <c r="L14" s="701"/>
      <c r="M14" s="59"/>
      <c r="N14" s="23"/>
      <c r="O14" s="23"/>
      <c r="P14" s="954"/>
      <c r="Q14" s="23"/>
      <c r="R14" s="23"/>
      <c r="S14" s="3217"/>
      <c r="T14" s="2595"/>
      <c r="U14" s="2595"/>
      <c r="V14" s="2595"/>
      <c r="W14" s="2595"/>
      <c r="X14" s="2595"/>
      <c r="Y14" s="2595"/>
      <c r="Z14" s="2595"/>
      <c r="AA14" s="1250"/>
    </row>
    <row r="15" spans="1:27">
      <c r="A15" s="78"/>
      <c r="B15" s="55"/>
      <c r="C15" s="127">
        <v>2</v>
      </c>
      <c r="D15" s="56" t="str">
        <f>"Multiply line 1 by "&amp;TEXT(P15,"0%")&amp;" ("&amp;TEXT(P15,"0.00")&amp;")"</f>
        <v>Multiply line 1 by 50% (0.50)</v>
      </c>
      <c r="E15" s="59"/>
      <c r="F15" s="64"/>
      <c r="G15" s="59"/>
      <c r="H15" s="69" t="s">
        <v>1597</v>
      </c>
      <c r="I15" s="64">
        <f>C15</f>
        <v>2</v>
      </c>
      <c r="J15" s="3372">
        <f>ROUND((P15*G14),0)</f>
        <v>0</v>
      </c>
      <c r="K15" s="66"/>
      <c r="L15" s="701"/>
      <c r="M15" s="356"/>
      <c r="N15" s="23"/>
      <c r="O15" s="23"/>
      <c r="P15" s="1842">
        <v>0.5</v>
      </c>
      <c r="Q15" s="23"/>
      <c r="R15" s="23"/>
      <c r="S15" s="3694" t="s">
        <v>3657</v>
      </c>
      <c r="T15" s="2595"/>
      <c r="U15" s="2595"/>
      <c r="V15" s="2595"/>
      <c r="W15" s="2595"/>
      <c r="X15" s="2595"/>
      <c r="Y15" s="2595"/>
      <c r="Z15" s="2595"/>
      <c r="AA15" s="1250"/>
    </row>
    <row r="16" spans="1:27">
      <c r="A16" s="78"/>
      <c r="B16" s="55"/>
      <c r="C16" s="127">
        <v>3</v>
      </c>
      <c r="D16" s="56" t="s">
        <v>5140</v>
      </c>
      <c r="E16" s="23"/>
      <c r="F16" s="23"/>
      <c r="G16" s="23"/>
      <c r="H16" s="69" t="s">
        <v>328</v>
      </c>
      <c r="I16" s="64">
        <f>C16</f>
        <v>3</v>
      </c>
      <c r="J16" s="3372">
        <f>IF(P16&lt;&gt;"",ROUND(P16,0),ROUND(SUM(Wages,TaxableInterest,OrdinaryDividends,IRA_Taxable,PA_Taxable,CapitalGains,OtherIncome1040),0))</f>
        <v>0</v>
      </c>
      <c r="K16" s="468"/>
      <c r="L16" s="745"/>
      <c r="M16" s="355"/>
      <c r="N16" s="23"/>
      <c r="O16" s="23"/>
      <c r="P16" s="384"/>
      <c r="Q16" s="23"/>
      <c r="R16" s="23"/>
      <c r="S16" s="3217" t="s">
        <v>3660</v>
      </c>
      <c r="T16" s="2595"/>
      <c r="U16" s="2595"/>
      <c r="V16" s="2595"/>
      <c r="W16" s="2595"/>
      <c r="X16" s="2595"/>
      <c r="Y16" s="2595"/>
      <c r="Z16" s="2595"/>
      <c r="AA16" s="1250"/>
    </row>
    <row r="17" spans="1:27">
      <c r="A17" s="78"/>
      <c r="B17" s="55"/>
      <c r="C17" s="127">
        <v>4</v>
      </c>
      <c r="D17" s="56" t="s">
        <v>3372</v>
      </c>
      <c r="E17" s="23"/>
      <c r="F17" s="64"/>
      <c r="G17" s="23"/>
      <c r="H17" s="69" t="s">
        <v>234</v>
      </c>
      <c r="I17" s="64">
        <f>C17</f>
        <v>4</v>
      </c>
      <c r="J17" s="3372">
        <f>IF(P17&lt;&gt;"",ROUND(P17,0),ROUND(TaxExemptInt,0))</f>
        <v>0</v>
      </c>
      <c r="K17" s="468"/>
      <c r="L17" s="745"/>
      <c r="M17" s="355"/>
      <c r="N17" s="23"/>
      <c r="O17" s="23"/>
      <c r="P17" s="384"/>
      <c r="Q17" s="23"/>
      <c r="R17" s="23"/>
      <c r="S17" s="3217" t="s">
        <v>3658</v>
      </c>
      <c r="T17" s="2595"/>
      <c r="U17" s="2595"/>
      <c r="V17" s="2595"/>
      <c r="W17" s="2595"/>
      <c r="X17" s="2595"/>
      <c r="Y17" s="2595"/>
      <c r="Z17" s="2595"/>
      <c r="AA17" s="1250"/>
    </row>
    <row r="18" spans="1:27">
      <c r="A18" s="78"/>
      <c r="B18" s="55"/>
      <c r="C18" s="127">
        <v>5</v>
      </c>
      <c r="D18" s="56" t="s">
        <v>545</v>
      </c>
      <c r="E18" s="23"/>
      <c r="F18" s="64"/>
      <c r="G18" s="23"/>
      <c r="H18" s="69" t="s">
        <v>624</v>
      </c>
      <c r="I18" s="64">
        <f>C18</f>
        <v>5</v>
      </c>
      <c r="J18" s="3372">
        <f>SUM(J15,J16,J17)</f>
        <v>0</v>
      </c>
      <c r="K18" s="468"/>
      <c r="L18" s="745"/>
      <c r="M18" s="355"/>
      <c r="N18" s="23"/>
      <c r="O18" s="23"/>
      <c r="P18" s="23"/>
      <c r="Q18" s="23"/>
      <c r="R18" s="23"/>
      <c r="S18" s="3217" t="s">
        <v>3659</v>
      </c>
      <c r="T18" s="2595"/>
      <c r="U18" s="2595"/>
      <c r="V18" s="2595"/>
      <c r="W18" s="2595"/>
      <c r="X18" s="2595"/>
      <c r="Y18" s="2595"/>
      <c r="Z18" s="2595"/>
      <c r="AA18" s="1250"/>
    </row>
    <row r="19" spans="1:27">
      <c r="A19" s="78"/>
      <c r="B19" s="55"/>
      <c r="C19" s="127"/>
      <c r="D19" s="56"/>
      <c r="E19" s="23"/>
      <c r="F19" s="64"/>
      <c r="G19" s="23"/>
      <c r="H19" s="23"/>
      <c r="I19" s="64"/>
      <c r="J19" s="736"/>
      <c r="K19" s="468"/>
      <c r="L19" s="745"/>
      <c r="M19" s="355"/>
      <c r="N19" s="23"/>
      <c r="O19" s="23"/>
      <c r="P19" s="23"/>
      <c r="Q19" s="23"/>
      <c r="R19" s="23"/>
      <c r="S19" s="3013"/>
      <c r="T19" s="2595"/>
      <c r="U19" s="2595"/>
      <c r="V19" s="2595"/>
      <c r="W19" s="2595"/>
      <c r="X19" s="2595"/>
      <c r="Y19" s="2595"/>
      <c r="Z19" s="2595"/>
      <c r="AA19" s="1250"/>
    </row>
    <row r="20" spans="1:27">
      <c r="A20" s="78"/>
      <c r="B20" s="55"/>
      <c r="C20" s="127">
        <v>6</v>
      </c>
      <c r="D20" s="56" t="s">
        <v>5141</v>
      </c>
      <c r="E20" s="23"/>
      <c r="F20" s="23"/>
      <c r="G20" s="23"/>
      <c r="H20" s="69" t="s">
        <v>328</v>
      </c>
      <c r="I20" s="64">
        <f>C20</f>
        <v>6</v>
      </c>
      <c r="J20" s="3372">
        <f>ROUND(SUM(EducatorExpenses,CertainBusinessExp,HSA_Deduct,MovExp_ArmedForces,SE_Deduct,SEP_Plan_Deduct,SEHealthInsDeduct,PenaltyEarlyWithdraw,AlimonyPaid,IRADeduct,ArcherMSADeduct,TotalOtherAdjust),0)</f>
        <v>0</v>
      </c>
      <c r="K20" s="116"/>
      <c r="L20" s="700"/>
      <c r="M20" s="357"/>
      <c r="N20" s="23"/>
      <c r="O20" s="23"/>
      <c r="P20" s="70"/>
      <c r="Q20" s="23"/>
      <c r="R20" s="4312"/>
      <c r="S20" s="3013"/>
      <c r="T20" s="2595"/>
      <c r="U20" s="2595"/>
      <c r="V20" s="2595"/>
      <c r="W20" s="2595"/>
      <c r="X20" s="2595"/>
      <c r="Y20" s="2595"/>
      <c r="Z20" s="2595"/>
      <c r="AA20" s="1250"/>
    </row>
    <row r="21" spans="1:27">
      <c r="A21" s="78"/>
      <c r="B21" s="55"/>
      <c r="C21" s="127">
        <v>7</v>
      </c>
      <c r="D21" s="56" t="s">
        <v>232</v>
      </c>
      <c r="E21" s="23"/>
      <c r="F21" s="23"/>
      <c r="G21" s="23"/>
      <c r="H21" s="23"/>
      <c r="I21" s="64"/>
      <c r="J21" s="357"/>
      <c r="K21" s="116"/>
      <c r="L21" s="700"/>
      <c r="M21" s="357"/>
      <c r="N21" s="23"/>
      <c r="O21" s="23"/>
      <c r="P21" s="70"/>
      <c r="Q21" s="23"/>
      <c r="R21" s="4312"/>
      <c r="S21" s="3013"/>
      <c r="T21" s="2595"/>
      <c r="U21" s="2595"/>
      <c r="V21" s="2595"/>
      <c r="W21" s="2595"/>
      <c r="X21" s="2595"/>
      <c r="Y21" s="2595"/>
      <c r="Z21" s="2595"/>
      <c r="AA21" s="1250"/>
    </row>
    <row r="22" spans="1:27" ht="13.5" thickBot="1">
      <c r="A22" s="78"/>
      <c r="B22" s="55"/>
      <c r="C22" s="127"/>
      <c r="D22" s="23"/>
      <c r="E22" s="23"/>
      <c r="F22" s="23"/>
      <c r="G22" s="23"/>
      <c r="H22" s="23"/>
      <c r="I22" s="64"/>
      <c r="J22" s="357"/>
      <c r="K22" s="116"/>
      <c r="L22" s="700"/>
      <c r="M22" s="357"/>
      <c r="N22" s="23"/>
      <c r="O22" s="23"/>
      <c r="P22" s="70"/>
      <c r="Q22" s="23"/>
      <c r="R22" s="4312"/>
      <c r="S22" s="3013"/>
      <c r="T22" s="2595"/>
      <c r="U22" s="2595"/>
      <c r="V22" s="2595"/>
      <c r="W22" s="2595"/>
      <c r="X22" s="2595"/>
      <c r="Y22" s="2595"/>
      <c r="Z22" s="2595"/>
      <c r="AA22" s="1250"/>
    </row>
    <row r="23" spans="1:27" ht="13.5" thickBot="1">
      <c r="A23" s="78"/>
      <c r="B23" s="55"/>
      <c r="C23" s="127"/>
      <c r="D23" s="291" t="str">
        <f>IF(J20&lt;J18,"","X")</f>
        <v>X</v>
      </c>
      <c r="E23" s="126" t="s">
        <v>3373</v>
      </c>
      <c r="F23" s="64"/>
      <c r="G23" s="59"/>
      <c r="H23" s="59"/>
      <c r="I23" s="64"/>
      <c r="J23" s="59"/>
      <c r="K23" s="66"/>
      <c r="L23" s="701"/>
      <c r="M23" s="59"/>
      <c r="N23" s="23"/>
      <c r="O23" s="23"/>
      <c r="P23" s="70"/>
      <c r="Q23" s="23"/>
      <c r="R23" s="4312"/>
      <c r="S23" s="3013"/>
      <c r="T23" s="2595"/>
      <c r="U23" s="2595"/>
      <c r="V23" s="2595"/>
      <c r="W23" s="2595"/>
      <c r="X23" s="2595"/>
      <c r="Y23" s="2595"/>
      <c r="Z23" s="2595"/>
      <c r="AA23" s="1250"/>
    </row>
    <row r="24" spans="1:27" ht="15" customHeight="1" thickBot="1">
      <c r="A24" s="78"/>
      <c r="B24" s="55"/>
      <c r="C24" s="127"/>
      <c r="D24" s="127"/>
      <c r="E24" s="126" t="s">
        <v>3965</v>
      </c>
      <c r="F24" s="64"/>
      <c r="G24" s="59"/>
      <c r="H24" s="59"/>
      <c r="I24" s="64"/>
      <c r="J24" s="59"/>
      <c r="K24" s="66"/>
      <c r="L24" s="701"/>
      <c r="M24" s="59"/>
      <c r="N24" s="23"/>
      <c r="O24" s="23"/>
      <c r="P24" s="70"/>
      <c r="Q24" s="23"/>
      <c r="R24" s="70"/>
      <c r="S24" s="3013"/>
      <c r="T24" s="2595"/>
      <c r="U24" s="2595"/>
      <c r="V24" s="2595"/>
      <c r="W24" s="2595"/>
      <c r="X24" s="2595"/>
      <c r="Y24" s="2595"/>
      <c r="Z24" s="2595"/>
      <c r="AA24" s="1250"/>
    </row>
    <row r="25" spans="1:27" ht="15" customHeight="1" thickBot="1">
      <c r="A25" s="78"/>
      <c r="B25" s="55"/>
      <c r="C25" s="127"/>
      <c r="D25" s="269" t="str">
        <f>IF(J20&lt;J18,"X","")</f>
        <v/>
      </c>
      <c r="E25" s="3678" t="s">
        <v>2924</v>
      </c>
      <c r="F25" s="23"/>
      <c r="G25" s="23"/>
      <c r="H25" s="3679" t="s">
        <v>2921</v>
      </c>
      <c r="I25" s="64">
        <f>C21</f>
        <v>7</v>
      </c>
      <c r="J25" s="1367" t="str">
        <f>IF(D23="X","Stop",J18-J20)</f>
        <v>Stop</v>
      </c>
      <c r="K25" s="468"/>
      <c r="L25" s="745"/>
      <c r="M25" s="59"/>
      <c r="N25" s="23"/>
      <c r="O25" s="23"/>
      <c r="P25" s="70"/>
      <c r="Q25" s="23"/>
      <c r="R25" s="23"/>
      <c r="S25" s="3013"/>
      <c r="T25" s="2595"/>
      <c r="U25" s="2595"/>
      <c r="V25" s="2595"/>
      <c r="W25" s="2595"/>
      <c r="X25" s="2595"/>
      <c r="Y25" s="2595"/>
      <c r="Z25" s="2595"/>
      <c r="AA25" s="1250"/>
    </row>
    <row r="26" spans="1:27" ht="14.25" customHeight="1">
      <c r="A26" s="78"/>
      <c r="B26" s="55"/>
      <c r="C26" s="127"/>
      <c r="D26" s="23"/>
      <c r="E26" s="23"/>
      <c r="F26" s="23"/>
      <c r="G26" s="23"/>
      <c r="H26" s="23"/>
      <c r="I26" s="64"/>
      <c r="J26" s="357"/>
      <c r="K26" s="116"/>
      <c r="L26" s="700"/>
      <c r="M26" s="59"/>
      <c r="N26" s="23"/>
      <c r="O26" s="23"/>
      <c r="P26" s="1176" t="b">
        <f>LivedApart</f>
        <v>0</v>
      </c>
      <c r="Q26" s="23"/>
      <c r="R26" s="23"/>
      <c r="S26" s="3013"/>
      <c r="T26" s="2595"/>
      <c r="U26" s="2595"/>
      <c r="V26" s="2595"/>
      <c r="W26" s="2595"/>
      <c r="X26" s="2595"/>
      <c r="Y26" s="2595"/>
      <c r="Z26" s="2595"/>
      <c r="AA26" s="1250"/>
    </row>
    <row r="27" spans="1:27">
      <c r="A27" s="78"/>
      <c r="B27" s="55"/>
      <c r="C27" s="127">
        <v>8</v>
      </c>
      <c r="D27" s="23" t="s">
        <v>233</v>
      </c>
      <c r="E27" s="23"/>
      <c r="F27" s="23"/>
      <c r="G27" s="23"/>
      <c r="H27" s="23"/>
      <c r="I27" s="64"/>
      <c r="J27" s="357"/>
      <c r="K27" s="116"/>
      <c r="L27" s="745"/>
      <c r="M27" s="59"/>
      <c r="N27" s="23"/>
      <c r="O27" s="23"/>
      <c r="P27" s="70"/>
      <c r="Q27" s="23"/>
      <c r="R27" s="23"/>
      <c r="S27" s="3013"/>
      <c r="T27" s="2595"/>
      <c r="U27" s="2595"/>
      <c r="V27" s="2595"/>
      <c r="W27" s="2595"/>
      <c r="X27" s="2595"/>
      <c r="Y27" s="2595"/>
      <c r="Z27" s="2595"/>
      <c r="AA27" s="1250"/>
    </row>
    <row r="28" spans="1:27">
      <c r="A28" s="78"/>
      <c r="B28" s="55"/>
      <c r="C28" s="127"/>
      <c r="D28" s="473" t="s">
        <v>25</v>
      </c>
      <c r="E28" s="59" t="str">
        <f>"Married filing jointly, enter "&amp;TEXT(H28,"$0,000")</f>
        <v>Married filing jointly, enter $32,000</v>
      </c>
      <c r="F28" s="59"/>
      <c r="G28" s="23"/>
      <c r="H28" s="1337">
        <v>32000</v>
      </c>
      <c r="I28" s="64"/>
      <c r="J28" s="357"/>
      <c r="K28" s="116"/>
      <c r="L28" s="745"/>
      <c r="M28" s="59"/>
      <c r="N28" s="23"/>
      <c r="O28" s="23"/>
      <c r="P28" s="70"/>
      <c r="Q28" s="23"/>
      <c r="R28" s="23"/>
      <c r="S28" s="3013"/>
      <c r="T28" s="2595"/>
      <c r="U28" s="2595"/>
      <c r="V28" s="2595"/>
      <c r="W28" s="2595"/>
      <c r="X28" s="2595"/>
      <c r="Y28" s="2595"/>
      <c r="Z28" s="2595"/>
      <c r="AA28" s="1250"/>
    </row>
    <row r="29" spans="1:27">
      <c r="A29" s="78"/>
      <c r="B29" s="55"/>
      <c r="C29" s="127"/>
      <c r="D29" s="473" t="s">
        <v>25</v>
      </c>
      <c r="E29" s="59" t="s">
        <v>24</v>
      </c>
      <c r="F29" s="59"/>
      <c r="G29" s="23"/>
      <c r="H29" s="23"/>
      <c r="I29" s="64"/>
      <c r="J29" s="357"/>
      <c r="K29" s="116"/>
      <c r="L29" s="745"/>
      <c r="M29" s="59"/>
      <c r="N29" s="23"/>
      <c r="O29" s="23"/>
      <c r="P29" s="70"/>
      <c r="Q29" s="23"/>
      <c r="R29" s="23"/>
      <c r="S29" s="3013"/>
      <c r="T29" s="2595"/>
      <c r="U29" s="2595"/>
      <c r="V29" s="2595"/>
      <c r="W29" s="2595"/>
      <c r="X29" s="2595"/>
      <c r="Y29" s="2595"/>
      <c r="Z29" s="2595"/>
      <c r="AA29" s="1250"/>
    </row>
    <row r="30" spans="1:27">
      <c r="A30" s="78"/>
      <c r="B30" s="55"/>
      <c r="C30" s="127"/>
      <c r="D30" s="473"/>
      <c r="E30" s="126" t="s">
        <v>2922</v>
      </c>
      <c r="F30" s="59" t="str">
        <f>"of "&amp;TaxYear&amp;","</f>
        <v>of 2021,</v>
      </c>
      <c r="G30" s="23"/>
      <c r="H30" s="1337">
        <v>25000</v>
      </c>
      <c r="I30" s="64"/>
      <c r="J30" s="357"/>
      <c r="K30" s="116"/>
      <c r="L30" s="700"/>
      <c r="M30" s="59"/>
      <c r="N30" s="23"/>
      <c r="O30" s="23"/>
      <c r="P30" s="23"/>
      <c r="Q30" s="23"/>
      <c r="R30" s="23"/>
      <c r="S30" s="3013"/>
      <c r="T30" s="2595"/>
      <c r="U30" s="2595"/>
      <c r="V30" s="2595"/>
      <c r="W30" s="2595"/>
      <c r="X30" s="2595"/>
      <c r="Y30" s="2595"/>
      <c r="Z30" s="2595"/>
      <c r="AA30" s="1250"/>
    </row>
    <row r="31" spans="1:27">
      <c r="A31" s="78"/>
      <c r="B31" s="55"/>
      <c r="C31" s="127"/>
      <c r="D31" s="473"/>
      <c r="E31" s="59" t="str">
        <f>"enter "&amp;TEXT(H30,"$0,000")</f>
        <v>enter $25,000</v>
      </c>
      <c r="F31" s="59"/>
      <c r="G31" s="23"/>
      <c r="H31" s="707" t="s">
        <v>532</v>
      </c>
      <c r="I31" s="64">
        <f>C27</f>
        <v>8</v>
      </c>
      <c r="J31" s="1367" t="str">
        <f>IF(P31&lt;&gt;"",ROUND(P31,0),IF(D23="X","",IF(AND(File_Marr_Sep&lt;&gt;"",NOT(LivedApartAnswered)),"Answer question.",IF(AND(File_Marr_Sep&lt;&gt;"",NOT(LivedApart)),"",IF(File_Marr_Joint&lt;&gt;"",H28,H30)))))</f>
        <v/>
      </c>
      <c r="K31" s="116"/>
      <c r="L31" s="700"/>
      <c r="M31" s="59"/>
      <c r="N31" s="23"/>
      <c r="O31" s="23"/>
      <c r="P31" s="954"/>
      <c r="Q31" s="23"/>
      <c r="R31" s="23"/>
      <c r="S31" s="3013"/>
      <c r="T31" s="2595"/>
      <c r="U31" s="2595"/>
      <c r="V31" s="2595"/>
      <c r="W31" s="2595"/>
      <c r="X31" s="2595"/>
      <c r="Y31" s="2595"/>
      <c r="Z31" s="2595"/>
      <c r="AA31" s="1250"/>
    </row>
    <row r="32" spans="1:27">
      <c r="A32" s="78"/>
      <c r="B32" s="55"/>
      <c r="C32" s="127"/>
      <c r="D32" s="473" t="s">
        <v>25</v>
      </c>
      <c r="E32" s="59" t="s">
        <v>284</v>
      </c>
      <c r="F32" s="59"/>
      <c r="G32" s="23"/>
      <c r="H32" s="23"/>
      <c r="I32" s="64"/>
      <c r="J32" s="357"/>
      <c r="K32" s="116"/>
      <c r="L32" s="700"/>
      <c r="M32" s="59"/>
      <c r="N32" s="23"/>
      <c r="O32" s="23"/>
      <c r="P32" s="23"/>
      <c r="Q32" s="23"/>
      <c r="R32" s="23"/>
      <c r="S32" s="3013"/>
      <c r="T32" s="2595"/>
      <c r="U32" s="2595"/>
      <c r="V32" s="2595"/>
      <c r="W32" s="2595"/>
      <c r="X32" s="2595"/>
      <c r="Y32" s="2595"/>
      <c r="Z32" s="2595"/>
      <c r="AA32" s="1250"/>
    </row>
    <row r="33" spans="1:27">
      <c r="A33" s="78"/>
      <c r="B33" s="55"/>
      <c r="C33" s="127"/>
      <c r="D33" s="473"/>
      <c r="E33" s="59" t="str">
        <f>"in "&amp;TaxYear&amp;", skip lines 8 through 15; multiply line 7 by "&amp;TEXT(H33,"0%")&amp;" ("&amp;TEXT(H33,"0.00")&amp;") and"</f>
        <v>in 2021, skip lines 8 through 15; multiply line 7 by 85% (0.85) and</v>
      </c>
      <c r="F33" s="59"/>
      <c r="G33" s="23"/>
      <c r="H33" s="5110">
        <v>0.85</v>
      </c>
      <c r="I33" s="64"/>
      <c r="J33" s="357"/>
      <c r="K33" s="116"/>
      <c r="L33" s="700"/>
      <c r="M33" s="59"/>
      <c r="N33" s="23"/>
      <c r="O33" s="23"/>
      <c r="P33" s="23"/>
      <c r="Q33" s="23"/>
      <c r="R33" s="23"/>
      <c r="S33" s="3013"/>
      <c r="T33" s="2595"/>
      <c r="U33" s="2595"/>
      <c r="V33" s="2595"/>
      <c r="W33" s="2595"/>
      <c r="X33" s="2595"/>
      <c r="Y33" s="2595"/>
      <c r="Z33" s="2595"/>
      <c r="AA33" s="1250"/>
    </row>
    <row r="34" spans="1:27" ht="12.75" customHeight="1">
      <c r="A34" s="78"/>
      <c r="B34" s="55"/>
      <c r="C34" s="127"/>
      <c r="D34" s="23"/>
      <c r="E34" s="23" t="s">
        <v>32</v>
      </c>
      <c r="F34" s="23"/>
      <c r="G34" s="23"/>
      <c r="H34" s="824"/>
      <c r="I34" s="23"/>
      <c r="J34" s="23"/>
      <c r="K34" s="468"/>
      <c r="L34" s="745"/>
      <c r="M34" s="59"/>
      <c r="N34" s="23"/>
      <c r="O34" s="23"/>
      <c r="P34" s="23"/>
      <c r="Q34" s="23"/>
      <c r="R34" s="23"/>
      <c r="S34" s="3013"/>
      <c r="T34" s="2595"/>
      <c r="U34" s="2595"/>
      <c r="V34" s="2595"/>
      <c r="W34" s="2595"/>
      <c r="X34" s="2595"/>
      <c r="Y34" s="2595"/>
      <c r="Z34" s="2595"/>
      <c r="AA34" s="1250"/>
    </row>
    <row r="35" spans="1:27" ht="13.5" customHeight="1">
      <c r="A35" s="78"/>
      <c r="B35" s="55"/>
      <c r="C35" s="127">
        <v>9</v>
      </c>
      <c r="D35" s="49" t="s">
        <v>136</v>
      </c>
      <c r="E35" s="23"/>
      <c r="F35" s="23"/>
      <c r="G35" s="23"/>
      <c r="H35" s="5110" t="b">
        <f>AND(File_Marr_Sep&lt;&gt;"",NOT(LivedApart))</f>
        <v>0</v>
      </c>
      <c r="I35" s="23"/>
      <c r="J35" s="23"/>
      <c r="K35" s="468"/>
      <c r="L35" s="745"/>
      <c r="M35" s="59"/>
      <c r="N35" s="23"/>
      <c r="O35" s="23"/>
      <c r="P35" s="23"/>
      <c r="Q35" s="23"/>
      <c r="R35" s="23"/>
      <c r="S35" s="3013"/>
      <c r="T35" s="2595"/>
      <c r="U35" s="2595"/>
      <c r="V35" s="2595"/>
      <c r="W35" s="2595"/>
      <c r="X35" s="2595"/>
      <c r="Y35" s="2595"/>
      <c r="Z35" s="2595"/>
      <c r="AA35" s="1250"/>
    </row>
    <row r="36" spans="1:27" ht="12.75" customHeight="1" thickBot="1">
      <c r="A36" s="78"/>
      <c r="B36" s="55"/>
      <c r="C36" s="127"/>
      <c r="D36" s="49"/>
      <c r="E36" s="23"/>
      <c r="F36" s="23"/>
      <c r="G36" s="23"/>
      <c r="H36" s="51"/>
      <c r="I36" s="23"/>
      <c r="J36" s="23"/>
      <c r="K36" s="468"/>
      <c r="L36" s="745"/>
      <c r="M36" s="59"/>
      <c r="N36" s="23"/>
      <c r="O36" s="23"/>
      <c r="P36" s="23"/>
      <c r="Q36" s="23"/>
      <c r="R36" s="23"/>
      <c r="S36" s="3013"/>
      <c r="T36" s="2595"/>
      <c r="U36" s="2595"/>
      <c r="V36" s="2595"/>
      <c r="W36" s="2595"/>
      <c r="X36" s="2595"/>
      <c r="Y36" s="2595"/>
      <c r="Z36" s="2595"/>
      <c r="AA36" s="1250"/>
    </row>
    <row r="37" spans="1:27" ht="13.5" thickBot="1">
      <c r="A37" s="78"/>
      <c r="B37" s="55"/>
      <c r="C37" s="127"/>
      <c r="D37" s="117" t="str">
        <f>IF(OR(D23="X",H35),"",IF(J31&lt;J25,"","X"))</f>
        <v/>
      </c>
      <c r="E37" s="24" t="s">
        <v>3966</v>
      </c>
      <c r="F37" s="23"/>
      <c r="G37" s="23"/>
      <c r="H37" s="23"/>
      <c r="I37" s="64"/>
      <c r="J37" s="59"/>
      <c r="K37" s="66"/>
      <c r="L37" s="701"/>
      <c r="M37" s="59"/>
      <c r="N37" s="23"/>
      <c r="O37" s="23"/>
      <c r="P37" s="23"/>
      <c r="Q37" s="23"/>
      <c r="R37" s="23"/>
      <c r="S37" s="3013"/>
      <c r="T37" s="2595"/>
      <c r="U37" s="2595"/>
      <c r="V37" s="2595"/>
      <c r="W37" s="2595"/>
      <c r="X37" s="2595"/>
      <c r="Y37" s="2595"/>
      <c r="Z37" s="2595"/>
      <c r="AA37" s="1250"/>
    </row>
    <row r="38" spans="1:27" ht="15" customHeight="1">
      <c r="A38" s="78"/>
      <c r="B38" s="55"/>
      <c r="C38" s="127"/>
      <c r="D38" s="23"/>
      <c r="E38" s="108" t="s">
        <v>40</v>
      </c>
      <c r="F38" s="64"/>
      <c r="G38" s="59"/>
      <c r="H38" s="741"/>
      <c r="I38" s="64"/>
      <c r="J38" s="59"/>
      <c r="K38" s="66"/>
      <c r="L38" s="701"/>
      <c r="M38" s="59"/>
      <c r="N38" s="23"/>
      <c r="O38" s="23"/>
      <c r="P38" s="23"/>
      <c r="Q38" s="23"/>
      <c r="R38" s="23"/>
      <c r="S38" s="3013"/>
      <c r="T38" s="2595"/>
      <c r="U38" s="2595"/>
      <c r="V38" s="2595"/>
      <c r="W38" s="2595"/>
      <c r="X38" s="2595"/>
      <c r="Y38" s="2595"/>
      <c r="Z38" s="2595"/>
      <c r="AA38" s="1250"/>
    </row>
    <row r="39" spans="1:27" ht="13.5" thickBot="1">
      <c r="A39" s="78"/>
      <c r="B39" s="55"/>
      <c r="C39" s="127"/>
      <c r="D39" s="23"/>
      <c r="E39" s="357" t="str">
        <f>TaxYear&amp; ", be sure you entered “D” to the right of the word “benefits” on line 6a."</f>
        <v>2021, be sure you entered “D” to the right of the word “benefits” on line 6a.</v>
      </c>
      <c r="F39" s="59"/>
      <c r="G39" s="59"/>
      <c r="H39" s="59"/>
      <c r="I39" s="64"/>
      <c r="J39" s="59"/>
      <c r="K39" s="66"/>
      <c r="L39" s="701"/>
      <c r="M39" s="59"/>
      <c r="N39" s="23"/>
      <c r="O39" s="23"/>
      <c r="P39" s="23"/>
      <c r="Q39" s="23"/>
      <c r="R39" s="23"/>
      <c r="S39" s="3013"/>
      <c r="T39" s="2595"/>
      <c r="U39" s="2595"/>
      <c r="V39" s="2595"/>
      <c r="W39" s="2595"/>
      <c r="X39" s="2595"/>
      <c r="Y39" s="2595"/>
      <c r="Z39" s="2595"/>
      <c r="AA39" s="1250"/>
    </row>
    <row r="40" spans="1:27" ht="13.5" thickBot="1">
      <c r="A40" s="78"/>
      <c r="B40" s="55"/>
      <c r="C40" s="127"/>
      <c r="D40" s="117" t="str">
        <f>IF(OR(D23="X",AND(File_Marr_Sep&lt;&gt;"",O4="")),"",IF(J31&lt;J25,"X",""))</f>
        <v/>
      </c>
      <c r="E40" s="68" t="s">
        <v>2563</v>
      </c>
      <c r="F40" s="64"/>
      <c r="G40" s="59"/>
      <c r="H40" s="69" t="s">
        <v>2405</v>
      </c>
      <c r="I40" s="64">
        <f>C35</f>
        <v>9</v>
      </c>
      <c r="J40" s="1367" t="str">
        <f>IF(OR(D23="X",H35,D37="X"),"",J25-J31)</f>
        <v/>
      </c>
      <c r="K40" s="66"/>
      <c r="L40" s="701"/>
      <c r="M40" s="59"/>
      <c r="N40" s="23"/>
      <c r="O40" s="23"/>
      <c r="P40" s="23"/>
      <c r="Q40" s="23"/>
      <c r="R40" s="23"/>
      <c r="S40" s="3013"/>
      <c r="T40" s="2595"/>
      <c r="U40" s="2595"/>
      <c r="V40" s="2595"/>
      <c r="W40" s="2595"/>
      <c r="X40" s="2595"/>
      <c r="Y40" s="2595"/>
      <c r="Z40" s="2595"/>
      <c r="AA40" s="1250"/>
    </row>
    <row r="41" spans="1:27" ht="15" customHeight="1">
      <c r="A41" s="78"/>
      <c r="B41" s="55"/>
      <c r="C41" s="127">
        <v>10</v>
      </c>
      <c r="D41" s="122" t="str">
        <f>"Enter: "&amp;TEXT(P43,"$0,000")&amp;" if married filing jointly; "&amp;TEXT(P44,"$0,000")&amp;" if single, head of household, qualifying"</f>
        <v>Enter: $12,000 if married filing jointly; $9,000 if single, head of household, qualifying</v>
      </c>
      <c r="E41" s="102"/>
      <c r="F41" s="64"/>
      <c r="G41" s="68"/>
      <c r="H41" s="68"/>
      <c r="I41" s="64"/>
      <c r="J41" s="59"/>
      <c r="K41" s="66"/>
      <c r="L41" s="701"/>
      <c r="M41" s="59"/>
      <c r="N41" s="23"/>
      <c r="O41" s="23"/>
      <c r="P41" s="23"/>
      <c r="Q41" s="23"/>
      <c r="R41" s="23"/>
      <c r="S41" s="3013"/>
      <c r="T41" s="2595"/>
      <c r="U41" s="2595"/>
      <c r="V41" s="2595"/>
      <c r="W41" s="2595"/>
      <c r="X41" s="2595"/>
      <c r="Y41" s="2595"/>
      <c r="Z41" s="2595"/>
      <c r="AA41" s="1250"/>
    </row>
    <row r="42" spans="1:27">
      <c r="A42" s="78"/>
      <c r="B42" s="55"/>
      <c r="C42" s="127"/>
      <c r="D42" s="122" t="s">
        <v>419</v>
      </c>
      <c r="E42" s="105"/>
      <c r="F42" s="64"/>
      <c r="G42" s="59"/>
      <c r="H42" s="741">
        <f>TaxYear</f>
        <v>2021</v>
      </c>
      <c r="I42" s="64">
        <f>C41</f>
        <v>10</v>
      </c>
      <c r="J42" s="1367" t="str">
        <f>IF(P42&lt;&gt;"",ROUND(P42,0),IF(OR(D23="X",D37="X",H35),"",IF(OR(File_Single&lt;&gt;"",File_Head&lt;&gt;"",File_Qual_Widow&lt;&gt;"",AND(File_Marr_Sep&lt;&gt;"",O4&lt;&gt;"")),P44,IF(AND(File_Marr_Joint&lt;&gt;""),P43,IF(AND(File_Marr_Sep&lt;&gt;"",O4=""),0,0)))))</f>
        <v/>
      </c>
      <c r="K42" s="468"/>
      <c r="L42" s="745"/>
      <c r="M42" s="59"/>
      <c r="N42" s="23"/>
      <c r="O42" s="23"/>
      <c r="P42" s="954"/>
      <c r="Q42" s="23"/>
      <c r="R42" s="23"/>
      <c r="S42" s="3013"/>
      <c r="T42" s="2595"/>
      <c r="U42" s="2595"/>
      <c r="V42" s="2595"/>
      <c r="W42" s="2595"/>
      <c r="X42" s="2595"/>
      <c r="Y42" s="2595"/>
      <c r="Z42" s="2595"/>
      <c r="AA42" s="1250"/>
    </row>
    <row r="43" spans="1:27">
      <c r="A43" s="78"/>
      <c r="B43" s="55"/>
      <c r="C43" s="127">
        <v>11</v>
      </c>
      <c r="D43" s="70" t="s">
        <v>3374</v>
      </c>
      <c r="E43" s="102"/>
      <c r="F43" s="64"/>
      <c r="G43" s="106"/>
      <c r="H43" s="69" t="s">
        <v>2562</v>
      </c>
      <c r="I43" s="64">
        <v>11</v>
      </c>
      <c r="J43" s="1367" t="str">
        <f>IF(OR(D23="X",D37="X",H35),"",IF((J40-J42)&lt;0,0,(J40-J42)))</f>
        <v/>
      </c>
      <c r="K43" s="469"/>
      <c r="L43" s="746"/>
      <c r="M43" s="59"/>
      <c r="N43" s="23"/>
      <c r="O43" s="23"/>
      <c r="P43" s="14">
        <v>12000</v>
      </c>
      <c r="Q43" s="23"/>
      <c r="R43" s="23"/>
      <c r="S43" s="3013"/>
      <c r="T43" s="2595"/>
      <c r="U43" s="2595"/>
      <c r="V43" s="2595"/>
      <c r="W43" s="2595"/>
      <c r="X43" s="2595"/>
      <c r="Y43" s="2595"/>
      <c r="Z43" s="2595"/>
      <c r="AA43" s="1250"/>
    </row>
    <row r="44" spans="1:27">
      <c r="A44" s="78"/>
      <c r="B44" s="55"/>
      <c r="C44" s="127">
        <v>12</v>
      </c>
      <c r="D44" s="23" t="s">
        <v>174</v>
      </c>
      <c r="E44" s="102"/>
      <c r="F44" s="64"/>
      <c r="G44" s="106"/>
      <c r="H44" s="69" t="s">
        <v>1191</v>
      </c>
      <c r="I44" s="64">
        <v>12</v>
      </c>
      <c r="J44" s="1367" t="str">
        <f>IF(OR(D23="X",D37="X",H35),"",MIN(J40,J42))</f>
        <v/>
      </c>
      <c r="K44" s="469"/>
      <c r="L44" s="746"/>
      <c r="M44" s="59"/>
      <c r="N44" s="23"/>
      <c r="O44" s="23"/>
      <c r="P44" s="14">
        <v>9000</v>
      </c>
      <c r="Q44" s="23"/>
      <c r="R44" s="23"/>
      <c r="S44" s="3013"/>
      <c r="T44" s="2595"/>
      <c r="U44" s="2595"/>
      <c r="V44" s="2595"/>
      <c r="W44" s="2595"/>
      <c r="X44" s="2595"/>
      <c r="Y44" s="2595"/>
      <c r="Z44" s="2595"/>
      <c r="AA44" s="1250"/>
    </row>
    <row r="45" spans="1:27">
      <c r="A45" s="78"/>
      <c r="B45" s="55"/>
      <c r="C45" s="127">
        <v>13</v>
      </c>
      <c r="D45" s="70" t="s">
        <v>2560</v>
      </c>
      <c r="E45" s="102"/>
      <c r="F45" s="64"/>
      <c r="G45" s="106"/>
      <c r="H45" s="69" t="s">
        <v>624</v>
      </c>
      <c r="I45" s="64">
        <v>13</v>
      </c>
      <c r="J45" s="1367" t="str">
        <f>IF(OR(D23="X",D37="X",H35),"",0.5*J44)</f>
        <v/>
      </c>
      <c r="K45" s="469"/>
      <c r="L45" s="746"/>
      <c r="M45" s="59"/>
      <c r="N45" s="23"/>
      <c r="O45" s="23"/>
      <c r="P45" s="23"/>
      <c r="Q45" s="23"/>
      <c r="R45" s="23"/>
      <c r="S45" s="3013"/>
      <c r="T45" s="2595"/>
      <c r="U45" s="2595"/>
      <c r="V45" s="2595"/>
      <c r="W45" s="2595"/>
      <c r="X45" s="2595"/>
      <c r="Y45" s="2595"/>
      <c r="Z45" s="2595"/>
      <c r="AA45" s="1250"/>
    </row>
    <row r="46" spans="1:27">
      <c r="A46" s="78"/>
      <c r="B46" s="55"/>
      <c r="C46" s="127">
        <v>14</v>
      </c>
      <c r="D46" s="70" t="s">
        <v>2561</v>
      </c>
      <c r="E46" s="102"/>
      <c r="F46" s="64"/>
      <c r="G46" s="106"/>
      <c r="H46" s="69" t="s">
        <v>318</v>
      </c>
      <c r="I46" s="64">
        <v>14</v>
      </c>
      <c r="J46" s="1367" t="str">
        <f>IF(OR(D23="X",D37="X",H35),"",MIN(J15,J45))</f>
        <v/>
      </c>
      <c r="K46" s="469"/>
      <c r="L46" s="746"/>
      <c r="M46" s="59"/>
      <c r="N46" s="23"/>
      <c r="O46" s="23"/>
      <c r="P46" s="23"/>
      <c r="Q46" s="23"/>
      <c r="R46" s="23"/>
      <c r="S46" s="3013"/>
      <c r="T46" s="2595"/>
      <c r="U46" s="2595"/>
      <c r="V46" s="2595"/>
      <c r="W46" s="2595"/>
      <c r="X46" s="2595"/>
      <c r="Y46" s="2595"/>
      <c r="Z46" s="2595"/>
      <c r="AA46" s="1250"/>
    </row>
    <row r="47" spans="1:27">
      <c r="A47" s="78"/>
      <c r="B47" s="55"/>
      <c r="C47" s="127">
        <v>15</v>
      </c>
      <c r="D47" s="23" t="str">
        <f>"Multiply line 11 by "&amp;TEXT(H33,"0%")&amp;" ("&amp;TEXT(H33,"0.00")&amp;").  If line 11 is zero, enter -0-"</f>
        <v>Multiply line 11 by 85% (0.85).  If line 11 is zero, enter -0-</v>
      </c>
      <c r="E47" s="102"/>
      <c r="F47" s="64"/>
      <c r="G47" s="106"/>
      <c r="H47" s="69" t="s">
        <v>247</v>
      </c>
      <c r="I47" s="64">
        <v>15</v>
      </c>
      <c r="J47" s="1367" t="str">
        <f>IF(OR(D23="X",D37="X",H35),"",J43*H33)</f>
        <v/>
      </c>
      <c r="K47" s="469"/>
      <c r="L47" s="746"/>
      <c r="M47" s="59"/>
      <c r="N47" s="23"/>
      <c r="O47" s="23"/>
      <c r="P47" s="23"/>
      <c r="Q47" s="23"/>
      <c r="R47" s="23"/>
      <c r="S47" s="3013"/>
      <c r="T47" s="2595"/>
      <c r="U47" s="2595"/>
      <c r="V47" s="2595"/>
      <c r="W47" s="2595"/>
      <c r="X47" s="2595"/>
      <c r="Y47" s="2595"/>
      <c r="Z47" s="2595"/>
      <c r="AA47" s="1250"/>
    </row>
    <row r="48" spans="1:27">
      <c r="A48" s="78"/>
      <c r="B48" s="55"/>
      <c r="C48" s="127">
        <v>16</v>
      </c>
      <c r="D48" s="70" t="s">
        <v>2559</v>
      </c>
      <c r="E48" s="102"/>
      <c r="F48" s="64"/>
      <c r="G48" s="106"/>
      <c r="H48" s="69" t="s">
        <v>531</v>
      </c>
      <c r="I48" s="64">
        <v>16</v>
      </c>
      <c r="J48" s="1367" t="str">
        <f>IF(OR(D23="X",D37="X"),"",IF(H35,ROUND(J25*H33,0),IF(D37="X","",SUM(J46,J47))))</f>
        <v/>
      </c>
      <c r="K48" s="469"/>
      <c r="L48" s="746"/>
      <c r="M48" s="59"/>
      <c r="N48" s="23"/>
      <c r="O48" s="23"/>
      <c r="P48" s="23"/>
      <c r="Q48" s="23"/>
      <c r="R48" s="23"/>
      <c r="S48" s="3013"/>
      <c r="T48" s="2595"/>
      <c r="U48" s="2595"/>
      <c r="V48" s="2595"/>
      <c r="W48" s="2595"/>
      <c r="X48" s="2595"/>
      <c r="Y48" s="2595"/>
      <c r="Z48" s="2595"/>
      <c r="AA48" s="1250"/>
    </row>
    <row r="49" spans="1:27">
      <c r="A49" s="78"/>
      <c r="B49" s="55"/>
      <c r="C49" s="127">
        <v>17</v>
      </c>
      <c r="D49" s="23" t="str">
        <f>"Multiply line 1 by "&amp;TEXT(H33,"0%")&amp;" ("&amp;TEXT(H33,"0.00")&amp;")."</f>
        <v>Multiply line 1 by 85% (0.85).</v>
      </c>
      <c r="E49" s="23"/>
      <c r="F49" s="64"/>
      <c r="G49" s="106"/>
      <c r="H49" s="69" t="s">
        <v>210</v>
      </c>
      <c r="I49" s="64">
        <v>17</v>
      </c>
      <c r="J49" s="5108" t="str">
        <f>IF(OR(D23="X",AND(File_Marr_Sep&lt;&gt;"",NOT(LivedApartAnswered))),"",IF(OR(G14="",G14=0),0,IF(AND(File_Marr_Sep&lt;&gt;"",O4=""),G14*H33,IF(D37="X","",G14*H33))))</f>
        <v/>
      </c>
      <c r="K49" s="469"/>
      <c r="L49" s="746"/>
      <c r="M49" s="59"/>
      <c r="N49" s="23"/>
      <c r="O49" s="23"/>
      <c r="P49" s="23"/>
      <c r="Q49" s="23"/>
      <c r="R49" s="23"/>
      <c r="S49" s="3013"/>
      <c r="T49" s="2595"/>
      <c r="U49" s="2595"/>
      <c r="V49" s="2595"/>
      <c r="W49" s="2595"/>
      <c r="X49" s="2595"/>
      <c r="Y49" s="2595"/>
      <c r="Z49" s="2595"/>
      <c r="AA49" s="1250"/>
    </row>
    <row r="50" spans="1:27">
      <c r="A50" s="78"/>
      <c r="B50" s="55"/>
      <c r="C50" s="127">
        <v>18</v>
      </c>
      <c r="D50" s="24" t="s">
        <v>194</v>
      </c>
      <c r="E50" s="102"/>
      <c r="F50" s="64"/>
      <c r="G50" s="106"/>
      <c r="H50" s="106"/>
      <c r="I50" s="64"/>
      <c r="J50" s="59"/>
      <c r="K50" s="469"/>
      <c r="L50" s="746"/>
      <c r="M50" s="59"/>
      <c r="N50" s="23"/>
      <c r="O50" s="23"/>
      <c r="P50" s="23"/>
      <c r="Q50" s="23"/>
      <c r="R50" s="23"/>
      <c r="S50" s="3013"/>
      <c r="T50" s="2595"/>
      <c r="U50" s="2595"/>
      <c r="V50" s="2595"/>
      <c r="W50" s="2595"/>
      <c r="X50" s="2595"/>
      <c r="Y50" s="2595"/>
      <c r="Z50" s="2595"/>
      <c r="AA50" s="1250"/>
    </row>
    <row r="51" spans="1:27">
      <c r="A51" s="78"/>
      <c r="B51" s="55"/>
      <c r="C51" s="127"/>
      <c r="D51" s="129" t="s">
        <v>3967</v>
      </c>
      <c r="E51" s="108"/>
      <c r="F51" s="64"/>
      <c r="G51" s="106"/>
      <c r="H51" s="69" t="s">
        <v>234</v>
      </c>
      <c r="I51" s="64">
        <f>C50</f>
        <v>18</v>
      </c>
      <c r="J51" s="1367">
        <f>IF(P51&lt;&gt;"",ROUND(P51,0),IF(AND(P14="",TotalSocSecBenefits=0),0,IF(AND(G14&lt;&gt;0,File_Marr_Sep&lt;&gt;"",NOT(LivedApartAnswered)),"Answer question.",IF(OR(D23="X",D37="X"),0,IF(H35,MIN(J48,J49),IF(D37="X",0,MIN(J48,J49)))))))</f>
        <v>0</v>
      </c>
      <c r="K51" s="107"/>
      <c r="L51" s="705"/>
      <c r="M51" s="59"/>
      <c r="N51" s="23"/>
      <c r="O51" s="23"/>
      <c r="P51" s="384"/>
      <c r="Q51" s="23"/>
      <c r="R51" s="23"/>
      <c r="S51" s="3013"/>
      <c r="T51" s="2595"/>
      <c r="U51" s="2595"/>
      <c r="V51" s="2595"/>
      <c r="W51" s="2595"/>
      <c r="X51" s="2595"/>
      <c r="Y51" s="2595"/>
      <c r="Z51" s="2595"/>
      <c r="AA51" s="1250"/>
    </row>
    <row r="52" spans="1:27" ht="7.5" customHeight="1">
      <c r="A52" s="78"/>
      <c r="B52" s="55"/>
      <c r="C52" s="127"/>
      <c r="D52" s="118"/>
      <c r="E52" s="119"/>
      <c r="F52" s="64"/>
      <c r="G52" s="106"/>
      <c r="H52" s="106"/>
      <c r="I52" s="64"/>
      <c r="J52" s="106"/>
      <c r="K52" s="107"/>
      <c r="L52" s="705"/>
      <c r="M52" s="59"/>
      <c r="N52" s="23"/>
      <c r="O52" s="23"/>
      <c r="P52" s="23"/>
      <c r="Q52" s="23"/>
      <c r="R52" s="23"/>
      <c r="S52" s="3013"/>
      <c r="T52" s="2595"/>
      <c r="U52" s="2595"/>
      <c r="V52" s="2595"/>
      <c r="W52" s="2595"/>
      <c r="X52" s="2595"/>
      <c r="Y52" s="2595"/>
      <c r="Z52" s="2595"/>
      <c r="AA52" s="1250"/>
    </row>
    <row r="53" spans="1:27" ht="12.75" customHeight="1">
      <c r="A53" s="78"/>
      <c r="B53" s="55"/>
      <c r="C53" s="127"/>
      <c r="D53" s="536"/>
      <c r="E53" s="119" t="str">
        <f>"   If any of your benefits are taxable for "&amp;TaxYear&amp;" and they include a lump-sum benefit payment that was for an earlier"</f>
        <v xml:space="preserve">   If any of your benefits are taxable for 2021 and they include a lump-sum benefit payment that was for an earlier</v>
      </c>
      <c r="F53" s="64"/>
      <c r="G53" s="106"/>
      <c r="H53" s="106"/>
      <c r="I53" s="64"/>
      <c r="J53" s="106"/>
      <c r="K53" s="107"/>
      <c r="L53" s="705"/>
      <c r="M53" s="59"/>
      <c r="N53" s="23"/>
      <c r="O53" s="23"/>
      <c r="P53" s="23"/>
      <c r="Q53" s="23"/>
      <c r="R53" s="23"/>
      <c r="S53" s="3013"/>
      <c r="T53" s="2595"/>
      <c r="U53" s="2595"/>
      <c r="V53" s="2595"/>
      <c r="W53" s="2595"/>
      <c r="X53" s="2595"/>
      <c r="Y53" s="2595"/>
      <c r="Z53" s="2595"/>
      <c r="AA53" s="1250"/>
    </row>
    <row r="54" spans="1:27">
      <c r="A54" s="78"/>
      <c r="B54" s="55"/>
      <c r="C54" s="127"/>
      <c r="D54" s="118"/>
      <c r="E54" s="537" t="s">
        <v>1057</v>
      </c>
      <c r="F54" s="64"/>
      <c r="G54" s="106"/>
      <c r="H54" s="106"/>
      <c r="I54" s="64"/>
      <c r="J54" s="106"/>
      <c r="K54" s="107"/>
      <c r="L54" s="705"/>
      <c r="M54" s="59"/>
      <c r="N54" s="23"/>
      <c r="O54" s="23"/>
      <c r="P54" s="23"/>
      <c r="Q54" s="23"/>
      <c r="R54" s="23"/>
      <c r="S54" s="3013"/>
      <c r="T54" s="2595"/>
      <c r="U54" s="2595"/>
      <c r="V54" s="2595"/>
      <c r="W54" s="2595"/>
      <c r="X54" s="2595"/>
      <c r="Y54" s="2595"/>
      <c r="Z54" s="2595"/>
      <c r="AA54" s="1250"/>
    </row>
    <row r="55" spans="1:27" ht="13.5" thickBot="1">
      <c r="A55" s="78"/>
      <c r="B55" s="89"/>
      <c r="C55" s="36"/>
      <c r="D55" s="36"/>
      <c r="E55" s="36"/>
      <c r="F55" s="36"/>
      <c r="G55" s="36"/>
      <c r="H55" s="36"/>
      <c r="I55" s="36"/>
      <c r="J55" s="36"/>
      <c r="K55" s="98"/>
      <c r="L55" s="78"/>
      <c r="M55" s="59"/>
      <c r="N55" s="23"/>
      <c r="O55" s="23"/>
      <c r="P55" s="23"/>
      <c r="Q55" s="23"/>
      <c r="R55" s="23"/>
      <c r="S55" s="3013"/>
      <c r="T55" s="2595"/>
      <c r="U55" s="2595"/>
      <c r="V55" s="2595"/>
      <c r="W55" s="2595"/>
      <c r="X55" s="2595"/>
      <c r="Y55" s="2595"/>
      <c r="Z55" s="2595"/>
      <c r="AA55" s="1250"/>
    </row>
    <row r="56" spans="1:27">
      <c r="A56" s="78"/>
      <c r="B56" s="78"/>
      <c r="C56" s="78"/>
      <c r="D56" s="78"/>
      <c r="E56" s="78"/>
      <c r="F56" s="78"/>
      <c r="G56" s="78"/>
      <c r="H56" s="78"/>
      <c r="I56" s="78"/>
      <c r="J56" s="78"/>
      <c r="K56" s="78"/>
      <c r="L56" s="78"/>
      <c r="M56" s="59"/>
      <c r="N56" s="23"/>
      <c r="O56" s="23"/>
      <c r="P56" s="23"/>
      <c r="Q56" s="23"/>
      <c r="R56" s="23"/>
      <c r="S56" s="3013"/>
      <c r="T56" s="2595"/>
      <c r="U56" s="2595"/>
      <c r="V56" s="2595"/>
      <c r="W56" s="2595"/>
      <c r="X56" s="2595"/>
      <c r="Y56" s="2595"/>
      <c r="Z56" s="2595"/>
      <c r="AA56" s="1250"/>
    </row>
    <row r="57" spans="1:27" ht="11.25" customHeight="1">
      <c r="A57" s="59"/>
      <c r="B57" s="23"/>
      <c r="C57" s="23"/>
      <c r="D57" s="23"/>
      <c r="E57" s="23"/>
      <c r="F57" s="23"/>
      <c r="G57" s="59"/>
      <c r="H57" s="23"/>
      <c r="I57" s="23"/>
      <c r="J57" s="23"/>
      <c r="K57" s="23"/>
      <c r="L57" s="23"/>
      <c r="M57" s="23"/>
      <c r="N57" s="23"/>
      <c r="O57" s="23"/>
      <c r="P57" s="23"/>
      <c r="Q57" s="23"/>
      <c r="R57" s="23"/>
      <c r="S57" s="23"/>
      <c r="T57" s="23"/>
      <c r="U57" s="23"/>
      <c r="V57" s="23"/>
      <c r="W57" s="23"/>
      <c r="X57" s="23"/>
      <c r="Y57" s="23"/>
      <c r="Z57" s="23"/>
      <c r="AA57" s="23"/>
    </row>
  </sheetData>
  <sheetProtection algorithmName="SHA-512" hashValue="Kn05+GLXOm4O6Rtc/kx6tpZNTD0pgX3OGCM3CDH2eohLZs2UkPF/CTLTBXZVrWlzLzwTRgSGMk5tB9sZq9yzMw==" saltValue="8fq7KMFEYaKk+WqLeyPW2w==" spinCount="100000" sheet="1" objects="1" scenarios="1"/>
  <mergeCells count="1">
    <mergeCell ref="G14:H14"/>
  </mergeCells>
  <phoneticPr fontId="14" type="noConversion"/>
  <conditionalFormatting sqref="G14:H14 J42:J49 J51">
    <cfRule type="expression" dxfId="2607" priority="24">
      <formula>IF(NoColor,1,0)</formula>
    </cfRule>
  </conditionalFormatting>
  <conditionalFormatting sqref="J15:J18">
    <cfRule type="expression" dxfId="2606" priority="22">
      <formula>IF(NoColor,1,0)</formula>
    </cfRule>
  </conditionalFormatting>
  <conditionalFormatting sqref="J20">
    <cfRule type="expression" dxfId="2605" priority="21">
      <formula>IF(NoColor,1,0)</formula>
    </cfRule>
  </conditionalFormatting>
  <conditionalFormatting sqref="J25">
    <cfRule type="expression" dxfId="2604" priority="20">
      <formula>IF(NoColor,1,0)</formula>
    </cfRule>
  </conditionalFormatting>
  <conditionalFormatting sqref="J31">
    <cfRule type="expression" dxfId="2603" priority="16">
      <formula>IF(LivedApart="?",1,0)</formula>
    </cfRule>
    <cfRule type="expression" dxfId="2602" priority="19">
      <formula>IF(NoColor,1,0)</formula>
    </cfRule>
  </conditionalFormatting>
  <conditionalFormatting sqref="J40">
    <cfRule type="expression" dxfId="2601" priority="18">
      <formula>IF(NoColor,1,0)</formula>
    </cfRule>
  </conditionalFormatting>
  <conditionalFormatting sqref="J51">
    <cfRule type="expression" dxfId="2600" priority="15">
      <formula>IF(AND(TotalSocSecBenefit&gt;0,LivedApart="?"),1,0)</formula>
    </cfRule>
  </conditionalFormatting>
  <conditionalFormatting sqref="N3 P3:Q3">
    <cfRule type="expression" dxfId="2599" priority="4" stopIfTrue="1">
      <formula>(File_Marr_Sep="")</formula>
    </cfRule>
  </conditionalFormatting>
  <conditionalFormatting sqref="N4:Q9">
    <cfRule type="expression" dxfId="2598" priority="6" stopIfTrue="1">
      <formula>(File_Marr_Sep="")</formula>
    </cfRule>
  </conditionalFormatting>
  <conditionalFormatting sqref="O3">
    <cfRule type="expression" dxfId="2597" priority="1">
      <formula>AND(LivedApartAnswered,File_Marr_Sep&lt;&gt;"")</formula>
    </cfRule>
    <cfRule type="expression" dxfId="2596" priority="2" stopIfTrue="1">
      <formula>(File_Marr_Sep&lt;&gt;"")</formula>
    </cfRule>
  </conditionalFormatting>
  <conditionalFormatting sqref="O4:O8">
    <cfRule type="expression" dxfId="2595" priority="8">
      <formula>AND(LivedApartAnswered,File_Marr_Sep&lt;&gt;"")</formula>
    </cfRule>
  </conditionalFormatting>
  <conditionalFormatting sqref="O9">
    <cfRule type="expression" dxfId="2594" priority="5">
      <formula>AND(LivedApartAnswered,File_Marr_Sep&lt;&gt;"")</formula>
    </cfRule>
  </conditionalFormatting>
  <conditionalFormatting sqref="P4">
    <cfRule type="expression" dxfId="2593" priority="10">
      <formula>IF($N$5=1,1,0)</formula>
    </cfRule>
  </conditionalFormatting>
  <conditionalFormatting sqref="P6">
    <cfRule type="expression" dxfId="2592" priority="9">
      <formula>IF($N$5=1,1,0)</formula>
    </cfRule>
  </conditionalFormatting>
  <conditionalFormatting sqref="P8">
    <cfRule type="expression" dxfId="2591" priority="7">
      <formula>LivedApartAnswered</formula>
    </cfRule>
  </conditionalFormatting>
  <printOptions horizontalCentered="1"/>
  <pageMargins left="0.2" right="0.2" top="0.5" bottom="0.25" header="0" footer="0"/>
  <pageSetup scale="95"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E39"/>
  <sheetViews>
    <sheetView zoomScaleNormal="100" workbookViewId="0"/>
  </sheetViews>
  <sheetFormatPr defaultRowHeight="12.75"/>
  <cols>
    <col min="1" max="1" width="3.140625" customWidth="1"/>
    <col min="2" max="2" width="8.140625" style="42" customWidth="1"/>
    <col min="3" max="3" width="3.42578125" style="42" customWidth="1"/>
    <col min="4" max="4" width="8.28515625" style="42" customWidth="1"/>
    <col min="5" max="5" width="3.28515625" style="42" customWidth="1"/>
    <col min="6" max="6" width="11.28515625" style="42" customWidth="1"/>
    <col min="7" max="7" width="12" style="42" customWidth="1"/>
    <col min="8" max="8" width="15.5703125" style="42" customWidth="1"/>
    <col min="9" max="9" width="8.5703125" style="42" customWidth="1"/>
    <col min="10" max="10" width="8" style="42" customWidth="1"/>
    <col min="11" max="11" width="10.140625" style="42" customWidth="1"/>
    <col min="12" max="12" width="9.85546875" style="42" customWidth="1"/>
    <col min="13" max="13" width="3.42578125" style="42" customWidth="1"/>
    <col min="14" max="14" width="11.140625" style="42" customWidth="1"/>
    <col min="15" max="15" width="2.7109375" style="42" customWidth="1"/>
    <col min="16" max="16" width="3.5703125" customWidth="1"/>
    <col min="17" max="17" width="13.5703125" customWidth="1"/>
    <col min="18" max="18" width="3.5703125" customWidth="1"/>
    <col min="19" max="19" width="13.7109375" style="3403" customWidth="1"/>
    <col min="20" max="30" width="10.7109375" style="3402" customWidth="1"/>
  </cols>
  <sheetData>
    <row r="1" spans="1:31" ht="17.25" customHeight="1" thickBot="1">
      <c r="A1" s="3405"/>
      <c r="B1" s="1179"/>
      <c r="C1" s="1179"/>
      <c r="D1" s="1179"/>
      <c r="E1" s="1179"/>
      <c r="F1" s="1179"/>
      <c r="G1" s="1179"/>
      <c r="H1" s="1179"/>
      <c r="I1" s="1179"/>
      <c r="J1" s="1179"/>
      <c r="K1" s="1179"/>
      <c r="L1" s="1179"/>
      <c r="M1" s="1179"/>
      <c r="N1" s="1179"/>
      <c r="O1" s="1179"/>
      <c r="P1" s="1410"/>
      <c r="Q1" s="1410"/>
      <c r="R1" s="1410"/>
      <c r="S1" s="3012" t="s">
        <v>2033</v>
      </c>
      <c r="T1" s="2595"/>
      <c r="U1" s="2595"/>
      <c r="V1" s="2595"/>
      <c r="W1" s="2595"/>
      <c r="X1" s="2595"/>
      <c r="Y1" s="2595"/>
      <c r="Z1" s="2595"/>
      <c r="AA1" s="2595"/>
      <c r="AB1" s="2595"/>
    </row>
    <row r="2" spans="1:31" ht="14.25" customHeight="1">
      <c r="A2" s="3405"/>
      <c r="B2" s="924"/>
      <c r="C2" s="966"/>
      <c r="D2" s="920"/>
      <c r="E2" s="920"/>
      <c r="F2" s="920"/>
      <c r="G2" s="920"/>
      <c r="H2" s="920"/>
      <c r="I2" s="920"/>
      <c r="J2" s="925"/>
      <c r="K2" s="925"/>
      <c r="L2" s="925"/>
      <c r="M2" s="925"/>
      <c r="N2" s="920"/>
      <c r="O2" s="96"/>
      <c r="P2" s="1410"/>
      <c r="Q2" s="1410"/>
      <c r="R2" s="1410"/>
      <c r="S2" s="3217" t="s">
        <v>111</v>
      </c>
      <c r="T2" s="2595"/>
      <c r="U2" s="2595"/>
      <c r="V2" s="2595"/>
      <c r="W2" s="2595"/>
      <c r="X2" s="2595"/>
      <c r="Y2" s="2595"/>
      <c r="Z2" s="2595"/>
      <c r="AA2" s="2595"/>
      <c r="AB2" s="2595"/>
    </row>
    <row r="3" spans="1:31" ht="16.5" thickBot="1">
      <c r="A3" s="3405"/>
      <c r="B3" s="988" t="s">
        <v>5602</v>
      </c>
      <c r="C3" s="322"/>
      <c r="D3" s="268"/>
      <c r="E3" s="268"/>
      <c r="F3" s="268"/>
      <c r="G3" s="268"/>
      <c r="H3" s="268"/>
      <c r="I3" s="268"/>
      <c r="J3" s="1048" t="s">
        <v>241</v>
      </c>
      <c r="K3" s="1048"/>
      <c r="L3" s="3369"/>
      <c r="M3" s="3370"/>
      <c r="N3" s="3371" t="s">
        <v>175</v>
      </c>
      <c r="O3" s="97"/>
      <c r="P3" s="3682"/>
      <c r="Q3" s="3682"/>
      <c r="R3" s="3682"/>
      <c r="S3" s="3013"/>
      <c r="T3" s="2595"/>
      <c r="U3" s="2595"/>
      <c r="V3" s="2595"/>
      <c r="W3" s="2595"/>
      <c r="X3" s="2595"/>
      <c r="Y3" s="2595"/>
      <c r="Z3" s="2595"/>
      <c r="AA3" s="2595"/>
      <c r="AB3" s="2595"/>
    </row>
    <row r="4" spans="1:31" ht="12.75" customHeight="1" thickBot="1">
      <c r="A4" s="3405"/>
      <c r="B4" s="968"/>
      <c r="C4" s="268"/>
      <c r="D4" s="2124"/>
      <c r="E4" s="268"/>
      <c r="F4" s="268"/>
      <c r="G4" s="268"/>
      <c r="H4" s="408"/>
      <c r="I4" s="23"/>
      <c r="J4" s="48" t="str">
        <f>IF(L4,"Yes","No")</f>
        <v>No</v>
      </c>
      <c r="K4" s="48"/>
      <c r="L4" s="3368" t="b">
        <f>OR(DependentYOU&lt;&gt;"",DependentSPOUSE&lt;&gt;"",P4&lt;&gt;"")</f>
        <v>0</v>
      </c>
      <c r="M4" s="3368"/>
      <c r="N4" s="14"/>
      <c r="O4" s="97"/>
      <c r="P4" s="4308"/>
      <c r="Q4" s="1410" t="s">
        <v>3646</v>
      </c>
      <c r="R4" s="1410"/>
      <c r="S4" s="3013"/>
      <c r="T4" s="2595"/>
      <c r="U4" s="2595"/>
      <c r="V4" s="2595"/>
      <c r="W4" s="2595"/>
      <c r="X4" s="2595"/>
      <c r="Y4" s="2595"/>
      <c r="Z4" s="2595"/>
      <c r="AA4" s="2595"/>
      <c r="AB4" s="2595"/>
      <c r="AE4" s="1357"/>
    </row>
    <row r="5" spans="1:31" ht="13.5" customHeight="1">
      <c r="A5" s="1503"/>
      <c r="B5" s="1040"/>
      <c r="C5" s="1047" t="s">
        <v>588</v>
      </c>
      <c r="D5" s="1041"/>
      <c r="E5" s="1042"/>
      <c r="F5" s="1042"/>
      <c r="G5" s="1042"/>
      <c r="H5" s="1043"/>
      <c r="I5" s="1004"/>
      <c r="J5" s="1004"/>
      <c r="K5" s="1004"/>
      <c r="L5" s="1044"/>
      <c r="M5" s="2560"/>
      <c r="N5" s="1045"/>
      <c r="O5" s="1046"/>
      <c r="P5" s="1410"/>
      <c r="Q5" s="1410"/>
      <c r="R5" s="1410"/>
      <c r="S5" s="3013"/>
      <c r="T5" s="2595"/>
      <c r="U5" s="2595"/>
      <c r="V5" s="2595"/>
      <c r="W5" s="2595"/>
      <c r="X5" s="2595"/>
      <c r="Y5" s="2595"/>
      <c r="Z5" s="2595"/>
      <c r="AA5" s="2595"/>
      <c r="AB5" s="2595"/>
    </row>
    <row r="6" spans="1:31" ht="13.5" customHeight="1">
      <c r="A6" s="1503"/>
      <c r="B6" s="968"/>
      <c r="C6" s="3366"/>
      <c r="D6" s="70"/>
      <c r="E6" s="268"/>
      <c r="F6" s="268"/>
      <c r="G6" s="268"/>
      <c r="H6" s="408"/>
      <c r="I6" s="23"/>
      <c r="J6" s="23"/>
      <c r="K6" s="23"/>
      <c r="L6" s="48"/>
      <c r="M6" s="48"/>
      <c r="N6" s="14"/>
      <c r="O6" s="97"/>
      <c r="P6" s="1410"/>
      <c r="Q6" s="1410"/>
      <c r="R6" s="1410"/>
      <c r="S6" s="3013"/>
      <c r="T6" s="2595"/>
      <c r="U6" s="2595"/>
      <c r="V6" s="2595"/>
      <c r="W6" s="2595"/>
      <c r="X6" s="2595"/>
      <c r="Y6" s="2595"/>
      <c r="Z6" s="2595"/>
      <c r="AA6" s="2595"/>
      <c r="AB6" s="2595"/>
    </row>
    <row r="7" spans="1:31" ht="13.5" customHeight="1">
      <c r="A7" s="2523">
        <f>IF(E7&lt;&gt;"",1,0)</f>
        <v>0</v>
      </c>
      <c r="B7" s="969" t="s">
        <v>294</v>
      </c>
      <c r="C7" s="3366"/>
      <c r="D7" s="70" t="s">
        <v>2564</v>
      </c>
      <c r="E7" s="1866" t="str">
        <f>IF(NOT(L4),"",IF(you_over_64&lt;&gt;"","X",""))</f>
        <v/>
      </c>
      <c r="F7" s="2397" t="s">
        <v>2566</v>
      </c>
      <c r="G7" s="2397"/>
      <c r="H7" s="70" t="str">
        <f>"January 2, "&amp;TaxYear-64</f>
        <v>January 2, 1957</v>
      </c>
      <c r="I7" s="23"/>
      <c r="J7" s="23"/>
      <c r="K7" s="23"/>
      <c r="L7" s="48"/>
      <c r="M7" s="48"/>
      <c r="N7" s="14"/>
      <c r="O7" s="97"/>
      <c r="P7" s="1410"/>
      <c r="Q7" s="1410"/>
      <c r="R7" s="1410"/>
      <c r="S7" s="3013"/>
      <c r="T7" s="2595"/>
      <c r="U7" s="2595"/>
      <c r="V7" s="2595"/>
      <c r="W7" s="2595"/>
      <c r="X7" s="2595"/>
      <c r="Y7" s="2595"/>
      <c r="Z7" s="2595"/>
      <c r="AA7" s="2595"/>
      <c r="AB7" s="2595"/>
    </row>
    <row r="8" spans="1:31" ht="7.5" customHeight="1">
      <c r="A8" s="1284"/>
      <c r="B8" s="968"/>
      <c r="C8" s="3366"/>
      <c r="D8" s="70"/>
      <c r="E8" s="268"/>
      <c r="F8" s="268"/>
      <c r="G8" s="268"/>
      <c r="H8" s="408"/>
      <c r="I8" s="23"/>
      <c r="J8" s="23"/>
      <c r="K8" s="23"/>
      <c r="L8" s="48"/>
      <c r="M8" s="48"/>
      <c r="N8" s="14"/>
      <c r="O8" s="97"/>
      <c r="P8" s="1410"/>
      <c r="Q8" s="1410"/>
      <c r="R8" s="1410"/>
      <c r="S8" s="3013"/>
      <c r="T8" s="2595"/>
      <c r="U8" s="2595"/>
      <c r="V8" s="2595"/>
      <c r="W8" s="2595"/>
      <c r="X8" s="2595"/>
      <c r="Y8" s="2595"/>
      <c r="Z8" s="2595"/>
      <c r="AA8" s="2595"/>
      <c r="AB8" s="2595"/>
    </row>
    <row r="9" spans="1:31" ht="13.5" customHeight="1">
      <c r="A9" s="2523">
        <f>IF(E9&lt;&gt;"",1,0)</f>
        <v>0</v>
      </c>
      <c r="B9" s="968"/>
      <c r="C9" s="3366"/>
      <c r="D9" s="70"/>
      <c r="E9" s="1866" t="str">
        <f>IF(NOT(L4),"",IF(you_blind&lt;&gt;"","X",""))</f>
        <v/>
      </c>
      <c r="F9" s="2397" t="s">
        <v>2567</v>
      </c>
      <c r="G9" s="2397"/>
      <c r="H9" s="408"/>
      <c r="I9" s="23"/>
      <c r="J9" s="70" t="s">
        <v>2570</v>
      </c>
      <c r="K9" s="70"/>
      <c r="L9" s="48"/>
      <c r="M9" s="48"/>
      <c r="N9" s="14"/>
      <c r="O9" s="97"/>
      <c r="P9" s="1410"/>
      <c r="Q9" s="1410"/>
      <c r="R9" s="1410"/>
      <c r="S9" s="3013"/>
      <c r="T9" s="2595"/>
      <c r="U9" s="2595"/>
      <c r="V9" s="2595"/>
      <c r="W9" s="2595"/>
      <c r="X9" s="2595"/>
      <c r="Y9" s="2595"/>
      <c r="Z9" s="2595"/>
      <c r="AA9" s="2595"/>
      <c r="AB9" s="2595"/>
    </row>
    <row r="10" spans="1:31" ht="13.5" customHeight="1">
      <c r="A10" s="1284"/>
      <c r="B10" s="968"/>
      <c r="C10" s="3366"/>
      <c r="D10" s="70"/>
      <c r="E10" s="268"/>
      <c r="F10" s="268"/>
      <c r="G10" s="268"/>
      <c r="H10" s="408"/>
      <c r="I10" s="23"/>
      <c r="J10" s="23"/>
      <c r="K10" s="23"/>
      <c r="L10" s="40" t="s">
        <v>2569</v>
      </c>
      <c r="M10" s="1338" t="s">
        <v>294</v>
      </c>
      <c r="N10" s="3367" t="str">
        <f>IF(NOT(L4),"",IF(SUM(A7:A13)=0,0,SUM(A7:A13)))</f>
        <v/>
      </c>
      <c r="O10" s="97"/>
      <c r="P10" s="1410"/>
      <c r="Q10" s="1410"/>
      <c r="R10" s="1410"/>
      <c r="S10" s="3013"/>
      <c r="T10" s="2595"/>
      <c r="U10" s="2595"/>
      <c r="V10" s="2595"/>
      <c r="W10" s="2595"/>
      <c r="X10" s="2595"/>
      <c r="Y10" s="2595"/>
      <c r="Z10" s="2595"/>
      <c r="AA10" s="2595"/>
      <c r="AB10" s="2595"/>
    </row>
    <row r="11" spans="1:31" ht="13.5" customHeight="1">
      <c r="A11" s="2523">
        <f>IF(E11&lt;&gt;"",1,0)</f>
        <v>0</v>
      </c>
      <c r="B11" s="969"/>
      <c r="C11" s="3366"/>
      <c r="D11" s="70"/>
      <c r="E11" s="1866" t="str">
        <f>IF(NOT(L4),"",IF(sp_over_64&lt;&gt;"","X",""))</f>
        <v/>
      </c>
      <c r="F11" s="2397" t="s">
        <v>2565</v>
      </c>
      <c r="G11" s="2397"/>
      <c r="H11" s="70" t="str">
        <f>"January 2, "&amp;TaxYear-64</f>
        <v>January 2, 1957</v>
      </c>
      <c r="I11" s="23"/>
      <c r="J11" s="23"/>
      <c r="K11" s="23"/>
      <c r="L11" s="48"/>
      <c r="M11" s="48"/>
      <c r="N11" s="14"/>
      <c r="O11" s="97"/>
      <c r="P11" s="1410"/>
      <c r="Q11" s="1410"/>
      <c r="R11" s="1410"/>
      <c r="S11" s="3013"/>
      <c r="T11" s="2595"/>
      <c r="U11" s="2595"/>
      <c r="V11" s="2595"/>
      <c r="W11" s="2595"/>
      <c r="X11" s="2595"/>
      <c r="Y11" s="2595"/>
      <c r="Z11" s="2595"/>
      <c r="AA11" s="2595"/>
      <c r="AB11" s="2595"/>
    </row>
    <row r="12" spans="1:31" ht="7.5" customHeight="1">
      <c r="A12" s="1284"/>
      <c r="B12" s="968"/>
      <c r="C12" s="3366"/>
      <c r="D12" s="70"/>
      <c r="E12" s="268"/>
      <c r="F12" s="268"/>
      <c r="G12" s="268"/>
      <c r="H12" s="408"/>
      <c r="I12" s="23"/>
      <c r="J12" s="23"/>
      <c r="K12" s="23"/>
      <c r="L12" s="48"/>
      <c r="M12" s="48"/>
      <c r="N12" s="14"/>
      <c r="O12" s="97"/>
      <c r="P12" s="1410"/>
      <c r="Q12" s="1410"/>
      <c r="R12" s="1410"/>
      <c r="S12" s="3013"/>
      <c r="T12" s="2595"/>
      <c r="U12" s="2595"/>
      <c r="V12" s="2595"/>
      <c r="W12" s="2595"/>
      <c r="X12" s="2595"/>
      <c r="Y12" s="2595"/>
      <c r="Z12" s="2595"/>
      <c r="AA12" s="2595"/>
      <c r="AB12" s="2595"/>
    </row>
    <row r="13" spans="1:31" ht="13.5" customHeight="1">
      <c r="A13" s="2523">
        <f>IF(E13&lt;&gt;"",1,0)</f>
        <v>0</v>
      </c>
      <c r="B13" s="968"/>
      <c r="C13" s="3366"/>
      <c r="D13" s="70"/>
      <c r="E13" s="1866" t="str">
        <f>IF(NOT(L4),"",IF(sp_blind&lt;&gt;"","X",""))</f>
        <v/>
      </c>
      <c r="F13" s="2397" t="s">
        <v>2568</v>
      </c>
      <c r="G13" s="2397"/>
      <c r="H13" s="408"/>
      <c r="I13" s="23"/>
      <c r="J13" s="23"/>
      <c r="K13" s="23"/>
      <c r="L13" s="48"/>
      <c r="M13" s="48"/>
      <c r="N13" s="14"/>
      <c r="O13" s="97"/>
      <c r="P13" s="1410"/>
      <c r="Q13" s="3312" t="s">
        <v>90</v>
      </c>
      <c r="R13" s="1410"/>
      <c r="S13" s="3013"/>
      <c r="T13" s="2595"/>
      <c r="U13" s="2595"/>
      <c r="V13" s="2595"/>
      <c r="W13" s="2595"/>
      <c r="X13" s="2595"/>
      <c r="Y13" s="2595"/>
      <c r="Z13" s="2595"/>
      <c r="AA13" s="2595"/>
      <c r="AB13" s="2595"/>
    </row>
    <row r="14" spans="1:31" ht="13.5" customHeight="1">
      <c r="A14" s="1503"/>
      <c r="B14" s="970"/>
      <c r="C14" s="268"/>
      <c r="D14" s="38"/>
      <c r="E14" s="268"/>
      <c r="F14" s="921"/>
      <c r="G14" s="921"/>
      <c r="H14" s="923"/>
      <c r="I14" s="1049"/>
      <c r="J14" s="1050"/>
      <c r="K14" s="1050"/>
      <c r="L14" s="1050"/>
      <c r="M14" s="1050"/>
      <c r="N14" s="1051"/>
      <c r="O14" s="97"/>
      <c r="P14" s="1410"/>
      <c r="Q14" s="3312" t="s">
        <v>91</v>
      </c>
      <c r="R14" s="1410"/>
      <c r="S14" s="3013"/>
      <c r="T14" s="2595"/>
      <c r="U14" s="2595"/>
      <c r="V14" s="2595"/>
      <c r="W14" s="2595"/>
      <c r="X14" s="2595"/>
      <c r="Y14" s="2595"/>
      <c r="Z14" s="2595"/>
      <c r="AA14" s="2595"/>
      <c r="AB14" s="2595"/>
    </row>
    <row r="15" spans="1:31" ht="13.5" customHeight="1">
      <c r="A15" s="1503"/>
      <c r="B15" s="970"/>
      <c r="C15" s="268"/>
      <c r="D15" s="38"/>
      <c r="E15" s="268"/>
      <c r="F15" s="921"/>
      <c r="G15" s="921"/>
      <c r="H15" s="923"/>
      <c r="I15" s="1049"/>
      <c r="J15" s="1050"/>
      <c r="K15" s="1050"/>
      <c r="L15" s="4306" t="s">
        <v>3645</v>
      </c>
      <c r="M15" s="1050"/>
      <c r="N15" s="4307" t="str">
        <f>IF(Q15&lt;&gt;"",ROUND(Q15,0),IF(NOT(L4),"",Earned_Income))</f>
        <v/>
      </c>
      <c r="O15" s="97"/>
      <c r="P15" s="1410"/>
      <c r="Q15" s="4289"/>
      <c r="R15" s="1410"/>
      <c r="S15" s="3013"/>
      <c r="T15" s="2595"/>
      <c r="U15" s="2595"/>
      <c r="V15" s="2595"/>
      <c r="W15" s="2595"/>
      <c r="X15" s="2595"/>
      <c r="Y15" s="2595"/>
      <c r="Z15" s="2595"/>
      <c r="AA15" s="2595"/>
      <c r="AB15" s="2595"/>
    </row>
    <row r="16" spans="1:31" ht="18.75" customHeight="1">
      <c r="A16" s="1503"/>
      <c r="B16" s="1336" t="s">
        <v>0</v>
      </c>
      <c r="C16" s="967"/>
      <c r="D16" s="268" t="s">
        <v>18</v>
      </c>
      <c r="E16" s="268"/>
      <c r="F16" s="268"/>
      <c r="G16" s="268" t="str">
        <f>"more than "&amp;TEXT(L16,"$0")&amp;"?"</f>
        <v>more than $750?</v>
      </c>
      <c r="H16" s="923"/>
      <c r="I16" s="1050">
        <v>1100</v>
      </c>
      <c r="J16" s="1050"/>
      <c r="K16" s="1050"/>
      <c r="L16" s="1051">
        <v>750</v>
      </c>
      <c r="M16" s="1051"/>
      <c r="N16" s="1051">
        <f>SD_Inc_Single</f>
        <v>1700</v>
      </c>
      <c r="O16" s="97"/>
      <c r="P16" s="1410"/>
      <c r="Q16" s="1410"/>
      <c r="R16" s="1410"/>
      <c r="S16" s="3013"/>
      <c r="T16" s="2595"/>
      <c r="U16" s="2595"/>
      <c r="V16" s="2595"/>
      <c r="W16" s="2595"/>
      <c r="X16" s="2595"/>
      <c r="Y16" s="2595"/>
      <c r="Z16" s="2595"/>
      <c r="AA16" s="2595"/>
      <c r="AB16" s="2595"/>
    </row>
    <row r="17" spans="1:28" ht="13.5" customHeight="1">
      <c r="A17" s="1503"/>
      <c r="B17" s="969"/>
      <c r="C17" s="1866" t="str">
        <f>IF(NOT(L4),"",IF(N15&gt;L16,"X",""))</f>
        <v/>
      </c>
      <c r="D17" s="40" t="s">
        <v>416</v>
      </c>
      <c r="E17" s="23" t="str">
        <f>"Add "&amp;TEXT(I17,"$0")&amp;" to your earned income. Enter the total"</f>
        <v>Add $350 to your earned income. Enter the total</v>
      </c>
      <c r="F17" s="23"/>
      <c r="G17" s="23"/>
      <c r="H17" s="23"/>
      <c r="I17" s="1050">
        <v>350</v>
      </c>
      <c r="J17" s="1050"/>
      <c r="K17" s="1050"/>
      <c r="L17" s="1051"/>
      <c r="M17" s="1051"/>
      <c r="N17" s="1051"/>
      <c r="O17" s="97"/>
      <c r="P17" s="1410"/>
      <c r="Q17" s="1410"/>
      <c r="R17" s="1410"/>
      <c r="S17" s="3013"/>
      <c r="T17" s="2595"/>
      <c r="U17" s="2595"/>
      <c r="V17" s="2595"/>
      <c r="W17" s="2595"/>
      <c r="X17" s="2595"/>
      <c r="Y17" s="2595"/>
      <c r="Z17" s="2595"/>
      <c r="AA17" s="2595"/>
      <c r="AB17" s="2595"/>
    </row>
    <row r="18" spans="1:28" ht="13.5" customHeight="1">
      <c r="A18" s="1503"/>
      <c r="B18" s="969"/>
      <c r="C18" s="1866" t="str">
        <f>IF(NOT(L4),"",IF(N15&gt;L16,"","X"))</f>
        <v/>
      </c>
      <c r="D18" s="40" t="s">
        <v>414</v>
      </c>
      <c r="E18" s="23" t="str">
        <f>"Enter "&amp;TEXT(I16,"$0,000")</f>
        <v>Enter $1,100</v>
      </c>
      <c r="F18" s="23"/>
      <c r="G18" s="23"/>
      <c r="H18" s="23"/>
      <c r="I18" s="530"/>
      <c r="J18" s="39"/>
      <c r="K18" s="39"/>
      <c r="L18" s="39"/>
      <c r="M18" s="1037" t="str">
        <f>" .   .   .   .   .   .   .   .   .   .   .   .   .   .   2."</f>
        <v xml:space="preserve"> .   .   .   .   .   .   .   .   .   .   .   .   .   .   2.</v>
      </c>
      <c r="N18" s="1865" t="str">
        <f>IF(NOT(L4),"",IF(C17="X",SUM(I17,N15),I16))</f>
        <v/>
      </c>
      <c r="O18" s="97"/>
      <c r="P18" s="1410"/>
      <c r="Q18" s="1410"/>
      <c r="R18" s="1410"/>
      <c r="S18" s="3013"/>
      <c r="T18" s="2595"/>
      <c r="U18" s="2595"/>
      <c r="V18" s="2595"/>
      <c r="W18" s="2595"/>
      <c r="X18" s="2595"/>
      <c r="Y18" s="2595"/>
      <c r="Z18" s="2595"/>
      <c r="AA18" s="2595"/>
      <c r="AB18" s="2595"/>
    </row>
    <row r="19" spans="1:28" ht="13.5" customHeight="1">
      <c r="A19" s="1503"/>
      <c r="B19" s="969"/>
      <c r="C19" s="967"/>
      <c r="D19" s="268"/>
      <c r="E19" s="268"/>
      <c r="F19" s="268"/>
      <c r="G19" s="268"/>
      <c r="H19" s="923"/>
      <c r="I19" s="319"/>
      <c r="J19" s="319"/>
      <c r="K19" s="319"/>
      <c r="L19" s="14"/>
      <c r="M19" s="23"/>
      <c r="N19" s="14"/>
      <c r="O19" s="97"/>
      <c r="P19" s="1410"/>
      <c r="Q19" s="1410"/>
      <c r="R19" s="1410"/>
      <c r="S19" s="3013"/>
      <c r="T19" s="2595"/>
      <c r="U19" s="2595"/>
      <c r="V19" s="2595"/>
      <c r="W19" s="2595"/>
      <c r="X19" s="2595"/>
      <c r="Y19" s="2595"/>
      <c r="Z19" s="2595"/>
      <c r="AA19" s="2595"/>
      <c r="AB19" s="2595"/>
    </row>
    <row r="20" spans="1:28" ht="13.5" customHeight="1">
      <c r="A20" s="1503"/>
      <c r="B20" s="1336" t="s">
        <v>1</v>
      </c>
      <c r="C20" s="967"/>
      <c r="D20" s="23" t="s">
        <v>188</v>
      </c>
      <c r="E20" s="23"/>
      <c r="F20" s="23"/>
      <c r="G20" s="23"/>
      <c r="H20" s="23"/>
      <c r="I20" s="14"/>
      <c r="J20" s="1033"/>
      <c r="K20" s="1033"/>
      <c r="L20" s="14"/>
      <c r="M20" s="1037"/>
      <c r="N20" s="438"/>
      <c r="O20" s="97"/>
      <c r="P20" s="1410"/>
      <c r="Q20" s="1410"/>
      <c r="R20" s="1410"/>
      <c r="S20" s="3013"/>
      <c r="T20" s="2595"/>
      <c r="U20" s="2595"/>
      <c r="V20" s="2595"/>
      <c r="W20" s="2595"/>
      <c r="X20" s="2595"/>
      <c r="Y20" s="2595"/>
      <c r="Z20" s="2595"/>
      <c r="AA20" s="2595"/>
      <c r="AB20" s="2595"/>
    </row>
    <row r="21" spans="1:28" ht="13.5" customHeight="1">
      <c r="A21" s="1503"/>
      <c r="B21" s="968"/>
      <c r="C21" s="23"/>
      <c r="D21" s="922" t="str">
        <f>"•  Single or married filing separately -- "&amp;TEXT(SD_Single,"$0,000")</f>
        <v>•  Single or married filing separately -- $12,550</v>
      </c>
      <c r="E21" s="23"/>
      <c r="F21" s="23"/>
      <c r="G21" s="23"/>
      <c r="H21" s="941"/>
      <c r="I21" s="941"/>
      <c r="J21" s="941"/>
      <c r="K21" s="941"/>
      <c r="L21" s="14"/>
      <c r="M21" s="438"/>
      <c r="N21" s="23"/>
      <c r="O21" s="97"/>
      <c r="P21" s="1410"/>
      <c r="Q21" s="1410"/>
      <c r="R21" s="1410"/>
      <c r="S21" s="3013"/>
      <c r="T21" s="2595"/>
      <c r="U21" s="2595"/>
      <c r="V21" s="2595"/>
      <c r="W21" s="2595"/>
      <c r="X21" s="2595"/>
      <c r="Y21" s="2595"/>
      <c r="Z21" s="2595"/>
      <c r="AA21" s="2595"/>
      <c r="AB21" s="2595"/>
    </row>
    <row r="22" spans="1:28" ht="13.5" customHeight="1">
      <c r="A22" s="2087"/>
      <c r="B22" s="968"/>
      <c r="C22" s="23"/>
      <c r="D22" s="23" t="str">
        <f>"•  Married filing jointly or qualifying widow(er) -- "&amp;TEXT(SD_MFJW,"$0,000")</f>
        <v>•  Married filing jointly or qualifying widow(er) -- $25,100</v>
      </c>
      <c r="E22" s="23"/>
      <c r="F22" s="23"/>
      <c r="G22" s="23"/>
      <c r="H22" s="23"/>
      <c r="I22" s="23"/>
      <c r="J22" s="23"/>
      <c r="K22" s="23"/>
      <c r="L22" s="438"/>
      <c r="M22" s="1037" t="str">
        <f>" .   .   .   .   .   .   .   .   .   .   .   .   .   .   3."</f>
        <v xml:space="preserve"> .   .   .   .   .   .   .   .   .   .   .   .   .   .   3.</v>
      </c>
      <c r="N22" s="1865" t="str">
        <f>IF(NOT(L4),"",IF(OR(File_Single&lt;&gt;"",File_Marr_Sep&lt;&gt;""),SD_Single,IF(OR(File_Marr_Joint&lt;&gt;"",File_Qual_Widow&lt;&gt;""),SD_MFJW,IF(File_Head&lt;&gt;"",SD_Head,""))))</f>
        <v/>
      </c>
      <c r="O22" s="97"/>
      <c r="P22" s="1410"/>
      <c r="Q22" s="1410"/>
      <c r="R22" s="1410"/>
      <c r="S22" s="3013"/>
      <c r="T22" s="2595"/>
      <c r="U22" s="2595"/>
      <c r="V22" s="2595"/>
      <c r="W22" s="2595"/>
      <c r="X22" s="2595"/>
      <c r="Y22" s="2595"/>
      <c r="Z22" s="2595"/>
      <c r="AA22" s="2595"/>
      <c r="AB22" s="2595"/>
    </row>
    <row r="23" spans="1:28" ht="13.5" customHeight="1">
      <c r="A23" s="2087"/>
      <c r="B23" s="968"/>
      <c r="C23" s="23"/>
      <c r="D23" s="23" t="str">
        <f>"•  Head of household -- "&amp;TEXT(SD_Head,"$0,000")</f>
        <v>•  Head of household -- $18,800</v>
      </c>
      <c r="E23" s="23"/>
      <c r="F23" s="23"/>
      <c r="G23" s="23"/>
      <c r="H23" s="23"/>
      <c r="I23" s="23"/>
      <c r="J23" s="23"/>
      <c r="K23" s="23"/>
      <c r="L23" s="438"/>
      <c r="M23" s="438"/>
      <c r="N23" s="23"/>
      <c r="O23" s="97"/>
      <c r="P23" s="1410"/>
      <c r="Q23" s="1410"/>
      <c r="R23" s="1410"/>
      <c r="S23" s="3013"/>
      <c r="T23" s="2595"/>
      <c r="U23" s="2595"/>
      <c r="V23" s="2595"/>
      <c r="W23" s="2595"/>
      <c r="X23" s="2595"/>
      <c r="Y23" s="2595"/>
      <c r="Z23" s="2595"/>
      <c r="AA23" s="2595"/>
      <c r="AB23" s="2595"/>
    </row>
    <row r="24" spans="1:28" ht="13.5" customHeight="1">
      <c r="A24" s="2087"/>
      <c r="B24" s="968"/>
      <c r="C24" s="23"/>
      <c r="D24" s="23"/>
      <c r="E24" s="23"/>
      <c r="F24" s="23"/>
      <c r="G24" s="23"/>
      <c r="H24" s="23"/>
      <c r="I24" s="23"/>
      <c r="J24" s="23"/>
      <c r="K24" s="23"/>
      <c r="L24" s="438"/>
      <c r="M24" s="438"/>
      <c r="N24" s="23"/>
      <c r="O24" s="97"/>
      <c r="P24" s="1410"/>
      <c r="Q24" s="1410"/>
      <c r="R24" s="1410"/>
      <c r="S24" s="3013"/>
      <c r="T24" s="2595"/>
      <c r="U24" s="2595"/>
      <c r="V24" s="2595"/>
      <c r="W24" s="2595"/>
      <c r="X24" s="2595"/>
      <c r="Y24" s="2595"/>
      <c r="Z24" s="2595"/>
      <c r="AA24" s="2595"/>
      <c r="AB24" s="2595"/>
    </row>
    <row r="25" spans="1:28" ht="13.5" customHeight="1">
      <c r="A25" s="2087"/>
      <c r="B25" s="1336" t="s">
        <v>399</v>
      </c>
      <c r="C25" s="967"/>
      <c r="D25" s="38" t="s">
        <v>589</v>
      </c>
      <c r="E25" s="23"/>
      <c r="F25" s="23"/>
      <c r="G25" s="23"/>
      <c r="H25" s="23"/>
      <c r="I25" s="23"/>
      <c r="J25" s="23"/>
      <c r="K25" s="23"/>
      <c r="L25" s="438"/>
      <c r="M25" s="438"/>
      <c r="N25" s="926"/>
      <c r="O25" s="97"/>
      <c r="P25" s="1410"/>
      <c r="Q25" s="1410"/>
      <c r="R25" s="1410"/>
      <c r="S25" s="3013"/>
      <c r="T25" s="2595"/>
      <c r="U25" s="2595"/>
      <c r="V25" s="2595"/>
      <c r="W25" s="2595"/>
      <c r="X25" s="2595"/>
      <c r="Y25" s="2595"/>
      <c r="Z25" s="2595"/>
      <c r="AA25" s="2595"/>
      <c r="AB25" s="2595"/>
    </row>
    <row r="26" spans="1:28" ht="13.5" customHeight="1">
      <c r="A26" s="2087"/>
      <c r="B26" s="969"/>
      <c r="C26" s="2499" t="s">
        <v>591</v>
      </c>
      <c r="D26" s="70" t="s">
        <v>3375</v>
      </c>
      <c r="E26" s="23"/>
      <c r="F26" s="23"/>
      <c r="G26" s="23"/>
      <c r="H26" s="49"/>
      <c r="I26" s="1036" t="str">
        <f>TaxYear-64&amp;" and not blind,"</f>
        <v>1957 and not blind,</v>
      </c>
      <c r="J26" s="1036"/>
      <c r="K26" s="1036" t="s">
        <v>2571</v>
      </c>
      <c r="L26" s="1036"/>
      <c r="M26" s="438"/>
      <c r="N26" s="926"/>
      <c r="O26" s="97"/>
      <c r="P26" s="1410"/>
      <c r="Q26" s="1410"/>
      <c r="R26" s="1410"/>
      <c r="S26" s="3013"/>
      <c r="T26" s="2595"/>
      <c r="U26" s="2595"/>
      <c r="V26" s="2595"/>
      <c r="W26" s="2595"/>
      <c r="X26" s="2595"/>
      <c r="Y26" s="2595"/>
      <c r="Z26" s="2595"/>
      <c r="AA26" s="2595"/>
      <c r="AB26" s="2595"/>
    </row>
    <row r="27" spans="1:28" ht="13.5" customHeight="1">
      <c r="A27" s="2087"/>
      <c r="B27" s="969"/>
      <c r="C27" s="967"/>
      <c r="D27" s="70" t="s">
        <v>3969</v>
      </c>
      <c r="E27" s="23"/>
      <c r="F27" s="23"/>
      <c r="G27" s="23"/>
      <c r="H27" s="23"/>
      <c r="I27" s="23"/>
      <c r="J27" s="23"/>
      <c r="K27" s="23"/>
      <c r="L27" s="2714" t="s">
        <v>2401</v>
      </c>
      <c r="M27" s="2714" t="s">
        <v>3141</v>
      </c>
      <c r="N27" s="1865" t="str">
        <f>IF(NOT(L4),"",MIN(N18,N22))</f>
        <v/>
      </c>
      <c r="O27" s="97"/>
      <c r="P27" s="1410"/>
      <c r="Q27" s="1410"/>
      <c r="R27" s="1410"/>
      <c r="S27" s="3013"/>
      <c r="T27" s="2595"/>
      <c r="U27" s="2595"/>
      <c r="V27" s="2595"/>
      <c r="W27" s="2595"/>
      <c r="X27" s="2595"/>
      <c r="Y27" s="2595"/>
      <c r="Z27" s="2595"/>
      <c r="AA27" s="2595"/>
      <c r="AB27" s="2595"/>
    </row>
    <row r="28" spans="1:28" ht="13.5" customHeight="1">
      <c r="A28" s="1503"/>
      <c r="B28" s="969"/>
      <c r="C28" s="2499" t="s">
        <v>592</v>
      </c>
      <c r="D28" s="70" t="str">
        <f>"If born before January 2, "&amp;TaxYear-64&amp;", or blind, multiply the number on line 1 by "&amp;TEXT(N28,"$0,000")</f>
        <v>If born before January 2, 1957, or blind, multiply the number on line 1 by $1,350</v>
      </c>
      <c r="E28" s="23"/>
      <c r="F28" s="23"/>
      <c r="G28" s="23"/>
      <c r="H28" s="23"/>
      <c r="I28" s="23"/>
      <c r="J28" s="23"/>
      <c r="K28" s="23"/>
      <c r="L28" s="438"/>
      <c r="M28" s="438"/>
      <c r="N28" s="2115">
        <f>SD_Inc_Married</f>
        <v>1350</v>
      </c>
      <c r="O28" s="97"/>
      <c r="P28" s="1410"/>
      <c r="Q28" s="1410"/>
      <c r="R28" s="1410"/>
      <c r="S28" s="3013"/>
      <c r="T28" s="2595"/>
      <c r="U28" s="2595"/>
      <c r="V28" s="2595"/>
      <c r="W28" s="2595"/>
      <c r="X28" s="2595"/>
      <c r="Y28" s="2595"/>
      <c r="Z28" s="2595"/>
      <c r="AA28" s="2595"/>
      <c r="AB28" s="2595"/>
    </row>
    <row r="29" spans="1:28" ht="13.5" customHeight="1">
      <c r="A29" s="1179"/>
      <c r="B29" s="969"/>
      <c r="C29" s="967"/>
      <c r="D29" s="70" t="str">
        <f>"("&amp;TEXT(N16,"$0,000")&amp;" if single or head of household)"</f>
        <v>($1,700 if single or head of household)</v>
      </c>
      <c r="E29" s="23"/>
      <c r="F29" s="23"/>
      <c r="G29" s="23"/>
      <c r="H29" s="23"/>
      <c r="I29" s="23"/>
      <c r="J29" s="23"/>
      <c r="K29" s="23"/>
      <c r="L29" s="438"/>
      <c r="M29" s="2714" t="s">
        <v>3142</v>
      </c>
      <c r="N29" s="1865" t="str">
        <f>IF(OR(NOT(L4),AND(you_over_64="",sp_over_64="",you_blind="",sp_blind="")),"",IF(OR(File_Single&lt;&gt;"",File_Head&lt;&gt;""),N10*N16,N10*N28))</f>
        <v/>
      </c>
      <c r="O29" s="97"/>
      <c r="P29" s="1410"/>
      <c r="Q29" s="1410"/>
      <c r="R29" s="1410"/>
      <c r="S29" s="3013"/>
      <c r="T29" s="2595"/>
      <c r="U29" s="2595"/>
      <c r="V29" s="2595"/>
      <c r="W29" s="2595"/>
      <c r="X29" s="2595"/>
      <c r="Y29" s="2595"/>
      <c r="Z29" s="2595"/>
      <c r="AA29" s="2595"/>
      <c r="AB29" s="2595"/>
    </row>
    <row r="30" spans="1:28" ht="13.5" customHeight="1">
      <c r="A30" s="1179"/>
      <c r="B30" s="969"/>
      <c r="C30" s="2725" t="s">
        <v>590</v>
      </c>
      <c r="D30" s="70" t="s">
        <v>5142</v>
      </c>
      <c r="E30" s="23"/>
      <c r="F30" s="23"/>
      <c r="G30" s="23"/>
      <c r="H30" s="23"/>
      <c r="I30" s="23"/>
      <c r="J30" s="23"/>
      <c r="K30" s="23"/>
      <c r="L30" s="23"/>
      <c r="M30" s="2714" t="s">
        <v>3376</v>
      </c>
      <c r="N30" s="1865" t="str">
        <f>IF(NOT(L4),"",SUM(N27,N29))</f>
        <v/>
      </c>
      <c r="O30" s="97"/>
      <c r="P30" s="1410"/>
      <c r="Q30" s="1410"/>
      <c r="R30" s="1410"/>
      <c r="S30" s="3013"/>
      <c r="T30" s="2595"/>
      <c r="U30" s="2595"/>
      <c r="V30" s="2595"/>
      <c r="W30" s="2595"/>
      <c r="X30" s="2595"/>
      <c r="Y30" s="2595"/>
      <c r="Z30" s="2595"/>
      <c r="AA30" s="2595"/>
      <c r="AB30" s="2595"/>
    </row>
    <row r="31" spans="1:28" ht="13.5" customHeight="1">
      <c r="A31" s="1179"/>
      <c r="B31" s="969"/>
      <c r="C31" s="70"/>
      <c r="D31" s="70"/>
      <c r="E31" s="23"/>
      <c r="F31" s="23"/>
      <c r="G31" s="23"/>
      <c r="H31" s="23"/>
      <c r="I31" s="23"/>
      <c r="J31" s="23"/>
      <c r="K31" s="23"/>
      <c r="L31" s="23"/>
      <c r="M31" s="39"/>
      <c r="N31" s="438"/>
      <c r="O31" s="97"/>
      <c r="P31" s="1410"/>
      <c r="Q31" s="1410"/>
      <c r="R31" s="1410"/>
      <c r="S31" s="3013"/>
      <c r="T31" s="2595"/>
      <c r="U31" s="2595"/>
      <c r="V31" s="2595"/>
      <c r="W31" s="2595"/>
      <c r="X31" s="2595"/>
      <c r="Y31" s="2595"/>
      <c r="Z31" s="2595"/>
      <c r="AA31" s="2595"/>
      <c r="AB31" s="2595"/>
    </row>
    <row r="32" spans="1:28" ht="13.5" customHeight="1">
      <c r="A32" s="1179"/>
      <c r="B32" s="1038" t="s">
        <v>1078</v>
      </c>
      <c r="C32" s="967"/>
      <c r="D32" s="23"/>
      <c r="E32" s="23"/>
      <c r="F32" s="23"/>
      <c r="G32" s="23"/>
      <c r="H32" s="23"/>
      <c r="I32" s="23"/>
      <c r="J32" s="23"/>
      <c r="K32" s="23"/>
      <c r="L32" s="23"/>
      <c r="M32" s="23"/>
      <c r="N32" s="23"/>
      <c r="O32" s="97"/>
      <c r="P32" s="1410"/>
      <c r="Q32" s="1410"/>
      <c r="R32" s="1410"/>
      <c r="S32" s="3013"/>
      <c r="T32" s="2595"/>
      <c r="U32" s="2595"/>
      <c r="V32" s="2595"/>
      <c r="W32" s="2595"/>
      <c r="X32" s="2595"/>
      <c r="Y32" s="2595"/>
      <c r="Z32" s="2595"/>
      <c r="AA32" s="2595"/>
      <c r="AB32" s="2595"/>
    </row>
    <row r="33" spans="1:28" ht="13.5" customHeight="1">
      <c r="A33" s="1179"/>
      <c r="B33" s="1039" t="s">
        <v>1079</v>
      </c>
      <c r="C33" s="967"/>
      <c r="D33" s="23"/>
      <c r="E33" s="23"/>
      <c r="F33" s="23"/>
      <c r="G33" s="23"/>
      <c r="H33" s="23"/>
      <c r="I33" s="23"/>
      <c r="J33" s="23"/>
      <c r="K33" s="23"/>
      <c r="L33" s="23"/>
      <c r="M33" s="23"/>
      <c r="N33" s="23"/>
      <c r="O33" s="97"/>
      <c r="P33" s="1410"/>
      <c r="Q33" s="1410"/>
      <c r="R33" s="1410"/>
      <c r="S33" s="3013"/>
      <c r="T33" s="2595"/>
      <c r="U33" s="2595"/>
      <c r="V33" s="2595"/>
      <c r="W33" s="2595"/>
      <c r="X33" s="2595"/>
      <c r="Y33" s="2595"/>
      <c r="Z33" s="2595"/>
      <c r="AA33" s="2595"/>
      <c r="AB33" s="2595"/>
    </row>
    <row r="34" spans="1:28" ht="16.5" customHeight="1" thickBot="1">
      <c r="A34" s="1179"/>
      <c r="B34" s="2715" t="s">
        <v>5143</v>
      </c>
      <c r="C34" s="36"/>
      <c r="D34" s="36"/>
      <c r="E34" s="36"/>
      <c r="F34" s="36"/>
      <c r="G34" s="36"/>
      <c r="H34" s="36"/>
      <c r="I34" s="36"/>
      <c r="J34" s="36"/>
      <c r="K34" s="36"/>
      <c r="L34" s="36"/>
      <c r="M34" s="36"/>
      <c r="N34" s="36"/>
      <c r="O34" s="98"/>
      <c r="P34" s="1410"/>
      <c r="Q34" s="1410"/>
      <c r="R34" s="1410"/>
      <c r="S34" s="3013"/>
      <c r="T34" s="2595"/>
      <c r="U34" s="2595"/>
      <c r="V34" s="2595"/>
      <c r="W34" s="2595"/>
      <c r="X34" s="2595"/>
      <c r="Y34" s="2595"/>
      <c r="Z34" s="2595"/>
      <c r="AA34" s="2595"/>
      <c r="AB34" s="2595"/>
    </row>
    <row r="35" spans="1:28" ht="13.5" customHeight="1">
      <c r="A35" s="1179"/>
      <c r="B35" s="1274"/>
      <c r="C35" s="1274"/>
      <c r="D35" s="1274"/>
      <c r="E35" s="1274"/>
      <c r="F35" s="1274"/>
      <c r="G35" s="1274"/>
      <c r="H35" s="1274"/>
      <c r="I35" s="1274"/>
      <c r="J35" s="1274"/>
      <c r="K35" s="1274"/>
      <c r="L35" s="1274"/>
      <c r="M35" s="1274"/>
      <c r="N35" s="1274"/>
      <c r="O35" s="1274"/>
      <c r="P35" s="1410"/>
      <c r="Q35" s="1410"/>
      <c r="R35" s="1410"/>
      <c r="S35" s="3683"/>
      <c r="T35" s="3684"/>
      <c r="U35" s="3684"/>
      <c r="V35" s="3684"/>
      <c r="W35" s="3684"/>
      <c r="X35" s="3684"/>
      <c r="Y35" s="3684"/>
      <c r="Z35" s="3684"/>
      <c r="AA35" s="3684"/>
      <c r="AB35" s="3684"/>
    </row>
    <row r="39" spans="1:28">
      <c r="H39" s="989"/>
    </row>
  </sheetData>
  <sheetProtection algorithmName="SHA-512" hashValue="uWckTTp90s9AN5jnAqFKJysKvqdhqpW+GFTiJQ86QxKQTPdNpZ1JUbninlt9jBFApqfpz+fGqMcobf5GTCN/oA==" saltValue="LukdxpZe9v9HkEBv8sRudA==" spinCount="100000" sheet="1" objects="1" scenarios="1"/>
  <conditionalFormatting sqref="C5">
    <cfRule type="expression" dxfId="2590" priority="1">
      <formula>AND(NOT(NoColor),NOT($L$4))</formula>
    </cfRule>
  </conditionalFormatting>
  <conditionalFormatting sqref="C17:C18">
    <cfRule type="expression" dxfId="2589" priority="40">
      <formula>IF(NoColor,1,0)</formula>
    </cfRule>
  </conditionalFormatting>
  <conditionalFormatting sqref="E7">
    <cfRule type="expression" dxfId="2588" priority="6">
      <formula>IF(NoColor,1,0)</formula>
    </cfRule>
  </conditionalFormatting>
  <conditionalFormatting sqref="E9">
    <cfRule type="expression" dxfId="2587" priority="4">
      <formula>IF(NoColor,1,0)</formula>
    </cfRule>
  </conditionalFormatting>
  <conditionalFormatting sqref="E11">
    <cfRule type="expression" dxfId="2586" priority="5">
      <formula>IF(NoColor,1,0)</formula>
    </cfRule>
  </conditionalFormatting>
  <conditionalFormatting sqref="E13">
    <cfRule type="expression" dxfId="2585" priority="3">
      <formula>IF(NoColor,1,0)</formula>
    </cfRule>
  </conditionalFormatting>
  <conditionalFormatting sqref="N10">
    <cfRule type="expression" dxfId="2584" priority="2">
      <formula>IF(NoColor,1,0)</formula>
    </cfRule>
  </conditionalFormatting>
  <conditionalFormatting sqref="N18">
    <cfRule type="expression" dxfId="2583" priority="39">
      <formula>IF(NoColor,1,0)</formula>
    </cfRule>
  </conditionalFormatting>
  <conditionalFormatting sqref="N22">
    <cfRule type="expression" dxfId="2582" priority="38">
      <formula>IF(NoColor,1,0)</formula>
    </cfRule>
  </conditionalFormatting>
  <conditionalFormatting sqref="N27">
    <cfRule type="expression" dxfId="2581" priority="37">
      <formula>IF(NoColor,1,0)</formula>
    </cfRule>
  </conditionalFormatting>
  <conditionalFormatting sqref="N29:N30">
    <cfRule type="expression" dxfId="2580" priority="35">
      <formula>IF(NoColor,1,0)</formula>
    </cfRule>
  </conditionalFormatting>
  <printOptions horizontalCentered="1"/>
  <pageMargins left="0.42" right="0.17" top="0.39" bottom="0.56000000000000005" header="0" footer="0"/>
  <pageSetup scale="88" fitToHeight="0"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M168"/>
  <sheetViews>
    <sheetView zoomScaleNormal="100" zoomScaleSheetLayoutView="100" workbookViewId="0"/>
  </sheetViews>
  <sheetFormatPr defaultColWidth="9.140625" defaultRowHeight="12.75"/>
  <cols>
    <col min="1" max="1" width="2.5703125" style="42" customWidth="1"/>
    <col min="2" max="2" width="1.7109375" style="42" customWidth="1"/>
    <col min="3" max="3" width="3" style="42" customWidth="1"/>
    <col min="4" max="4" width="2.28515625" style="42" customWidth="1"/>
    <col min="5" max="5" width="6" style="42" customWidth="1"/>
    <col min="6" max="6" width="9" style="42" customWidth="1"/>
    <col min="7" max="7" width="4" style="42" customWidth="1"/>
    <col min="8" max="8" width="29.5703125" style="42" customWidth="1"/>
    <col min="9" max="9" width="4" style="42" customWidth="1"/>
    <col min="10" max="10" width="15.7109375" style="42" customWidth="1"/>
    <col min="11" max="11" width="4" style="42" customWidth="1"/>
    <col min="12" max="12" width="15.7109375" style="42" customWidth="1"/>
    <col min="13" max="13" width="4" style="42" customWidth="1"/>
    <col min="14" max="14" width="15.7109375" style="42" customWidth="1"/>
    <col min="15" max="15" width="1.28515625" style="42" customWidth="1"/>
    <col min="16" max="17" width="2.28515625" style="42" customWidth="1"/>
    <col min="18" max="18" width="13.85546875" style="42" customWidth="1"/>
    <col min="19" max="19" width="3" style="42" customWidth="1"/>
    <col min="20" max="20" width="3.42578125" style="42" customWidth="1"/>
    <col min="21" max="26" width="11.85546875" style="42" hidden="1" customWidth="1"/>
    <col min="27" max="27" width="11.42578125" style="42" hidden="1" customWidth="1"/>
    <col min="28" max="28" width="3.42578125" style="42" customWidth="1"/>
    <col min="29" max="30" width="10.7109375" style="2595" customWidth="1"/>
    <col min="31" max="31" width="14.42578125" style="2595" customWidth="1"/>
    <col min="32" max="39" width="10.7109375" style="2595" customWidth="1"/>
    <col min="40" max="46" width="10.7109375" style="42" customWidth="1"/>
    <col min="47" max="16384" width="9.140625" style="42"/>
  </cols>
  <sheetData>
    <row r="1" spans="1:29" ht="19.5" customHeight="1">
      <c r="A1" s="78"/>
      <c r="B1" s="78"/>
      <c r="C1" s="78"/>
      <c r="D1" s="78"/>
      <c r="E1" s="78"/>
      <c r="F1" s="78"/>
      <c r="G1" s="78"/>
      <c r="H1" s="78"/>
      <c r="I1" s="78"/>
      <c r="J1" s="5978"/>
      <c r="K1" s="5978"/>
      <c r="L1" s="78"/>
      <c r="M1" s="78"/>
      <c r="N1" s="78"/>
      <c r="O1" s="78"/>
      <c r="P1" s="78"/>
      <c r="Q1" s="675"/>
      <c r="R1" s="675"/>
      <c r="S1" s="675"/>
      <c r="V1" s="3286"/>
      <c r="AC1" s="2594" t="s">
        <v>2033</v>
      </c>
    </row>
    <row r="2" spans="1:29" ht="13.5" customHeight="1" thickBot="1">
      <c r="A2" s="78"/>
      <c r="B2" s="78"/>
      <c r="C2" s="78"/>
      <c r="D2" s="78"/>
      <c r="E2" s="78"/>
      <c r="F2" s="4646" t="b">
        <f>AND(SchD_NotReqd,OR(AND(SchDLine18&lt;&gt;"",SchDLine18&gt;0),AND(SchDLine19&lt;&gt;"",SchDLine19&gt;0)))</f>
        <v>0</v>
      </c>
      <c r="G2" s="78"/>
      <c r="H2" s="78"/>
      <c r="I2" s="78"/>
      <c r="J2" s="5978"/>
      <c r="K2" s="5978"/>
      <c r="L2" s="4646" t="b">
        <f>Form4952_Filed</f>
        <v>0</v>
      </c>
      <c r="M2" s="78"/>
      <c r="N2" s="78"/>
      <c r="O2" s="78"/>
      <c r="P2" s="78"/>
      <c r="Q2" s="675"/>
      <c r="R2" s="675"/>
      <c r="S2" s="675"/>
      <c r="U2" s="3138"/>
      <c r="V2" s="3138"/>
      <c r="W2" s="3138"/>
      <c r="X2" s="3138"/>
      <c r="Y2" s="3138"/>
    </row>
    <row r="3" spans="1:29" ht="13.5" customHeight="1">
      <c r="A3" s="78"/>
      <c r="B3" s="78"/>
      <c r="C3" s="6796" t="str">
        <f>IF(R3,"Yes","No")</f>
        <v>No</v>
      </c>
      <c r="D3" s="6797"/>
      <c r="E3" s="6797"/>
      <c r="F3" s="1551" t="s">
        <v>191</v>
      </c>
      <c r="G3" s="1274"/>
      <c r="H3" s="1274"/>
      <c r="I3" s="1274"/>
      <c r="J3" s="5979"/>
      <c r="K3" s="5979"/>
      <c r="L3" s="1551" t="s">
        <v>4056</v>
      </c>
      <c r="M3" s="1274"/>
      <c r="N3" s="1275"/>
      <c r="O3" s="78"/>
      <c r="P3" s="78"/>
      <c r="Q3" s="675"/>
      <c r="R3" s="1912" t="b">
        <f>OR(AND(SchD_NotReqd,OR(AND(SchDLine18&lt;&gt;"",SchDLine18&gt;0),AND(SchDLine19&lt;&gt;"",SchDLine19&gt;0))),Form4952_Filed)</f>
        <v>0</v>
      </c>
      <c r="S3" s="675"/>
      <c r="U3" s="6003">
        <f>IF(CapitalGains="",0,CapitalGains)</f>
        <v>0</v>
      </c>
      <c r="V3" s="3138"/>
      <c r="W3" s="3138"/>
      <c r="X3" s="3138"/>
      <c r="Y3" s="3138"/>
      <c r="AC3" s="4650" t="s">
        <v>111</v>
      </c>
    </row>
    <row r="4" spans="1:29" ht="13.5" customHeight="1" thickBot="1">
      <c r="A4" s="78"/>
      <c r="B4" s="78"/>
      <c r="C4" s="1279"/>
      <c r="D4" s="1280"/>
      <c r="E4" s="1280"/>
      <c r="F4" s="1910" t="s">
        <v>436</v>
      </c>
      <c r="G4" s="1280"/>
      <c r="H4" s="1280"/>
      <c r="I4" s="1280"/>
      <c r="J4" s="5980"/>
      <c r="K4" s="5980"/>
      <c r="L4" s="1280"/>
      <c r="M4" s="1280"/>
      <c r="N4" s="1281"/>
      <c r="O4" s="78"/>
      <c r="P4" s="78"/>
      <c r="Q4" s="675"/>
      <c r="R4" s="1912"/>
      <c r="S4" s="675"/>
      <c r="U4" s="3138"/>
      <c r="V4" s="3138"/>
      <c r="W4" s="3138"/>
      <c r="X4" s="3138"/>
      <c r="Y4" s="3138"/>
      <c r="AC4" s="3013"/>
    </row>
    <row r="5" spans="1:29" ht="13.5" customHeight="1">
      <c r="A5" s="78"/>
      <c r="B5" s="78"/>
      <c r="C5" s="6796" t="str">
        <f>IF(FEI_Tax_Worksheet,"Yes","No")</f>
        <v>No</v>
      </c>
      <c r="D5" s="6797"/>
      <c r="E5" s="6797"/>
      <c r="F5" s="1551" t="s">
        <v>2625</v>
      </c>
      <c r="G5" s="1274"/>
      <c r="H5" s="1274"/>
      <c r="I5" s="1274"/>
      <c r="J5" s="5979"/>
      <c r="K5" s="5979"/>
      <c r="L5" s="1274"/>
      <c r="M5" s="1274"/>
      <c r="N5" s="1275"/>
      <c r="O5" s="78"/>
      <c r="P5" s="78"/>
      <c r="Q5" s="675"/>
      <c r="R5" s="1912" t="b">
        <f>AND(NOT(SchD_NotReqd),OR(AND(SchDLine18&lt;&gt;"",SchDLine18&gt;0),AND(SchDLine19&lt;&gt;"",SchDLine19&gt;0)))</f>
        <v>0</v>
      </c>
      <c r="S5" s="675"/>
      <c r="AC5" s="3013"/>
    </row>
    <row r="6" spans="1:29" ht="13.5" customHeight="1" thickBot="1">
      <c r="A6" s="78"/>
      <c r="B6" s="78"/>
      <c r="C6" s="1279"/>
      <c r="D6" s="1280"/>
      <c r="E6" s="1280"/>
      <c r="F6" s="1910"/>
      <c r="G6" s="1280"/>
      <c r="H6" s="1280"/>
      <c r="I6" s="1280"/>
      <c r="J6" s="5980"/>
      <c r="K6" s="5980"/>
      <c r="L6" s="1280"/>
      <c r="M6" s="1280"/>
      <c r="N6" s="1281"/>
      <c r="O6" s="78"/>
      <c r="P6" s="78"/>
      <c r="Q6" s="675"/>
      <c r="R6" s="1912"/>
      <c r="S6" s="675"/>
      <c r="AC6" s="3013"/>
    </row>
    <row r="7" spans="1:29" ht="13.5" customHeight="1">
      <c r="A7" s="78"/>
      <c r="B7" s="78"/>
      <c r="C7" s="6798" t="b">
        <f>OR(C15&lt;&gt;"",AND(NOT(R3),OR(R8,R9,R10)))</f>
        <v>0</v>
      </c>
      <c r="D7" s="6799"/>
      <c r="E7" s="6799"/>
      <c r="F7" s="2946" t="s">
        <v>2926</v>
      </c>
      <c r="G7" s="1179"/>
      <c r="H7" s="1179"/>
      <c r="I7" s="1179"/>
      <c r="J7" s="5981"/>
      <c r="K7" s="5981"/>
      <c r="L7" s="1179"/>
      <c r="M7" s="1179"/>
      <c r="N7" s="1244"/>
      <c r="O7" s="78"/>
      <c r="P7" s="78"/>
      <c r="Q7" s="675"/>
      <c r="R7" s="1912"/>
      <c r="S7" s="675"/>
      <c r="Z7" s="989"/>
      <c r="AA7" s="989"/>
      <c r="AC7" s="3013"/>
    </row>
    <row r="8" spans="1:29" ht="13.5" customHeight="1">
      <c r="A8" s="78"/>
      <c r="B8" s="78"/>
      <c r="C8" s="6800" t="str">
        <f>IF(R8,"Yes","No")</f>
        <v>No</v>
      </c>
      <c r="D8" s="6371"/>
      <c r="E8" s="6371"/>
      <c r="F8" s="1911" t="s">
        <v>3414</v>
      </c>
      <c r="G8" s="1179"/>
      <c r="H8" s="1179"/>
      <c r="I8" s="1179"/>
      <c r="J8" s="5981"/>
      <c r="K8" s="5981"/>
      <c r="L8" s="1179"/>
      <c r="M8" s="1179"/>
      <c r="N8" s="1244"/>
      <c r="O8" s="78"/>
      <c r="P8" s="78"/>
      <c r="Q8" s="675"/>
      <c r="R8" s="1912" t="b">
        <f>IF(Qualified_Dividends&gt;0,TRUE,FALSE)</f>
        <v>0</v>
      </c>
      <c r="S8" s="675"/>
      <c r="Z8" s="3138"/>
      <c r="AA8" s="3138"/>
      <c r="AC8" s="3013"/>
    </row>
    <row r="9" spans="1:29" ht="13.5" customHeight="1">
      <c r="A9" s="78"/>
      <c r="B9" s="78"/>
      <c r="C9" s="6800" t="str">
        <f>IF(R9,"Yes","No")</f>
        <v>No</v>
      </c>
      <c r="D9" s="6371"/>
      <c r="E9" s="6371"/>
      <c r="F9" s="1911" t="s">
        <v>4055</v>
      </c>
      <c r="G9" s="1179"/>
      <c r="H9" s="1179"/>
      <c r="I9" s="1179"/>
      <c r="J9" s="5981"/>
      <c r="K9" s="5981"/>
      <c r="L9" s="1179"/>
      <c r="M9" s="1179"/>
      <c r="N9" s="1244"/>
      <c r="O9" s="78"/>
      <c r="P9" s="78"/>
      <c r="Q9" s="675"/>
      <c r="R9" s="1912" t="b">
        <f>AND(SchD_NotReqd,CapitalGains&gt;0)</f>
        <v>0</v>
      </c>
      <c r="S9" s="675"/>
      <c r="Z9" s="3138"/>
      <c r="AA9" s="3138"/>
      <c r="AC9" s="3013"/>
    </row>
    <row r="10" spans="1:29" ht="13.5" customHeight="1">
      <c r="A10" s="78"/>
      <c r="B10" s="78"/>
      <c r="C10" s="6800" t="str">
        <f>IF(R10,"Yes","No")</f>
        <v>No</v>
      </c>
      <c r="D10" s="6371"/>
      <c r="E10" s="6371"/>
      <c r="F10" s="1911" t="s">
        <v>190</v>
      </c>
      <c r="G10" s="1179"/>
      <c r="H10" s="1179"/>
      <c r="I10" s="1179"/>
      <c r="J10" s="5981"/>
      <c r="K10" s="5981"/>
      <c r="L10" s="1179"/>
      <c r="M10" s="1179"/>
      <c r="N10" s="1244"/>
      <c r="O10" s="78"/>
      <c r="P10" s="78"/>
      <c r="Q10" s="675"/>
      <c r="R10" s="1912" t="b">
        <f>AND(NOT(SchD_NotReqd),SchDLine15&lt;&gt;"",SchDLine15&gt;0,SchDLine16&lt;&gt;"",SchDLine16&gt;0)</f>
        <v>0</v>
      </c>
      <c r="S10" s="675"/>
      <c r="Z10" s="3138"/>
      <c r="AA10" s="3138"/>
      <c r="AC10" s="3013"/>
    </row>
    <row r="11" spans="1:29" ht="13.5" customHeight="1">
      <c r="A11" s="78"/>
      <c r="B11" s="78"/>
      <c r="C11" s="1278"/>
      <c r="D11" s="1179"/>
      <c r="E11" s="1179"/>
      <c r="F11" s="1179"/>
      <c r="G11" s="1179"/>
      <c r="H11" s="1179"/>
      <c r="I11" s="1179"/>
      <c r="J11" s="5981"/>
      <c r="K11" s="5981"/>
      <c r="L11" s="1179"/>
      <c r="M11" s="1179"/>
      <c r="N11" s="1244"/>
      <c r="O11" s="78"/>
      <c r="P11" s="78"/>
      <c r="Q11" s="675"/>
      <c r="R11" s="675"/>
      <c r="S11" s="675"/>
      <c r="Z11" s="3138"/>
      <c r="AA11" s="3138"/>
      <c r="AC11" s="3013"/>
    </row>
    <row r="12" spans="1:29" ht="13.5" customHeight="1">
      <c r="A12" s="78"/>
      <c r="B12" s="78"/>
      <c r="C12" s="3981" t="s">
        <v>4057</v>
      </c>
      <c r="D12" s="1276"/>
      <c r="E12" s="1276"/>
      <c r="F12" s="1179"/>
      <c r="G12" s="1179"/>
      <c r="H12" s="1179"/>
      <c r="I12" s="1179"/>
      <c r="J12" s="5981"/>
      <c r="K12" s="5981"/>
      <c r="L12" s="1179"/>
      <c r="M12" s="1179"/>
      <c r="N12" s="1244"/>
      <c r="O12" s="78"/>
      <c r="P12" s="78"/>
      <c r="Q12" s="675"/>
      <c r="R12" s="675"/>
      <c r="S12" s="675"/>
      <c r="Z12" s="3138"/>
      <c r="AA12" s="3138"/>
      <c r="AC12" s="3013"/>
    </row>
    <row r="13" spans="1:29" ht="13.5" customHeight="1" thickBot="1">
      <c r="A13" s="78"/>
      <c r="B13" s="78"/>
      <c r="C13" s="1279"/>
      <c r="D13" s="1280"/>
      <c r="E13" s="1280"/>
      <c r="F13" s="5982" t="s">
        <v>4058</v>
      </c>
      <c r="G13" s="1280"/>
      <c r="H13" s="1280"/>
      <c r="I13" s="1280"/>
      <c r="J13" s="5980"/>
      <c r="K13" s="5980"/>
      <c r="L13" s="1280"/>
      <c r="M13" s="1280"/>
      <c r="N13" s="1281"/>
      <c r="O13" s="78"/>
      <c r="P13" s="78"/>
      <c r="Q13" s="675"/>
      <c r="R13" s="675"/>
      <c r="S13" s="675"/>
      <c r="Z13" s="3138"/>
      <c r="AA13" s="3138"/>
      <c r="AC13" s="3013"/>
    </row>
    <row r="14" spans="1:29" ht="13.5" customHeight="1" thickBot="1">
      <c r="A14" s="78"/>
      <c r="B14" s="78"/>
      <c r="C14" s="78"/>
      <c r="D14" s="78"/>
      <c r="E14" s="78"/>
      <c r="F14" s="78"/>
      <c r="G14" s="78"/>
      <c r="H14" s="78"/>
      <c r="I14" s="78"/>
      <c r="J14" s="5978"/>
      <c r="K14" s="5978"/>
      <c r="L14" s="78"/>
      <c r="M14" s="78"/>
      <c r="N14" s="78"/>
      <c r="O14" s="78"/>
      <c r="P14" s="78"/>
      <c r="Q14" s="675"/>
      <c r="R14" s="675"/>
      <c r="S14" s="675"/>
      <c r="AC14" s="3013"/>
    </row>
    <row r="15" spans="1:29" ht="13.5" customHeight="1" thickBot="1">
      <c r="A15" s="78"/>
      <c r="B15" s="78"/>
      <c r="C15" s="2132"/>
      <c r="D15" s="78"/>
      <c r="E15" s="1276" t="s">
        <v>1663</v>
      </c>
      <c r="F15" s="1179"/>
      <c r="G15" s="1179"/>
      <c r="H15" s="1179"/>
      <c r="I15" s="78"/>
      <c r="J15" s="5978"/>
      <c r="K15" s="5978"/>
      <c r="L15" s="78"/>
      <c r="M15" s="78"/>
      <c r="N15" s="78"/>
      <c r="O15" s="78"/>
      <c r="P15" s="78"/>
      <c r="Q15" s="675"/>
      <c r="R15" s="675"/>
      <c r="S15" s="675"/>
      <c r="AC15" s="3013"/>
    </row>
    <row r="16" spans="1:29" ht="13.5" customHeight="1">
      <c r="A16" s="78"/>
      <c r="B16" s="78"/>
      <c r="C16" s="78"/>
      <c r="D16" s="78"/>
      <c r="E16" s="78"/>
      <c r="F16" s="78"/>
      <c r="G16" s="78"/>
      <c r="H16" s="78"/>
      <c r="I16" s="78"/>
      <c r="J16" s="5978"/>
      <c r="K16" s="5978"/>
      <c r="L16" s="78"/>
      <c r="M16" s="78"/>
      <c r="N16" s="78"/>
      <c r="O16" s="78"/>
      <c r="P16" s="78"/>
      <c r="Q16" s="675"/>
      <c r="R16" s="675"/>
      <c r="S16" s="675"/>
      <c r="AC16" s="3013"/>
    </row>
    <row r="17" spans="1:29" ht="13.5" customHeight="1">
      <c r="A17" s="78"/>
      <c r="B17" s="1179"/>
      <c r="C17" s="1179"/>
      <c r="D17" s="1179"/>
      <c r="E17" s="1179"/>
      <c r="F17" s="1179"/>
      <c r="G17" s="1179"/>
      <c r="H17" s="1179"/>
      <c r="I17" s="1179"/>
      <c r="J17" s="5981"/>
      <c r="K17" s="5981"/>
      <c r="L17" s="1179"/>
      <c r="M17" s="1179"/>
      <c r="N17" s="1179"/>
      <c r="O17" s="1179"/>
      <c r="P17" s="78"/>
      <c r="Q17" s="675"/>
      <c r="R17" s="675"/>
      <c r="S17" s="675"/>
      <c r="AC17" s="3013"/>
    </row>
    <row r="18" spans="1:29" ht="27.75" customHeight="1" thickBot="1">
      <c r="A18" s="78"/>
      <c r="B18" s="23"/>
      <c r="C18" s="3374"/>
      <c r="D18" s="23"/>
      <c r="E18" s="23"/>
      <c r="F18" s="23"/>
      <c r="G18" s="23"/>
      <c r="H18" s="23"/>
      <c r="I18" s="23"/>
      <c r="J18" s="414"/>
      <c r="K18" s="414"/>
      <c r="L18" s="23"/>
      <c r="M18" s="23"/>
      <c r="N18" s="23"/>
      <c r="O18" s="23"/>
      <c r="P18" s="78"/>
      <c r="Q18" s="675"/>
      <c r="R18" s="675"/>
      <c r="S18" s="675"/>
      <c r="AC18" s="3013"/>
    </row>
    <row r="19" spans="1:29" ht="16.5" customHeight="1" thickBot="1">
      <c r="A19" s="78"/>
      <c r="B19" s="541" t="s">
        <v>4059</v>
      </c>
      <c r="C19" s="541"/>
      <c r="D19" s="5983"/>
      <c r="E19" s="36"/>
      <c r="F19" s="36"/>
      <c r="G19" s="36"/>
      <c r="H19" s="36"/>
      <c r="I19" s="36"/>
      <c r="J19" s="5984"/>
      <c r="K19" s="417"/>
      <c r="L19" s="358"/>
      <c r="M19" s="788" t="s">
        <v>206</v>
      </c>
      <c r="N19" s="418"/>
      <c r="O19" s="418"/>
      <c r="P19" s="786"/>
      <c r="Q19" s="675"/>
      <c r="R19" s="675"/>
      <c r="S19" s="675"/>
      <c r="U19" s="3375" t="s">
        <v>294</v>
      </c>
      <c r="V19" s="3288" t="str">
        <f>IF(NOT(Y19),"",IF('2555'!$AM$192,FEI_TW_Line3,Taxable_Inc))</f>
        <v/>
      </c>
      <c r="W19" s="3289" t="s">
        <v>5859</v>
      </c>
      <c r="X19" s="971"/>
      <c r="Y19" s="971" t="b">
        <f>CGTW</f>
        <v>0</v>
      </c>
      <c r="Z19" s="3295" t="s">
        <v>2556</v>
      </c>
      <c r="AA19" s="3290"/>
      <c r="AC19" s="3013"/>
    </row>
    <row r="20" spans="1:29" ht="19.5" customHeight="1">
      <c r="A20" s="78"/>
      <c r="B20" s="5985"/>
      <c r="C20" s="770" t="s">
        <v>119</v>
      </c>
      <c r="D20" s="5986"/>
      <c r="E20" s="31"/>
      <c r="F20" s="23"/>
      <c r="G20" s="771" t="s">
        <v>367</v>
      </c>
      <c r="H20" s="1017" t="s">
        <v>4662</v>
      </c>
      <c r="I20" s="31"/>
      <c r="J20" s="5987"/>
      <c r="K20" s="772"/>
      <c r="L20" s="31"/>
      <c r="M20" s="31"/>
      <c r="N20" s="773"/>
      <c r="O20" s="774"/>
      <c r="P20" s="786"/>
      <c r="Q20" s="675"/>
      <c r="R20" s="675"/>
      <c r="S20" s="675"/>
      <c r="U20" s="3376" t="s">
        <v>0</v>
      </c>
      <c r="V20" s="3287">
        <f>Qualified_Dividends</f>
        <v>0</v>
      </c>
      <c r="W20" s="989" t="s">
        <v>4080</v>
      </c>
      <c r="Z20" s="147"/>
      <c r="AA20" s="3364" t="s">
        <v>2557</v>
      </c>
      <c r="AC20" s="3013"/>
    </row>
    <row r="21" spans="1:29" ht="14.25" customHeight="1">
      <c r="A21" s="78"/>
      <c r="B21" s="5988"/>
      <c r="C21" s="539"/>
      <c r="D21" s="24"/>
      <c r="E21" s="23"/>
      <c r="F21" s="23"/>
      <c r="G21" s="771" t="s">
        <v>367</v>
      </c>
      <c r="H21" s="1123" t="s">
        <v>4039</v>
      </c>
      <c r="I21" s="23"/>
      <c r="J21" s="414"/>
      <c r="K21" s="775"/>
      <c r="L21" s="23"/>
      <c r="M21" s="23"/>
      <c r="N21" s="87"/>
      <c r="O21" s="776"/>
      <c r="P21" s="786"/>
      <c r="Q21" s="675"/>
      <c r="R21" s="675"/>
      <c r="S21" s="675"/>
      <c r="U21" s="3376" t="s">
        <v>1</v>
      </c>
      <c r="V21" s="3287" t="str">
        <f>IF(NOT(FilingScheduleD),CapitalGains,IF(OR(SchDLine15="",SchDLine15&lt;=0,SchDLine16="",SchDLine16&lt;=0),0,MIN(SchDLine15,SchDLine16)))</f>
        <v/>
      </c>
      <c r="W21" s="989" t="s">
        <v>4081</v>
      </c>
      <c r="AA21" s="3291"/>
      <c r="AC21" s="3013"/>
    </row>
    <row r="22" spans="1:29" ht="15.75" customHeight="1">
      <c r="A22" s="78"/>
      <c r="B22" s="5988"/>
      <c r="C22" s="2498"/>
      <c r="D22" s="24"/>
      <c r="E22" s="23"/>
      <c r="F22" s="23"/>
      <c r="G22" s="771" t="s">
        <v>367</v>
      </c>
      <c r="H22" s="23" t="s">
        <v>392</v>
      </c>
      <c r="I22" s="23"/>
      <c r="J22" s="414"/>
      <c r="K22" s="775"/>
      <c r="L22" s="23"/>
      <c r="M22" s="23"/>
      <c r="N22" s="777"/>
      <c r="O22" s="776"/>
      <c r="P22" s="786"/>
      <c r="Q22" s="675"/>
      <c r="R22" s="675"/>
      <c r="S22" s="675"/>
      <c r="U22" s="3376" t="s">
        <v>399</v>
      </c>
      <c r="V22" s="3286">
        <f>SUM(V20,V21)</f>
        <v>0</v>
      </c>
      <c r="W22" s="989" t="s">
        <v>2484</v>
      </c>
      <c r="AA22" s="3291"/>
      <c r="AC22" s="3013"/>
    </row>
    <row r="23" spans="1:29" ht="13.5" customHeight="1" thickBot="1">
      <c r="A23" s="78"/>
      <c r="B23" s="5989"/>
      <c r="C23" s="541"/>
      <c r="D23" s="5983"/>
      <c r="E23" s="36"/>
      <c r="F23" s="36"/>
      <c r="G23" s="1913"/>
      <c r="H23" s="1545" t="s">
        <v>4060</v>
      </c>
      <c r="I23" s="36"/>
      <c r="J23" s="5990"/>
      <c r="K23" s="417"/>
      <c r="L23" s="5991"/>
      <c r="M23" s="36"/>
      <c r="N23" s="1914"/>
      <c r="O23" s="1915"/>
      <c r="P23" s="786"/>
      <c r="Q23" s="675"/>
      <c r="R23" s="675"/>
      <c r="S23" s="675"/>
      <c r="U23" s="3377" t="s">
        <v>31</v>
      </c>
      <c r="V23" s="3286">
        <f>MAX(0,SUM(V19,-V22))</f>
        <v>0</v>
      </c>
      <c r="W23" s="3363" t="s">
        <v>5864</v>
      </c>
      <c r="X23" s="270" t="s">
        <v>69</v>
      </c>
      <c r="Y23" s="270" t="s">
        <v>2552</v>
      </c>
      <c r="Z23" s="270" t="s">
        <v>458</v>
      </c>
      <c r="AA23" s="5595" t="s">
        <v>2000</v>
      </c>
      <c r="AC23" s="3013"/>
    </row>
    <row r="24" spans="1:29" ht="15.75" customHeight="1" thickTop="1" thickBot="1">
      <c r="A24" s="78"/>
      <c r="B24" s="5992"/>
      <c r="C24" s="414" t="s">
        <v>294</v>
      </c>
      <c r="D24" s="414"/>
      <c r="E24" s="56" t="s">
        <v>4061</v>
      </c>
      <c r="F24" s="56"/>
      <c r="G24" s="280"/>
      <c r="H24" s="56"/>
      <c r="I24" s="56"/>
      <c r="J24" s="414"/>
      <c r="K24" s="309"/>
      <c r="L24" s="309"/>
      <c r="M24" s="309"/>
      <c r="N24" s="309"/>
      <c r="O24" s="942"/>
      <c r="P24" s="786"/>
      <c r="Q24" s="675"/>
      <c r="R24" s="1587" t="s">
        <v>90</v>
      </c>
      <c r="S24" s="675"/>
      <c r="U24" s="3377" t="s">
        <v>67</v>
      </c>
      <c r="V24" s="3286" t="str">
        <f>IF(OR(File_Single&lt;&gt;"",File_Marr_Sep&lt;&gt;""),CGTW_Line6_SMFS,IF(OR(File_Marr_Joint&lt;&gt;"",File_Qual_Widow&lt;&gt;""),CGTW_Line6_MFJQW,IF(File_Head&lt;&gt;"",CGTW_Line6_HOH,"")))</f>
        <v/>
      </c>
      <c r="W24" s="5084" t="str">
        <f>V19</f>
        <v/>
      </c>
      <c r="X24" s="5083" t="e">
        <f>LOOKUP(W24,'Tax Table'!$B$2:$B$2063,'Tax Table'!$D$2:$D$2063)</f>
        <v>#N/A</v>
      </c>
      <c r="Y24" s="3346" t="e">
        <f>LOOKUP(W24,'Tax Table'!$B$2:$B$2063,'Tax Table'!$E$2:$E$2063)</f>
        <v>#N/A</v>
      </c>
      <c r="Z24" s="3346" t="e">
        <f>LOOKUP(W24,'Tax Table'!$B$2:$B$2063,'Tax Table'!$F$2:$F$2063)</f>
        <v>#N/A</v>
      </c>
      <c r="AA24" s="3347" t="e">
        <f>LOOKUP(W24,'Tax Table'!$B$2:$B$2063,'Tax Table'!$G$2:$G$2063)</f>
        <v>#N/A</v>
      </c>
      <c r="AC24" s="3013"/>
    </row>
    <row r="25" spans="1:29" ht="16.5" customHeight="1" thickTop="1" thickBot="1">
      <c r="A25" s="78"/>
      <c r="B25" s="5988"/>
      <c r="C25" s="414"/>
      <c r="D25" s="414"/>
      <c r="E25" s="56" t="s">
        <v>3407</v>
      </c>
      <c r="F25" s="56"/>
      <c r="G25" s="280"/>
      <c r="H25" s="56"/>
      <c r="I25" s="56"/>
      <c r="J25" s="414"/>
      <c r="K25" s="309"/>
      <c r="L25" s="309"/>
      <c r="M25" s="309"/>
      <c r="N25" s="309"/>
      <c r="O25" s="942"/>
      <c r="P25" s="786"/>
      <c r="Q25" s="675"/>
      <c r="R25" s="1587" t="s">
        <v>411</v>
      </c>
      <c r="S25" s="675"/>
      <c r="U25" s="3377" t="s">
        <v>68</v>
      </c>
      <c r="V25" s="3286">
        <f>MIN(V19,V24)</f>
        <v>0</v>
      </c>
      <c r="W25" s="3341"/>
      <c r="X25" s="3348" t="e">
        <f>IF(W24&lt;SectA_a3,"---",IF(W24&lt;=SectA_a4,ROUND((W24*(SectA_b4/100)-SectA_d4),0),IF(W24&lt;=SectA_a5,ROUND((W24*(SectA_b5/100)-SectA_d5),0),IF(W24&lt;=SectA_a6,ROUND((W24*(SectA_b6/100)-SectA_d6),0),ROUND((W24*(SectA_b7/100)-SectA_d7),0)))))</f>
        <v>#VALUE!</v>
      </c>
      <c r="Y25" s="3348" t="e">
        <f>IF(W24&lt;SectB_a2,"---",IF(W24&lt;=SectB_a3,ROUND((W24*(SectB_b3/100)-SectB_d3),0),IF(W24&lt;=SectB_a4,ROUND((W24*(SectB_b4/100)-SectB_d4),0),IF(W24&lt;=SectB_a5,ROUND((W24*(SectB_b5/100)-SectB_d5),0),IF(W24&lt;=SectB_a6,ROUND((W24*(SectB_b6/100)-SectB_d6),0),ROUND((W24*(SectB_b7/100)-SectB_d7),0))))))</f>
        <v>#VALUE!</v>
      </c>
      <c r="Z25" s="3348" t="e">
        <f>IF(W24&lt;SectC_a2,"---",IF(W24&lt;=SectC_a3,ROUND((W24*(SectC_b3/100)-SectC_d3),0),IF(W24&lt;=SectC_a4,ROUND((W24*(SectC_b4/100)-SectC_d4),0),IF(W24&lt;=SectC_a5,ROUND((W24*(SectC_b5/100)-SectC_d5),0),ROUND((W24*(SectC_b6/100)-SectC_d6),0)))))</f>
        <v>#VALUE!</v>
      </c>
      <c r="AA25" s="3349" t="e">
        <f>IF(W24&lt;SectD_a2,"---",IF(W24&lt;=SectD_a3,ROUND((W24*(SectD_b3/100)-SectD_d3),0),IF(W24&lt;=SectD_a4,ROUND((W24*(SectD_b4/100)-SectD_d4),0),IF(W24&lt;=SectD_a5,ROUND((W24*(SectD_b5/100)-SectD_d5),0),IF(W24&lt;=SectD_a6,ROUND((W24*(SectD_b6/100)-SectD_d6),0),ROUND((W24*(SectD_b7/100)-SectD_d7),0))))))</f>
        <v>#VALUE!</v>
      </c>
      <c r="AC25" s="3013"/>
    </row>
    <row r="26" spans="1:29" ht="13.5" customHeight="1" thickBot="1">
      <c r="A26" s="78"/>
      <c r="B26" s="5988"/>
      <c r="C26" s="414"/>
      <c r="D26" s="414"/>
      <c r="E26" s="56" t="s">
        <v>652</v>
      </c>
      <c r="F26" s="56"/>
      <c r="G26" s="280"/>
      <c r="H26" s="56"/>
      <c r="I26" s="56"/>
      <c r="J26" s="414" t="s">
        <v>653</v>
      </c>
      <c r="K26" s="414" t="str">
        <f>C24</f>
        <v>1.</v>
      </c>
      <c r="L26" s="1371" t="str">
        <f>IF(R26&lt;&gt;"",R26,IF(FEI_Tax_Worksheet,FEI_TW_Line3,IF(NOT(CGTW),"",Taxable_Inc)))</f>
        <v/>
      </c>
      <c r="M26" s="56"/>
      <c r="N26" s="56"/>
      <c r="O26" s="778"/>
      <c r="P26" s="786"/>
      <c r="Q26" s="675"/>
      <c r="R26" s="1178"/>
      <c r="S26" s="675"/>
      <c r="U26" s="3377" t="s">
        <v>204</v>
      </c>
      <c r="V26" s="3286">
        <f>MIN(V23,V25)</f>
        <v>0</v>
      </c>
      <c r="W26" s="3342" t="str">
        <f>IF(File_Single&lt;&gt;"",X24,IF(File_Marr_Joint&lt;&gt;"",Y24,IF(File_Marr_Sep&lt;&gt;"", Z24,IF(File_Head&lt;&gt;"",AA24,IF(File_Qual_Widow&lt;&gt;"",Y24,"Filing status?")))))</f>
        <v>Filing status?</v>
      </c>
      <c r="X26" s="2087" t="str">
        <f>"&lt;100k"</f>
        <v>&lt;100k</v>
      </c>
      <c r="Y26" s="2087"/>
      <c r="Z26" s="2087"/>
      <c r="AA26" s="3345"/>
      <c r="AC26" s="3013"/>
    </row>
    <row r="27" spans="1:29" ht="13.5" customHeight="1" thickBot="1">
      <c r="A27" s="78"/>
      <c r="B27" s="5988"/>
      <c r="C27" s="414" t="s">
        <v>0</v>
      </c>
      <c r="D27" s="414"/>
      <c r="E27" s="56" t="s">
        <v>3404</v>
      </c>
      <c r="F27" s="56"/>
      <c r="G27" s="280"/>
      <c r="H27" s="414"/>
      <c r="I27" s="414" t="s">
        <v>0</v>
      </c>
      <c r="J27" s="1371" t="str">
        <f>IF(NOT(CGTW),"",'1040'!$N$39)</f>
        <v/>
      </c>
      <c r="K27" s="414"/>
      <c r="L27" s="414"/>
      <c r="M27" s="56"/>
      <c r="N27" s="56"/>
      <c r="O27" s="778"/>
      <c r="P27" s="786"/>
      <c r="Q27" s="675"/>
      <c r="R27" s="675"/>
      <c r="S27" s="675"/>
      <c r="U27" s="3377" t="s">
        <v>205</v>
      </c>
      <c r="V27" s="3286">
        <f>SUM(V25,-V26)</f>
        <v>0</v>
      </c>
      <c r="W27" s="3343" t="str">
        <f>IF(File_Single&lt;&gt;"",X25,IF(OR(File_Marr_Joint&lt;&gt;"",File_Qual_Widow&lt;&gt;""),Y25,IF(File_Marr_Sep&lt;&gt;"", Z25,IF(File_Head&lt;&gt;"",AA25,"Filing status?"))))</f>
        <v>Filing status?</v>
      </c>
      <c r="X27" s="3344" t="str">
        <f>"&gt;=100k"</f>
        <v>&gt;=100k</v>
      </c>
      <c r="Y27" s="3344"/>
      <c r="Z27" s="3350" t="s">
        <v>2553</v>
      </c>
      <c r="AA27" s="3351" t="str">
        <f>IF(W24&gt;100000,W27,W26)</f>
        <v>Filing status?</v>
      </c>
      <c r="AC27" s="3013"/>
    </row>
    <row r="28" spans="1:29" ht="13.5" customHeight="1" thickTop="1" thickBot="1">
      <c r="A28" s="78"/>
      <c r="B28" s="5988"/>
      <c r="C28" s="414" t="s">
        <v>1</v>
      </c>
      <c r="D28" s="414"/>
      <c r="E28" s="56" t="s">
        <v>360</v>
      </c>
      <c r="F28" s="56"/>
      <c r="G28" s="280"/>
      <c r="H28" s="414"/>
      <c r="I28" s="414"/>
      <c r="J28" s="3297" t="b">
        <f>AND(NOT(SchD_NotReqd),OR(AND(SchDLine15&lt;&gt;"",SchDLine15&lt;&gt;0),AND(SchDLine16&lt;&gt;"",SchDLine16&lt;&gt;0)))</f>
        <v>0</v>
      </c>
      <c r="K28" s="414"/>
      <c r="L28" s="414"/>
      <c r="M28" s="414"/>
      <c r="N28" s="56"/>
      <c r="O28" s="778"/>
      <c r="P28" s="78"/>
      <c r="Q28" s="675"/>
      <c r="R28" s="675"/>
      <c r="S28" s="675"/>
      <c r="U28" s="3377" t="s">
        <v>295</v>
      </c>
      <c r="V28" s="3286">
        <f>MIN(V19,V22)</f>
        <v>0</v>
      </c>
      <c r="AA28" s="3441" t="s">
        <v>2627</v>
      </c>
      <c r="AC28" s="3013"/>
    </row>
    <row r="29" spans="1:29" ht="13.5" customHeight="1" thickBot="1">
      <c r="A29" s="78"/>
      <c r="B29" s="5988"/>
      <c r="C29" s="414"/>
      <c r="D29" s="1372" t="str">
        <f>IF(NOT(CGTW),"",IF(J28,"X",""))</f>
        <v/>
      </c>
      <c r="E29" s="278" t="s">
        <v>158</v>
      </c>
      <c r="F29" s="56" t="s">
        <v>11</v>
      </c>
      <c r="G29" s="280"/>
      <c r="H29" s="414"/>
      <c r="I29" s="414"/>
      <c r="J29" s="414"/>
      <c r="K29" s="414"/>
      <c r="L29" s="414"/>
      <c r="M29" s="414"/>
      <c r="N29" s="56"/>
      <c r="O29" s="778"/>
      <c r="P29" s="78"/>
      <c r="Q29" s="675"/>
      <c r="R29" s="675"/>
      <c r="S29" s="675"/>
      <c r="U29" s="3377" t="s">
        <v>296</v>
      </c>
      <c r="V29" s="3286">
        <f>V27</f>
        <v>0</v>
      </c>
      <c r="AA29" s="3291"/>
      <c r="AC29" s="3013"/>
    </row>
    <row r="30" spans="1:29" ht="13.5" customHeight="1">
      <c r="A30" s="78"/>
      <c r="B30" s="5988"/>
      <c r="C30" s="414"/>
      <c r="D30" s="485"/>
      <c r="E30" s="56"/>
      <c r="F30" s="56" t="s">
        <v>828</v>
      </c>
      <c r="G30" s="278"/>
      <c r="H30" s="414"/>
      <c r="I30" s="414"/>
      <c r="J30" s="414"/>
      <c r="K30" s="414"/>
      <c r="L30" s="414"/>
      <c r="M30" s="414"/>
      <c r="N30" s="56"/>
      <c r="O30" s="778"/>
      <c r="P30" s="78"/>
      <c r="Q30" s="675"/>
      <c r="R30" s="675"/>
      <c r="S30" s="675"/>
      <c r="U30" s="3377" t="s">
        <v>297</v>
      </c>
      <c r="V30" s="3286">
        <f>SUM(V28,-V29)</f>
        <v>0</v>
      </c>
      <c r="AA30" s="3291"/>
      <c r="AC30" s="3013"/>
    </row>
    <row r="31" spans="1:29" ht="13.5" customHeight="1" thickBot="1">
      <c r="A31" s="78"/>
      <c r="B31" s="5988"/>
      <c r="C31" s="414"/>
      <c r="D31" s="485"/>
      <c r="E31" s="56"/>
      <c r="F31" s="56" t="s">
        <v>829</v>
      </c>
      <c r="G31" s="278"/>
      <c r="H31" s="414"/>
      <c r="I31" s="414" t="s">
        <v>1</v>
      </c>
      <c r="J31" s="1390" t="str">
        <f>IF(NOT(CGTW),"",IF(NOT(FilingScheduleD),U3,IF(OR(SchDLine15="",SchDLine15&lt;=0,SchDLine16="",SchDLine16&lt;=0),0,MIN(SchDLine15,SchDLine16))))</f>
        <v/>
      </c>
      <c r="K31" s="414"/>
      <c r="L31" s="414"/>
      <c r="M31" s="414"/>
      <c r="N31" s="56"/>
      <c r="O31" s="778"/>
      <c r="P31" s="78"/>
      <c r="Q31" s="675"/>
      <c r="R31" s="675"/>
      <c r="S31" s="675"/>
      <c r="U31" s="3377" t="s">
        <v>431</v>
      </c>
      <c r="V31" s="3286" t="str">
        <f>IF(File_Single&lt;&gt;"",CGTW_Line13_Single,IF(File_Marr_Sep&lt;&gt;"",CGTW_Line13_MFS,IF(OR(File_Marr_Joint&lt;&gt;"",File_Qual_Widow&lt;&gt;""),CGTW_Line13_MFJQW,IF(File_Head&lt;&gt;"",CGTW_Line13_HOH,""))))</f>
        <v/>
      </c>
      <c r="W31" s="3363" t="s">
        <v>5865</v>
      </c>
      <c r="X31" s="270" t="s">
        <v>69</v>
      </c>
      <c r="Y31" s="270" t="s">
        <v>2552</v>
      </c>
      <c r="Z31" s="270" t="s">
        <v>458</v>
      </c>
      <c r="AA31" s="5595" t="s">
        <v>2000</v>
      </c>
      <c r="AC31" s="3013"/>
    </row>
    <row r="32" spans="1:29" ht="13.5" customHeight="1" thickTop="1" thickBot="1">
      <c r="A32" s="78"/>
      <c r="B32" s="5988"/>
      <c r="C32" s="414"/>
      <c r="D32" s="1372" t="str">
        <f>IF(NOT(CGTW),"",IF(J28,"","X"))</f>
        <v/>
      </c>
      <c r="E32" s="278" t="s">
        <v>179</v>
      </c>
      <c r="F32" s="56" t="s">
        <v>3408</v>
      </c>
      <c r="G32" s="278"/>
      <c r="H32" s="414"/>
      <c r="I32" s="414"/>
      <c r="J32" s="787"/>
      <c r="K32" s="414"/>
      <c r="L32" s="414"/>
      <c r="M32" s="414"/>
      <c r="N32" s="779"/>
      <c r="O32" s="778"/>
      <c r="P32" s="78"/>
      <c r="Q32" s="675"/>
      <c r="R32" s="675"/>
      <c r="S32" s="675"/>
      <c r="U32" s="3377" t="s">
        <v>432</v>
      </c>
      <c r="V32" s="3286">
        <f>MIN(V19,V31)</f>
        <v>0</v>
      </c>
      <c r="W32" s="5084">
        <f>V23</f>
        <v>0</v>
      </c>
      <c r="X32" s="5083">
        <f>LOOKUP(W32,'Tax Table'!$B$2:$B$2063,'Tax Table'!$D$2:$D$2063)</f>
        <v>0</v>
      </c>
      <c r="Y32" s="3346">
        <f>LOOKUP(W32,'Tax Table'!$B$2:$B$2063,'Tax Table'!$E$2:$E$2063)</f>
        <v>0</v>
      </c>
      <c r="Z32" s="3346">
        <f>LOOKUP(W32,'Tax Table'!$B$2:$B$2063,'Tax Table'!$F$2:$F$2063)</f>
        <v>0</v>
      </c>
      <c r="AA32" s="3347">
        <f>LOOKUP(W32,'Tax Table'!$B$2:$B$2063,'Tax Table'!$G$2:$G$2063)</f>
        <v>0</v>
      </c>
      <c r="AC32" s="3013"/>
    </row>
    <row r="33" spans="1:29" ht="13.5" customHeight="1" thickBot="1">
      <c r="A33" s="78"/>
      <c r="B33" s="5988"/>
      <c r="C33" s="414"/>
      <c r="D33" s="278"/>
      <c r="E33" s="278"/>
      <c r="F33" s="56" t="s">
        <v>4062</v>
      </c>
      <c r="G33" s="278"/>
      <c r="H33" s="414"/>
      <c r="I33" s="414"/>
      <c r="J33" s="779"/>
      <c r="K33" s="414"/>
      <c r="L33" s="414"/>
      <c r="M33" s="414"/>
      <c r="N33" s="779"/>
      <c r="O33" s="778"/>
      <c r="P33" s="78"/>
      <c r="Q33" s="675"/>
      <c r="R33" s="675"/>
      <c r="S33" s="675"/>
      <c r="U33" s="3377" t="s">
        <v>433</v>
      </c>
      <c r="V33" s="3286">
        <f>SUM(V23,V27)</f>
        <v>0</v>
      </c>
      <c r="W33" s="3341"/>
      <c r="X33" s="3348" t="str">
        <f>IF(W32&lt;SectA_a3,"---",IF(W32&lt;=SectA_a4,ROUND((W32*(SectA_b4/100)-SectA_d4),0),IF(W32&lt;=SectA_a5,ROUND((W32*(SectA_b5/100)-SectA_d5),0),IF(W32&lt;=SectA_a6,ROUND((W32*(SectA_b6/100)-SectA_d6),0),ROUND((W32*(SectA_b7/100)-SectA_d7),0)))))</f>
        <v>---</v>
      </c>
      <c r="Y33" s="3348" t="str">
        <f>IF(W32&lt;SectB_a2,"---",IF(W32&lt;=SectB_a3,ROUND((W32*(SectB_b3/100)-SectB_d3),0),IF(W32&lt;=SectB_a4,ROUND((W32*(SectB_b4/100)-SectB_d4),0),IF(W32&lt;=SectB_a5,ROUND((W32*(SectB_b5/100)-SectB_d5),0),IF(W32&lt;=SectB_a6,ROUND((W32*(SectB_b6/100)-SectB_d6),0),ROUND((W32*(SectB_b7/100)-SectB_d7),0))))))</f>
        <v>---</v>
      </c>
      <c r="Z33" s="3348" t="str">
        <f>IF(W32&lt;SectC_a2,"---",IF(W32&lt;=SectC_a3,ROUND((W32*(SectC_b3/100)-SectC_d3),0),IF(W32&lt;=SectC_a4,ROUND((W32*(SectC_b4/100)-SectC_d4),0),IF(W32&lt;=SectC_a5,ROUND((W32*(SectC_b5/100)-SectC_d5),0),ROUND((W32*(SectC_b6/100)-SectC_d6),0)))))</f>
        <v>---</v>
      </c>
      <c r="AA33" s="3349" t="str">
        <f>IF(W32&lt;SectD_a2,"---",IF(W32&lt;=SectD_a3,ROUND((W32*(SectD_b3/100)-SectD_d3),0),IF(W32&lt;=SectD_a4,ROUND((W32*(SectD_b4/100)-SectD_d4),0),IF(W32&lt;=SectD_a5,ROUND((W32*(SectD_b5/100)-SectD_d5),0),IF(W32&lt;=SectD_a6,ROUND((W32*(SectD_b6/100)-SectD_d6),0),ROUND((W32*(SectD_b7/100)-SectD_d7),0))))))</f>
        <v>---</v>
      </c>
      <c r="AC33" s="3013"/>
    </row>
    <row r="34" spans="1:29" ht="13.5" customHeight="1" thickBot="1">
      <c r="A34" s="78"/>
      <c r="B34" s="5988"/>
      <c r="C34" s="414" t="s">
        <v>399</v>
      </c>
      <c r="D34" s="278"/>
      <c r="E34" s="56" t="s">
        <v>115</v>
      </c>
      <c r="F34" s="56"/>
      <c r="G34" s="56"/>
      <c r="H34" s="414" t="s">
        <v>581</v>
      </c>
      <c r="I34" s="414" t="s">
        <v>399</v>
      </c>
      <c r="J34" s="1371" t="str">
        <f>IF(NOT(CGTW),"",SUM(J27,J31))</f>
        <v/>
      </c>
      <c r="K34" s="414"/>
      <c r="L34" s="414"/>
      <c r="M34" s="414"/>
      <c r="N34" s="779"/>
      <c r="O34" s="778"/>
      <c r="P34" s="78"/>
      <c r="Q34" s="675"/>
      <c r="R34" s="675"/>
      <c r="S34" s="675"/>
      <c r="U34" s="3377" t="s">
        <v>189</v>
      </c>
      <c r="V34" s="3286">
        <f>MAX(0,SUM(V32,-V33))</f>
        <v>0</v>
      </c>
      <c r="W34" s="3342" t="str">
        <f>IF(File_Single&lt;&gt;"",X32,IF(File_Marr_Joint&lt;&gt;"",Y32,IF(File_Marr_Sep&lt;&gt;"", Z32,IF(File_Head&lt;&gt;"",AA32,IF(File_Qual_Widow&lt;&gt;"",Y32,"Filing status?")))))</f>
        <v>Filing status?</v>
      </c>
      <c r="X34" s="2087" t="str">
        <f>"&lt;100k"</f>
        <v>&lt;100k</v>
      </c>
      <c r="Y34" s="2087"/>
      <c r="Z34" s="2087"/>
      <c r="AA34" s="3345"/>
      <c r="AC34" s="3013"/>
    </row>
    <row r="35" spans="1:29" ht="12.75" customHeight="1" thickBot="1">
      <c r="A35" s="78"/>
      <c r="B35" s="5988"/>
      <c r="C35" s="414" t="s">
        <v>31</v>
      </c>
      <c r="D35" s="278"/>
      <c r="E35" s="56" t="s">
        <v>4063</v>
      </c>
      <c r="F35" s="56"/>
      <c r="G35" s="56"/>
      <c r="H35" s="56"/>
      <c r="I35" s="56"/>
      <c r="J35" s="414" t="s">
        <v>580</v>
      </c>
      <c r="K35" s="414" t="str">
        <f>C35</f>
        <v>5.</v>
      </c>
      <c r="L35" s="1371" t="str">
        <f>IF(NOT(CGTW),"",MAX(0,SUM(CGTW_Line1,-J34)))</f>
        <v/>
      </c>
      <c r="M35" s="56"/>
      <c r="N35" s="407"/>
      <c r="O35" s="778"/>
      <c r="P35" s="786"/>
      <c r="Q35" s="675"/>
      <c r="R35" s="675"/>
      <c r="S35" s="675"/>
      <c r="U35" s="3377" t="s">
        <v>479</v>
      </c>
      <c r="V35" s="3286">
        <f>MIN(V30,V34)</f>
        <v>0</v>
      </c>
      <c r="W35" s="3343" t="str">
        <f>IF(File_Single&lt;&gt;"",X33,IF(OR(File_Marr_Joint&lt;&gt;"",File_Qual_Widow&lt;&gt;""),Y33,IF(File_Marr_Sep&lt;&gt;"", Z33,IF(File_Head&lt;&gt;"",AA33,"Filing status?"))))</f>
        <v>Filing status?</v>
      </c>
      <c r="X35" s="3344" t="str">
        <f>"&gt;=100k"</f>
        <v>&gt;=100k</v>
      </c>
      <c r="Y35" s="3344"/>
      <c r="Z35" s="3350" t="s">
        <v>2553</v>
      </c>
      <c r="AA35" s="3351" t="str">
        <f>IF(W32&gt;100000,W35,W34)</f>
        <v>Filing status?</v>
      </c>
      <c r="AC35" s="3013"/>
    </row>
    <row r="36" spans="1:29" ht="13.5" thickTop="1">
      <c r="A36" s="78"/>
      <c r="B36" s="5988"/>
      <c r="C36" s="414" t="s">
        <v>67</v>
      </c>
      <c r="D36" s="56"/>
      <c r="E36" s="56" t="s">
        <v>576</v>
      </c>
      <c r="F36" s="56"/>
      <c r="G36" s="30"/>
      <c r="H36" s="30"/>
      <c r="I36" s="30"/>
      <c r="J36" s="30"/>
      <c r="K36" s="414"/>
      <c r="L36" s="779"/>
      <c r="M36" s="30"/>
      <c r="N36" s="780"/>
      <c r="O36" s="778"/>
      <c r="P36" s="786"/>
      <c r="Q36" s="675"/>
      <c r="R36" s="675"/>
      <c r="S36" s="675"/>
      <c r="U36" s="3378" t="s">
        <v>480</v>
      </c>
      <c r="V36" s="3286">
        <f>ROUND((V35*CGTW_Line18_PCT),0)</f>
        <v>0</v>
      </c>
      <c r="AA36" s="3441" t="s">
        <v>2628</v>
      </c>
      <c r="AC36" s="3013"/>
    </row>
    <row r="37" spans="1:29">
      <c r="A37" s="78"/>
      <c r="B37" s="5988"/>
      <c r="C37" s="414"/>
      <c r="D37" s="781"/>
      <c r="E37" s="56" t="str">
        <f>TEXT(N37,"$0,000")&amp;" if single or married filing separately,"</f>
        <v>$40,400 if single or married filing separately,</v>
      </c>
      <c r="F37" s="56"/>
      <c r="G37" s="56"/>
      <c r="H37" s="30"/>
      <c r="I37" s="30"/>
      <c r="J37" s="414"/>
      <c r="K37" s="30"/>
      <c r="L37" s="30"/>
      <c r="M37" s="30"/>
      <c r="N37" s="486">
        <v>40400</v>
      </c>
      <c r="O37" s="782"/>
      <c r="P37" s="786"/>
      <c r="Q37" s="675"/>
      <c r="R37" s="675"/>
      <c r="S37" s="675"/>
      <c r="U37" s="3377" t="s">
        <v>481</v>
      </c>
      <c r="V37" s="3286">
        <f>SUM(V27,V35)</f>
        <v>0</v>
      </c>
      <c r="AA37" s="3291"/>
      <c r="AC37" s="3013"/>
    </row>
    <row r="38" spans="1:29">
      <c r="A38" s="78"/>
      <c r="B38" s="5988"/>
      <c r="C38" s="414"/>
      <c r="D38" s="781"/>
      <c r="E38" s="56" t="str">
        <f>TEXT(N38,"$0,000")&amp;" if married filing jointly or qualifying widow(er),"</f>
        <v>$80,800 if married filing jointly or qualifying widow(er),</v>
      </c>
      <c r="F38" s="56"/>
      <c r="G38" s="56"/>
      <c r="H38" s="30"/>
      <c r="I38" s="30"/>
      <c r="J38" s="414" t="s">
        <v>579</v>
      </c>
      <c r="K38" s="4647" t="s">
        <v>67</v>
      </c>
      <c r="L38" s="1371" t="str">
        <f>IF(NOT(CGTW),"",N40)</f>
        <v/>
      </c>
      <c r="M38" s="30"/>
      <c r="N38" s="486">
        <v>80800</v>
      </c>
      <c r="O38" s="782"/>
      <c r="P38" s="786"/>
      <c r="Q38" s="675"/>
      <c r="R38" s="675"/>
      <c r="S38" s="675"/>
      <c r="U38" s="3377" t="s">
        <v>345</v>
      </c>
      <c r="V38" s="3286">
        <f>SUM(V28,-V37)</f>
        <v>0</v>
      </c>
      <c r="AA38" s="3291"/>
      <c r="AC38" s="3013"/>
    </row>
    <row r="39" spans="1:29" ht="12" customHeight="1">
      <c r="A39" s="78"/>
      <c r="B39" s="5988"/>
      <c r="C39" s="414"/>
      <c r="D39" s="781"/>
      <c r="E39" s="56" t="str">
        <f>TEXT(N39,"$0,000")&amp;" if head of household."</f>
        <v>$54,100 if head of household.</v>
      </c>
      <c r="F39" s="56"/>
      <c r="G39" s="56"/>
      <c r="H39" s="30"/>
      <c r="I39" s="30"/>
      <c r="J39" s="5993"/>
      <c r="K39" s="30"/>
      <c r="L39" s="30"/>
      <c r="M39" s="30"/>
      <c r="N39" s="486">
        <v>54100</v>
      </c>
      <c r="O39" s="783"/>
      <c r="P39" s="786"/>
      <c r="Q39" s="675"/>
      <c r="R39" s="675"/>
      <c r="S39" s="675"/>
      <c r="U39" s="3378" t="s">
        <v>346</v>
      </c>
      <c r="V39" s="3286">
        <f>ROUND(V38*CGTW_Line21_PCT,0)</f>
        <v>0</v>
      </c>
      <c r="AA39" s="3291"/>
      <c r="AC39" s="3013"/>
    </row>
    <row r="40" spans="1:29" ht="13.5" customHeight="1">
      <c r="A40" s="78"/>
      <c r="B40" s="784"/>
      <c r="C40" s="414" t="s">
        <v>68</v>
      </c>
      <c r="D40" s="781"/>
      <c r="E40" s="56" t="s">
        <v>654</v>
      </c>
      <c r="F40" s="56"/>
      <c r="G40" s="56"/>
      <c r="H40" s="56"/>
      <c r="I40" s="56"/>
      <c r="J40" s="414" t="s">
        <v>578</v>
      </c>
      <c r="K40" s="414" t="str">
        <f t="shared" ref="K40:K45" si="0">C40</f>
        <v>7.</v>
      </c>
      <c r="L40" s="1371">
        <f>MIN(CGTW_Line1,L38)</f>
        <v>0</v>
      </c>
      <c r="M40" s="56"/>
      <c r="N40" s="486" t="str">
        <f>IF(OR(File_Single&lt;&gt;"",File_Marr_Sep&lt;&gt;""),N37,IF(OR(File_Marr_Joint&lt;&gt;"",File_Qual_Widow&lt;&gt;""),N38,IF(File_Head&lt;&gt;"",N39,"")))</f>
        <v/>
      </c>
      <c r="O40" s="778"/>
      <c r="P40" s="786"/>
      <c r="Q40" s="675"/>
      <c r="R40" s="675"/>
      <c r="S40" s="675"/>
      <c r="U40" s="3378" t="s">
        <v>347</v>
      </c>
      <c r="V40" s="3286" t="str">
        <f>AA35</f>
        <v>Filing status?</v>
      </c>
      <c r="W40" s="989" t="s">
        <v>4079</v>
      </c>
      <c r="AA40" s="3291"/>
      <c r="AC40" s="3013"/>
    </row>
    <row r="41" spans="1:29" ht="12" customHeight="1">
      <c r="A41" s="78"/>
      <c r="B41" s="5988"/>
      <c r="C41" s="414" t="s">
        <v>204</v>
      </c>
      <c r="D41" s="485"/>
      <c r="E41" s="56" t="s">
        <v>4065</v>
      </c>
      <c r="F41" s="56"/>
      <c r="G41" s="278"/>
      <c r="H41" s="56"/>
      <c r="I41" s="56"/>
      <c r="J41" s="414" t="s">
        <v>577</v>
      </c>
      <c r="K41" s="414" t="str">
        <f t="shared" si="0"/>
        <v>8.</v>
      </c>
      <c r="L41" s="1371">
        <f>MIN(CGTW_Line5,L40)</f>
        <v>0</v>
      </c>
      <c r="M41" s="56"/>
      <c r="N41" s="56"/>
      <c r="O41" s="778"/>
      <c r="P41" s="786"/>
      <c r="Q41" s="675"/>
      <c r="R41" s="675"/>
      <c r="S41" s="675"/>
      <c r="U41" s="3378" t="s">
        <v>348</v>
      </c>
      <c r="V41" s="3286">
        <f>SUM(V36,V39,V40)</f>
        <v>0</v>
      </c>
      <c r="AA41" s="3291"/>
      <c r="AC41" s="3013"/>
    </row>
    <row r="42" spans="1:29" ht="12" customHeight="1">
      <c r="A42" s="78"/>
      <c r="B42" s="5988"/>
      <c r="C42" s="414" t="s">
        <v>205</v>
      </c>
      <c r="D42" s="414"/>
      <c r="E42" s="56" t="s">
        <v>4064</v>
      </c>
      <c r="F42" s="56"/>
      <c r="G42" s="487"/>
      <c r="H42" s="30"/>
      <c r="I42" s="30"/>
      <c r="J42" s="414" t="s">
        <v>755</v>
      </c>
      <c r="K42" s="414" t="str">
        <f t="shared" si="0"/>
        <v>9.</v>
      </c>
      <c r="L42" s="1371">
        <f>SUM(L40,-L41)</f>
        <v>0</v>
      </c>
      <c r="M42" s="30"/>
      <c r="N42" s="30"/>
      <c r="O42" s="778"/>
      <c r="P42" s="786"/>
      <c r="Q42" s="675"/>
      <c r="R42" s="675"/>
      <c r="S42" s="675"/>
      <c r="U42" s="3378" t="s">
        <v>349</v>
      </c>
      <c r="V42" s="3286" t="str">
        <f>AA27</f>
        <v>Filing status?</v>
      </c>
      <c r="W42" s="989" t="s">
        <v>2483</v>
      </c>
      <c r="AA42" s="3291"/>
      <c r="AC42" s="3013"/>
    </row>
    <row r="43" spans="1:29" ht="12.75" customHeight="1" thickBot="1">
      <c r="A43" s="78"/>
      <c r="B43" s="784"/>
      <c r="C43" s="414" t="s">
        <v>295</v>
      </c>
      <c r="D43" s="56"/>
      <c r="E43" s="56" t="s">
        <v>4066</v>
      </c>
      <c r="F43" s="56"/>
      <c r="G43" s="56"/>
      <c r="H43" s="56"/>
      <c r="I43" s="56"/>
      <c r="J43" s="414" t="s">
        <v>754</v>
      </c>
      <c r="K43" s="414" t="str">
        <f t="shared" si="0"/>
        <v>10.</v>
      </c>
      <c r="L43" s="1371">
        <f>MIN(CGTW_Line1,J34)</f>
        <v>0</v>
      </c>
      <c r="M43" s="414"/>
      <c r="N43" s="278"/>
      <c r="O43" s="778"/>
      <c r="P43" s="786"/>
      <c r="Q43" s="675"/>
      <c r="R43" s="675"/>
      <c r="S43" s="675"/>
      <c r="U43" s="3379" t="s">
        <v>350</v>
      </c>
      <c r="V43" s="3292" t="str">
        <f>IF(NOT(Y19),"",MIN(V41,V42))</f>
        <v/>
      </c>
      <c r="W43" s="3296" t="s">
        <v>2485</v>
      </c>
      <c r="X43" s="3293"/>
      <c r="Y43" s="3293"/>
      <c r="Z43" s="3293"/>
      <c r="AA43" s="3294"/>
      <c r="AC43" s="3013"/>
    </row>
    <row r="44" spans="1:29" ht="13.5" customHeight="1">
      <c r="A44" s="78"/>
      <c r="B44" s="5988"/>
      <c r="C44" s="414" t="s">
        <v>296</v>
      </c>
      <c r="D44" s="56"/>
      <c r="E44" s="56" t="s">
        <v>4067</v>
      </c>
      <c r="F44" s="56"/>
      <c r="G44" s="56"/>
      <c r="H44" s="56"/>
      <c r="I44" s="56"/>
      <c r="J44" s="281" t="s">
        <v>578</v>
      </c>
      <c r="K44" s="414" t="str">
        <f t="shared" si="0"/>
        <v>11.</v>
      </c>
      <c r="L44" s="1371">
        <f>L42</f>
        <v>0</v>
      </c>
      <c r="M44" s="56"/>
      <c r="N44" s="780"/>
      <c r="O44" s="778"/>
      <c r="P44" s="786"/>
      <c r="Q44" s="675"/>
      <c r="R44" s="675"/>
      <c r="S44" s="675"/>
      <c r="V44" s="3286"/>
      <c r="AC44" s="3013"/>
    </row>
    <row r="45" spans="1:29" ht="13.5" customHeight="1">
      <c r="A45" s="78"/>
      <c r="B45" s="5988"/>
      <c r="C45" s="414" t="s">
        <v>297</v>
      </c>
      <c r="D45" s="485"/>
      <c r="E45" s="56" t="s">
        <v>4068</v>
      </c>
      <c r="F45" s="56"/>
      <c r="G45" s="278"/>
      <c r="H45" s="56"/>
      <c r="I45" s="56"/>
      <c r="J45" s="281" t="s">
        <v>753</v>
      </c>
      <c r="K45" s="414" t="str">
        <f t="shared" si="0"/>
        <v>12.</v>
      </c>
      <c r="L45" s="1371">
        <f>SUM(L43,-L44)</f>
        <v>0</v>
      </c>
      <c r="M45" s="414"/>
      <c r="N45" s="779"/>
      <c r="O45" s="5994"/>
      <c r="P45" s="786"/>
      <c r="Q45" s="675"/>
      <c r="R45" s="675"/>
      <c r="S45" s="675"/>
      <c r="V45" s="3286"/>
      <c r="AC45" s="3013"/>
    </row>
    <row r="46" spans="1:29" ht="13.5" customHeight="1">
      <c r="A46" s="78"/>
      <c r="B46" s="5988"/>
      <c r="C46" s="414" t="s">
        <v>431</v>
      </c>
      <c r="D46" s="56"/>
      <c r="E46" s="56" t="s">
        <v>576</v>
      </c>
      <c r="F46" s="56"/>
      <c r="G46" s="30"/>
      <c r="H46" s="30"/>
      <c r="I46" s="30"/>
      <c r="J46" s="30"/>
      <c r="K46" s="414"/>
      <c r="L46" s="779"/>
      <c r="M46" s="30"/>
      <c r="N46" s="780"/>
      <c r="O46" s="778"/>
      <c r="P46" s="786"/>
      <c r="Q46" s="675"/>
      <c r="R46" s="675"/>
      <c r="S46" s="675"/>
      <c r="AC46" s="3013"/>
    </row>
    <row r="47" spans="1:29">
      <c r="A47" s="78"/>
      <c r="B47" s="5988"/>
      <c r="C47" s="414"/>
      <c r="D47" s="781"/>
      <c r="E47" s="56" t="str">
        <f>TEXT(N47,"$0,000")&amp;" if single,"</f>
        <v>$445,850 if single,</v>
      </c>
      <c r="F47" s="56"/>
      <c r="G47" s="56"/>
      <c r="H47" s="30"/>
      <c r="I47" s="30"/>
      <c r="J47" s="414"/>
      <c r="K47" s="30"/>
      <c r="L47" s="30"/>
      <c r="M47" s="30"/>
      <c r="N47" s="486">
        <v>445850</v>
      </c>
      <c r="O47" s="782"/>
      <c r="P47" s="786"/>
      <c r="Q47" s="675"/>
      <c r="R47" s="675"/>
      <c r="S47" s="675"/>
      <c r="AC47" s="3013"/>
    </row>
    <row r="48" spans="1:29">
      <c r="A48" s="78"/>
      <c r="B48" s="5988"/>
      <c r="C48" s="414"/>
      <c r="D48" s="781"/>
      <c r="E48" s="56" t="str">
        <f>TEXT(N48,"$0,000")&amp;" if married filing separately,"</f>
        <v>$250,800 if married filing separately,</v>
      </c>
      <c r="F48" s="56"/>
      <c r="G48" s="56"/>
      <c r="H48" s="30"/>
      <c r="I48" s="30"/>
      <c r="J48" s="414"/>
      <c r="K48" s="30"/>
      <c r="L48" s="30"/>
      <c r="M48" s="30"/>
      <c r="N48" s="486">
        <v>250800</v>
      </c>
      <c r="O48" s="782"/>
      <c r="P48" s="786"/>
      <c r="Q48" s="675"/>
      <c r="R48" s="675"/>
      <c r="S48" s="675"/>
      <c r="AC48" s="3013"/>
    </row>
    <row r="49" spans="1:29">
      <c r="A49" s="78"/>
      <c r="B49" s="5988"/>
      <c r="C49" s="414"/>
      <c r="D49" s="781"/>
      <c r="E49" s="56" t="str">
        <f>TEXT(N49,"$0,000")&amp;" if married filing jointly or qualifying widow(er),"</f>
        <v>$501,600 if married filing jointly or qualifying widow(er),</v>
      </c>
      <c r="F49" s="56"/>
      <c r="G49" s="56"/>
      <c r="H49" s="30"/>
      <c r="I49" s="30"/>
      <c r="J49" s="414" t="s">
        <v>579</v>
      </c>
      <c r="K49" s="4647" t="s">
        <v>431</v>
      </c>
      <c r="L49" s="1371" t="str">
        <f>IF(NOT(CGTW),"",N51)</f>
        <v/>
      </c>
      <c r="M49" s="30"/>
      <c r="N49" s="486">
        <v>501600</v>
      </c>
      <c r="O49" s="782"/>
      <c r="P49" s="786"/>
      <c r="Q49" s="675"/>
      <c r="R49" s="675"/>
      <c r="S49" s="675"/>
      <c r="AC49" s="3013"/>
    </row>
    <row r="50" spans="1:29" ht="12" customHeight="1">
      <c r="A50" s="78"/>
      <c r="B50" s="5988"/>
      <c r="C50" s="414"/>
      <c r="D50" s="781"/>
      <c r="E50" s="56" t="str">
        <f>TEXT(N50,"$0,000")&amp;" if head of household."</f>
        <v>$473,750 if head of household.</v>
      </c>
      <c r="F50" s="56"/>
      <c r="G50" s="56"/>
      <c r="H50" s="30"/>
      <c r="I50" s="30"/>
      <c r="J50" s="5993"/>
      <c r="K50" s="30"/>
      <c r="L50" s="30"/>
      <c r="M50" s="30"/>
      <c r="N50" s="486">
        <v>473750</v>
      </c>
      <c r="O50" s="783"/>
      <c r="P50" s="786"/>
      <c r="Q50" s="675"/>
      <c r="R50" s="675"/>
      <c r="S50" s="675"/>
      <c r="AC50" s="3013"/>
    </row>
    <row r="51" spans="1:29" ht="13.5" customHeight="1" thickBot="1">
      <c r="A51" s="78"/>
      <c r="B51" s="784"/>
      <c r="C51" s="4647" t="s">
        <v>432</v>
      </c>
      <c r="D51" s="56"/>
      <c r="E51" s="56" t="s">
        <v>4069</v>
      </c>
      <c r="F51" s="56"/>
      <c r="G51" s="56"/>
      <c r="H51" s="56"/>
      <c r="I51" s="56"/>
      <c r="J51" s="414" t="s">
        <v>754</v>
      </c>
      <c r="K51" s="414" t="str">
        <f>C51</f>
        <v>14.</v>
      </c>
      <c r="L51" s="1371">
        <f>MIN(CGTW_Line1,L49)</f>
        <v>0</v>
      </c>
      <c r="M51" s="414"/>
      <c r="N51" s="486" t="str">
        <f>IF(File_Single&lt;&gt;"",CGTW_Line13_Single,IF(File_Marr_Sep&lt;&gt;"",CGTW_Line13_MFS,IF(OR(File_Marr_Joint&lt;&gt;"",File_Qual_Widow&lt;&gt;""),CGTW_Line13_MFJQW,IF(File_Head&lt;&gt;"",CGTW_Line13_HOH,""))))</f>
        <v/>
      </c>
      <c r="O51" s="778"/>
      <c r="P51" s="786"/>
      <c r="Q51" s="675"/>
      <c r="R51" s="675"/>
      <c r="S51" s="675"/>
      <c r="U51" s="989" t="s">
        <v>4076</v>
      </c>
      <c r="V51" s="270" t="s">
        <v>69</v>
      </c>
      <c r="W51" s="270" t="s">
        <v>2552</v>
      </c>
      <c r="X51" s="270" t="s">
        <v>458</v>
      </c>
      <c r="Y51" s="270" t="s">
        <v>2000</v>
      </c>
      <c r="AC51" s="3013"/>
    </row>
    <row r="52" spans="1:29" ht="13.5" customHeight="1" thickTop="1" thickBot="1">
      <c r="A52" s="78"/>
      <c r="B52" s="5988"/>
      <c r="C52" s="4647" t="s">
        <v>433</v>
      </c>
      <c r="D52" s="485"/>
      <c r="E52" s="56" t="s">
        <v>4077</v>
      </c>
      <c r="F52" s="56"/>
      <c r="G52" s="278"/>
      <c r="H52" s="56"/>
      <c r="I52" s="56"/>
      <c r="J52" s="414" t="s">
        <v>577</v>
      </c>
      <c r="K52" s="414" t="str">
        <f>C52</f>
        <v>15.</v>
      </c>
      <c r="L52" s="1371">
        <f>SUM(CGTW_Line5,L42)</f>
        <v>0</v>
      </c>
      <c r="M52" s="56"/>
      <c r="N52" s="56"/>
      <c r="O52" s="778"/>
      <c r="P52" s="786"/>
      <c r="Q52" s="675"/>
      <c r="R52" s="675"/>
      <c r="S52" s="675"/>
      <c r="U52" s="5084" t="str">
        <f>CGTW_Line5</f>
        <v/>
      </c>
      <c r="V52" s="5083" t="e">
        <f>LOOKUP(U52,'Tax Table'!$B$2:$B$2063,'Tax Table'!$D$2:$D$2063)</f>
        <v>#N/A</v>
      </c>
      <c r="W52" s="3346" t="e">
        <f>LOOKUP(U52,'Tax Table'!$B$2:$B$2063,'Tax Table'!$E$2:$E$2063)</f>
        <v>#N/A</v>
      </c>
      <c r="X52" s="3346" t="e">
        <f>LOOKUP(U52,'Tax Table'!$B$2:$B$2063,'Tax Table'!$F$2:$F$2063)</f>
        <v>#N/A</v>
      </c>
      <c r="Y52" s="3347" t="e">
        <f>LOOKUP(U52,'Tax Table'!$B$2:$B$2063,'Tax Table'!$G$2:$G$2063)</f>
        <v>#N/A</v>
      </c>
      <c r="AC52" s="3013"/>
    </row>
    <row r="53" spans="1:29" ht="12" customHeight="1" thickTop="1" thickBot="1">
      <c r="A53" s="78"/>
      <c r="B53" s="5988"/>
      <c r="C53" s="4647" t="s">
        <v>189</v>
      </c>
      <c r="D53" s="278"/>
      <c r="E53" s="56" t="s">
        <v>4071</v>
      </c>
      <c r="F53" s="56"/>
      <c r="G53" s="56"/>
      <c r="H53" s="56"/>
      <c r="I53" s="56"/>
      <c r="J53" s="414" t="s">
        <v>580</v>
      </c>
      <c r="K53" s="414" t="str">
        <f>C53</f>
        <v>16.</v>
      </c>
      <c r="L53" s="1371" t="str">
        <f>IF(NOT(CGTW),"",IF(SUM(L51,-L52)&lt;=0,0,SUM(L51,-L52)))</f>
        <v/>
      </c>
      <c r="M53" s="56"/>
      <c r="N53" s="407"/>
      <c r="O53" s="778"/>
      <c r="P53" s="786"/>
      <c r="Q53" s="675"/>
      <c r="R53" s="675"/>
      <c r="S53" s="675"/>
      <c r="U53" s="3341"/>
      <c r="V53" s="3348" t="e">
        <f>IF(U52&lt;SectA_a3,"---",IF(U52&lt;=SectA_a4,ROUND((U52*(SectA_b4/100)-SectA_d4),0),IF(U52&lt;=SectA_a5,ROUND((U52*(SectA_b5/100)-SectA_d5),0),IF(U52&lt;=SectA_a6,ROUND((U52*(SectA_b6/100)-SectA_d6),0),ROUND((U52*(SectA_b7/100)-SectA_d7),0)))))</f>
        <v>#VALUE!</v>
      </c>
      <c r="W53" s="3348" t="e">
        <f>IF(U52&lt;SectB_a2,"---",IF(U52&lt;=SectB_a3,ROUND((U52*(SectB_b3/100)-SectB_d3),0),IF(U52&lt;=SectB_a4,ROUND((U52*(SectB_b4/100)-SectB_d4),0),IF(U52&lt;=SectB_a5,ROUND((U52*(SectB_b5/100)-SectB_d5),0),IF(U52&lt;=SectB_a6,ROUND((U52*(SectB_b6/100)-SectB_d6),0),ROUND((U52*(SectB_b7/100)-SectB_d7),0))))))</f>
        <v>#VALUE!</v>
      </c>
      <c r="X53" s="3348" t="e">
        <f>IF(U52&lt;SectC_a2,"---",IF(U52&lt;=SectC_a3,ROUND((U52*(SectC_b3/100)-SectC_d3),0),IF(U52&lt;=SectC_a4,ROUND((U52*(SectC_b4/100)-SectC_d4),0),IF(U52&lt;=SectC_a5,ROUND((U52*(SectC_b5/100)-SectC_d5),0),ROUND((U52*(SectC_b6/100)-SectC_d6),0)))))</f>
        <v>#VALUE!</v>
      </c>
      <c r="Y53" s="3349" t="e">
        <f>IF(U52&lt;SectD_a2,"---",IF(U52&lt;=SectD_a3,ROUND((U52*(SectD_b3/100)-SectD_d3),0),IF(U52&lt;=SectD_a4,ROUND((U52*(SectD_b4/100)-SectD_d4),0),IF(U52&lt;=SectD_a5,ROUND((U52*(SectD_b5/100)-SectD_d5),0),IF(U52&lt;=SectD_a6,ROUND((U52*(SectD_b6/100)-SectD_d6),0),ROUND((U52*(SectD_b7/100)-SectD_d7),0))))))</f>
        <v>#VALUE!</v>
      </c>
      <c r="AC53" s="3013"/>
    </row>
    <row r="54" spans="1:29" ht="12.75" customHeight="1" thickBot="1">
      <c r="A54" s="78"/>
      <c r="B54" s="784"/>
      <c r="C54" s="4647" t="s">
        <v>479</v>
      </c>
      <c r="D54" s="56"/>
      <c r="E54" s="56" t="s">
        <v>4072</v>
      </c>
      <c r="F54" s="56"/>
      <c r="G54" s="56"/>
      <c r="H54" s="56"/>
      <c r="I54" s="56"/>
      <c r="J54" s="414" t="s">
        <v>754</v>
      </c>
      <c r="K54" s="414" t="str">
        <f>C54</f>
        <v>17.</v>
      </c>
      <c r="L54" s="1371">
        <f>MIN(L45,L53)</f>
        <v>0</v>
      </c>
      <c r="M54" s="414"/>
      <c r="N54" s="1370">
        <v>0.15</v>
      </c>
      <c r="O54" s="778"/>
      <c r="P54" s="786"/>
      <c r="Q54" s="675"/>
      <c r="R54" s="675"/>
      <c r="S54" s="675"/>
      <c r="U54" s="3342" t="str">
        <f>IF(File_Single&lt;&gt;"",V52,IF(File_Marr_Joint&lt;&gt;"",W52,IF(File_Marr_Sep&lt;&gt;"", X52,IF(File_Head&lt;&gt;"",Y52,IF(File_Qual_Widow&lt;&gt;"",W52,"Filing status?")))))</f>
        <v>Filing status?</v>
      </c>
      <c r="V54" s="2087" t="str">
        <f>"&lt;100k"</f>
        <v>&lt;100k</v>
      </c>
      <c r="W54" s="2087"/>
      <c r="X54" s="2087"/>
      <c r="Y54" s="3345"/>
      <c r="AC54" s="3013"/>
    </row>
    <row r="55" spans="1:29" ht="13.5" customHeight="1" thickBot="1">
      <c r="A55" s="78"/>
      <c r="B55" s="5988"/>
      <c r="C55" s="4647" t="s">
        <v>480</v>
      </c>
      <c r="D55" s="485"/>
      <c r="E55" s="56" t="str">
        <f>"Multiply line 17 by "&amp;TEXT(N54,"0%")&amp;" ("&amp;TEXT(N54,"0.00")&amp;") "</f>
        <v xml:space="preserve">Multiply line 17 by 15% (0.15) </v>
      </c>
      <c r="F55" s="56"/>
      <c r="G55" s="278"/>
      <c r="H55" s="56"/>
      <c r="I55" s="56"/>
      <c r="J55" s="414"/>
      <c r="K55" s="414"/>
      <c r="L55" s="281" t="s">
        <v>752</v>
      </c>
      <c r="M55" s="4647" t="s">
        <v>480</v>
      </c>
      <c r="N55" s="1371">
        <f>ROUND(L54*N54,0)</f>
        <v>0</v>
      </c>
      <c r="O55" s="5994"/>
      <c r="P55" s="786"/>
      <c r="Q55" s="675"/>
      <c r="R55" s="675"/>
      <c r="S55" s="675"/>
      <c r="U55" s="3343" t="str">
        <f>IF(File_Single&lt;&gt;"",V53,IF(OR(File_Marr_Joint&lt;&gt;"",File_Qual_Widow&lt;&gt;""),W53,IF(File_Marr_Sep&lt;&gt;"", X53,IF(File_Head&lt;&gt;"",Y53,"Filing status?"))))</f>
        <v>Filing status?</v>
      </c>
      <c r="V55" s="3344" t="str">
        <f>"&gt;=100k"</f>
        <v>&gt;=100k</v>
      </c>
      <c r="W55" s="3344"/>
      <c r="X55" s="3350" t="s">
        <v>2553</v>
      </c>
      <c r="Y55" s="3351" t="str">
        <f>IF(U52&gt;100000,U55,U54)</f>
        <v>Filing status?</v>
      </c>
      <c r="AC55" s="3013"/>
    </row>
    <row r="56" spans="1:29" ht="13.5" customHeight="1" thickTop="1">
      <c r="A56" s="78"/>
      <c r="B56" s="5988"/>
      <c r="C56" s="4647" t="s">
        <v>481</v>
      </c>
      <c r="D56" s="485"/>
      <c r="E56" s="56" t="s">
        <v>4070</v>
      </c>
      <c r="F56" s="56"/>
      <c r="G56" s="278"/>
      <c r="H56" s="56"/>
      <c r="I56" s="56"/>
      <c r="J56" s="414" t="s">
        <v>2927</v>
      </c>
      <c r="K56" s="414" t="str">
        <f>C56</f>
        <v>19.</v>
      </c>
      <c r="L56" s="1371">
        <f>SUM(L42,L54)</f>
        <v>0</v>
      </c>
      <c r="M56" s="56"/>
      <c r="N56" s="56"/>
      <c r="O56" s="778"/>
      <c r="P56" s="786"/>
      <c r="Q56" s="675"/>
      <c r="R56" s="675"/>
      <c r="S56" s="675"/>
      <c r="AC56" s="3013"/>
    </row>
    <row r="57" spans="1:29" ht="12" customHeight="1">
      <c r="A57" s="78"/>
      <c r="B57" s="5988"/>
      <c r="C57" s="4647" t="s">
        <v>345</v>
      </c>
      <c r="D57" s="485"/>
      <c r="E57" s="56" t="s">
        <v>4073</v>
      </c>
      <c r="F57" s="56"/>
      <c r="G57" s="278"/>
      <c r="H57" s="56"/>
      <c r="I57" s="56"/>
      <c r="J57" s="281" t="s">
        <v>753</v>
      </c>
      <c r="K57" s="414" t="str">
        <f>C57</f>
        <v>20.</v>
      </c>
      <c r="L57" s="1371">
        <f>SUM(L43,-L56)</f>
        <v>0</v>
      </c>
      <c r="M57" s="414"/>
      <c r="N57" s="1370">
        <v>0.2</v>
      </c>
      <c r="O57" s="5994"/>
      <c r="P57" s="786"/>
      <c r="Q57" s="675"/>
      <c r="R57" s="675"/>
      <c r="S57" s="675"/>
      <c r="AC57" s="3013"/>
    </row>
    <row r="58" spans="1:29" ht="13.5" customHeight="1" thickBot="1">
      <c r="A58" s="78"/>
      <c r="B58" s="5988"/>
      <c r="C58" s="4647" t="s">
        <v>346</v>
      </c>
      <c r="D58" s="485"/>
      <c r="E58" s="56" t="str">
        <f>"Multiply line 20 by "&amp;TEXT(N57,"0%")&amp;" ("&amp;TEXT(N57,"0.00")&amp;") "</f>
        <v xml:space="preserve">Multiply line 20 by 20% (0.20) </v>
      </c>
      <c r="F58" s="56"/>
      <c r="G58" s="278"/>
      <c r="H58" s="56"/>
      <c r="I58" s="56"/>
      <c r="J58" s="414"/>
      <c r="K58" s="414"/>
      <c r="L58" s="281" t="s">
        <v>752</v>
      </c>
      <c r="M58" s="4647" t="s">
        <v>346</v>
      </c>
      <c r="N58" s="1371">
        <f>ROUND(L57*N57,0)</f>
        <v>0</v>
      </c>
      <c r="O58" s="5994"/>
      <c r="P58" s="786"/>
      <c r="Q58" s="675"/>
      <c r="R58" s="675"/>
      <c r="S58" s="675"/>
      <c r="U58" s="989" t="s">
        <v>403</v>
      </c>
      <c r="V58" s="270" t="s">
        <v>69</v>
      </c>
      <c r="W58" s="270" t="s">
        <v>2552</v>
      </c>
      <c r="X58" s="270" t="s">
        <v>458</v>
      </c>
      <c r="Y58" s="270" t="s">
        <v>2000</v>
      </c>
      <c r="AC58" s="3013"/>
    </row>
    <row r="59" spans="1:29" ht="13.5" customHeight="1" thickTop="1" thickBot="1">
      <c r="A59" s="78"/>
      <c r="B59" s="5988"/>
      <c r="C59" s="4647" t="s">
        <v>347</v>
      </c>
      <c r="D59" s="485"/>
      <c r="E59" s="56" t="s">
        <v>4074</v>
      </c>
      <c r="F59" s="56"/>
      <c r="G59" s="278"/>
      <c r="H59" s="56"/>
      <c r="I59" s="56"/>
      <c r="J59" s="414"/>
      <c r="K59" s="414"/>
      <c r="L59" s="281"/>
      <c r="M59" s="414"/>
      <c r="N59" s="779"/>
      <c r="O59" s="5994"/>
      <c r="P59" s="786"/>
      <c r="Q59" s="675"/>
      <c r="R59" s="675"/>
      <c r="S59" s="675"/>
      <c r="U59" s="5084" t="str">
        <f>CGTW_Line1</f>
        <v/>
      </c>
      <c r="V59" s="5083" t="e">
        <f>LOOKUP(U59,'Tax Table'!$B$2:$B$2063,'Tax Table'!$D$2:$D$2063)</f>
        <v>#N/A</v>
      </c>
      <c r="W59" s="3346" t="e">
        <f>LOOKUP(U59,'Tax Table'!$B$2:$B$2063,'Tax Table'!$E$2:$E$2063)</f>
        <v>#N/A</v>
      </c>
      <c r="X59" s="3346" t="e">
        <f>LOOKUP(U59,'Tax Table'!$B$2:$B$2063,'Tax Table'!$F$2:$F$2063)</f>
        <v>#N/A</v>
      </c>
      <c r="Y59" s="3347" t="e">
        <f>LOOKUP(U59,'Tax Table'!$B$2:$B$2063,'Tax Table'!$G$2:$G$2063)</f>
        <v>#N/A</v>
      </c>
      <c r="AC59" s="3013"/>
    </row>
    <row r="60" spans="1:29" ht="13.5" customHeight="1" thickTop="1" thickBot="1">
      <c r="A60" s="78"/>
      <c r="B60" s="5988"/>
      <c r="C60" s="414"/>
      <c r="D60" s="485"/>
      <c r="E60" s="56" t="s">
        <v>4075</v>
      </c>
      <c r="F60" s="56"/>
      <c r="G60" s="278"/>
      <c r="H60" s="56"/>
      <c r="I60" s="56"/>
      <c r="J60" s="414"/>
      <c r="K60" s="414"/>
      <c r="L60" s="281"/>
      <c r="M60" s="414"/>
      <c r="N60" s="779"/>
      <c r="O60" s="5994"/>
      <c r="P60" s="786"/>
      <c r="Q60" s="675"/>
      <c r="R60" s="675"/>
      <c r="S60" s="675"/>
      <c r="U60" s="3341"/>
      <c r="V60" s="3348" t="e">
        <f>IF(U59&lt;SectA_a3,"---",IF(U59&lt;=SectA_a4,ROUND((U59*(SectA_b4/100)-SectA_d4),0),IF(U59&lt;=SectA_a5,ROUND((U59*(SectA_b5/100)-SectA_d5),0),IF(U59&lt;=SectA_a6,ROUND((U59*(SectA_b6/100)-SectA_d6),0),ROUND((U59*(SectA_b7/100)-SectA_d7),0)))))</f>
        <v>#VALUE!</v>
      </c>
      <c r="W60" s="3348" t="e">
        <f>IF(U59&lt;SectB_a2,"---",IF(U59&lt;=SectB_a3,ROUND((U59*(SectB_b3/100)-SectB_d3),0),IF(U59&lt;=SectB_a4,ROUND((U59*(SectB_b4/100)-SectB_d4),0),IF(U59&lt;=SectB_a5,ROUND((U59*(SectB_b5/100)-SectB_d5),0),IF(U59&lt;=SectB_a6,ROUND((U59*(SectB_b6/100)-SectB_d6),0),ROUND((U59*(SectB_b7/100)-SectB_d7),0))))))</f>
        <v>#VALUE!</v>
      </c>
      <c r="X60" s="3348" t="e">
        <f>IF(U59&lt;SectC_a2,"---",IF(U59&lt;=SectC_a3,ROUND((U59*(SectC_b3/100)-SectC_d3),0),IF(U59&lt;=SectC_a4,ROUND((U59*(SectC_b4/100)-SectC_d4),0),IF(U59&lt;=SectC_a5,ROUND((U59*(SectC_b5/100)-SectC_d5),0),ROUND((U59*(SectC_b6/100)-SectC_d6),0)))))</f>
        <v>#VALUE!</v>
      </c>
      <c r="Y60" s="3349" t="e">
        <f>IF(U59&lt;SectD_a2,"---",IF(U59&lt;=SectD_a3,ROUND((U59*(SectD_b3/100)-SectD_d3),0),IF(U59&lt;=SectD_a4,ROUND((U59*(SectD_b4/100)-SectD_d4),0),IF(U59&lt;=SectD_a5,ROUND((U59*(SectD_b5/100)-SectD_d5),0),IF(U59&lt;=SectD_a6,ROUND((U59*(SectD_b6/100)-SectD_d6),0),ROUND((U59*(SectD_b7/100)-SectD_d7),0))))))</f>
        <v>#VALUE!</v>
      </c>
      <c r="AC60" s="3013"/>
    </row>
    <row r="61" spans="1:29" ht="13.5" customHeight="1" thickBot="1">
      <c r="A61" s="78"/>
      <c r="B61" s="5988"/>
      <c r="C61" s="4647"/>
      <c r="D61" s="414"/>
      <c r="E61" s="56" t="s">
        <v>359</v>
      </c>
      <c r="F61" s="56"/>
      <c r="G61" s="56"/>
      <c r="H61" s="278"/>
      <c r="I61" s="278"/>
      <c r="J61" s="414"/>
      <c r="K61" s="414"/>
      <c r="L61" s="281" t="s">
        <v>810</v>
      </c>
      <c r="M61" s="414" t="str">
        <f>C59</f>
        <v>22.</v>
      </c>
      <c r="N61" s="1371" t="str">
        <f>IF(NOT(CGTW),"",Y55)</f>
        <v/>
      </c>
      <c r="O61" s="778"/>
      <c r="P61" s="786"/>
      <c r="Q61" s="675"/>
      <c r="R61" s="675"/>
      <c r="S61" s="675"/>
      <c r="U61" s="3342" t="str">
        <f>IF(File_Single&lt;&gt;"",V59,IF(File_Marr_Joint&lt;&gt;"",W59,IF(File_Marr_Sep&lt;&gt;"", X59,IF(File_Head&lt;&gt;"",Y59,IF(File_Qual_Widow&lt;&gt;"",W59,"Filing status?")))))</f>
        <v>Filing status?</v>
      </c>
      <c r="V61" s="2087" t="str">
        <f>"&lt;100k"</f>
        <v>&lt;100k</v>
      </c>
      <c r="W61" s="2087"/>
      <c r="X61" s="2087"/>
      <c r="Y61" s="3345"/>
      <c r="AC61" s="3013"/>
    </row>
    <row r="62" spans="1:29" ht="13.5" customHeight="1" thickBot="1">
      <c r="A62" s="78"/>
      <c r="B62" s="5988"/>
      <c r="C62" s="414" t="s">
        <v>348</v>
      </c>
      <c r="D62" s="485"/>
      <c r="E62" s="56" t="s">
        <v>4078</v>
      </c>
      <c r="F62" s="56"/>
      <c r="G62" s="278"/>
      <c r="H62" s="56"/>
      <c r="I62" s="56"/>
      <c r="J62" s="414"/>
      <c r="K62" s="414"/>
      <c r="L62" s="281" t="s">
        <v>809</v>
      </c>
      <c r="M62" s="414" t="str">
        <f>C62</f>
        <v>23.</v>
      </c>
      <c r="N62" s="1371" t="str">
        <f>IF(NOT(CGTW),"",SUM(N55,N58,N61))</f>
        <v/>
      </c>
      <c r="O62" s="5994"/>
      <c r="P62" s="786"/>
      <c r="Q62" s="675"/>
      <c r="R62" s="675"/>
      <c r="S62" s="675"/>
      <c r="U62" s="3343" t="str">
        <f>IF(File_Single&lt;&gt;"",V60,IF(OR(File_Marr_Joint&lt;&gt;"",File_Qual_Widow&lt;&gt;""),W60,IF(File_Marr_Sep&lt;&gt;"", X60,IF(File_Head&lt;&gt;"",Y60,"Filing status?"))))</f>
        <v>Filing status?</v>
      </c>
      <c r="V62" s="3344" t="str">
        <f>"&gt;=100k"</f>
        <v>&gt;=100k</v>
      </c>
      <c r="W62" s="3344"/>
      <c r="X62" s="3350" t="s">
        <v>2553</v>
      </c>
      <c r="Y62" s="3351" t="str">
        <f>IF(U59&gt;100000,U62,U61)</f>
        <v>Filing status?</v>
      </c>
      <c r="AC62" s="3013"/>
    </row>
    <row r="63" spans="1:29" ht="13.5" customHeight="1" thickTop="1">
      <c r="A63" s="78"/>
      <c r="B63" s="5988"/>
      <c r="C63" s="414" t="s">
        <v>349</v>
      </c>
      <c r="D63" s="414"/>
      <c r="E63" s="56" t="s">
        <v>550</v>
      </c>
      <c r="F63" s="56"/>
      <c r="G63" s="56"/>
      <c r="H63" s="278"/>
      <c r="I63" s="278"/>
      <c r="J63" s="414"/>
      <c r="K63" s="414"/>
      <c r="L63" s="281"/>
      <c r="M63" s="414"/>
      <c r="N63" s="787"/>
      <c r="O63" s="778"/>
      <c r="P63" s="786"/>
      <c r="Q63" s="675"/>
      <c r="R63" s="675"/>
      <c r="S63" s="675"/>
      <c r="AC63" s="3013"/>
    </row>
    <row r="64" spans="1:29" ht="13.5" customHeight="1">
      <c r="A64" s="78"/>
      <c r="B64" s="5988"/>
      <c r="C64" s="414"/>
      <c r="D64" s="414"/>
      <c r="E64" s="56" t="s">
        <v>551</v>
      </c>
      <c r="F64" s="56"/>
      <c r="G64" s="56"/>
      <c r="H64" s="278"/>
      <c r="I64" s="278"/>
      <c r="J64" s="414"/>
      <c r="K64" s="414"/>
      <c r="L64" s="281"/>
      <c r="M64" s="414"/>
      <c r="N64" s="779"/>
      <c r="O64" s="778"/>
      <c r="P64" s="786"/>
      <c r="Q64" s="675"/>
      <c r="R64" s="675"/>
      <c r="S64" s="675"/>
      <c r="AC64" s="3013"/>
    </row>
    <row r="65" spans="1:29" ht="13.5" customHeight="1">
      <c r="A65" s="78"/>
      <c r="B65" s="5988"/>
      <c r="C65" s="4647"/>
      <c r="D65" s="414"/>
      <c r="E65" s="56" t="s">
        <v>359</v>
      </c>
      <c r="F65" s="56"/>
      <c r="G65" s="56"/>
      <c r="H65" s="278"/>
      <c r="I65" s="278"/>
      <c r="J65" s="414"/>
      <c r="K65" s="414"/>
      <c r="L65" s="281" t="s">
        <v>582</v>
      </c>
      <c r="M65" s="414" t="str">
        <f>C63</f>
        <v>24.</v>
      </c>
      <c r="N65" s="1371" t="str">
        <f>IF(NOT(CGTW),"",Y62)</f>
        <v/>
      </c>
      <c r="O65" s="778"/>
      <c r="P65" s="786"/>
      <c r="Q65" s="675"/>
      <c r="R65" s="675"/>
      <c r="S65" s="675"/>
      <c r="AC65" s="3013"/>
    </row>
    <row r="66" spans="1:29">
      <c r="A66" s="78"/>
      <c r="B66" s="5988"/>
      <c r="C66" s="4647" t="s">
        <v>350</v>
      </c>
      <c r="D66" s="414"/>
      <c r="E66" s="278" t="s">
        <v>4290</v>
      </c>
      <c r="F66" s="56"/>
      <c r="G66" s="56"/>
      <c r="H66" s="278"/>
      <c r="I66" s="278"/>
      <c r="J66" s="414"/>
      <c r="K66" s="414"/>
      <c r="L66" s="281"/>
      <c r="M66" s="414"/>
      <c r="N66" s="787"/>
      <c r="O66" s="778"/>
      <c r="P66" s="786"/>
      <c r="Q66" s="675"/>
      <c r="R66" s="1587"/>
      <c r="S66" s="675"/>
      <c r="AC66" s="3013"/>
    </row>
    <row r="67" spans="1:29" ht="13.5" customHeight="1">
      <c r="A67" s="78"/>
      <c r="B67" s="5988"/>
      <c r="C67" s="414"/>
      <c r="D67" s="414"/>
      <c r="E67" s="56" t="s">
        <v>4291</v>
      </c>
      <c r="F67" s="56"/>
      <c r="G67" s="56"/>
      <c r="H67" s="278"/>
      <c r="I67" s="278"/>
      <c r="J67" s="414"/>
      <c r="K67" s="414"/>
      <c r="L67" s="281"/>
      <c r="M67" s="414"/>
      <c r="N67" s="779"/>
      <c r="O67" s="778"/>
      <c r="P67" s="786"/>
      <c r="Q67" s="675"/>
      <c r="R67" s="1587" t="s">
        <v>90</v>
      </c>
      <c r="S67" s="675"/>
      <c r="AC67" s="3013"/>
    </row>
    <row r="68" spans="1:29" ht="13.5" customHeight="1">
      <c r="A68" s="78"/>
      <c r="B68" s="5988"/>
      <c r="C68" s="414"/>
      <c r="D68" s="414"/>
      <c r="E68" s="56" t="s">
        <v>4293</v>
      </c>
      <c r="F68" s="56"/>
      <c r="G68" s="56"/>
      <c r="H68" s="278"/>
      <c r="I68" s="278"/>
      <c r="J68" s="414"/>
      <c r="K68" s="414"/>
      <c r="L68" s="281"/>
      <c r="M68" s="414"/>
      <c r="N68" s="779"/>
      <c r="O68" s="778"/>
      <c r="P68" s="786"/>
      <c r="Q68" s="675"/>
      <c r="R68" s="1587" t="s">
        <v>411</v>
      </c>
      <c r="S68" s="675"/>
      <c r="AC68" s="3013"/>
    </row>
    <row r="69" spans="1:29">
      <c r="A69" s="78"/>
      <c r="B69" s="5988"/>
      <c r="C69" s="4647"/>
      <c r="D69" s="414"/>
      <c r="E69" s="56" t="s">
        <v>4292</v>
      </c>
      <c r="F69" s="56"/>
      <c r="G69" s="56"/>
      <c r="H69" s="278"/>
      <c r="I69" s="278"/>
      <c r="J69" s="414"/>
      <c r="K69" s="414"/>
      <c r="L69" s="281" t="s">
        <v>4294</v>
      </c>
      <c r="M69" s="414" t="str">
        <f>C66</f>
        <v>25.</v>
      </c>
      <c r="N69" s="1371" t="str">
        <f>IF(R69&lt;&gt;"",R69,IF(NOT(CGTW),"",MIN(N62,N65)))</f>
        <v/>
      </c>
      <c r="O69" s="778"/>
      <c r="P69" s="786"/>
      <c r="Q69" s="675"/>
      <c r="R69" s="1178"/>
      <c r="S69" s="675"/>
      <c r="AC69" s="3013"/>
    </row>
    <row r="70" spans="1:29" ht="15" customHeight="1">
      <c r="A70" s="78"/>
      <c r="B70" s="5988"/>
      <c r="C70" s="943" t="s">
        <v>3409</v>
      </c>
      <c r="D70" s="414"/>
      <c r="E70" s="56"/>
      <c r="F70" s="56"/>
      <c r="G70" s="56"/>
      <c r="H70" s="278"/>
      <c r="I70" s="278"/>
      <c r="J70" s="414"/>
      <c r="K70" s="414"/>
      <c r="L70" s="281"/>
      <c r="M70" s="414"/>
      <c r="N70" s="779"/>
      <c r="O70" s="778"/>
      <c r="P70" s="786"/>
      <c r="Q70" s="675"/>
      <c r="R70" s="675"/>
      <c r="S70" s="675"/>
      <c r="AC70" s="3013"/>
    </row>
    <row r="71" spans="1:29" ht="11.25" customHeight="1" thickBot="1">
      <c r="A71" s="78"/>
      <c r="B71" s="5989"/>
      <c r="C71" s="5984"/>
      <c r="D71" s="5984"/>
      <c r="E71" s="29"/>
      <c r="F71" s="29"/>
      <c r="G71" s="29"/>
      <c r="H71" s="44"/>
      <c r="I71" s="44"/>
      <c r="J71" s="44"/>
      <c r="K71" s="44"/>
      <c r="L71" s="44"/>
      <c r="M71" s="5984"/>
      <c r="N71" s="488"/>
      <c r="O71" s="785"/>
      <c r="P71" s="786"/>
      <c r="Q71" s="675"/>
      <c r="R71" s="675"/>
      <c r="S71" s="675"/>
      <c r="AC71" s="3013"/>
    </row>
    <row r="72" spans="1:29" ht="32.25" customHeight="1" thickBot="1">
      <c r="A72" s="675"/>
      <c r="B72" s="2509" t="s">
        <v>4050</v>
      </c>
      <c r="C72" s="2509"/>
      <c r="D72" s="3493"/>
      <c r="E72" s="2504"/>
      <c r="F72" s="2505"/>
      <c r="G72" s="2506"/>
      <c r="H72" s="2506"/>
      <c r="I72" s="2506"/>
      <c r="J72" s="2506"/>
      <c r="K72" s="2506"/>
      <c r="L72" s="2507" t="s">
        <v>175</v>
      </c>
      <c r="M72" s="2508"/>
      <c r="N72" s="1234"/>
      <c r="O72" s="41"/>
      <c r="P72" s="675"/>
      <c r="Q72" s="675"/>
      <c r="R72" s="675"/>
      <c r="S72" s="675"/>
      <c r="U72" s="263" t="s">
        <v>5866</v>
      </c>
      <c r="V72" s="270" t="s">
        <v>69</v>
      </c>
      <c r="W72" s="270" t="s">
        <v>2552</v>
      </c>
      <c r="X72" s="270" t="s">
        <v>458</v>
      </c>
      <c r="Y72" s="270" t="s">
        <v>2000</v>
      </c>
      <c r="AC72" s="3013"/>
    </row>
    <row r="73" spans="1:29" ht="12.75" customHeight="1" thickTop="1" thickBot="1">
      <c r="A73" s="675"/>
      <c r="B73" s="5995"/>
      <c r="C73" s="23"/>
      <c r="D73" s="2498"/>
      <c r="E73" s="2500"/>
      <c r="F73" s="2502"/>
      <c r="G73" s="2500"/>
      <c r="H73" s="2500"/>
      <c r="I73" s="2500"/>
      <c r="J73" s="2500"/>
      <c r="K73" s="5977"/>
      <c r="L73" s="5977"/>
      <c r="M73" s="1383"/>
      <c r="N73" s="1176" t="b">
        <f>AND(Taxable_Inc&gt;0,Form2555_Used)</f>
        <v>0</v>
      </c>
      <c r="O73" s="97"/>
      <c r="P73" s="675"/>
      <c r="Q73" s="675"/>
      <c r="R73" s="675"/>
      <c r="S73" s="675"/>
      <c r="U73" s="5084" t="str">
        <f>FEI_TW_Line3</f>
        <v/>
      </c>
      <c r="V73" s="5083" t="e">
        <f>LOOKUP(U73,'Tax Table'!$B$2:$B$2063,'Tax Table'!$D$2:$D$2063)</f>
        <v>#N/A</v>
      </c>
      <c r="W73" s="3346" t="e">
        <f>LOOKUP(U73,'Tax Table'!$B$2:$B$2063,'Tax Table'!$E$2:$E$2063)</f>
        <v>#N/A</v>
      </c>
      <c r="X73" s="3346" t="e">
        <f>LOOKUP(U73,'Tax Table'!$B$2:$B$2063,'Tax Table'!$F$2:$F$2063)</f>
        <v>#N/A</v>
      </c>
      <c r="Y73" s="3347" t="e">
        <f>LOOKUP(U73,'Tax Table'!$B$2:$B$2063,'Tax Table'!$G$2:$G$2063)</f>
        <v>#N/A</v>
      </c>
      <c r="AC73" s="3013"/>
    </row>
    <row r="74" spans="1:29" ht="29.25" customHeight="1" thickTop="1" thickBot="1">
      <c r="A74" s="675"/>
      <c r="B74" s="5996"/>
      <c r="C74" s="1234"/>
      <c r="D74" s="2257"/>
      <c r="E74" s="5516" t="s">
        <v>4051</v>
      </c>
      <c r="F74" s="2257"/>
      <c r="G74" s="1234"/>
      <c r="H74" s="1234"/>
      <c r="I74" s="1234"/>
      <c r="J74" s="1234"/>
      <c r="K74" s="1707"/>
      <c r="L74" s="1867"/>
      <c r="M74" s="1868"/>
      <c r="N74" s="2503" t="str">
        <f>IF(NOT(FEI_Tax_Worksheet),"Complete Form 2555 before completing this worksheet.","")</f>
        <v>Complete Form 2555 before completing this worksheet.</v>
      </c>
      <c r="O74" s="1877"/>
      <c r="P74" s="675"/>
      <c r="Q74" s="675"/>
      <c r="R74" s="675" t="s">
        <v>90</v>
      </c>
      <c r="S74" s="675"/>
      <c r="U74" s="3341"/>
      <c r="V74" s="3348" t="e">
        <f>IF(U73&lt;SectA_a3,"---",IF(U73&lt;=SectA_a4,ROUND((U73*(SectA_b4/100)-SectA_d4),0),IF(U73&lt;=SectA_a5,ROUND((U73*(SectA_b5/100)-SectA_d5),0),IF(U73&lt;=SectA_a6,ROUND((U73*(SectA_b6/100)-SectA_d6),0),ROUND((U73*(SectA_b7/100)-SectA_d7),0)))))</f>
        <v>#VALUE!</v>
      </c>
      <c r="W74" s="3348" t="e">
        <f>IF(U73&lt;SectB_a2,"---",IF(U73&lt;=SectB_a3,ROUND((U73*(SectB_b3/100)-SectB_d3),0),IF(U73&lt;=SectB_a4,ROUND((U73*(SectB_b4/100)-SectB_d4),0),IF(U73&lt;=SectB_a5,ROUND((U73*(SectB_b5/100)-SectB_d5),0),IF(U73&lt;=SectB_a6,ROUND((U73*(SectB_b6/100)-SectB_d6),0),ROUND((U73*(SectB_b7/100)-SectB_d7),0))))))</f>
        <v>#VALUE!</v>
      </c>
      <c r="X74" s="3348" t="e">
        <f>IF(U73&lt;SectC_a2,"---",IF(U73&lt;=SectC_a3,ROUND((U73*(SectC_b3/100)-SectC_d3),0),IF(U73&lt;=SectC_a4,ROUND((U73*(SectC_b4/100)-SectC_d4),0),IF(U73&lt;=SectC_a5,ROUND((U73*(SectC_b5/100)-SectC_d5),0),ROUND((U73*(SectC_b6/100)-SectC_d6),0)))))</f>
        <v>#VALUE!</v>
      </c>
      <c r="Y74" s="3349" t="e">
        <f>IF(U73&lt;SectD_a2,"---",IF(U73&lt;=SectD_a3,ROUND((U73*(SectD_b3/100)-SectD_d3),0),IF(U73&lt;=SectD_a4,ROUND((U73*(SectD_b4/100)-SectD_d4),0),IF(U73&lt;=SectD_a5,ROUND((U73*(SectD_b5/100)-SectD_d5),0),IF(U73&lt;=SectD_a6,ROUND((U73*(SectD_b6/100)-SectD_d6),0),ROUND((U73*(SectD_b7/100)-SectD_d7),0))))))</f>
        <v>#VALUE!</v>
      </c>
      <c r="AC74" s="3013"/>
    </row>
    <row r="75" spans="1:29" ht="13.5" thickBot="1">
      <c r="A75" s="675"/>
      <c r="B75" s="5995"/>
      <c r="C75" s="23"/>
      <c r="D75" s="5997"/>
      <c r="E75" s="70"/>
      <c r="F75" s="24"/>
      <c r="G75" s="70"/>
      <c r="H75" s="5998"/>
      <c r="I75" s="923"/>
      <c r="J75" s="5999"/>
      <c r="K75" s="5999"/>
      <c r="L75" s="319"/>
      <c r="M75" s="319"/>
      <c r="N75" s="14"/>
      <c r="O75" s="97"/>
      <c r="P75" s="675"/>
      <c r="Q75" s="675"/>
      <c r="R75" s="675" t="s">
        <v>411</v>
      </c>
      <c r="S75" s="675"/>
      <c r="U75" s="3342" t="str">
        <f>IF(File_Single&lt;&gt;"",V73,IF(File_Marr_Joint&lt;&gt;"",W73,IF(File_Marr_Sep&lt;&gt;"", X73,IF(File_Head&lt;&gt;"",Y73,IF(File_Qual_Widow&lt;&gt;"",W73,"Filing status?")))))</f>
        <v>Filing status?</v>
      </c>
      <c r="V75" s="2087" t="str">
        <f>"&lt;100k"</f>
        <v>&lt;100k</v>
      </c>
      <c r="W75" s="2087"/>
      <c r="X75" s="2087"/>
      <c r="Y75" s="3345"/>
      <c r="AC75" s="3013"/>
    </row>
    <row r="76" spans="1:29" ht="13.5" thickBot="1">
      <c r="A76" s="675"/>
      <c r="B76" s="5995"/>
      <c r="C76" s="23"/>
      <c r="D76" s="2499" t="s">
        <v>294</v>
      </c>
      <c r="E76" s="70" t="s">
        <v>4052</v>
      </c>
      <c r="F76" s="70"/>
      <c r="G76" s="70"/>
      <c r="H76" s="923"/>
      <c r="I76" s="923"/>
      <c r="J76" s="319"/>
      <c r="K76" s="319"/>
      <c r="L76" s="281" t="s">
        <v>3726</v>
      </c>
      <c r="M76" s="1338" t="s">
        <v>294</v>
      </c>
      <c r="N76" s="5594" t="str">
        <f>IF(R76&lt;&gt;"",ROUND(R76,0),IF(FEI_Tax_Worksheet,Taxable_Inc,""))</f>
        <v/>
      </c>
      <c r="O76" s="97"/>
      <c r="P76" s="675"/>
      <c r="Q76" s="675"/>
      <c r="R76" s="3685"/>
      <c r="S76" s="675"/>
      <c r="U76" s="3343" t="str">
        <f>IF(File_Single&lt;&gt;"",V74,IF(OR(File_Marr_Joint&lt;&gt;"",File_Qual_Widow&lt;&gt;""),W74,IF(File_Marr_Sep&lt;&gt;"", X74,IF(File_Head&lt;&gt;"",Y74,"Filing status?"))))</f>
        <v>Filing status?</v>
      </c>
      <c r="V76" s="3344" t="str">
        <f>"&gt;=100k"</f>
        <v>&gt;=100k</v>
      </c>
      <c r="W76" s="3344"/>
      <c r="X76" s="3350" t="s">
        <v>2553</v>
      </c>
      <c r="Y76" s="3351" t="str">
        <f>IF(U73&gt;100000,U76,U75)</f>
        <v>Filing status?</v>
      </c>
      <c r="AC76" s="3013"/>
    </row>
    <row r="77" spans="1:29" ht="13.5" thickTop="1">
      <c r="A77" s="675"/>
      <c r="B77" s="5995"/>
      <c r="C77" s="23"/>
      <c r="D77" s="2499"/>
      <c r="E77" s="70"/>
      <c r="F77" s="70"/>
      <c r="G77" s="70"/>
      <c r="H77" s="923"/>
      <c r="I77" s="923"/>
      <c r="J77" s="319"/>
      <c r="K77" s="319"/>
      <c r="L77" s="14"/>
      <c r="M77" s="14"/>
      <c r="N77" s="14"/>
      <c r="O77" s="97"/>
      <c r="P77" s="675"/>
      <c r="Q77" s="675"/>
      <c r="R77" s="675"/>
      <c r="S77" s="675"/>
      <c r="Y77" s="42" t="b">
        <f>Y76=MIN(Y76,V109,X168)</f>
        <v>0</v>
      </c>
      <c r="AC77" s="3013"/>
    </row>
    <row r="78" spans="1:29" ht="13.5" thickBot="1">
      <c r="A78" s="675"/>
      <c r="B78" s="5995"/>
      <c r="C78" s="1179"/>
      <c r="D78" s="2499" t="s">
        <v>1630</v>
      </c>
      <c r="E78" s="70" t="s">
        <v>3410</v>
      </c>
      <c r="F78" s="70"/>
      <c r="G78" s="70"/>
      <c r="H78" s="923"/>
      <c r="I78" s="923"/>
      <c r="J78" s="319"/>
      <c r="K78" s="319"/>
      <c r="L78" s="281"/>
      <c r="M78" s="1338" t="s">
        <v>1630</v>
      </c>
      <c r="N78" s="5594" t="str">
        <f>IF(R78&lt;&gt;"",ROUND(R78,0),IF(FEI_Tax_Worksheet,SUM(ForeignHousingExclusion,ForeignHousingDeduction),""))</f>
        <v/>
      </c>
      <c r="O78" s="97"/>
      <c r="P78" s="675"/>
      <c r="Q78" s="675"/>
      <c r="R78" s="3685"/>
      <c r="S78" s="675"/>
      <c r="U78" s="263" t="s">
        <v>5867</v>
      </c>
      <c r="V78" s="270" t="s">
        <v>69</v>
      </c>
      <c r="W78" s="270" t="s">
        <v>2552</v>
      </c>
      <c r="X78" s="270" t="s">
        <v>458</v>
      </c>
      <c r="Y78" s="270" t="s">
        <v>2000</v>
      </c>
      <c r="AC78" s="3013"/>
    </row>
    <row r="79" spans="1:29" ht="14.25" thickTop="1" thickBot="1">
      <c r="A79" s="675"/>
      <c r="B79" s="5995"/>
      <c r="C79" s="1179"/>
      <c r="D79" s="2499" t="s">
        <v>592</v>
      </c>
      <c r="E79" s="70" t="s">
        <v>1631</v>
      </c>
      <c r="F79" s="70"/>
      <c r="G79" s="70"/>
      <c r="H79" s="923"/>
      <c r="I79" s="923"/>
      <c r="J79" s="319"/>
      <c r="K79" s="319"/>
      <c r="L79" s="14"/>
      <c r="M79" s="14"/>
      <c r="N79" s="14"/>
      <c r="O79" s="97"/>
      <c r="P79" s="675"/>
      <c r="Q79" s="675"/>
      <c r="R79" s="675"/>
      <c r="S79" s="675"/>
      <c r="U79" s="5084" t="str">
        <f>FEI_TW_Line2c</f>
        <v/>
      </c>
      <c r="V79" s="5083" t="e">
        <f>LOOKUP(U79,'Tax Table'!$B$2:$B$2063,'Tax Table'!$D$2:$D$2063)</f>
        <v>#N/A</v>
      </c>
      <c r="W79" s="3346" t="e">
        <f>LOOKUP(U79,'Tax Table'!$B$2:$B$2063,'Tax Table'!$E$2:$E$2063)</f>
        <v>#N/A</v>
      </c>
      <c r="X79" s="3346" t="e">
        <f>LOOKUP(U79,'Tax Table'!$B$2:$B$2063,'Tax Table'!$F$2:$F$2063)</f>
        <v>#N/A</v>
      </c>
      <c r="Y79" s="3347" t="e">
        <f>LOOKUP(U79,'Tax Table'!$B$2:$B$2063,'Tax Table'!$G$2:$G$2063)</f>
        <v>#N/A</v>
      </c>
      <c r="AC79" s="3013"/>
    </row>
    <row r="80" spans="1:29" ht="14.25" thickTop="1" thickBot="1">
      <c r="A80" s="675"/>
      <c r="B80" s="5995"/>
      <c r="C80" s="1179"/>
      <c r="D80" s="2499"/>
      <c r="E80" s="70" t="s">
        <v>1632</v>
      </c>
      <c r="F80" s="70"/>
      <c r="G80" s="70"/>
      <c r="H80" s="923"/>
      <c r="I80" s="923"/>
      <c r="J80" s="319"/>
      <c r="K80" s="319"/>
      <c r="L80" s="281" t="s">
        <v>5136</v>
      </c>
      <c r="M80" s="1338" t="s">
        <v>592</v>
      </c>
      <c r="N80" s="5636"/>
      <c r="O80" s="97"/>
      <c r="P80" s="675"/>
      <c r="Q80" s="675"/>
      <c r="R80" s="675"/>
      <c r="S80" s="675"/>
      <c r="U80" s="3341"/>
      <c r="V80" s="3348" t="e">
        <f>IF(U79&lt;SectA_a3,"---",IF(U79&lt;=SectA_a4,ROUND((U79*(SectA_b4/100)-SectA_d4),0),IF(U79&lt;=SectA_a5,ROUND((U79*(SectA_b5/100)-SectA_d5),0),IF(U79&lt;=SectA_a6,ROUND((U79*(SectA_b6/100)-SectA_d6),0),ROUND((U79*(SectA_b7/100)-SectA_d7),0)))))</f>
        <v>#VALUE!</v>
      </c>
      <c r="W80" s="3348" t="e">
        <f>IF(U79&lt;SectB_a2,"---",IF(U79&lt;=SectB_a3,ROUND((U79*(SectB_b3/100)-SectB_d3),0),IF(U79&lt;=SectB_a4,ROUND((U79*(SectB_b4/100)-SectB_d4),0),IF(U79&lt;=SectB_a5,ROUND((U79*(SectB_b5/100)-SectB_d5),0),IF(U79&lt;=SectB_a6,ROUND((U79*(SectB_b6/100)-SectB_d6),0),ROUND((U79*(SectB_b7/100)-SectB_d7),0))))))</f>
        <v>#VALUE!</v>
      </c>
      <c r="X80" s="3348" t="e">
        <f>IF(U79&lt;SectC_a2,"---",IF(U79&lt;=SectC_a3,ROUND((U79*(SectC_b3/100)-SectC_d3),0),IF(U79&lt;=SectC_a4,ROUND((U79*(SectC_b4/100)-SectC_d4),0),IF(U79&lt;=SectC_a5,ROUND((U79*(SectC_b5/100)-SectC_d5),0),ROUND((U79*(SectC_b6/100)-SectC_d6),0)))))</f>
        <v>#VALUE!</v>
      </c>
      <c r="Y80" s="3349" t="e">
        <f>IF(U79&lt;SectD_a2,"---",IF(U79&lt;=SectD_a3,ROUND((U79*(SectD_b3/100)-SectD_d3),0),IF(U79&lt;=SectD_a4,ROUND((U79*(SectD_b4/100)-SectD_d4),0),IF(U79&lt;=SectD_a5,ROUND((U79*(SectD_b5/100)-SectD_d5),0),IF(U79&lt;=SectD_a6,ROUND((U79*(SectD_b6/100)-SectD_d6),0),ROUND((U79*(SectD_b7/100)-SectD_d7),0))))))</f>
        <v>#VALUE!</v>
      </c>
      <c r="AC80" s="3013"/>
    </row>
    <row r="81" spans="1:29" ht="13.5" thickBot="1">
      <c r="A81" s="675"/>
      <c r="B81" s="5995"/>
      <c r="C81" s="1179"/>
      <c r="D81" s="2499" t="s">
        <v>590</v>
      </c>
      <c r="E81" s="70" t="s">
        <v>1617</v>
      </c>
      <c r="F81" s="70"/>
      <c r="G81" s="70"/>
      <c r="H81" s="923"/>
      <c r="I81" s="923"/>
      <c r="J81" s="319"/>
      <c r="K81" s="319"/>
      <c r="L81" s="281" t="s">
        <v>2630</v>
      </c>
      <c r="M81" s="1338" t="s">
        <v>590</v>
      </c>
      <c r="N81" s="5594" t="str">
        <f>IF(FEI_Tax_Worksheet,MAX(0,SUM(N78,-N80)),"")</f>
        <v/>
      </c>
      <c r="O81" s="97"/>
      <c r="P81" s="675"/>
      <c r="Q81" s="675"/>
      <c r="R81" s="675"/>
      <c r="S81" s="675"/>
      <c r="U81" s="3342" t="str">
        <f>IF(File_Single&lt;&gt;"",V79,IF(File_Marr_Joint&lt;&gt;"",W79,IF(File_Marr_Sep&lt;&gt;"", X79,IF(File_Head&lt;&gt;"",Y79,IF(File_Qual_Widow&lt;&gt;"",W79,"Filing status?")))))</f>
        <v>Filing status?</v>
      </c>
      <c r="V81" s="2087" t="str">
        <f>"&lt;100k"</f>
        <v>&lt;100k</v>
      </c>
      <c r="W81" s="2087"/>
      <c r="X81" s="2087"/>
      <c r="Y81" s="3345"/>
      <c r="AC81" s="3013"/>
    </row>
    <row r="82" spans="1:29" ht="13.5" thickBot="1">
      <c r="A82" s="675"/>
      <c r="B82" s="5995"/>
      <c r="C82" s="1179"/>
      <c r="D82" s="2499"/>
      <c r="E82" s="70"/>
      <c r="F82" s="70"/>
      <c r="G82" s="70"/>
      <c r="H82" s="923"/>
      <c r="I82" s="923"/>
      <c r="J82" s="319"/>
      <c r="K82" s="319"/>
      <c r="L82" s="14"/>
      <c r="M82" s="14"/>
      <c r="N82" s="14"/>
      <c r="O82" s="97"/>
      <c r="P82" s="675"/>
      <c r="Q82" s="675"/>
      <c r="R82" s="675"/>
      <c r="S82" s="675"/>
      <c r="U82" s="3343" t="str">
        <f>IF(File_Single&lt;&gt;"",V80,IF(OR(File_Marr_Joint&lt;&gt;"",File_Qual_Widow&lt;&gt;""),W80,IF(File_Marr_Sep&lt;&gt;"", X80,IF(File_Head&lt;&gt;"",Y80,"Filing status?"))))</f>
        <v>Filing status?</v>
      </c>
      <c r="V82" s="3344" t="str">
        <f>"&gt;=100k"</f>
        <v>&gt;=100k</v>
      </c>
      <c r="W82" s="3344"/>
      <c r="X82" s="3350" t="s">
        <v>2553</v>
      </c>
      <c r="Y82" s="3351" t="str">
        <f>IF(U79&gt;100000,U82,U81)</f>
        <v>Filing status?</v>
      </c>
      <c r="AC82" s="3013"/>
    </row>
    <row r="83" spans="1:29" ht="13.5" thickTop="1">
      <c r="A83" s="675"/>
      <c r="B83" s="5995"/>
      <c r="C83" s="1179"/>
      <c r="D83" s="2499" t="s">
        <v>1</v>
      </c>
      <c r="E83" s="70" t="s">
        <v>1618</v>
      </c>
      <c r="F83" s="70"/>
      <c r="G83" s="70"/>
      <c r="H83" s="923"/>
      <c r="I83" s="923"/>
      <c r="J83" s="319"/>
      <c r="K83" s="319"/>
      <c r="L83" s="281" t="s">
        <v>5137</v>
      </c>
      <c r="M83" s="1338" t="s">
        <v>1</v>
      </c>
      <c r="N83" s="5594" t="str">
        <f>IF(FEI_Tax_Worksheet,SUM(N76,N81),"")</f>
        <v/>
      </c>
      <c r="O83" s="97"/>
      <c r="P83" s="675"/>
      <c r="Q83" s="675"/>
      <c r="R83" s="675"/>
      <c r="S83" s="675"/>
      <c r="U83" s="3138"/>
      <c r="V83" s="3138"/>
      <c r="W83" s="3138"/>
      <c r="X83" s="3138"/>
      <c r="Y83" s="3138"/>
      <c r="AC83" s="3013"/>
    </row>
    <row r="84" spans="1:29" ht="13.5" thickBot="1">
      <c r="A84" s="675"/>
      <c r="B84" s="5995"/>
      <c r="C84" s="1179"/>
      <c r="D84" s="2499"/>
      <c r="E84" s="70"/>
      <c r="F84" s="70"/>
      <c r="G84" s="70"/>
      <c r="H84" s="923"/>
      <c r="I84" s="923"/>
      <c r="J84" s="319"/>
      <c r="K84" s="319"/>
      <c r="L84" s="14"/>
      <c r="M84" s="14"/>
      <c r="N84" s="14">
        <f>IF(N83="",0,N83)</f>
        <v>0</v>
      </c>
      <c r="O84" s="97"/>
      <c r="P84" s="675"/>
      <c r="Q84" s="675"/>
      <c r="R84" s="675"/>
      <c r="S84" s="675"/>
      <c r="U84" s="3138"/>
      <c r="V84" s="3138"/>
      <c r="W84" s="3138"/>
      <c r="X84" s="3138"/>
      <c r="Y84" s="3138"/>
      <c r="AC84" s="3013"/>
    </row>
    <row r="85" spans="1:29">
      <c r="A85" s="675"/>
      <c r="B85" s="5995"/>
      <c r="C85" s="1179"/>
      <c r="D85" s="2499" t="s">
        <v>399</v>
      </c>
      <c r="E85" s="70" t="s">
        <v>2574</v>
      </c>
      <c r="F85" s="70"/>
      <c r="G85" s="70"/>
      <c r="H85" s="923"/>
      <c r="I85" s="923"/>
      <c r="J85" s="319"/>
      <c r="K85" s="319"/>
      <c r="L85" s="14"/>
      <c r="M85" s="14"/>
      <c r="N85" s="14"/>
      <c r="O85" s="97"/>
      <c r="P85" s="675"/>
      <c r="Q85" s="675"/>
      <c r="R85" s="675"/>
      <c r="S85" s="675"/>
      <c r="U85" s="3375" t="s">
        <v>294</v>
      </c>
      <c r="V85" s="3288" t="str">
        <f>IF(OR(NOT(FEI_Tax_Worksheet),NOT(Y85)),"",IF(FEI_TW_Line3="",0,FEI_TW_Line3))</f>
        <v/>
      </c>
      <c r="W85" s="3289" t="s">
        <v>2573</v>
      </c>
      <c r="X85" s="971"/>
      <c r="Y85" s="971" t="b">
        <f>CGTW</f>
        <v>0</v>
      </c>
      <c r="Z85" s="3295" t="s">
        <v>2556</v>
      </c>
      <c r="AA85" s="3290"/>
      <c r="AC85" s="3013"/>
    </row>
    <row r="86" spans="1:29">
      <c r="A86" s="675"/>
      <c r="B86" s="5995"/>
      <c r="C86" s="1179"/>
      <c r="D86" s="2499"/>
      <c r="E86" s="70" t="s">
        <v>4053</v>
      </c>
      <c r="F86" s="70"/>
      <c r="G86" s="70"/>
      <c r="H86" s="923"/>
      <c r="I86" s="923"/>
      <c r="J86" s="319"/>
      <c r="K86" s="319"/>
      <c r="L86" s="14"/>
      <c r="M86" s="14"/>
      <c r="N86" s="6795" t="str">
        <f>IF(R89&lt;&gt;"","Manual override",IF(NOT(FEI_Tax_Worksheet),"",IF(AND(U73&gt;100000,Y77),"Tax Formula",IF(Y77,"Tax Table",IF(Z168,"Sch. D Tax Worksheet",IF(AA110,"Qualified Div &amp; Capital Gain Tax Worksheet",""))))))</f>
        <v/>
      </c>
      <c r="O86" s="97"/>
      <c r="P86" s="675"/>
      <c r="Q86" s="675"/>
      <c r="R86" s="675"/>
      <c r="S86" s="675"/>
      <c r="U86" s="3376" t="s">
        <v>0</v>
      </c>
      <c r="V86" s="3287">
        <f>Qualified_Dividends</f>
        <v>0</v>
      </c>
      <c r="W86" s="989" t="s">
        <v>4080</v>
      </c>
      <c r="Z86" s="147"/>
      <c r="AA86" s="3364" t="s">
        <v>2557</v>
      </c>
      <c r="AC86" s="3013"/>
    </row>
    <row r="87" spans="1:29" ht="13.5" customHeight="1">
      <c r="A87" s="675"/>
      <c r="B87" s="5995"/>
      <c r="C87" s="1179"/>
      <c r="D87" s="2499"/>
      <c r="E87" s="999" t="s">
        <v>4295</v>
      </c>
      <c r="F87" s="70"/>
      <c r="G87" s="70"/>
      <c r="H87" s="923"/>
      <c r="I87" s="923"/>
      <c r="J87" s="319"/>
      <c r="K87" s="319"/>
      <c r="L87" s="14"/>
      <c r="M87" s="14"/>
      <c r="N87" s="6795"/>
      <c r="O87" s="97"/>
      <c r="P87" s="675"/>
      <c r="Q87" s="675"/>
      <c r="R87" s="675"/>
      <c r="S87" s="675"/>
      <c r="U87" s="3376" t="s">
        <v>1</v>
      </c>
      <c r="V87" s="3287" t="str">
        <f>IF(NOT(FilingScheduleD),CapitalGains,IF(OR(SchDLine15="",SchDLine15&lt;=0,SchDLine16="",SchDLine16&lt;=0),0,MIN(SchDLine15,SchDLine16)))</f>
        <v/>
      </c>
      <c r="W87" s="989" t="s">
        <v>4081</v>
      </c>
      <c r="AA87" s="3291"/>
      <c r="AC87" s="3013"/>
    </row>
    <row r="88" spans="1:29">
      <c r="A88" s="675"/>
      <c r="B88" s="5995"/>
      <c r="C88" s="1179"/>
      <c r="D88" s="2499"/>
      <c r="E88" s="70" t="s">
        <v>3411</v>
      </c>
      <c r="F88" s="70"/>
      <c r="G88" s="70"/>
      <c r="H88" s="923"/>
      <c r="I88" s="923"/>
      <c r="J88" s="319"/>
      <c r="K88" s="319"/>
      <c r="L88" s="14"/>
      <c r="M88" s="14"/>
      <c r="N88" s="6795"/>
      <c r="O88" s="97"/>
      <c r="P88" s="675"/>
      <c r="Q88" s="675"/>
      <c r="R88" s="675"/>
      <c r="S88" s="675"/>
      <c r="U88" s="3376" t="s">
        <v>399</v>
      </c>
      <c r="V88" s="3286">
        <f>SUM(V86,V87)</f>
        <v>0</v>
      </c>
      <c r="W88" s="989" t="s">
        <v>2484</v>
      </c>
      <c r="AA88" s="3291"/>
      <c r="AC88" s="3013"/>
    </row>
    <row r="89" spans="1:29" ht="13.5" thickBot="1">
      <c r="A89" s="675"/>
      <c r="B89" s="5995"/>
      <c r="C89" s="1179"/>
      <c r="D89" s="2499"/>
      <c r="E89" s="70" t="s">
        <v>3412</v>
      </c>
      <c r="F89" s="70"/>
      <c r="G89" s="70"/>
      <c r="H89" s="923"/>
      <c r="I89" s="923"/>
      <c r="J89" s="319"/>
      <c r="K89" s="319"/>
      <c r="L89" s="281" t="s">
        <v>2629</v>
      </c>
      <c r="M89" s="1338" t="s">
        <v>399</v>
      </c>
      <c r="N89" s="5594" t="str">
        <f>IF(R89&lt;&gt;"",ROUND(R89,0),IF(NOT(FEI_Tax_Worksheet),"",IF(AND(U73&gt;100000,Y77),U76,IF(Y77,U75,IF(Z168,X168,IF(AA110,V109,""))))))</f>
        <v/>
      </c>
      <c r="O89" s="97"/>
      <c r="P89" s="675"/>
      <c r="Q89" s="675"/>
      <c r="R89" s="3685"/>
      <c r="S89" s="675"/>
      <c r="U89" s="3377" t="s">
        <v>31</v>
      </c>
      <c r="V89" s="3286">
        <f>MAX(0,SUM(V85,-V88))</f>
        <v>0</v>
      </c>
      <c r="W89" s="3363" t="s">
        <v>5868</v>
      </c>
      <c r="X89" s="270" t="s">
        <v>69</v>
      </c>
      <c r="Y89" s="270" t="s">
        <v>2552</v>
      </c>
      <c r="Z89" s="270" t="s">
        <v>458</v>
      </c>
      <c r="AA89" s="5595" t="s">
        <v>2000</v>
      </c>
      <c r="AC89" s="3013"/>
    </row>
    <row r="90" spans="1:29" ht="14.25" thickTop="1" thickBot="1">
      <c r="A90" s="675"/>
      <c r="B90" s="5995"/>
      <c r="C90" s="1179"/>
      <c r="D90" s="2499"/>
      <c r="E90" s="70"/>
      <c r="F90" s="70"/>
      <c r="G90" s="70"/>
      <c r="H90" s="923"/>
      <c r="I90" s="923"/>
      <c r="J90" s="319"/>
      <c r="K90" s="319"/>
      <c r="L90" s="14"/>
      <c r="M90" s="14"/>
      <c r="N90" s="14"/>
      <c r="O90" s="97"/>
      <c r="P90" s="675"/>
      <c r="Q90" s="675"/>
      <c r="R90" s="675"/>
      <c r="S90" s="675"/>
      <c r="U90" s="3377" t="s">
        <v>67</v>
      </c>
      <c r="V90" s="3286" t="str">
        <f>IF(OR(File_Single&lt;&gt;"",File_Marr_Sep&lt;&gt;""),CGTW_Line6_SMFS,IF(OR(File_Marr_Joint&lt;&gt;"",File_Qual_Widow&lt;&gt;""),CGTW_Line6_MFJQW,IF(File_Head&lt;&gt;"",CGTW_Line6_HOH,"")))</f>
        <v/>
      </c>
      <c r="W90" s="5084" t="str">
        <f>V85</f>
        <v/>
      </c>
      <c r="X90" s="5083" t="e">
        <f>LOOKUP(W90,'Tax Table'!$B$2:$B$2063,'Tax Table'!$D$2:$D$2063)</f>
        <v>#N/A</v>
      </c>
      <c r="Y90" s="3346" t="e">
        <f>LOOKUP(W90,'Tax Table'!$B$2:$B$2063,'Tax Table'!$E$2:$E$2063)</f>
        <v>#N/A</v>
      </c>
      <c r="Z90" s="3346" t="e">
        <f>LOOKUP(W90,'Tax Table'!$B$2:$B$2063,'Tax Table'!$F$2:$F$2063)</f>
        <v>#N/A</v>
      </c>
      <c r="AA90" s="3347" t="e">
        <f>LOOKUP(W90,'Tax Table'!$B$2:$B$2063,'Tax Table'!$G$2:$G$2063)</f>
        <v>#N/A</v>
      </c>
      <c r="AC90" s="3013"/>
    </row>
    <row r="91" spans="1:29" ht="14.25" thickTop="1" thickBot="1">
      <c r="A91" s="675"/>
      <c r="B91" s="5995"/>
      <c r="C91" s="1179"/>
      <c r="D91" s="2499" t="s">
        <v>31</v>
      </c>
      <c r="E91" s="70" t="s">
        <v>2575</v>
      </c>
      <c r="F91" s="70"/>
      <c r="G91" s="70"/>
      <c r="H91" s="923"/>
      <c r="I91" s="923"/>
      <c r="J91" s="319"/>
      <c r="K91" s="319"/>
      <c r="L91" s="14"/>
      <c r="M91" s="14"/>
      <c r="N91" s="14"/>
      <c r="O91" s="97"/>
      <c r="P91" s="675"/>
      <c r="Q91" s="675"/>
      <c r="R91" s="675"/>
      <c r="S91" s="675"/>
      <c r="U91" s="3377" t="s">
        <v>68</v>
      </c>
      <c r="V91" s="3286">
        <f>MIN(V85,V90)</f>
        <v>0</v>
      </c>
      <c r="W91" s="3341"/>
      <c r="X91" s="3348" t="e">
        <f>IF(W90&lt;SectA_a3,"---",IF(W90&lt;=SectA_a4,ROUND((W90*(SectA_b4/100)-SectA_d4),0),IF(W90&lt;=SectA_a5,ROUND((W90*(SectA_b5/100)-SectA_d5),0),IF(W90&lt;=SectA_a6,ROUND((W90*(SectA_b6/100)-SectA_d6),0),ROUND((W90*(SectA_b7/100)-SectA_d7),0)))))</f>
        <v>#VALUE!</v>
      </c>
      <c r="Y91" s="3348" t="e">
        <f>IF(W90&lt;SectB_a2,"---",IF(W90&lt;=SectB_a3,ROUND((W90*(SectB_b3/100)-SectB_d3),0),IF(W90&lt;=SectB_a4,ROUND((W90*(SectB_b4/100)-SectB_d4),0),IF(W90&lt;=SectB_a5,ROUND((W90*(SectB_b5/100)-SectB_d5),0),IF(W90&lt;=SectB_a6,ROUND((W90*(SectB_b6/100)-SectB_d6),0),ROUND((W90*(SectB_b7/100)-SectB_d7),0))))))</f>
        <v>#VALUE!</v>
      </c>
      <c r="Z91" s="3348" t="e">
        <f>IF(W90&lt;SectC_a2,"---",IF(W90&lt;=SectC_a3,ROUND((W90*(SectC_b3/100)-SectC_d3),0),IF(W90&lt;=SectC_a4,ROUND((W90*(SectC_b4/100)-SectC_d4),0),IF(W90&lt;=SectC_a5,ROUND((W90*(SectC_b5/100)-SectC_d5),0),ROUND((W90*(SectC_b6/100)-SectC_d6),0)))))</f>
        <v>#VALUE!</v>
      </c>
      <c r="AA91" s="3349" t="e">
        <f>IF(W90&lt;SectD_a2,"---",IF(W90&lt;=SectD_a3,ROUND((W90*(SectD_b3/100)-SectD_d3),0),IF(W90&lt;=SectD_a4,ROUND((W90*(SectD_b4/100)-SectD_d4),0),IF(W90&lt;=SectD_a5,ROUND((W90*(SectD_b5/100)-SectD_d5),0),IF(W90&lt;=SectD_a6,ROUND((W90*(SectD_b6/100)-SectD_d6),0),ROUND((W90*(SectD_b7/100)-SectD_d7),0))))))</f>
        <v>#VALUE!</v>
      </c>
      <c r="AC91" s="3013"/>
    </row>
    <row r="92" spans="1:29" ht="13.5" thickBot="1">
      <c r="A92" s="675"/>
      <c r="B92" s="5995"/>
      <c r="C92" s="1179"/>
      <c r="D92" s="2499"/>
      <c r="E92" s="70" t="s">
        <v>1633</v>
      </c>
      <c r="F92" s="70"/>
      <c r="G92" s="70"/>
      <c r="H92" s="923"/>
      <c r="I92" s="923"/>
      <c r="J92" s="319"/>
      <c r="K92" s="319"/>
      <c r="L92" s="14"/>
      <c r="M92" s="14"/>
      <c r="N92" s="14"/>
      <c r="O92" s="97"/>
      <c r="P92" s="675"/>
      <c r="Q92" s="675"/>
      <c r="R92" s="675"/>
      <c r="S92" s="675"/>
      <c r="U92" s="3377" t="s">
        <v>204</v>
      </c>
      <c r="V92" s="3286">
        <f>MIN(V89,V91)</f>
        <v>0</v>
      </c>
      <c r="W92" s="3342" t="str">
        <f>IF(File_Single&lt;&gt;"",X90,IF(File_Marr_Joint&lt;&gt;"",Y90,IF(File_Marr_Sep&lt;&gt;"", Z90,IF(File_Head&lt;&gt;"",AA90,IF(File_Qual_Widow&lt;&gt;"",Y90,"Filing status?")))))</f>
        <v>Filing status?</v>
      </c>
      <c r="X92" s="2087" t="str">
        <f>"&lt;100k"</f>
        <v>&lt;100k</v>
      </c>
      <c r="Y92" s="2087"/>
      <c r="Z92" s="2087"/>
      <c r="AA92" s="3345"/>
      <c r="AC92" s="3013"/>
    </row>
    <row r="93" spans="1:29" ht="13.5" thickBot="1">
      <c r="A93" s="675"/>
      <c r="B93" s="5995"/>
      <c r="C93" s="1179"/>
      <c r="D93" s="2499"/>
      <c r="E93" s="70" t="s">
        <v>359</v>
      </c>
      <c r="F93" s="70"/>
      <c r="G93" s="70"/>
      <c r="H93" s="923"/>
      <c r="I93" s="923"/>
      <c r="J93" s="319"/>
      <c r="K93" s="319"/>
      <c r="L93" s="281" t="s">
        <v>810</v>
      </c>
      <c r="M93" s="1338" t="s">
        <v>31</v>
      </c>
      <c r="N93" s="5594" t="str">
        <f>IF(R93&lt;&gt;"",ROUND(R93,0),IF(FEI_Tax_Worksheet,Y82,""))</f>
        <v/>
      </c>
      <c r="O93" s="97"/>
      <c r="P93" s="675"/>
      <c r="Q93" s="675"/>
      <c r="R93" s="3685"/>
      <c r="S93" s="675"/>
      <c r="U93" s="3377" t="s">
        <v>205</v>
      </c>
      <c r="V93" s="3286">
        <f>SUM(V91,-V92)</f>
        <v>0</v>
      </c>
      <c r="W93" s="3343" t="str">
        <f>IF(File_Single&lt;&gt;"",X91,IF(OR(File_Marr_Joint&lt;&gt;"",File_Qual_Widow&lt;&gt;""),Y91,IF(File_Marr_Sep&lt;&gt;"", Z91,IF(File_Head&lt;&gt;"",AA91,"Filing status?"))))</f>
        <v>Filing status?</v>
      </c>
      <c r="X93" s="3344" t="str">
        <f>"&gt;=100k"</f>
        <v>&gt;=100k</v>
      </c>
      <c r="Y93" s="3344"/>
      <c r="Z93" s="3350" t="s">
        <v>2553</v>
      </c>
      <c r="AA93" s="3351" t="str">
        <f>IF(W90&gt;100000,W93,W92)</f>
        <v>Filing status?</v>
      </c>
      <c r="AC93" s="3013"/>
    </row>
    <row r="94" spans="1:29" ht="13.5" thickTop="1">
      <c r="A94" s="675"/>
      <c r="B94" s="5995"/>
      <c r="C94" s="1179"/>
      <c r="D94" s="2499"/>
      <c r="E94" s="70"/>
      <c r="F94" s="70"/>
      <c r="G94" s="70"/>
      <c r="H94" s="923"/>
      <c r="I94" s="923"/>
      <c r="J94" s="319"/>
      <c r="K94" s="319"/>
      <c r="L94" s="14"/>
      <c r="M94" s="14"/>
      <c r="N94" s="14"/>
      <c r="O94" s="97"/>
      <c r="P94" s="675"/>
      <c r="Q94" s="675"/>
      <c r="R94" s="675"/>
      <c r="S94" s="675"/>
      <c r="U94" s="3377" t="s">
        <v>295</v>
      </c>
      <c r="V94" s="3286">
        <f>MIN(V85,V88)</f>
        <v>0</v>
      </c>
      <c r="AA94" s="3441" t="s">
        <v>2627</v>
      </c>
    </row>
    <row r="95" spans="1:29">
      <c r="A95" s="675"/>
      <c r="B95" s="5995"/>
      <c r="C95" s="1179"/>
      <c r="D95" s="2499" t="s">
        <v>67</v>
      </c>
      <c r="E95" s="70" t="s">
        <v>1634</v>
      </c>
      <c r="F95" s="70"/>
      <c r="G95" s="70"/>
      <c r="H95" s="923"/>
      <c r="I95" s="923"/>
      <c r="J95" s="319"/>
      <c r="K95" s="319"/>
      <c r="L95" s="14"/>
      <c r="M95" s="14"/>
      <c r="N95" s="14"/>
      <c r="O95" s="97"/>
      <c r="P95" s="675"/>
      <c r="Q95" s="675"/>
      <c r="R95" s="675"/>
      <c r="S95" s="675"/>
      <c r="U95" s="3377" t="s">
        <v>296</v>
      </c>
      <c r="V95" s="3286">
        <f>V93</f>
        <v>0</v>
      </c>
      <c r="AA95" s="3291"/>
    </row>
    <row r="96" spans="1:29">
      <c r="A96" s="675"/>
      <c r="B96" s="5995"/>
      <c r="C96" s="1179"/>
      <c r="D96" s="2499"/>
      <c r="E96" s="70" t="s">
        <v>5986</v>
      </c>
      <c r="F96" s="70"/>
      <c r="G96" s="70"/>
      <c r="H96" s="923"/>
      <c r="I96" s="923"/>
      <c r="J96" s="319"/>
      <c r="K96" s="319"/>
      <c r="L96" s="281" t="s">
        <v>2630</v>
      </c>
      <c r="M96" s="1338" t="s">
        <v>67</v>
      </c>
      <c r="N96" s="5594" t="str">
        <f>IF(R96&lt;&gt;"",ROUND(R96,0),IF(FEI_Tax_Worksheet,MAX(0,SUM(N89,-N93)),""))</f>
        <v/>
      </c>
      <c r="O96" s="97"/>
      <c r="P96" s="675"/>
      <c r="Q96" s="675"/>
      <c r="R96" s="3685"/>
      <c r="S96" s="675"/>
      <c r="U96" s="3377" t="s">
        <v>297</v>
      </c>
      <c r="V96" s="3286">
        <f>SUM(V94,-V95)</f>
        <v>0</v>
      </c>
      <c r="AA96" s="3291"/>
    </row>
    <row r="97" spans="1:28" ht="13.5" thickBot="1">
      <c r="A97" s="675"/>
      <c r="B97" s="5995"/>
      <c r="C97" s="1179"/>
      <c r="D97" s="2499"/>
      <c r="E97" s="1750"/>
      <c r="F97" s="70"/>
      <c r="G97" s="70"/>
      <c r="H97" s="70"/>
      <c r="I97" s="923"/>
      <c r="J97" s="319"/>
      <c r="K97" s="319"/>
      <c r="L97" s="14"/>
      <c r="M97" s="14"/>
      <c r="N97" s="14"/>
      <c r="O97" s="97"/>
      <c r="P97" s="675"/>
      <c r="Q97" s="675"/>
      <c r="R97" s="675"/>
      <c r="S97" s="675"/>
      <c r="U97" s="3377" t="s">
        <v>431</v>
      </c>
      <c r="V97" s="3286" t="str">
        <f>IF(File_Single&lt;&gt;"",CGTW_Line13_Single,IF(File_Marr_Sep&lt;&gt;"",CGTW_Line13_MFS,IF(OR(File_Marr_Joint&lt;&gt;"",File_Qual_Widow&lt;&gt;""),CGTW_Line13_MFJQW,IF(File_Head&lt;&gt;"",CGTW_Line13_HOH,""))))</f>
        <v/>
      </c>
      <c r="W97" s="3363" t="s">
        <v>5869</v>
      </c>
      <c r="X97" s="270" t="s">
        <v>69</v>
      </c>
      <c r="Y97" s="270" t="s">
        <v>2552</v>
      </c>
      <c r="Z97" s="270" t="s">
        <v>458</v>
      </c>
      <c r="AA97" s="5595" t="s">
        <v>2000</v>
      </c>
    </row>
    <row r="98" spans="1:28" ht="14.25" thickTop="1" thickBot="1">
      <c r="A98" s="6000"/>
      <c r="B98" s="2510" t="s">
        <v>1637</v>
      </c>
      <c r="C98" s="5995"/>
      <c r="D98" s="1179"/>
      <c r="E98" s="70"/>
      <c r="F98" s="70"/>
      <c r="G98" s="70"/>
      <c r="H98" s="923"/>
      <c r="I98" s="319"/>
      <c r="J98" s="319"/>
      <c r="K98" s="319"/>
      <c r="L98" s="14"/>
      <c r="M98" s="14"/>
      <c r="N98" s="14"/>
      <c r="O98" s="97"/>
      <c r="P98" s="675"/>
      <c r="Q98" s="675"/>
      <c r="R98" s="675"/>
      <c r="S98" s="675"/>
      <c r="U98" s="3377" t="s">
        <v>432</v>
      </c>
      <c r="V98" s="3286">
        <f>MIN(V85,V97)</f>
        <v>0</v>
      </c>
      <c r="W98" s="5084">
        <f>V89</f>
        <v>0</v>
      </c>
      <c r="X98" s="5083">
        <f>LOOKUP(W98,'Tax Table'!$B$2:$B$2063,'Tax Table'!$D$2:$D$2063)</f>
        <v>0</v>
      </c>
      <c r="Y98" s="3346">
        <f>LOOKUP(W98,'Tax Table'!$B$2:$B$2063,'Tax Table'!$E$2:$E$2063)</f>
        <v>0</v>
      </c>
      <c r="Z98" s="3346">
        <f>LOOKUP(W98,'Tax Table'!$B$2:$B$2063,'Tax Table'!$F$2:$F$2063)</f>
        <v>0</v>
      </c>
      <c r="AA98" s="3347">
        <f>LOOKUP(W98,'Tax Table'!$B$2:$B$2063,'Tax Table'!$G$2:$G$2063)</f>
        <v>0</v>
      </c>
    </row>
    <row r="99" spans="1:28" ht="14.25" thickTop="1" thickBot="1">
      <c r="A99" s="6000"/>
      <c r="B99" s="2510" t="s">
        <v>1635</v>
      </c>
      <c r="C99" s="5995"/>
      <c r="D99" s="1179"/>
      <c r="E99" s="70"/>
      <c r="F99" s="70"/>
      <c r="G99" s="70"/>
      <c r="H99" s="923"/>
      <c r="I99" s="319"/>
      <c r="J99" s="319"/>
      <c r="K99" s="319"/>
      <c r="L99" s="14"/>
      <c r="M99" s="14"/>
      <c r="N99" s="14"/>
      <c r="O99" s="97"/>
      <c r="P99" s="675"/>
      <c r="Q99" s="675"/>
      <c r="R99" s="675"/>
      <c r="S99" s="675"/>
      <c r="U99" s="3377" t="s">
        <v>433</v>
      </c>
      <c r="V99" s="3286">
        <f>SUM(V89,V93)</f>
        <v>0</v>
      </c>
      <c r="W99" s="3341"/>
      <c r="X99" s="3348" t="str">
        <f>IF(W98&lt;SectA_a3,"---",IF(W98&lt;=SectA_a4,ROUND((W98*(SectA_b4/100)-SectA_d4),0),IF(W98&lt;=SectA_a5,ROUND((W98*(SectA_b5/100)-SectA_d5),0),IF(W98&lt;=SectA_a6,ROUND((W98*(SectA_b6/100)-SectA_d6),0),ROUND((W98*(SectA_b7/100)-SectA_d7),0)))))</f>
        <v>---</v>
      </c>
      <c r="Y99" s="3348" t="str">
        <f>IF(W98&lt;SectB_a2,"---",IF(W98&lt;=SectB_a3,ROUND((W98*(SectB_b3/100)-SectB_d3),0),IF(W98&lt;=SectB_a4,ROUND((W98*(SectB_b4/100)-SectB_d4),0),IF(W98&lt;=SectB_a5,ROUND((W98*(SectB_b5/100)-SectB_d5),0),IF(W98&lt;=SectB_a6,ROUND((W98*(SectB_b6/100)-SectB_d6),0),ROUND((W98*(SectB_b7/100)-SectB_d7),0))))))</f>
        <v>---</v>
      </c>
      <c r="Z99" s="3348" t="str">
        <f>IF(W98&lt;SectC_a2,"---",IF(W98&lt;=SectC_a3,ROUND((W98*(SectC_b3/100)-SectC_d3),0),IF(W98&lt;=SectC_a4,ROUND((W98*(SectC_b4/100)-SectC_d4),0),IF(W98&lt;=SectC_a5,ROUND((W98*(SectC_b5/100)-SectC_d5),0),ROUND((W98*(SectC_b6/100)-SectC_d6),0)))))</f>
        <v>---</v>
      </c>
      <c r="AA99" s="3349" t="str">
        <f>IF(W98&lt;SectD_a2,"---",IF(W98&lt;=SectD_a3,ROUND((W98*(SectD_b3/100)-SectD_d3),0),IF(W98&lt;=SectD_a4,ROUND((W98*(SectD_b4/100)-SectD_d4),0),IF(W98&lt;=SectD_a5,ROUND((W98*(SectD_b5/100)-SectD_d5),0),IF(W98&lt;=SectD_a6,ROUND((W98*(SectD_b6/100)-SectD_d6),0),ROUND((W98*(SectD_b7/100)-SectD_d7),0))))))</f>
        <v>---</v>
      </c>
    </row>
    <row r="100" spans="1:28" ht="13.5" thickBot="1">
      <c r="A100" s="6000"/>
      <c r="B100" s="2510" t="s">
        <v>1636</v>
      </c>
      <c r="C100" s="5995"/>
      <c r="D100" s="1179"/>
      <c r="E100" s="70"/>
      <c r="F100" s="70"/>
      <c r="G100" s="70"/>
      <c r="H100" s="923"/>
      <c r="I100" s="319"/>
      <c r="J100" s="319"/>
      <c r="K100" s="319"/>
      <c r="L100" s="14"/>
      <c r="M100" s="14"/>
      <c r="N100" s="14"/>
      <c r="O100" s="97"/>
      <c r="P100" s="675"/>
      <c r="Q100" s="675"/>
      <c r="R100" s="675"/>
      <c r="S100" s="675"/>
      <c r="U100" s="3377" t="s">
        <v>189</v>
      </c>
      <c r="V100" s="3286">
        <f>MAX(0,SUM(V98,-V99))</f>
        <v>0</v>
      </c>
      <c r="W100" s="3342" t="str">
        <f>IF(File_Single&lt;&gt;"",X98,IF(File_Marr_Joint&lt;&gt;"",Y98,IF(File_Marr_Sep&lt;&gt;"", Z98,IF(File_Head&lt;&gt;"",AA98,IF(File_Qual_Widow&lt;&gt;"",Y98,"Filing status?")))))</f>
        <v>Filing status?</v>
      </c>
      <c r="X100" s="2087" t="str">
        <f>"&lt;100k"</f>
        <v>&lt;100k</v>
      </c>
      <c r="Y100" s="2087"/>
      <c r="Z100" s="2087"/>
      <c r="AA100" s="3345"/>
    </row>
    <row r="101" spans="1:28" ht="13.5" thickBot="1">
      <c r="A101" s="6000"/>
      <c r="B101" s="2510" t="s">
        <v>4054</v>
      </c>
      <c r="C101" s="5995"/>
      <c r="D101" s="1179"/>
      <c r="E101" s="70"/>
      <c r="F101" s="70"/>
      <c r="G101" s="70"/>
      <c r="H101" s="923"/>
      <c r="I101" s="319"/>
      <c r="J101" s="319"/>
      <c r="K101" s="319"/>
      <c r="L101" s="14"/>
      <c r="M101" s="14"/>
      <c r="N101" s="14"/>
      <c r="O101" s="97"/>
      <c r="P101" s="675"/>
      <c r="Q101" s="675"/>
      <c r="R101" s="675"/>
      <c r="S101" s="675"/>
      <c r="U101" s="3377" t="s">
        <v>479</v>
      </c>
      <c r="V101" s="3286">
        <f>MIN(V96,V100)</f>
        <v>0</v>
      </c>
      <c r="W101" s="3343" t="str">
        <f>IF(File_Single&lt;&gt;"",X99,IF(OR(File_Marr_Joint&lt;&gt;"",File_Qual_Widow&lt;&gt;""),Y99,IF(File_Marr_Sep&lt;&gt;"", Z99,IF(File_Head&lt;&gt;"",AA99,"Filing status?"))))</f>
        <v>Filing status?</v>
      </c>
      <c r="X101" s="3344" t="str">
        <f>"&gt;=100k"</f>
        <v>&gt;=100k</v>
      </c>
      <c r="Y101" s="3344"/>
      <c r="Z101" s="3350" t="s">
        <v>2553</v>
      </c>
      <c r="AA101" s="3351" t="str">
        <f>IF(W98&gt;100000,W101,W100)</f>
        <v>Filing status?</v>
      </c>
    </row>
    <row r="102" spans="1:28" ht="13.5" thickTop="1">
      <c r="A102" s="6000"/>
      <c r="B102" s="2510" t="s">
        <v>3413</v>
      </c>
      <c r="C102" s="5995"/>
      <c r="D102" s="1179"/>
      <c r="E102" s="70"/>
      <c r="F102" s="70"/>
      <c r="G102" s="70"/>
      <c r="H102" s="923"/>
      <c r="I102" s="319"/>
      <c r="J102" s="319"/>
      <c r="K102" s="319"/>
      <c r="L102" s="14"/>
      <c r="M102" s="14"/>
      <c r="N102" s="14"/>
      <c r="O102" s="97"/>
      <c r="P102" s="675"/>
      <c r="Q102" s="675"/>
      <c r="R102" s="675"/>
      <c r="S102" s="675"/>
      <c r="U102" s="3378" t="s">
        <v>480</v>
      </c>
      <c r="V102" s="3286">
        <f>ROUND((V101*CGTW_Line18_PCT),0)</f>
        <v>0</v>
      </c>
      <c r="AA102" s="3441" t="s">
        <v>2628</v>
      </c>
    </row>
    <row r="103" spans="1:28">
      <c r="A103" s="6000"/>
      <c r="B103" s="2510" t="s">
        <v>2925</v>
      </c>
      <c r="C103" s="5995"/>
      <c r="D103" s="1179"/>
      <c r="E103" s="70"/>
      <c r="F103" s="70"/>
      <c r="G103" s="70"/>
      <c r="H103" s="923"/>
      <c r="I103" s="319"/>
      <c r="J103" s="319"/>
      <c r="K103" s="319"/>
      <c r="L103" s="14"/>
      <c r="M103" s="14"/>
      <c r="N103" s="14"/>
      <c r="O103" s="97"/>
      <c r="P103" s="675"/>
      <c r="Q103" s="675"/>
      <c r="R103" s="675"/>
      <c r="S103" s="675"/>
      <c r="U103" s="3377" t="s">
        <v>481</v>
      </c>
      <c r="V103" s="3286">
        <f>SUM(V93,V101)</f>
        <v>0</v>
      </c>
      <c r="AA103" s="3291"/>
    </row>
    <row r="104" spans="1:28">
      <c r="A104" s="6000"/>
      <c r="B104" s="2510" t="s">
        <v>1638</v>
      </c>
      <c r="C104" s="5995"/>
      <c r="D104" s="1179"/>
      <c r="E104" s="70"/>
      <c r="F104" s="70"/>
      <c r="G104" s="70"/>
      <c r="H104" s="923"/>
      <c r="I104" s="319"/>
      <c r="J104" s="319"/>
      <c r="K104" s="319"/>
      <c r="L104" s="14"/>
      <c r="M104" s="14"/>
      <c r="N104" s="14"/>
      <c r="O104" s="97"/>
      <c r="P104" s="675"/>
      <c r="Q104" s="675"/>
      <c r="R104" s="675"/>
      <c r="S104" s="675"/>
      <c r="U104" s="3377" t="s">
        <v>345</v>
      </c>
      <c r="V104" s="3286">
        <f>SUM(V94,-V103)</f>
        <v>0</v>
      </c>
      <c r="AA104" s="3291"/>
    </row>
    <row r="105" spans="1:28">
      <c r="A105" s="6000"/>
      <c r="B105" s="2510" t="s">
        <v>1639</v>
      </c>
      <c r="C105" s="5995"/>
      <c r="D105" s="1179"/>
      <c r="E105" s="70"/>
      <c r="F105" s="70"/>
      <c r="G105" s="70"/>
      <c r="H105" s="923"/>
      <c r="I105" s="319"/>
      <c r="J105" s="319"/>
      <c r="K105" s="319"/>
      <c r="L105" s="14"/>
      <c r="M105" s="14"/>
      <c r="N105" s="14"/>
      <c r="O105" s="97"/>
      <c r="P105" s="675"/>
      <c r="Q105" s="675"/>
      <c r="R105" s="675"/>
      <c r="S105" s="675"/>
      <c r="U105" s="3378" t="s">
        <v>346</v>
      </c>
      <c r="V105" s="3286">
        <f>ROUND(V104*CGTW_Line21_PCT,0)</f>
        <v>0</v>
      </c>
      <c r="AA105" s="3291"/>
    </row>
    <row r="106" spans="1:28">
      <c r="A106" s="6000"/>
      <c r="B106" s="2510" t="s">
        <v>1640</v>
      </c>
      <c r="C106" s="5995"/>
      <c r="D106" s="1179"/>
      <c r="E106" s="70"/>
      <c r="F106" s="70"/>
      <c r="G106" s="70"/>
      <c r="H106" s="923"/>
      <c r="I106" s="319"/>
      <c r="J106" s="319"/>
      <c r="K106" s="319"/>
      <c r="L106" s="14"/>
      <c r="M106" s="14"/>
      <c r="N106" s="14"/>
      <c r="O106" s="97"/>
      <c r="P106" s="675"/>
      <c r="Q106" s="675"/>
      <c r="R106" s="675"/>
      <c r="S106" s="675"/>
      <c r="U106" s="3378" t="s">
        <v>347</v>
      </c>
      <c r="V106" s="3286" t="str">
        <f>AA101</f>
        <v>Filing status?</v>
      </c>
      <c r="W106" s="989" t="s">
        <v>4079</v>
      </c>
      <c r="AA106" s="3291"/>
    </row>
    <row r="107" spans="1:28">
      <c r="A107" s="6000"/>
      <c r="B107" s="2510" t="s">
        <v>1641</v>
      </c>
      <c r="C107" s="5995"/>
      <c r="D107" s="1179"/>
      <c r="E107" s="70"/>
      <c r="F107" s="70"/>
      <c r="G107" s="70"/>
      <c r="H107" s="923"/>
      <c r="I107" s="319"/>
      <c r="J107" s="319"/>
      <c r="K107" s="319"/>
      <c r="L107" s="14"/>
      <c r="M107" s="14"/>
      <c r="N107" s="14"/>
      <c r="O107" s="97"/>
      <c r="P107" s="675"/>
      <c r="Q107" s="675"/>
      <c r="R107" s="675"/>
      <c r="S107" s="675"/>
      <c r="U107" s="3378" t="s">
        <v>348</v>
      </c>
      <c r="V107" s="3286">
        <f>SUM(V102,V105,V106)</f>
        <v>0</v>
      </c>
      <c r="AA107" s="3291"/>
    </row>
    <row r="108" spans="1:28">
      <c r="A108" s="6000"/>
      <c r="B108" s="2510" t="s">
        <v>1642</v>
      </c>
      <c r="C108" s="5995"/>
      <c r="D108" s="1179"/>
      <c r="E108" s="70"/>
      <c r="F108" s="70"/>
      <c r="G108" s="70"/>
      <c r="H108" s="923"/>
      <c r="I108" s="319"/>
      <c r="J108" s="319"/>
      <c r="K108" s="319"/>
      <c r="L108" s="14"/>
      <c r="M108" s="14"/>
      <c r="N108" s="14"/>
      <c r="O108" s="97"/>
      <c r="P108" s="675"/>
      <c r="Q108" s="675"/>
      <c r="R108" s="675"/>
      <c r="S108" s="675"/>
      <c r="U108" s="3378" t="s">
        <v>349</v>
      </c>
      <c r="V108" s="3286" t="str">
        <f>AA93</f>
        <v>Filing status?</v>
      </c>
      <c r="W108" s="989" t="s">
        <v>2483</v>
      </c>
      <c r="AA108" s="3291"/>
    </row>
    <row r="109" spans="1:28" ht="13.5" thickBot="1">
      <c r="A109" s="6000"/>
      <c r="B109" s="2510" t="s">
        <v>1643</v>
      </c>
      <c r="C109" s="5995"/>
      <c r="D109" s="1179"/>
      <c r="E109" s="70"/>
      <c r="F109" s="70"/>
      <c r="G109" s="70"/>
      <c r="H109" s="923"/>
      <c r="I109" s="319"/>
      <c r="J109" s="319"/>
      <c r="K109" s="319"/>
      <c r="L109" s="14"/>
      <c r="M109" s="14"/>
      <c r="N109" s="14"/>
      <c r="O109" s="97"/>
      <c r="P109" s="675"/>
      <c r="Q109" s="675"/>
      <c r="R109" s="675"/>
      <c r="S109" s="675"/>
      <c r="U109" s="3379" t="s">
        <v>350</v>
      </c>
      <c r="V109" s="3292" t="str">
        <f>IF(NOT(Y85),"",MIN(V107,V108))</f>
        <v/>
      </c>
      <c r="W109" s="3296" t="s">
        <v>2485</v>
      </c>
      <c r="X109" s="3293"/>
      <c r="Y109" s="3293"/>
      <c r="Z109" s="3293"/>
      <c r="AA109" s="3294"/>
    </row>
    <row r="110" spans="1:28">
      <c r="A110" s="6000"/>
      <c r="B110" s="2510" t="s">
        <v>1644</v>
      </c>
      <c r="C110" s="5995"/>
      <c r="D110" s="1179"/>
      <c r="E110" s="70"/>
      <c r="F110" s="70"/>
      <c r="G110" s="70"/>
      <c r="H110" s="923"/>
      <c r="I110" s="319"/>
      <c r="J110" s="319"/>
      <c r="K110" s="319"/>
      <c r="L110" s="14"/>
      <c r="M110" s="14"/>
      <c r="N110" s="14"/>
      <c r="O110" s="97"/>
      <c r="P110" s="675"/>
      <c r="Q110" s="675"/>
      <c r="R110" s="675"/>
      <c r="S110" s="675"/>
      <c r="AA110" s="42" t="b">
        <f>V109=MIN(Y76,V109,X168)</f>
        <v>0</v>
      </c>
    </row>
    <row r="111" spans="1:28">
      <c r="A111" s="6000"/>
      <c r="B111" s="2510" t="s">
        <v>1645</v>
      </c>
      <c r="C111" s="5995"/>
      <c r="D111" s="1179"/>
      <c r="E111" s="70"/>
      <c r="F111" s="70"/>
      <c r="G111" s="70"/>
      <c r="H111" s="923"/>
      <c r="I111" s="319"/>
      <c r="J111" s="319"/>
      <c r="K111" s="319"/>
      <c r="L111" s="14"/>
      <c r="M111" s="14"/>
      <c r="N111" s="14"/>
      <c r="O111" s="97"/>
      <c r="P111" s="675"/>
      <c r="Q111" s="675"/>
      <c r="R111" s="675"/>
      <c r="S111" s="675"/>
      <c r="U111" s="3453" t="s">
        <v>472</v>
      </c>
      <c r="V111" s="3454"/>
      <c r="W111" s="3454"/>
      <c r="X111" s="3454" t="b">
        <f>SchDTW_Used</f>
        <v>0</v>
      </c>
      <c r="Y111" s="3477" t="s">
        <v>2688</v>
      </c>
      <c r="Z111" s="1357"/>
      <c r="AA111" s="1357"/>
      <c r="AB111" s="1357"/>
    </row>
    <row r="112" spans="1:28">
      <c r="A112" s="6000"/>
      <c r="B112" s="2510" t="s">
        <v>3405</v>
      </c>
      <c r="C112" s="5995"/>
      <c r="D112" s="1179"/>
      <c r="E112" s="70"/>
      <c r="F112" s="70"/>
      <c r="G112" s="70"/>
      <c r="H112" s="923"/>
      <c r="I112" s="319"/>
      <c r="J112" s="319"/>
      <c r="K112" s="319"/>
      <c r="L112" s="14"/>
      <c r="M112" s="14"/>
      <c r="N112" s="14"/>
      <c r="O112" s="97"/>
      <c r="P112" s="675"/>
      <c r="Q112" s="675"/>
      <c r="R112" s="675"/>
      <c r="S112" s="675"/>
      <c r="U112" s="3455" t="s">
        <v>294</v>
      </c>
      <c r="V112" s="1357" t="s">
        <v>4106</v>
      </c>
      <c r="W112"/>
      <c r="X112" s="1331" t="str">
        <f>IF(NOT(X111),"",IF(Form2555_Used,FEI_TW_Line3,IF(Taxable_Inc&lt;&gt;"",Taxable_Inc,0)))</f>
        <v/>
      </c>
      <c r="Y112" s="3456"/>
      <c r="Z112" s="1357"/>
      <c r="AA112" s="1357"/>
      <c r="AB112" s="1357"/>
    </row>
    <row r="113" spans="1:28">
      <c r="A113" s="6000"/>
      <c r="B113" s="2510" t="s">
        <v>1646</v>
      </c>
      <c r="C113" s="5995"/>
      <c r="D113" s="1179"/>
      <c r="E113" s="70"/>
      <c r="F113" s="70"/>
      <c r="G113" s="70"/>
      <c r="H113" s="923"/>
      <c r="I113" s="319"/>
      <c r="J113" s="319"/>
      <c r="K113" s="319"/>
      <c r="L113" s="14"/>
      <c r="M113" s="14"/>
      <c r="N113" s="14"/>
      <c r="O113" s="97"/>
      <c r="P113" s="675"/>
      <c r="Q113" s="675"/>
      <c r="R113" s="675"/>
      <c r="S113" s="675"/>
      <c r="U113" s="3457" t="s">
        <v>0</v>
      </c>
      <c r="V113" s="1357" t="s">
        <v>2667</v>
      </c>
      <c r="W113"/>
      <c r="X113" s="1331">
        <f>Qualified_Dividends</f>
        <v>0</v>
      </c>
      <c r="Y113" s="3456"/>
      <c r="Z113" s="1357"/>
      <c r="AA113" s="1357"/>
      <c r="AB113" s="1357"/>
    </row>
    <row r="114" spans="1:28">
      <c r="A114" s="6000"/>
      <c r="B114" s="2510" t="s">
        <v>3406</v>
      </c>
      <c r="C114" s="5995"/>
      <c r="D114" s="1179"/>
      <c r="E114" s="70"/>
      <c r="F114" s="70"/>
      <c r="G114" s="70"/>
      <c r="H114" s="923"/>
      <c r="I114" s="319"/>
      <c r="J114" s="319"/>
      <c r="K114" s="319"/>
      <c r="L114" s="14"/>
      <c r="M114" s="14"/>
      <c r="N114" s="14"/>
      <c r="O114" s="97"/>
      <c r="P114" s="675"/>
      <c r="Q114" s="675"/>
      <c r="R114" s="675"/>
      <c r="S114" s="675"/>
      <c r="U114" s="3458" t="s">
        <v>1</v>
      </c>
      <c r="V114" s="1357" t="s">
        <v>2668</v>
      </c>
      <c r="W114"/>
      <c r="X114" s="1331">
        <f>Form4952_Line4g</f>
        <v>0</v>
      </c>
      <c r="Y114" s="3456"/>
      <c r="Z114" s="1357"/>
      <c r="AA114" s="1357"/>
      <c r="AB114" s="1357"/>
    </row>
    <row r="115" spans="1:28" ht="13.5" thickBot="1">
      <c r="A115" s="6000"/>
      <c r="B115" s="6001"/>
      <c r="C115" s="1280"/>
      <c r="D115" s="6002"/>
      <c r="E115" s="1863"/>
      <c r="F115" s="1545"/>
      <c r="G115" s="1545"/>
      <c r="H115" s="1545"/>
      <c r="I115" s="1864"/>
      <c r="J115" s="1880"/>
      <c r="K115" s="1880"/>
      <c r="L115" s="1881"/>
      <c r="M115" s="1881"/>
      <c r="N115" s="1881"/>
      <c r="O115" s="98"/>
      <c r="P115" s="675"/>
      <c r="Q115" s="675"/>
      <c r="R115" s="675"/>
      <c r="S115" s="675"/>
      <c r="U115" s="3458" t="s">
        <v>399</v>
      </c>
      <c r="V115" s="1357" t="s">
        <v>2669</v>
      </c>
      <c r="W115"/>
      <c r="X115" s="1331">
        <f>Form4952_Line4e</f>
        <v>0</v>
      </c>
      <c r="Y115" s="3456"/>
      <c r="Z115" s="1357"/>
      <c r="AA115" s="1357"/>
      <c r="AB115" s="1357"/>
    </row>
    <row r="116" spans="1:28">
      <c r="A116" s="675"/>
      <c r="B116" s="675"/>
      <c r="C116" s="675"/>
      <c r="D116" s="675"/>
      <c r="E116" s="675"/>
      <c r="F116" s="675"/>
      <c r="G116" s="675"/>
      <c r="H116" s="675"/>
      <c r="I116" s="675"/>
      <c r="J116" s="675"/>
      <c r="K116" s="675"/>
      <c r="L116" s="675"/>
      <c r="M116" s="675"/>
      <c r="N116" s="675"/>
      <c r="O116" s="675"/>
      <c r="P116" s="675"/>
      <c r="Q116" s="675"/>
      <c r="R116" s="675"/>
      <c r="S116" s="675"/>
      <c r="U116" s="3457" t="s">
        <v>31</v>
      </c>
      <c r="V116" s="1357" t="s">
        <v>2670</v>
      </c>
      <c r="W116"/>
      <c r="X116" s="1331">
        <f>MAX(0,SUM(X114-X115))</f>
        <v>0</v>
      </c>
      <c r="Y116" s="3456"/>
      <c r="Z116" s="1357"/>
      <c r="AA116" s="1357"/>
      <c r="AB116" s="1357"/>
    </row>
    <row r="117" spans="1:28">
      <c r="U117" s="3459" t="s">
        <v>67</v>
      </c>
      <c r="V117" s="1357" t="s">
        <v>2671</v>
      </c>
      <c r="W117"/>
      <c r="X117" s="1331">
        <f>MAX(0,SUM(X113,-X116))</f>
        <v>0</v>
      </c>
      <c r="Y117" s="3456"/>
      <c r="Z117" s="1357"/>
      <c r="AA117" s="1357"/>
      <c r="AB117" s="1357"/>
    </row>
    <row r="118" spans="1:28">
      <c r="U118" s="3457" t="s">
        <v>68</v>
      </c>
      <c r="V118" s="1357" t="s">
        <v>2660</v>
      </c>
      <c r="W118"/>
      <c r="X118" s="1331">
        <f>MIN(SchDLine15,SchDLine16)</f>
        <v>0</v>
      </c>
      <c r="Y118" s="3456"/>
      <c r="Z118" s="1357"/>
      <c r="AA118" s="1357"/>
      <c r="AB118" s="1357"/>
    </row>
    <row r="119" spans="1:28">
      <c r="U119" s="3457" t="s">
        <v>204</v>
      </c>
      <c r="V119" s="1357" t="s">
        <v>2672</v>
      </c>
      <c r="W119"/>
      <c r="X119" s="1331">
        <f>MIN(X114,X115)</f>
        <v>0</v>
      </c>
      <c r="Y119" s="3456"/>
      <c r="Z119" s="1357"/>
      <c r="AA119" s="1357"/>
      <c r="AB119" s="1357"/>
    </row>
    <row r="120" spans="1:28">
      <c r="U120" s="3459" t="s">
        <v>205</v>
      </c>
      <c r="V120" s="1357" t="s">
        <v>2673</v>
      </c>
      <c r="W120"/>
      <c r="X120" s="1331">
        <f>MAX(0,SUM(X118,-X119))</f>
        <v>0</v>
      </c>
      <c r="Y120" s="3456"/>
      <c r="Z120" s="1357"/>
      <c r="AA120" s="1357"/>
      <c r="AB120" s="1357"/>
    </row>
    <row r="121" spans="1:28">
      <c r="U121" s="3457" t="s">
        <v>295</v>
      </c>
      <c r="V121" s="1357" t="s">
        <v>80</v>
      </c>
      <c r="W121"/>
      <c r="X121" s="1331">
        <f>SUM(X117,X120)</f>
        <v>0</v>
      </c>
      <c r="Y121" s="3456"/>
      <c r="Z121" s="1357"/>
      <c r="AA121" s="1357"/>
      <c r="AB121" s="1357"/>
    </row>
    <row r="122" spans="1:28">
      <c r="U122" s="3459" t="s">
        <v>296</v>
      </c>
      <c r="V122" s="1357" t="s">
        <v>2661</v>
      </c>
      <c r="W122"/>
      <c r="X122" s="1331">
        <f>SUM(SchDLine18,SchDLine19)</f>
        <v>0</v>
      </c>
      <c r="Y122" s="3456"/>
      <c r="Z122" s="1357"/>
      <c r="AA122" s="1357"/>
      <c r="AB122" s="1357"/>
    </row>
    <row r="123" spans="1:28">
      <c r="U123" s="3457" t="s">
        <v>297</v>
      </c>
      <c r="V123" s="1357" t="s">
        <v>2674</v>
      </c>
      <c r="W123"/>
      <c r="X123" s="1331">
        <f>MIN(X120,X122)</f>
        <v>0</v>
      </c>
      <c r="Y123" s="3456"/>
      <c r="Z123" s="1357"/>
      <c r="AA123" s="1357"/>
      <c r="AB123" s="1357"/>
    </row>
    <row r="124" spans="1:28">
      <c r="U124" s="3455" t="s">
        <v>431</v>
      </c>
      <c r="V124" s="1357" t="s">
        <v>2675</v>
      </c>
      <c r="W124"/>
      <c r="X124" s="1331">
        <f>SUM(X121,-X123)</f>
        <v>0</v>
      </c>
      <c r="Y124" s="3456"/>
      <c r="Z124" s="1357"/>
      <c r="AA124" s="1357"/>
      <c r="AB124" s="1357"/>
    </row>
    <row r="125" spans="1:28">
      <c r="U125" s="3455" t="s">
        <v>432</v>
      </c>
      <c r="V125" s="1357" t="s">
        <v>4082</v>
      </c>
      <c r="W125"/>
      <c r="X125" s="1331">
        <f>MAX(0,SUM(X112,-X124))</f>
        <v>0</v>
      </c>
      <c r="Y125" s="3456"/>
      <c r="Z125" s="1357"/>
      <c r="AA125" s="1357"/>
      <c r="AB125" s="1357"/>
    </row>
    <row r="126" spans="1:28">
      <c r="U126" s="3457" t="s">
        <v>433</v>
      </c>
      <c r="V126" s="1357" t="s">
        <v>2676</v>
      </c>
      <c r="W126"/>
      <c r="X126" s="1331" t="str">
        <f>SchDTW_Line15</f>
        <v>Filing status?</v>
      </c>
      <c r="Y126" s="3456"/>
      <c r="Z126" s="1357"/>
      <c r="AA126" s="1357"/>
      <c r="AB126" s="1357"/>
    </row>
    <row r="127" spans="1:28">
      <c r="U127" s="3459" t="s">
        <v>189</v>
      </c>
      <c r="V127" s="1357" t="s">
        <v>2677</v>
      </c>
      <c r="W127"/>
      <c r="X127" s="1331">
        <f>MIN(X112,X126)</f>
        <v>0</v>
      </c>
      <c r="Y127" s="3456"/>
      <c r="Z127" s="1357"/>
      <c r="AA127" s="1357"/>
      <c r="AB127" s="1357"/>
    </row>
    <row r="128" spans="1:28">
      <c r="U128" s="3457" t="s">
        <v>479</v>
      </c>
      <c r="V128" s="1357" t="s">
        <v>2678</v>
      </c>
      <c r="W128"/>
      <c r="X128" s="1331">
        <f>MIN(X125,X127)</f>
        <v>0</v>
      </c>
      <c r="Y128" s="3456"/>
      <c r="Z128" s="1357"/>
      <c r="AA128" s="1357"/>
      <c r="AB128" s="1357"/>
    </row>
    <row r="129" spans="21:28">
      <c r="U129" s="3457" t="s">
        <v>480</v>
      </c>
      <c r="V129" s="1357" t="s">
        <v>2679</v>
      </c>
      <c r="W129"/>
      <c r="X129" s="1331">
        <f>MAX(0,SUM(X112,-X121))</f>
        <v>0</v>
      </c>
      <c r="Y129" s="3456"/>
      <c r="Z129" s="1357"/>
      <c r="AA129" s="1357"/>
      <c r="AB129" s="1357"/>
    </row>
    <row r="130" spans="21:28">
      <c r="U130" s="3459" t="s">
        <v>481</v>
      </c>
      <c r="V130" s="1357" t="s">
        <v>4083</v>
      </c>
      <c r="W130"/>
      <c r="X130" s="1331">
        <f>IF(X112="",0,MIN(X112,SchDTW_Line19))</f>
        <v>0</v>
      </c>
      <c r="Y130" s="3456"/>
      <c r="Z130" s="1357"/>
      <c r="AA130" s="1357"/>
      <c r="AB130" s="1357"/>
    </row>
    <row r="131" spans="21:28">
      <c r="U131" s="3459" t="s">
        <v>345</v>
      </c>
      <c r="V131" s="1357" t="s">
        <v>4084</v>
      </c>
      <c r="W131"/>
      <c r="X131" s="1331">
        <f>MIN(X125,X130)</f>
        <v>0</v>
      </c>
      <c r="Y131" s="3456"/>
      <c r="Z131" s="1357"/>
      <c r="AA131" s="1357"/>
      <c r="AB131" s="1357"/>
    </row>
    <row r="132" spans="21:28">
      <c r="U132" s="3457" t="s">
        <v>346</v>
      </c>
      <c r="V132" s="1357" t="s">
        <v>4085</v>
      </c>
      <c r="W132"/>
      <c r="X132" s="1331">
        <f>MAX(X129,X131)</f>
        <v>0</v>
      </c>
      <c r="Y132" s="3456"/>
      <c r="Z132" s="1357"/>
      <c r="AA132" s="1357"/>
      <c r="AB132" s="1357"/>
    </row>
    <row r="133" spans="21:28">
      <c r="U133" s="3459">
        <v>22</v>
      </c>
      <c r="V133" s="1357" t="s">
        <v>2680</v>
      </c>
      <c r="W133"/>
      <c r="X133" s="1331">
        <f>SUM(X127,-X128)</f>
        <v>0</v>
      </c>
      <c r="Y133" s="3456"/>
      <c r="Z133" s="1357"/>
      <c r="AA133" s="1357"/>
      <c r="AB133" s="1357"/>
    </row>
    <row r="134" spans="21:28">
      <c r="U134" s="3457" t="s">
        <v>348</v>
      </c>
      <c r="V134" s="1357" t="s">
        <v>4086</v>
      </c>
      <c r="W134"/>
      <c r="X134" s="1331" t="str">
        <f>IF(Y134,"",MIN(X112,X124))</f>
        <v/>
      </c>
      <c r="Y134" s="4649" t="b">
        <f>IF(X112="",X127=0,X112=X127)</f>
        <v>1</v>
      </c>
      <c r="Z134" s="1357"/>
      <c r="AA134" s="1357"/>
      <c r="AB134" s="1357"/>
    </row>
    <row r="135" spans="21:28">
      <c r="U135" s="3457" t="s">
        <v>349</v>
      </c>
      <c r="V135" s="1357" t="s">
        <v>4087</v>
      </c>
      <c r="W135"/>
      <c r="X135" s="1331" t="str">
        <f>IF(Y134,"",IF(X133="",0,X133))</f>
        <v/>
      </c>
      <c r="Y135" s="3456"/>
      <c r="Z135" s="1357"/>
      <c r="AA135" s="1357"/>
      <c r="AB135" s="1357"/>
    </row>
    <row r="136" spans="21:28">
      <c r="U136" s="3457" t="s">
        <v>350</v>
      </c>
      <c r="V136" s="1357" t="s">
        <v>4088</v>
      </c>
      <c r="W136"/>
      <c r="X136" s="1331" t="str">
        <f>IF(Y134,"",MAX(0,SUM(X134,-X135)))</f>
        <v/>
      </c>
      <c r="Y136" s="3456"/>
      <c r="Z136" s="1357"/>
      <c r="AA136" s="1357"/>
      <c r="AB136" s="1357"/>
    </row>
    <row r="137" spans="21:28">
      <c r="U137" s="3459">
        <v>26</v>
      </c>
      <c r="V137" s="1357" t="s">
        <v>4089</v>
      </c>
      <c r="W137"/>
      <c r="X137" s="1331" t="str">
        <f>IF(Y134,"",SchDTW_Line26)</f>
        <v/>
      </c>
      <c r="Y137" s="3456"/>
      <c r="Z137" s="1357"/>
      <c r="AA137" s="1357"/>
      <c r="AB137" s="1357"/>
    </row>
    <row r="138" spans="21:28">
      <c r="U138" s="3459" t="s">
        <v>352</v>
      </c>
      <c r="V138" s="1357" t="s">
        <v>4090</v>
      </c>
      <c r="W138"/>
      <c r="X138" s="1331" t="str">
        <f>IF(Y134,"",IF(X112="",MIN(0,X137),MIN(X112,X137)))</f>
        <v/>
      </c>
      <c r="Y138" s="3456"/>
      <c r="Z138" s="1357"/>
      <c r="AA138" s="1357"/>
      <c r="AB138" s="1357"/>
    </row>
    <row r="139" spans="21:28">
      <c r="U139" s="3459" t="s">
        <v>2662</v>
      </c>
      <c r="V139" s="1357" t="s">
        <v>3476</v>
      </c>
      <c r="W139"/>
      <c r="X139" s="1331" t="str">
        <f>IF(Y134,"",SUM(X132,X133))</f>
        <v/>
      </c>
      <c r="Y139" s="3456"/>
      <c r="Z139" s="1357"/>
      <c r="AA139" s="1357"/>
      <c r="AB139" s="1357"/>
    </row>
    <row r="140" spans="21:28">
      <c r="U140" s="3459" t="s">
        <v>2663</v>
      </c>
      <c r="V140" s="1357" t="s">
        <v>4091</v>
      </c>
      <c r="W140"/>
      <c r="X140" s="1331" t="str">
        <f>IF(Y134,"",MAX(0,SUM(X138,-X139)))</f>
        <v/>
      </c>
      <c r="Y140" s="3456"/>
      <c r="Z140" s="1357"/>
      <c r="AA140" s="1357"/>
      <c r="AB140" s="1357"/>
    </row>
    <row r="141" spans="21:28">
      <c r="U141" s="4648" t="s">
        <v>4092</v>
      </c>
      <c r="V141" s="1357" t="s">
        <v>2681</v>
      </c>
      <c r="W141"/>
      <c r="X141" s="1331" t="str">
        <f>IF(Y134,"",MIN(X134,X140))</f>
        <v/>
      </c>
      <c r="Y141" s="3456"/>
      <c r="Z141" s="1357"/>
      <c r="AA141" s="1357"/>
      <c r="AB141" s="1357"/>
    </row>
    <row r="142" spans="21:28">
      <c r="U142" s="3455" t="s">
        <v>2664</v>
      </c>
      <c r="V142" s="1357" t="str">
        <f>"Multiply line 30 by "&amp;TEXT(Y142,"0%")</f>
        <v>Multiply line 30 by 15%</v>
      </c>
      <c r="W142"/>
      <c r="X142" s="1331" t="str">
        <f>IF(Y134,"",ROUND(X141*Y142,0))</f>
        <v/>
      </c>
      <c r="Y142" s="3460">
        <f>SchDTW_Line29Rate</f>
        <v>0.15</v>
      </c>
      <c r="Z142" s="1357"/>
      <c r="AA142" s="1357"/>
      <c r="AB142" s="1357"/>
    </row>
    <row r="143" spans="21:28">
      <c r="U143" s="3457" t="s">
        <v>353</v>
      </c>
      <c r="V143" s="1357" t="s">
        <v>3480</v>
      </c>
      <c r="W143"/>
      <c r="X143" s="1331" t="str">
        <f>IF(Y134,"",SUM(X135,X141))</f>
        <v/>
      </c>
      <c r="Y143" s="4649" t="b">
        <f>IF(X112="",X143=0,X112=X143)</f>
        <v>0</v>
      </c>
      <c r="Z143" s="1357"/>
      <c r="AA143" s="1357"/>
      <c r="AB143" s="1357"/>
    </row>
    <row r="144" spans="21:28">
      <c r="U144" s="3459" t="s">
        <v>354</v>
      </c>
      <c r="V144" s="1357" t="s">
        <v>4093</v>
      </c>
      <c r="W144"/>
      <c r="X144" s="1331" t="str">
        <f>IF(OR(Y134,Y143),"",SUM(X134,-X143))</f>
        <v/>
      </c>
      <c r="Y144" s="4649"/>
      <c r="Z144" s="1357"/>
      <c r="AA144" s="1357"/>
      <c r="AB144" s="1357"/>
    </row>
    <row r="145" spans="21:28">
      <c r="U145" s="3455" t="s">
        <v>2666</v>
      </c>
      <c r="V145" s="1357" t="str">
        <f>"Multiply line 33 by "&amp;TEXT(Y145,"0%")</f>
        <v>Multiply line 33 by 20%</v>
      </c>
      <c r="W145"/>
      <c r="X145" s="1331" t="str">
        <f>IF(OR(Y134,Y143),"",ROUND(X144*Y145,0))</f>
        <v/>
      </c>
      <c r="Y145" s="3460">
        <f>SchDTW_Line32Rate</f>
        <v>0.2</v>
      </c>
      <c r="Z145" s="1357"/>
      <c r="AA145" s="1357"/>
      <c r="AB145" s="1357"/>
    </row>
    <row r="146" spans="21:28">
      <c r="U146" s="3457" t="s">
        <v>2682</v>
      </c>
      <c r="V146" s="1357" t="s">
        <v>2665</v>
      </c>
      <c r="W146"/>
      <c r="X146" s="1331" t="str">
        <f>IF(OR(Y134,Y143,Y146),"",MIN(X120,SchDLine19))</f>
        <v/>
      </c>
      <c r="Y146" s="4649" t="b">
        <f>OR(SchDLine19=0,SchDLine19="")</f>
        <v>1</v>
      </c>
      <c r="Z146" s="1357"/>
      <c r="AA146" s="1357"/>
      <c r="AB146" s="1357"/>
    </row>
    <row r="147" spans="21:28">
      <c r="U147" s="3461" t="s">
        <v>2684</v>
      </c>
      <c r="V147" s="1357" t="s">
        <v>3484</v>
      </c>
      <c r="W147"/>
      <c r="X147" s="1331" t="str">
        <f>IF(OR(Y134,Y143,Y146),"",SUM(X121,X132))</f>
        <v/>
      </c>
      <c r="Y147" s="3456"/>
      <c r="Z147" s="1357"/>
      <c r="AA147" s="1357"/>
      <c r="AB147" s="1357"/>
    </row>
    <row r="148" spans="21:28">
      <c r="U148" s="3461" t="s">
        <v>2685</v>
      </c>
      <c r="V148" s="1357" t="s">
        <v>2683</v>
      </c>
      <c r="W148"/>
      <c r="X148" s="1331" t="str">
        <f>IF(OR(Y134,Y143,Y146),"",IF(X112="",0,X112))</f>
        <v/>
      </c>
      <c r="Y148" s="3456"/>
      <c r="Z148" s="1357"/>
      <c r="AA148" s="1357"/>
      <c r="AB148" s="1357"/>
    </row>
    <row r="149" spans="21:28">
      <c r="U149" s="3457" t="s">
        <v>2686</v>
      </c>
      <c r="V149" s="1357" t="s">
        <v>4094</v>
      </c>
      <c r="W149"/>
      <c r="X149" s="1331" t="str">
        <f>IF(OR(Y134,Y143,Y146),"",MAX(0,SUM(X147,-X148)))</f>
        <v/>
      </c>
      <c r="Y149" s="3456"/>
      <c r="Z149" s="1357"/>
      <c r="AA149" s="1357"/>
      <c r="AB149" s="1357"/>
    </row>
    <row r="150" spans="21:28">
      <c r="U150" s="3459" t="s">
        <v>821</v>
      </c>
      <c r="V150" s="1357" t="s">
        <v>4095</v>
      </c>
      <c r="W150"/>
      <c r="X150" s="1331" t="str">
        <f>IF(OR(Y134,Y143,Y146),"",MAX(0,SUM(X146,-X149)))</f>
        <v/>
      </c>
      <c r="Y150" s="3456"/>
      <c r="Z150" s="1357"/>
      <c r="AA150" s="1357"/>
      <c r="AB150" s="1357"/>
    </row>
    <row r="151" spans="21:28">
      <c r="U151" s="3455" t="s">
        <v>822</v>
      </c>
      <c r="V151" s="1357" t="str">
        <f>"Multiply line 39 by "&amp;TEXT(Y151,"0%")</f>
        <v>Multiply line 39 by 25%</v>
      </c>
      <c r="W151"/>
      <c r="X151" s="1331" t="str">
        <f>IF(OR(Y134,Y143,Y146),"",ROUND(X150*Y151,0))</f>
        <v/>
      </c>
      <c r="Y151" s="3460">
        <f>SchDTW_Line38Rate</f>
        <v>0.25</v>
      </c>
      <c r="Z151" s="1357"/>
      <c r="AA151" s="1357"/>
      <c r="AB151" s="1357"/>
    </row>
    <row r="152" spans="21:28">
      <c r="U152" s="3459" t="s">
        <v>823</v>
      </c>
      <c r="V152" s="1357" t="s">
        <v>4096</v>
      </c>
      <c r="W152"/>
      <c r="X152" s="1331" t="str">
        <f>IF(OR(Y134,Y143,Y152),"",SUM(X132,X133,X141,X144,X150))</f>
        <v/>
      </c>
      <c r="Y152" s="4649" t="b">
        <f>OR(SchDLine18=0,SchDLine18="")</f>
        <v>1</v>
      </c>
      <c r="Z152" s="1357"/>
      <c r="AA152" s="1357"/>
      <c r="AB152" s="1357"/>
    </row>
    <row r="153" spans="21:28">
      <c r="U153" s="3459" t="s">
        <v>824</v>
      </c>
      <c r="V153" s="1357" t="s">
        <v>4097</v>
      </c>
      <c r="W153"/>
      <c r="X153" s="1331" t="str">
        <f>IF(OR(Y134,Y143,Y152),"",SUM(X112,-X152))</f>
        <v/>
      </c>
      <c r="Y153" s="3456"/>
      <c r="Z153" s="1357"/>
      <c r="AA153" s="1357"/>
      <c r="AB153" s="1357"/>
    </row>
    <row r="154" spans="21:28">
      <c r="U154" s="3455" t="s">
        <v>825</v>
      </c>
      <c r="V154" s="1357" t="str">
        <f>"Multiply line 42 by "&amp;TEXT(Y154,"0%")</f>
        <v>Multiply line 42 by 28%</v>
      </c>
      <c r="W154"/>
      <c r="X154" s="1331" t="str">
        <f>IF(OR(Y134,Y143,Y152),"",ROUND(X153*Y154,0))</f>
        <v/>
      </c>
      <c r="Y154" s="3460">
        <f>SchDTW_Line41Rate</f>
        <v>0.28000000000000003</v>
      </c>
      <c r="Z154" s="1357"/>
      <c r="AA154" s="1357"/>
      <c r="AB154" s="1357"/>
    </row>
    <row r="155" spans="21:28">
      <c r="U155" s="3455" t="s">
        <v>826</v>
      </c>
      <c r="V155" s="1357" t="s">
        <v>4098</v>
      </c>
      <c r="W155"/>
      <c r="X155" s="1331" t="str">
        <f>Y160</f>
        <v>Filing status?</v>
      </c>
      <c r="Y155" s="3456"/>
      <c r="Z155" s="1357"/>
      <c r="AA155" s="1357"/>
      <c r="AB155" s="1357"/>
    </row>
    <row r="156" spans="21:28" ht="13.5" thickBot="1">
      <c r="U156" s="3462" t="s">
        <v>5870</v>
      </c>
      <c r="V156" s="270" t="s">
        <v>69</v>
      </c>
      <c r="W156" s="270" t="s">
        <v>2552</v>
      </c>
      <c r="X156" s="270" t="s">
        <v>458</v>
      </c>
      <c r="Y156" s="3463" t="s">
        <v>2000</v>
      </c>
      <c r="Z156" s="1357"/>
      <c r="AA156" s="1357"/>
      <c r="AB156" s="1357"/>
    </row>
    <row r="157" spans="21:28" ht="14.25" thickTop="1" thickBot="1">
      <c r="U157" s="5084">
        <f>X132</f>
        <v>0</v>
      </c>
      <c r="V157" s="5083">
        <f>LOOKUP(U157,'Tax Table'!$B$2:$B$2063,'Tax Table'!$D$2:$D$2063)</f>
        <v>0</v>
      </c>
      <c r="W157" s="3346">
        <f>LOOKUP(U157,'Tax Table'!$B$2:$B$2063,'Tax Table'!$E$2:$E$2063)</f>
        <v>0</v>
      </c>
      <c r="X157" s="3346">
        <f>LOOKUP(U157,'Tax Table'!$B$2:$B$2063,'Tax Table'!$F$2:$F$2063)</f>
        <v>0</v>
      </c>
      <c r="Y157" s="3347">
        <f>LOOKUP(U157,'Tax Table'!$B$2:$B$2063,'Tax Table'!$G$2:$G$2063)</f>
        <v>0</v>
      </c>
      <c r="Z157" s="1357"/>
      <c r="AA157" s="1357"/>
      <c r="AB157" s="1357"/>
    </row>
    <row r="158" spans="21:28" ht="14.25" thickTop="1" thickBot="1">
      <c r="U158" s="3341"/>
      <c r="V158" s="3348" t="str">
        <f>IF(U157&lt;SectA_a3,"---",IF(U157&lt;=SectA_a4,ROUND((U157*(SectA_b4/100)-SectA_d4),0),IF(U157&lt;=SectA_a5,ROUND((U157*(SectA_b5/100)-SectA_d5),0),IF(U157&lt;=SectA_a6,ROUND((U157*(SectA_b6/100)-SectA_d6),0),ROUND((U157*(SectA_b7/100)-SectA_d7),0)))))</f>
        <v>---</v>
      </c>
      <c r="W158" s="3348" t="str">
        <f>IF(U157&lt;SectB_a2,"---",IF(U157&lt;=SectB_a3,ROUND((U157*(SectB_b3/100)-SectB_d3),0),IF(U157&lt;=SectB_a4,ROUND((U157*(SectB_b4/100)-SectB_d4),0),IF(U157&lt;=SectB_a5,ROUND((U157*(SectB_b5/100)-SectB_d5),0),IF(U157&lt;=SectB_a6,ROUND((U157*(SectB_b6/100)-SectB_d6),0),ROUND((U157*(SectB_b7/100)-SectB_d7),0))))))</f>
        <v>---</v>
      </c>
      <c r="X158" s="3348" t="str">
        <f>IF(U157&lt;SectC_a2,"---",IF(U157&lt;=SectC_a3,ROUND((U157*(SectC_b3/100)-SectC_d3),0),IF(U157&lt;=SectC_a4,ROUND((U157*(SectC_b4/100)-SectC_d4),0),IF(U157&lt;=SectC_a5,ROUND((U157*(SectC_b5/100)-SectC_d5),0),ROUND((U157*(SectC_b6/100)-SectC_d6),0)))))</f>
        <v>---</v>
      </c>
      <c r="Y158" s="3349" t="str">
        <f>IF(U157&lt;SectD_a2,"---",IF(U157&lt;=SectD_a3,ROUND((U157*(SectD_b3/100)-SectD_d3),0),IF(U157&lt;=SectD_a4,ROUND((U157*(SectD_b4/100)-SectD_d4),0),IF(U157&lt;=SectD_a5,ROUND((U157*(SectD_b5/100)-SectD_d5),0),IF(U157&lt;=SectD_a6,ROUND((U157*(SectD_b6/100)-SectD_d6),0),ROUND((U157*(SectD_b7/100)-SectD_d7),0))))))</f>
        <v>---</v>
      </c>
      <c r="Z158" s="1357"/>
      <c r="AA158" s="1357"/>
      <c r="AB158" s="1357"/>
    </row>
    <row r="159" spans="21:28" ht="13.5" thickBot="1">
      <c r="U159" s="3342" t="str">
        <f>IF(File_Single&lt;&gt;"",V157,IF(File_Marr_Joint&lt;&gt;"",W157,IF(File_Marr_Sep&lt;&gt;"", X157,IF(File_Head&lt;&gt;"",Y157,IF(File_Qual_Widow&lt;&gt;"",W157,"Filing status?")))))</f>
        <v>Filing status?</v>
      </c>
      <c r="V159" s="2087" t="str">
        <f>"&lt;100k"</f>
        <v>&lt;100k</v>
      </c>
      <c r="W159" s="2087"/>
      <c r="X159" s="2087"/>
      <c r="Y159" s="3345"/>
      <c r="Z159" s="1357"/>
      <c r="AA159" s="1357"/>
      <c r="AB159" s="1357"/>
    </row>
    <row r="160" spans="21:28" ht="13.5" thickBot="1">
      <c r="U160" s="3343" t="str">
        <f>IF(File_Single&lt;&gt;"",V158,IF(OR(File_Marr_Joint&lt;&gt;"",File_Qual_Widow&lt;&gt;""),W158,IF(File_Marr_Sep&lt;&gt;"", X158,IF(File_Head&lt;&gt;"",Y158,"Filing status?"))))</f>
        <v>Filing status?</v>
      </c>
      <c r="V160" s="3344" t="str">
        <f>"&gt;=100k"</f>
        <v>&gt;=100k</v>
      </c>
      <c r="W160" s="3344"/>
      <c r="X160" s="3350" t="s">
        <v>2553</v>
      </c>
      <c r="Y160" s="3351" t="str">
        <f>IF(U157&gt;100000,U160,U159)</f>
        <v>Filing status?</v>
      </c>
      <c r="Z160" s="1357"/>
      <c r="AA160" s="1357"/>
      <c r="AB160" s="1357"/>
    </row>
    <row r="161" spans="21:28" ht="13.5" thickTop="1">
      <c r="U161" s="3455" t="s">
        <v>827</v>
      </c>
      <c r="V161" s="1357" t="s">
        <v>4101</v>
      </c>
      <c r="W161"/>
      <c r="X161" s="1331">
        <f>SUM(X142,X145,X151,X154,X155)</f>
        <v>0</v>
      </c>
      <c r="Y161" s="3456"/>
      <c r="Z161" s="1357"/>
      <c r="AA161" s="1357"/>
      <c r="AB161" s="1357"/>
    </row>
    <row r="162" spans="21:28">
      <c r="U162" s="3455" t="s">
        <v>4100</v>
      </c>
      <c r="V162" s="1357" t="s">
        <v>2687</v>
      </c>
      <c r="W162"/>
      <c r="X162" s="1331" t="str">
        <f>Y167</f>
        <v>Filing status?</v>
      </c>
      <c r="Y162" s="3456"/>
      <c r="Z162" s="1357"/>
      <c r="AA162" s="1357"/>
      <c r="AB162" s="1357"/>
    </row>
    <row r="163" spans="21:28" ht="13.5" thickBot="1">
      <c r="U163" s="3462" t="s">
        <v>5871</v>
      </c>
      <c r="V163" s="270" t="s">
        <v>69</v>
      </c>
      <c r="W163" s="270" t="s">
        <v>2552</v>
      </c>
      <c r="X163" s="270" t="s">
        <v>458</v>
      </c>
      <c r="Y163" s="3463" t="s">
        <v>2000</v>
      </c>
      <c r="Z163" s="1357"/>
      <c r="AA163" s="1357"/>
      <c r="AB163" s="1357"/>
    </row>
    <row r="164" spans="21:28" ht="14.25" thickTop="1" thickBot="1">
      <c r="U164" s="5084" t="str">
        <f>X112</f>
        <v/>
      </c>
      <c r="V164" s="5083" t="e">
        <f>LOOKUP(U164,'Tax Table'!$B$2:$B$2063,'Tax Table'!$D$2:$D$2063)</f>
        <v>#N/A</v>
      </c>
      <c r="W164" s="3346" t="e">
        <f>LOOKUP(U164,'Tax Table'!$B$2:$B$2063,'Tax Table'!$E$2:$E$2063)</f>
        <v>#N/A</v>
      </c>
      <c r="X164" s="3346" t="e">
        <f>LOOKUP(U164,'Tax Table'!$B$2:$B$2063,'Tax Table'!$F$2:$F$2063)</f>
        <v>#N/A</v>
      </c>
      <c r="Y164" s="3347" t="e">
        <f>LOOKUP(U164,'Tax Table'!$B$2:$B$2063,'Tax Table'!$G$2:$G$2063)</f>
        <v>#N/A</v>
      </c>
      <c r="Z164" s="1357"/>
      <c r="AA164" s="1357"/>
      <c r="AB164" s="1357"/>
    </row>
    <row r="165" spans="21:28" ht="14.25" thickTop="1" thickBot="1">
      <c r="U165" s="3341"/>
      <c r="V165" s="3348" t="e">
        <f>IF(U164&lt;SectA_a3,"---",IF(U164&lt;=SectA_a4,ROUND((U164*(SectA_b4/100)-SectA_d4),0),IF(U164&lt;=SectA_a5,ROUND((U164*(SectA_b5/100)-SectA_d5),0),IF(U164&lt;=SectA_a6,ROUND((U164*(SectA_b6/100)-SectA_d6),0),ROUND((U164*(SectA_b7/100)-SectA_d7),0)))))</f>
        <v>#VALUE!</v>
      </c>
      <c r="W165" s="3348" t="e">
        <f>IF(U164&lt;SectB_a2,"---",IF(U164&lt;=SectB_a3,ROUND((U164*(SectB_b3/100)-SectB_d3),0),IF(U164&lt;=SectB_a4,ROUND((U164*(SectB_b4/100)-SectB_d4),0),IF(U164&lt;=SectB_a5,ROUND((U164*(SectB_b5/100)-SectB_d5),0),IF(U164&lt;=SectB_a6,ROUND((U164*(SectB_b6/100)-SectB_d6),0),ROUND((U164*(SectB_b7/100)-SectB_d7),0))))))</f>
        <v>#VALUE!</v>
      </c>
      <c r="X165" s="3348" t="e">
        <f>IF(U164&lt;SectC_a2,"---",IF(U164&lt;=SectC_a3,ROUND((U164*(SectC_b3/100)-SectC_d3),0),IF(U164&lt;=SectC_a4,ROUND((U164*(SectC_b4/100)-SectC_d4),0),IF(U164&lt;=SectC_a5,ROUND((U164*(SectC_b5/100)-SectC_d5),0),ROUND((U164*(SectC_b6/100)-SectC_d6),0)))))</f>
        <v>#VALUE!</v>
      </c>
      <c r="Y165" s="3349" t="e">
        <f>IF(U164&lt;SectD_a2,"---",IF(U164&lt;=SectD_a3,ROUND((U164*(SectD_b3/100)-SectD_d3),0),IF(U164&lt;=SectD_a4,ROUND((U164*(SectD_b4/100)-SectD_d4),0),IF(U164&lt;=SectD_a5,ROUND((U164*(SectD_b5/100)-SectD_d5),0),IF(U164&lt;=SectD_a6,ROUND((U164*(SectD_b6/100)-SectD_d6),0),ROUND((U164*(SectD_b7/100)-SectD_d7),0))))))</f>
        <v>#VALUE!</v>
      </c>
      <c r="Z165" s="1357"/>
      <c r="AA165" s="1357"/>
      <c r="AB165" s="1357"/>
    </row>
    <row r="166" spans="21:28" ht="13.5" thickBot="1">
      <c r="U166" s="3342" t="str">
        <f>IF(File_Single&lt;&gt;"",V164,IF(File_Marr_Joint&lt;&gt;"",W164,IF(File_Marr_Sep&lt;&gt;"", X164,IF(File_Head&lt;&gt;"",Y164,IF(File_Qual_Widow&lt;&gt;"",W164,"Filing status?")))))</f>
        <v>Filing status?</v>
      </c>
      <c r="V166" s="2087" t="str">
        <f>"&lt;100k"</f>
        <v>&lt;100k</v>
      </c>
      <c r="W166" s="2087"/>
      <c r="X166" s="2087"/>
      <c r="Y166" s="3345"/>
      <c r="Z166" s="1357"/>
      <c r="AA166" s="1357"/>
      <c r="AB166" s="1357"/>
    </row>
    <row r="167" spans="21:28" ht="13.5" thickBot="1">
      <c r="U167" s="3343" t="str">
        <f>IF(File_Single&lt;&gt;"",V165,IF(OR(File_Marr_Joint&lt;&gt;"",File_Qual_Widow&lt;&gt;""),W165,IF(File_Marr_Sep&lt;&gt;"", X165,IF(File_Head&lt;&gt;"",Y165,"Filing status?"))))</f>
        <v>Filing status?</v>
      </c>
      <c r="V167" s="3344" t="str">
        <f>"&gt;=100k"</f>
        <v>&gt;=100k</v>
      </c>
      <c r="W167" s="3344"/>
      <c r="X167" s="3350" t="s">
        <v>2553</v>
      </c>
      <c r="Y167" s="3351" t="str">
        <f>IF(U164&gt;100000,U167,U166)</f>
        <v>Filing status?</v>
      </c>
      <c r="Z167" s="1357"/>
      <c r="AA167" s="1357"/>
      <c r="AB167" s="1357"/>
    </row>
    <row r="168" spans="21:28" ht="13.5" thickTop="1">
      <c r="U168" s="3472" t="s">
        <v>4103</v>
      </c>
      <c r="V168" s="3473" t="s">
        <v>4104</v>
      </c>
      <c r="W168" s="3474"/>
      <c r="X168" s="3475" t="str">
        <f>IF(X111,MIN(X161,X162),"")</f>
        <v/>
      </c>
      <c r="Y168" s="3476"/>
      <c r="Z168" s="42" t="b">
        <f>IF(X111,X168=MIN(Y76,V109,X168),FALSE)</f>
        <v>0</v>
      </c>
      <c r="AA168" s="1357"/>
      <c r="AB168" s="1357"/>
    </row>
  </sheetData>
  <sheetProtection password="F07E" sheet="1" objects="1" scenarios="1"/>
  <mergeCells count="7">
    <mergeCell ref="N86:N88"/>
    <mergeCell ref="C3:E3"/>
    <mergeCell ref="C5:E5"/>
    <mergeCell ref="C7:E7"/>
    <mergeCell ref="C8:E8"/>
    <mergeCell ref="C9:E9"/>
    <mergeCell ref="C10:E10"/>
  </mergeCells>
  <conditionalFormatting sqref="D29">
    <cfRule type="expression" dxfId="2579" priority="65">
      <formula>IF(NoColor,1,0)</formula>
    </cfRule>
  </conditionalFormatting>
  <conditionalFormatting sqref="D32">
    <cfRule type="expression" dxfId="2578" priority="64">
      <formula>IF(NoColor,1,0)</formula>
    </cfRule>
  </conditionalFormatting>
  <conditionalFormatting sqref="E74">
    <cfRule type="expression" dxfId="2577" priority="56">
      <formula>IF(OR(Taxable_Inc="",Taxable_Inc=0),1,0)</formula>
    </cfRule>
  </conditionalFormatting>
  <conditionalFormatting sqref="F3">
    <cfRule type="expression" dxfId="2576" priority="48">
      <formula>F2</formula>
    </cfRule>
  </conditionalFormatting>
  <conditionalFormatting sqref="J27">
    <cfRule type="expression" dxfId="2575" priority="68">
      <formula>IF(NoColor,1,0)</formula>
    </cfRule>
  </conditionalFormatting>
  <conditionalFormatting sqref="J31">
    <cfRule type="expression" dxfId="2574" priority="67">
      <formula>IF(NoColor,1,0)</formula>
    </cfRule>
  </conditionalFormatting>
  <conditionalFormatting sqref="J34">
    <cfRule type="expression" dxfId="2573" priority="66">
      <formula>IF(NoColor,1,0)</formula>
    </cfRule>
  </conditionalFormatting>
  <conditionalFormatting sqref="L3">
    <cfRule type="expression" dxfId="2572" priority="49">
      <formula>L2</formula>
    </cfRule>
  </conditionalFormatting>
  <conditionalFormatting sqref="L26">
    <cfRule type="expression" dxfId="2571" priority="78">
      <formula>IF(NoColor,1,0)</formula>
    </cfRule>
  </conditionalFormatting>
  <conditionalFormatting sqref="L35">
    <cfRule type="expression" dxfId="2570" priority="77">
      <formula>IF(NoColor,1,0)</formula>
    </cfRule>
  </conditionalFormatting>
  <conditionalFormatting sqref="L38">
    <cfRule type="expression" dxfId="2569" priority="76">
      <formula>IF(NoColor,1,0)</formula>
    </cfRule>
  </conditionalFormatting>
  <conditionalFormatting sqref="L40:L45">
    <cfRule type="expression" dxfId="2568" priority="72">
      <formula>IF(NoColor,1,0)</formula>
    </cfRule>
  </conditionalFormatting>
  <conditionalFormatting sqref="L49">
    <cfRule type="expression" dxfId="2567" priority="71">
      <formula>IF(NoColor,1,0)</formula>
    </cfRule>
  </conditionalFormatting>
  <conditionalFormatting sqref="L51:L54">
    <cfRule type="expression" dxfId="2566" priority="70">
      <formula>IF(NoColor,1,0)</formula>
    </cfRule>
  </conditionalFormatting>
  <conditionalFormatting sqref="L56:L57">
    <cfRule type="expression" dxfId="2565" priority="69">
      <formula>IF(NoColor,1,0)</formula>
    </cfRule>
  </conditionalFormatting>
  <conditionalFormatting sqref="N55">
    <cfRule type="expression" dxfId="2564" priority="63">
      <formula>IF(NoColor,1,0)</formula>
    </cfRule>
  </conditionalFormatting>
  <conditionalFormatting sqref="N58">
    <cfRule type="expression" dxfId="2563" priority="62">
      <formula>IF(NoColor,1,0)</formula>
    </cfRule>
  </conditionalFormatting>
  <conditionalFormatting sqref="N61:N62">
    <cfRule type="expression" dxfId="2562" priority="61">
      <formula>IF(NoColor,1,0)</formula>
    </cfRule>
  </conditionalFormatting>
  <conditionalFormatting sqref="N65">
    <cfRule type="expression" dxfId="2561" priority="60">
      <formula>IF(NoColor,1,0)</formula>
    </cfRule>
  </conditionalFormatting>
  <conditionalFormatting sqref="N69">
    <cfRule type="expression" dxfId="2560" priority="59">
      <formula>IF(NoColor,1,0)</formula>
    </cfRule>
  </conditionalFormatting>
  <conditionalFormatting sqref="N76">
    <cfRule type="expression" dxfId="2559" priority="58">
      <formula>IF(NoColor,1,0)</formula>
    </cfRule>
  </conditionalFormatting>
  <conditionalFormatting sqref="N78">
    <cfRule type="expression" dxfId="2558" priority="55">
      <formula>IF(NoColor,1,0)</formula>
    </cfRule>
  </conditionalFormatting>
  <conditionalFormatting sqref="N80:N81">
    <cfRule type="expression" dxfId="2557" priority="54">
      <formula>IF(NoColor,1,0)</formula>
    </cfRule>
  </conditionalFormatting>
  <conditionalFormatting sqref="N83">
    <cfRule type="expression" dxfId="2556" priority="53">
      <formula>IF(NoColor,1,0)</formula>
    </cfRule>
  </conditionalFormatting>
  <conditionalFormatting sqref="N89">
    <cfRule type="expression" dxfId="2555" priority="52">
      <formula>IF(NoColor,1,0)</formula>
    </cfRule>
  </conditionalFormatting>
  <conditionalFormatting sqref="N93">
    <cfRule type="expression" dxfId="2554" priority="51">
      <formula>IF(NoColor,1,0)</formula>
    </cfRule>
  </conditionalFormatting>
  <conditionalFormatting sqref="N96">
    <cfRule type="expression" dxfId="2553" priority="50">
      <formula>IF(NoColor,1,0)</formula>
    </cfRule>
  </conditionalFormatting>
  <conditionalFormatting sqref="X112:X155">
    <cfRule type="expression" dxfId="2552" priority="1">
      <formula>IF(NoColor,1,0)</formula>
    </cfRule>
  </conditionalFormatting>
  <conditionalFormatting sqref="X161:X162">
    <cfRule type="expression" dxfId="2551" priority="8">
      <formula>IF(NoColor,1,0)</formula>
    </cfRule>
  </conditionalFormatting>
  <conditionalFormatting sqref="X168">
    <cfRule type="expression" dxfId="2550" priority="7">
      <formula>IF(NoColor,1,0)</formula>
    </cfRule>
  </conditionalFormatting>
  <printOptions gridLines="1" gridLinesSet="0"/>
  <pageMargins left="0.38" right="0.25" top="0.66" bottom="0.64" header="0.5" footer="0.5"/>
  <pageSetup scale="89" fitToHeight="0"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V538"/>
  <sheetViews>
    <sheetView zoomScaleNormal="100" zoomScaleSheetLayoutView="100" workbookViewId="0">
      <pane ySplit="1" topLeftCell="A2" activePane="bottomLeft" state="frozen"/>
      <selection pane="bottomLeft"/>
    </sheetView>
  </sheetViews>
  <sheetFormatPr defaultColWidth="9.140625" defaultRowHeight="12.75"/>
  <cols>
    <col min="1" max="1" width="9.7109375" style="23" customWidth="1"/>
    <col min="2" max="2" width="3.140625" style="40" customWidth="1"/>
    <col min="3" max="3" width="3.85546875" style="23" customWidth="1"/>
    <col min="4" max="7" width="9.140625" style="23"/>
    <col min="8" max="8" width="3.140625" style="23" customWidth="1"/>
    <col min="9" max="9" width="6" style="23" customWidth="1"/>
    <col min="10" max="10" width="7.140625" style="23" customWidth="1"/>
    <col min="11" max="11" width="10.28515625" style="23" customWidth="1"/>
    <col min="12" max="12" width="11" style="23" customWidth="1"/>
    <col min="13" max="13" width="10.140625" style="23" customWidth="1"/>
    <col min="14" max="14" width="10.42578125" style="14" customWidth="1"/>
    <col min="15" max="15" width="9.85546875" style="23" customWidth="1"/>
    <col min="16" max="16" width="1" style="23" customWidth="1"/>
    <col min="17" max="17" width="3" style="23" customWidth="1"/>
    <col min="18" max="18" width="1" style="23" customWidth="1"/>
    <col min="19" max="19" width="3" style="23" customWidth="1"/>
    <col min="20" max="20" width="1" style="23" customWidth="1"/>
    <col min="21" max="21" width="3" style="23" customWidth="1"/>
    <col min="22" max="22" width="1" style="23" customWidth="1"/>
    <col min="23" max="23" width="3" style="23" customWidth="1"/>
    <col min="24" max="24" width="1" style="23" customWidth="1"/>
    <col min="25" max="26" width="3" style="23" customWidth="1"/>
    <col min="27" max="39" width="9.140625" style="23"/>
    <col min="40" max="40" width="12.5703125" style="14" hidden="1" customWidth="1"/>
    <col min="41" max="41" width="9.140625" style="14" hidden="1" customWidth="1"/>
    <col min="42" max="48" width="9.140625" style="23" hidden="1" customWidth="1"/>
    <col min="49" max="16384" width="9.140625" style="23"/>
  </cols>
  <sheetData>
    <row r="1" spans="1:48" s="122" customFormat="1" ht="42.75" customHeight="1">
      <c r="A1" s="1733" t="b">
        <f>OR(H21&lt;&gt;"",H26&lt;&gt;"",B31&lt;&gt;"",B35&lt;&gt;"",H63&lt;&gt;"",B149&lt;&gt;"",H332&lt;&gt;"",L353=0,EarnedIncomeWSB&lt;=0,O491&lt;=0)</f>
        <v>0</v>
      </c>
      <c r="B1" s="1734" t="e">
        <f>IF(OR(H26&lt;&gt;"",B149&lt;&gt;"",#REF!&lt;&gt;"",AND(B347&lt;&gt;"",L353=0),AND(B405&lt;&gt;"",O463=0),B483&lt;&gt;"",AND($B$405&lt;&gt;"",O491=0)),1,0)</f>
        <v>#REF!</v>
      </c>
      <c r="C1" s="1735" t="str">
        <f>IF(OR(TaxYear="",Adj_Gross_Inc=""),"Answer questions as indicated in blue.",IF(AND(AN1="",AO1="",AP1="",B347&lt;&gt;"",M390&gt;0),"Your Earned Income Credit is "&amp;O390&amp;" - as indicated on Worksheet A, Part 3, Step 6.",IF(AND(AN1="",AO1="",AP1="",B405&lt;&gt;"",O528&gt;0),"Your Earned Income Credit is "&amp;AA528&amp;" - as indicated on Worksheet B, Part 7.",IF(AN1&lt;&gt;"",AN1,IF(AO1&lt;&gt;"",AO1,IF(AP1&lt;&gt;"",AP1,""))))))</f>
        <v>Please answer question at Step 1, Question 2.</v>
      </c>
      <c r="L1" s="5676"/>
      <c r="N1" s="3691" t="b">
        <f>OR(G26,A149,G218,A235,O494)</f>
        <v>0</v>
      </c>
      <c r="O1" s="5836"/>
      <c r="AA1" s="2624" t="s">
        <v>2033</v>
      </c>
      <c r="AB1" s="2602"/>
      <c r="AC1" s="2602"/>
      <c r="AD1" s="2602"/>
      <c r="AE1" s="2602"/>
      <c r="AF1" s="2602"/>
      <c r="AG1" s="2602"/>
      <c r="AH1" s="2602"/>
      <c r="AI1" s="2602"/>
      <c r="AJ1" s="2602"/>
      <c r="AK1" s="2602"/>
      <c r="AL1" s="2602"/>
      <c r="AN1" s="2605" t="str">
        <f>IF(AND(B78&lt;&gt;"",H80=""),"Check box at Step 2 if you can take the credit",IF(NoEICredit,"You can't take the Earned Income Credit.",IF(AND(B26="",H26=""),"Please answer question at Step 1, Question 2.",IF(AND(B35="",H35=""),"Please answer question at Step 1, Question 4.",IF(AND(B39="",H39=""),"Please answer question at Step 1, Question 5.",IF(AND(B59&lt;&gt;"",B63=""),"Please answer question at Step 2, Question 3.",IF(AND(B68="",B70="",B73="",H78="",N59),"Please answer question at Step 2, Question 4.","")))))))</f>
        <v>Please answer question at Step 1, Question 2.</v>
      </c>
      <c r="AO1" s="2605" t="str">
        <f>IF(B106="","Please indicate number of qualifying children at Step 3.",IF(AND(B112&lt;&gt;"",B117&lt;&gt;"X",B149="",H149=""),"Please answer question at Step 3, Question 3.",""))</f>
        <v/>
      </c>
      <c r="AP1" s="2605" t="str">
        <f>IF(AND(B252="",H252=""),"Please answer question at Step 5, Question 1.",IF(AND(B315="",H315=""),"Please answer question at Step 5, Question 2.",IF(AND(H315&lt;&gt;"",B339="",H339=""),"Please answer question at Step 6, Question 1.",IF(AND(B405&lt;&gt;"",OR(O436="",R438="",R439="",R440="")),"Please enter values at Worksheet B, Part 2, Question 2.",""))))</f>
        <v>Please answer question at Step 5, Question 1.</v>
      </c>
      <c r="AQ1" s="2602"/>
      <c r="AR1" s="2602"/>
      <c r="AS1" s="2602"/>
      <c r="AT1" s="2602"/>
      <c r="AU1" s="2602"/>
      <c r="AV1" s="2602"/>
    </row>
    <row r="2" spans="1:48" s="132" customFormat="1" ht="15.75">
      <c r="A2" s="1736" t="s">
        <v>5116</v>
      </c>
      <c r="B2" s="1736"/>
      <c r="C2" s="1736"/>
      <c r="AA2" s="2606"/>
      <c r="AB2" s="2606"/>
      <c r="AC2" s="2606"/>
      <c r="AD2" s="2606"/>
      <c r="AE2" s="2606"/>
      <c r="AF2" s="2606"/>
      <c r="AG2" s="2606"/>
      <c r="AH2" s="2606"/>
      <c r="AI2" s="2606"/>
      <c r="AJ2" s="2606"/>
      <c r="AK2" s="2606"/>
      <c r="AL2" s="2606"/>
      <c r="AN2" s="2607"/>
      <c r="AO2" s="2607"/>
      <c r="AP2" s="2606"/>
      <c r="AQ2" s="2606"/>
      <c r="AR2" s="2606"/>
      <c r="AS2" s="2606"/>
      <c r="AT2" s="2606"/>
      <c r="AU2" s="2606"/>
      <c r="AV2" s="2606"/>
    </row>
    <row r="3" spans="1:48" s="132" customFormat="1" ht="15.75">
      <c r="A3" s="1736" t="s">
        <v>1274</v>
      </c>
      <c r="B3" s="1736"/>
      <c r="C3" s="1736"/>
      <c r="G3" s="3373"/>
      <c r="H3" s="133"/>
      <c r="I3" s="133"/>
      <c r="J3" s="133"/>
      <c r="K3" s="133"/>
      <c r="L3" s="133"/>
      <c r="M3" s="133"/>
      <c r="N3" s="133"/>
      <c r="O3" s="133"/>
      <c r="P3" s="133"/>
      <c r="Q3" s="133"/>
      <c r="R3" s="133"/>
      <c r="S3" s="133"/>
      <c r="T3" s="133"/>
      <c r="U3" s="133"/>
      <c r="V3" s="133"/>
      <c r="W3" s="133"/>
      <c r="X3" s="133"/>
      <c r="Y3" s="133"/>
      <c r="Z3" s="133"/>
      <c r="AA3" s="2606"/>
      <c r="AB3" s="2606"/>
      <c r="AC3" s="2606"/>
      <c r="AD3" s="2606"/>
      <c r="AE3" s="2606"/>
      <c r="AF3" s="2606"/>
      <c r="AG3" s="2606"/>
      <c r="AH3" s="2606"/>
      <c r="AI3" s="2606"/>
      <c r="AJ3" s="2606"/>
      <c r="AK3" s="2606"/>
      <c r="AL3" s="2606"/>
      <c r="AN3" s="2607"/>
      <c r="AO3" s="2607"/>
      <c r="AP3" s="2606"/>
      <c r="AQ3" s="2606"/>
      <c r="AR3" s="2606"/>
      <c r="AS3" s="2606"/>
      <c r="AT3" s="2606"/>
      <c r="AU3" s="2606"/>
      <c r="AV3" s="2606"/>
    </row>
    <row r="4" spans="1:48" ht="15.75" customHeight="1">
      <c r="A4" s="1738"/>
      <c r="B4" s="1738"/>
      <c r="C4" s="1738"/>
      <c r="H4" s="133"/>
      <c r="N4" s="311" t="s">
        <v>91</v>
      </c>
      <c r="AA4" s="2595"/>
      <c r="AB4" s="2595"/>
      <c r="AC4" s="2595"/>
      <c r="AD4" s="2595"/>
      <c r="AE4" s="2595"/>
      <c r="AF4" s="2595"/>
      <c r="AG4" s="2595"/>
      <c r="AH4" s="2595"/>
      <c r="AI4" s="2595"/>
      <c r="AJ4" s="2595"/>
      <c r="AK4" s="2595"/>
      <c r="AL4" s="2595"/>
      <c r="AN4" s="2608"/>
      <c r="AO4" s="2608"/>
      <c r="AP4" s="2595"/>
      <c r="AQ4" s="2595"/>
      <c r="AR4" s="2595"/>
      <c r="AS4" s="2595"/>
      <c r="AT4" s="2595"/>
      <c r="AU4" s="2595"/>
      <c r="AV4" s="2595"/>
    </row>
    <row r="5" spans="1:48" s="132" customFormat="1" ht="15.75">
      <c r="A5" s="1753" t="s">
        <v>1378</v>
      </c>
      <c r="B5" s="1754" t="s">
        <v>1382</v>
      </c>
      <c r="C5" s="1736"/>
      <c r="G5" s="23"/>
      <c r="H5" s="133"/>
      <c r="I5" s="23"/>
      <c r="J5" s="23"/>
      <c r="K5" s="23"/>
      <c r="L5" s="23"/>
      <c r="M5" s="133" t="s">
        <v>3189</v>
      </c>
      <c r="N5" s="3969"/>
      <c r="O5" s="23"/>
      <c r="P5" s="23"/>
      <c r="Q5" s="23"/>
      <c r="R5" s="23"/>
      <c r="S5" s="23"/>
      <c r="T5" s="23"/>
      <c r="U5" s="23"/>
      <c r="V5" s="23"/>
      <c r="W5" s="23"/>
      <c r="X5" s="23"/>
      <c r="Y5" s="23"/>
      <c r="Z5" s="23"/>
      <c r="AA5" s="2606"/>
      <c r="AB5" s="2606"/>
      <c r="AC5" s="2606"/>
      <c r="AD5" s="2606"/>
      <c r="AE5" s="2606"/>
      <c r="AF5" s="2606"/>
      <c r="AG5" s="2606"/>
      <c r="AH5" s="2606"/>
      <c r="AI5" s="2606"/>
      <c r="AJ5" s="2606"/>
      <c r="AK5" s="2606"/>
      <c r="AL5" s="2606"/>
      <c r="AN5" s="2607"/>
      <c r="AO5" s="2607"/>
      <c r="AP5" s="2606"/>
      <c r="AQ5" s="2606"/>
      <c r="AR5" s="2606"/>
      <c r="AS5" s="2606"/>
      <c r="AT5" s="2606"/>
      <c r="AU5" s="2606"/>
      <c r="AV5" s="2606"/>
    </row>
    <row r="6" spans="1:48">
      <c r="H6" s="133"/>
      <c r="N6" s="3968">
        <f>IF(N5&lt;&gt;"",ROUND(N5,0),Qual_Child_Count)</f>
        <v>0</v>
      </c>
      <c r="AA6" s="2595"/>
      <c r="AB6" s="2595"/>
      <c r="AC6" s="2595"/>
      <c r="AD6" s="2595"/>
      <c r="AE6" s="2595"/>
      <c r="AF6" s="2595"/>
      <c r="AG6" s="2595"/>
      <c r="AH6" s="2595"/>
      <c r="AI6" s="2595"/>
      <c r="AJ6" s="2595"/>
      <c r="AK6" s="2595"/>
      <c r="AL6" s="2595"/>
      <c r="AN6" s="2608"/>
      <c r="AO6" s="2608"/>
      <c r="AP6" s="2595"/>
      <c r="AQ6" s="2595"/>
      <c r="AR6" s="2595"/>
      <c r="AS6" s="2595"/>
      <c r="AT6" s="2595"/>
      <c r="AU6" s="2595"/>
      <c r="AV6" s="2595"/>
    </row>
    <row r="7" spans="1:48">
      <c r="C7" s="1740" t="s">
        <v>294</v>
      </c>
      <c r="D7" s="23" t="str">
        <f>"If, in "&amp;TaxYear&amp;":"</f>
        <v>If, in 2021:</v>
      </c>
      <c r="N7" s="23"/>
      <c r="AA7" s="2595"/>
      <c r="AB7" s="2595"/>
      <c r="AC7" s="2595"/>
      <c r="AD7" s="2595"/>
      <c r="AE7" s="2595"/>
      <c r="AF7" s="2595"/>
      <c r="AG7" s="2595"/>
      <c r="AH7" s="2595"/>
      <c r="AI7" s="2595"/>
      <c r="AJ7" s="2595"/>
      <c r="AK7" s="2595"/>
      <c r="AL7" s="2595"/>
      <c r="AN7" s="2608"/>
      <c r="AO7" s="2608"/>
      <c r="AP7" s="2595"/>
      <c r="AQ7" s="2595"/>
      <c r="AR7" s="2595"/>
      <c r="AS7" s="2595"/>
      <c r="AT7" s="2595"/>
      <c r="AU7" s="2595"/>
      <c r="AV7" s="2595"/>
    </row>
    <row r="8" spans="1:48" ht="7.5" customHeight="1">
      <c r="N8" s="51"/>
      <c r="AA8" s="2595"/>
      <c r="AB8" s="2595"/>
      <c r="AC8" s="2595"/>
      <c r="AD8" s="2595"/>
      <c r="AE8" s="2595"/>
      <c r="AF8" s="2595"/>
      <c r="AG8" s="2595"/>
      <c r="AH8" s="2595"/>
      <c r="AI8" s="2595"/>
      <c r="AJ8" s="2595"/>
      <c r="AK8" s="2595"/>
      <c r="AL8" s="2595"/>
      <c r="AN8" s="2608"/>
      <c r="AO8" s="2608"/>
      <c r="AP8" s="2595"/>
      <c r="AQ8" s="2595"/>
      <c r="AR8" s="2595"/>
      <c r="AS8" s="2595"/>
      <c r="AT8" s="2595"/>
      <c r="AU8" s="2595"/>
      <c r="AV8" s="2595"/>
    </row>
    <row r="9" spans="1:48">
      <c r="B9" s="1847" t="str">
        <f>IF(OR(NumFileStatusBoxes=0,Adj_Gross_Inc=""),"",IF(N6&gt;=3,"®",""))</f>
        <v/>
      </c>
      <c r="C9" s="133" t="s">
        <v>1275</v>
      </c>
      <c r="D9" s="70" t="s">
        <v>1335</v>
      </c>
      <c r="N9" s="51"/>
      <c r="O9" s="4918"/>
      <c r="AA9" s="2595"/>
      <c r="AB9" s="2595"/>
      <c r="AC9" s="2595"/>
      <c r="AD9" s="2595"/>
      <c r="AE9" s="2595"/>
      <c r="AF9" s="2595"/>
      <c r="AG9" s="2595"/>
      <c r="AH9" s="2595"/>
      <c r="AI9" s="2595"/>
      <c r="AJ9" s="2595"/>
      <c r="AK9" s="2595"/>
      <c r="AL9" s="2595"/>
      <c r="AN9" s="2608"/>
      <c r="AO9" s="2608"/>
      <c r="AP9" s="2595"/>
      <c r="AQ9" s="2595"/>
      <c r="AR9" s="2595"/>
      <c r="AS9" s="2595"/>
      <c r="AT9" s="2595"/>
      <c r="AU9" s="2595"/>
      <c r="AV9" s="2595"/>
    </row>
    <row r="10" spans="1:48">
      <c r="B10" s="1741"/>
      <c r="D10" s="23" t="str">
        <f>"Is the amount on Form 1040, line 11, less than "&amp;TEXT(N10,"$0,000")&amp;" ("&amp;TEXT(O10,"$0,000")&amp;" if married filing jointly)?"</f>
        <v>Is the amount on Form 1040, line 11, less than $51,464 ($57,414 if married filing jointly)?</v>
      </c>
      <c r="M10" s="1848" t="str">
        <f>IF(B9&lt;&gt;"®","",IF(Adj_Gross_Inc&lt;N11,"Yes","No"))</f>
        <v/>
      </c>
      <c r="N10" s="1176">
        <v>51464</v>
      </c>
      <c r="O10" s="1176">
        <v>57414</v>
      </c>
      <c r="AA10" s="2595"/>
      <c r="AB10" s="2595"/>
      <c r="AC10" s="2595"/>
      <c r="AD10" s="2595"/>
      <c r="AE10" s="2595"/>
      <c r="AF10" s="2595"/>
      <c r="AG10" s="2595"/>
      <c r="AH10" s="2595"/>
      <c r="AI10" s="2595"/>
      <c r="AJ10" s="2595"/>
      <c r="AK10" s="2595"/>
      <c r="AL10" s="2595"/>
      <c r="AN10" s="2608"/>
      <c r="AO10" s="2608"/>
      <c r="AP10" s="2595"/>
      <c r="AQ10" s="2595"/>
      <c r="AR10" s="2595"/>
      <c r="AS10" s="2595"/>
      <c r="AT10" s="2595"/>
      <c r="AU10" s="2595"/>
      <c r="AV10" s="2595"/>
    </row>
    <row r="11" spans="1:48">
      <c r="B11" s="1741"/>
      <c r="C11" s="40" t="s">
        <v>243</v>
      </c>
      <c r="N11" s="1176">
        <f>IF(File_Marr_Joint&lt;&gt;"",O10,N10)</f>
        <v>51464</v>
      </c>
      <c r="O11" s="1176"/>
      <c r="AA11" s="2595"/>
      <c r="AB11" s="2595"/>
      <c r="AC11" s="2595"/>
      <c r="AD11" s="2595"/>
      <c r="AE11" s="2595"/>
      <c r="AF11" s="2595"/>
      <c r="AG11" s="2595"/>
      <c r="AH11" s="2595"/>
      <c r="AI11" s="2595"/>
      <c r="AJ11" s="2595"/>
      <c r="AK11" s="2595"/>
      <c r="AL11" s="2595"/>
      <c r="AN11" s="2608"/>
      <c r="AO11" s="2608"/>
      <c r="AP11" s="2595"/>
      <c r="AQ11" s="2595"/>
      <c r="AR11" s="2595"/>
      <c r="AS11" s="2595"/>
      <c r="AT11" s="2595"/>
      <c r="AU11" s="2595"/>
      <c r="AV11" s="2595"/>
    </row>
    <row r="12" spans="1:48">
      <c r="B12" s="1847" t="str">
        <f>IF(OR(NumFileStatusBoxes=0,Adj_Gross_Inc=""),"",IF(N6=2,"®",""))</f>
        <v/>
      </c>
      <c r="C12" s="133" t="s">
        <v>1275</v>
      </c>
      <c r="D12" s="70" t="s">
        <v>1336</v>
      </c>
      <c r="N12" s="5110"/>
      <c r="O12" s="1176"/>
      <c r="AA12" s="2595"/>
      <c r="AB12" s="2595"/>
      <c r="AC12" s="2595"/>
      <c r="AD12" s="2595"/>
      <c r="AE12" s="2595"/>
      <c r="AF12" s="2595"/>
      <c r="AG12" s="2595"/>
      <c r="AH12" s="2595"/>
      <c r="AI12" s="2595"/>
      <c r="AJ12" s="2595"/>
      <c r="AK12" s="2595"/>
      <c r="AL12" s="2595"/>
      <c r="AN12" s="2608"/>
      <c r="AO12" s="2608"/>
      <c r="AP12" s="2595"/>
      <c r="AQ12" s="2595"/>
      <c r="AR12" s="2595"/>
      <c r="AS12" s="2595"/>
      <c r="AT12" s="2595"/>
      <c r="AU12" s="2595"/>
      <c r="AV12" s="2595"/>
    </row>
    <row r="13" spans="1:48">
      <c r="B13" s="1741"/>
      <c r="D13" s="23" t="str">
        <f>"Is the amount on Form 1040, line 11, less than "&amp;TEXT(N13,"$0,000")&amp;" ("&amp;TEXT(O13,"$0,000")&amp;" if married filing jointly)?"</f>
        <v>Is the amount on Form 1040, line 11, less than $47,915 ($53,865 if married filing jointly)?</v>
      </c>
      <c r="M13" s="1848" t="str">
        <f>IF(B12&lt;&gt;"®","",IF(Adj_Gross_Inc&lt;N14,"Yes","No"))</f>
        <v/>
      </c>
      <c r="N13" s="1176">
        <v>47915</v>
      </c>
      <c r="O13" s="1176">
        <v>53865</v>
      </c>
      <c r="AA13" s="2595"/>
      <c r="AB13" s="2595"/>
      <c r="AC13" s="2595"/>
      <c r="AD13" s="2595"/>
      <c r="AE13" s="2595"/>
      <c r="AF13" s="2595"/>
      <c r="AG13" s="2595"/>
      <c r="AH13" s="2595"/>
      <c r="AI13" s="2595"/>
      <c r="AJ13" s="2595"/>
      <c r="AK13" s="2595"/>
      <c r="AL13" s="2595"/>
      <c r="AN13" s="2608"/>
      <c r="AO13" s="2608"/>
      <c r="AP13" s="2595"/>
      <c r="AQ13" s="2595"/>
      <c r="AR13" s="2595"/>
      <c r="AS13" s="2595"/>
      <c r="AT13" s="2595"/>
      <c r="AU13" s="2595"/>
      <c r="AV13" s="2595"/>
    </row>
    <row r="14" spans="1:48">
      <c r="B14" s="1741"/>
      <c r="C14" s="40" t="s">
        <v>243</v>
      </c>
      <c r="N14" s="1176">
        <f>IF(File_Marr_Joint&lt;&gt;"",O13,N13)</f>
        <v>47915</v>
      </c>
      <c r="O14" s="1176"/>
      <c r="AA14" s="2595"/>
      <c r="AB14" s="2595"/>
      <c r="AC14" s="2595"/>
      <c r="AD14" s="2595"/>
      <c r="AE14" s="2595"/>
      <c r="AF14" s="2595"/>
      <c r="AG14" s="2595"/>
      <c r="AH14" s="2595"/>
      <c r="AI14" s="2595"/>
      <c r="AJ14" s="2595"/>
      <c r="AK14" s="2595"/>
      <c r="AL14" s="2595"/>
      <c r="AN14" s="2608"/>
      <c r="AO14" s="2608"/>
      <c r="AP14" s="2595"/>
      <c r="AQ14" s="2595"/>
      <c r="AR14" s="2595"/>
      <c r="AS14" s="2595"/>
      <c r="AT14" s="2595"/>
      <c r="AU14" s="2595"/>
      <c r="AV14" s="2595"/>
    </row>
    <row r="15" spans="1:48">
      <c r="B15" s="1847" t="str">
        <f>IF(OR(NumFileStatusBoxes=0,Adj_Gross_Inc=""),"",IF(N6=1,"®",""))</f>
        <v/>
      </c>
      <c r="C15" s="133" t="s">
        <v>1275</v>
      </c>
      <c r="D15" s="70" t="s">
        <v>1337</v>
      </c>
      <c r="N15" s="1176"/>
      <c r="O15" s="1176"/>
      <c r="AA15" s="2595"/>
      <c r="AB15" s="2595"/>
      <c r="AC15" s="2595"/>
      <c r="AD15" s="2595"/>
      <c r="AE15" s="2595"/>
      <c r="AF15" s="2595"/>
      <c r="AG15" s="2595"/>
      <c r="AH15" s="2595"/>
      <c r="AI15" s="2595"/>
      <c r="AJ15" s="2595"/>
      <c r="AK15" s="2595"/>
      <c r="AL15" s="2595"/>
      <c r="AN15" s="2608"/>
      <c r="AO15" s="2608"/>
      <c r="AP15" s="2595"/>
      <c r="AQ15" s="2595"/>
      <c r="AR15" s="2595"/>
      <c r="AS15" s="2595"/>
      <c r="AT15" s="2595"/>
      <c r="AU15" s="2595"/>
      <c r="AV15" s="2595"/>
    </row>
    <row r="16" spans="1:48">
      <c r="B16" s="1741"/>
      <c r="D16" s="23" t="str">
        <f>"Is the amount on Form 1040, line 11, less than "&amp;TEXT(N16,"$0,000")&amp;" ("&amp;TEXT(O16,"$0,000")&amp;" if married filing jointly)?"</f>
        <v>Is the amount on Form 1040, line 11, less than $42,158 ($48,108 if married filing jointly)?</v>
      </c>
      <c r="M16" s="1848" t="str">
        <f>IF(B15&lt;&gt;"®","",IF(Adj_Gross_Inc&lt;N17,"Yes","No"))</f>
        <v/>
      </c>
      <c r="N16" s="1176">
        <v>42158</v>
      </c>
      <c r="O16" s="1176">
        <v>48108</v>
      </c>
      <c r="AA16" s="2595"/>
      <c r="AB16" s="2595"/>
      <c r="AC16" s="2595"/>
      <c r="AD16" s="2595"/>
      <c r="AE16" s="2595"/>
      <c r="AF16" s="2595"/>
      <c r="AG16" s="2595"/>
      <c r="AH16" s="2595"/>
      <c r="AI16" s="2595"/>
      <c r="AJ16" s="2595"/>
      <c r="AK16" s="2595"/>
      <c r="AL16" s="2595"/>
      <c r="AN16" s="2608"/>
      <c r="AO16" s="2608"/>
      <c r="AP16" s="2595"/>
      <c r="AQ16" s="2595"/>
      <c r="AR16" s="2595"/>
      <c r="AS16" s="2595"/>
      <c r="AT16" s="2595"/>
      <c r="AU16" s="2595"/>
      <c r="AV16" s="2595"/>
    </row>
    <row r="17" spans="1:48">
      <c r="B17" s="1741"/>
      <c r="C17" s="40" t="s">
        <v>243</v>
      </c>
      <c r="N17" s="1176">
        <f>IF(File_Marr_Joint&lt;&gt;"",O16,N16)</f>
        <v>42158</v>
      </c>
      <c r="O17" s="1176"/>
      <c r="AA17" s="2595"/>
      <c r="AB17" s="2595"/>
      <c r="AC17" s="2595"/>
      <c r="AD17" s="2595"/>
      <c r="AE17" s="2595"/>
      <c r="AF17" s="2595"/>
      <c r="AG17" s="2595"/>
      <c r="AH17" s="2595"/>
      <c r="AI17" s="2595"/>
      <c r="AJ17" s="2595"/>
      <c r="AK17" s="2595"/>
      <c r="AL17" s="2595"/>
      <c r="AN17" s="2608"/>
      <c r="AO17" s="2608"/>
      <c r="AP17" s="2595"/>
      <c r="AQ17" s="2595"/>
      <c r="AR17" s="2595"/>
      <c r="AS17" s="2595"/>
      <c r="AT17" s="2595"/>
      <c r="AU17" s="2595"/>
      <c r="AV17" s="2595"/>
    </row>
    <row r="18" spans="1:48">
      <c r="B18" s="1847" t="str">
        <f>IF(OR(NumFileStatusBoxes=0,Adj_Gross_Inc=""),"",IF(N6=0,"®",""))</f>
        <v/>
      </c>
      <c r="C18" s="133" t="s">
        <v>1275</v>
      </c>
      <c r="D18" s="70" t="s">
        <v>1338</v>
      </c>
      <c r="N18" s="1176"/>
      <c r="O18" s="1176"/>
      <c r="AA18" s="2595"/>
      <c r="AB18" s="2595"/>
      <c r="AC18" s="2595"/>
      <c r="AD18" s="2595"/>
      <c r="AE18" s="2595"/>
      <c r="AF18" s="2595"/>
      <c r="AG18" s="2595"/>
      <c r="AH18" s="2595"/>
      <c r="AI18" s="2595"/>
      <c r="AJ18" s="2595"/>
      <c r="AK18" s="2595"/>
      <c r="AL18" s="2595"/>
      <c r="AN18" s="2608"/>
      <c r="AO18" s="2608"/>
      <c r="AP18" s="2595"/>
      <c r="AQ18" s="2595"/>
      <c r="AR18" s="2595"/>
      <c r="AS18" s="2595"/>
      <c r="AT18" s="2595"/>
      <c r="AU18" s="2595"/>
      <c r="AV18" s="2595"/>
    </row>
    <row r="19" spans="1:48">
      <c r="D19" s="23" t="str">
        <f>"Is the amount on Form 1040, line 11, less than "&amp;TEXT(N19,"$0,000")&amp;" ("&amp;TEXT(O19,"$0,000")&amp;" if married filing jointly)?"</f>
        <v>Is the amount on Form 1040, line 11, less than $21,430 ($27,380 if married filing jointly)?</v>
      </c>
      <c r="M19" s="1848" t="str">
        <f>IF(B18&lt;&gt;"®","",IF(Adj_Gross_Inc&lt;N20,"Yes","No"))</f>
        <v/>
      </c>
      <c r="N19" s="1176">
        <v>21430</v>
      </c>
      <c r="O19" s="1176">
        <v>27380</v>
      </c>
      <c r="AA19" s="2595"/>
      <c r="AB19" s="2595"/>
      <c r="AC19" s="2595"/>
      <c r="AD19" s="2595"/>
      <c r="AE19" s="2595"/>
      <c r="AF19" s="2595"/>
      <c r="AG19" s="2595"/>
      <c r="AH19" s="2595"/>
      <c r="AI19" s="2595"/>
      <c r="AJ19" s="2595"/>
      <c r="AK19" s="2595"/>
      <c r="AL19" s="2595"/>
      <c r="AN19" s="2608"/>
      <c r="AO19" s="2608"/>
      <c r="AP19" s="2595"/>
      <c r="AQ19" s="2595"/>
      <c r="AR19" s="2595"/>
      <c r="AS19" s="2595"/>
      <c r="AT19" s="2595"/>
      <c r="AU19" s="2595"/>
      <c r="AV19" s="2595"/>
    </row>
    <row r="20" spans="1:48">
      <c r="N20" s="1176">
        <f>IF(File_Marr_Joint&lt;&gt;"",O19,N19)</f>
        <v>21430</v>
      </c>
      <c r="O20" s="1176"/>
      <c r="AA20" s="2595"/>
      <c r="AB20" s="2595"/>
      <c r="AC20" s="2595"/>
      <c r="AD20" s="2595"/>
      <c r="AE20" s="2595"/>
      <c r="AF20" s="2595"/>
      <c r="AG20" s="2595"/>
      <c r="AH20" s="2595"/>
      <c r="AI20" s="2595"/>
      <c r="AJ20" s="2595"/>
      <c r="AK20" s="2595"/>
      <c r="AL20" s="2595"/>
      <c r="AN20" s="2608"/>
      <c r="AO20" s="2608"/>
      <c r="AP20" s="2595"/>
      <c r="AQ20" s="2595"/>
      <c r="AR20" s="2595"/>
      <c r="AS20" s="2595"/>
      <c r="AT20" s="2595"/>
      <c r="AU20" s="2595"/>
      <c r="AV20" s="2595"/>
    </row>
    <row r="21" spans="1:48">
      <c r="A21" s="1176" t="b">
        <f>(B21&lt;&gt;"")</f>
        <v>0</v>
      </c>
      <c r="B21" s="2052" t="str">
        <f>IF(OR(M10="Yes",M13="Yes",M16="Yes",M19="Yes"),"X","")</f>
        <v/>
      </c>
      <c r="D21" s="70" t="s">
        <v>2698</v>
      </c>
      <c r="H21" s="2052" t="str">
        <f>IF(OR(NumFileStatusBoxes&lt;&gt;1,AND(M10="",M13="",M16="",M19="")),"",IF(OR(M10="Yes",M13="Yes",M16="Yes",M19="Yes"),"","X"))</f>
        <v/>
      </c>
      <c r="J21" s="70" t="s">
        <v>3427</v>
      </c>
      <c r="O21" s="4918"/>
      <c r="AA21" s="2595"/>
      <c r="AB21" s="2595"/>
      <c r="AC21" s="2595"/>
      <c r="AD21" s="2595"/>
      <c r="AE21" s="2595"/>
      <c r="AF21" s="2595"/>
      <c r="AG21" s="2595"/>
      <c r="AH21" s="2595"/>
      <c r="AI21" s="2595"/>
      <c r="AJ21" s="2595"/>
      <c r="AK21" s="2595"/>
      <c r="AL21" s="2595"/>
      <c r="AN21" s="2608"/>
      <c r="AO21" s="2608"/>
      <c r="AP21" s="2595"/>
      <c r="AQ21" s="2595"/>
      <c r="AR21" s="2595"/>
      <c r="AS21" s="2595"/>
      <c r="AT21" s="2595"/>
      <c r="AU21" s="2595"/>
      <c r="AV21" s="2595"/>
    </row>
    <row r="22" spans="1:48">
      <c r="O22" s="4918"/>
      <c r="AA22" s="2595"/>
      <c r="AB22" s="2595"/>
      <c r="AC22" s="2595"/>
      <c r="AD22" s="2595"/>
      <c r="AE22" s="2595"/>
      <c r="AF22" s="2595"/>
      <c r="AG22" s="2595"/>
      <c r="AH22" s="2595"/>
      <c r="AI22" s="2595"/>
      <c r="AJ22" s="2595"/>
      <c r="AK22" s="2595"/>
      <c r="AL22" s="2595"/>
      <c r="AN22" s="2608"/>
      <c r="AO22" s="2608"/>
      <c r="AP22" s="2595"/>
      <c r="AQ22" s="2595"/>
      <c r="AR22" s="2595"/>
      <c r="AS22" s="2595"/>
      <c r="AT22" s="2595"/>
      <c r="AU22" s="2595"/>
      <c r="AV22" s="2595"/>
    </row>
    <row r="23" spans="1:48">
      <c r="C23" s="1740" t="s">
        <v>0</v>
      </c>
      <c r="D23" s="70" t="s">
        <v>2689</v>
      </c>
      <c r="AA23" s="2595"/>
      <c r="AB23" s="2595"/>
      <c r="AC23" s="2595"/>
      <c r="AD23" s="2595"/>
      <c r="AE23" s="2595"/>
      <c r="AF23" s="2595"/>
      <c r="AG23" s="2595"/>
      <c r="AH23" s="2595"/>
      <c r="AI23" s="2595"/>
      <c r="AJ23" s="2595"/>
      <c r="AK23" s="2595"/>
      <c r="AL23" s="2595"/>
      <c r="AN23" s="2608"/>
      <c r="AO23" s="2608"/>
      <c r="AP23" s="2595"/>
      <c r="AQ23" s="2595"/>
      <c r="AR23" s="2595"/>
      <c r="AS23" s="2595"/>
      <c r="AT23" s="2595"/>
      <c r="AU23" s="2595"/>
      <c r="AV23" s="2595"/>
    </row>
    <row r="24" spans="1:48">
      <c r="D24" s="70" t="str">
        <f>"of your "&amp;TaxYear&amp;" return (including extensions) that allows you to work and is valid for EIC purposes?"</f>
        <v>of your 2021 return (including extensions) that allows you to work and is valid for EIC purposes?</v>
      </c>
      <c r="AA24" s="2595"/>
      <c r="AB24" s="2595"/>
      <c r="AC24" s="2595"/>
      <c r="AD24" s="2595"/>
      <c r="AE24" s="2595"/>
      <c r="AF24" s="2595"/>
      <c r="AG24" s="2595"/>
      <c r="AH24" s="2595"/>
      <c r="AI24" s="2595"/>
      <c r="AJ24" s="2595"/>
      <c r="AK24" s="2595"/>
      <c r="AL24" s="2595"/>
      <c r="AN24" s="2608"/>
      <c r="AO24" s="2608"/>
      <c r="AP24" s="2595"/>
      <c r="AQ24" s="2595"/>
      <c r="AR24" s="2595"/>
      <c r="AS24" s="2595"/>
      <c r="AT24" s="2595"/>
      <c r="AU24" s="2595"/>
      <c r="AV24" s="2595"/>
    </row>
    <row r="25" spans="1:48">
      <c r="AA25" s="2595"/>
      <c r="AB25" s="2595"/>
      <c r="AC25" s="2595"/>
      <c r="AD25" s="2595"/>
      <c r="AE25" s="2595"/>
      <c r="AF25" s="2595"/>
      <c r="AG25" s="2595"/>
      <c r="AH25" s="2595"/>
      <c r="AI25" s="2595"/>
      <c r="AJ25" s="2595"/>
      <c r="AK25" s="2595"/>
      <c r="AL25" s="2595"/>
      <c r="AN25" s="2608"/>
      <c r="AO25" s="2608"/>
      <c r="AP25" s="2595"/>
      <c r="AQ25" s="2595"/>
      <c r="AR25" s="2595"/>
      <c r="AS25" s="2595"/>
      <c r="AT25" s="2595"/>
      <c r="AU25" s="2595"/>
      <c r="AV25" s="2595"/>
    </row>
    <row r="26" spans="1:48">
      <c r="A26" s="1176" t="b">
        <f>AND(EIC_trigger,EIC_Line2_No="",OR(AND(File_Marr_Joint&lt;&gt;"",SS_Yours&lt;&gt;"",SS_Spouse&lt;&gt;""),AND(File_Marr_Joint="",SS_Yours&lt;&gt;"")))</f>
        <v>0</v>
      </c>
      <c r="B26" s="2052" t="str">
        <f>IF(A26,"X","")</f>
        <v/>
      </c>
      <c r="D26" s="70" t="s">
        <v>2698</v>
      </c>
      <c r="G26" s="1176" t="b">
        <f>EIC_Line2_No&lt;&gt;""</f>
        <v>0</v>
      </c>
      <c r="H26" s="1334"/>
      <c r="J26" s="70" t="s">
        <v>2699</v>
      </c>
      <c r="AA26" s="2595"/>
      <c r="AB26" s="2595"/>
      <c r="AC26" s="2595"/>
      <c r="AD26" s="2595"/>
      <c r="AE26" s="2595"/>
      <c r="AF26" s="2595"/>
      <c r="AG26" s="2595"/>
      <c r="AH26" s="2595"/>
      <c r="AI26" s="2595"/>
      <c r="AJ26" s="2595"/>
      <c r="AK26" s="2595"/>
      <c r="AL26" s="2595"/>
      <c r="AN26" s="2608"/>
      <c r="AO26" s="2608"/>
      <c r="AP26" s="2595"/>
      <c r="AQ26" s="2595"/>
      <c r="AR26" s="2595"/>
      <c r="AS26" s="2595"/>
      <c r="AT26" s="2595"/>
      <c r="AU26" s="2595"/>
      <c r="AV26" s="2595"/>
    </row>
    <row r="27" spans="1:48">
      <c r="D27" s="1770" t="str">
        <f>IF(AND(EIC_Line2_No="",OR(AND(File_Marr_Joint&lt;&gt;"",OR(SS_Yours="",SS_Spouse="")),SS_Yours="")),"If so, enter your social security","")</f>
        <v/>
      </c>
      <c r="J27" s="70" t="s">
        <v>5117</v>
      </c>
      <c r="AA27" s="2595"/>
      <c r="AB27" s="2595"/>
      <c r="AC27" s="2595"/>
      <c r="AD27" s="2595"/>
      <c r="AE27" s="2595"/>
      <c r="AF27" s="2595"/>
      <c r="AG27" s="2595"/>
      <c r="AH27" s="2595"/>
      <c r="AI27" s="2595"/>
      <c r="AJ27" s="2595"/>
      <c r="AK27" s="2595"/>
      <c r="AL27" s="2595"/>
      <c r="AN27" s="2608"/>
      <c r="AO27" s="2608"/>
      <c r="AP27" s="2595"/>
      <c r="AQ27" s="2595"/>
      <c r="AR27" s="2595"/>
      <c r="AS27" s="2595"/>
      <c r="AT27" s="2595"/>
      <c r="AU27" s="2595"/>
      <c r="AV27" s="2595"/>
    </row>
    <row r="28" spans="1:48">
      <c r="D28" s="1770" t="str">
        <f>IF(AND(EIC_Line2_No="",OR(AND(File_Marr_Joint&lt;&gt;"",OR(SS_Yours="",SS_Spouse="")))),"numbers on the sheet labeled '1040'.",IF(AND(EIC_Line2_No="",SS_Yours=""),"number on the sheet labeled '1040'.",""))</f>
        <v/>
      </c>
      <c r="AA28" s="2595"/>
      <c r="AB28" s="2595"/>
      <c r="AC28" s="2595"/>
      <c r="AD28" s="2595"/>
      <c r="AE28" s="2595"/>
      <c r="AF28" s="2595"/>
      <c r="AG28" s="2595"/>
      <c r="AH28" s="2595"/>
      <c r="AI28" s="2595"/>
      <c r="AJ28" s="2595"/>
      <c r="AK28" s="2595"/>
      <c r="AL28" s="2595"/>
      <c r="AN28" s="2608"/>
      <c r="AO28" s="2608"/>
      <c r="AP28" s="2595"/>
      <c r="AQ28" s="2595"/>
      <c r="AR28" s="2595"/>
      <c r="AS28" s="2595"/>
      <c r="AT28" s="2595"/>
      <c r="AU28" s="2595"/>
      <c r="AV28" s="2595"/>
    </row>
    <row r="29" spans="1:48">
      <c r="C29" s="1740" t="s">
        <v>1</v>
      </c>
      <c r="D29" s="23" t="s">
        <v>1276</v>
      </c>
      <c r="AA29" s="2595"/>
      <c r="AB29" s="2595"/>
      <c r="AC29" s="2595"/>
      <c r="AD29" s="2595"/>
      <c r="AE29" s="2595"/>
      <c r="AF29" s="2595"/>
      <c r="AG29" s="2595"/>
      <c r="AH29" s="2595"/>
      <c r="AI29" s="2595"/>
      <c r="AJ29" s="2595"/>
      <c r="AK29" s="2595"/>
      <c r="AL29" s="2595"/>
      <c r="AN29" s="2608"/>
      <c r="AO29" s="2608"/>
      <c r="AP29" s="2595"/>
      <c r="AQ29" s="2595"/>
      <c r="AR29" s="2595"/>
      <c r="AS29" s="2595"/>
      <c r="AT29" s="2595"/>
      <c r="AU29" s="2595"/>
      <c r="AV29" s="2595"/>
    </row>
    <row r="30" spans="1:48">
      <c r="AA30" s="2595"/>
      <c r="AB30" s="2595"/>
      <c r="AC30" s="2595"/>
      <c r="AD30" s="2595"/>
      <c r="AE30" s="2595"/>
      <c r="AF30" s="2595"/>
      <c r="AG30" s="2595"/>
      <c r="AH30" s="2595"/>
      <c r="AI30" s="2595"/>
      <c r="AJ30" s="2595"/>
      <c r="AK30" s="2595"/>
      <c r="AL30" s="2595"/>
      <c r="AN30" s="2608"/>
      <c r="AO30" s="2608"/>
      <c r="AP30" s="2595"/>
      <c r="AQ30" s="2595"/>
      <c r="AR30" s="2595"/>
      <c r="AS30" s="2595"/>
      <c r="AT30" s="2595"/>
      <c r="AU30" s="2595"/>
      <c r="AV30" s="2595"/>
    </row>
    <row r="31" spans="1:48">
      <c r="A31" s="1176" t="b">
        <f>B31&lt;&gt;""</f>
        <v>0</v>
      </c>
      <c r="B31" s="2053" t="str">
        <f>IF(OR(H21="X",H26="X"),"",IF(File_Marr_Sep&lt;&gt;"","X",""))</f>
        <v/>
      </c>
      <c r="D31" s="70" t="s">
        <v>3417</v>
      </c>
      <c r="H31" s="2053" t="str">
        <f>IF(OR(AND(B21="",H21=""),H21&lt;&gt;"",EIC_Line2_No&lt;&gt;""),"",IF(File_Marr_Sep="","X",""))</f>
        <v/>
      </c>
      <c r="J31" s="70" t="s">
        <v>2697</v>
      </c>
      <c r="M31" s="1176" t="b">
        <f>H31&lt;&gt;""</f>
        <v>0</v>
      </c>
      <c r="AA31" s="2595"/>
      <c r="AB31" s="2595"/>
      <c r="AC31" s="2595"/>
      <c r="AD31" s="2595"/>
      <c r="AE31" s="2595"/>
      <c r="AF31" s="2595"/>
      <c r="AG31" s="2595"/>
      <c r="AH31" s="2595"/>
      <c r="AI31" s="2595"/>
      <c r="AJ31" s="2595"/>
      <c r="AK31" s="2595"/>
      <c r="AL31" s="2595"/>
      <c r="AN31" s="2608"/>
      <c r="AO31" s="2608"/>
      <c r="AP31" s="2595"/>
      <c r="AQ31" s="2595"/>
      <c r="AR31" s="2595"/>
      <c r="AS31" s="2595"/>
      <c r="AT31" s="2595"/>
      <c r="AU31" s="2595"/>
      <c r="AV31" s="2595"/>
    </row>
    <row r="32" spans="1:48">
      <c r="AA32" s="2595"/>
      <c r="AB32" s="2595"/>
      <c r="AC32" s="2595"/>
      <c r="AD32" s="2595"/>
      <c r="AE32" s="2595"/>
      <c r="AF32" s="2595"/>
      <c r="AG32" s="2595"/>
      <c r="AH32" s="2595"/>
      <c r="AI32" s="2595"/>
      <c r="AJ32" s="2595"/>
      <c r="AK32" s="2595"/>
      <c r="AL32" s="2595"/>
      <c r="AN32" s="2608"/>
      <c r="AO32" s="2608"/>
      <c r="AP32" s="2595"/>
      <c r="AQ32" s="2595"/>
      <c r="AR32" s="2595"/>
      <c r="AS32" s="2595"/>
      <c r="AT32" s="2595"/>
      <c r="AU32" s="2595"/>
      <c r="AV32" s="2595"/>
    </row>
    <row r="33" spans="1:48">
      <c r="C33" s="1740" t="s">
        <v>399</v>
      </c>
      <c r="D33" s="70" t="s">
        <v>3416</v>
      </c>
      <c r="AA33" s="2595"/>
      <c r="AB33" s="2595"/>
      <c r="AC33" s="2595"/>
      <c r="AD33" s="2595"/>
      <c r="AE33" s="2595"/>
      <c r="AF33" s="2595"/>
      <c r="AG33" s="2595"/>
      <c r="AH33" s="2595"/>
      <c r="AI33" s="2595"/>
      <c r="AJ33" s="2595"/>
      <c r="AK33" s="2595"/>
      <c r="AL33" s="2595"/>
      <c r="AN33" s="2608"/>
      <c r="AO33" s="2608"/>
      <c r="AP33" s="2595"/>
      <c r="AQ33" s="2595"/>
      <c r="AR33" s="2595"/>
      <c r="AS33" s="2595"/>
      <c r="AT33" s="2595"/>
      <c r="AU33" s="2595"/>
      <c r="AV33" s="2595"/>
    </row>
    <row r="34" spans="1:48">
      <c r="AA34" s="2595"/>
      <c r="AB34" s="2595"/>
      <c r="AC34" s="2595"/>
      <c r="AD34" s="2595"/>
      <c r="AE34" s="2595"/>
      <c r="AF34" s="2595"/>
      <c r="AG34" s="2595"/>
      <c r="AH34" s="2595"/>
      <c r="AI34" s="2595"/>
      <c r="AJ34" s="2595"/>
      <c r="AK34" s="2595"/>
      <c r="AL34" s="2595"/>
      <c r="AN34" s="2608"/>
      <c r="AO34" s="2608"/>
      <c r="AP34" s="2595"/>
      <c r="AQ34" s="2595"/>
      <c r="AR34" s="2595"/>
      <c r="AS34" s="2595"/>
      <c r="AT34" s="2595"/>
      <c r="AU34" s="2595"/>
      <c r="AV34" s="2595"/>
    </row>
    <row r="35" spans="1:48">
      <c r="A35" s="1176" t="b">
        <f>B35&lt;&gt;""</f>
        <v>0</v>
      </c>
      <c r="B35" s="2053" t="str">
        <f>IF(Form2555_Used,"X","")</f>
        <v/>
      </c>
      <c r="D35" s="70" t="s">
        <v>3417</v>
      </c>
      <c r="H35" s="2053" t="str">
        <f>IF(OR(NOT(EIC_trigger),AND(B21="",H21="")),"",IF(Form2555_Used,"","X"))</f>
        <v/>
      </c>
      <c r="J35" s="70" t="s">
        <v>2697</v>
      </c>
      <c r="M35" s="1176" t="b">
        <f>H35&lt;&gt;""</f>
        <v>0</v>
      </c>
      <c r="AA35" s="2595"/>
      <c r="AB35" s="2595"/>
      <c r="AC35" s="2595"/>
      <c r="AD35" s="2595"/>
      <c r="AE35" s="2595"/>
      <c r="AF35" s="2595"/>
      <c r="AG35" s="2595"/>
      <c r="AH35" s="2595"/>
      <c r="AI35" s="2595"/>
      <c r="AJ35" s="2595"/>
      <c r="AK35" s="2595"/>
      <c r="AL35" s="2595"/>
      <c r="AN35" s="2608"/>
      <c r="AO35" s="2608"/>
      <c r="AP35" s="2595"/>
      <c r="AQ35" s="2595"/>
      <c r="AR35" s="2595"/>
      <c r="AS35" s="2595"/>
      <c r="AT35" s="2595"/>
      <c r="AU35" s="2595"/>
      <c r="AV35" s="2595"/>
    </row>
    <row r="36" spans="1:48">
      <c r="AA36" s="2595"/>
      <c r="AB36" s="2595"/>
      <c r="AC36" s="2595"/>
      <c r="AD36" s="2595"/>
      <c r="AE36" s="2595"/>
      <c r="AF36" s="2595"/>
      <c r="AG36" s="2595"/>
      <c r="AH36" s="2595"/>
      <c r="AI36" s="2595"/>
      <c r="AJ36" s="2595"/>
      <c r="AK36" s="2595"/>
      <c r="AL36" s="2595"/>
      <c r="AN36" s="2608"/>
      <c r="AO36" s="2608"/>
      <c r="AP36" s="2595"/>
      <c r="AQ36" s="2595"/>
      <c r="AR36" s="2595"/>
      <c r="AS36" s="2595"/>
      <c r="AT36" s="2595"/>
      <c r="AU36" s="2595"/>
      <c r="AV36" s="2595"/>
    </row>
    <row r="37" spans="1:48">
      <c r="C37" s="1740" t="s">
        <v>31</v>
      </c>
      <c r="D37" s="23" t="str">
        <f>"Were you or your spouse a nonresident alien for any part of "&amp;TaxYear&amp;"?"</f>
        <v>Were you or your spouse a nonresident alien for any part of 2021?</v>
      </c>
      <c r="AA37" s="2595"/>
      <c r="AB37" s="2595"/>
      <c r="AC37" s="2595"/>
      <c r="AD37" s="2595"/>
      <c r="AE37" s="2595"/>
      <c r="AF37" s="2595"/>
      <c r="AG37" s="2595"/>
      <c r="AH37" s="2595"/>
      <c r="AI37" s="2595"/>
      <c r="AJ37" s="2595"/>
      <c r="AK37" s="2595"/>
      <c r="AL37" s="2595"/>
      <c r="AN37" s="2608"/>
      <c r="AO37" s="2608"/>
      <c r="AP37" s="2595"/>
      <c r="AQ37" s="2595"/>
      <c r="AR37" s="2595"/>
      <c r="AS37" s="2595"/>
      <c r="AT37" s="2595"/>
      <c r="AU37" s="2595"/>
      <c r="AV37" s="2595"/>
    </row>
    <row r="38" spans="1:48">
      <c r="AA38" s="2595"/>
      <c r="AB38" s="2595"/>
      <c r="AC38" s="2595"/>
      <c r="AD38" s="2595"/>
      <c r="AE38" s="2595"/>
      <c r="AF38" s="2595"/>
      <c r="AG38" s="2595"/>
      <c r="AH38" s="2595"/>
      <c r="AI38" s="2595"/>
      <c r="AJ38" s="2595"/>
      <c r="AK38" s="2595"/>
      <c r="AL38" s="2595"/>
      <c r="AN38" s="2608"/>
      <c r="AO38" s="2608"/>
      <c r="AP38" s="2595"/>
      <c r="AQ38" s="2595"/>
      <c r="AR38" s="2595"/>
      <c r="AS38" s="2595"/>
      <c r="AT38" s="2595"/>
      <c r="AU38" s="2595"/>
      <c r="AV38" s="2595"/>
    </row>
    <row r="39" spans="1:48">
      <c r="A39" s="1176" t="b">
        <f>OR(B39&lt;&gt;"",H39&lt;&gt;"")</f>
        <v>1</v>
      </c>
      <c r="B39" s="1334"/>
      <c r="D39" s="24" t="s">
        <v>416</v>
      </c>
      <c r="H39" s="2052" t="s">
        <v>1262</v>
      </c>
      <c r="J39" s="70" t="s">
        <v>2696</v>
      </c>
      <c r="M39" s="1176" t="b">
        <f>H39&lt;&gt;""</f>
        <v>1</v>
      </c>
      <c r="AA39" s="2595"/>
      <c r="AB39" s="2595"/>
      <c r="AC39" s="2595"/>
      <c r="AD39" s="2595"/>
      <c r="AE39" s="2595"/>
      <c r="AF39" s="2595"/>
      <c r="AG39" s="2595"/>
      <c r="AH39" s="2595"/>
      <c r="AI39" s="2595"/>
      <c r="AJ39" s="2595"/>
      <c r="AK39" s="2595"/>
      <c r="AL39" s="2595"/>
      <c r="AN39" s="2608"/>
      <c r="AO39" s="2608"/>
      <c r="AP39" s="2595"/>
      <c r="AQ39" s="2595"/>
      <c r="AR39" s="2595"/>
      <c r="AS39" s="2595"/>
      <c r="AT39" s="2595"/>
      <c r="AU39" s="2595"/>
      <c r="AV39" s="2595"/>
    </row>
    <row r="40" spans="1:48">
      <c r="D40" s="23" t="s">
        <v>1339</v>
      </c>
      <c r="AA40" s="2595"/>
      <c r="AB40" s="2595"/>
      <c r="AC40" s="2595"/>
      <c r="AD40" s="2595"/>
      <c r="AE40" s="2595"/>
      <c r="AF40" s="2595"/>
      <c r="AG40" s="2595"/>
      <c r="AH40" s="2595"/>
      <c r="AI40" s="2595"/>
      <c r="AJ40" s="2595"/>
      <c r="AK40" s="2595"/>
      <c r="AL40" s="2595"/>
      <c r="AN40" s="2608"/>
      <c r="AO40" s="2608"/>
      <c r="AP40" s="2595"/>
      <c r="AQ40" s="2595"/>
      <c r="AR40" s="2595"/>
      <c r="AS40" s="2595"/>
      <c r="AT40" s="2595"/>
      <c r="AU40" s="2595"/>
      <c r="AV40" s="2595"/>
    </row>
    <row r="41" spans="1:48">
      <c r="A41" s="1176" t="b">
        <f>OR(EIC_Stop26,EIC_Stop31,EIC_Stop35)</f>
        <v>0</v>
      </c>
      <c r="D41" s="23" t="s">
        <v>1340</v>
      </c>
      <c r="AA41" s="2595"/>
      <c r="AB41" s="2595"/>
      <c r="AC41" s="2595"/>
      <c r="AD41" s="2595"/>
      <c r="AE41" s="2595"/>
      <c r="AF41" s="2595"/>
      <c r="AG41" s="2595"/>
      <c r="AH41" s="2595"/>
      <c r="AI41" s="2595"/>
      <c r="AJ41" s="2595"/>
      <c r="AK41" s="2595"/>
      <c r="AL41" s="2595"/>
      <c r="AN41" s="2608"/>
      <c r="AO41" s="2608"/>
      <c r="AP41" s="2595"/>
      <c r="AQ41" s="2595"/>
      <c r="AR41" s="2595"/>
      <c r="AS41" s="2595"/>
      <c r="AT41" s="2595"/>
      <c r="AU41" s="2595"/>
      <c r="AV41" s="2595"/>
    </row>
    <row r="42" spans="1:48">
      <c r="AA42" s="2595"/>
      <c r="AB42" s="2595"/>
      <c r="AC42" s="2595"/>
      <c r="AD42" s="2595"/>
      <c r="AE42" s="2595"/>
      <c r="AF42" s="2595"/>
      <c r="AG42" s="2595"/>
      <c r="AH42" s="2595"/>
      <c r="AI42" s="2595"/>
      <c r="AJ42" s="2595"/>
      <c r="AK42" s="2595"/>
      <c r="AL42" s="2595"/>
      <c r="AN42" s="2608"/>
      <c r="AO42" s="2608"/>
      <c r="AP42" s="2595"/>
      <c r="AQ42" s="2595"/>
      <c r="AR42" s="2595"/>
      <c r="AS42" s="2595"/>
      <c r="AT42" s="2595"/>
      <c r="AU42" s="2595"/>
      <c r="AV42" s="2595"/>
    </row>
    <row r="43" spans="1:48" s="1743" customFormat="1">
      <c r="B43" s="1742"/>
      <c r="N43" s="1744"/>
      <c r="AA43" s="2609"/>
      <c r="AB43" s="2609"/>
      <c r="AC43" s="2609"/>
      <c r="AD43" s="2609"/>
      <c r="AE43" s="2609"/>
      <c r="AF43" s="2609"/>
      <c r="AG43" s="2609"/>
      <c r="AH43" s="2609"/>
      <c r="AI43" s="2609"/>
      <c r="AJ43" s="2609"/>
      <c r="AK43" s="2609"/>
      <c r="AL43" s="2609"/>
      <c r="AN43" s="2610"/>
      <c r="AO43" s="2610"/>
      <c r="AP43" s="2609"/>
      <c r="AQ43" s="2609"/>
      <c r="AR43" s="2609"/>
      <c r="AS43" s="2609"/>
      <c r="AT43" s="2609"/>
      <c r="AU43" s="2609"/>
      <c r="AV43" s="2609"/>
    </row>
    <row r="44" spans="1:48" s="132" customFormat="1" ht="15.75">
      <c r="A44" s="1753" t="s">
        <v>1377</v>
      </c>
      <c r="B44" s="1754" t="s">
        <v>1381</v>
      </c>
      <c r="C44" s="1736"/>
      <c r="N44" s="1737"/>
      <c r="AA44" s="2606"/>
      <c r="AB44" s="2606"/>
      <c r="AC44" s="2606"/>
      <c r="AD44" s="2606"/>
      <c r="AE44" s="2606"/>
      <c r="AF44" s="2606"/>
      <c r="AG44" s="2606"/>
      <c r="AH44" s="2606"/>
      <c r="AI44" s="2606"/>
      <c r="AJ44" s="2606"/>
      <c r="AK44" s="2606"/>
      <c r="AL44" s="2606"/>
      <c r="AN44" s="2607"/>
      <c r="AO44" s="2607"/>
      <c r="AP44" s="2606"/>
      <c r="AQ44" s="2606"/>
      <c r="AR44" s="2606"/>
      <c r="AS44" s="2606"/>
      <c r="AT44" s="2606"/>
      <c r="AU44" s="2606"/>
      <c r="AV44" s="2606"/>
    </row>
    <row r="45" spans="1:48">
      <c r="A45" s="1256"/>
      <c r="B45" s="1256"/>
      <c r="C45" s="1256"/>
      <c r="AA45" s="2595"/>
      <c r="AB45" s="2595"/>
      <c r="AC45" s="2595"/>
      <c r="AD45" s="2595"/>
      <c r="AE45" s="2595"/>
      <c r="AF45" s="2595"/>
      <c r="AG45" s="2595"/>
      <c r="AH45" s="2595"/>
      <c r="AI45" s="2595"/>
      <c r="AJ45" s="2595"/>
      <c r="AK45" s="2595"/>
      <c r="AL45" s="2595"/>
      <c r="AN45" s="2608"/>
      <c r="AO45" s="2608"/>
      <c r="AP45" s="2595"/>
      <c r="AQ45" s="2595"/>
      <c r="AR45" s="2595"/>
      <c r="AS45" s="2595"/>
      <c r="AT45" s="2595"/>
      <c r="AU45" s="2595"/>
      <c r="AV45" s="2595"/>
    </row>
    <row r="46" spans="1:48">
      <c r="C46" s="1740" t="s">
        <v>294</v>
      </c>
      <c r="D46" s="70" t="s">
        <v>3418</v>
      </c>
      <c r="AA46" s="2595"/>
      <c r="AB46" s="2595"/>
      <c r="AC46" s="2595"/>
      <c r="AD46" s="2595"/>
      <c r="AE46" s="2595"/>
      <c r="AF46" s="2595"/>
      <c r="AG46" s="2595"/>
      <c r="AH46" s="2595"/>
      <c r="AI46" s="2595"/>
      <c r="AJ46" s="2595"/>
      <c r="AK46" s="2595"/>
      <c r="AL46" s="2595"/>
      <c r="AN46" s="2608"/>
      <c r="AO46" s="2608"/>
      <c r="AP46" s="2595"/>
      <c r="AQ46" s="2595"/>
      <c r="AR46" s="2595"/>
      <c r="AS46" s="2595"/>
      <c r="AT46" s="2595"/>
      <c r="AU46" s="2595"/>
      <c r="AV46" s="2595"/>
    </row>
    <row r="47" spans="1:48">
      <c r="C47" s="1740"/>
      <c r="AA47" s="2595"/>
      <c r="AB47" s="2595"/>
      <c r="AC47" s="2595"/>
      <c r="AD47" s="2595"/>
      <c r="AE47" s="2595"/>
      <c r="AF47" s="2595"/>
      <c r="AG47" s="2595"/>
      <c r="AH47" s="2595"/>
      <c r="AI47" s="2595"/>
      <c r="AJ47" s="2595"/>
      <c r="AK47" s="2595"/>
      <c r="AL47" s="2595"/>
      <c r="AN47" s="2608"/>
      <c r="AO47" s="2608"/>
      <c r="AP47" s="2595"/>
      <c r="AQ47" s="2595"/>
      <c r="AR47" s="2595"/>
      <c r="AS47" s="2595"/>
      <c r="AT47" s="2595"/>
      <c r="AU47" s="2595"/>
      <c r="AV47" s="2595"/>
    </row>
    <row r="48" spans="1:48">
      <c r="C48" s="1740"/>
      <c r="D48" s="1035" t="s">
        <v>3419</v>
      </c>
      <c r="E48" s="1745">
        <f>IF(EIC_Check,"",TaxExemptInt)</f>
        <v>0</v>
      </c>
      <c r="AA48" s="2595"/>
      <c r="AB48" s="2595"/>
      <c r="AC48" s="2595"/>
      <c r="AD48" s="2595"/>
      <c r="AE48" s="2595"/>
      <c r="AF48" s="2595"/>
      <c r="AG48" s="2595"/>
      <c r="AH48" s="2595"/>
      <c r="AI48" s="2595"/>
      <c r="AJ48" s="2595"/>
      <c r="AK48" s="2595"/>
      <c r="AL48" s="2595"/>
      <c r="AN48" s="2608"/>
      <c r="AO48" s="2608"/>
      <c r="AP48" s="2595"/>
      <c r="AQ48" s="2595"/>
      <c r="AR48" s="2595"/>
      <c r="AS48" s="2595"/>
      <c r="AT48" s="2595"/>
      <c r="AU48" s="2595"/>
      <c r="AV48" s="2595"/>
    </row>
    <row r="49" spans="1:48">
      <c r="C49" s="1740"/>
      <c r="D49" s="1750" t="s">
        <v>2690</v>
      </c>
      <c r="E49" s="1745">
        <f>IF(OR(NOT(EIC_Started),EIC_Check),"",TaxableInterest)</f>
        <v>0</v>
      </c>
      <c r="AA49" s="2595"/>
      <c r="AB49" s="2595"/>
      <c r="AC49" s="2595"/>
      <c r="AD49" s="2595"/>
      <c r="AE49" s="2595"/>
      <c r="AF49" s="2595"/>
      <c r="AG49" s="2595"/>
      <c r="AH49" s="2595"/>
      <c r="AI49" s="2595"/>
      <c r="AJ49" s="2595"/>
      <c r="AK49" s="2595"/>
      <c r="AL49" s="2595"/>
      <c r="AN49" s="2608"/>
      <c r="AO49" s="2608"/>
      <c r="AP49" s="2595"/>
      <c r="AQ49" s="2595"/>
      <c r="AR49" s="2595"/>
      <c r="AS49" s="2595"/>
      <c r="AT49" s="2595"/>
      <c r="AU49" s="2595"/>
      <c r="AV49" s="2595"/>
    </row>
    <row r="50" spans="1:48">
      <c r="C50" s="1740"/>
      <c r="D50" s="1750" t="s">
        <v>2691</v>
      </c>
      <c r="E50" s="1745">
        <f>IF(OR(NOT(EIC_Started),EIC_Check),"",OrdinaryDividends)</f>
        <v>0</v>
      </c>
      <c r="AA50" s="2595"/>
      <c r="AB50" s="2595"/>
      <c r="AC50" s="2595"/>
      <c r="AD50" s="2595"/>
      <c r="AE50" s="2595"/>
      <c r="AF50" s="2595"/>
      <c r="AG50" s="2595"/>
      <c r="AH50" s="2595"/>
      <c r="AI50" s="2595"/>
      <c r="AJ50" s="2595"/>
      <c r="AK50" s="2595"/>
      <c r="AL50" s="2595"/>
      <c r="AN50" s="2608"/>
      <c r="AO50" s="2608"/>
      <c r="AP50" s="2595"/>
      <c r="AQ50" s="2595"/>
      <c r="AR50" s="2595"/>
      <c r="AS50" s="2595"/>
      <c r="AT50" s="2595"/>
      <c r="AU50" s="2595"/>
      <c r="AV50" s="2595"/>
    </row>
    <row r="51" spans="1:48">
      <c r="C51" s="1740"/>
      <c r="D51" s="1750" t="s">
        <v>4296</v>
      </c>
      <c r="E51" s="1745">
        <f>IF(OR(NOT(EIC_Started),EIC_Check),"",MAX(0,CapitalGains))</f>
        <v>0</v>
      </c>
      <c r="AA51" s="2595"/>
      <c r="AB51" s="2595"/>
      <c r="AC51" s="2595"/>
      <c r="AD51" s="2595"/>
      <c r="AE51" s="2595"/>
      <c r="AF51" s="2595"/>
      <c r="AG51" s="2595"/>
      <c r="AH51" s="2595"/>
      <c r="AI51" s="2595"/>
      <c r="AJ51" s="2595"/>
      <c r="AK51" s="2595"/>
      <c r="AL51" s="2595"/>
      <c r="AN51" s="2608"/>
      <c r="AO51" s="2608"/>
      <c r="AP51" s="2595"/>
      <c r="AQ51" s="2595"/>
      <c r="AR51" s="2595"/>
      <c r="AS51" s="2595"/>
      <c r="AT51" s="2595"/>
      <c r="AU51" s="2595"/>
      <c r="AV51" s="2595"/>
    </row>
    <row r="52" spans="1:48">
      <c r="C52" s="1740"/>
      <c r="AA52" s="2595"/>
      <c r="AB52" s="2595"/>
      <c r="AC52" s="2595"/>
      <c r="AD52" s="2595"/>
      <c r="AE52" s="2595"/>
      <c r="AF52" s="2595"/>
      <c r="AG52" s="2595"/>
      <c r="AH52" s="2595"/>
      <c r="AI52" s="2595"/>
      <c r="AJ52" s="2595"/>
      <c r="AK52" s="2595"/>
      <c r="AL52" s="2595"/>
      <c r="AN52" s="2608"/>
      <c r="AO52" s="2608"/>
      <c r="AP52" s="2595"/>
      <c r="AQ52" s="2595"/>
      <c r="AR52" s="2595"/>
      <c r="AS52" s="2595"/>
      <c r="AT52" s="2595"/>
      <c r="AU52" s="2595"/>
      <c r="AV52" s="2595"/>
    </row>
    <row r="53" spans="1:48">
      <c r="C53" s="1740"/>
      <c r="D53" s="1035" t="s">
        <v>1341</v>
      </c>
      <c r="E53" s="1746">
        <f>SUM(E48:E51)</f>
        <v>0</v>
      </c>
      <c r="AA53" s="2595"/>
      <c r="AB53" s="2595"/>
      <c r="AC53" s="2595"/>
      <c r="AD53" s="2595"/>
      <c r="AE53" s="2595"/>
      <c r="AF53" s="2595"/>
      <c r="AG53" s="2595"/>
      <c r="AH53" s="2595"/>
      <c r="AI53" s="2595"/>
      <c r="AJ53" s="2595"/>
      <c r="AK53" s="2595"/>
      <c r="AL53" s="2595"/>
      <c r="AN53" s="2608"/>
      <c r="AO53" s="2608"/>
      <c r="AP53" s="2595"/>
      <c r="AQ53" s="2595"/>
      <c r="AR53" s="2595"/>
      <c r="AS53" s="2595"/>
      <c r="AT53" s="2595"/>
      <c r="AU53" s="2595"/>
      <c r="AV53" s="2595"/>
    </row>
    <row r="54" spans="1:48">
      <c r="AA54" s="2595"/>
      <c r="AB54" s="2595"/>
      <c r="AC54" s="2595"/>
      <c r="AD54" s="2595"/>
      <c r="AE54" s="2595"/>
      <c r="AF54" s="2595"/>
      <c r="AG54" s="2595"/>
      <c r="AH54" s="2595"/>
      <c r="AI54" s="2595"/>
      <c r="AJ54" s="2595"/>
      <c r="AK54" s="2595"/>
      <c r="AL54" s="2595"/>
      <c r="AN54" s="2608"/>
      <c r="AO54" s="2608"/>
      <c r="AP54" s="2595"/>
      <c r="AQ54" s="2595"/>
      <c r="AR54" s="2595"/>
      <c r="AS54" s="2595"/>
      <c r="AT54" s="2595"/>
      <c r="AU54" s="2595"/>
      <c r="AV54" s="2595"/>
    </row>
    <row r="55" spans="1:48">
      <c r="C55" s="70" t="s">
        <v>4297</v>
      </c>
      <c r="AA55" s="2595"/>
      <c r="AB55" s="2595"/>
      <c r="AC55" s="2595"/>
      <c r="AD55" s="2595"/>
      <c r="AE55" s="2595"/>
      <c r="AF55" s="2595"/>
      <c r="AG55" s="2595"/>
      <c r="AH55" s="2595"/>
      <c r="AI55" s="2595"/>
      <c r="AJ55" s="2595"/>
      <c r="AK55" s="2595"/>
      <c r="AL55" s="2595"/>
      <c r="AN55" s="2608"/>
      <c r="AO55" s="2608"/>
      <c r="AP55" s="2595"/>
      <c r="AQ55" s="2595"/>
      <c r="AR55" s="2595"/>
      <c r="AS55" s="2595"/>
      <c r="AT55" s="2595"/>
      <c r="AU55" s="2595"/>
      <c r="AV55" s="2595"/>
    </row>
    <row r="56" spans="1:48" ht="12.75" customHeight="1">
      <c r="AA56" s="2595"/>
      <c r="AB56" s="2595"/>
      <c r="AC56" s="2595"/>
      <c r="AD56" s="2595"/>
      <c r="AE56" s="2595"/>
      <c r="AF56" s="2595"/>
      <c r="AG56" s="2595"/>
      <c r="AH56" s="2595"/>
      <c r="AI56" s="2595"/>
      <c r="AJ56" s="2595"/>
      <c r="AK56" s="2595"/>
      <c r="AL56" s="2595"/>
      <c r="AN56" s="2608"/>
      <c r="AO56" s="2608"/>
      <c r="AP56" s="2595"/>
      <c r="AQ56" s="2595"/>
      <c r="AR56" s="2595"/>
      <c r="AS56" s="2595"/>
      <c r="AT56" s="2595"/>
      <c r="AU56" s="2595"/>
      <c r="AV56" s="2595"/>
    </row>
    <row r="57" spans="1:48">
      <c r="C57" s="1740" t="s">
        <v>0</v>
      </c>
      <c r="D57" s="23" t="str">
        <f>"Is your investment income more than "&amp;TEXT(N57,"$0,000")&amp;"?"</f>
        <v>Is your investment income more than $10,000?</v>
      </c>
      <c r="N57" s="14">
        <v>10000</v>
      </c>
      <c r="AA57" s="2595"/>
      <c r="AB57" s="2595"/>
      <c r="AC57" s="2595"/>
      <c r="AD57" s="2595"/>
      <c r="AE57" s="2595"/>
      <c r="AF57" s="2595"/>
      <c r="AG57" s="2595"/>
      <c r="AH57" s="2595"/>
      <c r="AI57" s="2595"/>
      <c r="AJ57" s="2595"/>
      <c r="AK57" s="2595"/>
      <c r="AL57" s="2595"/>
      <c r="AN57" s="2608"/>
      <c r="AO57" s="2608"/>
      <c r="AP57" s="2595"/>
      <c r="AQ57" s="2595"/>
      <c r="AR57" s="2595"/>
      <c r="AS57" s="2595"/>
      <c r="AT57" s="2595"/>
      <c r="AU57" s="2595"/>
      <c r="AV57" s="2595"/>
    </row>
    <row r="58" spans="1:48">
      <c r="AA58" s="2595"/>
      <c r="AB58" s="2595"/>
      <c r="AC58" s="2595"/>
      <c r="AD58" s="2595"/>
      <c r="AE58" s="2595"/>
      <c r="AF58" s="2595"/>
      <c r="AG58" s="2595"/>
      <c r="AH58" s="2595"/>
      <c r="AI58" s="2595"/>
      <c r="AJ58" s="2595"/>
      <c r="AK58" s="2595"/>
      <c r="AL58" s="2595"/>
      <c r="AN58" s="2608"/>
      <c r="AO58" s="2608"/>
      <c r="AP58" s="2595"/>
      <c r="AQ58" s="2595"/>
      <c r="AR58" s="2595"/>
      <c r="AS58" s="2595"/>
      <c r="AT58" s="2595"/>
      <c r="AU58" s="2595"/>
      <c r="AV58" s="2595"/>
    </row>
    <row r="59" spans="1:48">
      <c r="A59" s="1176" t="b">
        <f>B59&lt;&gt;""</f>
        <v>0</v>
      </c>
      <c r="B59" s="2053" t="str">
        <f>IF(E53&gt;N57,"X","")</f>
        <v/>
      </c>
      <c r="D59" s="70" t="s">
        <v>2694</v>
      </c>
      <c r="H59" s="2053" t="str">
        <f>IF(OR(NOT(EIC_trigger),E53&gt;N57),"","X")</f>
        <v/>
      </c>
      <c r="J59" s="70" t="s">
        <v>2695</v>
      </c>
      <c r="N59" s="1176" t="b">
        <f>H59&lt;&gt;""</f>
        <v>0</v>
      </c>
      <c r="AA59" s="2595"/>
      <c r="AB59" s="2595"/>
      <c r="AC59" s="2595"/>
      <c r="AD59" s="2595"/>
      <c r="AE59" s="2595"/>
      <c r="AF59" s="2595"/>
      <c r="AG59" s="2595"/>
      <c r="AH59" s="2595"/>
      <c r="AI59" s="2595"/>
      <c r="AJ59" s="2595"/>
      <c r="AK59" s="2595"/>
      <c r="AL59" s="2595"/>
      <c r="AN59" s="2608"/>
      <c r="AO59" s="2608"/>
      <c r="AP59" s="2595"/>
      <c r="AQ59" s="2595"/>
      <c r="AR59" s="2595"/>
      <c r="AS59" s="2595"/>
      <c r="AT59" s="2595"/>
      <c r="AU59" s="2595"/>
      <c r="AV59" s="2595"/>
    </row>
    <row r="60" spans="1:48" ht="12.75" customHeight="1">
      <c r="AA60" s="2595"/>
      <c r="AB60" s="2595"/>
      <c r="AC60" s="2595"/>
      <c r="AD60" s="2595"/>
      <c r="AE60" s="2595"/>
      <c r="AF60" s="2595"/>
      <c r="AG60" s="2595"/>
      <c r="AH60" s="2595"/>
      <c r="AI60" s="2595"/>
      <c r="AJ60" s="2595"/>
      <c r="AK60" s="2595"/>
      <c r="AL60" s="2595"/>
      <c r="AN60" s="2608"/>
      <c r="AO60" s="2608"/>
      <c r="AP60" s="2595"/>
      <c r="AQ60" s="2595"/>
      <c r="AR60" s="2595"/>
      <c r="AS60" s="2595"/>
      <c r="AT60" s="2595"/>
      <c r="AU60" s="2595"/>
      <c r="AV60" s="2595"/>
    </row>
    <row r="61" spans="1:48">
      <c r="A61" s="6823" t="str">
        <f>IF(NoEICredit,"",IF(H59&lt;&gt;"","Skip",""))</f>
        <v/>
      </c>
      <c r="B61" s="6824"/>
      <c r="C61" s="1740" t="s">
        <v>1</v>
      </c>
      <c r="D61" s="23" t="s">
        <v>1277</v>
      </c>
      <c r="N61" s="389" t="str">
        <f>IF(A59,"Form 4797 filers. If the amount on Form 1040 or 1040-SR,","")</f>
        <v/>
      </c>
      <c r="O61" s="54"/>
      <c r="P61" s="54"/>
      <c r="Q61" s="54"/>
      <c r="R61" s="54"/>
      <c r="S61" s="54"/>
      <c r="T61" s="54"/>
      <c r="U61" s="54"/>
      <c r="V61" s="54"/>
      <c r="W61" s="54"/>
      <c r="X61" s="54"/>
      <c r="Y61" s="52"/>
      <c r="AA61" s="2595"/>
      <c r="AB61" s="2595"/>
      <c r="AC61" s="2595"/>
      <c r="AD61" s="2595"/>
      <c r="AE61" s="2595"/>
      <c r="AF61" s="2595"/>
      <c r="AG61" s="2595"/>
      <c r="AH61" s="2595"/>
      <c r="AI61" s="2595"/>
      <c r="AJ61" s="2595"/>
      <c r="AK61" s="2595"/>
      <c r="AL61" s="2595"/>
      <c r="AN61" s="2608"/>
      <c r="AO61" s="2608"/>
      <c r="AP61" s="2595"/>
      <c r="AQ61" s="2595"/>
      <c r="AR61" s="2595"/>
      <c r="AS61" s="2595"/>
      <c r="AT61" s="2595"/>
      <c r="AU61" s="2595"/>
      <c r="AV61" s="2595"/>
    </row>
    <row r="62" spans="1:48">
      <c r="N62" s="34" t="str">
        <f>IF(A59,"line 7, includes an amount from Form 4797, you must use","")</f>
        <v/>
      </c>
      <c r="Y62" s="427"/>
      <c r="AA62" s="2595"/>
      <c r="AB62" s="2595"/>
      <c r="AC62" s="2595"/>
      <c r="AD62" s="2595"/>
      <c r="AE62" s="2595"/>
      <c r="AF62" s="2595"/>
      <c r="AG62" s="2595"/>
      <c r="AH62" s="2595"/>
      <c r="AI62" s="2595"/>
      <c r="AJ62" s="2595"/>
      <c r="AK62" s="2595"/>
      <c r="AL62" s="2595"/>
      <c r="AN62" s="2608"/>
      <c r="AO62" s="2608"/>
      <c r="AP62" s="2595"/>
      <c r="AQ62" s="2595"/>
      <c r="AR62" s="2595"/>
      <c r="AS62" s="2595"/>
      <c r="AT62" s="2595"/>
      <c r="AU62" s="2595"/>
      <c r="AV62" s="2595"/>
    </row>
    <row r="63" spans="1:48">
      <c r="A63" s="1176" t="b">
        <f>B63&lt;&gt;""</f>
        <v>0</v>
      </c>
      <c r="B63" s="1334"/>
      <c r="D63" s="70" t="s">
        <v>2692</v>
      </c>
      <c r="H63" s="1334"/>
      <c r="J63" s="70" t="s">
        <v>2693</v>
      </c>
      <c r="N63" s="34" t="str">
        <f>IF(A59,"Worksheet 1 in Pub. 596 to see if you can take the EIC.","")</f>
        <v/>
      </c>
      <c r="Y63" s="427"/>
      <c r="AA63" s="2595"/>
      <c r="AB63" s="2595"/>
      <c r="AC63" s="2595"/>
      <c r="AD63" s="2595"/>
      <c r="AE63" s="2595"/>
      <c r="AF63" s="2595"/>
      <c r="AG63" s="2595"/>
      <c r="AH63" s="2595"/>
      <c r="AI63" s="2595"/>
      <c r="AJ63" s="2595"/>
      <c r="AK63" s="2595"/>
      <c r="AL63" s="2595"/>
      <c r="AN63" s="2608"/>
      <c r="AO63" s="2608"/>
      <c r="AP63" s="2595"/>
      <c r="AQ63" s="2595"/>
      <c r="AR63" s="2595"/>
      <c r="AS63" s="2595"/>
      <c r="AT63" s="2595"/>
      <c r="AU63" s="2595"/>
      <c r="AV63" s="2595"/>
    </row>
    <row r="64" spans="1:48">
      <c r="B64" s="1739"/>
      <c r="D64" s="70" t="s">
        <v>1340</v>
      </c>
      <c r="H64" s="1739"/>
      <c r="N64" s="3028" t="str">
        <f>IF(A59,"Otherwise, stop; you can't take the EIC.","")</f>
        <v/>
      </c>
      <c r="O64" s="41"/>
      <c r="P64" s="41"/>
      <c r="Q64" s="41"/>
      <c r="R64" s="41"/>
      <c r="S64" s="41"/>
      <c r="T64" s="41"/>
      <c r="U64" s="41"/>
      <c r="V64" s="41"/>
      <c r="W64" s="41"/>
      <c r="X64" s="41"/>
      <c r="Y64" s="46"/>
      <c r="AA64" s="2595"/>
      <c r="AB64" s="2595"/>
      <c r="AC64" s="2595"/>
      <c r="AD64" s="2595"/>
      <c r="AE64" s="2595"/>
      <c r="AF64" s="2595"/>
      <c r="AG64" s="2595"/>
      <c r="AH64" s="2595"/>
      <c r="AI64" s="2595"/>
      <c r="AJ64" s="2595"/>
      <c r="AK64" s="2595"/>
      <c r="AL64" s="2595"/>
      <c r="AN64" s="2608"/>
      <c r="AO64" s="2608"/>
      <c r="AP64" s="2595"/>
      <c r="AQ64" s="2595"/>
      <c r="AR64" s="2595"/>
      <c r="AS64" s="2595"/>
      <c r="AT64" s="2595"/>
      <c r="AU64" s="2595"/>
      <c r="AV64" s="2595"/>
    </row>
    <row r="65" spans="1:48" ht="12.75" customHeight="1">
      <c r="H65" s="1739"/>
      <c r="J65" s="1845" t="str">
        <f>IF(AND(A59,H65&lt;&gt;""),"Go to Step 4.",IF(A63,"Check here if you can take the credit.",""))</f>
        <v/>
      </c>
      <c r="N65" s="1176" t="b">
        <f>H63&lt;&gt;""</f>
        <v>0</v>
      </c>
      <c r="AA65" s="2595"/>
      <c r="AB65" s="2595"/>
      <c r="AC65" s="2595"/>
      <c r="AD65" s="2595"/>
      <c r="AE65" s="2595"/>
      <c r="AF65" s="2595"/>
      <c r="AG65" s="2595"/>
      <c r="AH65" s="2595"/>
      <c r="AI65" s="2595"/>
      <c r="AJ65" s="2595"/>
      <c r="AK65" s="2595"/>
      <c r="AL65" s="2595"/>
      <c r="AN65" s="2608"/>
      <c r="AO65" s="2608"/>
      <c r="AP65" s="2595"/>
      <c r="AQ65" s="2595"/>
      <c r="AR65" s="2595"/>
      <c r="AS65" s="2595"/>
      <c r="AT65" s="2595"/>
      <c r="AU65" s="2595"/>
      <c r="AV65" s="2595"/>
    </row>
    <row r="66" spans="1:48">
      <c r="C66" s="1740" t="s">
        <v>399</v>
      </c>
      <c r="D66" s="23" t="str">
        <f>"Do any of the following apply for "&amp;TaxYear&amp;"?"</f>
        <v>Do any of the following apply for 2021?</v>
      </c>
      <c r="AA66" s="2595"/>
      <c r="AB66" s="2595"/>
      <c r="AC66" s="2595"/>
      <c r="AD66" s="2595"/>
      <c r="AE66" s="2595"/>
      <c r="AF66" s="2595"/>
      <c r="AG66" s="2595"/>
      <c r="AH66" s="2595"/>
      <c r="AI66" s="2595"/>
      <c r="AJ66" s="2595"/>
      <c r="AK66" s="2595"/>
      <c r="AL66" s="2595"/>
      <c r="AN66" s="2608"/>
      <c r="AO66" s="2608"/>
      <c r="AP66" s="2595"/>
      <c r="AQ66" s="2595"/>
      <c r="AR66" s="2595"/>
      <c r="AS66" s="2595"/>
      <c r="AT66" s="2595"/>
      <c r="AU66" s="2595"/>
      <c r="AV66" s="2595"/>
    </row>
    <row r="67" spans="1:48" ht="7.5" customHeight="1">
      <c r="AA67" s="2595"/>
      <c r="AB67" s="2595"/>
      <c r="AC67" s="2595"/>
      <c r="AD67" s="2595"/>
      <c r="AE67" s="2595"/>
      <c r="AF67" s="2595"/>
      <c r="AG67" s="2595"/>
      <c r="AH67" s="2595"/>
      <c r="AI67" s="2595"/>
      <c r="AJ67" s="2595"/>
      <c r="AK67" s="2595"/>
      <c r="AL67" s="2595"/>
      <c r="AN67" s="2608"/>
      <c r="AO67" s="2608"/>
      <c r="AP67" s="2595"/>
      <c r="AQ67" s="2595"/>
      <c r="AR67" s="2595"/>
      <c r="AS67" s="2595"/>
      <c r="AT67" s="2595"/>
      <c r="AU67" s="2595"/>
      <c r="AV67" s="2595"/>
    </row>
    <row r="68" spans="1:48" ht="15.75">
      <c r="A68" s="1844" t="s">
        <v>316</v>
      </c>
      <c r="B68" s="2052" t="str">
        <f>IF(SchE2_Completed,"X","")</f>
        <v/>
      </c>
      <c r="C68" s="133" t="s">
        <v>1275</v>
      </c>
      <c r="D68" s="70" t="s">
        <v>1347</v>
      </c>
      <c r="AA68" s="2595"/>
      <c r="AB68" s="2595"/>
      <c r="AC68" s="2595"/>
      <c r="AD68" s="2595"/>
      <c r="AE68" s="2595"/>
      <c r="AF68" s="2595"/>
      <c r="AG68" s="2595"/>
      <c r="AH68" s="2595"/>
      <c r="AI68" s="2595"/>
      <c r="AJ68" s="2595"/>
      <c r="AK68" s="2595"/>
      <c r="AL68" s="2595"/>
      <c r="AN68" s="2608"/>
      <c r="AO68" s="2608"/>
      <c r="AP68" s="2595"/>
      <c r="AQ68" s="2595"/>
      <c r="AR68" s="2595"/>
      <c r="AS68" s="2595"/>
      <c r="AT68" s="2595"/>
      <c r="AU68" s="2595"/>
      <c r="AV68" s="2595"/>
    </row>
    <row r="69" spans="1:48">
      <c r="C69" s="40" t="s">
        <v>243</v>
      </c>
      <c r="AA69" s="2595"/>
      <c r="AB69" s="2595"/>
      <c r="AC69" s="2595"/>
      <c r="AD69" s="2595"/>
      <c r="AE69" s="2595"/>
      <c r="AF69" s="2595"/>
      <c r="AG69" s="2595"/>
      <c r="AH69" s="2595"/>
      <c r="AI69" s="2595"/>
      <c r="AJ69" s="2595"/>
      <c r="AK69" s="2595"/>
      <c r="AL69" s="2595"/>
      <c r="AN69" s="2608"/>
      <c r="AO69" s="2608"/>
      <c r="AP69" s="2595"/>
      <c r="AQ69" s="2595"/>
      <c r="AR69" s="2595"/>
      <c r="AS69" s="2595"/>
      <c r="AT69" s="2595"/>
      <c r="AU69" s="2595"/>
      <c r="AV69" s="2595"/>
    </row>
    <row r="70" spans="1:48" ht="15.75">
      <c r="A70" s="1844" t="s">
        <v>316</v>
      </c>
      <c r="B70" s="1334"/>
      <c r="C70" s="133" t="s">
        <v>1275</v>
      </c>
      <c r="D70" s="23" t="s">
        <v>1278</v>
      </c>
      <c r="AA70" s="2595"/>
      <c r="AB70" s="2595"/>
      <c r="AC70" s="2595"/>
      <c r="AD70" s="2595"/>
      <c r="AE70" s="2595"/>
      <c r="AF70" s="2595"/>
      <c r="AG70" s="2595"/>
      <c r="AH70" s="2595"/>
      <c r="AI70" s="2595"/>
      <c r="AJ70" s="2595"/>
      <c r="AK70" s="2595"/>
      <c r="AL70" s="2595"/>
      <c r="AN70" s="2608"/>
      <c r="AO70" s="2608"/>
      <c r="AP70" s="2595"/>
      <c r="AQ70" s="2595"/>
      <c r="AR70" s="2595"/>
      <c r="AS70" s="2595"/>
      <c r="AT70" s="2595"/>
      <c r="AU70" s="2595"/>
      <c r="AV70" s="2595"/>
    </row>
    <row r="71" spans="1:48">
      <c r="D71" s="23" t="str">
        <f>"personal property not used in a trade or business."</f>
        <v>personal property not used in a trade or business.</v>
      </c>
      <c r="AA71" s="2595"/>
      <c r="AB71" s="2595"/>
      <c r="AC71" s="2595"/>
      <c r="AD71" s="2595"/>
      <c r="AE71" s="2595"/>
      <c r="AF71" s="2595"/>
      <c r="AG71" s="2595"/>
      <c r="AH71" s="2595"/>
      <c r="AI71" s="2595"/>
      <c r="AJ71" s="2595"/>
      <c r="AK71" s="2595"/>
      <c r="AL71" s="2595"/>
      <c r="AN71" s="2608"/>
      <c r="AO71" s="2608"/>
      <c r="AP71" s="2595"/>
      <c r="AQ71" s="2595"/>
      <c r="AR71" s="2595"/>
      <c r="AS71" s="2595"/>
      <c r="AT71" s="2595"/>
      <c r="AU71" s="2595"/>
      <c r="AV71" s="2595"/>
    </row>
    <row r="72" spans="1:48">
      <c r="C72" s="40" t="s">
        <v>243</v>
      </c>
      <c r="AA72" s="2595"/>
      <c r="AB72" s="2595"/>
      <c r="AC72" s="2595"/>
      <c r="AD72" s="2595"/>
      <c r="AE72" s="2595"/>
      <c r="AF72" s="2595"/>
      <c r="AG72" s="2595"/>
      <c r="AH72" s="2595"/>
      <c r="AI72" s="2595"/>
      <c r="AJ72" s="2595"/>
      <c r="AK72" s="2595"/>
      <c r="AL72" s="2595"/>
      <c r="AN72" s="2608"/>
      <c r="AO72" s="2608"/>
      <c r="AP72" s="2595"/>
      <c r="AQ72" s="2595"/>
      <c r="AR72" s="2595"/>
      <c r="AS72" s="2595"/>
      <c r="AT72" s="2595"/>
      <c r="AU72" s="2595"/>
      <c r="AV72" s="2595"/>
    </row>
    <row r="73" spans="1:48" ht="15.75">
      <c r="A73" s="1844" t="s">
        <v>316</v>
      </c>
      <c r="B73" s="1334"/>
      <c r="C73" s="133" t="s">
        <v>1275</v>
      </c>
      <c r="D73" s="70" t="s">
        <v>1342</v>
      </c>
      <c r="AA73" s="2595"/>
      <c r="AB73" s="2595"/>
      <c r="AC73" s="2595"/>
      <c r="AD73" s="2595"/>
      <c r="AE73" s="2595"/>
      <c r="AF73" s="2595"/>
      <c r="AG73" s="2595"/>
      <c r="AH73" s="2595"/>
      <c r="AI73" s="2595"/>
      <c r="AJ73" s="2595"/>
      <c r="AK73" s="2595"/>
      <c r="AL73" s="2595"/>
      <c r="AN73" s="2608"/>
      <c r="AO73" s="2608"/>
      <c r="AP73" s="2595"/>
      <c r="AQ73" s="2595"/>
      <c r="AR73" s="2595"/>
      <c r="AS73" s="2595"/>
      <c r="AT73" s="2595"/>
      <c r="AU73" s="2595"/>
      <c r="AV73" s="2595"/>
    </row>
    <row r="74" spans="1:48">
      <c r="D74" s="70" t="s">
        <v>1343</v>
      </c>
      <c r="AA74" s="2595"/>
      <c r="AB74" s="2595"/>
      <c r="AC74" s="2595"/>
      <c r="AD74" s="2595"/>
      <c r="AE74" s="2595"/>
      <c r="AF74" s="2595"/>
      <c r="AG74" s="2595"/>
      <c r="AH74" s="2595"/>
      <c r="AI74" s="2595"/>
      <c r="AJ74" s="2595"/>
      <c r="AK74" s="2595"/>
      <c r="AL74" s="2595"/>
      <c r="AN74" s="2608"/>
      <c r="AO74" s="2608"/>
      <c r="AP74" s="2595"/>
      <c r="AQ74" s="2595"/>
      <c r="AR74" s="2595"/>
      <c r="AS74" s="2595"/>
      <c r="AT74" s="2595"/>
      <c r="AU74" s="2595"/>
      <c r="AV74" s="2595"/>
    </row>
    <row r="75" spans="1:48">
      <c r="C75" s="40" t="s">
        <v>243</v>
      </c>
      <c r="AA75" s="2595"/>
      <c r="AB75" s="2595"/>
      <c r="AC75" s="2595"/>
      <c r="AD75" s="2595"/>
      <c r="AE75" s="2595"/>
      <c r="AF75" s="2595"/>
      <c r="AG75" s="2595"/>
      <c r="AH75" s="2595"/>
      <c r="AI75" s="2595"/>
      <c r="AJ75" s="2595"/>
      <c r="AK75" s="2595"/>
      <c r="AL75" s="2595"/>
      <c r="AN75" s="2608"/>
      <c r="AO75" s="2608"/>
      <c r="AP75" s="2595"/>
      <c r="AQ75" s="2595"/>
      <c r="AR75" s="2595"/>
      <c r="AS75" s="2595"/>
      <c r="AT75" s="2595"/>
      <c r="AU75" s="2595"/>
      <c r="AV75" s="2595"/>
    </row>
    <row r="76" spans="1:48" ht="15.75">
      <c r="A76" s="1844" t="s">
        <v>316</v>
      </c>
      <c r="B76" s="1334"/>
      <c r="C76" s="133" t="s">
        <v>1275</v>
      </c>
      <c r="D76" s="70" t="s">
        <v>1344</v>
      </c>
      <c r="AA76" s="2595"/>
      <c r="AB76" s="2595"/>
      <c r="AC76" s="2595"/>
      <c r="AD76" s="2595"/>
      <c r="AE76" s="2595"/>
      <c r="AF76" s="2595"/>
      <c r="AG76" s="2595"/>
      <c r="AH76" s="2595"/>
      <c r="AI76" s="2595"/>
      <c r="AJ76" s="2595"/>
      <c r="AK76" s="2595"/>
      <c r="AL76" s="2595"/>
      <c r="AN76" s="2608"/>
      <c r="AO76" s="2608"/>
      <c r="AP76" s="2595"/>
      <c r="AQ76" s="2595"/>
      <c r="AR76" s="2595"/>
      <c r="AS76" s="2595"/>
      <c r="AT76" s="2595"/>
      <c r="AU76" s="2595"/>
      <c r="AV76" s="2595"/>
    </row>
    <row r="77" spans="1:48">
      <c r="AA77" s="2595"/>
      <c r="AB77" s="2595"/>
      <c r="AC77" s="2595"/>
      <c r="AD77" s="2595"/>
      <c r="AE77" s="2595"/>
      <c r="AF77" s="2595"/>
      <c r="AG77" s="2595"/>
      <c r="AH77" s="2595"/>
      <c r="AI77" s="2595"/>
      <c r="AJ77" s="2595"/>
      <c r="AK77" s="2595"/>
      <c r="AL77" s="2595"/>
      <c r="AN77" s="2608"/>
      <c r="AO77" s="2608"/>
      <c r="AP77" s="2595"/>
      <c r="AQ77" s="2595"/>
      <c r="AR77" s="2595"/>
      <c r="AS77" s="2595"/>
      <c r="AT77" s="2595"/>
      <c r="AU77" s="2595"/>
      <c r="AV77" s="2595"/>
    </row>
    <row r="78" spans="1:48" ht="15.75">
      <c r="A78" s="1176" t="b">
        <f>B78&lt;&gt;""</f>
        <v>0</v>
      </c>
      <c r="B78" s="2053" t="str">
        <f>IF(N65,"",IF(OR(B68&lt;&gt;"",B70&lt;&gt;"",B73&lt;&gt;"",B76&lt;&gt;""),"X",""))</f>
        <v/>
      </c>
      <c r="D78" s="70" t="s">
        <v>2700</v>
      </c>
      <c r="G78" s="1844" t="s">
        <v>316</v>
      </c>
      <c r="H78" s="2052" t="str">
        <f>IF(N78,"X","")</f>
        <v/>
      </c>
      <c r="J78" s="70" t="s">
        <v>2701</v>
      </c>
      <c r="N78" s="1176" t="b">
        <f>AND(N59,NOT(A78))</f>
        <v>0</v>
      </c>
      <c r="AA78" s="2595"/>
      <c r="AB78" s="2595"/>
      <c r="AC78" s="2595"/>
      <c r="AD78" s="2595"/>
      <c r="AE78" s="2595"/>
      <c r="AF78" s="2595"/>
      <c r="AG78" s="2595"/>
      <c r="AH78" s="2595"/>
      <c r="AI78" s="2595"/>
      <c r="AJ78" s="2595"/>
      <c r="AK78" s="2595"/>
      <c r="AL78" s="2595"/>
      <c r="AN78" s="2608"/>
      <c r="AO78" s="2608"/>
      <c r="AP78" s="2595"/>
      <c r="AQ78" s="2595"/>
      <c r="AR78" s="2595"/>
      <c r="AS78" s="2595"/>
      <c r="AT78" s="2595"/>
      <c r="AU78" s="2595"/>
      <c r="AV78" s="2595"/>
    </row>
    <row r="79" spans="1:48">
      <c r="D79" s="70" t="s">
        <v>1348</v>
      </c>
      <c r="H79" s="40"/>
      <c r="AA79" s="2595"/>
      <c r="AB79" s="2595"/>
      <c r="AC79" s="2595"/>
      <c r="AD79" s="2595"/>
      <c r="AE79" s="2595"/>
      <c r="AF79" s="2595"/>
      <c r="AG79" s="2595"/>
      <c r="AH79" s="2595"/>
      <c r="AI79" s="2595"/>
      <c r="AJ79" s="2595"/>
      <c r="AK79" s="2595"/>
      <c r="AL79" s="2595"/>
      <c r="AN79" s="2608"/>
      <c r="AO79" s="2608"/>
      <c r="AP79" s="2595"/>
      <c r="AQ79" s="2595"/>
      <c r="AR79" s="2595"/>
      <c r="AS79" s="2595"/>
      <c r="AT79" s="2595"/>
      <c r="AU79" s="2595"/>
      <c r="AV79" s="2595"/>
    </row>
    <row r="80" spans="1:48" ht="15.75">
      <c r="D80" s="70" t="s">
        <v>1349</v>
      </c>
      <c r="G80" s="1844" t="s">
        <v>316</v>
      </c>
      <c r="H80" s="1739"/>
      <c r="J80" s="1845" t="str">
        <f>IF(H80&lt;&gt;"","Go to Step 3.","Check here if you can take the credit.")</f>
        <v>Check here if you can take the credit.</v>
      </c>
      <c r="AA80" s="2595"/>
      <c r="AB80" s="2595"/>
      <c r="AC80" s="2595"/>
      <c r="AD80" s="2595"/>
      <c r="AE80" s="2595"/>
      <c r="AF80" s="2595"/>
      <c r="AG80" s="2595"/>
      <c r="AH80" s="2595"/>
      <c r="AI80" s="2595"/>
      <c r="AJ80" s="2595"/>
      <c r="AK80" s="2595"/>
      <c r="AL80" s="2595"/>
      <c r="AN80" s="2608"/>
      <c r="AO80" s="2608"/>
      <c r="AP80" s="2595"/>
      <c r="AQ80" s="2595"/>
      <c r="AR80" s="2595"/>
      <c r="AS80" s="2595"/>
      <c r="AT80" s="2595"/>
      <c r="AU80" s="2595"/>
      <c r="AV80" s="2595"/>
    </row>
    <row r="81" spans="1:48">
      <c r="AA81" s="2595"/>
      <c r="AB81" s="2595"/>
      <c r="AC81" s="2595"/>
      <c r="AD81" s="2595"/>
      <c r="AE81" s="2595"/>
      <c r="AF81" s="2595"/>
      <c r="AG81" s="2595"/>
      <c r="AH81" s="2595"/>
      <c r="AI81" s="2595"/>
      <c r="AJ81" s="2595"/>
      <c r="AK81" s="2595"/>
      <c r="AL81" s="2595"/>
      <c r="AN81" s="2608"/>
      <c r="AO81" s="2608"/>
      <c r="AP81" s="2595"/>
      <c r="AQ81" s="2595"/>
      <c r="AR81" s="2595"/>
      <c r="AS81" s="2595"/>
      <c r="AT81" s="2595"/>
      <c r="AU81" s="2595"/>
      <c r="AV81" s="2595"/>
    </row>
    <row r="82" spans="1:48" s="1743" customFormat="1">
      <c r="B82" s="1742"/>
      <c r="N82" s="1744"/>
      <c r="AA82" s="2609"/>
      <c r="AB82" s="2609"/>
      <c r="AC82" s="2609"/>
      <c r="AD82" s="2609"/>
      <c r="AE82" s="2609"/>
      <c r="AF82" s="2609"/>
      <c r="AG82" s="2609"/>
      <c r="AH82" s="2609"/>
      <c r="AI82" s="2609"/>
      <c r="AJ82" s="2609"/>
      <c r="AK82" s="2609"/>
      <c r="AL82" s="2609"/>
      <c r="AN82" s="2610"/>
      <c r="AO82" s="2610"/>
      <c r="AP82" s="2609"/>
      <c r="AQ82" s="2609"/>
      <c r="AR82" s="2609"/>
      <c r="AS82" s="2609"/>
      <c r="AT82" s="2609"/>
      <c r="AU82" s="2609"/>
      <c r="AV82" s="2609"/>
    </row>
    <row r="83" spans="1:48" s="132" customFormat="1" ht="15.75">
      <c r="A83" s="1753" t="s">
        <v>1376</v>
      </c>
      <c r="B83" s="1754" t="s">
        <v>1380</v>
      </c>
      <c r="C83" s="1736"/>
      <c r="F83" s="1748" t="s">
        <v>1356</v>
      </c>
      <c r="N83" s="1737"/>
      <c r="AA83" s="2606"/>
      <c r="AB83" s="2606"/>
      <c r="AC83" s="2606"/>
      <c r="AD83" s="2606"/>
      <c r="AE83" s="2606"/>
      <c r="AF83" s="2606"/>
      <c r="AG83" s="2606"/>
      <c r="AH83" s="2606"/>
      <c r="AI83" s="2606"/>
      <c r="AJ83" s="2606"/>
      <c r="AK83" s="2606"/>
      <c r="AL83" s="2606"/>
      <c r="AN83" s="2607"/>
      <c r="AO83" s="2607"/>
      <c r="AP83" s="2606"/>
      <c r="AQ83" s="2606"/>
      <c r="AR83" s="2606"/>
      <c r="AS83" s="2606"/>
      <c r="AT83" s="2606"/>
      <c r="AU83" s="2606"/>
      <c r="AV83" s="2606"/>
    </row>
    <row r="84" spans="1:48">
      <c r="A84" s="1256"/>
      <c r="C84" s="1256"/>
      <c r="AA84" s="2595"/>
      <c r="AB84" s="2595"/>
      <c r="AC84" s="2595"/>
      <c r="AD84" s="2595"/>
      <c r="AE84" s="2595"/>
      <c r="AF84" s="2595"/>
      <c r="AG84" s="2595"/>
      <c r="AH84" s="2595"/>
      <c r="AI84" s="2595"/>
      <c r="AJ84" s="2595"/>
      <c r="AK84" s="2595"/>
      <c r="AL84" s="2595"/>
      <c r="AN84" s="2608"/>
      <c r="AO84" s="2608"/>
      <c r="AP84" s="2595"/>
      <c r="AQ84" s="2595"/>
      <c r="AR84" s="2595"/>
      <c r="AS84" s="2595"/>
      <c r="AT84" s="2595"/>
      <c r="AU84" s="2595"/>
      <c r="AV84" s="2595"/>
    </row>
    <row r="85" spans="1:48">
      <c r="B85" s="24" t="s">
        <v>1279</v>
      </c>
      <c r="C85" s="1740"/>
      <c r="D85" s="24"/>
      <c r="AA85" s="2595"/>
      <c r="AB85" s="2595"/>
      <c r="AC85" s="2595"/>
      <c r="AD85" s="2595"/>
      <c r="AE85" s="2595"/>
      <c r="AF85" s="2595"/>
      <c r="AG85" s="2595"/>
      <c r="AH85" s="2595"/>
      <c r="AI85" s="2595"/>
      <c r="AJ85" s="2595"/>
      <c r="AK85" s="2595"/>
      <c r="AL85" s="2595"/>
      <c r="AN85" s="2608"/>
      <c r="AO85" s="2608"/>
      <c r="AP85" s="2595"/>
      <c r="AQ85" s="2595"/>
      <c r="AR85" s="2595"/>
      <c r="AS85" s="2595"/>
      <c r="AT85" s="2595"/>
      <c r="AU85" s="2595"/>
      <c r="AV85" s="2595"/>
    </row>
    <row r="86" spans="1:48">
      <c r="C86" s="1740"/>
      <c r="AA86" s="2595"/>
      <c r="AB86" s="2595"/>
      <c r="AC86" s="2595"/>
      <c r="AD86" s="2595"/>
      <c r="AE86" s="2595"/>
      <c r="AF86" s="2595"/>
      <c r="AG86" s="2595"/>
      <c r="AH86" s="2595"/>
      <c r="AI86" s="2595"/>
      <c r="AJ86" s="2595"/>
      <c r="AK86" s="2595"/>
      <c r="AL86" s="2595"/>
      <c r="AN86" s="2608"/>
      <c r="AO86" s="2608"/>
      <c r="AP86" s="2595"/>
      <c r="AQ86" s="2595"/>
      <c r="AR86" s="2595"/>
      <c r="AS86" s="2595"/>
      <c r="AT86" s="2595"/>
      <c r="AU86" s="2595"/>
      <c r="AV86" s="2595"/>
    </row>
    <row r="87" spans="1:48" ht="13.5" thickBot="1">
      <c r="C87" s="133" t="s">
        <v>1275</v>
      </c>
      <c r="D87" s="70" t="s">
        <v>1351</v>
      </c>
      <c r="M87" s="3479" t="s">
        <v>2703</v>
      </c>
      <c r="AA87" s="2595"/>
      <c r="AB87" s="2595"/>
      <c r="AC87" s="2595"/>
      <c r="AD87" s="2595"/>
      <c r="AE87" s="2595"/>
      <c r="AF87" s="2595"/>
      <c r="AG87" s="2595"/>
      <c r="AH87" s="2595"/>
      <c r="AI87" s="2595"/>
      <c r="AJ87" s="2595"/>
      <c r="AK87" s="2595"/>
      <c r="AL87" s="2595"/>
      <c r="AN87" s="2608"/>
      <c r="AO87" s="2608"/>
      <c r="AP87" s="2595"/>
      <c r="AQ87" s="2595"/>
      <c r="AR87" s="2595"/>
      <c r="AS87" s="2595"/>
      <c r="AT87" s="2595"/>
      <c r="AU87" s="2595"/>
      <c r="AV87" s="2595"/>
    </row>
    <row r="88" spans="1:48" ht="12.75" customHeight="1">
      <c r="D88" s="70" t="s">
        <v>1350</v>
      </c>
      <c r="M88" s="6812" t="s">
        <v>2704</v>
      </c>
      <c r="N88" s="6813"/>
      <c r="O88" s="6813"/>
      <c r="P88" s="6813"/>
      <c r="Q88" s="6813"/>
      <c r="R88" s="6813"/>
      <c r="S88" s="6813"/>
      <c r="T88" s="6813"/>
      <c r="U88" s="6813"/>
      <c r="V88" s="6813"/>
      <c r="W88" s="6813"/>
      <c r="X88" s="6813"/>
      <c r="Y88" s="6814"/>
      <c r="Z88" s="3478"/>
      <c r="AA88" s="2595"/>
      <c r="AB88" s="2595"/>
      <c r="AC88" s="2595"/>
      <c r="AD88" s="2595"/>
      <c r="AE88" s="2595"/>
      <c r="AF88" s="2595"/>
      <c r="AG88" s="2595"/>
      <c r="AH88" s="2595"/>
      <c r="AI88" s="2595"/>
      <c r="AJ88" s="2595"/>
      <c r="AK88" s="2595"/>
      <c r="AL88" s="2595"/>
      <c r="AN88" s="2608"/>
      <c r="AO88" s="2608"/>
      <c r="AP88" s="2595"/>
      <c r="AQ88" s="2595"/>
      <c r="AR88" s="2595"/>
      <c r="AS88" s="2595"/>
      <c r="AT88" s="2595"/>
      <c r="AU88" s="2595"/>
      <c r="AV88" s="2595"/>
    </row>
    <row r="89" spans="1:48">
      <c r="D89" s="23" t="s">
        <v>1280</v>
      </c>
      <c r="M89" s="6815"/>
      <c r="N89" s="6816"/>
      <c r="O89" s="6816"/>
      <c r="P89" s="6816"/>
      <c r="Q89" s="6816"/>
      <c r="R89" s="6816"/>
      <c r="S89" s="6816"/>
      <c r="T89" s="6816"/>
      <c r="U89" s="6816"/>
      <c r="V89" s="6816"/>
      <c r="W89" s="6816"/>
      <c r="X89" s="6816"/>
      <c r="Y89" s="6817"/>
      <c r="Z89" s="3478"/>
      <c r="AA89" s="2595"/>
      <c r="AB89" s="2595"/>
      <c r="AC89" s="2595"/>
      <c r="AD89" s="2595"/>
      <c r="AE89" s="2595"/>
      <c r="AF89" s="2595"/>
      <c r="AG89" s="2595"/>
      <c r="AH89" s="2595"/>
      <c r="AI89" s="2595"/>
      <c r="AJ89" s="2595"/>
      <c r="AK89" s="2595"/>
      <c r="AL89" s="2595"/>
      <c r="AN89" s="2608"/>
      <c r="AO89" s="2608"/>
      <c r="AP89" s="2595"/>
      <c r="AQ89" s="2595"/>
      <c r="AR89" s="2595"/>
      <c r="AS89" s="2595"/>
      <c r="AT89" s="2595"/>
      <c r="AU89" s="2595"/>
      <c r="AV89" s="2595"/>
    </row>
    <row r="90" spans="1:48">
      <c r="C90" s="24" t="s">
        <v>1354</v>
      </c>
      <c r="M90" s="6815"/>
      <c r="N90" s="6816"/>
      <c r="O90" s="6816"/>
      <c r="P90" s="6816"/>
      <c r="Q90" s="6816"/>
      <c r="R90" s="6816"/>
      <c r="S90" s="6816"/>
      <c r="T90" s="6816"/>
      <c r="U90" s="6816"/>
      <c r="V90" s="6816"/>
      <c r="W90" s="6816"/>
      <c r="X90" s="6816"/>
      <c r="Y90" s="6817"/>
      <c r="Z90" s="3478"/>
      <c r="AA90" s="2595"/>
      <c r="AB90" s="2595"/>
      <c r="AC90" s="2595"/>
      <c r="AD90" s="2595"/>
      <c r="AE90" s="2595"/>
      <c r="AF90" s="2595"/>
      <c r="AG90" s="2595"/>
      <c r="AH90" s="2595"/>
      <c r="AI90" s="2595"/>
      <c r="AJ90" s="2595"/>
      <c r="AK90" s="2595"/>
      <c r="AL90" s="2595"/>
      <c r="AN90" s="2608"/>
      <c r="AO90" s="2608"/>
      <c r="AP90" s="2595"/>
      <c r="AQ90" s="2595"/>
      <c r="AR90" s="2595"/>
      <c r="AS90" s="2595"/>
      <c r="AT90" s="2595"/>
      <c r="AU90" s="2595"/>
      <c r="AV90" s="2595"/>
    </row>
    <row r="91" spans="1:48">
      <c r="C91" s="24"/>
      <c r="D91" s="70" t="s">
        <v>1355</v>
      </c>
      <c r="M91" s="6815"/>
      <c r="N91" s="6816"/>
      <c r="O91" s="6816"/>
      <c r="P91" s="6816"/>
      <c r="Q91" s="6816"/>
      <c r="R91" s="6816"/>
      <c r="S91" s="6816"/>
      <c r="T91" s="6816"/>
      <c r="U91" s="6816"/>
      <c r="V91" s="6816"/>
      <c r="W91" s="6816"/>
      <c r="X91" s="6816"/>
      <c r="Y91" s="6817"/>
      <c r="Z91" s="3478"/>
      <c r="AA91" s="2595"/>
      <c r="AB91" s="2595"/>
      <c r="AC91" s="2595"/>
      <c r="AD91" s="2595"/>
      <c r="AE91" s="2595"/>
      <c r="AF91" s="2595"/>
      <c r="AG91" s="2595"/>
      <c r="AH91" s="2595"/>
      <c r="AI91" s="2595"/>
      <c r="AJ91" s="2595"/>
      <c r="AK91" s="2595"/>
      <c r="AL91" s="2595"/>
      <c r="AN91" s="2608"/>
      <c r="AO91" s="2608"/>
      <c r="AP91" s="2595"/>
      <c r="AQ91" s="2595"/>
      <c r="AR91" s="2595"/>
      <c r="AS91" s="2595"/>
      <c r="AT91" s="2595"/>
      <c r="AU91" s="2595"/>
      <c r="AV91" s="2595"/>
    </row>
    <row r="92" spans="1:48">
      <c r="C92" s="133" t="s">
        <v>1275</v>
      </c>
      <c r="D92" s="23" t="str">
        <f>"Under age 19 at the end of "&amp;TaxYear&amp;" and younger than you (or your spouse, if filing jointly)"</f>
        <v>Under age 19 at the end of 2021 and younger than you (or your spouse, if filing jointly)</v>
      </c>
      <c r="M92" s="6815"/>
      <c r="N92" s="6816"/>
      <c r="O92" s="6816"/>
      <c r="P92" s="6816"/>
      <c r="Q92" s="6816"/>
      <c r="R92" s="6816"/>
      <c r="S92" s="6816"/>
      <c r="T92" s="6816"/>
      <c r="U92" s="6816"/>
      <c r="V92" s="6816"/>
      <c r="W92" s="6816"/>
      <c r="X92" s="6816"/>
      <c r="Y92" s="6817"/>
      <c r="Z92" s="3478"/>
      <c r="AA92" s="2595"/>
      <c r="AB92" s="2595"/>
      <c r="AC92" s="2595"/>
      <c r="AD92" s="2595"/>
      <c r="AE92" s="2595"/>
      <c r="AF92" s="2595"/>
      <c r="AG92" s="2595"/>
      <c r="AH92" s="2595"/>
      <c r="AI92" s="2595"/>
      <c r="AJ92" s="2595"/>
      <c r="AK92" s="2595"/>
      <c r="AL92" s="2595"/>
      <c r="AN92" s="2608"/>
      <c r="AO92" s="2608"/>
      <c r="AP92" s="2595"/>
      <c r="AQ92" s="2595"/>
      <c r="AR92" s="2595"/>
      <c r="AS92" s="2595"/>
      <c r="AT92" s="2595"/>
      <c r="AU92" s="2595"/>
      <c r="AV92" s="2595"/>
    </row>
    <row r="93" spans="1:48" ht="13.5" thickBot="1">
      <c r="C93" s="133"/>
      <c r="D93" s="70" t="s">
        <v>243</v>
      </c>
      <c r="M93" s="6818"/>
      <c r="N93" s="6819"/>
      <c r="O93" s="6819"/>
      <c r="P93" s="6819"/>
      <c r="Q93" s="6819"/>
      <c r="R93" s="6819"/>
      <c r="S93" s="6819"/>
      <c r="T93" s="6819"/>
      <c r="U93" s="6819"/>
      <c r="V93" s="6819"/>
      <c r="W93" s="6819"/>
      <c r="X93" s="6819"/>
      <c r="Y93" s="6820"/>
      <c r="AA93" s="2595"/>
      <c r="AB93" s="2595"/>
      <c r="AC93" s="2595"/>
      <c r="AD93" s="2595"/>
      <c r="AE93" s="2595"/>
      <c r="AF93" s="2595"/>
      <c r="AG93" s="2595"/>
      <c r="AH93" s="2595"/>
      <c r="AI93" s="2595"/>
      <c r="AJ93" s="2595"/>
      <c r="AK93" s="2595"/>
      <c r="AL93" s="2595"/>
      <c r="AN93" s="2608"/>
      <c r="AO93" s="2608"/>
      <c r="AP93" s="2595"/>
      <c r="AQ93" s="2595"/>
      <c r="AR93" s="2595"/>
      <c r="AS93" s="2595"/>
      <c r="AT93" s="2595"/>
      <c r="AU93" s="2595"/>
      <c r="AV93" s="2595"/>
    </row>
    <row r="94" spans="1:48">
      <c r="C94" s="133" t="s">
        <v>1275</v>
      </c>
      <c r="D94" s="23" t="str">
        <f>"Under age 24 at the end of "&amp;TaxYear&amp;" and a student (defined later) and younger than you"</f>
        <v>Under age 24 at the end of 2021 and a student (defined later) and younger than you</v>
      </c>
      <c r="AA94" s="2595"/>
      <c r="AB94" s="2595"/>
      <c r="AC94" s="2595"/>
      <c r="AD94" s="2595"/>
      <c r="AE94" s="2595"/>
      <c r="AF94" s="2595"/>
      <c r="AG94" s="2595"/>
      <c r="AH94" s="2595"/>
      <c r="AI94" s="2595"/>
      <c r="AJ94" s="2595"/>
      <c r="AK94" s="2595"/>
      <c r="AL94" s="2595"/>
      <c r="AN94" s="2608"/>
      <c r="AO94" s="2608"/>
      <c r="AP94" s="2595"/>
      <c r="AQ94" s="2595"/>
      <c r="AR94" s="2595"/>
      <c r="AS94" s="2595"/>
      <c r="AT94" s="2595"/>
      <c r="AU94" s="2595"/>
      <c r="AV94" s="2595"/>
    </row>
    <row r="95" spans="1:48" ht="13.5" thickBot="1">
      <c r="C95" s="133"/>
      <c r="D95" s="70" t="s">
        <v>1352</v>
      </c>
      <c r="M95" s="3479" t="s">
        <v>2705</v>
      </c>
      <c r="AA95" s="2595"/>
      <c r="AB95" s="2595"/>
      <c r="AC95" s="2595"/>
      <c r="AD95" s="2595"/>
      <c r="AE95" s="2595"/>
      <c r="AF95" s="2595"/>
      <c r="AG95" s="2595"/>
      <c r="AH95" s="2595"/>
      <c r="AI95" s="2595"/>
      <c r="AJ95" s="2595"/>
      <c r="AK95" s="2595"/>
      <c r="AL95" s="2595"/>
      <c r="AN95" s="2608"/>
      <c r="AO95" s="2608"/>
      <c r="AP95" s="2595"/>
      <c r="AQ95" s="2595"/>
      <c r="AR95" s="2595"/>
      <c r="AS95" s="2595"/>
      <c r="AT95" s="2595"/>
      <c r="AU95" s="2595"/>
      <c r="AV95" s="2595"/>
    </row>
    <row r="96" spans="1:48" ht="12.75" customHeight="1">
      <c r="C96" s="133"/>
      <c r="D96" s="70" t="s">
        <v>243</v>
      </c>
      <c r="M96" s="6812" t="str">
        <f>"If the child didn't live with you for more than half of "&amp;TaxYear&amp;" because of a temporary absence, birth, death, or kidnapping, see Exception to time lived with you, later."</f>
        <v>If the child didn't live with you for more than half of 2021 because of a temporary absence, birth, death, or kidnapping, see Exception to time lived with you, later.</v>
      </c>
      <c r="N96" s="6813"/>
      <c r="O96" s="6813"/>
      <c r="P96" s="6813"/>
      <c r="Q96" s="6813"/>
      <c r="R96" s="6813"/>
      <c r="S96" s="6813"/>
      <c r="T96" s="6813"/>
      <c r="U96" s="6813"/>
      <c r="V96" s="6813"/>
      <c r="W96" s="6813"/>
      <c r="X96" s="6813"/>
      <c r="Y96" s="6814"/>
      <c r="AA96" s="2595"/>
      <c r="AB96" s="2595"/>
      <c r="AC96" s="2595"/>
      <c r="AD96" s="2595"/>
      <c r="AE96" s="2595"/>
      <c r="AF96" s="2595"/>
      <c r="AG96" s="2595"/>
      <c r="AH96" s="2595"/>
      <c r="AI96" s="2595"/>
      <c r="AJ96" s="2595"/>
      <c r="AK96" s="2595"/>
      <c r="AL96" s="2595"/>
      <c r="AN96" s="2608"/>
      <c r="AO96" s="2608"/>
      <c r="AP96" s="2595"/>
      <c r="AQ96" s="2595"/>
      <c r="AR96" s="2595"/>
      <c r="AS96" s="2595"/>
      <c r="AT96" s="2595"/>
      <c r="AU96" s="2595"/>
      <c r="AV96" s="2595"/>
    </row>
    <row r="97" spans="1:48">
      <c r="C97" s="133" t="s">
        <v>1275</v>
      </c>
      <c r="D97" s="70" t="s">
        <v>1353</v>
      </c>
      <c r="M97" s="6815"/>
      <c r="N97" s="6816"/>
      <c r="O97" s="6816"/>
      <c r="P97" s="6816"/>
      <c r="Q97" s="6816"/>
      <c r="R97" s="6816"/>
      <c r="S97" s="6816"/>
      <c r="T97" s="6816"/>
      <c r="U97" s="6816"/>
      <c r="V97" s="6816"/>
      <c r="W97" s="6816"/>
      <c r="X97" s="6816"/>
      <c r="Y97" s="6817"/>
      <c r="AA97" s="2595"/>
      <c r="AB97" s="2595"/>
      <c r="AC97" s="2595"/>
      <c r="AD97" s="2595"/>
      <c r="AE97" s="2595"/>
      <c r="AF97" s="2595"/>
      <c r="AG97" s="2595"/>
      <c r="AH97" s="2595"/>
      <c r="AI97" s="2595"/>
      <c r="AJ97" s="2595"/>
      <c r="AK97" s="2595"/>
      <c r="AL97" s="2595"/>
      <c r="AN97" s="2608"/>
      <c r="AO97" s="2608"/>
      <c r="AP97" s="2595"/>
      <c r="AQ97" s="2595"/>
      <c r="AR97" s="2595"/>
      <c r="AS97" s="2595"/>
      <c r="AT97" s="2595"/>
      <c r="AU97" s="2595"/>
      <c r="AV97" s="2595"/>
    </row>
    <row r="98" spans="1:48" ht="13.5" thickBot="1">
      <c r="C98" s="24" t="s">
        <v>1354</v>
      </c>
      <c r="M98" s="6818"/>
      <c r="N98" s="6819"/>
      <c r="O98" s="6819"/>
      <c r="P98" s="6819"/>
      <c r="Q98" s="6819"/>
      <c r="R98" s="6819"/>
      <c r="S98" s="6819"/>
      <c r="T98" s="6819"/>
      <c r="U98" s="6819"/>
      <c r="V98" s="6819"/>
      <c r="W98" s="6819"/>
      <c r="X98" s="6819"/>
      <c r="Y98" s="6820"/>
      <c r="AA98" s="2595"/>
      <c r="AB98" s="2595"/>
      <c r="AC98" s="2595"/>
      <c r="AD98" s="2595"/>
      <c r="AE98" s="2595"/>
      <c r="AF98" s="2595"/>
      <c r="AG98" s="2595"/>
      <c r="AH98" s="2595"/>
      <c r="AI98" s="2595"/>
      <c r="AJ98" s="2595"/>
      <c r="AK98" s="2595"/>
      <c r="AL98" s="2595"/>
      <c r="AN98" s="2608"/>
      <c r="AO98" s="2608"/>
      <c r="AP98" s="2595"/>
      <c r="AQ98" s="2595"/>
      <c r="AR98" s="2595"/>
      <c r="AS98" s="2595"/>
      <c r="AT98" s="2595"/>
      <c r="AU98" s="2595"/>
      <c r="AV98" s="2595"/>
    </row>
    <row r="99" spans="1:48">
      <c r="C99" s="133"/>
      <c r="D99" s="23" t="str">
        <f>"Who isn't filing a joint return for "&amp;TaxYear</f>
        <v>Who isn't filing a joint return for 2021</v>
      </c>
      <c r="M99" s="3478"/>
      <c r="N99" s="3478"/>
      <c r="O99" s="3478"/>
      <c r="P99" s="3478"/>
      <c r="Q99" s="3478"/>
      <c r="R99" s="3478"/>
      <c r="S99" s="3478"/>
      <c r="T99" s="3478"/>
      <c r="U99" s="3478"/>
      <c r="V99" s="3478"/>
      <c r="W99" s="3478"/>
      <c r="X99" s="3478"/>
      <c r="Y99" s="3478"/>
      <c r="Z99" s="33"/>
      <c r="AA99" s="2595"/>
      <c r="AB99" s="2595"/>
      <c r="AC99" s="2595"/>
      <c r="AD99" s="2595"/>
      <c r="AE99" s="2595"/>
      <c r="AF99" s="2595"/>
      <c r="AG99" s="2595"/>
      <c r="AH99" s="2595"/>
      <c r="AI99" s="2595"/>
      <c r="AJ99" s="2595"/>
      <c r="AK99" s="2595"/>
      <c r="AL99" s="2595"/>
      <c r="AN99" s="2608"/>
      <c r="AO99" s="2608"/>
      <c r="AP99" s="2595"/>
      <c r="AQ99" s="2595"/>
      <c r="AR99" s="2595"/>
      <c r="AS99" s="2595"/>
      <c r="AT99" s="2595"/>
      <c r="AU99" s="2595"/>
      <c r="AV99" s="2595"/>
    </row>
    <row r="100" spans="1:48" ht="13.5" thickBot="1">
      <c r="C100" s="133"/>
      <c r="D100" s="23" t="str">
        <f>"or is filing a joint return for "&amp;TaxYear&amp;" only to claim a refund of withheld income tax or"</f>
        <v>or is filing a joint return for 2021 only to claim a refund of withheld income tax or</v>
      </c>
      <c r="M100" s="3479" t="s">
        <v>2703</v>
      </c>
      <c r="N100" s="33"/>
      <c r="O100" s="33"/>
      <c r="P100" s="33"/>
      <c r="Q100" s="33"/>
      <c r="R100" s="33"/>
      <c r="S100" s="33"/>
      <c r="T100" s="33"/>
      <c r="U100" s="33"/>
      <c r="V100" s="33"/>
      <c r="W100" s="33"/>
      <c r="X100" s="33"/>
      <c r="Y100" s="33"/>
      <c r="Z100" s="33"/>
      <c r="AA100" s="2595"/>
      <c r="AB100" s="2595"/>
      <c r="AC100" s="2595"/>
      <c r="AD100" s="2595"/>
      <c r="AE100" s="2595"/>
      <c r="AF100" s="2595"/>
      <c r="AG100" s="2595"/>
      <c r="AH100" s="2595"/>
      <c r="AI100" s="2595"/>
      <c r="AJ100" s="2595"/>
      <c r="AK100" s="2595"/>
      <c r="AL100" s="2595"/>
      <c r="AN100" s="2608"/>
      <c r="AO100" s="2608"/>
      <c r="AP100" s="2595"/>
      <c r="AQ100" s="2595"/>
      <c r="AR100" s="2595"/>
      <c r="AS100" s="2595"/>
      <c r="AT100" s="2595"/>
      <c r="AU100" s="2595"/>
      <c r="AV100" s="2595"/>
    </row>
    <row r="101" spans="1:48" ht="12.75" customHeight="1">
      <c r="C101" s="133"/>
      <c r="D101" s="70" t="s">
        <v>2702</v>
      </c>
      <c r="M101" s="6812" t="str">
        <f>"If the child meets the conditions to be a qualifying child of any other person (other than your spouse if filing a joint return) for "&amp;TaxYear&amp;", see Qualifying child of more than one person, later. If the child was married, see Married child, later."</f>
        <v>If the child meets the conditions to be a qualifying child of any other person (other than your spouse if filing a joint return) for 2021, see Qualifying child of more than one person, later. If the child was married, see Married child, later.</v>
      </c>
      <c r="N101" s="6813"/>
      <c r="O101" s="6813"/>
      <c r="P101" s="6813"/>
      <c r="Q101" s="6813"/>
      <c r="R101" s="6813"/>
      <c r="S101" s="6813"/>
      <c r="T101" s="6813"/>
      <c r="U101" s="6813"/>
      <c r="V101" s="6813"/>
      <c r="W101" s="6813"/>
      <c r="X101" s="6813"/>
      <c r="Y101" s="6814"/>
      <c r="Z101" s="33"/>
      <c r="AA101" s="2595"/>
      <c r="AB101" s="2595"/>
      <c r="AC101" s="2595"/>
      <c r="AD101" s="2595"/>
      <c r="AE101" s="2595"/>
      <c r="AF101" s="2595"/>
      <c r="AG101" s="2595"/>
      <c r="AH101" s="2595"/>
      <c r="AI101" s="2595"/>
      <c r="AJ101" s="2595"/>
      <c r="AK101" s="2595"/>
      <c r="AL101" s="2595"/>
      <c r="AN101" s="2608"/>
      <c r="AO101" s="2608"/>
      <c r="AP101" s="2595"/>
      <c r="AQ101" s="2595"/>
      <c r="AR101" s="2595"/>
      <c r="AS101" s="2595"/>
      <c r="AT101" s="2595"/>
      <c r="AU101" s="2595"/>
      <c r="AV101" s="2595"/>
    </row>
    <row r="102" spans="1:48">
      <c r="C102" s="24" t="s">
        <v>1354</v>
      </c>
      <c r="M102" s="6815"/>
      <c r="N102" s="6816"/>
      <c r="O102" s="6816"/>
      <c r="P102" s="6816"/>
      <c r="Q102" s="6816"/>
      <c r="R102" s="6816"/>
      <c r="S102" s="6816"/>
      <c r="T102" s="6816"/>
      <c r="U102" s="6816"/>
      <c r="V102" s="6816"/>
      <c r="W102" s="6816"/>
      <c r="X102" s="6816"/>
      <c r="Y102" s="6817"/>
      <c r="Z102" s="33"/>
      <c r="AA102" s="2595"/>
      <c r="AB102" s="2595"/>
      <c r="AC102" s="2595"/>
      <c r="AD102" s="2595"/>
      <c r="AE102" s="2595"/>
      <c r="AF102" s="2595"/>
      <c r="AG102" s="2595"/>
      <c r="AH102" s="2595"/>
      <c r="AI102" s="2595"/>
      <c r="AJ102" s="2595"/>
      <c r="AK102" s="2595"/>
      <c r="AL102" s="2595"/>
      <c r="AN102" s="2608"/>
      <c r="AO102" s="2608"/>
      <c r="AP102" s="2595"/>
      <c r="AQ102" s="2595"/>
      <c r="AR102" s="2595"/>
      <c r="AS102" s="2595"/>
      <c r="AT102" s="2595"/>
      <c r="AU102" s="2595"/>
      <c r="AV102" s="2595"/>
    </row>
    <row r="103" spans="1:48">
      <c r="C103" s="133"/>
      <c r="D103" s="23" t="str">
        <f>"Who lived with you in the United States for more than half of "&amp;TaxYear&amp;"."</f>
        <v>Who lived with you in the United States for more than half of 2021.</v>
      </c>
      <c r="M103" s="6815"/>
      <c r="N103" s="6816"/>
      <c r="O103" s="6816"/>
      <c r="P103" s="6816"/>
      <c r="Q103" s="6816"/>
      <c r="R103" s="6816"/>
      <c r="S103" s="6816"/>
      <c r="T103" s="6816"/>
      <c r="U103" s="6816"/>
      <c r="V103" s="6816"/>
      <c r="W103" s="6816"/>
      <c r="X103" s="6816"/>
      <c r="Y103" s="6817"/>
      <c r="AA103" s="2595"/>
      <c r="AB103" s="2595"/>
      <c r="AC103" s="2595"/>
      <c r="AD103" s="2595"/>
      <c r="AE103" s="2595"/>
      <c r="AF103" s="2595"/>
      <c r="AG103" s="2595"/>
      <c r="AH103" s="2595"/>
      <c r="AI103" s="2595"/>
      <c r="AJ103" s="2595"/>
      <c r="AK103" s="2595"/>
      <c r="AL103" s="2595"/>
      <c r="AN103" s="2608"/>
      <c r="AO103" s="2608"/>
      <c r="AP103" s="2595"/>
      <c r="AQ103" s="2595"/>
      <c r="AR103" s="2595"/>
      <c r="AS103" s="2595"/>
      <c r="AT103" s="2595"/>
      <c r="AU103" s="2595"/>
      <c r="AV103" s="2595"/>
    </row>
    <row r="104" spans="1:48" ht="13.5" thickBot="1">
      <c r="C104" s="133"/>
      <c r="K104" s="40"/>
      <c r="M104" s="6818"/>
      <c r="N104" s="6819"/>
      <c r="O104" s="6819"/>
      <c r="P104" s="6819"/>
      <c r="Q104" s="6819"/>
      <c r="R104" s="6819"/>
      <c r="S104" s="6819"/>
      <c r="T104" s="6819"/>
      <c r="U104" s="6819"/>
      <c r="V104" s="6819"/>
      <c r="W104" s="6819"/>
      <c r="X104" s="6819"/>
      <c r="Y104" s="6820"/>
      <c r="AA104" s="2595"/>
      <c r="AB104" s="2595"/>
      <c r="AC104" s="2595"/>
      <c r="AD104" s="2595"/>
      <c r="AE104" s="2595"/>
      <c r="AF104" s="2595"/>
      <c r="AG104" s="2595"/>
      <c r="AH104" s="2595"/>
      <c r="AI104" s="2595"/>
      <c r="AJ104" s="2595"/>
      <c r="AK104" s="2595"/>
      <c r="AL104" s="2595"/>
      <c r="AN104" s="2608"/>
      <c r="AO104" s="2608"/>
      <c r="AP104" s="2595"/>
      <c r="AQ104" s="2595"/>
      <c r="AR104" s="2595"/>
      <c r="AS104" s="2595"/>
      <c r="AT104" s="2595"/>
      <c r="AU104" s="2595"/>
      <c r="AV104" s="2595"/>
    </row>
    <row r="105" spans="1:48">
      <c r="C105" s="133"/>
      <c r="K105" s="40" t="s">
        <v>91</v>
      </c>
      <c r="M105" s="5838"/>
      <c r="N105" s="5838"/>
      <c r="O105" s="5838"/>
      <c r="P105" s="5838"/>
      <c r="Q105" s="5838"/>
      <c r="R105" s="5838"/>
      <c r="S105" s="5838"/>
      <c r="T105" s="5838"/>
      <c r="U105" s="5838"/>
      <c r="V105" s="5838"/>
      <c r="W105" s="5838"/>
      <c r="X105" s="5838"/>
      <c r="Y105" s="5838"/>
      <c r="AA105" s="2595"/>
      <c r="AB105" s="2595"/>
      <c r="AC105" s="2595"/>
      <c r="AD105" s="2595"/>
      <c r="AE105" s="2595"/>
      <c r="AF105" s="2595"/>
      <c r="AG105" s="2595"/>
      <c r="AH105" s="2595"/>
      <c r="AI105" s="2595"/>
      <c r="AJ105" s="2595"/>
      <c r="AK105" s="2595"/>
      <c r="AL105" s="2595"/>
      <c r="AN105" s="2608"/>
      <c r="AO105" s="2608"/>
      <c r="AP105" s="2595"/>
      <c r="AQ105" s="2595"/>
      <c r="AR105" s="2595"/>
      <c r="AS105" s="2595"/>
      <c r="AT105" s="2595"/>
      <c r="AU105" s="2595"/>
      <c r="AV105" s="2595"/>
    </row>
    <row r="106" spans="1:48">
      <c r="B106" s="5813">
        <f>IF(N5&lt;&gt;"",ROUND(N5,0),Dependents!AQ35)</f>
        <v>0</v>
      </c>
      <c r="C106" s="133"/>
      <c r="D106" s="1747" t="s">
        <v>1281</v>
      </c>
      <c r="K106" s="5837" t="str">
        <f>IF(N5="","",N5)</f>
        <v/>
      </c>
      <c r="L106" s="24" t="str">
        <f>IF(N5&lt;&gt;"","&lt; Override from Line 1 (row 5).","")</f>
        <v/>
      </c>
      <c r="AA106" s="2595"/>
      <c r="AB106" s="2595"/>
      <c r="AC106" s="2595"/>
      <c r="AD106" s="2595"/>
      <c r="AE106" s="2595"/>
      <c r="AF106" s="2595"/>
      <c r="AG106" s="2595"/>
      <c r="AH106" s="2595"/>
      <c r="AI106" s="2595"/>
      <c r="AJ106" s="2595"/>
      <c r="AK106" s="2595"/>
      <c r="AL106" s="2595"/>
      <c r="AN106" s="2608"/>
      <c r="AO106" s="2608"/>
      <c r="AP106" s="2595"/>
      <c r="AQ106" s="2595"/>
      <c r="AR106" s="2595"/>
      <c r="AS106" s="2595"/>
      <c r="AT106" s="2595"/>
      <c r="AU106" s="2595"/>
      <c r="AV106" s="2595"/>
    </row>
    <row r="107" spans="1:48" ht="6.75" customHeight="1">
      <c r="AA107" s="2595"/>
      <c r="AB107" s="2595"/>
      <c r="AC107" s="2595"/>
      <c r="AD107" s="2595"/>
      <c r="AE107" s="2595"/>
      <c r="AF107" s="2595"/>
      <c r="AG107" s="2595"/>
      <c r="AH107" s="2595"/>
      <c r="AI107" s="2595"/>
      <c r="AJ107" s="2595"/>
      <c r="AK107" s="2595"/>
      <c r="AL107" s="2595"/>
      <c r="AN107" s="2608"/>
      <c r="AO107" s="2608"/>
      <c r="AP107" s="2595"/>
      <c r="AQ107" s="2595"/>
      <c r="AR107" s="2595"/>
      <c r="AS107" s="2595"/>
      <c r="AT107" s="2595"/>
      <c r="AU107" s="2595"/>
      <c r="AV107" s="2595"/>
    </row>
    <row r="108" spans="1:48" s="1743" customFormat="1" ht="6.75" customHeight="1">
      <c r="B108" s="1742"/>
      <c r="N108" s="1744"/>
      <c r="AA108" s="2609"/>
      <c r="AB108" s="2609"/>
      <c r="AC108" s="2609"/>
      <c r="AD108" s="2609"/>
      <c r="AE108" s="2609"/>
      <c r="AF108" s="2609"/>
      <c r="AG108" s="2609"/>
      <c r="AH108" s="2609"/>
      <c r="AI108" s="2609"/>
      <c r="AJ108" s="2609"/>
      <c r="AK108" s="2609"/>
      <c r="AL108" s="2609"/>
      <c r="AN108" s="2610"/>
      <c r="AO108" s="2610"/>
      <c r="AP108" s="2609"/>
      <c r="AQ108" s="2609"/>
      <c r="AR108" s="2609"/>
      <c r="AS108" s="2609"/>
      <c r="AT108" s="2609"/>
      <c r="AU108" s="2609"/>
      <c r="AV108" s="2609"/>
    </row>
    <row r="109" spans="1:48">
      <c r="C109" s="1740" t="s">
        <v>294</v>
      </c>
      <c r="D109" s="70" t="s">
        <v>5128</v>
      </c>
      <c r="AA109" s="2595"/>
      <c r="AB109" s="2595"/>
      <c r="AC109" s="2595"/>
      <c r="AD109" s="2595"/>
      <c r="AE109" s="2595"/>
      <c r="AF109" s="2595"/>
      <c r="AG109" s="2595"/>
      <c r="AH109" s="2595"/>
      <c r="AI109" s="2595"/>
      <c r="AJ109" s="2595"/>
      <c r="AK109" s="2595"/>
      <c r="AL109" s="2595"/>
      <c r="AN109" s="2608"/>
      <c r="AO109" s="2608"/>
      <c r="AP109" s="2595"/>
      <c r="AQ109" s="2595"/>
      <c r="AR109" s="2595"/>
      <c r="AS109" s="2595"/>
      <c r="AT109" s="2595"/>
      <c r="AU109" s="2595"/>
      <c r="AV109" s="2595"/>
    </row>
    <row r="110" spans="1:48">
      <c r="C110" s="1740"/>
      <c r="D110" s="70" t="s">
        <v>5129</v>
      </c>
      <c r="AA110" s="2595"/>
      <c r="AB110" s="2595"/>
      <c r="AC110" s="2595"/>
      <c r="AD110" s="2595"/>
      <c r="AE110" s="2595"/>
      <c r="AF110" s="2595"/>
      <c r="AG110" s="2595"/>
      <c r="AH110" s="2595"/>
      <c r="AI110" s="2595"/>
      <c r="AJ110" s="2595"/>
      <c r="AK110" s="2595"/>
      <c r="AL110" s="2595"/>
      <c r="AN110" s="2608"/>
      <c r="AO110" s="2608"/>
      <c r="AP110" s="2595"/>
      <c r="AQ110" s="2595"/>
      <c r="AR110" s="2595"/>
      <c r="AS110" s="2595"/>
      <c r="AT110" s="2595"/>
      <c r="AU110" s="2595"/>
      <c r="AV110" s="2595"/>
    </row>
    <row r="111" spans="1:48">
      <c r="AA111" s="2595"/>
      <c r="AB111" s="2595"/>
      <c r="AC111" s="2595"/>
      <c r="AD111" s="2595"/>
      <c r="AE111" s="2595"/>
      <c r="AF111" s="2595"/>
      <c r="AG111" s="2595"/>
      <c r="AH111" s="2595"/>
      <c r="AI111" s="2595"/>
      <c r="AJ111" s="2595"/>
      <c r="AK111" s="2595"/>
      <c r="AL111" s="2595"/>
      <c r="AN111" s="2608"/>
      <c r="AO111" s="2608"/>
      <c r="AP111" s="2595"/>
      <c r="AQ111" s="2595"/>
      <c r="AR111" s="2595"/>
      <c r="AS111" s="2595"/>
      <c r="AT111" s="2595"/>
      <c r="AU111" s="2595"/>
      <c r="AV111" s="2595"/>
    </row>
    <row r="112" spans="1:48">
      <c r="A112" s="1176" t="b">
        <f>AND(EIC_trigger,EICNumQualChild&lt;&gt;"",EICNumQualChild&gt;0)</f>
        <v>0</v>
      </c>
      <c r="B112" s="2054" t="str">
        <f>IF(EICNumQualChild&gt;0,"X","")</f>
        <v/>
      </c>
      <c r="D112" s="70" t="s">
        <v>2694</v>
      </c>
      <c r="H112" s="2054" t="str">
        <f>IF(EICNumQualChild="","",IF(EICNumQualChild&gt;0,"","X"))</f>
        <v>X</v>
      </c>
      <c r="J112" s="70" t="s">
        <v>5118</v>
      </c>
      <c r="N112" s="1176" t="b">
        <f>AND(EIC_trigger,NOT(A112))</f>
        <v>0</v>
      </c>
      <c r="P112" s="70"/>
      <c r="AA112" s="2595"/>
      <c r="AB112" s="2595"/>
      <c r="AC112" s="2595"/>
      <c r="AD112" s="2595"/>
      <c r="AE112" s="2595"/>
      <c r="AF112" s="2595"/>
      <c r="AG112" s="2595"/>
      <c r="AH112" s="2595"/>
      <c r="AI112" s="2595"/>
      <c r="AJ112" s="2595"/>
      <c r="AK112" s="2595"/>
      <c r="AL112" s="2595"/>
      <c r="AN112" s="2608"/>
      <c r="AO112" s="2608"/>
      <c r="AP112" s="2595"/>
      <c r="AQ112" s="2595"/>
      <c r="AR112" s="2595"/>
      <c r="AS112" s="2595"/>
      <c r="AT112" s="2595"/>
      <c r="AU112" s="2595"/>
      <c r="AV112" s="2595"/>
    </row>
    <row r="113" spans="1:48">
      <c r="C113" s="41"/>
      <c r="D113" s="41"/>
      <c r="E113" s="41"/>
      <c r="F113" s="41"/>
      <c r="G113" s="41"/>
      <c r="H113" s="41"/>
      <c r="I113" s="41"/>
      <c r="J113" s="41"/>
      <c r="K113" s="41"/>
      <c r="L113" s="41"/>
      <c r="M113" s="41"/>
      <c r="AA113" s="2595"/>
      <c r="AB113" s="2595"/>
      <c r="AC113" s="2595"/>
      <c r="AD113" s="2595"/>
      <c r="AE113" s="2595"/>
      <c r="AF113" s="2595"/>
      <c r="AG113" s="2595"/>
      <c r="AH113" s="2595"/>
      <c r="AI113" s="2595"/>
      <c r="AJ113" s="2595"/>
      <c r="AK113" s="2595"/>
      <c r="AL113" s="2595"/>
      <c r="AN113" s="2608"/>
      <c r="AO113" s="2608"/>
      <c r="AP113" s="2595"/>
      <c r="AQ113" s="2595"/>
      <c r="AR113" s="2595"/>
      <c r="AS113" s="2595"/>
      <c r="AT113" s="2595"/>
      <c r="AU113" s="2595"/>
      <c r="AV113" s="2595"/>
    </row>
    <row r="114" spans="1:48">
      <c r="C114" s="54"/>
      <c r="D114" s="54"/>
      <c r="E114" s="54"/>
      <c r="F114" s="54"/>
      <c r="G114" s="54"/>
      <c r="H114" s="54"/>
      <c r="I114" s="54"/>
      <c r="J114" s="54"/>
      <c r="K114" s="54"/>
      <c r="L114" s="54"/>
      <c r="M114" s="54"/>
      <c r="AA114" s="2595"/>
      <c r="AB114" s="2595"/>
      <c r="AC114" s="2595"/>
      <c r="AD114" s="2595"/>
      <c r="AE114" s="2595"/>
      <c r="AF114" s="2595"/>
      <c r="AG114" s="2595"/>
      <c r="AH114" s="2595"/>
      <c r="AI114" s="2595"/>
      <c r="AJ114" s="2595"/>
      <c r="AK114" s="2595"/>
      <c r="AL114" s="2595"/>
      <c r="AN114" s="2608"/>
      <c r="AO114" s="2608"/>
      <c r="AP114" s="2595"/>
      <c r="AQ114" s="2595"/>
      <c r="AR114" s="2595"/>
      <c r="AS114" s="2595"/>
      <c r="AT114" s="2595"/>
      <c r="AU114" s="2595"/>
      <c r="AV114" s="2595"/>
    </row>
    <row r="115" spans="1:48">
      <c r="A115" s="6823"/>
      <c r="B115" s="6824"/>
      <c r="C115" s="1740" t="s">
        <v>0</v>
      </c>
      <c r="D115" s="23" t="str">
        <f>"Are you filing a joint return for "&amp;TaxYear&amp;"?"</f>
        <v>Are you filing a joint return for 2021?</v>
      </c>
      <c r="AA115" s="2595"/>
      <c r="AB115" s="2595"/>
      <c r="AC115" s="2595"/>
      <c r="AD115" s="2595"/>
      <c r="AE115" s="2595"/>
      <c r="AF115" s="2595"/>
      <c r="AG115" s="2595"/>
      <c r="AH115" s="2595"/>
      <c r="AI115" s="2595"/>
      <c r="AJ115" s="2595"/>
      <c r="AK115" s="2595"/>
      <c r="AL115" s="2595"/>
      <c r="AN115" s="2608"/>
      <c r="AO115" s="2608"/>
      <c r="AP115" s="2595"/>
      <c r="AQ115" s="2595"/>
      <c r="AR115" s="2595"/>
      <c r="AS115" s="2595"/>
      <c r="AT115" s="2595"/>
      <c r="AU115" s="2595"/>
      <c r="AV115" s="2595"/>
    </row>
    <row r="116" spans="1:48">
      <c r="AA116" s="2595"/>
      <c r="AB116" s="2595"/>
      <c r="AC116" s="2595"/>
      <c r="AD116" s="2595"/>
      <c r="AE116" s="2595"/>
      <c r="AF116" s="2595"/>
      <c r="AG116" s="2595"/>
      <c r="AH116" s="2595"/>
      <c r="AI116" s="2595"/>
      <c r="AJ116" s="2595"/>
      <c r="AK116" s="2595"/>
      <c r="AL116" s="2595"/>
      <c r="AN116" s="2608"/>
      <c r="AO116" s="2608"/>
      <c r="AP116" s="2595"/>
      <c r="AQ116" s="2595"/>
      <c r="AR116" s="2595"/>
      <c r="AS116" s="2595"/>
      <c r="AT116" s="2595"/>
      <c r="AU116" s="2595"/>
      <c r="AV116" s="2595"/>
    </row>
    <row r="117" spans="1:48">
      <c r="A117" s="1176" t="b">
        <f>AND(EIC_trigger,A112,File_Marr_Joint&lt;&gt;"",NumFileStatusBoxes=1)</f>
        <v>0</v>
      </c>
      <c r="B117" s="2053" t="str">
        <f>IF(A117,"X","")</f>
        <v/>
      </c>
      <c r="D117" s="70" t="s">
        <v>5120</v>
      </c>
      <c r="H117" s="2053" t="str">
        <f>IF(N117,"X","")</f>
        <v/>
      </c>
      <c r="J117" s="70" t="s">
        <v>2706</v>
      </c>
      <c r="K117" s="14"/>
      <c r="N117" s="1176" t="b">
        <f>AND(A112,NOT(A117))</f>
        <v>0</v>
      </c>
      <c r="AA117" s="2595"/>
      <c r="AB117" s="2595"/>
      <c r="AC117" s="2595"/>
      <c r="AD117" s="2595"/>
      <c r="AE117" s="2595"/>
      <c r="AF117" s="2595"/>
      <c r="AG117" s="2595"/>
      <c r="AH117" s="2595"/>
      <c r="AI117" s="2595"/>
      <c r="AJ117" s="2595"/>
      <c r="AK117" s="2595"/>
      <c r="AL117" s="2595"/>
      <c r="AN117" s="2608"/>
      <c r="AO117" s="2608"/>
      <c r="AP117" s="2595"/>
      <c r="AQ117" s="2595"/>
      <c r="AR117" s="2595"/>
      <c r="AS117" s="2595"/>
      <c r="AT117" s="2595"/>
      <c r="AU117" s="2595"/>
      <c r="AV117" s="2595"/>
    </row>
    <row r="118" spans="1:48">
      <c r="D118" s="70" t="s">
        <v>5119</v>
      </c>
      <c r="AA118" s="2595"/>
      <c r="AB118" s="2595"/>
      <c r="AC118" s="2595"/>
      <c r="AD118" s="2595"/>
      <c r="AE118" s="2595"/>
      <c r="AF118" s="2595"/>
      <c r="AG118" s="2595"/>
      <c r="AH118" s="2595"/>
      <c r="AI118" s="2595"/>
      <c r="AJ118" s="2595"/>
      <c r="AK118" s="2595"/>
      <c r="AL118" s="2595"/>
      <c r="AN118" s="2608"/>
      <c r="AO118" s="2608"/>
      <c r="AP118" s="2595"/>
      <c r="AQ118" s="2595"/>
      <c r="AR118" s="2595"/>
      <c r="AS118" s="2595"/>
      <c r="AT118" s="2595"/>
      <c r="AU118" s="2595"/>
      <c r="AV118" s="2595"/>
    </row>
    <row r="119" spans="1:48">
      <c r="C119" s="41"/>
      <c r="D119" s="41"/>
      <c r="E119" s="41"/>
      <c r="F119" s="41"/>
      <c r="G119" s="41"/>
      <c r="H119" s="41"/>
      <c r="I119" s="41"/>
      <c r="J119" s="41"/>
      <c r="K119" s="41"/>
      <c r="L119" s="41"/>
      <c r="M119" s="41"/>
      <c r="AA119" s="2595"/>
      <c r="AB119" s="2595"/>
      <c r="AC119" s="2595"/>
      <c r="AD119" s="2595"/>
      <c r="AE119" s="2595"/>
      <c r="AF119" s="2595"/>
      <c r="AG119" s="2595"/>
      <c r="AH119" s="2595"/>
      <c r="AI119" s="2595"/>
      <c r="AJ119" s="2595"/>
      <c r="AK119" s="2595"/>
      <c r="AL119" s="2595"/>
      <c r="AN119" s="2608"/>
      <c r="AO119" s="2608"/>
      <c r="AP119" s="2595"/>
      <c r="AQ119" s="2595"/>
      <c r="AR119" s="2595"/>
      <c r="AS119" s="2595"/>
      <c r="AT119" s="2595"/>
      <c r="AU119" s="2595"/>
      <c r="AV119" s="2595"/>
    </row>
    <row r="120" spans="1:48">
      <c r="C120" s="54"/>
      <c r="D120" s="54"/>
      <c r="E120" s="54"/>
      <c r="F120" s="54"/>
      <c r="G120" s="54"/>
      <c r="H120" s="54"/>
      <c r="I120" s="54"/>
      <c r="J120" s="54"/>
      <c r="K120" s="54"/>
      <c r="L120" s="54"/>
      <c r="M120" s="54"/>
      <c r="AA120" s="2595"/>
      <c r="AB120" s="2595"/>
      <c r="AC120" s="2595"/>
      <c r="AD120" s="2595"/>
      <c r="AE120" s="2595"/>
      <c r="AF120" s="2595"/>
      <c r="AG120" s="2595"/>
      <c r="AH120" s="2595"/>
      <c r="AI120" s="2595"/>
      <c r="AJ120" s="2595"/>
      <c r="AK120" s="2595"/>
      <c r="AL120" s="2595"/>
      <c r="AN120" s="2608"/>
      <c r="AO120" s="2608"/>
      <c r="AP120" s="2595"/>
      <c r="AQ120" s="2595"/>
      <c r="AR120" s="2595"/>
      <c r="AS120" s="2595"/>
      <c r="AT120" s="2595"/>
      <c r="AU120" s="2595"/>
      <c r="AV120" s="2595"/>
    </row>
    <row r="121" spans="1:48">
      <c r="A121" s="6823" t="str">
        <f>IF(H118&lt;&gt;"","Skip","")</f>
        <v/>
      </c>
      <c r="B121" s="6824"/>
      <c r="C121" s="1750" t="s">
        <v>1</v>
      </c>
      <c r="D121" s="70" t="s">
        <v>5121</v>
      </c>
      <c r="AA121" s="2595"/>
      <c r="AB121" s="2595"/>
      <c r="AC121" s="2595"/>
      <c r="AD121" s="2595"/>
      <c r="AE121" s="2595"/>
      <c r="AF121" s="2595"/>
      <c r="AG121" s="2595"/>
      <c r="AH121" s="2595"/>
      <c r="AI121" s="2595"/>
      <c r="AJ121" s="2595"/>
      <c r="AK121" s="2595"/>
      <c r="AL121" s="2595"/>
      <c r="AN121" s="2608"/>
      <c r="AO121" s="2608"/>
      <c r="AP121" s="2595"/>
      <c r="AQ121" s="2595"/>
      <c r="AR121" s="2595"/>
      <c r="AS121" s="2595"/>
      <c r="AT121" s="2595"/>
      <c r="AU121" s="2595"/>
      <c r="AV121" s="2595"/>
    </row>
    <row r="122" spans="1:48">
      <c r="A122" s="5449"/>
      <c r="B122" s="5450"/>
      <c r="C122" s="1750"/>
      <c r="D122" s="70" t="s">
        <v>5122</v>
      </c>
      <c r="AA122" s="2595"/>
      <c r="AB122" s="2595"/>
      <c r="AC122" s="2595"/>
      <c r="AD122" s="2595"/>
      <c r="AE122" s="2595"/>
      <c r="AF122" s="2595"/>
      <c r="AG122" s="2595"/>
      <c r="AH122" s="2595"/>
      <c r="AI122" s="2595"/>
      <c r="AJ122" s="2595"/>
      <c r="AK122" s="2595"/>
      <c r="AL122" s="2595"/>
      <c r="AN122" s="2608"/>
      <c r="AO122" s="2608"/>
      <c r="AP122" s="2595"/>
      <c r="AQ122" s="2595"/>
      <c r="AR122" s="2595"/>
      <c r="AS122" s="2595"/>
      <c r="AT122" s="2595"/>
      <c r="AU122" s="2595"/>
      <c r="AV122" s="2595"/>
    </row>
    <row r="123" spans="1:48">
      <c r="AA123" s="2595"/>
      <c r="AB123" s="2595"/>
      <c r="AC123" s="2595"/>
      <c r="AD123" s="2595"/>
      <c r="AE123" s="2595"/>
      <c r="AF123" s="2595"/>
      <c r="AG123" s="2595"/>
      <c r="AH123" s="2595"/>
      <c r="AI123" s="2595"/>
      <c r="AJ123" s="2595"/>
      <c r="AK123" s="2595"/>
      <c r="AL123" s="2595"/>
      <c r="AN123" s="2608"/>
      <c r="AO123" s="2608"/>
      <c r="AP123" s="2595"/>
      <c r="AQ123" s="2595"/>
      <c r="AR123" s="2595"/>
      <c r="AS123" s="2595"/>
      <c r="AT123" s="2595"/>
      <c r="AU123" s="2595"/>
      <c r="AV123" s="2595"/>
    </row>
    <row r="124" spans="1:48">
      <c r="A124" s="1176" t="b">
        <f>AND(EIC_trigger,N117,NumFileStatusBoxes=1,OR(File_Marr_Sep&lt;&gt;"",File_Head&lt;&gt;""))</f>
        <v>0</v>
      </c>
      <c r="B124" s="2053" t="str">
        <f>IF(A124,"X","")</f>
        <v/>
      </c>
      <c r="D124" s="70" t="s">
        <v>2694</v>
      </c>
      <c r="H124" s="2053" t="str">
        <f>IF(N124,"X","")</f>
        <v/>
      </c>
      <c r="J124" s="70" t="s">
        <v>5646</v>
      </c>
      <c r="N124" s="1176" t="b">
        <f>AND(EIC_trigger,N117,NumFileStatusBoxes=1,NOT(OR(File_Marr_Sep&lt;&gt;"",File_Head&lt;&gt;"")))</f>
        <v>0</v>
      </c>
      <c r="AA124" s="2595"/>
      <c r="AB124" s="2595"/>
      <c r="AC124" s="2595"/>
      <c r="AD124" s="2595"/>
      <c r="AE124" s="2595"/>
      <c r="AF124" s="2595"/>
      <c r="AG124" s="2595"/>
      <c r="AH124" s="2595"/>
      <c r="AI124" s="2595"/>
      <c r="AJ124" s="2595"/>
      <c r="AK124" s="2595"/>
      <c r="AL124" s="2595"/>
      <c r="AN124" s="2608"/>
      <c r="AO124" s="2608"/>
      <c r="AP124" s="2595"/>
      <c r="AQ124" s="2595"/>
      <c r="AR124" s="2595"/>
      <c r="AS124" s="2595"/>
      <c r="AT124" s="2595"/>
      <c r="AU124" s="2595"/>
      <c r="AV124" s="2595"/>
    </row>
    <row r="125" spans="1:48">
      <c r="D125" s="70"/>
      <c r="J125" s="70" t="s">
        <v>5645</v>
      </c>
      <c r="AA125" s="2595"/>
      <c r="AB125" s="2595"/>
      <c r="AC125" s="2595"/>
      <c r="AD125" s="2595"/>
      <c r="AE125" s="2595"/>
      <c r="AF125" s="2595"/>
      <c r="AG125" s="2595"/>
      <c r="AH125" s="2595"/>
      <c r="AI125" s="2595"/>
      <c r="AJ125" s="2595"/>
      <c r="AK125" s="2595"/>
      <c r="AL125" s="2595"/>
      <c r="AN125" s="2608"/>
      <c r="AO125" s="2608"/>
      <c r="AP125" s="2595"/>
      <c r="AQ125" s="2595"/>
      <c r="AR125" s="2595"/>
      <c r="AS125" s="2595"/>
      <c r="AT125" s="2595"/>
      <c r="AU125" s="2595"/>
      <c r="AV125" s="2595"/>
    </row>
    <row r="126" spans="1:48">
      <c r="C126" s="41"/>
      <c r="D126" s="41"/>
      <c r="E126" s="41"/>
      <c r="F126" s="41"/>
      <c r="G126" s="41"/>
      <c r="H126" s="41"/>
      <c r="I126" s="41"/>
      <c r="J126" s="41"/>
      <c r="K126" s="41"/>
      <c r="L126" s="41"/>
      <c r="M126" s="41"/>
      <c r="AA126" s="2595"/>
      <c r="AB126" s="2595"/>
      <c r="AC126" s="2595"/>
      <c r="AD126" s="2595"/>
      <c r="AE126" s="2595"/>
      <c r="AF126" s="2595"/>
      <c r="AG126" s="2595"/>
      <c r="AH126" s="2595"/>
      <c r="AI126" s="2595"/>
      <c r="AJ126" s="2595"/>
      <c r="AK126" s="2595"/>
      <c r="AL126" s="2595"/>
      <c r="AN126" s="2608"/>
      <c r="AO126" s="2608"/>
      <c r="AP126" s="2595"/>
      <c r="AQ126" s="2595"/>
      <c r="AR126" s="2595"/>
      <c r="AS126" s="2595"/>
      <c r="AT126" s="2595"/>
      <c r="AU126" s="2595"/>
      <c r="AV126" s="2595"/>
    </row>
    <row r="127" spans="1:48">
      <c r="C127" s="54"/>
      <c r="D127" s="54"/>
      <c r="E127" s="54"/>
      <c r="F127" s="54"/>
      <c r="G127" s="54"/>
      <c r="H127" s="54"/>
      <c r="I127" s="54"/>
      <c r="J127" s="54"/>
      <c r="K127" s="54"/>
      <c r="L127" s="54"/>
      <c r="M127" s="54"/>
      <c r="AA127" s="2595"/>
      <c r="AB127" s="2595"/>
      <c r="AC127" s="2595"/>
      <c r="AD127" s="2595"/>
      <c r="AE127" s="2595"/>
      <c r="AF127" s="2595"/>
      <c r="AG127" s="2595"/>
      <c r="AH127" s="2595"/>
      <c r="AI127" s="2595"/>
      <c r="AJ127" s="2595"/>
      <c r="AK127" s="2595"/>
      <c r="AL127" s="2595"/>
      <c r="AN127" s="2608"/>
      <c r="AO127" s="2608"/>
      <c r="AP127" s="2595"/>
      <c r="AQ127" s="2595"/>
      <c r="AR127" s="2595"/>
      <c r="AS127" s="2595"/>
      <c r="AT127" s="2595"/>
      <c r="AU127" s="2595"/>
      <c r="AV127" s="2595"/>
    </row>
    <row r="128" spans="1:48">
      <c r="A128" s="6823" t="str">
        <f>IF(H125&lt;&gt;"","Skip","")</f>
        <v/>
      </c>
      <c r="B128" s="6824"/>
      <c r="C128" s="1750" t="s">
        <v>399</v>
      </c>
      <c r="D128" s="70" t="s">
        <v>5123</v>
      </c>
      <c r="AA128" s="2595"/>
      <c r="AB128" s="2595"/>
      <c r="AC128" s="2595"/>
      <c r="AD128" s="2595"/>
      <c r="AE128" s="2595"/>
      <c r="AF128" s="2595"/>
      <c r="AG128" s="2595"/>
      <c r="AH128" s="2595"/>
      <c r="AI128" s="2595"/>
      <c r="AJ128" s="2595"/>
      <c r="AK128" s="2595"/>
      <c r="AL128" s="2595"/>
      <c r="AN128" s="2608"/>
      <c r="AO128" s="2608"/>
      <c r="AP128" s="2595"/>
      <c r="AQ128" s="2595"/>
      <c r="AR128" s="2595"/>
      <c r="AS128" s="2595"/>
      <c r="AT128" s="2595"/>
      <c r="AU128" s="2595"/>
      <c r="AV128" s="2595"/>
    </row>
    <row r="129" spans="1:48">
      <c r="A129" s="5449"/>
      <c r="B129" s="5450"/>
      <c r="C129" s="1750"/>
      <c r="D129" s="70" t="str">
        <f>"for the last 6 months of "&amp;TaxYear&amp;"?"</f>
        <v>for the last 6 months of 2021?</v>
      </c>
      <c r="AA129" s="2595"/>
      <c r="AB129" s="2595"/>
      <c r="AC129" s="2595"/>
      <c r="AD129" s="2595"/>
      <c r="AE129" s="2595"/>
      <c r="AF129" s="2595"/>
      <c r="AG129" s="2595"/>
      <c r="AH129" s="2595"/>
      <c r="AI129" s="2595"/>
      <c r="AJ129" s="2595"/>
      <c r="AK129" s="2595"/>
      <c r="AL129" s="2595"/>
      <c r="AN129" s="2608"/>
      <c r="AO129" s="2608"/>
      <c r="AP129" s="2595"/>
      <c r="AQ129" s="2595"/>
      <c r="AR129" s="2595"/>
      <c r="AS129" s="2595"/>
      <c r="AT129" s="2595"/>
      <c r="AU129" s="2595"/>
      <c r="AV129" s="2595"/>
    </row>
    <row r="130" spans="1:48">
      <c r="AA130" s="2595"/>
      <c r="AB130" s="2595"/>
      <c r="AC130" s="2595"/>
      <c r="AD130" s="2595"/>
      <c r="AE130" s="2595"/>
      <c r="AF130" s="2595"/>
      <c r="AG130" s="2595"/>
      <c r="AH130" s="2595"/>
      <c r="AI130" s="2595"/>
      <c r="AJ130" s="2595"/>
      <c r="AK130" s="2595"/>
      <c r="AL130" s="2595"/>
      <c r="AN130" s="2608"/>
      <c r="AO130" s="2608"/>
      <c r="AP130" s="2595"/>
      <c r="AQ130" s="2595"/>
      <c r="AR130" s="2595"/>
      <c r="AS130" s="2595"/>
      <c r="AT130" s="2595"/>
      <c r="AU130" s="2595"/>
      <c r="AV130" s="2595"/>
    </row>
    <row r="131" spans="1:48">
      <c r="A131" s="1176" t="b">
        <f>AND(EIC_trigger,A124,H131="")</f>
        <v>0</v>
      </c>
      <c r="B131" s="2052" t="str">
        <f>IF(N131,"X","")</f>
        <v/>
      </c>
      <c r="D131" s="70" t="s">
        <v>2694</v>
      </c>
      <c r="H131" s="1334"/>
      <c r="J131" s="70" t="s">
        <v>5124</v>
      </c>
      <c r="N131" s="1176" t="b">
        <f>AND(EIC_trigger,A112,N117,A124,H131&lt;&gt;"")</f>
        <v>0</v>
      </c>
      <c r="AA131" s="2595"/>
      <c r="AB131" s="2595"/>
      <c r="AC131" s="2595"/>
      <c r="AD131" s="2595"/>
      <c r="AE131" s="2595"/>
      <c r="AF131" s="2595"/>
      <c r="AG131" s="2595"/>
      <c r="AH131" s="2595"/>
      <c r="AI131" s="2595"/>
      <c r="AJ131" s="2595"/>
      <c r="AK131" s="2595"/>
      <c r="AL131" s="2595"/>
      <c r="AN131" s="2608"/>
      <c r="AO131" s="2608"/>
      <c r="AP131" s="2595"/>
      <c r="AQ131" s="2595"/>
      <c r="AR131" s="2595"/>
      <c r="AS131" s="2595"/>
      <c r="AT131" s="2595"/>
      <c r="AU131" s="2595"/>
      <c r="AV131" s="2595"/>
    </row>
    <row r="132" spans="1:48">
      <c r="C132" s="41"/>
      <c r="D132" s="41"/>
      <c r="E132" s="41"/>
      <c r="F132" s="41"/>
      <c r="G132" s="41"/>
      <c r="H132" s="41"/>
      <c r="I132" s="41"/>
      <c r="J132" s="41"/>
      <c r="K132" s="41"/>
      <c r="L132" s="41"/>
      <c r="M132" s="41"/>
      <c r="AA132" s="2595"/>
      <c r="AB132" s="2595"/>
      <c r="AC132" s="2595"/>
      <c r="AD132" s="2595"/>
      <c r="AE132" s="2595"/>
      <c r="AF132" s="2595"/>
      <c r="AG132" s="2595"/>
      <c r="AH132" s="2595"/>
      <c r="AI132" s="2595"/>
      <c r="AJ132" s="2595"/>
      <c r="AK132" s="2595"/>
      <c r="AL132" s="2595"/>
      <c r="AN132" s="2608"/>
      <c r="AO132" s="2608"/>
      <c r="AP132" s="2595"/>
      <c r="AQ132" s="2595"/>
      <c r="AR132" s="2595"/>
      <c r="AS132" s="2595"/>
      <c r="AT132" s="2595"/>
      <c r="AU132" s="2595"/>
      <c r="AV132" s="2595"/>
    </row>
    <row r="133" spans="1:48">
      <c r="C133" s="54"/>
      <c r="D133" s="54"/>
      <c r="E133" s="54"/>
      <c r="F133" s="54"/>
      <c r="G133" s="54"/>
      <c r="H133" s="54"/>
      <c r="I133" s="54"/>
      <c r="J133" s="54"/>
      <c r="K133" s="54"/>
      <c r="L133" s="54"/>
      <c r="M133" s="54"/>
      <c r="AA133" s="2595"/>
      <c r="AB133" s="2595"/>
      <c r="AC133" s="2595"/>
      <c r="AD133" s="2595"/>
      <c r="AE133" s="2595"/>
      <c r="AF133" s="2595"/>
      <c r="AG133" s="2595"/>
      <c r="AH133" s="2595"/>
      <c r="AI133" s="2595"/>
      <c r="AJ133" s="2595"/>
      <c r="AK133" s="2595"/>
      <c r="AL133" s="2595"/>
      <c r="AN133" s="2608"/>
      <c r="AO133" s="2608"/>
      <c r="AP133" s="2595"/>
      <c r="AQ133" s="2595"/>
      <c r="AR133" s="2595"/>
      <c r="AS133" s="2595"/>
      <c r="AT133" s="2595"/>
      <c r="AU133" s="2595"/>
      <c r="AV133" s="2595"/>
    </row>
    <row r="134" spans="1:48">
      <c r="A134" s="6823"/>
      <c r="B134" s="6824"/>
      <c r="C134" s="1750" t="s">
        <v>31</v>
      </c>
      <c r="D134" s="70" t="s">
        <v>5125</v>
      </c>
      <c r="AA134" s="2595"/>
      <c r="AB134" s="2595"/>
      <c r="AC134" s="2595"/>
      <c r="AD134" s="2595"/>
      <c r="AE134" s="2595"/>
      <c r="AF134" s="2595"/>
      <c r="AG134" s="2595"/>
      <c r="AH134" s="2595"/>
      <c r="AI134" s="2595"/>
      <c r="AJ134" s="2595"/>
      <c r="AK134" s="2595"/>
      <c r="AL134" s="2595"/>
      <c r="AN134" s="2608"/>
      <c r="AO134" s="2608"/>
      <c r="AP134" s="2595"/>
      <c r="AQ134" s="2595"/>
      <c r="AR134" s="2595"/>
      <c r="AS134" s="2595"/>
      <c r="AT134" s="2595"/>
      <c r="AU134" s="2595"/>
      <c r="AV134" s="2595"/>
    </row>
    <row r="135" spans="1:48">
      <c r="A135" s="5449"/>
      <c r="B135" s="5515"/>
      <c r="C135" s="1750"/>
      <c r="D135" s="70" t="s">
        <v>5126</v>
      </c>
      <c r="AA135" s="2595"/>
      <c r="AB135" s="2595"/>
      <c r="AC135" s="2595"/>
      <c r="AD135" s="2595"/>
      <c r="AE135" s="2595"/>
      <c r="AF135" s="2595"/>
      <c r="AG135" s="2595"/>
      <c r="AH135" s="2595"/>
      <c r="AI135" s="2595"/>
      <c r="AJ135" s="2595"/>
      <c r="AK135" s="2595"/>
      <c r="AL135" s="2595"/>
      <c r="AN135" s="2608"/>
      <c r="AO135" s="2608"/>
      <c r="AP135" s="2595"/>
      <c r="AQ135" s="2595"/>
      <c r="AR135" s="2595"/>
      <c r="AS135" s="2595"/>
      <c r="AT135" s="2595"/>
      <c r="AU135" s="2595"/>
      <c r="AV135" s="2595"/>
    </row>
    <row r="136" spans="1:48">
      <c r="A136" s="5449"/>
      <c r="B136" s="5515"/>
      <c r="C136" s="1750"/>
      <c r="D136" s="70" t="s">
        <v>5127</v>
      </c>
      <c r="AA136" s="2595"/>
      <c r="AB136" s="2595"/>
      <c r="AC136" s="2595"/>
      <c r="AD136" s="2595"/>
      <c r="AE136" s="2595"/>
      <c r="AF136" s="2595"/>
      <c r="AG136" s="2595"/>
      <c r="AH136" s="2595"/>
      <c r="AI136" s="2595"/>
      <c r="AJ136" s="2595"/>
      <c r="AK136" s="2595"/>
      <c r="AL136" s="2595"/>
      <c r="AN136" s="2608"/>
      <c r="AO136" s="2608"/>
      <c r="AP136" s="2595"/>
      <c r="AQ136" s="2595"/>
      <c r="AR136" s="2595"/>
      <c r="AS136" s="2595"/>
      <c r="AT136" s="2595"/>
      <c r="AU136" s="2595"/>
      <c r="AV136" s="2595"/>
    </row>
    <row r="137" spans="1:48">
      <c r="A137" s="5449"/>
      <c r="B137" s="5450"/>
      <c r="C137" s="1750"/>
      <c r="D137" s="70" t="str">
        <f>"end of "&amp;TaxYear&amp;"?"</f>
        <v>end of 2021?</v>
      </c>
      <c r="AA137" s="2595"/>
      <c r="AB137" s="2595"/>
      <c r="AC137" s="2595"/>
      <c r="AD137" s="2595"/>
      <c r="AE137" s="2595"/>
      <c r="AF137" s="2595"/>
      <c r="AG137" s="2595"/>
      <c r="AH137" s="2595"/>
      <c r="AI137" s="2595"/>
      <c r="AJ137" s="2595"/>
      <c r="AK137" s="2595"/>
      <c r="AL137" s="2595"/>
      <c r="AN137" s="2608"/>
      <c r="AO137" s="2608"/>
      <c r="AP137" s="2595"/>
      <c r="AQ137" s="2595"/>
      <c r="AR137" s="2595"/>
      <c r="AS137" s="2595"/>
      <c r="AT137" s="2595"/>
      <c r="AU137" s="2595"/>
      <c r="AV137" s="2595"/>
    </row>
    <row r="138" spans="1:48">
      <c r="AA138" s="2595"/>
      <c r="AB138" s="2595"/>
      <c r="AC138" s="2595"/>
      <c r="AD138" s="2595"/>
      <c r="AE138" s="2595"/>
      <c r="AF138" s="2595"/>
      <c r="AG138" s="2595"/>
      <c r="AH138" s="2595"/>
      <c r="AI138" s="2595"/>
      <c r="AJ138" s="2595"/>
      <c r="AK138" s="2595"/>
      <c r="AL138" s="2595"/>
      <c r="AN138" s="2608"/>
      <c r="AO138" s="2608"/>
      <c r="AP138" s="2595"/>
      <c r="AQ138" s="2595"/>
      <c r="AR138" s="2595"/>
      <c r="AS138" s="2595"/>
      <c r="AT138" s="2595"/>
      <c r="AU138" s="2595"/>
      <c r="AV138" s="2595"/>
    </row>
    <row r="139" spans="1:48">
      <c r="A139" s="1176" t="b">
        <f>AND(EIC_trigger,A131,H139="")</f>
        <v>0</v>
      </c>
      <c r="B139" s="2052" t="str">
        <f>IF(N139,"X","")</f>
        <v/>
      </c>
      <c r="D139" s="70" t="s">
        <v>2694</v>
      </c>
      <c r="H139" s="1334"/>
      <c r="J139" s="70" t="s">
        <v>5130</v>
      </c>
      <c r="M139" s="70"/>
      <c r="N139" s="1176" t="b">
        <f>AND(EIC_trigger,A131,H139="")</f>
        <v>0</v>
      </c>
      <c r="AA139" s="2595"/>
      <c r="AB139" s="2595"/>
      <c r="AC139" s="2595"/>
      <c r="AD139" s="2595"/>
      <c r="AE139" s="2595"/>
      <c r="AF139" s="2595"/>
      <c r="AG139" s="2595"/>
      <c r="AH139" s="2595"/>
      <c r="AI139" s="2595"/>
      <c r="AJ139" s="2595"/>
      <c r="AK139" s="2595"/>
      <c r="AL139" s="2595"/>
      <c r="AN139" s="2608"/>
      <c r="AO139" s="2608"/>
      <c r="AP139" s="2595"/>
      <c r="AQ139" s="2595"/>
      <c r="AR139" s="2595"/>
      <c r="AS139" s="2595"/>
      <c r="AT139" s="2595"/>
      <c r="AU139" s="2595"/>
      <c r="AV139" s="2595"/>
    </row>
    <row r="140" spans="1:48">
      <c r="B140" s="23"/>
      <c r="D140" s="70"/>
      <c r="J140" s="70" t="s">
        <v>4423</v>
      </c>
      <c r="M140" s="70"/>
      <c r="AA140" s="2595"/>
      <c r="AB140" s="2595"/>
      <c r="AC140" s="2595"/>
      <c r="AD140" s="2595"/>
      <c r="AE140" s="2595"/>
      <c r="AF140" s="2595"/>
      <c r="AG140" s="2595"/>
      <c r="AH140" s="2595"/>
      <c r="AI140" s="2595"/>
      <c r="AJ140" s="2595"/>
      <c r="AK140" s="2595"/>
      <c r="AL140" s="2595"/>
      <c r="AN140" s="2608"/>
      <c r="AO140" s="2608"/>
      <c r="AP140" s="2595"/>
      <c r="AQ140" s="2595"/>
      <c r="AR140" s="2595"/>
      <c r="AS140" s="2595"/>
      <c r="AT140" s="2595"/>
      <c r="AU140" s="2595"/>
      <c r="AV140" s="2595"/>
    </row>
    <row r="141" spans="1:48">
      <c r="C141" s="41"/>
      <c r="D141" s="41"/>
      <c r="E141" s="41"/>
      <c r="F141" s="41"/>
      <c r="G141" s="41"/>
      <c r="H141" s="41"/>
      <c r="I141" s="41"/>
      <c r="J141" s="41"/>
      <c r="K141" s="41"/>
      <c r="L141" s="41"/>
      <c r="M141" s="41"/>
      <c r="AA141" s="2595"/>
      <c r="AB141" s="2595"/>
      <c r="AC141" s="2595"/>
      <c r="AD141" s="2595"/>
      <c r="AE141" s="2595"/>
      <c r="AF141" s="2595"/>
      <c r="AG141" s="2595"/>
      <c r="AH141" s="2595"/>
      <c r="AI141" s="2595"/>
      <c r="AJ141" s="2595"/>
      <c r="AK141" s="2595"/>
      <c r="AL141" s="2595"/>
      <c r="AN141" s="2608"/>
      <c r="AO141" s="2608"/>
      <c r="AP141" s="2595"/>
      <c r="AQ141" s="2595"/>
      <c r="AR141" s="2595"/>
      <c r="AS141" s="2595"/>
      <c r="AT141" s="2595"/>
      <c r="AU141" s="2595"/>
      <c r="AV141" s="2595"/>
    </row>
    <row r="142" spans="1:48">
      <c r="C142" s="54"/>
      <c r="D142" s="54"/>
      <c r="E142" s="54"/>
      <c r="F142" s="54"/>
      <c r="G142" s="54"/>
      <c r="H142" s="54"/>
      <c r="I142" s="54"/>
      <c r="J142" s="54"/>
      <c r="K142" s="54"/>
      <c r="L142" s="54"/>
      <c r="M142" s="54"/>
      <c r="AA142" s="2595"/>
      <c r="AB142" s="2595"/>
      <c r="AC142" s="2595"/>
      <c r="AD142" s="2595"/>
      <c r="AE142" s="2595"/>
      <c r="AF142" s="2595"/>
      <c r="AG142" s="2595"/>
      <c r="AH142" s="2595"/>
      <c r="AI142" s="2595"/>
      <c r="AJ142" s="2595"/>
      <c r="AK142" s="2595"/>
      <c r="AL142" s="2595"/>
      <c r="AN142" s="2608"/>
      <c r="AO142" s="2608"/>
      <c r="AP142" s="2595"/>
      <c r="AQ142" s="2595"/>
      <c r="AR142" s="2595"/>
      <c r="AS142" s="2595"/>
      <c r="AT142" s="2595"/>
      <c r="AU142" s="2595"/>
      <c r="AV142" s="2595"/>
    </row>
    <row r="143" spans="1:48">
      <c r="A143" s="6823"/>
      <c r="B143" s="6824"/>
      <c r="C143" s="1750" t="s">
        <v>67</v>
      </c>
      <c r="D143" s="23" t="str">
        <f>"Could you be a qualifying child of another person in "&amp;TaxYear&amp;"?"</f>
        <v>Could you be a qualifying child of another person in 2021?</v>
      </c>
      <c r="AA143" s="2595"/>
      <c r="AB143" s="2595"/>
      <c r="AC143" s="2595"/>
      <c r="AD143" s="2595"/>
      <c r="AE143" s="2595"/>
      <c r="AF143" s="2595"/>
      <c r="AG143" s="2595"/>
      <c r="AH143" s="2595"/>
      <c r="AI143" s="2595"/>
      <c r="AJ143" s="2595"/>
      <c r="AK143" s="2595"/>
      <c r="AL143" s="2595"/>
      <c r="AN143" s="2608"/>
      <c r="AO143" s="2608"/>
      <c r="AP143" s="2595"/>
      <c r="AQ143" s="2595"/>
      <c r="AR143" s="2595"/>
      <c r="AS143" s="2595"/>
      <c r="AT143" s="2595"/>
      <c r="AU143" s="2595"/>
      <c r="AV143" s="2595"/>
    </row>
    <row r="144" spans="1:48">
      <c r="A144" s="6823"/>
      <c r="B144" s="6824"/>
      <c r="C144" s="1750"/>
      <c r="D144" s="70" t="s">
        <v>1357</v>
      </c>
      <c r="AA144" s="2595"/>
      <c r="AB144" s="2595"/>
      <c r="AC144" s="2595"/>
      <c r="AD144" s="2595"/>
      <c r="AE144" s="2595"/>
      <c r="AF144" s="2595"/>
      <c r="AG144" s="2595"/>
      <c r="AH144" s="2595"/>
      <c r="AI144" s="2595"/>
      <c r="AJ144" s="2595"/>
      <c r="AK144" s="2595"/>
      <c r="AL144" s="2595"/>
      <c r="AN144" s="2608"/>
      <c r="AO144" s="2608"/>
      <c r="AP144" s="2595"/>
      <c r="AQ144" s="2595"/>
      <c r="AR144" s="2595"/>
      <c r="AS144" s="2595"/>
      <c r="AT144" s="2595"/>
      <c r="AU144" s="2595"/>
      <c r="AV144" s="2595"/>
    </row>
    <row r="145" spans="1:48">
      <c r="A145" s="6823"/>
      <c r="B145" s="6824"/>
      <c r="C145" s="1750"/>
      <c r="D145" s="70" t="str">
        <f>"isn't filing, a "&amp;TaxYear&amp;" tax return or is filing a "&amp;TaxYear&amp;" return only"</f>
        <v>isn't filing, a 2021 tax return or is filing a 2021 return only</v>
      </c>
      <c r="AA145" s="2595"/>
      <c r="AB145" s="2595"/>
      <c r="AC145" s="2595"/>
      <c r="AD145" s="2595"/>
      <c r="AE145" s="2595"/>
      <c r="AF145" s="2595"/>
      <c r="AG145" s="2595"/>
      <c r="AH145" s="2595"/>
      <c r="AI145" s="2595"/>
      <c r="AJ145" s="2595"/>
      <c r="AK145" s="2595"/>
      <c r="AL145" s="2595"/>
      <c r="AN145" s="2608"/>
      <c r="AO145" s="2608"/>
      <c r="AP145" s="2595"/>
      <c r="AQ145" s="2595"/>
      <c r="AR145" s="2595"/>
      <c r="AS145" s="2595"/>
      <c r="AT145" s="2595"/>
      <c r="AU145" s="2595"/>
      <c r="AV145" s="2595"/>
    </row>
    <row r="146" spans="1:48">
      <c r="A146" s="6823"/>
      <c r="B146" s="6824"/>
      <c r="C146" s="1750"/>
      <c r="D146" s="70" t="s">
        <v>1358</v>
      </c>
      <c r="AA146" s="2595"/>
      <c r="AB146" s="2595"/>
      <c r="AC146" s="2595"/>
      <c r="AD146" s="2595"/>
      <c r="AE146" s="2595"/>
      <c r="AF146" s="2595"/>
      <c r="AG146" s="2595"/>
      <c r="AH146" s="2595"/>
      <c r="AI146" s="2595"/>
      <c r="AJ146" s="2595"/>
      <c r="AK146" s="2595"/>
      <c r="AL146" s="2595"/>
      <c r="AN146" s="2608"/>
      <c r="AO146" s="2608"/>
      <c r="AP146" s="2595"/>
      <c r="AQ146" s="2595"/>
      <c r="AR146" s="2595"/>
      <c r="AS146" s="2595"/>
      <c r="AT146" s="2595"/>
      <c r="AU146" s="2595"/>
      <c r="AV146" s="2595"/>
    </row>
    <row r="147" spans="1:48">
      <c r="A147" s="6823"/>
      <c r="B147" s="6824"/>
      <c r="C147" s="1750"/>
      <c r="D147" s="70" t="s">
        <v>1359</v>
      </c>
      <c r="AA147" s="2595"/>
      <c r="AB147" s="2595"/>
      <c r="AC147" s="2595"/>
      <c r="AD147" s="2595"/>
      <c r="AE147" s="2595"/>
      <c r="AF147" s="2595"/>
      <c r="AG147" s="2595"/>
      <c r="AH147" s="2595"/>
      <c r="AI147" s="2595"/>
      <c r="AJ147" s="2595"/>
      <c r="AK147" s="2595"/>
      <c r="AL147" s="2595"/>
      <c r="AN147" s="2608"/>
      <c r="AO147" s="2608"/>
      <c r="AP147" s="2595"/>
      <c r="AQ147" s="2595"/>
      <c r="AR147" s="2595"/>
      <c r="AS147" s="2595"/>
      <c r="AT147" s="2595"/>
      <c r="AU147" s="2595"/>
      <c r="AV147" s="2595"/>
    </row>
    <row r="148" spans="1:48">
      <c r="AA148" s="2595"/>
      <c r="AB148" s="2595"/>
      <c r="AC148" s="2595"/>
      <c r="AD148" s="2595"/>
      <c r="AE148" s="2595"/>
      <c r="AF148" s="2595"/>
      <c r="AG148" s="2595"/>
      <c r="AH148" s="2595"/>
      <c r="AI148" s="2595"/>
      <c r="AJ148" s="2595"/>
      <c r="AK148" s="2595"/>
      <c r="AL148" s="2595"/>
      <c r="AN148" s="2608"/>
      <c r="AO148" s="2608"/>
      <c r="AP148" s="2595"/>
      <c r="AQ148" s="2595"/>
      <c r="AR148" s="2595"/>
      <c r="AS148" s="2595"/>
      <c r="AT148" s="2595"/>
      <c r="AU148" s="2595"/>
      <c r="AV148" s="2595"/>
    </row>
    <row r="149" spans="1:48">
      <c r="A149" s="1176" t="b">
        <f>AND(OR(A139,N124,N131),EIC_trigger,A139,OR(DependentYOU&lt;&gt;"",DependentSPOUSE&lt;&gt;""))</f>
        <v>0</v>
      </c>
      <c r="B149" s="2053" t="str">
        <f>IF(A149,"X","")</f>
        <v/>
      </c>
      <c r="D149" s="70" t="s">
        <v>3426</v>
      </c>
      <c r="H149" s="2053" t="str">
        <f>IF(N149,"X","")</f>
        <v/>
      </c>
      <c r="J149" s="70" t="s">
        <v>2707</v>
      </c>
      <c r="N149" s="1176" t="b">
        <f>AND(OR(N124,A139,N131),EIC_trigger,B139,DependentYOU="",DependentSPOUSE="")</f>
        <v>0</v>
      </c>
      <c r="O149" s="14"/>
      <c r="AA149" s="2595"/>
      <c r="AB149" s="2595"/>
      <c r="AC149" s="2595"/>
      <c r="AD149" s="2595"/>
      <c r="AE149" s="2595"/>
      <c r="AF149" s="2595"/>
      <c r="AG149" s="2595"/>
      <c r="AH149" s="2595"/>
      <c r="AI149" s="2595"/>
      <c r="AJ149" s="2595"/>
      <c r="AK149" s="2595"/>
      <c r="AL149" s="2595"/>
      <c r="AN149" s="2608"/>
      <c r="AO149" s="2608"/>
      <c r="AP149" s="2595"/>
      <c r="AQ149" s="2595"/>
      <c r="AR149" s="2595"/>
      <c r="AS149" s="2595"/>
      <c r="AT149" s="2595"/>
      <c r="AU149" s="2595"/>
      <c r="AV149" s="2595"/>
    </row>
    <row r="150" spans="1:48">
      <c r="D150" s="70" t="s">
        <v>1282</v>
      </c>
      <c r="AA150" s="2595"/>
      <c r="AB150" s="2595"/>
      <c r="AC150" s="2595"/>
      <c r="AD150" s="2595"/>
      <c r="AE150" s="2595"/>
      <c r="AF150" s="2595"/>
      <c r="AG150" s="2595"/>
      <c r="AH150" s="2595"/>
      <c r="AI150" s="2595"/>
      <c r="AJ150" s="2595"/>
      <c r="AK150" s="2595"/>
      <c r="AL150" s="2595"/>
      <c r="AN150" s="2608"/>
      <c r="AO150" s="2608"/>
      <c r="AP150" s="2595"/>
      <c r="AQ150" s="2595"/>
      <c r="AR150" s="2595"/>
      <c r="AS150" s="2595"/>
      <c r="AT150" s="2595"/>
      <c r="AU150" s="2595"/>
      <c r="AV150" s="2595"/>
    </row>
    <row r="151" spans="1:48">
      <c r="D151" s="70" t="s">
        <v>4449</v>
      </c>
      <c r="AA151" s="2595"/>
      <c r="AB151" s="2595"/>
      <c r="AC151" s="2595"/>
      <c r="AD151" s="2595"/>
      <c r="AE151" s="2595"/>
      <c r="AF151" s="2595"/>
      <c r="AG151" s="2595"/>
      <c r="AH151" s="2595"/>
      <c r="AI151" s="2595"/>
      <c r="AJ151" s="2595"/>
      <c r="AK151" s="2595"/>
      <c r="AL151" s="2595"/>
      <c r="AN151" s="2608"/>
      <c r="AO151" s="2608"/>
      <c r="AP151" s="2595"/>
      <c r="AQ151" s="2595"/>
      <c r="AR151" s="2595"/>
      <c r="AS151" s="2595"/>
      <c r="AT151" s="2595"/>
      <c r="AU151" s="2595"/>
      <c r="AV151" s="2595"/>
    </row>
    <row r="152" spans="1:48" ht="7.5" customHeight="1">
      <c r="AA152" s="2595"/>
      <c r="AB152" s="2595"/>
      <c r="AC152" s="2595"/>
      <c r="AD152" s="2595"/>
      <c r="AE152" s="2595"/>
      <c r="AF152" s="2595"/>
      <c r="AG152" s="2595"/>
      <c r="AH152" s="2595"/>
      <c r="AI152" s="2595"/>
      <c r="AJ152" s="2595"/>
      <c r="AK152" s="2595"/>
      <c r="AL152" s="2595"/>
      <c r="AN152" s="2608"/>
      <c r="AO152" s="2608"/>
      <c r="AP152" s="2595"/>
      <c r="AQ152" s="2595"/>
      <c r="AR152" s="2595"/>
      <c r="AS152" s="2595"/>
      <c r="AT152" s="2595"/>
      <c r="AU152" s="2595"/>
      <c r="AV152" s="2595"/>
    </row>
    <row r="153" spans="1:48" s="1743" customFormat="1" ht="7.5" customHeight="1">
      <c r="B153" s="1742"/>
      <c r="N153" s="1744"/>
      <c r="AA153" s="2609"/>
      <c r="AB153" s="2609"/>
      <c r="AC153" s="2609"/>
      <c r="AD153" s="2609"/>
      <c r="AE153" s="2609"/>
      <c r="AF153" s="2609"/>
      <c r="AG153" s="2609"/>
      <c r="AH153" s="2609"/>
      <c r="AI153" s="2609"/>
      <c r="AJ153" s="2609"/>
      <c r="AK153" s="2609"/>
      <c r="AL153" s="2609"/>
      <c r="AN153" s="2610"/>
      <c r="AO153" s="2610"/>
      <c r="AP153" s="2609"/>
      <c r="AQ153" s="2609"/>
      <c r="AR153" s="2609"/>
      <c r="AS153" s="2609"/>
      <c r="AT153" s="2609"/>
      <c r="AU153" s="2609"/>
      <c r="AV153" s="2609"/>
    </row>
    <row r="154" spans="1:48" s="132" customFormat="1" ht="15.75">
      <c r="A154" s="1753" t="s">
        <v>1375</v>
      </c>
      <c r="B154" s="1754" t="s">
        <v>1379</v>
      </c>
      <c r="C154" s="1736"/>
      <c r="H154" s="1752"/>
      <c r="K154" s="5827" t="b">
        <f>AND(EIC_trigger,N112)</f>
        <v>0</v>
      </c>
      <c r="N154" s="1737"/>
      <c r="AA154" s="2606"/>
      <c r="AB154" s="2606"/>
      <c r="AC154" s="2606"/>
      <c r="AD154" s="2606"/>
      <c r="AE154" s="2606"/>
      <c r="AF154" s="2606"/>
      <c r="AG154" s="2606"/>
      <c r="AH154" s="2606"/>
      <c r="AI154" s="2606"/>
      <c r="AJ154" s="2606"/>
      <c r="AK154" s="2606"/>
      <c r="AL154" s="2606"/>
      <c r="AN154" s="2607"/>
      <c r="AO154" s="2607"/>
      <c r="AP154" s="2606"/>
      <c r="AQ154" s="2606"/>
      <c r="AR154" s="2606"/>
      <c r="AS154" s="2606"/>
      <c r="AT154" s="2606"/>
      <c r="AU154" s="2606"/>
      <c r="AV154" s="2606"/>
    </row>
    <row r="155" spans="1:48">
      <c r="A155" s="1256"/>
      <c r="C155" s="1256"/>
      <c r="AA155" s="2595"/>
      <c r="AB155" s="2595"/>
      <c r="AC155" s="2595"/>
      <c r="AD155" s="2595"/>
      <c r="AE155" s="2595"/>
      <c r="AF155" s="2595"/>
      <c r="AG155" s="2595"/>
      <c r="AH155" s="2595"/>
      <c r="AI155" s="2595"/>
      <c r="AJ155" s="2595"/>
      <c r="AK155" s="2595"/>
      <c r="AL155" s="2595"/>
      <c r="AN155" s="2608"/>
      <c r="AO155" s="2608"/>
      <c r="AP155" s="2595"/>
      <c r="AQ155" s="2595"/>
      <c r="AR155" s="2595"/>
      <c r="AS155" s="2595"/>
      <c r="AT155" s="2595"/>
      <c r="AU155" s="2595"/>
      <c r="AV155" s="2595"/>
    </row>
    <row r="156" spans="1:48">
      <c r="B156" s="5449"/>
      <c r="C156" s="1740" t="s">
        <v>294</v>
      </c>
      <c r="D156" s="23" t="s">
        <v>5121</v>
      </c>
      <c r="AA156" s="2595"/>
      <c r="AB156" s="2595"/>
      <c r="AC156" s="2595"/>
      <c r="AD156" s="2595"/>
      <c r="AE156" s="2595"/>
      <c r="AF156" s="2595"/>
      <c r="AG156" s="2595"/>
      <c r="AH156" s="2595"/>
      <c r="AI156" s="2595"/>
      <c r="AJ156" s="2595"/>
      <c r="AK156" s="2595"/>
      <c r="AL156" s="2595"/>
      <c r="AN156" s="2608"/>
      <c r="AO156" s="2608"/>
      <c r="AP156" s="2595"/>
      <c r="AQ156" s="2595"/>
      <c r="AR156" s="2595"/>
      <c r="AS156" s="2595"/>
      <c r="AT156" s="2595"/>
      <c r="AU156" s="2595"/>
      <c r="AV156" s="2595"/>
    </row>
    <row r="157" spans="1:48">
      <c r="B157" s="5449"/>
      <c r="C157" s="1740"/>
      <c r="D157" s="23" t="s">
        <v>5122</v>
      </c>
      <c r="AA157" s="2595"/>
      <c r="AB157" s="2595"/>
      <c r="AC157" s="2595"/>
      <c r="AD157" s="2595"/>
      <c r="AE157" s="2595"/>
      <c r="AF157" s="2595"/>
      <c r="AG157" s="2595"/>
      <c r="AH157" s="2595"/>
      <c r="AI157" s="2595"/>
      <c r="AJ157" s="2595"/>
      <c r="AK157" s="2595"/>
      <c r="AL157" s="2595"/>
      <c r="AN157" s="2608"/>
      <c r="AO157" s="2608"/>
      <c r="AP157" s="2595"/>
      <c r="AQ157" s="2595"/>
      <c r="AR157" s="2595"/>
      <c r="AS157" s="2595"/>
      <c r="AT157" s="2595"/>
      <c r="AU157" s="2595"/>
      <c r="AV157" s="2595"/>
    </row>
    <row r="158" spans="1:48">
      <c r="C158" s="1740"/>
      <c r="AA158" s="2595"/>
      <c r="AB158" s="2595"/>
      <c r="AC158" s="2595"/>
      <c r="AD158" s="2595"/>
      <c r="AE158" s="2595"/>
      <c r="AF158" s="2595"/>
      <c r="AG158" s="2595"/>
      <c r="AH158" s="2595"/>
      <c r="AI158" s="2595"/>
      <c r="AJ158" s="2595"/>
      <c r="AK158" s="2595"/>
      <c r="AL158" s="2595"/>
      <c r="AN158" s="2608"/>
      <c r="AO158" s="2608"/>
      <c r="AP158" s="2595"/>
      <c r="AQ158" s="2595"/>
      <c r="AR158" s="2595"/>
      <c r="AS158" s="2595"/>
      <c r="AT158" s="2595"/>
      <c r="AU158" s="2595"/>
      <c r="AV158" s="2595"/>
    </row>
    <row r="159" spans="1:48">
      <c r="A159" s="1176" t="b">
        <f>AND(K154,OR(File_Marr_Sep&lt;&gt;"",File_Head&lt;&gt;""))</f>
        <v>0</v>
      </c>
      <c r="B159" s="2053" t="str">
        <f>IF(A159,"X","")</f>
        <v/>
      </c>
      <c r="D159" s="70" t="s">
        <v>5133</v>
      </c>
      <c r="G159" s="1176" t="b">
        <f>AND(K154,File_Marr_Sep="",File_Head="")</f>
        <v>0</v>
      </c>
      <c r="H159" s="2053" t="str">
        <f>IF(G159,"X","")</f>
        <v/>
      </c>
      <c r="J159" s="70" t="s">
        <v>2697</v>
      </c>
      <c r="M159" s="2124"/>
      <c r="AA159" s="2595"/>
      <c r="AB159" s="2595"/>
      <c r="AC159" s="2595"/>
      <c r="AD159" s="2595"/>
      <c r="AE159" s="2595"/>
      <c r="AF159" s="2595"/>
      <c r="AG159" s="2595"/>
      <c r="AH159" s="2595"/>
      <c r="AI159" s="2595"/>
      <c r="AJ159" s="2595"/>
      <c r="AK159" s="2595"/>
      <c r="AL159" s="2595"/>
      <c r="AN159" s="2608"/>
      <c r="AO159" s="2608"/>
      <c r="AP159" s="2595"/>
      <c r="AQ159" s="2595"/>
      <c r="AR159" s="2595"/>
      <c r="AS159" s="2595"/>
      <c r="AT159" s="2595"/>
      <c r="AU159" s="2595"/>
      <c r="AV159" s="2595"/>
    </row>
    <row r="160" spans="1:48">
      <c r="A160" s="1256"/>
      <c r="C160" s="1256"/>
      <c r="D160" s="70" t="s">
        <v>4423</v>
      </c>
      <c r="AA160" s="2595"/>
      <c r="AB160" s="2595"/>
      <c r="AC160" s="2595"/>
      <c r="AD160" s="2595"/>
      <c r="AE160" s="2595"/>
      <c r="AF160" s="2595"/>
      <c r="AG160" s="2595"/>
      <c r="AH160" s="2595"/>
      <c r="AI160" s="2595"/>
      <c r="AJ160" s="2595"/>
      <c r="AK160" s="2595"/>
      <c r="AL160" s="2595"/>
      <c r="AN160" s="2608"/>
      <c r="AO160" s="2608"/>
      <c r="AP160" s="2595"/>
      <c r="AQ160" s="2595"/>
      <c r="AR160" s="2595"/>
      <c r="AS160" s="2595"/>
      <c r="AT160" s="2595"/>
      <c r="AU160" s="2595"/>
      <c r="AV160" s="2595"/>
    </row>
    <row r="161" spans="1:48">
      <c r="A161" s="1256"/>
      <c r="C161" s="1256"/>
      <c r="AA161" s="2595"/>
      <c r="AB161" s="2595"/>
      <c r="AC161" s="2595"/>
      <c r="AD161" s="2595"/>
      <c r="AE161" s="2595"/>
      <c r="AF161" s="2595"/>
      <c r="AG161" s="2595"/>
      <c r="AH161" s="2595"/>
      <c r="AI161" s="2595"/>
      <c r="AJ161" s="2595"/>
      <c r="AK161" s="2595"/>
      <c r="AL161" s="2595"/>
      <c r="AN161" s="2608"/>
      <c r="AO161" s="2608"/>
      <c r="AP161" s="2595"/>
      <c r="AQ161" s="2595"/>
      <c r="AR161" s="2595"/>
      <c r="AS161" s="2595"/>
      <c r="AT161" s="2595"/>
      <c r="AU161" s="2595"/>
      <c r="AV161" s="2595"/>
    </row>
    <row r="162" spans="1:48">
      <c r="B162" s="5449"/>
      <c r="C162" s="1750" t="s">
        <v>0</v>
      </c>
      <c r="D162" s="70" t="s">
        <v>1360</v>
      </c>
      <c r="K162" s="133" t="str">
        <f>IF(K154,"Your age:","")</f>
        <v/>
      </c>
      <c r="L162" s="1256" t="str">
        <f>IF(K154,YourAge,"")</f>
        <v/>
      </c>
      <c r="AA162" s="2595"/>
      <c r="AB162" s="2595"/>
      <c r="AC162" s="2595"/>
      <c r="AD162" s="2595"/>
      <c r="AE162" s="2595"/>
      <c r="AF162" s="2595"/>
      <c r="AG162" s="2595"/>
      <c r="AH162" s="2595"/>
      <c r="AI162" s="2595"/>
      <c r="AJ162" s="2595"/>
      <c r="AK162" s="2595"/>
      <c r="AL162" s="2595"/>
      <c r="AN162" s="2608"/>
      <c r="AO162" s="2608"/>
      <c r="AP162" s="2595"/>
      <c r="AQ162" s="2595"/>
      <c r="AR162" s="2595"/>
      <c r="AS162" s="2595"/>
      <c r="AT162" s="2595"/>
      <c r="AU162" s="2595"/>
      <c r="AV162" s="2595"/>
    </row>
    <row r="163" spans="1:48">
      <c r="B163" s="5449"/>
      <c r="C163" s="1740"/>
      <c r="D163" s="70" t="str">
        <f>"24 at the end of "&amp;TaxYear&amp;"? You, or your spouse if filing a joint"</f>
        <v>24 at the end of 2021? You, or your spouse if filing a joint</v>
      </c>
      <c r="K163" s="133" t="str">
        <f>IF(File_Marr_Joint&lt;&gt;"","Spouse age:","")</f>
        <v/>
      </c>
      <c r="L163" s="1256" t="str">
        <f>IF(File_Marr_Joint&lt;&gt;"",SpouseAge,"")</f>
        <v/>
      </c>
      <c r="AA163" s="2595"/>
      <c r="AB163" s="2595"/>
      <c r="AC163" s="2595"/>
      <c r="AD163" s="2595"/>
      <c r="AE163" s="2595"/>
      <c r="AF163" s="2595"/>
      <c r="AG163" s="2595"/>
      <c r="AH163" s="2595"/>
      <c r="AI163" s="2595"/>
      <c r="AJ163" s="2595"/>
      <c r="AK163" s="2595"/>
      <c r="AL163" s="2595"/>
      <c r="AN163" s="2608"/>
      <c r="AO163" s="2608"/>
      <c r="AP163" s="2595"/>
      <c r="AQ163" s="2595"/>
      <c r="AR163" s="2595"/>
      <c r="AS163" s="2595"/>
      <c r="AT163" s="2595"/>
      <c r="AU163" s="2595"/>
      <c r="AV163" s="2595"/>
    </row>
    <row r="164" spans="1:48">
      <c r="B164" s="5449"/>
      <c r="C164" s="1740"/>
      <c r="D164" s="23" t="str">
        <f>"return, were at least age 24 at the end of "&amp;TaxYear&amp;" if you, or"</f>
        <v>return, were at least age 24 at the end of 2021 if you, or</v>
      </c>
      <c r="AA164" s="2595"/>
      <c r="AB164" s="2595"/>
      <c r="AC164" s="2595"/>
      <c r="AD164" s="2595"/>
      <c r="AE164" s="2595"/>
      <c r="AF164" s="2595"/>
      <c r="AG164" s="2595"/>
      <c r="AH164" s="2595"/>
      <c r="AI164" s="2595"/>
      <c r="AJ164" s="2595"/>
      <c r="AK164" s="2595"/>
      <c r="AL164" s="2595"/>
      <c r="AN164" s="2608"/>
      <c r="AO164" s="2608"/>
      <c r="AP164" s="2595"/>
      <c r="AQ164" s="2595"/>
      <c r="AR164" s="2595"/>
      <c r="AS164" s="2595"/>
      <c r="AT164" s="2595"/>
      <c r="AU164" s="2595"/>
      <c r="AV164" s="2595"/>
    </row>
    <row r="165" spans="1:48">
      <c r="B165" s="5449"/>
      <c r="C165" s="1740"/>
      <c r="D165" s="23" t="s">
        <v>5134</v>
      </c>
      <c r="AA165" s="2595"/>
      <c r="AB165" s="2595"/>
      <c r="AC165" s="2595"/>
      <c r="AD165" s="2595"/>
      <c r="AE165" s="2595"/>
      <c r="AF165" s="2595"/>
      <c r="AG165" s="2595"/>
      <c r="AH165" s="2595"/>
      <c r="AI165" s="2595"/>
      <c r="AJ165" s="2595"/>
      <c r="AK165" s="2595"/>
      <c r="AL165" s="2595"/>
      <c r="AN165" s="2608"/>
      <c r="AO165" s="2608"/>
      <c r="AP165" s="2595"/>
      <c r="AQ165" s="2595"/>
      <c r="AR165" s="2595"/>
      <c r="AS165" s="2595"/>
      <c r="AT165" s="2595"/>
      <c r="AU165" s="2595"/>
      <c r="AV165" s="2595"/>
    </row>
    <row r="166" spans="1:48">
      <c r="B166" s="5449"/>
      <c r="C166" s="1740"/>
      <c r="D166" s="70" t="str">
        <f>"2, 1998. If your spouse died in "&amp;TaxYear&amp;" or you are preparing a"</f>
        <v>2, 1998. If your spouse died in 2021 or you are preparing a</v>
      </c>
      <c r="AA166" s="2595"/>
      <c r="AB166" s="2595"/>
      <c r="AC166" s="2595"/>
      <c r="AD166" s="2595"/>
      <c r="AE166" s="2595"/>
      <c r="AF166" s="2595"/>
      <c r="AG166" s="2595"/>
      <c r="AH166" s="2595"/>
      <c r="AI166" s="2595"/>
      <c r="AJ166" s="2595"/>
      <c r="AK166" s="2595"/>
      <c r="AL166" s="2595"/>
      <c r="AN166" s="2608"/>
      <c r="AO166" s="2608"/>
      <c r="AP166" s="2595"/>
      <c r="AQ166" s="2595"/>
      <c r="AR166" s="2595"/>
      <c r="AS166" s="2595"/>
      <c r="AT166" s="2595"/>
      <c r="AU166" s="2595"/>
      <c r="AV166" s="2595"/>
    </row>
    <row r="167" spans="1:48">
      <c r="B167" s="5449"/>
      <c r="C167" s="1740"/>
      <c r="D167" s="70" t="str">
        <f>"return for someone who died in "&amp;TaxYear&amp;", see Pub. 596 before"</f>
        <v>return for someone who died in 2021, see Pub. 596 before</v>
      </c>
      <c r="AA167" s="2595"/>
      <c r="AB167" s="2595"/>
      <c r="AC167" s="2595"/>
      <c r="AD167" s="2595"/>
      <c r="AE167" s="2595"/>
      <c r="AF167" s="2595"/>
      <c r="AG167" s="2595"/>
      <c r="AH167" s="2595"/>
      <c r="AI167" s="2595"/>
      <c r="AJ167" s="2595"/>
      <c r="AK167" s="2595"/>
      <c r="AL167" s="2595"/>
      <c r="AN167" s="2608"/>
      <c r="AO167" s="2608"/>
      <c r="AP167" s="2595"/>
      <c r="AQ167" s="2595"/>
      <c r="AR167" s="2595"/>
      <c r="AS167" s="2595"/>
      <c r="AT167" s="2595"/>
      <c r="AU167" s="2595"/>
      <c r="AV167" s="2595"/>
    </row>
    <row r="168" spans="1:48">
      <c r="B168" s="5449"/>
      <c r="C168" s="1740"/>
      <c r="D168" s="70" t="s">
        <v>5135</v>
      </c>
      <c r="AA168" s="2595"/>
      <c r="AB168" s="2595"/>
      <c r="AC168" s="2595"/>
      <c r="AD168" s="2595"/>
      <c r="AE168" s="2595"/>
      <c r="AF168" s="2595"/>
      <c r="AG168" s="2595"/>
      <c r="AH168" s="2595"/>
      <c r="AI168" s="2595"/>
      <c r="AJ168" s="2595"/>
      <c r="AK168" s="2595"/>
      <c r="AL168" s="2595"/>
      <c r="AN168" s="2608"/>
      <c r="AO168" s="2608"/>
      <c r="AP168" s="2595"/>
      <c r="AQ168" s="2595"/>
      <c r="AR168" s="2595"/>
      <c r="AS168" s="2595"/>
      <c r="AT168" s="2595"/>
      <c r="AU168" s="2595"/>
      <c r="AV168" s="2595"/>
    </row>
    <row r="169" spans="1:48">
      <c r="C169" s="1740"/>
      <c r="AA169" s="2595"/>
      <c r="AB169" s="2595"/>
      <c r="AC169" s="2595"/>
      <c r="AD169" s="2595"/>
      <c r="AE169" s="2595"/>
      <c r="AF169" s="2595"/>
      <c r="AG169" s="2595"/>
      <c r="AH169" s="2595"/>
      <c r="AI169" s="2595"/>
      <c r="AJ169" s="2595"/>
      <c r="AK169" s="2595"/>
      <c r="AL169" s="2595"/>
      <c r="AN169" s="2608"/>
      <c r="AO169" s="2608"/>
      <c r="AP169" s="2595"/>
      <c r="AQ169" s="2595"/>
      <c r="AR169" s="2595"/>
      <c r="AS169" s="2595"/>
      <c r="AT169" s="2595"/>
      <c r="AU169" s="2595"/>
      <c r="AV169" s="2595"/>
    </row>
    <row r="170" spans="1:48">
      <c r="A170" s="1176" t="b">
        <f>OR(AND(File_Marr_Joint&lt;&gt;"",OR(YourAge&gt;=24,SpouseAge&gt;=24),K154,G159),AND(File_Marr_Joint="",YourAge&gt;=24,K154,G159))</f>
        <v>0</v>
      </c>
      <c r="B170" s="2053" t="str">
        <f>IF(A170,"X","")</f>
        <v/>
      </c>
      <c r="D170" s="70" t="s">
        <v>5613</v>
      </c>
      <c r="H170" s="2053" t="str">
        <f>IF(N170,"X","")</f>
        <v/>
      </c>
      <c r="J170" s="70" t="s">
        <v>2697</v>
      </c>
      <c r="M170" s="2124"/>
      <c r="N170" s="1176" t="b">
        <f>AND(NOT(A170),K154,G159)</f>
        <v>0</v>
      </c>
      <c r="Q170" s="2124"/>
      <c r="AA170" s="2595"/>
      <c r="AB170" s="2595"/>
      <c r="AC170" s="2595"/>
      <c r="AD170" s="2595"/>
      <c r="AE170" s="2595"/>
      <c r="AF170" s="2595"/>
      <c r="AG170" s="2595"/>
      <c r="AH170" s="2595"/>
      <c r="AI170" s="2595"/>
      <c r="AJ170" s="2595"/>
      <c r="AK170" s="2595"/>
      <c r="AL170" s="2595"/>
      <c r="AN170" s="2608"/>
      <c r="AO170" s="2608"/>
      <c r="AP170" s="2595"/>
      <c r="AQ170" s="2595"/>
      <c r="AR170" s="2595"/>
      <c r="AS170" s="2595"/>
      <c r="AT170" s="2595"/>
      <c r="AU170" s="2595"/>
      <c r="AV170" s="2595"/>
    </row>
    <row r="171" spans="1:48">
      <c r="A171" s="1256"/>
      <c r="C171" s="1256"/>
      <c r="D171" s="70" t="s">
        <v>5641</v>
      </c>
      <c r="AA171" s="2595"/>
      <c r="AB171" s="2595"/>
      <c r="AC171" s="2595"/>
      <c r="AD171" s="2595"/>
      <c r="AE171" s="2595"/>
      <c r="AF171" s="2595"/>
      <c r="AG171" s="2595"/>
      <c r="AH171" s="2595"/>
      <c r="AI171" s="2595"/>
      <c r="AJ171" s="2595"/>
      <c r="AK171" s="2595"/>
      <c r="AL171" s="2595"/>
      <c r="AN171" s="2608"/>
      <c r="AO171" s="2608"/>
      <c r="AP171" s="2595"/>
      <c r="AQ171" s="2595"/>
      <c r="AR171" s="2595"/>
      <c r="AS171" s="2595"/>
      <c r="AT171" s="2595"/>
      <c r="AU171" s="2595"/>
      <c r="AV171" s="2595"/>
    </row>
    <row r="172" spans="1:48" s="50" customFormat="1">
      <c r="A172" s="1256"/>
      <c r="B172" s="1256"/>
      <c r="C172" s="1256"/>
      <c r="D172" s="49"/>
      <c r="N172" s="5823"/>
      <c r="AA172" s="2781"/>
      <c r="AB172" s="2781"/>
      <c r="AC172" s="2781"/>
      <c r="AD172" s="2781"/>
      <c r="AE172" s="2781"/>
      <c r="AF172" s="2781"/>
      <c r="AG172" s="2781"/>
      <c r="AH172" s="2781"/>
      <c r="AI172" s="2781"/>
      <c r="AJ172" s="2781"/>
      <c r="AK172" s="2781"/>
      <c r="AL172" s="2781"/>
      <c r="AN172" s="5824"/>
      <c r="AO172" s="5824"/>
      <c r="AP172" s="2781"/>
      <c r="AQ172" s="2781"/>
      <c r="AR172" s="2781"/>
      <c r="AS172" s="2781"/>
      <c r="AT172" s="2781"/>
      <c r="AU172" s="2781"/>
      <c r="AV172" s="2781"/>
    </row>
    <row r="173" spans="1:48">
      <c r="A173" s="1256"/>
      <c r="C173" s="5826"/>
      <c r="D173" s="4348"/>
      <c r="E173" s="54"/>
      <c r="F173" s="54"/>
      <c r="G173" s="54"/>
      <c r="H173" s="54"/>
      <c r="I173" s="54"/>
      <c r="J173" s="54"/>
      <c r="K173" s="54"/>
      <c r="AA173" s="2595"/>
      <c r="AB173" s="2595"/>
      <c r="AC173" s="2595"/>
      <c r="AD173" s="2595"/>
      <c r="AE173" s="2595"/>
      <c r="AF173" s="2595"/>
      <c r="AG173" s="2595"/>
      <c r="AH173" s="2595"/>
      <c r="AI173" s="2595"/>
      <c r="AJ173" s="2595"/>
      <c r="AK173" s="2595"/>
      <c r="AL173" s="2595"/>
      <c r="AN173" s="2608"/>
      <c r="AO173" s="2608"/>
      <c r="AP173" s="2595"/>
      <c r="AQ173" s="2595"/>
      <c r="AR173" s="2595"/>
      <c r="AS173" s="2595"/>
      <c r="AT173" s="2595"/>
      <c r="AU173" s="2595"/>
      <c r="AV173" s="2595"/>
    </row>
    <row r="174" spans="1:48">
      <c r="B174" s="5449"/>
      <c r="C174" s="1750" t="s">
        <v>1</v>
      </c>
      <c r="D174" s="70" t="s">
        <v>1360</v>
      </c>
      <c r="AA174" s="2595"/>
      <c r="AB174" s="2595"/>
      <c r="AC174" s="2595"/>
      <c r="AD174" s="2595"/>
      <c r="AE174" s="2595"/>
      <c r="AF174" s="2595"/>
      <c r="AG174" s="2595"/>
      <c r="AH174" s="2595"/>
      <c r="AI174" s="2595"/>
      <c r="AJ174" s="2595"/>
      <c r="AK174" s="2595"/>
      <c r="AL174" s="2595"/>
      <c r="AN174" s="2608"/>
      <c r="AO174" s="2608"/>
      <c r="AP174" s="2595"/>
      <c r="AQ174" s="2595"/>
      <c r="AR174" s="2595"/>
      <c r="AS174" s="2595"/>
      <c r="AT174" s="2595"/>
      <c r="AU174" s="2595"/>
      <c r="AV174" s="2595"/>
    </row>
    <row r="175" spans="1:48">
      <c r="B175" s="5449"/>
      <c r="C175" s="1740"/>
      <c r="D175" s="70" t="str">
        <f>"19 at the end of "&amp;TaxYear</f>
        <v>19 at the end of 2021</v>
      </c>
      <c r="F175" s="70" t="s">
        <v>5614</v>
      </c>
      <c r="G175" s="23" t="str">
        <f>"specified student in "&amp;TaxYear&amp;"?"</f>
        <v>specified student in 2021?</v>
      </c>
      <c r="AA175" s="2595"/>
      <c r="AB175" s="2595"/>
      <c r="AC175" s="2595"/>
      <c r="AD175" s="2595"/>
      <c r="AE175" s="2595"/>
      <c r="AF175" s="2595"/>
      <c r="AG175" s="2595"/>
      <c r="AH175" s="2595"/>
      <c r="AI175" s="2595"/>
      <c r="AJ175" s="2595"/>
      <c r="AK175" s="2595"/>
      <c r="AL175" s="2595"/>
      <c r="AN175" s="2608"/>
      <c r="AO175" s="2608"/>
      <c r="AP175" s="2595"/>
      <c r="AQ175" s="2595"/>
      <c r="AR175" s="2595"/>
      <c r="AS175" s="2595"/>
      <c r="AT175" s="2595"/>
      <c r="AU175" s="2595"/>
      <c r="AV175" s="2595"/>
    </row>
    <row r="176" spans="1:48">
      <c r="B176" s="5449"/>
      <c r="C176" s="1740"/>
      <c r="D176" s="70" t="s">
        <v>5615</v>
      </c>
      <c r="AA176" s="2595"/>
      <c r="AB176" s="2595"/>
      <c r="AC176" s="2595"/>
      <c r="AD176" s="2595"/>
      <c r="AE176" s="2595"/>
      <c r="AF176" s="2595"/>
      <c r="AG176" s="2595"/>
      <c r="AH176" s="2595"/>
      <c r="AI176" s="2595"/>
      <c r="AJ176" s="2595"/>
      <c r="AK176" s="2595"/>
      <c r="AL176" s="2595"/>
      <c r="AN176" s="2608"/>
      <c r="AO176" s="2608"/>
      <c r="AP176" s="2595"/>
      <c r="AQ176" s="2595"/>
      <c r="AR176" s="2595"/>
      <c r="AS176" s="2595"/>
      <c r="AT176" s="2595"/>
      <c r="AU176" s="2595"/>
      <c r="AV176" s="2595"/>
    </row>
    <row r="177" spans="1:48">
      <c r="B177" s="5449"/>
      <c r="C177" s="1740"/>
      <c r="D177" s="23" t="s">
        <v>5616</v>
      </c>
      <c r="AA177" s="2595"/>
      <c r="AB177" s="2595"/>
      <c r="AC177" s="2595"/>
      <c r="AD177" s="2595"/>
      <c r="AE177" s="2595"/>
      <c r="AF177" s="2595"/>
      <c r="AG177" s="2595"/>
      <c r="AH177" s="2595"/>
      <c r="AI177" s="2595"/>
      <c r="AJ177" s="2595"/>
      <c r="AK177" s="2595"/>
      <c r="AL177" s="2595"/>
      <c r="AN177" s="2608"/>
      <c r="AO177" s="2608"/>
      <c r="AP177" s="2595"/>
      <c r="AQ177" s="2595"/>
      <c r="AR177" s="2595"/>
      <c r="AS177" s="2595"/>
      <c r="AT177" s="2595"/>
      <c r="AU177" s="2595"/>
      <c r="AV177" s="2595"/>
    </row>
    <row r="178" spans="1:48">
      <c r="B178" s="5449"/>
      <c r="C178" s="1740"/>
      <c r="D178" s="70" t="str">
        <f>"the end of "&amp;TaxYear&amp;" if you, or your spouse if filing a joint return,"</f>
        <v>the end of 2021 if you, or your spouse if filing a joint return,</v>
      </c>
      <c r="AA178" s="2595"/>
      <c r="AB178" s="2595"/>
      <c r="AC178" s="2595"/>
      <c r="AD178" s="2595"/>
      <c r="AE178" s="2595"/>
      <c r="AF178" s="2595"/>
      <c r="AG178" s="2595"/>
      <c r="AH178" s="2595"/>
      <c r="AI178" s="2595"/>
      <c r="AJ178" s="2595"/>
      <c r="AK178" s="2595"/>
      <c r="AL178" s="2595"/>
      <c r="AN178" s="2608"/>
      <c r="AO178" s="2608"/>
      <c r="AP178" s="2595"/>
      <c r="AQ178" s="2595"/>
      <c r="AR178" s="2595"/>
      <c r="AS178" s="2595"/>
      <c r="AT178" s="2595"/>
      <c r="AU178" s="2595"/>
      <c r="AV178" s="2595"/>
    </row>
    <row r="179" spans="1:48">
      <c r="B179" s="5449"/>
      <c r="C179" s="1740"/>
      <c r="D179" s="70" t="s">
        <v>5617</v>
      </c>
      <c r="AA179" s="2595"/>
      <c r="AB179" s="2595"/>
      <c r="AC179" s="2595"/>
      <c r="AD179" s="2595"/>
      <c r="AE179" s="2595"/>
      <c r="AF179" s="2595"/>
      <c r="AG179" s="2595"/>
      <c r="AH179" s="2595"/>
      <c r="AI179" s="2595"/>
      <c r="AJ179" s="2595"/>
      <c r="AK179" s="2595"/>
      <c r="AL179" s="2595"/>
      <c r="AN179" s="2608"/>
      <c r="AO179" s="2608"/>
      <c r="AP179" s="2595"/>
      <c r="AQ179" s="2595"/>
      <c r="AR179" s="2595"/>
      <c r="AS179" s="2595"/>
      <c r="AT179" s="2595"/>
      <c r="AU179" s="2595"/>
      <c r="AV179" s="2595"/>
    </row>
    <row r="180" spans="1:48">
      <c r="B180" s="5449"/>
      <c r="C180" s="1740"/>
      <c r="D180" s="70" t="str">
        <f>TaxYear&amp;" or you are preparing a return for someone who died in"</f>
        <v>2021 or you are preparing a return for someone who died in</v>
      </c>
      <c r="AA180" s="2595"/>
      <c r="AB180" s="2595"/>
      <c r="AC180" s="2595"/>
      <c r="AD180" s="2595"/>
      <c r="AE180" s="2595"/>
      <c r="AF180" s="2595"/>
      <c r="AG180" s="2595"/>
      <c r="AH180" s="2595"/>
      <c r="AI180" s="2595"/>
      <c r="AJ180" s="2595"/>
      <c r="AK180" s="2595"/>
      <c r="AL180" s="2595"/>
      <c r="AN180" s="2608"/>
      <c r="AO180" s="2608"/>
      <c r="AP180" s="2595"/>
      <c r="AQ180" s="2595"/>
      <c r="AR180" s="2595"/>
      <c r="AS180" s="2595"/>
      <c r="AT180" s="2595"/>
      <c r="AU180" s="2595"/>
      <c r="AV180" s="2595"/>
    </row>
    <row r="181" spans="1:48">
      <c r="B181" s="5449"/>
      <c r="C181" s="1740"/>
      <c r="D181" s="70" t="str">
        <f>TaxYear&amp;", see Pub. 596 before you answer."</f>
        <v>2021, see Pub. 596 before you answer.</v>
      </c>
      <c r="AA181" s="2595"/>
      <c r="AB181" s="2595"/>
      <c r="AC181" s="2595"/>
      <c r="AD181" s="2595"/>
      <c r="AE181" s="2595"/>
      <c r="AF181" s="2595"/>
      <c r="AG181" s="2595"/>
      <c r="AH181" s="2595"/>
      <c r="AI181" s="2595"/>
      <c r="AJ181" s="2595"/>
      <c r="AK181" s="2595"/>
      <c r="AL181" s="2595"/>
      <c r="AN181" s="2608"/>
      <c r="AO181" s="2608"/>
      <c r="AP181" s="2595"/>
      <c r="AQ181" s="2595"/>
      <c r="AR181" s="2595"/>
      <c r="AS181" s="2595"/>
      <c r="AT181" s="2595"/>
      <c r="AU181" s="2595"/>
      <c r="AV181" s="2595"/>
    </row>
    <row r="182" spans="1:48">
      <c r="C182" s="1740"/>
      <c r="AA182" s="2595"/>
      <c r="AB182" s="2595"/>
      <c r="AC182" s="2595"/>
      <c r="AD182" s="2595"/>
      <c r="AE182" s="2595"/>
      <c r="AF182" s="2595"/>
      <c r="AG182" s="2595"/>
      <c r="AH182" s="2595"/>
      <c r="AI182" s="2595"/>
      <c r="AJ182" s="2595"/>
      <c r="AK182" s="2595"/>
      <c r="AL182" s="2595"/>
      <c r="AN182" s="2608"/>
      <c r="AO182" s="2608"/>
      <c r="AP182" s="2595"/>
      <c r="AQ182" s="2595"/>
      <c r="AR182" s="2595"/>
      <c r="AS182" s="2595"/>
      <c r="AT182" s="2595"/>
      <c r="AU182" s="2595"/>
      <c r="AV182" s="2595"/>
    </row>
    <row r="183" spans="1:48">
      <c r="A183" s="1176" t="b">
        <f>AND(N170,H183="")</f>
        <v>0</v>
      </c>
      <c r="B183" s="2052" t="str">
        <f>IF(AND(N170,A183),"X","")</f>
        <v/>
      </c>
      <c r="D183" s="70" t="s">
        <v>5618</v>
      </c>
      <c r="G183" s="1176" t="b">
        <f>AND(N170,NOT(A183))</f>
        <v>0</v>
      </c>
      <c r="H183" s="1334"/>
      <c r="J183" s="70" t="s">
        <v>2697</v>
      </c>
      <c r="M183" s="2124"/>
      <c r="AA183" s="2595"/>
      <c r="AB183" s="2595"/>
      <c r="AC183" s="2595"/>
      <c r="AD183" s="2595"/>
      <c r="AE183" s="2595"/>
      <c r="AF183" s="2595"/>
      <c r="AG183" s="2595"/>
      <c r="AH183" s="2595"/>
      <c r="AI183" s="2595"/>
      <c r="AJ183" s="2595"/>
      <c r="AK183" s="2595"/>
      <c r="AL183" s="2595"/>
      <c r="AN183" s="2608"/>
      <c r="AO183" s="2608"/>
      <c r="AP183" s="2595"/>
      <c r="AQ183" s="2595"/>
      <c r="AR183" s="2595"/>
      <c r="AS183" s="2595"/>
      <c r="AT183" s="2595"/>
      <c r="AU183" s="2595"/>
      <c r="AV183" s="2595"/>
    </row>
    <row r="184" spans="1:48">
      <c r="A184" s="1256"/>
      <c r="C184" s="1256"/>
      <c r="D184" s="70" t="s">
        <v>5642</v>
      </c>
      <c r="AA184" s="2595"/>
      <c r="AB184" s="2595"/>
      <c r="AC184" s="2595"/>
      <c r="AD184" s="2595"/>
      <c r="AE184" s="2595"/>
      <c r="AF184" s="2595"/>
      <c r="AG184" s="2595"/>
      <c r="AH184" s="2595"/>
      <c r="AI184" s="2595"/>
      <c r="AJ184" s="2595"/>
      <c r="AK184" s="2595"/>
      <c r="AL184" s="2595"/>
      <c r="AN184" s="2608"/>
      <c r="AO184" s="2608"/>
      <c r="AP184" s="2595"/>
      <c r="AQ184" s="2595"/>
      <c r="AR184" s="2595"/>
      <c r="AS184" s="2595"/>
      <c r="AT184" s="2595"/>
      <c r="AU184" s="2595"/>
      <c r="AV184" s="2595"/>
    </row>
    <row r="185" spans="1:48">
      <c r="A185" s="1256"/>
      <c r="C185" s="1256"/>
      <c r="D185" s="70"/>
      <c r="AA185" s="2595"/>
      <c r="AB185" s="2595"/>
      <c r="AC185" s="2595"/>
      <c r="AD185" s="2595"/>
      <c r="AE185" s="2595"/>
      <c r="AF185" s="2595"/>
      <c r="AG185" s="2595"/>
      <c r="AH185" s="2595"/>
      <c r="AI185" s="2595"/>
      <c r="AJ185" s="2595"/>
      <c r="AK185" s="2595"/>
      <c r="AL185" s="2595"/>
      <c r="AN185" s="2608"/>
      <c r="AO185" s="2608"/>
      <c r="AP185" s="2595"/>
      <c r="AQ185" s="2595"/>
      <c r="AR185" s="2595"/>
      <c r="AS185" s="2595"/>
      <c r="AT185" s="2595"/>
      <c r="AU185" s="2595"/>
      <c r="AV185" s="2595"/>
    </row>
    <row r="186" spans="1:48">
      <c r="A186" s="1256"/>
      <c r="C186" s="5826"/>
      <c r="D186" s="4348"/>
      <c r="E186" s="54"/>
      <c r="F186" s="54"/>
      <c r="G186" s="54"/>
      <c r="H186" s="54"/>
      <c r="I186" s="54"/>
      <c r="J186" s="54"/>
      <c r="K186" s="54"/>
      <c r="AA186" s="2595"/>
      <c r="AB186" s="2595"/>
      <c r="AC186" s="2595"/>
      <c r="AD186" s="2595"/>
      <c r="AE186" s="2595"/>
      <c r="AF186" s="2595"/>
      <c r="AG186" s="2595"/>
      <c r="AH186" s="2595"/>
      <c r="AI186" s="2595"/>
      <c r="AJ186" s="2595"/>
      <c r="AK186" s="2595"/>
      <c r="AL186" s="2595"/>
      <c r="AN186" s="2608"/>
      <c r="AO186" s="2608"/>
      <c r="AP186" s="2595"/>
      <c r="AQ186" s="2595"/>
      <c r="AR186" s="2595"/>
      <c r="AS186" s="2595"/>
      <c r="AT186" s="2595"/>
      <c r="AU186" s="2595"/>
      <c r="AV186" s="2595"/>
    </row>
    <row r="187" spans="1:48">
      <c r="B187" s="5449"/>
      <c r="C187" s="1750" t="s">
        <v>399</v>
      </c>
      <c r="D187" s="70" t="s">
        <v>5619</v>
      </c>
      <c r="AA187" s="2595"/>
      <c r="AB187" s="2595"/>
      <c r="AC187" s="2595"/>
      <c r="AD187" s="2595"/>
      <c r="AE187" s="2595"/>
      <c r="AF187" s="2595"/>
      <c r="AG187" s="2595"/>
      <c r="AH187" s="2595"/>
      <c r="AI187" s="2595"/>
      <c r="AJ187" s="2595"/>
      <c r="AK187" s="2595"/>
      <c r="AL187" s="2595"/>
      <c r="AN187" s="2608"/>
      <c r="AO187" s="2608"/>
      <c r="AP187" s="2595"/>
      <c r="AQ187" s="2595"/>
      <c r="AR187" s="2595"/>
      <c r="AS187" s="2595"/>
      <c r="AT187" s="2595"/>
      <c r="AU187" s="2595"/>
      <c r="AV187" s="2595"/>
    </row>
    <row r="188" spans="1:48">
      <c r="B188" s="5449"/>
      <c r="C188" s="1740"/>
      <c r="D188" s="70" t="s">
        <v>5620</v>
      </c>
      <c r="F188" s="70"/>
      <c r="AA188" s="2595"/>
      <c r="AB188" s="2595"/>
      <c r="AC188" s="2595"/>
      <c r="AD188" s="2595"/>
      <c r="AE188" s="2595"/>
      <c r="AF188" s="2595"/>
      <c r="AG188" s="2595"/>
      <c r="AH188" s="2595"/>
      <c r="AI188" s="2595"/>
      <c r="AJ188" s="2595"/>
      <c r="AK188" s="2595"/>
      <c r="AL188" s="2595"/>
      <c r="AN188" s="2608"/>
      <c r="AO188" s="2608"/>
      <c r="AP188" s="2595"/>
      <c r="AQ188" s="2595"/>
      <c r="AR188" s="2595"/>
      <c r="AS188" s="2595"/>
      <c r="AT188" s="2595"/>
      <c r="AU188" s="2595"/>
      <c r="AV188" s="2595"/>
    </row>
    <row r="189" spans="1:48">
      <c r="B189" s="5449"/>
      <c r="C189" s="1740"/>
      <c r="D189" s="70" t="str">
        <f>"least age 18 at the end of "&amp;TaxYear&amp;"? See Qualified former foster"</f>
        <v>least age 18 at the end of 2021? See Qualified former foster</v>
      </c>
      <c r="AA189" s="2595"/>
      <c r="AB189" s="2595"/>
      <c r="AC189" s="2595"/>
      <c r="AD189" s="2595"/>
      <c r="AE189" s="2595"/>
      <c r="AF189" s="2595"/>
      <c r="AG189" s="2595"/>
      <c r="AH189" s="2595"/>
      <c r="AI189" s="2595"/>
      <c r="AJ189" s="2595"/>
      <c r="AK189" s="2595"/>
      <c r="AL189" s="2595"/>
      <c r="AN189" s="2608"/>
      <c r="AO189" s="2608"/>
      <c r="AP189" s="2595"/>
      <c r="AQ189" s="2595"/>
      <c r="AR189" s="2595"/>
      <c r="AS189" s="2595"/>
      <c r="AT189" s="2595"/>
      <c r="AU189" s="2595"/>
      <c r="AV189" s="2595"/>
    </row>
    <row r="190" spans="1:48">
      <c r="B190" s="5449"/>
      <c r="C190" s="1740"/>
      <c r="D190" s="23" t="s">
        <v>5621</v>
      </c>
      <c r="AA190" s="2595"/>
      <c r="AB190" s="2595"/>
      <c r="AC190" s="2595"/>
      <c r="AD190" s="2595"/>
      <c r="AE190" s="2595"/>
      <c r="AF190" s="2595"/>
      <c r="AG190" s="2595"/>
      <c r="AH190" s="2595"/>
      <c r="AI190" s="2595"/>
      <c r="AJ190" s="2595"/>
      <c r="AK190" s="2595"/>
      <c r="AL190" s="2595"/>
      <c r="AN190" s="2608"/>
      <c r="AO190" s="2608"/>
      <c r="AP190" s="2595"/>
      <c r="AQ190" s="2595"/>
      <c r="AR190" s="2595"/>
      <c r="AS190" s="2595"/>
      <c r="AT190" s="2595"/>
      <c r="AU190" s="2595"/>
      <c r="AV190" s="2595"/>
    </row>
    <row r="191" spans="1:48">
      <c r="B191" s="5449"/>
      <c r="C191" s="1740"/>
      <c r="D191" s="70" t="s">
        <v>5622</v>
      </c>
      <c r="AA191" s="2595"/>
      <c r="AB191" s="2595"/>
      <c r="AC191" s="2595"/>
      <c r="AD191" s="2595"/>
      <c r="AE191" s="2595"/>
      <c r="AF191" s="2595"/>
      <c r="AG191" s="2595"/>
      <c r="AH191" s="2595"/>
      <c r="AI191" s="2595"/>
      <c r="AJ191" s="2595"/>
      <c r="AK191" s="2595"/>
      <c r="AL191" s="2595"/>
      <c r="AN191" s="2608"/>
      <c r="AO191" s="2608"/>
      <c r="AP191" s="2595"/>
      <c r="AQ191" s="2595"/>
      <c r="AR191" s="2595"/>
      <c r="AS191" s="2595"/>
      <c r="AT191" s="2595"/>
      <c r="AU191" s="2595"/>
      <c r="AV191" s="2595"/>
    </row>
    <row r="192" spans="1:48">
      <c r="B192" s="5449"/>
      <c r="C192" s="1740"/>
      <c r="D192" s="70" t="str">
        <f>"least age 18 at the end of "&amp;TaxYear&amp;" if you, or your spouse if"</f>
        <v>least age 18 at the end of 2021 if you, or your spouse if</v>
      </c>
      <c r="AA192" s="2595"/>
      <c r="AB192" s="2595"/>
      <c r="AC192" s="2595"/>
      <c r="AD192" s="2595"/>
      <c r="AE192" s="2595"/>
      <c r="AF192" s="2595"/>
      <c r="AG192" s="2595"/>
      <c r="AH192" s="2595"/>
      <c r="AI192" s="2595"/>
      <c r="AJ192" s="2595"/>
      <c r="AK192" s="2595"/>
      <c r="AL192" s="2595"/>
      <c r="AN192" s="2608"/>
      <c r="AO192" s="2608"/>
      <c r="AP192" s="2595"/>
      <c r="AQ192" s="2595"/>
      <c r="AR192" s="2595"/>
      <c r="AS192" s="2595"/>
      <c r="AT192" s="2595"/>
      <c r="AU192" s="2595"/>
      <c r="AV192" s="2595"/>
    </row>
    <row r="193" spans="1:48">
      <c r="B193" s="5449"/>
      <c r="C193" s="1740"/>
      <c r="D193" s="70" t="s">
        <v>5623</v>
      </c>
      <c r="AA193" s="2595"/>
      <c r="AB193" s="2595"/>
      <c r="AC193" s="2595"/>
      <c r="AD193" s="2595"/>
      <c r="AE193" s="2595"/>
      <c r="AF193" s="2595"/>
      <c r="AG193" s="2595"/>
      <c r="AH193" s="2595"/>
      <c r="AI193" s="2595"/>
      <c r="AJ193" s="2595"/>
      <c r="AK193" s="2595"/>
      <c r="AL193" s="2595"/>
      <c r="AN193" s="2608"/>
      <c r="AO193" s="2608"/>
      <c r="AP193" s="2595"/>
      <c r="AQ193" s="2595"/>
      <c r="AR193" s="2595"/>
      <c r="AS193" s="2595"/>
      <c r="AT193" s="2595"/>
      <c r="AU193" s="2595"/>
      <c r="AV193" s="2595"/>
    </row>
    <row r="194" spans="1:48">
      <c r="B194" s="5449"/>
      <c r="C194" s="1740"/>
      <c r="D194" s="70" t="str">
        <f>"your spouse died in "&amp;TaxYear&amp;" or you are preparing a return for"</f>
        <v>your spouse died in 2021 or you are preparing a return for</v>
      </c>
      <c r="AA194" s="2595"/>
      <c r="AB194" s="2595"/>
      <c r="AC194" s="2595"/>
      <c r="AD194" s="2595"/>
      <c r="AE194" s="2595"/>
      <c r="AF194" s="2595"/>
      <c r="AG194" s="2595"/>
      <c r="AH194" s="2595"/>
      <c r="AI194" s="2595"/>
      <c r="AJ194" s="2595"/>
      <c r="AK194" s="2595"/>
      <c r="AL194" s="2595"/>
      <c r="AN194" s="2608"/>
      <c r="AO194" s="2608"/>
      <c r="AP194" s="2595"/>
      <c r="AQ194" s="2595"/>
      <c r="AR194" s="2595"/>
      <c r="AS194" s="2595"/>
      <c r="AT194" s="2595"/>
      <c r="AU194" s="2595"/>
      <c r="AV194" s="2595"/>
    </row>
    <row r="195" spans="1:48">
      <c r="B195" s="5449"/>
      <c r="C195" s="1740"/>
      <c r="D195" s="70" t="str">
        <f>"someone who died in "&amp;TaxYear&amp;", see Pub. 596 before you answer."</f>
        <v>someone who died in 2021, see Pub. 596 before you answer.</v>
      </c>
      <c r="AA195" s="2595"/>
      <c r="AB195" s="2595"/>
      <c r="AC195" s="2595"/>
      <c r="AD195" s="2595"/>
      <c r="AE195" s="2595"/>
      <c r="AF195" s="2595"/>
      <c r="AG195" s="2595"/>
      <c r="AH195" s="2595"/>
      <c r="AI195" s="2595"/>
      <c r="AJ195" s="2595"/>
      <c r="AK195" s="2595"/>
      <c r="AL195" s="2595"/>
      <c r="AN195" s="2608"/>
      <c r="AO195" s="2608"/>
      <c r="AP195" s="2595"/>
      <c r="AQ195" s="2595"/>
      <c r="AR195" s="2595"/>
      <c r="AS195" s="2595"/>
      <c r="AT195" s="2595"/>
      <c r="AU195" s="2595"/>
      <c r="AV195" s="2595"/>
    </row>
    <row r="196" spans="1:48">
      <c r="C196" s="1740"/>
      <c r="AA196" s="2595"/>
      <c r="AB196" s="2595"/>
      <c r="AC196" s="2595"/>
      <c r="AD196" s="2595"/>
      <c r="AE196" s="2595"/>
      <c r="AF196" s="2595"/>
      <c r="AG196" s="2595"/>
      <c r="AH196" s="2595"/>
      <c r="AI196" s="2595"/>
      <c r="AJ196" s="2595"/>
      <c r="AK196" s="2595"/>
      <c r="AL196" s="2595"/>
      <c r="AN196" s="2608"/>
      <c r="AO196" s="2608"/>
      <c r="AP196" s="2595"/>
      <c r="AQ196" s="2595"/>
      <c r="AR196" s="2595"/>
      <c r="AS196" s="2595"/>
      <c r="AT196" s="2595"/>
      <c r="AU196" s="2595"/>
      <c r="AV196" s="2595"/>
    </row>
    <row r="197" spans="1:48">
      <c r="A197" s="1176" t="b">
        <f>AND(G183,NOT(G197))</f>
        <v>0</v>
      </c>
      <c r="B197" s="2053" t="str">
        <f>IF(AND(G183,H197=""),"X","")</f>
        <v/>
      </c>
      <c r="D197" s="70" t="s">
        <v>2694</v>
      </c>
      <c r="G197" s="1176" t="b">
        <f>AND(N183,H197&lt;&gt;"")</f>
        <v>0</v>
      </c>
      <c r="H197" s="1334"/>
      <c r="J197" s="70" t="s">
        <v>5624</v>
      </c>
      <c r="M197" s="2124"/>
      <c r="AA197" s="2595"/>
      <c r="AB197" s="2595"/>
      <c r="AC197" s="2595"/>
      <c r="AD197" s="2595"/>
      <c r="AE197" s="2595"/>
      <c r="AF197" s="2595"/>
      <c r="AG197" s="2595"/>
      <c r="AH197" s="2595"/>
      <c r="AI197" s="2595"/>
      <c r="AJ197" s="2595"/>
      <c r="AK197" s="2595"/>
      <c r="AL197" s="2595"/>
      <c r="AN197" s="2608"/>
      <c r="AO197" s="2608"/>
      <c r="AP197" s="2595"/>
      <c r="AQ197" s="2595"/>
      <c r="AR197" s="2595"/>
      <c r="AS197" s="2595"/>
      <c r="AT197" s="2595"/>
      <c r="AU197" s="2595"/>
      <c r="AV197" s="2595"/>
    </row>
    <row r="198" spans="1:48">
      <c r="A198" s="1256"/>
      <c r="C198" s="1256"/>
      <c r="D198" s="70"/>
      <c r="J198" s="70" t="s">
        <v>4423</v>
      </c>
      <c r="AA198" s="2595"/>
      <c r="AB198" s="2595"/>
      <c r="AC198" s="2595"/>
      <c r="AD198" s="2595"/>
      <c r="AE198" s="2595"/>
      <c r="AF198" s="2595"/>
      <c r="AG198" s="2595"/>
      <c r="AH198" s="2595"/>
      <c r="AI198" s="2595"/>
      <c r="AJ198" s="2595"/>
      <c r="AK198" s="2595"/>
      <c r="AL198" s="2595"/>
      <c r="AN198" s="2608"/>
      <c r="AO198" s="2608"/>
      <c r="AP198" s="2595"/>
      <c r="AQ198" s="2595"/>
      <c r="AR198" s="2595"/>
      <c r="AS198" s="2595"/>
      <c r="AT198" s="2595"/>
      <c r="AU198" s="2595"/>
      <c r="AV198" s="2595"/>
    </row>
    <row r="199" spans="1:48">
      <c r="A199" s="1256"/>
      <c r="C199" s="1256"/>
      <c r="D199" s="70"/>
      <c r="AA199" s="2595"/>
      <c r="AB199" s="2595"/>
      <c r="AC199" s="2595"/>
      <c r="AD199" s="2595"/>
      <c r="AE199" s="2595"/>
      <c r="AF199" s="2595"/>
      <c r="AG199" s="2595"/>
      <c r="AH199" s="2595"/>
      <c r="AI199" s="2595"/>
      <c r="AJ199" s="2595"/>
      <c r="AK199" s="2595"/>
      <c r="AL199" s="2595"/>
      <c r="AN199" s="2608"/>
      <c r="AO199" s="2608"/>
      <c r="AP199" s="2595"/>
      <c r="AQ199" s="2595"/>
      <c r="AR199" s="2595"/>
      <c r="AS199" s="2595"/>
      <c r="AT199" s="2595"/>
      <c r="AU199" s="2595"/>
      <c r="AV199" s="2595"/>
    </row>
    <row r="200" spans="1:48">
      <c r="A200" s="1256"/>
      <c r="C200" s="5826"/>
      <c r="D200" s="4348"/>
      <c r="E200" s="54"/>
      <c r="F200" s="54"/>
      <c r="G200" s="54"/>
      <c r="H200" s="54"/>
      <c r="I200" s="54"/>
      <c r="J200" s="54"/>
      <c r="K200" s="54"/>
      <c r="AA200" s="2595"/>
      <c r="AB200" s="2595"/>
      <c r="AC200" s="2595"/>
      <c r="AD200" s="2595"/>
      <c r="AE200" s="2595"/>
      <c r="AF200" s="2595"/>
      <c r="AG200" s="2595"/>
      <c r="AH200" s="2595"/>
      <c r="AI200" s="2595"/>
      <c r="AJ200" s="2595"/>
      <c r="AK200" s="2595"/>
      <c r="AL200" s="2595"/>
      <c r="AN200" s="2608"/>
      <c r="AO200" s="2608"/>
      <c r="AP200" s="2595"/>
      <c r="AQ200" s="2595"/>
      <c r="AR200" s="2595"/>
      <c r="AS200" s="2595"/>
      <c r="AT200" s="2595"/>
      <c r="AU200" s="2595"/>
      <c r="AV200" s="2595"/>
    </row>
    <row r="201" spans="1:48">
      <c r="B201" s="5449"/>
      <c r="C201" s="1750" t="s">
        <v>31</v>
      </c>
      <c r="D201" s="70" t="s">
        <v>5625</v>
      </c>
      <c r="AA201" s="2595"/>
      <c r="AB201" s="2595"/>
      <c r="AC201" s="2595"/>
      <c r="AD201" s="2595"/>
      <c r="AE201" s="2595"/>
      <c r="AF201" s="2595"/>
      <c r="AG201" s="2595"/>
      <c r="AH201" s="2595"/>
      <c r="AI201" s="2595"/>
      <c r="AJ201" s="2595"/>
      <c r="AK201" s="2595"/>
      <c r="AL201" s="2595"/>
      <c r="AN201" s="2608"/>
      <c r="AO201" s="2608"/>
      <c r="AP201" s="2595"/>
      <c r="AQ201" s="2595"/>
      <c r="AR201" s="2595"/>
      <c r="AS201" s="2595"/>
      <c r="AT201" s="2595"/>
      <c r="AU201" s="2595"/>
      <c r="AV201" s="2595"/>
    </row>
    <row r="202" spans="1:48">
      <c r="B202" s="5449"/>
      <c r="C202" s="1740"/>
      <c r="D202" s="70" t="s">
        <v>5626</v>
      </c>
      <c r="F202" s="70"/>
      <c r="AA202" s="2595"/>
      <c r="AB202" s="2595"/>
      <c r="AC202" s="2595"/>
      <c r="AD202" s="2595"/>
      <c r="AE202" s="2595"/>
      <c r="AF202" s="2595"/>
      <c r="AG202" s="2595"/>
      <c r="AH202" s="2595"/>
      <c r="AI202" s="2595"/>
      <c r="AJ202" s="2595"/>
      <c r="AK202" s="2595"/>
      <c r="AL202" s="2595"/>
      <c r="AN202" s="2608"/>
      <c r="AO202" s="2608"/>
      <c r="AP202" s="2595"/>
      <c r="AQ202" s="2595"/>
      <c r="AR202" s="2595"/>
      <c r="AS202" s="2595"/>
      <c r="AT202" s="2595"/>
      <c r="AU202" s="2595"/>
      <c r="AV202" s="2595"/>
    </row>
    <row r="203" spans="1:48">
      <c r="B203" s="5449"/>
      <c r="C203" s="1740"/>
      <c r="D203" s="70" t="s">
        <v>5627</v>
      </c>
      <c r="AA203" s="2595"/>
      <c r="AB203" s="2595"/>
      <c r="AC203" s="2595"/>
      <c r="AD203" s="2595"/>
      <c r="AE203" s="2595"/>
      <c r="AF203" s="2595"/>
      <c r="AG203" s="2595"/>
      <c r="AH203" s="2595"/>
      <c r="AI203" s="2595"/>
      <c r="AJ203" s="2595"/>
      <c r="AK203" s="2595"/>
      <c r="AL203" s="2595"/>
      <c r="AN203" s="2608"/>
      <c r="AO203" s="2608"/>
      <c r="AP203" s="2595"/>
      <c r="AQ203" s="2595"/>
      <c r="AR203" s="2595"/>
      <c r="AS203" s="2595"/>
      <c r="AT203" s="2595"/>
      <c r="AU203" s="2595"/>
      <c r="AV203" s="2595"/>
    </row>
    <row r="204" spans="1:48">
      <c r="B204" s="5449"/>
      <c r="C204" s="1740"/>
      <c r="D204" s="23" t="s">
        <v>5628</v>
      </c>
      <c r="AA204" s="2595"/>
      <c r="AB204" s="2595"/>
      <c r="AC204" s="2595"/>
      <c r="AD204" s="2595"/>
      <c r="AE204" s="2595"/>
      <c r="AF204" s="2595"/>
      <c r="AG204" s="2595"/>
      <c r="AH204" s="2595"/>
      <c r="AI204" s="2595"/>
      <c r="AJ204" s="2595"/>
      <c r="AK204" s="2595"/>
      <c r="AL204" s="2595"/>
      <c r="AN204" s="2608"/>
      <c r="AO204" s="2608"/>
      <c r="AP204" s="2595"/>
      <c r="AQ204" s="2595"/>
      <c r="AR204" s="2595"/>
      <c r="AS204" s="2595"/>
      <c r="AT204" s="2595"/>
      <c r="AU204" s="2595"/>
      <c r="AV204" s="2595"/>
    </row>
    <row r="205" spans="1:48">
      <c r="B205" s="5449"/>
      <c r="C205" s="1740"/>
      <c r="D205" s="70" t="s">
        <v>5629</v>
      </c>
      <c r="AA205" s="2595"/>
      <c r="AB205" s="2595"/>
      <c r="AC205" s="2595"/>
      <c r="AD205" s="2595"/>
      <c r="AE205" s="2595"/>
      <c r="AF205" s="2595"/>
      <c r="AG205" s="2595"/>
      <c r="AH205" s="2595"/>
      <c r="AI205" s="2595"/>
      <c r="AJ205" s="2595"/>
      <c r="AK205" s="2595"/>
      <c r="AL205" s="2595"/>
      <c r="AN205" s="2608"/>
      <c r="AO205" s="2608"/>
      <c r="AP205" s="2595"/>
      <c r="AQ205" s="2595"/>
      <c r="AR205" s="2595"/>
      <c r="AS205" s="2595"/>
      <c r="AT205" s="2595"/>
      <c r="AU205" s="2595"/>
      <c r="AV205" s="2595"/>
    </row>
    <row r="206" spans="1:48">
      <c r="B206" s="5449"/>
      <c r="C206" s="1740"/>
      <c r="D206" s="70" t="s">
        <v>5630</v>
      </c>
      <c r="AA206" s="2595"/>
      <c r="AB206" s="2595"/>
      <c r="AC206" s="2595"/>
      <c r="AD206" s="2595"/>
      <c r="AE206" s="2595"/>
      <c r="AF206" s="2595"/>
      <c r="AG206" s="2595"/>
      <c r="AH206" s="2595"/>
      <c r="AI206" s="2595"/>
      <c r="AJ206" s="2595"/>
      <c r="AK206" s="2595"/>
      <c r="AL206" s="2595"/>
      <c r="AN206" s="2608"/>
      <c r="AO206" s="2608"/>
      <c r="AP206" s="2595"/>
      <c r="AQ206" s="2595"/>
      <c r="AR206" s="2595"/>
      <c r="AS206" s="2595"/>
      <c r="AT206" s="2595"/>
      <c r="AU206" s="2595"/>
      <c r="AV206" s="2595"/>
    </row>
    <row r="207" spans="1:48">
      <c r="B207" s="5449"/>
      <c r="C207" s="1740"/>
      <c r="D207" s="70" t="s">
        <v>5631</v>
      </c>
      <c r="AA207" s="2595"/>
      <c r="AB207" s="2595"/>
      <c r="AC207" s="2595"/>
      <c r="AD207" s="2595"/>
      <c r="AE207" s="2595"/>
      <c r="AF207" s="2595"/>
      <c r="AG207" s="2595"/>
      <c r="AH207" s="2595"/>
      <c r="AI207" s="2595"/>
      <c r="AJ207" s="2595"/>
      <c r="AK207" s="2595"/>
      <c r="AL207" s="2595"/>
      <c r="AN207" s="2608"/>
      <c r="AO207" s="2608"/>
      <c r="AP207" s="2595"/>
      <c r="AQ207" s="2595"/>
      <c r="AR207" s="2595"/>
      <c r="AS207" s="2595"/>
      <c r="AT207" s="2595"/>
      <c r="AU207" s="2595"/>
      <c r="AV207" s="2595"/>
    </row>
    <row r="208" spans="1:48">
      <c r="B208" s="5449"/>
      <c r="C208" s="1740"/>
      <c r="D208" s="70" t="s">
        <v>5632</v>
      </c>
      <c r="AA208" s="2595"/>
      <c r="AB208" s="2595"/>
      <c r="AC208" s="2595"/>
      <c r="AD208" s="2595"/>
      <c r="AE208" s="2595"/>
      <c r="AF208" s="2595"/>
      <c r="AG208" s="2595"/>
      <c r="AH208" s="2595"/>
      <c r="AI208" s="2595"/>
      <c r="AJ208" s="2595"/>
      <c r="AK208" s="2595"/>
      <c r="AL208" s="2595"/>
      <c r="AN208" s="2608"/>
      <c r="AO208" s="2608"/>
      <c r="AP208" s="2595"/>
      <c r="AQ208" s="2595"/>
      <c r="AR208" s="2595"/>
      <c r="AS208" s="2595"/>
      <c r="AT208" s="2595"/>
      <c r="AU208" s="2595"/>
      <c r="AV208" s="2595"/>
    </row>
    <row r="209" spans="1:48">
      <c r="B209" s="5449"/>
      <c r="C209" s="1740"/>
      <c r="D209" s="70" t="s">
        <v>5633</v>
      </c>
      <c r="AA209" s="2595"/>
      <c r="AB209" s="2595"/>
      <c r="AC209" s="2595"/>
      <c r="AD209" s="2595"/>
      <c r="AE209" s="2595"/>
      <c r="AF209" s="2595"/>
      <c r="AG209" s="2595"/>
      <c r="AH209" s="2595"/>
      <c r="AI209" s="2595"/>
      <c r="AJ209" s="2595"/>
      <c r="AK209" s="2595"/>
      <c r="AL209" s="2595"/>
      <c r="AN209" s="2608"/>
      <c r="AO209" s="2608"/>
      <c r="AP209" s="2595"/>
      <c r="AQ209" s="2595"/>
      <c r="AR209" s="2595"/>
      <c r="AS209" s="2595"/>
      <c r="AT209" s="2595"/>
      <c r="AU209" s="2595"/>
      <c r="AV209" s="2595"/>
    </row>
    <row r="210" spans="1:48">
      <c r="C210" s="1740"/>
      <c r="AA210" s="2595"/>
      <c r="AB210" s="2595"/>
      <c r="AC210" s="2595"/>
      <c r="AD210" s="2595"/>
      <c r="AE210" s="2595"/>
      <c r="AF210" s="2595"/>
      <c r="AG210" s="2595"/>
      <c r="AH210" s="2595"/>
      <c r="AI210" s="2595"/>
      <c r="AJ210" s="2595"/>
      <c r="AK210" s="2595"/>
      <c r="AL210" s="2595"/>
      <c r="AN210" s="2608"/>
      <c r="AO210" s="2608"/>
      <c r="AP210" s="2595"/>
      <c r="AQ210" s="2595"/>
      <c r="AR210" s="2595"/>
      <c r="AS210" s="2595"/>
      <c r="AT210" s="2595"/>
      <c r="AU210" s="2595"/>
      <c r="AV210" s="2595"/>
    </row>
    <row r="211" spans="1:48">
      <c r="A211" s="1176" t="b">
        <f>AND(A197,F1040_EIC_Checkbox&lt;&gt;"")</f>
        <v>0</v>
      </c>
      <c r="B211" s="2053" t="str">
        <f>IF(A211,"X","")</f>
        <v/>
      </c>
      <c r="D211" s="70" t="s">
        <v>2694</v>
      </c>
      <c r="G211" s="1176" t="b">
        <f>AND(A197,NOT(A211))</f>
        <v>0</v>
      </c>
      <c r="H211" s="2053"/>
      <c r="J211" s="70" t="s">
        <v>5624</v>
      </c>
      <c r="M211" s="2124"/>
      <c r="AA211" s="2595"/>
      <c r="AB211" s="2595"/>
      <c r="AC211" s="2595"/>
      <c r="AD211" s="2595"/>
      <c r="AE211" s="2595"/>
      <c r="AF211" s="2595"/>
      <c r="AG211" s="2595"/>
      <c r="AH211" s="2595"/>
      <c r="AI211" s="2595"/>
      <c r="AJ211" s="2595"/>
      <c r="AK211" s="2595"/>
      <c r="AL211" s="2595"/>
      <c r="AN211" s="2608"/>
      <c r="AO211" s="2608"/>
      <c r="AP211" s="2595"/>
      <c r="AQ211" s="2595"/>
      <c r="AR211" s="2595"/>
      <c r="AS211" s="2595"/>
      <c r="AT211" s="2595"/>
      <c r="AU211" s="2595"/>
      <c r="AV211" s="2595"/>
    </row>
    <row r="212" spans="1:48">
      <c r="A212" s="1256"/>
      <c r="C212" s="1256"/>
      <c r="D212" s="70"/>
      <c r="J212" s="70" t="s">
        <v>4423</v>
      </c>
      <c r="AA212" s="2595"/>
      <c r="AB212" s="2595"/>
      <c r="AC212" s="2595"/>
      <c r="AD212" s="2595"/>
      <c r="AE212" s="2595"/>
      <c r="AF212" s="2595"/>
      <c r="AG212" s="2595"/>
      <c r="AH212" s="2595"/>
      <c r="AI212" s="2595"/>
      <c r="AJ212" s="2595"/>
      <c r="AK212" s="2595"/>
      <c r="AL212" s="2595"/>
      <c r="AN212" s="2608"/>
      <c r="AO212" s="2608"/>
      <c r="AP212" s="2595"/>
      <c r="AQ212" s="2595"/>
      <c r="AR212" s="2595"/>
      <c r="AS212" s="2595"/>
      <c r="AT212" s="2595"/>
      <c r="AU212" s="2595"/>
      <c r="AV212" s="2595"/>
    </row>
    <row r="213" spans="1:48">
      <c r="A213" s="1256"/>
      <c r="C213" s="1256"/>
      <c r="D213" s="70"/>
      <c r="AA213" s="2595"/>
      <c r="AB213" s="2595"/>
      <c r="AC213" s="2595"/>
      <c r="AD213" s="2595"/>
      <c r="AE213" s="2595"/>
      <c r="AF213" s="2595"/>
      <c r="AG213" s="2595"/>
      <c r="AH213" s="2595"/>
      <c r="AI213" s="2595"/>
      <c r="AJ213" s="2595"/>
      <c r="AK213" s="2595"/>
      <c r="AL213" s="2595"/>
      <c r="AN213" s="2608"/>
      <c r="AO213" s="2608"/>
      <c r="AP213" s="2595"/>
      <c r="AQ213" s="2595"/>
      <c r="AR213" s="2595"/>
      <c r="AS213" s="2595"/>
      <c r="AT213" s="2595"/>
      <c r="AU213" s="2595"/>
      <c r="AV213" s="2595"/>
    </row>
    <row r="214" spans="1:48">
      <c r="A214" s="1256"/>
      <c r="C214" s="5826"/>
      <c r="D214" s="4348"/>
      <c r="E214" s="54"/>
      <c r="F214" s="54"/>
      <c r="G214" s="54"/>
      <c r="H214" s="54"/>
      <c r="I214" s="54"/>
      <c r="J214" s="54"/>
      <c r="K214" s="54"/>
      <c r="AA214" s="2595"/>
      <c r="AB214" s="2595"/>
      <c r="AC214" s="2595"/>
      <c r="AD214" s="2595"/>
      <c r="AE214" s="2595"/>
      <c r="AF214" s="2595"/>
      <c r="AG214" s="2595"/>
      <c r="AH214" s="2595"/>
      <c r="AI214" s="2595"/>
      <c r="AJ214" s="2595"/>
      <c r="AK214" s="2595"/>
      <c r="AL214" s="2595"/>
      <c r="AN214" s="2608"/>
      <c r="AO214" s="2608"/>
      <c r="AP214" s="2595"/>
      <c r="AQ214" s="2595"/>
      <c r="AR214" s="2595"/>
      <c r="AS214" s="2595"/>
      <c r="AT214" s="2595"/>
      <c r="AU214" s="2595"/>
      <c r="AV214" s="2595"/>
    </row>
    <row r="215" spans="1:48">
      <c r="B215" s="5449"/>
      <c r="C215" s="1750" t="s">
        <v>67</v>
      </c>
      <c r="D215" s="70" t="s">
        <v>1361</v>
      </c>
      <c r="AA215" s="2595"/>
      <c r="AB215" s="2595"/>
      <c r="AC215" s="2595"/>
      <c r="AD215" s="2595"/>
      <c r="AE215" s="2595"/>
      <c r="AF215" s="2595"/>
      <c r="AG215" s="2595"/>
      <c r="AH215" s="2595"/>
      <c r="AI215" s="2595"/>
      <c r="AJ215" s="2595"/>
      <c r="AK215" s="2595"/>
      <c r="AL215" s="2595"/>
      <c r="AN215" s="2608"/>
      <c r="AO215" s="2608"/>
      <c r="AP215" s="2595"/>
      <c r="AQ215" s="2595"/>
      <c r="AR215" s="2595"/>
      <c r="AS215" s="2595"/>
      <c r="AT215" s="2595"/>
      <c r="AU215" s="2595"/>
      <c r="AV215" s="2595"/>
    </row>
    <row r="216" spans="1:48">
      <c r="B216" s="5449"/>
      <c r="C216" s="1740"/>
      <c r="D216" s="70" t="str">
        <f>"return, in the United States for more than half of "&amp;TaxYear&amp;"?"</f>
        <v>return, in the United States for more than half of 2021?</v>
      </c>
      <c r="F216" s="70"/>
      <c r="AA216" s="2595"/>
      <c r="AB216" s="2595"/>
      <c r="AC216" s="2595"/>
      <c r="AD216" s="2595"/>
      <c r="AE216" s="2595"/>
      <c r="AF216" s="2595"/>
      <c r="AG216" s="2595"/>
      <c r="AH216" s="2595"/>
      <c r="AI216" s="2595"/>
      <c r="AJ216" s="2595"/>
      <c r="AK216" s="2595"/>
      <c r="AL216" s="2595"/>
      <c r="AN216" s="2608"/>
      <c r="AO216" s="2608"/>
      <c r="AP216" s="2595"/>
      <c r="AQ216" s="2595"/>
      <c r="AR216" s="2595"/>
      <c r="AS216" s="2595"/>
      <c r="AT216" s="2595"/>
      <c r="AU216" s="2595"/>
      <c r="AV216" s="2595"/>
    </row>
    <row r="217" spans="1:48">
      <c r="C217" s="1740"/>
      <c r="AA217" s="2595"/>
      <c r="AB217" s="2595"/>
      <c r="AC217" s="2595"/>
      <c r="AD217" s="2595"/>
      <c r="AE217" s="2595"/>
      <c r="AF217" s="2595"/>
      <c r="AG217" s="2595"/>
      <c r="AH217" s="2595"/>
      <c r="AI217" s="2595"/>
      <c r="AJ217" s="2595"/>
      <c r="AK217" s="2595"/>
      <c r="AL217" s="2595"/>
      <c r="AN217" s="2608"/>
      <c r="AO217" s="2608"/>
      <c r="AP217" s="2595"/>
      <c r="AQ217" s="2595"/>
      <c r="AR217" s="2595"/>
      <c r="AS217" s="2595"/>
      <c r="AT217" s="2595"/>
      <c r="AU217" s="2595"/>
      <c r="AV217" s="2595"/>
    </row>
    <row r="218" spans="1:48">
      <c r="A218" s="1176" t="b">
        <f>AND(OR(N124,N131,A170,A183,AND(A197,A211)),NOT(G218))</f>
        <v>0</v>
      </c>
      <c r="B218" s="2053" t="str">
        <f>IF(A218,"X","")</f>
        <v/>
      </c>
      <c r="D218" s="70" t="s">
        <v>2694</v>
      </c>
      <c r="G218" s="1176" t="b">
        <f>H218&lt;&gt;""</f>
        <v>0</v>
      </c>
      <c r="H218" s="1334"/>
      <c r="J218" s="70" t="s">
        <v>5624</v>
      </c>
      <c r="M218" s="2124"/>
      <c r="AA218" s="2595"/>
      <c r="AB218" s="2595"/>
      <c r="AC218" s="2595"/>
      <c r="AD218" s="2595"/>
      <c r="AE218" s="2595"/>
      <c r="AF218" s="2595"/>
      <c r="AG218" s="2595"/>
      <c r="AH218" s="2595"/>
      <c r="AI218" s="2595"/>
      <c r="AJ218" s="2595"/>
      <c r="AK218" s="2595"/>
      <c r="AL218" s="2595"/>
      <c r="AN218" s="2608"/>
      <c r="AO218" s="2608"/>
      <c r="AP218" s="2595"/>
      <c r="AQ218" s="2595"/>
      <c r="AR218" s="2595"/>
      <c r="AS218" s="2595"/>
      <c r="AT218" s="2595"/>
      <c r="AU218" s="2595"/>
      <c r="AV218" s="2595"/>
    </row>
    <row r="219" spans="1:48">
      <c r="A219" s="1256"/>
      <c r="C219" s="1256"/>
      <c r="D219" s="70"/>
      <c r="J219" s="70" t="s">
        <v>4423</v>
      </c>
      <c r="AA219" s="2595"/>
      <c r="AB219" s="2595"/>
      <c r="AC219" s="2595"/>
      <c r="AD219" s="2595"/>
      <c r="AE219" s="2595"/>
      <c r="AF219" s="2595"/>
      <c r="AG219" s="2595"/>
      <c r="AH219" s="2595"/>
      <c r="AI219" s="2595"/>
      <c r="AJ219" s="2595"/>
      <c r="AK219" s="2595"/>
      <c r="AL219" s="2595"/>
      <c r="AN219" s="2608"/>
      <c r="AO219" s="2608"/>
      <c r="AP219" s="2595"/>
      <c r="AQ219" s="2595"/>
      <c r="AR219" s="2595"/>
      <c r="AS219" s="2595"/>
      <c r="AT219" s="2595"/>
      <c r="AU219" s="2595"/>
      <c r="AV219" s="2595"/>
    </row>
    <row r="220" spans="1:48">
      <c r="A220" s="1256"/>
      <c r="C220" s="1256"/>
      <c r="D220" s="70"/>
      <c r="J220" s="70" t="s">
        <v>1362</v>
      </c>
      <c r="AA220" s="2595"/>
      <c r="AB220" s="2595"/>
      <c r="AC220" s="2595"/>
      <c r="AD220" s="2595"/>
      <c r="AE220" s="2595"/>
      <c r="AF220" s="2595"/>
      <c r="AG220" s="2595"/>
      <c r="AH220" s="2595"/>
      <c r="AI220" s="2595"/>
      <c r="AJ220" s="2595"/>
      <c r="AK220" s="2595"/>
      <c r="AL220" s="2595"/>
      <c r="AN220" s="2608"/>
      <c r="AO220" s="2608"/>
      <c r="AP220" s="2595"/>
      <c r="AQ220" s="2595"/>
      <c r="AR220" s="2595"/>
      <c r="AS220" s="2595"/>
      <c r="AT220" s="2595"/>
      <c r="AU220" s="2595"/>
      <c r="AV220" s="2595"/>
    </row>
    <row r="221" spans="1:48">
      <c r="A221" s="1256"/>
      <c r="C221" s="1256"/>
      <c r="D221" s="70"/>
      <c r="J221" s="70" t="s">
        <v>5634</v>
      </c>
      <c r="AA221" s="2595"/>
      <c r="AB221" s="2595"/>
      <c r="AC221" s="2595"/>
      <c r="AD221" s="2595"/>
      <c r="AE221" s="2595"/>
      <c r="AF221" s="2595"/>
      <c r="AG221" s="2595"/>
      <c r="AH221" s="2595"/>
      <c r="AI221" s="2595"/>
      <c r="AJ221" s="2595"/>
      <c r="AK221" s="2595"/>
      <c r="AL221" s="2595"/>
      <c r="AN221" s="2608"/>
      <c r="AO221" s="2608"/>
      <c r="AP221" s="2595"/>
      <c r="AQ221" s="2595"/>
      <c r="AR221" s="2595"/>
      <c r="AS221" s="2595"/>
      <c r="AT221" s="2595"/>
      <c r="AU221" s="2595"/>
      <c r="AV221" s="2595"/>
    </row>
    <row r="222" spans="1:48">
      <c r="A222" s="1256"/>
      <c r="C222" s="5826"/>
      <c r="D222" s="4348"/>
      <c r="E222" s="54"/>
      <c r="F222" s="54"/>
      <c r="G222" s="54"/>
      <c r="H222" s="54"/>
      <c r="I222" s="54"/>
      <c r="J222" s="54"/>
      <c r="K222" s="54"/>
      <c r="AA222" s="2595"/>
      <c r="AB222" s="2595"/>
      <c r="AC222" s="2595"/>
      <c r="AD222" s="2595"/>
      <c r="AE222" s="2595"/>
      <c r="AF222" s="2595"/>
      <c r="AG222" s="2595"/>
      <c r="AH222" s="2595"/>
      <c r="AI222" s="2595"/>
      <c r="AJ222" s="2595"/>
      <c r="AK222" s="2595"/>
      <c r="AL222" s="2595"/>
      <c r="AN222" s="2608"/>
      <c r="AO222" s="2608"/>
      <c r="AP222" s="2595"/>
      <c r="AQ222" s="2595"/>
      <c r="AR222" s="2595"/>
      <c r="AS222" s="2595"/>
      <c r="AT222" s="2595"/>
      <c r="AU222" s="2595"/>
      <c r="AV222" s="2595"/>
    </row>
    <row r="223" spans="1:48">
      <c r="B223" s="5449"/>
      <c r="C223" s="1750" t="s">
        <v>68</v>
      </c>
      <c r="D223" s="70" t="str">
        <f>"Are you filing a joint return for "&amp;TaxYear&amp;"?"</f>
        <v>Are you filing a joint return for 2021?</v>
      </c>
      <c r="AA223" s="2595"/>
      <c r="AB223" s="2595"/>
      <c r="AC223" s="2595"/>
      <c r="AD223" s="2595"/>
      <c r="AE223" s="2595"/>
      <c r="AF223" s="2595"/>
      <c r="AG223" s="2595"/>
      <c r="AH223" s="2595"/>
      <c r="AI223" s="2595"/>
      <c r="AJ223" s="2595"/>
      <c r="AK223" s="2595"/>
      <c r="AL223" s="2595"/>
      <c r="AN223" s="2608"/>
      <c r="AO223" s="2608"/>
      <c r="AP223" s="2595"/>
      <c r="AQ223" s="2595"/>
      <c r="AR223" s="2595"/>
      <c r="AS223" s="2595"/>
      <c r="AT223" s="2595"/>
      <c r="AU223" s="2595"/>
      <c r="AV223" s="2595"/>
    </row>
    <row r="224" spans="1:48">
      <c r="C224" s="1740"/>
      <c r="AA224" s="2595"/>
      <c r="AB224" s="2595"/>
      <c r="AC224" s="2595"/>
      <c r="AD224" s="2595"/>
      <c r="AE224" s="2595"/>
      <c r="AF224" s="2595"/>
      <c r="AG224" s="2595"/>
      <c r="AH224" s="2595"/>
      <c r="AI224" s="2595"/>
      <c r="AJ224" s="2595"/>
      <c r="AK224" s="2595"/>
      <c r="AL224" s="2595"/>
      <c r="AN224" s="2608"/>
      <c r="AO224" s="2608"/>
      <c r="AP224" s="2595"/>
      <c r="AQ224" s="2595"/>
      <c r="AR224" s="2595"/>
      <c r="AS224" s="2595"/>
      <c r="AT224" s="2595"/>
      <c r="AU224" s="2595"/>
      <c r="AV224" s="2595"/>
    </row>
    <row r="225" spans="1:48">
      <c r="A225" s="1176" t="b">
        <f>AND(A218,File_Marr_Joint&lt;&gt;"")</f>
        <v>0</v>
      </c>
      <c r="B225" s="2053" t="str">
        <f>IF(A225,"X","")</f>
        <v/>
      </c>
      <c r="D225" s="70" t="s">
        <v>5636</v>
      </c>
      <c r="G225" s="1176" t="b">
        <f>AND(A218,NOT(A225))</f>
        <v>0</v>
      </c>
      <c r="H225" s="2053" t="str">
        <f>IF(G225,"X","")</f>
        <v/>
      </c>
      <c r="J225" s="70" t="s">
        <v>5635</v>
      </c>
      <c r="M225" s="2124"/>
      <c r="AA225" s="2595"/>
      <c r="AB225" s="2595"/>
      <c r="AC225" s="2595"/>
      <c r="AD225" s="2595"/>
      <c r="AE225" s="2595"/>
      <c r="AF225" s="2595"/>
      <c r="AG225" s="2595"/>
      <c r="AH225" s="2595"/>
      <c r="AI225" s="2595"/>
      <c r="AJ225" s="2595"/>
      <c r="AK225" s="2595"/>
      <c r="AL225" s="2595"/>
      <c r="AN225" s="2608"/>
      <c r="AO225" s="2608"/>
      <c r="AP225" s="2595"/>
      <c r="AQ225" s="2595"/>
      <c r="AR225" s="2595"/>
      <c r="AS225" s="2595"/>
      <c r="AT225" s="2595"/>
      <c r="AU225" s="2595"/>
      <c r="AV225" s="2595"/>
    </row>
    <row r="226" spans="1:48">
      <c r="A226" s="1256"/>
      <c r="C226" s="1256"/>
      <c r="D226" s="70" t="s">
        <v>5637</v>
      </c>
      <c r="AA226" s="2595"/>
      <c r="AB226" s="2595"/>
      <c r="AC226" s="2595"/>
      <c r="AD226" s="2595"/>
      <c r="AE226" s="2595"/>
      <c r="AF226" s="2595"/>
      <c r="AG226" s="2595"/>
      <c r="AH226" s="2595"/>
      <c r="AI226" s="2595"/>
      <c r="AJ226" s="2595"/>
      <c r="AK226" s="2595"/>
      <c r="AL226" s="2595"/>
      <c r="AN226" s="2608"/>
      <c r="AO226" s="2608"/>
      <c r="AP226" s="2595"/>
      <c r="AQ226" s="2595"/>
      <c r="AR226" s="2595"/>
      <c r="AS226" s="2595"/>
      <c r="AT226" s="2595"/>
      <c r="AU226" s="2595"/>
      <c r="AV226" s="2595"/>
    </row>
    <row r="227" spans="1:48">
      <c r="A227" s="1256"/>
      <c r="C227" s="1256"/>
      <c r="D227" s="70"/>
      <c r="AA227" s="2595"/>
      <c r="AB227" s="2595"/>
      <c r="AC227" s="2595"/>
      <c r="AD227" s="2595"/>
      <c r="AE227" s="2595"/>
      <c r="AF227" s="2595"/>
      <c r="AG227" s="2595"/>
      <c r="AH227" s="2595"/>
      <c r="AI227" s="2595"/>
      <c r="AJ227" s="2595"/>
      <c r="AK227" s="2595"/>
      <c r="AL227" s="2595"/>
      <c r="AN227" s="2608"/>
      <c r="AO227" s="2608"/>
      <c r="AP227" s="2595"/>
      <c r="AQ227" s="2595"/>
      <c r="AR227" s="2595"/>
      <c r="AS227" s="2595"/>
      <c r="AT227" s="2595"/>
      <c r="AU227" s="2595"/>
      <c r="AV227" s="2595"/>
    </row>
    <row r="228" spans="1:48">
      <c r="A228" s="1256"/>
      <c r="C228" s="5826"/>
      <c r="D228" s="4348"/>
      <c r="E228" s="54"/>
      <c r="F228" s="54"/>
      <c r="G228" s="54"/>
      <c r="H228" s="54"/>
      <c r="I228" s="54"/>
      <c r="J228" s="54"/>
      <c r="K228" s="54"/>
      <c r="AA228" s="2595"/>
      <c r="AB228" s="2595"/>
      <c r="AC228" s="2595"/>
      <c r="AD228" s="2595"/>
      <c r="AE228" s="2595"/>
      <c r="AF228" s="2595"/>
      <c r="AG228" s="2595"/>
      <c r="AH228" s="2595"/>
      <c r="AI228" s="2595"/>
      <c r="AJ228" s="2595"/>
      <c r="AK228" s="2595"/>
      <c r="AL228" s="2595"/>
      <c r="AN228" s="2608"/>
      <c r="AO228" s="2608"/>
      <c r="AP228" s="2595"/>
      <c r="AQ228" s="2595"/>
      <c r="AR228" s="2595"/>
      <c r="AS228" s="2595"/>
      <c r="AT228" s="2595"/>
      <c r="AU228" s="2595"/>
      <c r="AV228" s="2595"/>
    </row>
    <row r="229" spans="1:48">
      <c r="B229" s="5449"/>
      <c r="C229" s="1750" t="s">
        <v>204</v>
      </c>
      <c r="D229" s="70" t="str">
        <f>"Could you be a qualifying child of another person for "&amp;TaxYear&amp;"?"</f>
        <v>Could you be a qualifying child of another person for 2021?</v>
      </c>
      <c r="AA229" s="2595"/>
      <c r="AB229" s="2595"/>
      <c r="AC229" s="2595"/>
      <c r="AD229" s="2595"/>
      <c r="AE229" s="2595"/>
      <c r="AF229" s="2595"/>
      <c r="AG229" s="2595"/>
      <c r="AH229" s="2595"/>
      <c r="AI229" s="2595"/>
      <c r="AJ229" s="2595"/>
      <c r="AK229" s="2595"/>
      <c r="AL229" s="2595"/>
      <c r="AN229" s="2608"/>
      <c r="AO229" s="2608"/>
      <c r="AP229" s="2595"/>
      <c r="AQ229" s="2595"/>
      <c r="AR229" s="2595"/>
      <c r="AS229" s="2595"/>
      <c r="AT229" s="2595"/>
      <c r="AU229" s="2595"/>
      <c r="AV229" s="2595"/>
    </row>
    <row r="230" spans="1:48">
      <c r="B230" s="5449"/>
      <c r="C230" s="1740"/>
      <c r="D230" s="70" t="s">
        <v>5638</v>
      </c>
      <c r="F230" s="70"/>
      <c r="AA230" s="2595"/>
      <c r="AB230" s="2595"/>
      <c r="AC230" s="2595"/>
      <c r="AD230" s="2595"/>
      <c r="AE230" s="2595"/>
      <c r="AF230" s="2595"/>
      <c r="AG230" s="2595"/>
      <c r="AH230" s="2595"/>
      <c r="AI230" s="2595"/>
      <c r="AJ230" s="2595"/>
      <c r="AK230" s="2595"/>
      <c r="AL230" s="2595"/>
      <c r="AN230" s="2608"/>
      <c r="AO230" s="2608"/>
      <c r="AP230" s="2595"/>
      <c r="AQ230" s="2595"/>
      <c r="AR230" s="2595"/>
      <c r="AS230" s="2595"/>
      <c r="AT230" s="2595"/>
      <c r="AU230" s="2595"/>
      <c r="AV230" s="2595"/>
    </row>
    <row r="231" spans="1:48">
      <c r="B231" s="5449"/>
      <c r="C231" s="1740"/>
      <c r="D231" s="70" t="str">
        <f>"isn't filing, a "&amp;TaxYear&amp;" tax return or is filing a "&amp;TaxYear&amp;" return only"</f>
        <v>isn't filing, a 2021 tax return or is filing a 2021 return only</v>
      </c>
      <c r="AA231" s="2595"/>
      <c r="AB231" s="2595"/>
      <c r="AC231" s="2595"/>
      <c r="AD231" s="2595"/>
      <c r="AE231" s="2595"/>
      <c r="AF231" s="2595"/>
      <c r="AG231" s="2595"/>
      <c r="AH231" s="2595"/>
      <c r="AI231" s="2595"/>
      <c r="AJ231" s="2595"/>
      <c r="AK231" s="2595"/>
      <c r="AL231" s="2595"/>
      <c r="AN231" s="2608"/>
      <c r="AO231" s="2608"/>
      <c r="AP231" s="2595"/>
      <c r="AQ231" s="2595"/>
      <c r="AR231" s="2595"/>
      <c r="AS231" s="2595"/>
      <c r="AT231" s="2595"/>
      <c r="AU231" s="2595"/>
      <c r="AV231" s="2595"/>
    </row>
    <row r="232" spans="1:48">
      <c r="B232" s="5449"/>
      <c r="C232" s="1740"/>
      <c r="D232" s="23" t="s">
        <v>1358</v>
      </c>
      <c r="AA232" s="2595"/>
      <c r="AB232" s="2595"/>
      <c r="AC232" s="2595"/>
      <c r="AD232" s="2595"/>
      <c r="AE232" s="2595"/>
      <c r="AF232" s="2595"/>
      <c r="AG232" s="2595"/>
      <c r="AH232" s="2595"/>
      <c r="AI232" s="2595"/>
      <c r="AJ232" s="2595"/>
      <c r="AK232" s="2595"/>
      <c r="AL232" s="2595"/>
      <c r="AN232" s="2608"/>
      <c r="AO232" s="2608"/>
      <c r="AP232" s="2595"/>
      <c r="AQ232" s="2595"/>
      <c r="AR232" s="2595"/>
      <c r="AS232" s="2595"/>
      <c r="AT232" s="2595"/>
      <c r="AU232" s="2595"/>
      <c r="AV232" s="2595"/>
    </row>
    <row r="233" spans="1:48">
      <c r="B233" s="5449"/>
      <c r="C233" s="1740"/>
      <c r="D233" s="70" t="s">
        <v>1359</v>
      </c>
      <c r="AA233" s="2595"/>
      <c r="AB233" s="2595"/>
      <c r="AC233" s="2595"/>
      <c r="AD233" s="2595"/>
      <c r="AE233" s="2595"/>
      <c r="AF233" s="2595"/>
      <c r="AG233" s="2595"/>
      <c r="AH233" s="2595"/>
      <c r="AI233" s="2595"/>
      <c r="AJ233" s="2595"/>
      <c r="AK233" s="2595"/>
      <c r="AL233" s="2595"/>
      <c r="AN233" s="2608"/>
      <c r="AO233" s="2608"/>
      <c r="AP233" s="2595"/>
      <c r="AQ233" s="2595"/>
      <c r="AR233" s="2595"/>
      <c r="AS233" s="2595"/>
      <c r="AT233" s="2595"/>
      <c r="AU233" s="2595"/>
      <c r="AV233" s="2595"/>
    </row>
    <row r="234" spans="1:48">
      <c r="C234" s="1740"/>
      <c r="AA234" s="2595"/>
      <c r="AB234" s="2595"/>
      <c r="AC234" s="2595"/>
      <c r="AD234" s="2595"/>
      <c r="AE234" s="2595"/>
      <c r="AF234" s="2595"/>
      <c r="AG234" s="2595"/>
      <c r="AH234" s="2595"/>
      <c r="AI234" s="2595"/>
      <c r="AJ234" s="2595"/>
      <c r="AK234" s="2595"/>
      <c r="AL234" s="2595"/>
      <c r="AN234" s="2608"/>
      <c r="AO234" s="2608"/>
      <c r="AP234" s="2595"/>
      <c r="AQ234" s="2595"/>
      <c r="AR234" s="2595"/>
      <c r="AS234" s="2595"/>
      <c r="AT234" s="2595"/>
      <c r="AU234" s="2595"/>
      <c r="AV234" s="2595"/>
    </row>
    <row r="235" spans="1:48">
      <c r="A235" s="1176" t="b">
        <f>AND(G225,B235&lt;&gt;"")</f>
        <v>0</v>
      </c>
      <c r="B235" s="1334"/>
      <c r="D235" s="70" t="s">
        <v>5639</v>
      </c>
      <c r="G235" s="1176" t="b">
        <f>AND(G225,NOT(A235))</f>
        <v>0</v>
      </c>
      <c r="H235" s="2052" t="str">
        <f>IF(G235,"X","")</f>
        <v/>
      </c>
      <c r="J235" s="70" t="s">
        <v>5640</v>
      </c>
      <c r="M235" s="2124"/>
      <c r="AA235" s="2595"/>
      <c r="AB235" s="2595"/>
      <c r="AC235" s="2595"/>
      <c r="AD235" s="2595"/>
      <c r="AE235" s="2595"/>
      <c r="AF235" s="2595"/>
      <c r="AG235" s="2595"/>
      <c r="AH235" s="2595"/>
      <c r="AI235" s="2595"/>
      <c r="AJ235" s="2595"/>
      <c r="AK235" s="2595"/>
      <c r="AL235" s="2595"/>
      <c r="AN235" s="2608"/>
      <c r="AO235" s="2608"/>
      <c r="AP235" s="2595"/>
      <c r="AQ235" s="2595"/>
      <c r="AR235" s="2595"/>
      <c r="AS235" s="2595"/>
      <c r="AT235" s="2595"/>
      <c r="AU235" s="2595"/>
      <c r="AV235" s="2595"/>
    </row>
    <row r="236" spans="1:48">
      <c r="A236" s="1256"/>
      <c r="C236" s="1256"/>
      <c r="D236" s="70" t="s">
        <v>4423</v>
      </c>
      <c r="AA236" s="2595"/>
      <c r="AB236" s="2595"/>
      <c r="AC236" s="2595"/>
      <c r="AD236" s="2595"/>
      <c r="AE236" s="2595"/>
      <c r="AF236" s="2595"/>
      <c r="AG236" s="2595"/>
      <c r="AH236" s="2595"/>
      <c r="AI236" s="2595"/>
      <c r="AJ236" s="2595"/>
      <c r="AK236" s="2595"/>
      <c r="AL236" s="2595"/>
      <c r="AN236" s="2608"/>
      <c r="AO236" s="2608"/>
      <c r="AP236" s="2595"/>
      <c r="AQ236" s="2595"/>
      <c r="AR236" s="2595"/>
      <c r="AS236" s="2595"/>
      <c r="AT236" s="2595"/>
      <c r="AU236" s="2595"/>
      <c r="AV236" s="2595"/>
    </row>
    <row r="237" spans="1:48">
      <c r="A237" s="1256"/>
      <c r="C237" s="1256"/>
      <c r="D237" s="70" t="s">
        <v>1362</v>
      </c>
      <c r="AA237" s="2595"/>
      <c r="AB237" s="2595"/>
      <c r="AC237" s="2595"/>
      <c r="AD237" s="2595"/>
      <c r="AE237" s="2595"/>
      <c r="AF237" s="2595"/>
      <c r="AG237" s="2595"/>
      <c r="AH237" s="2595"/>
      <c r="AI237" s="2595"/>
      <c r="AJ237" s="2595"/>
      <c r="AK237" s="2595"/>
      <c r="AL237" s="2595"/>
      <c r="AN237" s="2608"/>
      <c r="AO237" s="2608"/>
      <c r="AP237" s="2595"/>
      <c r="AQ237" s="2595"/>
      <c r="AR237" s="2595"/>
      <c r="AS237" s="2595"/>
      <c r="AT237" s="2595"/>
      <c r="AU237" s="2595"/>
      <c r="AV237" s="2595"/>
    </row>
    <row r="238" spans="1:48">
      <c r="A238" s="1256"/>
      <c r="C238" s="1256"/>
      <c r="D238" s="70" t="s">
        <v>5634</v>
      </c>
      <c r="AA238" s="2595"/>
      <c r="AB238" s="2595"/>
      <c r="AC238" s="2595"/>
      <c r="AD238" s="2595"/>
      <c r="AE238" s="2595"/>
      <c r="AF238" s="2595"/>
      <c r="AG238" s="2595"/>
      <c r="AH238" s="2595"/>
      <c r="AI238" s="2595"/>
      <c r="AJ238" s="2595"/>
      <c r="AK238" s="2595"/>
      <c r="AL238" s="2595"/>
      <c r="AN238" s="2608"/>
      <c r="AO238" s="2608"/>
      <c r="AP238" s="2595"/>
      <c r="AQ238" s="2595"/>
      <c r="AR238" s="2595"/>
      <c r="AS238" s="2595"/>
      <c r="AT238" s="2595"/>
      <c r="AU238" s="2595"/>
      <c r="AV238" s="2595"/>
    </row>
    <row r="239" spans="1:48">
      <c r="A239" s="1256"/>
      <c r="B239" s="1256"/>
      <c r="C239" s="1256"/>
      <c r="D239" s="1256"/>
      <c r="E239" s="1256"/>
      <c r="F239" s="1256"/>
      <c r="G239" s="1256"/>
      <c r="H239" s="1256"/>
      <c r="I239" s="1256"/>
      <c r="J239" s="1256"/>
      <c r="K239" s="1256"/>
      <c r="L239" s="1256"/>
      <c r="AA239" s="2595"/>
      <c r="AB239" s="2595"/>
      <c r="AC239" s="2595"/>
      <c r="AD239" s="2595"/>
      <c r="AE239" s="2595"/>
      <c r="AF239" s="2595"/>
      <c r="AG239" s="2595"/>
      <c r="AH239" s="2595"/>
      <c r="AI239" s="2595"/>
      <c r="AJ239" s="2595"/>
      <c r="AK239" s="2595"/>
      <c r="AL239" s="2595"/>
      <c r="AN239" s="2608"/>
      <c r="AO239" s="2608"/>
      <c r="AP239" s="2595"/>
      <c r="AQ239" s="2595"/>
      <c r="AR239" s="2595"/>
      <c r="AS239" s="2595"/>
      <c r="AT239" s="2595"/>
      <c r="AU239" s="2595"/>
      <c r="AV239" s="2595"/>
    </row>
    <row r="240" spans="1:48">
      <c r="A240" s="1256"/>
      <c r="C240" s="5826"/>
      <c r="D240" s="4348"/>
      <c r="E240" s="54"/>
      <c r="F240" s="54"/>
      <c r="G240" s="54"/>
      <c r="H240" s="54"/>
      <c r="I240" s="54"/>
      <c r="J240" s="54"/>
      <c r="K240" s="54"/>
      <c r="AA240" s="2595"/>
      <c r="AB240" s="2595"/>
      <c r="AC240" s="2595"/>
      <c r="AD240" s="2595"/>
      <c r="AE240" s="2595"/>
      <c r="AF240" s="2595"/>
      <c r="AG240" s="2595"/>
      <c r="AH240" s="2595"/>
      <c r="AI240" s="2595"/>
      <c r="AJ240" s="2595"/>
      <c r="AK240" s="2595"/>
      <c r="AL240" s="2595"/>
      <c r="AN240" s="2608"/>
      <c r="AO240" s="2608"/>
      <c r="AP240" s="2595"/>
      <c r="AQ240" s="2595"/>
      <c r="AR240" s="2595"/>
      <c r="AS240" s="2595"/>
      <c r="AT240" s="2595"/>
      <c r="AU240" s="2595"/>
      <c r="AV240" s="2595"/>
    </row>
    <row r="241" spans="1:48">
      <c r="B241" s="5449"/>
      <c r="C241" s="1750" t="s">
        <v>205</v>
      </c>
      <c r="D241" s="70" t="str">
        <f>"Can you be claimed as a dependent on someone else's "&amp;TaxYear&amp;" tax return?"</f>
        <v>Can you be claimed as a dependent on someone else's 2021 tax return?</v>
      </c>
      <c r="AA241" s="2595"/>
      <c r="AB241" s="2595"/>
      <c r="AC241" s="2595"/>
      <c r="AD241" s="2595"/>
      <c r="AE241" s="2595"/>
      <c r="AF241" s="2595"/>
      <c r="AG241" s="2595"/>
      <c r="AH241" s="2595"/>
      <c r="AI241" s="2595"/>
      <c r="AJ241" s="2595"/>
      <c r="AK241" s="2595"/>
      <c r="AL241" s="2595"/>
      <c r="AN241" s="2608"/>
      <c r="AO241" s="2608"/>
      <c r="AP241" s="2595"/>
      <c r="AQ241" s="2595"/>
      <c r="AR241" s="2595"/>
      <c r="AS241" s="2595"/>
      <c r="AT241" s="2595"/>
      <c r="AU241" s="2595"/>
      <c r="AV241" s="2595"/>
    </row>
    <row r="242" spans="1:48">
      <c r="C242" s="1740"/>
      <c r="AA242" s="2595"/>
      <c r="AB242" s="2595"/>
      <c r="AC242" s="2595"/>
      <c r="AD242" s="2595"/>
      <c r="AE242" s="2595"/>
      <c r="AF242" s="2595"/>
      <c r="AG242" s="2595"/>
      <c r="AH242" s="2595"/>
      <c r="AI242" s="2595"/>
      <c r="AJ242" s="2595"/>
      <c r="AK242" s="2595"/>
      <c r="AL242" s="2595"/>
      <c r="AN242" s="2608"/>
      <c r="AO242" s="2608"/>
      <c r="AP242" s="2595"/>
      <c r="AQ242" s="2595"/>
      <c r="AR242" s="2595"/>
      <c r="AS242" s="2595"/>
      <c r="AT242" s="2595"/>
      <c r="AU242" s="2595"/>
      <c r="AV242" s="2595"/>
    </row>
    <row r="243" spans="1:48">
      <c r="A243" s="1176" t="b">
        <f>AND(G235,DependentYOU&lt;&gt;"")</f>
        <v>0</v>
      </c>
      <c r="B243" s="2053" t="str">
        <f>IF(A243,"X","")</f>
        <v/>
      </c>
      <c r="D243" s="70" t="s">
        <v>5639</v>
      </c>
      <c r="G243" s="1176" t="b">
        <f>AND(G235,NOT(A243))</f>
        <v>0</v>
      </c>
      <c r="H243" s="2052" t="str">
        <f>IF(G243,"X","")</f>
        <v/>
      </c>
      <c r="J243" s="70" t="s">
        <v>5640</v>
      </c>
      <c r="M243" s="2124"/>
      <c r="AA243" s="2595"/>
      <c r="AB243" s="2595"/>
      <c r="AC243" s="2595"/>
      <c r="AD243" s="2595"/>
      <c r="AE243" s="2595"/>
      <c r="AF243" s="2595"/>
      <c r="AG243" s="2595"/>
      <c r="AH243" s="2595"/>
      <c r="AI243" s="2595"/>
      <c r="AJ243" s="2595"/>
      <c r="AK243" s="2595"/>
      <c r="AL243" s="2595"/>
      <c r="AN243" s="2608"/>
      <c r="AO243" s="2608"/>
      <c r="AP243" s="2595"/>
      <c r="AQ243" s="2595"/>
      <c r="AR243" s="2595"/>
      <c r="AS243" s="2595"/>
      <c r="AT243" s="2595"/>
      <c r="AU243" s="2595"/>
      <c r="AV243" s="2595"/>
    </row>
    <row r="244" spans="1:48">
      <c r="A244" s="1256"/>
      <c r="C244" s="1256"/>
      <c r="D244" s="70" t="s">
        <v>4423</v>
      </c>
      <c r="AA244" s="2595"/>
      <c r="AB244" s="2595"/>
      <c r="AC244" s="2595"/>
      <c r="AD244" s="2595"/>
      <c r="AE244" s="2595"/>
      <c r="AF244" s="2595"/>
      <c r="AG244" s="2595"/>
      <c r="AH244" s="2595"/>
      <c r="AI244" s="2595"/>
      <c r="AJ244" s="2595"/>
      <c r="AK244" s="2595"/>
      <c r="AL244" s="2595"/>
      <c r="AN244" s="2608"/>
      <c r="AO244" s="2608"/>
      <c r="AP244" s="2595"/>
      <c r="AQ244" s="2595"/>
      <c r="AR244" s="2595"/>
      <c r="AS244" s="2595"/>
      <c r="AT244" s="2595"/>
      <c r="AU244" s="2595"/>
      <c r="AV244" s="2595"/>
    </row>
    <row r="245" spans="1:48">
      <c r="A245" s="1256"/>
      <c r="B245" s="1256"/>
      <c r="C245" s="1256"/>
      <c r="D245" s="1256"/>
      <c r="E245" s="1256"/>
      <c r="F245" s="1256"/>
      <c r="G245" s="1256"/>
      <c r="H245" s="1256"/>
      <c r="I245" s="1256"/>
      <c r="J245" s="1256"/>
      <c r="K245" s="1256"/>
      <c r="L245" s="1256"/>
      <c r="AA245" s="2595"/>
      <c r="AB245" s="2595"/>
      <c r="AC245" s="2595"/>
      <c r="AD245" s="2595"/>
      <c r="AE245" s="2595"/>
      <c r="AF245" s="2595"/>
      <c r="AG245" s="2595"/>
      <c r="AH245" s="2595"/>
      <c r="AI245" s="2595"/>
      <c r="AJ245" s="2595"/>
      <c r="AK245" s="2595"/>
      <c r="AL245" s="2595"/>
      <c r="AN245" s="2608"/>
      <c r="AO245" s="2608"/>
      <c r="AP245" s="2595"/>
      <c r="AQ245" s="2595"/>
      <c r="AR245" s="2595"/>
      <c r="AS245" s="2595"/>
      <c r="AT245" s="2595"/>
      <c r="AU245" s="2595"/>
      <c r="AV245" s="2595"/>
    </row>
    <row r="246" spans="1:48">
      <c r="A246" s="1256"/>
      <c r="B246" s="1256"/>
      <c r="C246" s="1256"/>
      <c r="D246" s="1256"/>
      <c r="E246" s="1256"/>
      <c r="F246" s="1256"/>
      <c r="G246" s="1256"/>
      <c r="H246" s="1256"/>
      <c r="I246" s="1256"/>
      <c r="J246" s="1256"/>
      <c r="K246" s="1256"/>
      <c r="L246" s="1256"/>
      <c r="AA246" s="2595"/>
      <c r="AB246" s="2595"/>
      <c r="AC246" s="2595"/>
      <c r="AD246" s="2595"/>
      <c r="AE246" s="2595"/>
      <c r="AF246" s="2595"/>
      <c r="AG246" s="2595"/>
      <c r="AH246" s="2595"/>
      <c r="AI246" s="2595"/>
      <c r="AJ246" s="2595"/>
      <c r="AK246" s="2595"/>
      <c r="AL246" s="2595"/>
      <c r="AN246" s="2608"/>
      <c r="AO246" s="2608"/>
      <c r="AP246" s="2595"/>
      <c r="AQ246" s="2595"/>
      <c r="AR246" s="2595"/>
      <c r="AS246" s="2595"/>
      <c r="AT246" s="2595"/>
      <c r="AU246" s="2595"/>
      <c r="AV246" s="2595"/>
    </row>
    <row r="247" spans="1:48">
      <c r="A247" s="1256"/>
      <c r="C247" s="5826"/>
      <c r="D247" s="4348"/>
      <c r="E247" s="54"/>
      <c r="F247" s="54"/>
      <c r="G247" s="54"/>
      <c r="H247" s="54"/>
      <c r="I247" s="54"/>
      <c r="J247" s="54"/>
      <c r="K247" s="54"/>
      <c r="AA247" s="2595"/>
      <c r="AB247" s="2595"/>
      <c r="AC247" s="2595"/>
      <c r="AD247" s="2595"/>
      <c r="AE247" s="2595"/>
      <c r="AF247" s="2595"/>
      <c r="AG247" s="2595"/>
      <c r="AH247" s="2595"/>
      <c r="AI247" s="2595"/>
      <c r="AJ247" s="2595"/>
      <c r="AK247" s="2595"/>
      <c r="AL247" s="2595"/>
      <c r="AN247" s="2608"/>
      <c r="AO247" s="2608"/>
      <c r="AP247" s="2595"/>
      <c r="AQ247" s="2595"/>
      <c r="AR247" s="2595"/>
      <c r="AS247" s="2595"/>
      <c r="AT247" s="2595"/>
      <c r="AU247" s="2595"/>
      <c r="AV247" s="2595"/>
    </row>
    <row r="248" spans="1:48" s="132" customFormat="1" ht="15.75">
      <c r="A248" s="1753" t="s">
        <v>1374</v>
      </c>
      <c r="B248" s="1754" t="s">
        <v>1395</v>
      </c>
      <c r="C248" s="1736"/>
      <c r="N248" s="1737"/>
      <c r="AA248" s="2606"/>
      <c r="AB248" s="2606"/>
      <c r="AC248" s="2606"/>
      <c r="AD248" s="2606"/>
      <c r="AE248" s="2606"/>
      <c r="AF248" s="2606"/>
      <c r="AG248" s="2606"/>
      <c r="AH248" s="2606"/>
      <c r="AI248" s="2606"/>
      <c r="AJ248" s="2606"/>
      <c r="AK248" s="2606"/>
      <c r="AL248" s="2606"/>
      <c r="AN248" s="2607"/>
      <c r="AO248" s="2607"/>
      <c r="AP248" s="2606"/>
      <c r="AQ248" s="2606"/>
      <c r="AR248" s="2606"/>
      <c r="AS248" s="2606"/>
      <c r="AT248" s="2606"/>
      <c r="AU248" s="2606"/>
      <c r="AV248" s="2606"/>
    </row>
    <row r="249" spans="1:48">
      <c r="A249" s="1256"/>
      <c r="C249" s="1256"/>
      <c r="AA249" s="2595"/>
      <c r="AB249" s="2595"/>
      <c r="AC249" s="2595"/>
      <c r="AD249" s="2595"/>
      <c r="AE249" s="2595"/>
      <c r="AF249" s="2595"/>
      <c r="AG249" s="2595"/>
      <c r="AH249" s="2595"/>
      <c r="AI249" s="2595"/>
      <c r="AJ249" s="2595"/>
      <c r="AK249" s="2595"/>
      <c r="AL249" s="2595"/>
      <c r="AN249" s="2608"/>
      <c r="AO249" s="2608"/>
      <c r="AP249" s="2595"/>
      <c r="AQ249" s="2595"/>
      <c r="AR249" s="2595"/>
      <c r="AS249" s="2595"/>
      <c r="AT249" s="2595"/>
      <c r="AU249" s="2595"/>
      <c r="AV249" s="2595"/>
    </row>
    <row r="250" spans="1:48">
      <c r="A250" s="1740" t="s">
        <v>294</v>
      </c>
      <c r="B250" s="23" t="s">
        <v>1283</v>
      </c>
      <c r="AA250" s="2595"/>
      <c r="AB250" s="2595"/>
      <c r="AC250" s="2595"/>
      <c r="AD250" s="2595"/>
      <c r="AE250" s="2595"/>
      <c r="AF250" s="2595"/>
      <c r="AG250" s="2595"/>
      <c r="AH250" s="2595"/>
      <c r="AI250" s="2595"/>
      <c r="AJ250" s="2595"/>
      <c r="AK250" s="2595"/>
      <c r="AL250" s="2595"/>
      <c r="AN250" s="2608"/>
      <c r="AO250" s="2608"/>
      <c r="AP250" s="2595"/>
      <c r="AQ250" s="2595"/>
      <c r="AR250" s="2595"/>
      <c r="AS250" s="2595"/>
      <c r="AT250" s="2595"/>
      <c r="AU250" s="2595"/>
      <c r="AV250" s="2595"/>
    </row>
    <row r="251" spans="1:48">
      <c r="C251" s="1740"/>
      <c r="AA251" s="2595"/>
      <c r="AB251" s="2595"/>
      <c r="AC251" s="2595"/>
      <c r="AD251" s="2595"/>
      <c r="AE251" s="2595"/>
      <c r="AF251" s="2595"/>
      <c r="AG251" s="2595"/>
      <c r="AH251" s="2595"/>
      <c r="AI251" s="2595"/>
      <c r="AJ251" s="2595"/>
      <c r="AK251" s="2595"/>
      <c r="AL251" s="2595"/>
      <c r="AN251" s="2608"/>
      <c r="AO251" s="2608"/>
      <c r="AP251" s="2595"/>
      <c r="AQ251" s="2595"/>
      <c r="AR251" s="2595"/>
      <c r="AS251" s="2595"/>
      <c r="AT251" s="2595"/>
      <c r="AU251" s="2595"/>
      <c r="AV251" s="2595"/>
    </row>
    <row r="252" spans="1:48">
      <c r="A252" s="5835" t="b">
        <f>AND(OR(A117,N149,A225,G243),B252&lt;&gt;"")</f>
        <v>0</v>
      </c>
      <c r="B252" s="1334"/>
      <c r="D252" s="24" t="s">
        <v>416</v>
      </c>
      <c r="G252" s="1176" t="b">
        <f>AND(OR(A117,N149,A225,G243),NOT(A252))</f>
        <v>0</v>
      </c>
      <c r="H252" s="2052" t="str">
        <f>IF(G252,"X","")</f>
        <v/>
      </c>
      <c r="J252" s="49" t="s">
        <v>2928</v>
      </c>
      <c r="AA252" s="2595"/>
      <c r="AB252" s="2595"/>
      <c r="AC252" s="2595"/>
      <c r="AD252" s="2595"/>
      <c r="AE252" s="2595"/>
      <c r="AF252" s="2595"/>
      <c r="AG252" s="2595"/>
      <c r="AH252" s="2595"/>
      <c r="AI252" s="2595"/>
      <c r="AJ252" s="2595"/>
      <c r="AK252" s="2595"/>
      <c r="AL252" s="2595"/>
      <c r="AN252" s="2608"/>
      <c r="AO252" s="2608"/>
      <c r="AP252" s="2595"/>
      <c r="AQ252" s="2595"/>
      <c r="AR252" s="2595"/>
      <c r="AS252" s="2595"/>
      <c r="AT252" s="2595"/>
      <c r="AU252" s="2595"/>
      <c r="AV252" s="2595"/>
    </row>
    <row r="253" spans="1:48">
      <c r="D253" s="23" t="s">
        <v>1363</v>
      </c>
      <c r="J253" s="49" t="s">
        <v>1365</v>
      </c>
      <c r="AA253" s="2595"/>
      <c r="AB253" s="2595"/>
      <c r="AC253" s="2595"/>
      <c r="AD253" s="2595"/>
      <c r="AE253" s="2595"/>
      <c r="AF253" s="2595"/>
      <c r="AG253" s="2595"/>
      <c r="AH253" s="2595"/>
      <c r="AI253" s="2595"/>
      <c r="AJ253" s="2595"/>
      <c r="AK253" s="2595"/>
      <c r="AL253" s="2595"/>
      <c r="AN253" s="2608"/>
      <c r="AO253" s="2608"/>
      <c r="AP253" s="2595"/>
      <c r="AQ253" s="2595"/>
      <c r="AR253" s="2595"/>
      <c r="AS253" s="2595"/>
      <c r="AT253" s="2595"/>
      <c r="AU253" s="2595"/>
      <c r="AV253" s="2595"/>
    </row>
    <row r="254" spans="1:48">
      <c r="D254" s="23" t="s">
        <v>1364</v>
      </c>
      <c r="M254" s="1749" t="s">
        <v>90</v>
      </c>
      <c r="AA254" s="2595"/>
      <c r="AB254" s="2595"/>
      <c r="AC254" s="2595"/>
      <c r="AD254" s="2595"/>
      <c r="AE254" s="2595"/>
      <c r="AF254" s="2595"/>
      <c r="AG254" s="2595"/>
      <c r="AH254" s="2595"/>
      <c r="AI254" s="2595"/>
      <c r="AJ254" s="2595"/>
      <c r="AK254" s="2595"/>
      <c r="AL254" s="2595"/>
      <c r="AN254" s="2608"/>
      <c r="AO254" s="2608"/>
      <c r="AP254" s="2595"/>
      <c r="AQ254" s="2595"/>
      <c r="AR254" s="2595"/>
      <c r="AS254" s="2595"/>
      <c r="AT254" s="2595"/>
      <c r="AU254" s="2595"/>
      <c r="AV254" s="2595"/>
    </row>
    <row r="255" spans="1:48" ht="12.75" customHeight="1" thickBot="1">
      <c r="M255" s="1749" t="s">
        <v>411</v>
      </c>
      <c r="AA255" s="2595"/>
      <c r="AB255" s="2595"/>
      <c r="AC255" s="2595"/>
      <c r="AD255" s="2595"/>
      <c r="AE255" s="2595"/>
      <c r="AF255" s="2595"/>
      <c r="AG255" s="2595"/>
      <c r="AH255" s="2595"/>
      <c r="AI255" s="2595"/>
      <c r="AJ255" s="2595"/>
      <c r="AK255" s="2595"/>
      <c r="AL255" s="2595"/>
      <c r="AN255" s="2608"/>
      <c r="AO255" s="2608"/>
      <c r="AP255" s="2595"/>
      <c r="AQ255" s="2595"/>
      <c r="AR255" s="2595"/>
      <c r="AS255" s="2595"/>
      <c r="AT255" s="2595"/>
      <c r="AU255" s="2595"/>
      <c r="AV255" s="2595"/>
    </row>
    <row r="256" spans="1:48" ht="13.5" thickBot="1">
      <c r="C256" s="1750" t="s">
        <v>294</v>
      </c>
      <c r="D256" s="70" t="s">
        <v>2708</v>
      </c>
      <c r="J256" s="1750" t="s">
        <v>294</v>
      </c>
      <c r="K256" s="2045" t="str">
        <f>IF(M256&lt;&gt;"",ROUND(M256,0),IF(G252,Wages,""))</f>
        <v/>
      </c>
      <c r="M256" s="1755"/>
      <c r="AA256" s="2595"/>
      <c r="AB256" s="2595"/>
      <c r="AC256" s="2595"/>
      <c r="AD256" s="2595"/>
      <c r="AE256" s="2595"/>
      <c r="AF256" s="2595"/>
      <c r="AG256" s="2595"/>
      <c r="AH256" s="2595"/>
      <c r="AI256" s="2595"/>
      <c r="AJ256" s="2595"/>
      <c r="AK256" s="2595"/>
      <c r="AL256" s="2595"/>
      <c r="AN256" s="2608"/>
      <c r="AO256" s="2608">
        <v>65</v>
      </c>
      <c r="AP256" s="2595"/>
      <c r="AQ256" s="2595"/>
      <c r="AR256" s="2595"/>
      <c r="AS256" s="2595"/>
      <c r="AT256" s="2595"/>
      <c r="AU256" s="2595"/>
      <c r="AV256" s="2595"/>
    </row>
    <row r="257" spans="1:48">
      <c r="AA257" s="2595"/>
      <c r="AB257" s="2595"/>
      <c r="AC257" s="2595"/>
      <c r="AD257" s="2595"/>
      <c r="AE257" s="2595"/>
      <c r="AF257" s="2595"/>
      <c r="AG257" s="2595"/>
      <c r="AH257" s="2595"/>
      <c r="AI257" s="2595"/>
      <c r="AJ257" s="2595"/>
      <c r="AK257" s="2595"/>
      <c r="AL257" s="2595"/>
      <c r="AN257" s="2608"/>
      <c r="AO257" s="2608"/>
      <c r="AP257" s="2595"/>
      <c r="AQ257" s="2595"/>
      <c r="AR257" s="2595"/>
      <c r="AS257" s="2595"/>
      <c r="AT257" s="2595"/>
      <c r="AU257" s="2595"/>
      <c r="AV257" s="2595"/>
    </row>
    <row r="258" spans="1:48" s="14" customFormat="1">
      <c r="A258" s="23"/>
      <c r="B258" s="40"/>
      <c r="C258" s="1750" t="s">
        <v>0</v>
      </c>
      <c r="D258" s="70" t="s">
        <v>2709</v>
      </c>
      <c r="E258" s="23"/>
      <c r="F258" s="23"/>
      <c r="G258" s="23"/>
      <c r="H258" s="23"/>
      <c r="I258" s="23"/>
      <c r="J258" s="23"/>
      <c r="K258" s="23"/>
      <c r="L258" s="23"/>
      <c r="M258" s="23"/>
      <c r="O258" s="23"/>
      <c r="P258" s="23"/>
      <c r="Q258" s="23"/>
      <c r="R258" s="23"/>
      <c r="S258" s="23"/>
      <c r="T258" s="23"/>
      <c r="U258" s="23"/>
      <c r="V258" s="23"/>
      <c r="W258" s="23"/>
      <c r="X258" s="23"/>
      <c r="Y258" s="23"/>
      <c r="Z258" s="23"/>
      <c r="AA258" s="2595"/>
      <c r="AB258" s="2595"/>
      <c r="AC258" s="2595"/>
      <c r="AD258" s="2595"/>
      <c r="AE258" s="2595"/>
      <c r="AF258" s="2595"/>
      <c r="AG258" s="2608"/>
      <c r="AH258" s="2608"/>
      <c r="AI258" s="2608"/>
      <c r="AJ258" s="2608"/>
      <c r="AK258" s="2608"/>
      <c r="AL258" s="2608"/>
      <c r="AN258" s="2608"/>
      <c r="AO258" s="2608"/>
      <c r="AP258" s="2595"/>
      <c r="AQ258" s="2595"/>
      <c r="AR258" s="2595"/>
      <c r="AS258" s="2595"/>
      <c r="AT258" s="2595"/>
      <c r="AU258" s="2608"/>
      <c r="AV258" s="2608"/>
    </row>
    <row r="259" spans="1:48">
      <c r="D259" s="70" t="s">
        <v>1366</v>
      </c>
      <c r="M259" s="70" t="s">
        <v>1715</v>
      </c>
      <c r="AA259" s="2595"/>
      <c r="AB259" s="2595"/>
      <c r="AC259" s="2595"/>
      <c r="AD259" s="2595"/>
      <c r="AE259" s="2595"/>
      <c r="AF259" s="2595"/>
      <c r="AG259" s="2595"/>
      <c r="AH259" s="2595"/>
      <c r="AI259" s="2595"/>
      <c r="AJ259" s="2595"/>
      <c r="AK259" s="2595"/>
      <c r="AL259" s="2595"/>
      <c r="AN259" s="2608"/>
      <c r="AO259" s="2608"/>
      <c r="AP259" s="2595"/>
      <c r="AQ259" s="2595"/>
      <c r="AR259" s="2595"/>
      <c r="AS259" s="2595"/>
      <c r="AT259" s="2595"/>
      <c r="AU259" s="2595"/>
      <c r="AV259" s="2595"/>
    </row>
    <row r="260" spans="1:48" s="14" customFormat="1">
      <c r="A260" s="23"/>
      <c r="B260" s="40"/>
      <c r="C260" s="23"/>
      <c r="D260" s="70" t="s">
        <v>1367</v>
      </c>
      <c r="E260" s="23"/>
      <c r="F260" s="23"/>
      <c r="G260" s="23"/>
      <c r="H260" s="23"/>
      <c r="I260" s="23"/>
      <c r="J260" s="1750" t="s">
        <v>0</v>
      </c>
      <c r="K260" s="1849" t="str">
        <f>IF(G252,Scholarship_NotW2,"")</f>
        <v/>
      </c>
      <c r="L260" s="23"/>
      <c r="M260" s="70" t="s">
        <v>5666</v>
      </c>
      <c r="O260" s="23"/>
      <c r="P260" s="23"/>
      <c r="Q260" s="23"/>
      <c r="R260" s="23"/>
      <c r="S260" s="23"/>
      <c r="T260" s="23"/>
      <c r="U260" s="23"/>
      <c r="V260" s="23"/>
      <c r="W260" s="23"/>
      <c r="X260" s="23"/>
      <c r="Y260" s="23"/>
      <c r="Z260" s="23"/>
      <c r="AA260" s="2595"/>
      <c r="AB260" s="2595"/>
      <c r="AC260" s="2595"/>
      <c r="AD260" s="2595"/>
      <c r="AE260" s="2595"/>
      <c r="AF260" s="2595"/>
      <c r="AG260" s="2608"/>
      <c r="AH260" s="2608"/>
      <c r="AI260" s="2608"/>
      <c r="AJ260" s="2608"/>
      <c r="AK260" s="2608"/>
      <c r="AL260" s="2608"/>
      <c r="AN260" s="2608"/>
      <c r="AO260" s="2608"/>
      <c r="AP260" s="2595"/>
      <c r="AQ260" s="2595"/>
      <c r="AR260" s="2595"/>
      <c r="AS260" s="2595"/>
      <c r="AT260" s="2595"/>
      <c r="AU260" s="2608"/>
      <c r="AV260" s="2608"/>
    </row>
    <row r="261" spans="1:48" s="14" customFormat="1">
      <c r="A261" s="23"/>
      <c r="B261" s="40"/>
      <c r="C261" s="23"/>
      <c r="D261" s="23"/>
      <c r="E261" s="23"/>
      <c r="F261" s="23"/>
      <c r="G261" s="23"/>
      <c r="H261" s="23"/>
      <c r="I261" s="23"/>
      <c r="J261" s="23"/>
      <c r="K261" s="23"/>
      <c r="L261" s="23"/>
      <c r="M261" s="70" t="s">
        <v>5738</v>
      </c>
      <c r="O261" s="23"/>
      <c r="P261" s="23"/>
      <c r="Q261" s="23"/>
      <c r="R261" s="23"/>
      <c r="S261" s="23"/>
      <c r="T261" s="23"/>
      <c r="U261" s="23"/>
      <c r="V261" s="23"/>
      <c r="W261" s="23"/>
      <c r="X261" s="23"/>
      <c r="Y261" s="23"/>
      <c r="Z261" s="23"/>
      <c r="AA261" s="2595"/>
      <c r="AB261" s="2595"/>
      <c r="AC261" s="2595"/>
      <c r="AD261" s="2595"/>
      <c r="AE261" s="2595"/>
      <c r="AF261" s="2595"/>
      <c r="AG261" s="2608"/>
      <c r="AH261" s="2608"/>
      <c r="AI261" s="2608"/>
      <c r="AJ261" s="2608"/>
      <c r="AK261" s="2608"/>
      <c r="AL261" s="2608"/>
      <c r="AN261" s="2608"/>
      <c r="AO261" s="2608"/>
      <c r="AP261" s="2595"/>
      <c r="AQ261" s="2595"/>
      <c r="AR261" s="2595"/>
      <c r="AS261" s="2595"/>
      <c r="AT261" s="2595"/>
      <c r="AU261" s="2608"/>
      <c r="AV261" s="2608"/>
    </row>
    <row r="262" spans="1:48">
      <c r="C262" s="1750" t="s">
        <v>1</v>
      </c>
      <c r="D262" s="70" t="s">
        <v>2710</v>
      </c>
      <c r="M262" s="70" t="s">
        <v>5737</v>
      </c>
      <c r="AA262" s="2595"/>
      <c r="AB262" s="2595"/>
      <c r="AC262" s="2595"/>
      <c r="AD262" s="2595"/>
      <c r="AE262" s="2595"/>
      <c r="AF262" s="2595"/>
      <c r="AG262" s="2595"/>
      <c r="AH262" s="2595"/>
      <c r="AI262" s="2595"/>
      <c r="AJ262" s="2595"/>
      <c r="AK262" s="2595"/>
      <c r="AL262" s="2595"/>
      <c r="AN262" s="2608"/>
      <c r="AO262" s="2608"/>
      <c r="AP262" s="2595"/>
      <c r="AQ262" s="2595"/>
      <c r="AR262" s="2595"/>
      <c r="AS262" s="2595"/>
      <c r="AT262" s="2595"/>
      <c r="AU262" s="2595"/>
      <c r="AV262" s="2595"/>
    </row>
    <row r="263" spans="1:48" s="14" customFormat="1">
      <c r="A263" s="23"/>
      <c r="B263" s="40"/>
      <c r="C263" s="23"/>
      <c r="D263" s="70" t="s">
        <v>1368</v>
      </c>
      <c r="E263" s="23"/>
      <c r="F263" s="23"/>
      <c r="G263" s="23"/>
      <c r="H263" s="23"/>
      <c r="I263" s="23"/>
      <c r="J263" s="23"/>
      <c r="K263" s="23"/>
      <c r="L263" s="23"/>
      <c r="M263" s="23"/>
      <c r="O263" s="23"/>
      <c r="P263" s="23"/>
      <c r="Q263" s="23"/>
      <c r="R263" s="23"/>
      <c r="S263" s="23"/>
      <c r="T263" s="23"/>
      <c r="U263" s="23"/>
      <c r="V263" s="23"/>
      <c r="W263" s="23"/>
      <c r="X263" s="23"/>
      <c r="Y263" s="23"/>
      <c r="Z263" s="23"/>
      <c r="AA263" s="2595"/>
      <c r="AB263" s="2595"/>
      <c r="AC263" s="2595"/>
      <c r="AD263" s="2595"/>
      <c r="AE263" s="2595"/>
      <c r="AF263" s="2595"/>
      <c r="AG263" s="2608"/>
      <c r="AH263" s="2608"/>
      <c r="AI263" s="2608"/>
      <c r="AJ263" s="2608"/>
      <c r="AK263" s="2608"/>
      <c r="AL263" s="2608"/>
      <c r="AN263" s="2608"/>
      <c r="AO263" s="2608"/>
      <c r="AP263" s="2595"/>
      <c r="AQ263" s="2595"/>
      <c r="AR263" s="2595"/>
      <c r="AS263" s="2595"/>
      <c r="AT263" s="2595"/>
      <c r="AU263" s="2608"/>
      <c r="AV263" s="2608"/>
    </row>
    <row r="264" spans="1:48" s="14" customFormat="1">
      <c r="A264" s="23"/>
      <c r="B264" s="40"/>
      <c r="C264" s="23"/>
      <c r="D264" s="70" t="s">
        <v>1369</v>
      </c>
      <c r="E264" s="23"/>
      <c r="F264" s="23"/>
      <c r="G264" s="23"/>
      <c r="H264" s="23"/>
      <c r="I264" s="23"/>
      <c r="J264" s="23"/>
      <c r="K264" s="23"/>
      <c r="L264" s="23"/>
      <c r="M264" s="23"/>
      <c r="O264" s="23"/>
      <c r="P264" s="23"/>
      <c r="Q264" s="23"/>
      <c r="R264" s="23"/>
      <c r="S264" s="23"/>
      <c r="T264" s="23"/>
      <c r="U264" s="23"/>
      <c r="V264" s="23"/>
      <c r="W264" s="23"/>
      <c r="X264" s="23"/>
      <c r="Y264" s="23"/>
      <c r="Z264" s="23"/>
      <c r="AA264" s="2595"/>
      <c r="AB264" s="2595"/>
      <c r="AC264" s="2595"/>
      <c r="AD264" s="2595"/>
      <c r="AE264" s="2595"/>
      <c r="AF264" s="2595"/>
      <c r="AG264" s="2608"/>
      <c r="AH264" s="2608"/>
      <c r="AI264" s="2608"/>
      <c r="AJ264" s="2608"/>
      <c r="AK264" s="2608"/>
      <c r="AL264" s="2608"/>
      <c r="AN264" s="2608"/>
      <c r="AO264" s="2608"/>
      <c r="AP264" s="2595"/>
      <c r="AQ264" s="2595"/>
      <c r="AR264" s="2595"/>
      <c r="AS264" s="2595"/>
      <c r="AT264" s="2595"/>
      <c r="AU264" s="2608"/>
      <c r="AV264" s="2608"/>
    </row>
    <row r="265" spans="1:48">
      <c r="D265" s="70" t="s">
        <v>1370</v>
      </c>
      <c r="AA265" s="2595"/>
      <c r="AB265" s="2595"/>
      <c r="AC265" s="2595"/>
      <c r="AD265" s="2595"/>
      <c r="AE265" s="2595"/>
      <c r="AF265" s="2595"/>
      <c r="AG265" s="2595"/>
      <c r="AH265" s="2595"/>
      <c r="AI265" s="2595"/>
      <c r="AJ265" s="2595"/>
      <c r="AK265" s="2595"/>
      <c r="AL265" s="2595"/>
      <c r="AN265" s="2608"/>
      <c r="AO265" s="2608"/>
      <c r="AP265" s="2595"/>
      <c r="AQ265" s="2595"/>
      <c r="AR265" s="2595"/>
      <c r="AS265" s="2595"/>
      <c r="AT265" s="2595"/>
      <c r="AU265" s="2595"/>
      <c r="AV265" s="2595"/>
    </row>
    <row r="266" spans="1:48" s="14" customFormat="1">
      <c r="A266" s="23"/>
      <c r="B266" s="40"/>
      <c r="C266" s="23"/>
      <c r="D266" s="70" t="s">
        <v>2711</v>
      </c>
      <c r="E266" s="23"/>
      <c r="F266" s="23"/>
      <c r="G266" s="23"/>
      <c r="H266" s="23"/>
      <c r="I266" s="23"/>
      <c r="J266" s="1750" t="s">
        <v>1</v>
      </c>
      <c r="K266" s="1849" t="str">
        <f>IF(G252,InmateIncome,"")</f>
        <v/>
      </c>
      <c r="L266" s="23"/>
      <c r="M266" s="23"/>
      <c r="O266" s="23"/>
      <c r="P266" s="23"/>
      <c r="Q266" s="23"/>
      <c r="R266" s="23"/>
      <c r="S266" s="23"/>
      <c r="T266" s="23"/>
      <c r="U266" s="23"/>
      <c r="V266" s="23"/>
      <c r="W266" s="23"/>
      <c r="X266" s="23"/>
      <c r="Y266" s="23"/>
      <c r="Z266" s="23"/>
      <c r="AA266" s="2595"/>
      <c r="AB266" s="2595"/>
      <c r="AC266" s="2595"/>
      <c r="AD266" s="2595"/>
      <c r="AE266" s="2595"/>
      <c r="AF266" s="2595"/>
      <c r="AG266" s="2608"/>
      <c r="AH266" s="2608"/>
      <c r="AI266" s="2608"/>
      <c r="AJ266" s="2608"/>
      <c r="AK266" s="2608"/>
      <c r="AL266" s="2608"/>
      <c r="AN266" s="2611"/>
      <c r="AO266" s="2608"/>
      <c r="AP266" s="2595"/>
      <c r="AQ266" s="2595"/>
      <c r="AR266" s="2595"/>
      <c r="AS266" s="2595"/>
      <c r="AT266" s="2595"/>
      <c r="AU266" s="2608"/>
      <c r="AV266" s="2608"/>
    </row>
    <row r="267" spans="1:48" s="14" customFormat="1">
      <c r="A267" s="23"/>
      <c r="B267" s="40"/>
      <c r="C267" s="23"/>
      <c r="D267" s="23"/>
      <c r="E267" s="23"/>
      <c r="F267" s="23"/>
      <c r="G267" s="23"/>
      <c r="H267" s="23"/>
      <c r="I267" s="23"/>
      <c r="J267" s="23"/>
      <c r="K267" s="23"/>
      <c r="L267" s="23"/>
      <c r="M267" s="23"/>
      <c r="O267" s="23"/>
      <c r="P267" s="23"/>
      <c r="Q267" s="23"/>
      <c r="R267" s="23"/>
      <c r="S267" s="23"/>
      <c r="T267" s="23"/>
      <c r="U267" s="23"/>
      <c r="V267" s="23"/>
      <c r="W267" s="23"/>
      <c r="X267" s="23"/>
      <c r="Y267" s="23"/>
      <c r="Z267" s="23"/>
      <c r="AA267" s="2595"/>
      <c r="AB267" s="2595"/>
      <c r="AC267" s="2595"/>
      <c r="AD267" s="2595"/>
      <c r="AE267" s="2595"/>
      <c r="AF267" s="2595"/>
      <c r="AG267" s="2608"/>
      <c r="AH267" s="2608"/>
      <c r="AI267" s="2608"/>
      <c r="AJ267" s="2608"/>
      <c r="AK267" s="2608"/>
      <c r="AL267" s="2608"/>
      <c r="AN267" s="2608"/>
      <c r="AO267" s="2608"/>
      <c r="AP267" s="2595"/>
      <c r="AQ267" s="2595"/>
      <c r="AR267" s="2595"/>
      <c r="AS267" s="2595"/>
      <c r="AT267" s="2595"/>
      <c r="AU267" s="2608"/>
      <c r="AV267" s="2608"/>
    </row>
    <row r="268" spans="1:48" s="14" customFormat="1">
      <c r="A268" s="23"/>
      <c r="B268" s="40"/>
      <c r="C268" s="1750" t="s">
        <v>399</v>
      </c>
      <c r="D268" s="70" t="s">
        <v>3422</v>
      </c>
      <c r="E268" s="23"/>
      <c r="F268" s="23"/>
      <c r="G268" s="23"/>
      <c r="H268" s="23"/>
      <c r="I268" s="23"/>
      <c r="J268" s="23"/>
      <c r="K268" s="23"/>
      <c r="L268" s="23"/>
      <c r="M268" s="23"/>
      <c r="O268" s="23"/>
      <c r="P268" s="23"/>
      <c r="Q268" s="23"/>
      <c r="R268" s="23"/>
      <c r="S268" s="23"/>
      <c r="T268" s="23"/>
      <c r="U268" s="23"/>
      <c r="V268" s="23"/>
      <c r="W268" s="23"/>
      <c r="X268" s="23"/>
      <c r="Y268" s="23"/>
      <c r="Z268" s="23"/>
      <c r="AA268" s="2595"/>
      <c r="AB268" s="2595"/>
      <c r="AC268" s="2595"/>
      <c r="AD268" s="2595"/>
      <c r="AE268" s="2595"/>
      <c r="AF268" s="2595"/>
      <c r="AG268" s="2608"/>
      <c r="AH268" s="2608"/>
      <c r="AI268" s="2608"/>
      <c r="AJ268" s="2608"/>
      <c r="AK268" s="2608"/>
      <c r="AL268" s="2608"/>
      <c r="AN268" s="2608"/>
      <c r="AO268" s="2608"/>
      <c r="AP268" s="2595"/>
      <c r="AQ268" s="2595"/>
      <c r="AR268" s="2595"/>
      <c r="AS268" s="2595"/>
      <c r="AT268" s="2595"/>
      <c r="AU268" s="2608"/>
      <c r="AV268" s="2608"/>
    </row>
    <row r="269" spans="1:48" s="14" customFormat="1">
      <c r="A269" s="23"/>
      <c r="B269" s="40"/>
      <c r="C269" s="23"/>
      <c r="D269" s="70" t="s">
        <v>3421</v>
      </c>
      <c r="E269" s="23"/>
      <c r="F269" s="23"/>
      <c r="G269" s="23"/>
      <c r="H269" s="23"/>
      <c r="I269" s="23"/>
      <c r="J269" s="23"/>
      <c r="K269" s="23"/>
      <c r="L269" s="23"/>
      <c r="M269" s="23"/>
      <c r="O269" s="23"/>
      <c r="P269" s="23"/>
      <c r="Q269" s="23"/>
      <c r="R269" s="23"/>
      <c r="S269" s="23"/>
      <c r="T269" s="23"/>
      <c r="U269" s="23"/>
      <c r="V269" s="23"/>
      <c r="W269" s="23"/>
      <c r="X269" s="23"/>
      <c r="Y269" s="23"/>
      <c r="Z269" s="23"/>
      <c r="AA269" s="2595"/>
      <c r="AB269" s="2595"/>
      <c r="AC269" s="2595"/>
      <c r="AD269" s="2595"/>
      <c r="AE269" s="2595"/>
      <c r="AF269" s="2595"/>
      <c r="AG269" s="2608"/>
      <c r="AH269" s="2608"/>
      <c r="AI269" s="2608"/>
      <c r="AJ269" s="2608"/>
      <c r="AK269" s="2608"/>
      <c r="AL269" s="2608"/>
      <c r="AN269" s="2608"/>
      <c r="AO269" s="2608"/>
      <c r="AP269" s="2595"/>
      <c r="AQ269" s="2595"/>
      <c r="AR269" s="2595"/>
      <c r="AS269" s="2595"/>
      <c r="AT269" s="2595"/>
      <c r="AU269" s="2608"/>
      <c r="AV269" s="2608"/>
    </row>
    <row r="270" spans="1:48" s="14" customFormat="1">
      <c r="A270" s="23"/>
      <c r="B270" s="40"/>
      <c r="C270" s="23"/>
      <c r="D270" s="70" t="s">
        <v>3423</v>
      </c>
      <c r="E270" s="23"/>
      <c r="F270" s="23"/>
      <c r="G270" s="23"/>
      <c r="H270" s="23"/>
      <c r="I270" s="23"/>
      <c r="J270" s="23"/>
      <c r="K270" s="23"/>
      <c r="L270" s="23"/>
      <c r="M270" s="23"/>
      <c r="O270" s="23"/>
      <c r="P270" s="23"/>
      <c r="Q270" s="23"/>
      <c r="R270" s="23"/>
      <c r="S270" s="23"/>
      <c r="T270" s="23"/>
      <c r="U270" s="23"/>
      <c r="V270" s="23"/>
      <c r="W270" s="23"/>
      <c r="X270" s="23"/>
      <c r="Y270" s="23"/>
      <c r="Z270" s="23"/>
      <c r="AA270" s="2595"/>
      <c r="AB270" s="2595"/>
      <c r="AC270" s="2595"/>
      <c r="AD270" s="2595"/>
      <c r="AE270" s="2595"/>
      <c r="AF270" s="2595"/>
      <c r="AG270" s="2608"/>
      <c r="AH270" s="2608"/>
      <c r="AI270" s="2608"/>
      <c r="AJ270" s="2608"/>
      <c r="AK270" s="2608"/>
      <c r="AL270" s="2608"/>
      <c r="AN270" s="2608"/>
      <c r="AO270" s="2608"/>
      <c r="AP270" s="2595"/>
      <c r="AQ270" s="2595"/>
      <c r="AR270" s="2595"/>
      <c r="AS270" s="2595"/>
      <c r="AT270" s="2595"/>
      <c r="AU270" s="2608"/>
      <c r="AV270" s="2608"/>
    </row>
    <row r="271" spans="1:48" s="14" customFormat="1">
      <c r="A271" s="23"/>
      <c r="B271" s="40"/>
      <c r="C271" s="23"/>
      <c r="D271" s="70" t="s">
        <v>3420</v>
      </c>
      <c r="E271" s="23"/>
      <c r="F271" s="23"/>
      <c r="G271" s="23"/>
      <c r="H271" s="23"/>
      <c r="I271" s="23"/>
      <c r="J271" s="23"/>
      <c r="K271" s="23"/>
      <c r="L271" s="23"/>
      <c r="M271" s="23"/>
      <c r="O271" s="23"/>
      <c r="P271" s="23"/>
      <c r="Q271" s="23"/>
      <c r="R271" s="23"/>
      <c r="S271" s="23"/>
      <c r="T271" s="23"/>
      <c r="U271" s="23"/>
      <c r="V271" s="23"/>
      <c r="W271" s="23"/>
      <c r="X271" s="23"/>
      <c r="Y271" s="23"/>
      <c r="Z271" s="23"/>
      <c r="AA271" s="2595"/>
      <c r="AB271" s="2595"/>
      <c r="AC271" s="2595"/>
      <c r="AD271" s="2595"/>
      <c r="AE271" s="2595"/>
      <c r="AF271" s="2595"/>
      <c r="AG271" s="2608"/>
      <c r="AH271" s="2608"/>
      <c r="AI271" s="2608"/>
      <c r="AJ271" s="2608"/>
      <c r="AK271" s="2608"/>
      <c r="AL271" s="2608"/>
      <c r="AN271" s="2608"/>
      <c r="AO271" s="2608"/>
      <c r="AP271" s="2595"/>
      <c r="AQ271" s="2595"/>
      <c r="AR271" s="2595"/>
      <c r="AS271" s="2595"/>
      <c r="AT271" s="2595"/>
      <c r="AU271" s="2608"/>
      <c r="AV271" s="2608"/>
    </row>
    <row r="272" spans="1:48" s="14" customFormat="1">
      <c r="A272" s="23"/>
      <c r="B272" s="40"/>
      <c r="C272" s="23"/>
      <c r="D272" s="23" t="s">
        <v>1371</v>
      </c>
      <c r="E272" s="23"/>
      <c r="F272" s="23"/>
      <c r="G272" s="23"/>
      <c r="H272" s="23"/>
      <c r="I272" s="23"/>
      <c r="J272" s="23"/>
      <c r="K272" s="23"/>
      <c r="L272" s="23"/>
      <c r="M272" s="23"/>
      <c r="O272" s="23"/>
      <c r="P272" s="23"/>
      <c r="Q272" s="23"/>
      <c r="R272" s="23"/>
      <c r="S272" s="23"/>
      <c r="T272" s="23"/>
      <c r="U272" s="23"/>
      <c r="V272" s="23"/>
      <c r="W272" s="23"/>
      <c r="X272" s="23"/>
      <c r="Y272" s="23"/>
      <c r="Z272" s="23"/>
      <c r="AA272" s="2595"/>
      <c r="AB272" s="2595"/>
      <c r="AC272" s="2595"/>
      <c r="AD272" s="2595"/>
      <c r="AE272" s="2595"/>
      <c r="AF272" s="2595"/>
      <c r="AG272" s="2608"/>
      <c r="AH272" s="2608"/>
      <c r="AI272" s="2608"/>
      <c r="AJ272" s="2608"/>
      <c r="AK272" s="2608"/>
      <c r="AL272" s="2608"/>
      <c r="AN272" s="2608"/>
      <c r="AO272" s="2608"/>
      <c r="AP272" s="2595"/>
      <c r="AQ272" s="2595"/>
      <c r="AR272" s="2595"/>
      <c r="AS272" s="2595"/>
      <c r="AT272" s="2595"/>
      <c r="AU272" s="2608"/>
      <c r="AV272" s="2608"/>
    </row>
    <row r="273" spans="1:48" s="14" customFormat="1">
      <c r="A273" s="23"/>
      <c r="B273" s="40"/>
      <c r="C273" s="23"/>
      <c r="D273" s="70" t="s">
        <v>3424</v>
      </c>
      <c r="E273" s="23"/>
      <c r="F273" s="23"/>
      <c r="G273" s="23"/>
      <c r="H273" s="23"/>
      <c r="I273" s="23"/>
      <c r="J273" s="23"/>
      <c r="K273" s="23"/>
      <c r="L273" s="23"/>
      <c r="M273" s="23"/>
      <c r="O273" s="23"/>
      <c r="P273" s="23"/>
      <c r="Q273" s="23"/>
      <c r="R273" s="23"/>
      <c r="S273" s="23"/>
      <c r="T273" s="23"/>
      <c r="U273" s="23"/>
      <c r="V273" s="23"/>
      <c r="W273" s="23"/>
      <c r="X273" s="23"/>
      <c r="Y273" s="23"/>
      <c r="Z273" s="23"/>
      <c r="AA273" s="2595"/>
      <c r="AB273" s="2595"/>
      <c r="AC273" s="2595"/>
      <c r="AD273" s="2595"/>
      <c r="AE273" s="2595"/>
      <c r="AF273" s="2595"/>
      <c r="AG273" s="2608"/>
      <c r="AH273" s="2608"/>
      <c r="AI273" s="2608"/>
      <c r="AJ273" s="2608"/>
      <c r="AK273" s="2608"/>
      <c r="AL273" s="2608"/>
      <c r="AN273" s="2608"/>
      <c r="AO273" s="2608"/>
      <c r="AP273" s="2595"/>
      <c r="AQ273" s="2595"/>
      <c r="AR273" s="2595"/>
      <c r="AS273" s="2595"/>
      <c r="AT273" s="2595"/>
      <c r="AU273" s="2608"/>
      <c r="AV273" s="2608"/>
    </row>
    <row r="274" spans="1:48" s="14" customFormat="1">
      <c r="A274" s="23"/>
      <c r="B274" s="40"/>
      <c r="C274" s="23"/>
      <c r="D274" s="70" t="s">
        <v>3425</v>
      </c>
      <c r="E274" s="23"/>
      <c r="F274" s="23"/>
      <c r="G274" s="23"/>
      <c r="H274" s="23"/>
      <c r="I274" s="23"/>
      <c r="J274" s="23"/>
      <c r="K274" s="23"/>
      <c r="L274" s="23"/>
      <c r="M274" s="23"/>
      <c r="O274" s="23"/>
      <c r="P274" s="23"/>
      <c r="Q274" s="23"/>
      <c r="R274" s="23"/>
      <c r="S274" s="23"/>
      <c r="T274" s="23"/>
      <c r="U274" s="23"/>
      <c r="V274" s="23"/>
      <c r="W274" s="23"/>
      <c r="X274" s="23"/>
      <c r="Y274" s="23"/>
      <c r="Z274" s="23"/>
      <c r="AA274" s="2595"/>
      <c r="AB274" s="2595"/>
      <c r="AC274" s="2595"/>
      <c r="AD274" s="2595"/>
      <c r="AE274" s="2595"/>
      <c r="AF274" s="2595"/>
      <c r="AG274" s="2608"/>
      <c r="AH274" s="2608"/>
      <c r="AI274" s="2608"/>
      <c r="AJ274" s="2608"/>
      <c r="AK274" s="2608"/>
      <c r="AL274" s="2608"/>
      <c r="AN274" s="2608"/>
      <c r="AO274" s="2608"/>
      <c r="AP274" s="2595"/>
      <c r="AQ274" s="2595"/>
      <c r="AR274" s="2595"/>
      <c r="AS274" s="2595"/>
      <c r="AT274" s="2595"/>
      <c r="AU274" s="2608"/>
      <c r="AV274" s="2608"/>
    </row>
    <row r="275" spans="1:48">
      <c r="D275" s="70" t="s">
        <v>1372</v>
      </c>
      <c r="AA275" s="2595"/>
      <c r="AB275" s="2595"/>
      <c r="AC275" s="2595"/>
      <c r="AD275" s="2595"/>
      <c r="AE275" s="2595"/>
      <c r="AF275" s="2595"/>
      <c r="AG275" s="2595"/>
      <c r="AH275" s="2595"/>
      <c r="AI275" s="2595"/>
      <c r="AJ275" s="2595"/>
      <c r="AK275" s="2595"/>
      <c r="AL275" s="2595"/>
      <c r="AN275" s="2608"/>
      <c r="AO275" s="2608"/>
      <c r="AP275" s="2595"/>
      <c r="AQ275" s="2595"/>
      <c r="AR275" s="2595"/>
      <c r="AS275" s="2595"/>
      <c r="AT275" s="2595"/>
      <c r="AU275" s="2595"/>
      <c r="AV275" s="2595"/>
    </row>
    <row r="276" spans="1:48" s="14" customFormat="1">
      <c r="A276" s="23"/>
      <c r="B276" s="40"/>
      <c r="C276" s="23"/>
      <c r="D276" s="70" t="s">
        <v>1373</v>
      </c>
      <c r="E276" s="23"/>
      <c r="F276" s="23"/>
      <c r="G276" s="23"/>
      <c r="H276" s="23"/>
      <c r="I276" s="23"/>
      <c r="J276" s="1750" t="s">
        <v>399</v>
      </c>
      <c r="K276" s="1849" t="str">
        <f>IF(G252,DeferredIncomeNQ,"")</f>
        <v/>
      </c>
      <c r="L276" s="23"/>
      <c r="M276" s="23"/>
      <c r="O276" s="23"/>
      <c r="P276" s="23"/>
      <c r="Q276" s="23"/>
      <c r="R276" s="23"/>
      <c r="S276" s="23"/>
      <c r="T276" s="23"/>
      <c r="U276" s="23"/>
      <c r="V276" s="23"/>
      <c r="W276" s="23"/>
      <c r="X276" s="23"/>
      <c r="Y276" s="23"/>
      <c r="Z276" s="23"/>
      <c r="AA276" s="2595"/>
      <c r="AB276" s="2595"/>
      <c r="AC276" s="2595"/>
      <c r="AD276" s="2595"/>
      <c r="AE276" s="2595"/>
      <c r="AF276" s="2595"/>
      <c r="AG276" s="2608"/>
      <c r="AH276" s="2608"/>
      <c r="AI276" s="2608"/>
      <c r="AJ276" s="2608"/>
      <c r="AK276" s="2608"/>
      <c r="AL276" s="2608"/>
      <c r="AN276" s="2611"/>
      <c r="AO276" s="2608"/>
      <c r="AP276" s="2595"/>
      <c r="AQ276" s="2595"/>
      <c r="AR276" s="2595"/>
      <c r="AS276" s="2595"/>
      <c r="AT276" s="2595"/>
      <c r="AU276" s="2608"/>
      <c r="AV276" s="2608"/>
    </row>
    <row r="277" spans="1:48">
      <c r="V277" s="1749"/>
      <c r="X277" s="1749"/>
      <c r="AA277" s="2595"/>
      <c r="AB277" s="2595"/>
      <c r="AC277" s="2595"/>
      <c r="AD277" s="2595"/>
      <c r="AE277" s="2595"/>
      <c r="AF277" s="2595"/>
      <c r="AG277" s="2595"/>
      <c r="AH277" s="2595"/>
      <c r="AI277" s="2595"/>
      <c r="AJ277" s="2595"/>
      <c r="AK277" s="2595"/>
      <c r="AL277" s="2595"/>
      <c r="AN277" s="2608"/>
      <c r="AO277" s="2608"/>
      <c r="AP277" s="2595"/>
      <c r="AQ277" s="2595"/>
      <c r="AR277" s="2595"/>
      <c r="AS277" s="2595"/>
      <c r="AT277" s="2595"/>
      <c r="AU277" s="2595"/>
      <c r="AV277" s="2595"/>
    </row>
    <row r="278" spans="1:48" s="14" customFormat="1">
      <c r="A278" s="23"/>
      <c r="B278" s="40"/>
      <c r="C278" s="1750" t="s">
        <v>31</v>
      </c>
      <c r="D278" s="70" t="s">
        <v>4298</v>
      </c>
      <c r="E278" s="23"/>
      <c r="F278" s="23"/>
      <c r="G278" s="23"/>
      <c r="H278" s="23"/>
      <c r="I278" s="23"/>
      <c r="J278" s="23"/>
      <c r="K278" s="23"/>
      <c r="L278" s="23"/>
      <c r="M278" s="23"/>
      <c r="O278" s="23"/>
      <c r="P278" s="23"/>
      <c r="Q278" s="23"/>
      <c r="R278" s="23"/>
      <c r="S278" s="23"/>
      <c r="T278" s="23"/>
      <c r="U278" s="23"/>
      <c r="V278" s="23"/>
      <c r="W278" s="23"/>
      <c r="X278" s="23"/>
      <c r="Y278" s="23"/>
      <c r="Z278" s="23"/>
      <c r="AA278" s="2595"/>
      <c r="AB278" s="2595"/>
      <c r="AC278" s="2595"/>
      <c r="AD278" s="2595"/>
      <c r="AE278" s="2595"/>
      <c r="AF278" s="2595"/>
      <c r="AG278" s="2608"/>
      <c r="AH278" s="2608"/>
      <c r="AI278" s="2608"/>
      <c r="AJ278" s="2608"/>
      <c r="AK278" s="2608"/>
      <c r="AL278" s="2608"/>
      <c r="AN278" s="2608"/>
      <c r="AO278" s="2608"/>
      <c r="AP278" s="2595"/>
      <c r="AQ278" s="2595"/>
      <c r="AR278" s="2595"/>
      <c r="AS278" s="2595"/>
      <c r="AT278" s="2595"/>
      <c r="AU278" s="2608"/>
      <c r="AV278" s="2608"/>
    </row>
    <row r="279" spans="1:48" s="14" customFormat="1">
      <c r="A279" s="23"/>
      <c r="B279" s="40"/>
      <c r="C279" s="23"/>
      <c r="D279" s="70" t="s">
        <v>4299</v>
      </c>
      <c r="E279" s="23"/>
      <c r="F279" s="23"/>
      <c r="G279" s="23"/>
      <c r="H279" s="23"/>
      <c r="I279" s="23"/>
      <c r="J279" s="23"/>
      <c r="K279" s="23"/>
      <c r="L279" s="23"/>
      <c r="M279" s="23"/>
      <c r="O279" s="23"/>
      <c r="P279" s="23"/>
      <c r="Q279" s="23"/>
      <c r="R279" s="23"/>
      <c r="S279" s="23"/>
      <c r="T279" s="23"/>
      <c r="U279" s="23"/>
      <c r="V279" s="23"/>
      <c r="W279" s="23"/>
      <c r="X279" s="23"/>
      <c r="Y279" s="23"/>
      <c r="Z279" s="23"/>
      <c r="AA279" s="2595"/>
      <c r="AB279" s="2595"/>
      <c r="AC279" s="2595"/>
      <c r="AD279" s="2595"/>
      <c r="AE279" s="2595"/>
      <c r="AF279" s="2595"/>
      <c r="AG279" s="2608"/>
      <c r="AH279" s="2608"/>
      <c r="AI279" s="2608"/>
      <c r="AJ279" s="2608"/>
      <c r="AK279" s="2608"/>
      <c r="AL279" s="2608"/>
      <c r="AN279" s="2608"/>
      <c r="AO279" s="2608"/>
      <c r="AP279" s="2595"/>
      <c r="AQ279" s="2595"/>
      <c r="AR279" s="2595"/>
      <c r="AS279" s="2595"/>
      <c r="AT279" s="2595"/>
      <c r="AU279" s="2608"/>
      <c r="AV279" s="2608"/>
    </row>
    <row r="280" spans="1:48" s="14" customFormat="1">
      <c r="A280" s="23"/>
      <c r="B280" s="40"/>
      <c r="C280" s="23"/>
      <c r="D280" s="70" t="s">
        <v>4300</v>
      </c>
      <c r="E280" s="23"/>
      <c r="F280" s="23"/>
      <c r="G280" s="23"/>
      <c r="H280" s="23"/>
      <c r="I280" s="23"/>
      <c r="J280" s="23"/>
      <c r="K280" s="23"/>
      <c r="L280" s="23"/>
      <c r="M280" s="23"/>
      <c r="O280" s="23"/>
      <c r="P280" s="23"/>
      <c r="Q280" s="23"/>
      <c r="R280" s="23"/>
      <c r="S280" s="23"/>
      <c r="T280" s="23"/>
      <c r="U280" s="23"/>
      <c r="V280" s="23"/>
      <c r="W280" s="23"/>
      <c r="X280" s="23"/>
      <c r="Y280" s="23"/>
      <c r="Z280" s="23"/>
      <c r="AA280" s="2595"/>
      <c r="AB280" s="2595"/>
      <c r="AC280" s="2595"/>
      <c r="AD280" s="2595"/>
      <c r="AE280" s="2595"/>
      <c r="AF280" s="2595"/>
      <c r="AG280" s="2608"/>
      <c r="AH280" s="2608"/>
      <c r="AI280" s="2608"/>
      <c r="AJ280" s="2608"/>
      <c r="AK280" s="2608"/>
      <c r="AL280" s="2608"/>
      <c r="AN280" s="2608"/>
      <c r="AO280" s="2608"/>
      <c r="AP280" s="2595"/>
      <c r="AQ280" s="2595"/>
      <c r="AR280" s="2595"/>
      <c r="AS280" s="2595"/>
      <c r="AT280" s="2595"/>
      <c r="AU280" s="2608"/>
      <c r="AV280" s="2608"/>
    </row>
    <row r="281" spans="1:48" s="14" customFormat="1">
      <c r="A281" s="23"/>
      <c r="B281" s="40"/>
      <c r="C281" s="23"/>
      <c r="D281" s="70" t="s">
        <v>4301</v>
      </c>
      <c r="E281" s="23"/>
      <c r="F281" s="23"/>
      <c r="G281" s="23"/>
      <c r="H281" s="23"/>
      <c r="I281" s="23"/>
      <c r="J281" s="23"/>
      <c r="K281" s="23"/>
      <c r="L281" s="23"/>
      <c r="M281" s="23"/>
      <c r="O281" s="23"/>
      <c r="P281" s="23"/>
      <c r="Q281" s="23"/>
      <c r="R281" s="23"/>
      <c r="S281" s="23"/>
      <c r="T281" s="23"/>
      <c r="U281" s="23"/>
      <c r="V281" s="23"/>
      <c r="W281" s="23"/>
      <c r="X281" s="23"/>
      <c r="Y281" s="23"/>
      <c r="Z281" s="23"/>
      <c r="AA281" s="2595"/>
      <c r="AB281" s="2595"/>
      <c r="AC281" s="2595"/>
      <c r="AD281" s="2595"/>
      <c r="AE281" s="2595"/>
      <c r="AF281" s="2595"/>
      <c r="AG281" s="2608"/>
      <c r="AH281" s="2608"/>
      <c r="AI281" s="2608"/>
      <c r="AJ281" s="2608"/>
      <c r="AK281" s="2608"/>
      <c r="AL281" s="2608"/>
      <c r="AN281" s="2608"/>
      <c r="AO281" s="2608"/>
      <c r="AP281" s="2595"/>
      <c r="AQ281" s="2595"/>
      <c r="AR281" s="2595"/>
      <c r="AS281" s="2595"/>
      <c r="AT281" s="2595"/>
      <c r="AU281" s="2608"/>
      <c r="AV281" s="2608"/>
    </row>
    <row r="282" spans="1:48" s="14" customFormat="1">
      <c r="A282" s="23"/>
      <c r="B282" s="40"/>
      <c r="C282" s="23"/>
      <c r="D282" s="23" t="s">
        <v>4302</v>
      </c>
      <c r="E282" s="23"/>
      <c r="F282" s="23"/>
      <c r="G282" s="23"/>
      <c r="H282" s="23"/>
      <c r="I282" s="23"/>
      <c r="J282" s="23"/>
      <c r="K282" s="23"/>
      <c r="L282" s="23"/>
      <c r="M282" s="23"/>
      <c r="O282" s="23"/>
      <c r="P282" s="23"/>
      <c r="Q282" s="23"/>
      <c r="R282" s="23"/>
      <c r="S282" s="23"/>
      <c r="T282" s="23"/>
      <c r="U282" s="23"/>
      <c r="V282" s="23"/>
      <c r="W282" s="23"/>
      <c r="X282" s="23"/>
      <c r="Y282" s="23"/>
      <c r="Z282" s="23"/>
      <c r="AA282" s="2595"/>
      <c r="AB282" s="2595"/>
      <c r="AC282" s="2595"/>
      <c r="AD282" s="2595"/>
      <c r="AE282" s="2595"/>
      <c r="AF282" s="2595"/>
      <c r="AG282" s="2608"/>
      <c r="AH282" s="2608"/>
      <c r="AI282" s="2608"/>
      <c r="AJ282" s="2608"/>
      <c r="AK282" s="2608"/>
      <c r="AL282" s="2608"/>
      <c r="AN282" s="2608"/>
      <c r="AO282" s="2608"/>
      <c r="AP282" s="2595"/>
      <c r="AQ282" s="2595"/>
      <c r="AR282" s="2595"/>
      <c r="AS282" s="2595"/>
      <c r="AT282" s="2595"/>
      <c r="AU282" s="2608"/>
      <c r="AV282" s="2608"/>
    </row>
    <row r="283" spans="1:48" s="14" customFormat="1">
      <c r="A283" s="23"/>
      <c r="B283" s="40"/>
      <c r="C283" s="23"/>
      <c r="D283" s="70" t="s">
        <v>4303</v>
      </c>
      <c r="E283" s="23"/>
      <c r="F283" s="23"/>
      <c r="G283" s="23"/>
      <c r="H283" s="23"/>
      <c r="I283" s="23"/>
      <c r="J283" s="1750" t="s">
        <v>31</v>
      </c>
      <c r="K283" s="1849"/>
      <c r="L283" s="23"/>
      <c r="M283" s="23"/>
      <c r="O283" s="23"/>
      <c r="P283" s="23"/>
      <c r="Q283" s="23"/>
      <c r="R283" s="23"/>
      <c r="S283" s="23"/>
      <c r="T283" s="23"/>
      <c r="U283" s="23"/>
      <c r="V283" s="23"/>
      <c r="W283" s="23"/>
      <c r="X283" s="23"/>
      <c r="Y283" s="23"/>
      <c r="Z283" s="23"/>
      <c r="AA283" s="2595"/>
      <c r="AB283" s="2595"/>
      <c r="AC283" s="2595"/>
      <c r="AD283" s="2595"/>
      <c r="AE283" s="2595"/>
      <c r="AF283" s="2595"/>
      <c r="AG283" s="2608"/>
      <c r="AH283" s="2608"/>
      <c r="AI283" s="2608"/>
      <c r="AJ283" s="2608"/>
      <c r="AK283" s="2608"/>
      <c r="AL283" s="2608"/>
      <c r="AN283" s="2611"/>
      <c r="AO283" s="2608"/>
      <c r="AP283" s="2595"/>
      <c r="AQ283" s="2595"/>
      <c r="AR283" s="2595"/>
      <c r="AS283" s="2595"/>
      <c r="AT283" s="2595"/>
      <c r="AU283" s="2608"/>
      <c r="AV283" s="2608"/>
    </row>
    <row r="284" spans="1:48">
      <c r="AA284" s="2595"/>
      <c r="AB284" s="2595"/>
      <c r="AC284" s="2595"/>
      <c r="AD284" s="2595"/>
      <c r="AE284" s="2595"/>
      <c r="AF284" s="2595"/>
      <c r="AG284" s="2595"/>
      <c r="AH284" s="2595"/>
      <c r="AI284" s="2595"/>
      <c r="AJ284" s="2595"/>
      <c r="AK284" s="2595"/>
      <c r="AL284" s="2595"/>
      <c r="AN284" s="2608"/>
      <c r="AO284" s="2608"/>
      <c r="AP284" s="2595"/>
      <c r="AQ284" s="2595"/>
      <c r="AR284" s="2595"/>
      <c r="AS284" s="2595"/>
      <c r="AT284" s="2595"/>
      <c r="AU284" s="2595"/>
      <c r="AV284" s="2595"/>
    </row>
    <row r="285" spans="1:48">
      <c r="C285" s="1750" t="s">
        <v>67</v>
      </c>
      <c r="D285" s="70" t="s">
        <v>4304</v>
      </c>
      <c r="J285" s="1750" t="s">
        <v>67</v>
      </c>
      <c r="K285" s="2045" t="str">
        <f>IF(G252,SUM(K260,K266,K276,K283),"")</f>
        <v/>
      </c>
      <c r="V285" s="1749"/>
      <c r="X285" s="1749"/>
      <c r="AA285" s="2595"/>
      <c r="AB285" s="2595"/>
      <c r="AC285" s="2595"/>
      <c r="AD285" s="2595"/>
      <c r="AE285" s="2595"/>
      <c r="AF285" s="2595"/>
      <c r="AG285" s="2595"/>
      <c r="AH285" s="2595"/>
      <c r="AI285" s="2595"/>
      <c r="AJ285" s="2595"/>
      <c r="AK285" s="2595"/>
      <c r="AL285" s="2595"/>
      <c r="AN285" s="2608"/>
      <c r="AO285" s="2608"/>
      <c r="AP285" s="2595"/>
      <c r="AQ285" s="2595"/>
      <c r="AR285" s="2595"/>
      <c r="AS285" s="2595"/>
      <c r="AT285" s="2595"/>
      <c r="AU285" s="2595"/>
      <c r="AV285" s="2595"/>
    </row>
    <row r="286" spans="1:48">
      <c r="AA286" s="2595"/>
      <c r="AB286" s="2595"/>
      <c r="AC286" s="2595"/>
      <c r="AD286" s="2595"/>
      <c r="AE286" s="2595"/>
      <c r="AF286" s="2595"/>
      <c r="AG286" s="2595"/>
      <c r="AH286" s="2595"/>
      <c r="AI286" s="2595"/>
      <c r="AJ286" s="2595"/>
      <c r="AK286" s="2595"/>
      <c r="AL286" s="2595"/>
      <c r="AN286" s="2608"/>
      <c r="AO286" s="2608"/>
      <c r="AP286" s="2595"/>
      <c r="AQ286" s="2595"/>
      <c r="AR286" s="2595"/>
      <c r="AS286" s="2595"/>
      <c r="AT286" s="2595"/>
      <c r="AU286" s="2595"/>
      <c r="AV286" s="2595"/>
    </row>
    <row r="287" spans="1:48">
      <c r="C287" s="1750" t="s">
        <v>68</v>
      </c>
      <c r="D287" s="70" t="s">
        <v>4305</v>
      </c>
      <c r="J287" s="1750" t="s">
        <v>68</v>
      </c>
      <c r="K287" s="2045" t="str">
        <f>IF(G252,SUM(K256,-K285),"")</f>
        <v/>
      </c>
      <c r="AA287" s="2595"/>
      <c r="AB287" s="2595"/>
      <c r="AC287" s="2595"/>
      <c r="AD287" s="2595"/>
      <c r="AE287" s="2595"/>
      <c r="AF287" s="2595"/>
      <c r="AG287" s="2595"/>
      <c r="AH287" s="2595"/>
      <c r="AI287" s="2595"/>
      <c r="AJ287" s="2595"/>
      <c r="AK287" s="2595"/>
      <c r="AL287" s="2595"/>
      <c r="AN287" s="2608"/>
      <c r="AO287" s="2608"/>
      <c r="AP287" s="2595"/>
      <c r="AQ287" s="2595"/>
      <c r="AR287" s="2595"/>
      <c r="AS287" s="2595"/>
      <c r="AT287" s="2595"/>
      <c r="AU287" s="2595"/>
      <c r="AV287" s="2595"/>
    </row>
    <row r="288" spans="1:48">
      <c r="AA288" s="2595"/>
      <c r="AB288" s="2595"/>
      <c r="AC288" s="2595"/>
      <c r="AD288" s="2595"/>
      <c r="AE288" s="2595"/>
      <c r="AF288" s="2595"/>
      <c r="AG288" s="2595"/>
      <c r="AH288" s="2595"/>
      <c r="AI288" s="2595"/>
      <c r="AJ288" s="2595"/>
      <c r="AK288" s="2595"/>
      <c r="AL288" s="2595"/>
      <c r="AN288" s="2608"/>
      <c r="AO288" s="2608"/>
      <c r="AP288" s="2595"/>
      <c r="AQ288" s="2595"/>
      <c r="AR288" s="2595"/>
      <c r="AS288" s="2595"/>
      <c r="AT288" s="2595"/>
      <c r="AU288" s="2595"/>
      <c r="AV288" s="2595"/>
    </row>
    <row r="289" spans="3:48">
      <c r="C289" s="1750" t="s">
        <v>204</v>
      </c>
      <c r="D289" s="23" t="s">
        <v>1383</v>
      </c>
      <c r="AA289" s="2595"/>
      <c r="AB289" s="2595"/>
      <c r="AC289" s="2595"/>
      <c r="AD289" s="2595"/>
      <c r="AE289" s="2595"/>
      <c r="AF289" s="2595"/>
      <c r="AG289" s="2595"/>
      <c r="AH289" s="2595"/>
      <c r="AI289" s="2595"/>
      <c r="AJ289" s="2595"/>
      <c r="AK289" s="2595"/>
      <c r="AL289" s="2595"/>
      <c r="AN289" s="2608"/>
      <c r="AO289" s="2608"/>
      <c r="AP289" s="2595"/>
      <c r="AQ289" s="2595"/>
      <c r="AR289" s="2595"/>
      <c r="AS289" s="2595"/>
      <c r="AT289" s="2595"/>
      <c r="AU289" s="2595"/>
      <c r="AV289" s="2595"/>
    </row>
    <row r="290" spans="3:48">
      <c r="D290" s="23" t="s">
        <v>1384</v>
      </c>
      <c r="AA290" s="2595"/>
      <c r="AB290" s="2595"/>
      <c r="AC290" s="2595"/>
      <c r="AD290" s="2595"/>
      <c r="AE290" s="2595"/>
      <c r="AF290" s="2595"/>
      <c r="AG290" s="2595"/>
      <c r="AH290" s="2595"/>
      <c r="AI290" s="2595"/>
      <c r="AJ290" s="2595"/>
      <c r="AK290" s="2595"/>
      <c r="AL290" s="2595"/>
      <c r="AN290" s="2608"/>
      <c r="AO290" s="2608"/>
      <c r="AP290" s="2595"/>
      <c r="AQ290" s="2595"/>
      <c r="AR290" s="2595"/>
      <c r="AS290" s="2595"/>
      <c r="AT290" s="2595"/>
      <c r="AU290" s="2595"/>
      <c r="AV290" s="2595"/>
    </row>
    <row r="291" spans="3:48">
      <c r="D291" s="70" t="s">
        <v>5667</v>
      </c>
      <c r="AA291" s="2595"/>
      <c r="AB291" s="2595"/>
      <c r="AC291" s="2595"/>
      <c r="AD291" s="2595"/>
      <c r="AE291" s="2595"/>
      <c r="AF291" s="2595"/>
      <c r="AG291" s="2595"/>
      <c r="AH291" s="2595"/>
      <c r="AI291" s="2595"/>
      <c r="AJ291" s="2595"/>
      <c r="AK291" s="2595"/>
      <c r="AL291" s="2595"/>
      <c r="AN291" s="2608"/>
      <c r="AO291" s="2608"/>
      <c r="AP291" s="2595"/>
      <c r="AQ291" s="2595"/>
      <c r="AR291" s="2595"/>
      <c r="AS291" s="2595"/>
      <c r="AT291" s="2595"/>
      <c r="AU291" s="2595"/>
      <c r="AV291" s="2595"/>
    </row>
    <row r="292" spans="3:48">
      <c r="D292" s="70" t="s">
        <v>5668</v>
      </c>
      <c r="M292" s="1749" t="s">
        <v>90</v>
      </c>
      <c r="AA292" s="2595"/>
      <c r="AB292" s="2595"/>
      <c r="AC292" s="2595"/>
      <c r="AD292" s="2595"/>
      <c r="AE292" s="2595"/>
      <c r="AF292" s="2595"/>
      <c r="AG292" s="2595"/>
      <c r="AH292" s="2595"/>
      <c r="AI292" s="2595"/>
      <c r="AJ292" s="2595"/>
      <c r="AK292" s="2595"/>
      <c r="AL292" s="2595"/>
      <c r="AN292" s="2608"/>
      <c r="AO292" s="2608"/>
      <c r="AP292" s="2595"/>
      <c r="AQ292" s="2595"/>
      <c r="AR292" s="2595"/>
      <c r="AS292" s="2595"/>
      <c r="AT292" s="2595"/>
      <c r="AU292" s="2595"/>
      <c r="AV292" s="2595"/>
    </row>
    <row r="293" spans="3:48" ht="13.5" thickBot="1">
      <c r="D293" s="70"/>
      <c r="M293" s="1749" t="s">
        <v>411</v>
      </c>
      <c r="AA293" s="2595"/>
      <c r="AB293" s="2595"/>
      <c r="AC293" s="2595"/>
      <c r="AD293" s="2595"/>
      <c r="AE293" s="2595"/>
      <c r="AF293" s="2595"/>
      <c r="AG293" s="2595"/>
      <c r="AH293" s="2595"/>
      <c r="AI293" s="2595"/>
      <c r="AJ293" s="2595"/>
      <c r="AK293" s="2595"/>
      <c r="AL293" s="2595"/>
      <c r="AN293" s="2608"/>
      <c r="AO293" s="2608"/>
      <c r="AP293" s="2595"/>
      <c r="AQ293" s="2595"/>
      <c r="AR293" s="2595"/>
      <c r="AS293" s="2595"/>
      <c r="AT293" s="2595"/>
      <c r="AU293" s="2595"/>
      <c r="AV293" s="2595"/>
    </row>
    <row r="294" spans="3:48" ht="13.5" thickBot="1">
      <c r="D294" s="70" t="s">
        <v>5669</v>
      </c>
      <c r="J294" s="1750" t="s">
        <v>204</v>
      </c>
      <c r="K294" s="2045">
        <f>IF(M294&lt;&gt;"",ROUND(M294,0),CombatPayNoTax)</f>
        <v>0</v>
      </c>
      <c r="M294" s="5514"/>
      <c r="O294" s="70" t="s">
        <v>5674</v>
      </c>
      <c r="AA294" s="2595"/>
      <c r="AB294" s="2595"/>
      <c r="AC294" s="2595"/>
      <c r="AD294" s="2595"/>
      <c r="AE294" s="2595"/>
      <c r="AF294" s="2595"/>
      <c r="AG294" s="2595"/>
      <c r="AH294" s="2595"/>
      <c r="AI294" s="2595"/>
      <c r="AJ294" s="2595"/>
      <c r="AK294" s="2595"/>
      <c r="AL294" s="2595"/>
      <c r="AN294" s="2608"/>
      <c r="AO294" s="2608"/>
      <c r="AP294" s="2595"/>
      <c r="AQ294" s="2595"/>
      <c r="AR294" s="2595"/>
      <c r="AS294" s="2595"/>
      <c r="AT294" s="2595"/>
      <c r="AU294" s="2595"/>
      <c r="AV294" s="2595"/>
    </row>
    <row r="295" spans="3:48" ht="15" customHeight="1">
      <c r="D295" s="70"/>
      <c r="J295" s="1750"/>
      <c r="AA295" s="2595"/>
      <c r="AB295" s="2595"/>
      <c r="AC295" s="2595"/>
      <c r="AD295" s="2595"/>
      <c r="AE295" s="2595"/>
      <c r="AF295" s="2595"/>
      <c r="AG295" s="2595"/>
      <c r="AH295" s="2595"/>
      <c r="AI295" s="2595"/>
      <c r="AJ295" s="2595"/>
      <c r="AK295" s="2595"/>
      <c r="AL295" s="2595"/>
      <c r="AN295" s="2608"/>
      <c r="AO295" s="2608"/>
      <c r="AP295" s="2595"/>
      <c r="AQ295" s="2595"/>
      <c r="AR295" s="2595"/>
      <c r="AS295" s="2595"/>
      <c r="AT295" s="2595"/>
      <c r="AU295" s="2595"/>
      <c r="AV295" s="2595"/>
    </row>
    <row r="296" spans="3:48">
      <c r="D296" s="70"/>
      <c r="J296" s="1750"/>
      <c r="AA296" s="2595"/>
      <c r="AB296" s="2595"/>
      <c r="AC296" s="2595"/>
      <c r="AD296" s="2595"/>
      <c r="AE296" s="2595"/>
      <c r="AF296" s="2595"/>
      <c r="AG296" s="2595"/>
      <c r="AH296" s="2595"/>
      <c r="AI296" s="2595"/>
      <c r="AJ296" s="2595"/>
      <c r="AK296" s="2595"/>
      <c r="AL296" s="2595"/>
      <c r="AN296" s="2608"/>
      <c r="AO296" s="2608"/>
      <c r="AP296" s="2595"/>
      <c r="AQ296" s="2595"/>
      <c r="AR296" s="2595"/>
      <c r="AS296" s="2595"/>
      <c r="AT296" s="2595"/>
      <c r="AU296" s="2595"/>
      <c r="AV296" s="2595"/>
    </row>
    <row r="297" spans="3:48">
      <c r="D297" s="70"/>
      <c r="E297" s="1748" t="s">
        <v>1385</v>
      </c>
      <c r="J297" s="1750"/>
      <c r="AA297" s="2595"/>
      <c r="AB297" s="2595"/>
      <c r="AC297" s="2595"/>
      <c r="AD297" s="2595"/>
      <c r="AE297" s="2595"/>
      <c r="AF297" s="2595"/>
      <c r="AG297" s="2595"/>
      <c r="AH297" s="2595"/>
      <c r="AI297" s="2595"/>
      <c r="AJ297" s="2595"/>
      <c r="AK297" s="2595"/>
      <c r="AL297" s="2595"/>
      <c r="AN297" s="2608"/>
      <c r="AO297" s="2608"/>
      <c r="AP297" s="2595"/>
      <c r="AQ297" s="2595"/>
      <c r="AR297" s="2595"/>
      <c r="AS297" s="2595"/>
      <c r="AT297" s="2595"/>
      <c r="AU297" s="2595"/>
      <c r="AV297" s="2595"/>
    </row>
    <row r="298" spans="3:48">
      <c r="D298" s="1748" t="s">
        <v>1386</v>
      </c>
      <c r="J298" s="1750"/>
      <c r="AA298" s="2595"/>
      <c r="AB298" s="2595"/>
      <c r="AC298" s="2595"/>
      <c r="AD298" s="2595"/>
      <c r="AE298" s="2595"/>
      <c r="AF298" s="2595"/>
      <c r="AG298" s="2595"/>
      <c r="AH298" s="2595"/>
      <c r="AI298" s="2595"/>
      <c r="AJ298" s="2595"/>
      <c r="AK298" s="2595"/>
      <c r="AL298" s="2595"/>
      <c r="AN298" s="2608"/>
      <c r="AO298" s="2608"/>
      <c r="AP298" s="2595"/>
      <c r="AQ298" s="2595"/>
      <c r="AR298" s="2595"/>
      <c r="AS298" s="2595"/>
      <c r="AT298" s="2595"/>
      <c r="AU298" s="2595"/>
      <c r="AV298" s="2595"/>
    </row>
    <row r="299" spans="3:48">
      <c r="D299" s="1748" t="s">
        <v>1387</v>
      </c>
      <c r="J299" s="1750"/>
      <c r="AA299" s="2595"/>
      <c r="AB299" s="2595"/>
      <c r="AC299" s="2595"/>
      <c r="AD299" s="2595"/>
      <c r="AE299" s="2595"/>
      <c r="AF299" s="2595"/>
      <c r="AG299" s="2595"/>
      <c r="AH299" s="2595"/>
      <c r="AI299" s="2595"/>
      <c r="AJ299" s="2595"/>
      <c r="AK299" s="2595"/>
      <c r="AL299" s="2595"/>
      <c r="AN299" s="2608"/>
      <c r="AO299" s="2608"/>
      <c r="AP299" s="2595"/>
      <c r="AQ299" s="2595"/>
      <c r="AR299" s="2595"/>
      <c r="AS299" s="2595"/>
      <c r="AT299" s="2595"/>
      <c r="AU299" s="2595"/>
      <c r="AV299" s="2595"/>
    </row>
    <row r="300" spans="3:48">
      <c r="D300" s="1748" t="s">
        <v>1388</v>
      </c>
      <c r="J300" s="1750"/>
      <c r="AA300" s="2595"/>
      <c r="AB300" s="2595"/>
      <c r="AC300" s="2595"/>
      <c r="AD300" s="2595"/>
      <c r="AE300" s="2595"/>
      <c r="AF300" s="2595"/>
      <c r="AG300" s="2595"/>
      <c r="AH300" s="2595"/>
      <c r="AI300" s="2595"/>
      <c r="AJ300" s="2595"/>
      <c r="AK300" s="2595"/>
      <c r="AL300" s="2595"/>
      <c r="AN300" s="2608"/>
      <c r="AO300" s="2608"/>
      <c r="AP300" s="2595"/>
      <c r="AQ300" s="2595"/>
      <c r="AR300" s="2595"/>
      <c r="AS300" s="2595"/>
      <c r="AT300" s="2595"/>
      <c r="AU300" s="2595"/>
      <c r="AV300" s="2595"/>
    </row>
    <row r="301" spans="3:48">
      <c r="D301" s="1748"/>
      <c r="J301" s="1750"/>
      <c r="M301" s="1749" t="s">
        <v>90</v>
      </c>
      <c r="N301" s="23"/>
      <c r="O301" s="1749"/>
      <c r="Q301" s="1749"/>
      <c r="AA301" s="2595"/>
      <c r="AB301" s="2595"/>
      <c r="AC301" s="2595"/>
      <c r="AD301" s="2595"/>
      <c r="AE301" s="2595"/>
      <c r="AF301" s="2595"/>
      <c r="AG301" s="2595"/>
      <c r="AH301" s="2595"/>
      <c r="AI301" s="2595"/>
      <c r="AJ301" s="2595"/>
      <c r="AK301" s="2595"/>
      <c r="AL301" s="2595"/>
      <c r="AN301" s="2608"/>
      <c r="AO301" s="2608"/>
      <c r="AP301" s="2595"/>
      <c r="AQ301" s="2595"/>
      <c r="AR301" s="2595"/>
      <c r="AS301" s="2595"/>
      <c r="AT301" s="2595"/>
      <c r="AU301" s="2595"/>
      <c r="AV301" s="2595"/>
    </row>
    <row r="302" spans="3:48" ht="13.5" thickBot="1">
      <c r="C302" s="1750" t="s">
        <v>205</v>
      </c>
      <c r="D302" s="70" t="s">
        <v>1390</v>
      </c>
      <c r="M302" s="1749" t="s">
        <v>411</v>
      </c>
      <c r="AA302" s="2595"/>
      <c r="AB302" s="2595"/>
      <c r="AC302" s="2595"/>
      <c r="AD302" s="2595"/>
      <c r="AE302" s="2595"/>
      <c r="AF302" s="2595"/>
      <c r="AG302" s="2595"/>
      <c r="AH302" s="2595"/>
      <c r="AI302" s="2595"/>
      <c r="AJ302" s="2595"/>
      <c r="AK302" s="2595"/>
      <c r="AL302" s="2595"/>
      <c r="AN302" s="2608"/>
      <c r="AO302" s="2608"/>
      <c r="AP302" s="2595"/>
      <c r="AQ302" s="2595"/>
      <c r="AR302" s="2595"/>
      <c r="AS302" s="2595"/>
      <c r="AT302" s="2595"/>
      <c r="AU302" s="2595"/>
      <c r="AV302" s="2595"/>
    </row>
    <row r="303" spans="3:48" ht="13.5" thickBot="1">
      <c r="D303" s="24" t="s">
        <v>1389</v>
      </c>
      <c r="J303" s="1750" t="s">
        <v>205</v>
      </c>
      <c r="K303" s="2045" t="str">
        <f>IF(M303&lt;&gt;"",M303,IF(G252,SUM(K287,K294),""))</f>
        <v/>
      </c>
      <c r="M303" s="5514"/>
      <c r="N303" s="23"/>
      <c r="O303" s="1749"/>
      <c r="Q303" s="1749"/>
      <c r="AA303" s="2595"/>
      <c r="AB303" s="2595"/>
      <c r="AC303" s="2595"/>
      <c r="AD303" s="2595"/>
      <c r="AE303" s="2595"/>
      <c r="AF303" s="2595"/>
      <c r="AG303" s="2595"/>
      <c r="AH303" s="2595"/>
      <c r="AI303" s="2595"/>
      <c r="AJ303" s="2595"/>
      <c r="AK303" s="2595"/>
      <c r="AL303" s="2595"/>
      <c r="AN303" s="2608"/>
      <c r="AO303" s="2608"/>
      <c r="AP303" s="2595"/>
      <c r="AQ303" s="2595"/>
      <c r="AR303" s="2595"/>
      <c r="AS303" s="2595"/>
      <c r="AT303" s="2595"/>
      <c r="AU303" s="2595"/>
      <c r="AV303" s="2595"/>
    </row>
    <row r="304" spans="3:48">
      <c r="C304" s="2719"/>
      <c r="D304" s="24"/>
      <c r="J304" s="1750"/>
      <c r="M304" s="836"/>
      <c r="N304" s="23"/>
      <c r="O304" s="1749"/>
      <c r="Q304" s="1749"/>
      <c r="AA304" s="2595"/>
      <c r="AB304" s="2595"/>
      <c r="AC304" s="2595"/>
      <c r="AD304" s="2595"/>
      <c r="AE304" s="2595"/>
      <c r="AF304" s="2595"/>
      <c r="AG304" s="2595"/>
      <c r="AH304" s="2595"/>
      <c r="AI304" s="2595"/>
      <c r="AJ304" s="2595"/>
      <c r="AK304" s="2595"/>
      <c r="AL304" s="2595"/>
      <c r="AN304" s="2608"/>
      <c r="AO304" s="2608"/>
      <c r="AP304" s="2595"/>
      <c r="AQ304" s="2595"/>
      <c r="AR304" s="2595"/>
      <c r="AS304" s="2595"/>
      <c r="AT304" s="2595"/>
      <c r="AU304" s="2595"/>
      <c r="AV304" s="2595"/>
    </row>
    <row r="305" spans="1:48">
      <c r="C305" s="2719"/>
      <c r="D305" s="56" t="s">
        <v>5670</v>
      </c>
      <c r="J305" s="1750"/>
      <c r="M305" s="836"/>
      <c r="N305" s="23"/>
      <c r="O305" s="1749"/>
      <c r="Q305" s="1749"/>
      <c r="AA305" s="2595"/>
      <c r="AB305" s="2595"/>
      <c r="AC305" s="2595"/>
      <c r="AD305" s="2595"/>
      <c r="AE305" s="2595"/>
      <c r="AF305" s="2595"/>
      <c r="AG305" s="2595"/>
      <c r="AH305" s="2595"/>
      <c r="AI305" s="2595"/>
      <c r="AJ305" s="2595"/>
      <c r="AK305" s="2595"/>
      <c r="AL305" s="2595"/>
      <c r="AN305" s="2608"/>
      <c r="AO305" s="2608"/>
      <c r="AP305" s="2595"/>
      <c r="AQ305" s="2595"/>
      <c r="AR305" s="2595"/>
      <c r="AS305" s="2595"/>
      <c r="AT305" s="2595"/>
      <c r="AU305" s="2595"/>
      <c r="AV305" s="2595"/>
    </row>
    <row r="306" spans="1:48">
      <c r="C306" s="2719"/>
      <c r="D306" s="56" t="s">
        <v>5671</v>
      </c>
      <c r="J306" s="1750"/>
      <c r="M306" s="836"/>
      <c r="N306" s="23"/>
      <c r="O306" s="1749"/>
      <c r="Q306" s="1749"/>
      <c r="AA306" s="2595"/>
      <c r="AB306" s="2595"/>
      <c r="AC306" s="2595"/>
      <c r="AD306" s="2595"/>
      <c r="AE306" s="2595"/>
      <c r="AF306" s="2595"/>
      <c r="AG306" s="2595"/>
      <c r="AH306" s="2595"/>
      <c r="AI306" s="2595"/>
      <c r="AJ306" s="2595"/>
      <c r="AK306" s="2595"/>
      <c r="AL306" s="2595"/>
      <c r="AN306" s="2608"/>
      <c r="AO306" s="2608"/>
      <c r="AP306" s="2595"/>
      <c r="AQ306" s="2595"/>
      <c r="AR306" s="2595"/>
      <c r="AS306" s="2595"/>
      <c r="AT306" s="2595"/>
      <c r="AU306" s="2595"/>
      <c r="AV306" s="2595"/>
    </row>
    <row r="307" spans="1:48">
      <c r="C307" s="2719"/>
      <c r="D307" s="56" t="s">
        <v>5672</v>
      </c>
      <c r="J307" s="1750"/>
      <c r="M307" s="836"/>
      <c r="N307" s="23"/>
      <c r="O307" s="1749"/>
      <c r="Q307" s="1749"/>
      <c r="AA307" s="2595"/>
      <c r="AB307" s="2595"/>
      <c r="AC307" s="2595"/>
      <c r="AD307" s="2595"/>
      <c r="AE307" s="2595"/>
      <c r="AF307" s="2595"/>
      <c r="AG307" s="2595"/>
      <c r="AH307" s="2595"/>
      <c r="AI307" s="2595"/>
      <c r="AJ307" s="2595"/>
      <c r="AK307" s="2595"/>
      <c r="AL307" s="2595"/>
      <c r="AN307" s="2608"/>
      <c r="AO307" s="2608"/>
      <c r="AP307" s="2595"/>
      <c r="AQ307" s="2595"/>
      <c r="AR307" s="2595"/>
      <c r="AS307" s="2595"/>
      <c r="AT307" s="2595"/>
      <c r="AU307" s="2595"/>
      <c r="AV307" s="2595"/>
    </row>
    <row r="308" spans="1:48">
      <c r="D308" s="30"/>
      <c r="AA308" s="2595"/>
      <c r="AB308" s="2595"/>
      <c r="AC308" s="2595"/>
      <c r="AD308" s="2595"/>
      <c r="AE308" s="2595"/>
      <c r="AF308" s="2595"/>
      <c r="AG308" s="2595"/>
      <c r="AH308" s="2595"/>
      <c r="AI308" s="2595"/>
      <c r="AJ308" s="2595"/>
      <c r="AK308" s="2595"/>
      <c r="AL308" s="2595"/>
      <c r="AN308" s="2608"/>
      <c r="AO308" s="2608"/>
      <c r="AP308" s="2595"/>
      <c r="AQ308" s="2595"/>
      <c r="AR308" s="2595"/>
      <c r="AS308" s="2595"/>
      <c r="AT308" s="2595"/>
      <c r="AU308" s="2595"/>
      <c r="AV308" s="2595"/>
    </row>
    <row r="309" spans="1:48">
      <c r="D309" s="30"/>
      <c r="E309" s="70"/>
      <c r="AA309" s="2595"/>
      <c r="AB309" s="2595"/>
      <c r="AC309" s="2595"/>
      <c r="AD309" s="2595"/>
      <c r="AE309" s="2595"/>
      <c r="AF309" s="2595"/>
      <c r="AG309" s="2595"/>
      <c r="AH309" s="2595"/>
      <c r="AI309" s="2595"/>
      <c r="AJ309" s="2595"/>
      <c r="AK309" s="2595"/>
      <c r="AL309" s="2595"/>
      <c r="AN309" s="2608"/>
      <c r="AO309" s="2608"/>
      <c r="AP309" s="2595"/>
      <c r="AQ309" s="2595"/>
      <c r="AR309" s="2595"/>
      <c r="AS309" s="2595"/>
      <c r="AT309" s="2595"/>
      <c r="AU309" s="2595"/>
      <c r="AV309" s="2595"/>
    </row>
    <row r="310" spans="1:48" ht="14.25">
      <c r="D310" s="30"/>
      <c r="E310" s="412" t="s">
        <v>5673</v>
      </c>
      <c r="AA310" s="2595"/>
      <c r="AB310" s="2595"/>
      <c r="AC310" s="2595"/>
      <c r="AD310" s="2595"/>
      <c r="AE310" s="2595"/>
      <c r="AF310" s="2595"/>
      <c r="AG310" s="2595"/>
      <c r="AH310" s="2595"/>
      <c r="AI310" s="2595"/>
      <c r="AJ310" s="2595"/>
      <c r="AK310" s="2595"/>
      <c r="AL310" s="2595"/>
      <c r="AN310" s="2608"/>
      <c r="AO310" s="2608"/>
      <c r="AP310" s="2595"/>
      <c r="AQ310" s="2595"/>
      <c r="AR310" s="2595"/>
      <c r="AS310" s="2595"/>
      <c r="AT310" s="2595"/>
      <c r="AU310" s="2595"/>
      <c r="AV310" s="2595"/>
    </row>
    <row r="311" spans="1:48">
      <c r="D311" s="30"/>
      <c r="AA311" s="2595"/>
      <c r="AB311" s="2595"/>
      <c r="AC311" s="2595"/>
      <c r="AD311" s="2595"/>
      <c r="AE311" s="2595"/>
      <c r="AF311" s="2595"/>
      <c r="AG311" s="2595"/>
      <c r="AH311" s="2595"/>
      <c r="AI311" s="2595"/>
      <c r="AJ311" s="2595"/>
      <c r="AK311" s="2595"/>
      <c r="AL311" s="2595"/>
      <c r="AN311" s="2608"/>
      <c r="AO311" s="2608"/>
      <c r="AP311" s="2595"/>
      <c r="AQ311" s="2595"/>
      <c r="AR311" s="2595"/>
      <c r="AS311" s="2595"/>
      <c r="AT311" s="2595"/>
      <c r="AU311" s="2595"/>
      <c r="AV311" s="2595"/>
    </row>
    <row r="312" spans="1:48">
      <c r="A312" s="133" t="s">
        <v>0</v>
      </c>
      <c r="B312" s="23" t="str">
        <f>"Were you self-employed at any time in "&amp;TaxYear&amp;", or are you filing Schedule SE because you were a member of the"</f>
        <v>Were you self-employed at any time in 2021, or are you filing Schedule SE because you were a member of the</v>
      </c>
      <c r="C312" s="1740"/>
      <c r="AA312" s="2595"/>
      <c r="AB312" s="2595"/>
      <c r="AC312" s="2595"/>
      <c r="AD312" s="2595"/>
      <c r="AE312" s="2595"/>
      <c r="AF312" s="2595"/>
      <c r="AG312" s="2595"/>
      <c r="AH312" s="2595"/>
      <c r="AI312" s="2595"/>
      <c r="AJ312" s="2595"/>
      <c r="AK312" s="2595"/>
      <c r="AL312" s="2595"/>
      <c r="AN312" s="2608"/>
      <c r="AO312" s="2608"/>
      <c r="AP312" s="2595"/>
      <c r="AQ312" s="2595"/>
      <c r="AR312" s="2595"/>
      <c r="AS312" s="2595"/>
      <c r="AT312" s="2595"/>
      <c r="AU312" s="2595"/>
      <c r="AV312" s="2595"/>
    </row>
    <row r="313" spans="1:48">
      <c r="A313" s="1256"/>
      <c r="B313" s="23" t="s">
        <v>1284</v>
      </c>
      <c r="C313" s="1256"/>
      <c r="AA313" s="2595"/>
      <c r="AB313" s="2595"/>
      <c r="AC313" s="2595"/>
      <c r="AD313" s="2595"/>
      <c r="AE313" s="2595"/>
      <c r="AF313" s="2595"/>
      <c r="AG313" s="2595"/>
      <c r="AH313" s="2595"/>
      <c r="AI313" s="2595"/>
      <c r="AJ313" s="2595"/>
      <c r="AK313" s="2595"/>
      <c r="AL313" s="2595"/>
      <c r="AN313" s="2608"/>
      <c r="AO313" s="2608"/>
      <c r="AP313" s="2595"/>
      <c r="AQ313" s="2595"/>
      <c r="AR313" s="2595"/>
      <c r="AS313" s="2595"/>
      <c r="AT313" s="2595"/>
      <c r="AU313" s="2595"/>
      <c r="AV313" s="2595"/>
    </row>
    <row r="314" spans="1:48">
      <c r="C314" s="1740"/>
      <c r="AA314" s="2595"/>
      <c r="AB314" s="2595"/>
      <c r="AC314" s="2595"/>
      <c r="AD314" s="2595"/>
      <c r="AE314" s="2595"/>
      <c r="AF314" s="2595"/>
      <c r="AG314" s="2595"/>
      <c r="AH314" s="2595"/>
      <c r="AI314" s="2595"/>
      <c r="AJ314" s="2595"/>
      <c r="AK314" s="2595"/>
      <c r="AL314" s="2595"/>
      <c r="AN314" s="2608"/>
      <c r="AO314" s="2608"/>
      <c r="AP314" s="2595"/>
      <c r="AQ314" s="2595"/>
      <c r="AR314" s="2595"/>
      <c r="AS314" s="2595"/>
      <c r="AT314" s="2595"/>
      <c r="AU314" s="2595"/>
      <c r="AV314" s="2595"/>
    </row>
    <row r="315" spans="1:48">
      <c r="A315" s="1176" t="b">
        <f>AND(G252,B315&lt;&gt;"")</f>
        <v>0</v>
      </c>
      <c r="B315" s="1334"/>
      <c r="D315" s="70" t="s">
        <v>2712</v>
      </c>
      <c r="H315" s="2052" t="str">
        <f>IF(L315,"X","")</f>
        <v/>
      </c>
      <c r="J315" s="70" t="s">
        <v>2713</v>
      </c>
      <c r="L315" s="5835" t="b">
        <f>AND(G252,NOT(A315))</f>
        <v>0</v>
      </c>
      <c r="AA315" s="2595"/>
      <c r="AB315" s="2595"/>
      <c r="AC315" s="2595"/>
      <c r="AD315" s="2595"/>
      <c r="AE315" s="2595"/>
      <c r="AF315" s="2595"/>
      <c r="AG315" s="2595"/>
      <c r="AH315" s="2595"/>
      <c r="AI315" s="2595"/>
      <c r="AJ315" s="2595"/>
      <c r="AK315" s="2595"/>
      <c r="AL315" s="2595"/>
      <c r="AN315" s="2608"/>
      <c r="AO315" s="2608"/>
      <c r="AP315" s="2595"/>
      <c r="AQ315" s="2595"/>
      <c r="AR315" s="2595"/>
      <c r="AS315" s="2595"/>
      <c r="AT315" s="2595"/>
      <c r="AU315" s="2595"/>
      <c r="AV315" s="2595"/>
    </row>
    <row r="316" spans="1:48">
      <c r="D316" s="70" t="s">
        <v>1391</v>
      </c>
      <c r="F316" s="1770"/>
      <c r="G316" s="1770" t="str">
        <f>IF(AND(B315&lt;&gt;"",H315&lt;&gt;""),"Check ONLY one.","")</f>
        <v/>
      </c>
      <c r="AA316" s="2595"/>
      <c r="AB316" s="2595"/>
      <c r="AC316" s="2595"/>
      <c r="AD316" s="2595"/>
      <c r="AE316" s="2595"/>
      <c r="AF316" s="2595"/>
      <c r="AG316" s="2595"/>
      <c r="AH316" s="2595"/>
      <c r="AI316" s="2595"/>
      <c r="AJ316" s="2595"/>
      <c r="AK316" s="2595"/>
      <c r="AL316" s="2595"/>
      <c r="AN316" s="2608"/>
      <c r="AO316" s="2608"/>
      <c r="AP316" s="2595"/>
      <c r="AQ316" s="2595"/>
      <c r="AR316" s="2595"/>
      <c r="AS316" s="2595"/>
      <c r="AT316" s="2595"/>
      <c r="AU316" s="2595"/>
      <c r="AV316" s="2595"/>
    </row>
    <row r="317" spans="1:48" ht="12.75" customHeight="1">
      <c r="AA317" s="2595"/>
      <c r="AB317" s="2595"/>
      <c r="AC317" s="2595"/>
      <c r="AD317" s="2595"/>
      <c r="AE317" s="2595"/>
      <c r="AF317" s="2595"/>
      <c r="AG317" s="2595"/>
      <c r="AH317" s="2595"/>
      <c r="AI317" s="2595"/>
      <c r="AJ317" s="2595"/>
      <c r="AK317" s="2595"/>
      <c r="AL317" s="2595"/>
      <c r="AN317" s="2608"/>
      <c r="AO317" s="2608"/>
      <c r="AP317" s="2595"/>
      <c r="AQ317" s="2595"/>
      <c r="AR317" s="2595"/>
      <c r="AS317" s="2595"/>
      <c r="AT317" s="2595"/>
      <c r="AU317" s="2595"/>
      <c r="AV317" s="2595"/>
    </row>
    <row r="318" spans="1:48">
      <c r="A318" s="1750" t="s">
        <v>1</v>
      </c>
      <c r="B318" s="70" t="s">
        <v>1294</v>
      </c>
      <c r="G318" s="1771"/>
      <c r="AA318" s="2595"/>
      <c r="AB318" s="2595"/>
      <c r="AC318" s="2595"/>
      <c r="AD318" s="2595"/>
      <c r="AE318" s="2595"/>
      <c r="AF318" s="2595"/>
      <c r="AG318" s="2595"/>
      <c r="AH318" s="2595"/>
      <c r="AI318" s="2595"/>
      <c r="AJ318" s="2595"/>
      <c r="AK318" s="2595"/>
      <c r="AL318" s="2595"/>
      <c r="AN318" s="2608"/>
      <c r="AO318" s="2608"/>
      <c r="AP318" s="2595"/>
      <c r="AQ318" s="2595"/>
      <c r="AR318" s="2595"/>
      <c r="AS318" s="2595"/>
      <c r="AT318" s="2595"/>
      <c r="AU318" s="2595"/>
      <c r="AV318" s="2595"/>
    </row>
    <row r="319" spans="1:48" ht="7.5" customHeight="1">
      <c r="AA319" s="2595"/>
      <c r="AB319" s="2595"/>
      <c r="AC319" s="2595"/>
      <c r="AD319" s="2595"/>
      <c r="AE319" s="2595"/>
      <c r="AF319" s="2595"/>
      <c r="AG319" s="2595"/>
      <c r="AH319" s="2595"/>
      <c r="AI319" s="2595"/>
      <c r="AJ319" s="2595"/>
      <c r="AK319" s="2595"/>
      <c r="AL319" s="2595"/>
      <c r="AN319" s="2608"/>
      <c r="AO319" s="2608"/>
      <c r="AP319" s="2595"/>
      <c r="AQ319" s="2595"/>
      <c r="AR319" s="2595"/>
      <c r="AS319" s="2595"/>
      <c r="AT319" s="2595"/>
      <c r="AU319" s="2595"/>
      <c r="AV319" s="2595"/>
    </row>
    <row r="320" spans="1:48">
      <c r="B320" s="1846" t="str">
        <f>IF(M321,"®","")</f>
        <v/>
      </c>
      <c r="C320" s="133" t="s">
        <v>1275</v>
      </c>
      <c r="D320" s="70" t="s">
        <v>1605</v>
      </c>
      <c r="AA320" s="2595"/>
      <c r="AB320" s="2595"/>
      <c r="AC320" s="2595"/>
      <c r="AD320" s="2595"/>
      <c r="AE320" s="2595"/>
      <c r="AF320" s="2595"/>
      <c r="AG320" s="2595"/>
      <c r="AH320" s="2595"/>
      <c r="AI320" s="2595"/>
      <c r="AJ320" s="2595"/>
      <c r="AK320" s="2595"/>
      <c r="AL320" s="2595"/>
      <c r="AN320" s="2608"/>
      <c r="AO320" s="2608"/>
      <c r="AP320" s="2595"/>
      <c r="AQ320" s="2595"/>
      <c r="AR320" s="2595"/>
      <c r="AS320" s="2595"/>
      <c r="AT320" s="2595"/>
      <c r="AU320" s="2595"/>
      <c r="AV320" s="2595"/>
    </row>
    <row r="321" spans="1:48">
      <c r="B321" s="1741"/>
      <c r="D321" s="23" t="str">
        <f>"Is your earned income less than "&amp;TEXT(N10,"$0,000")&amp;" ("&amp;TEXT(O10,"$0,000")&amp;" if married filing jointly)?"</f>
        <v>Is your earned income less than $51,464 ($57,414 if married filing jointly)?</v>
      </c>
      <c r="L321" s="1770" t="str">
        <f>IF(OR(A315,EICNumQualChild&lt;=3),"",IF(M321,"Yes","No"))</f>
        <v/>
      </c>
      <c r="M321" s="1176" t="b">
        <f>OR(AND(L315,File_Marr_Joint&lt;&gt;"",EICNumQualChild&gt;=3,EIC_EarnedIncome&lt;O10),AND(L315,EICNumQualChild&gt;=3,EIC_EarnedIncome&lt;N10))</f>
        <v>0</v>
      </c>
      <c r="AA321" s="2595"/>
      <c r="AB321" s="2595"/>
      <c r="AC321" s="2595"/>
      <c r="AD321" s="2595"/>
      <c r="AE321" s="2595"/>
      <c r="AF321" s="2595"/>
      <c r="AG321" s="2595"/>
      <c r="AH321" s="2595"/>
      <c r="AI321" s="2595"/>
      <c r="AJ321" s="2595"/>
      <c r="AK321" s="2595"/>
      <c r="AL321" s="2595"/>
      <c r="AN321" s="2608"/>
      <c r="AO321" s="2608"/>
      <c r="AP321" s="2595"/>
      <c r="AQ321" s="2595"/>
      <c r="AR321" s="2595"/>
      <c r="AS321" s="2595"/>
      <c r="AT321" s="2595"/>
      <c r="AU321" s="2595"/>
      <c r="AV321" s="2595"/>
    </row>
    <row r="322" spans="1:48">
      <c r="B322" s="1741"/>
      <c r="C322" s="40" t="s">
        <v>243</v>
      </c>
      <c r="M322" s="1176"/>
      <c r="AA322" s="2595"/>
      <c r="AB322" s="2595"/>
      <c r="AC322" s="2595"/>
      <c r="AD322" s="2595"/>
      <c r="AE322" s="2595"/>
      <c r="AF322" s="2595"/>
      <c r="AG322" s="2595"/>
      <c r="AH322" s="2595"/>
      <c r="AI322" s="2595"/>
      <c r="AJ322" s="2595"/>
      <c r="AK322" s="2595"/>
      <c r="AL322" s="2595"/>
      <c r="AN322" s="2608"/>
      <c r="AO322" s="2608"/>
      <c r="AP322" s="2595"/>
      <c r="AQ322" s="2595"/>
      <c r="AR322" s="2595"/>
      <c r="AS322" s="2595"/>
      <c r="AT322" s="2595"/>
      <c r="AU322" s="2595"/>
      <c r="AV322" s="2595"/>
    </row>
    <row r="323" spans="1:48">
      <c r="B323" s="1846" t="str">
        <f>IF(M324,"®","")</f>
        <v/>
      </c>
      <c r="C323" s="133" t="s">
        <v>1275</v>
      </c>
      <c r="D323" s="70" t="s">
        <v>1601</v>
      </c>
      <c r="M323" s="1176"/>
      <c r="AA323" s="2595"/>
      <c r="AB323" s="2595"/>
      <c r="AC323" s="2595"/>
      <c r="AD323" s="2595"/>
      <c r="AE323" s="2595"/>
      <c r="AF323" s="2595"/>
      <c r="AG323" s="2595"/>
      <c r="AH323" s="2595"/>
      <c r="AI323" s="2595"/>
      <c r="AJ323" s="2595"/>
      <c r="AK323" s="2595"/>
      <c r="AL323" s="2595"/>
      <c r="AN323" s="2608"/>
      <c r="AO323" s="2608"/>
      <c r="AP323" s="2595"/>
      <c r="AQ323" s="2595"/>
      <c r="AR323" s="2595"/>
      <c r="AS323" s="2595"/>
      <c r="AT323" s="2595"/>
      <c r="AU323" s="2595"/>
      <c r="AV323" s="2595"/>
    </row>
    <row r="324" spans="1:48">
      <c r="B324" s="1741"/>
      <c r="D324" s="23" t="str">
        <f>"Is your earned income less than "&amp;TEXT(N13,"$0,000")&amp;" ("&amp;TEXT(O13,"$0,000")&amp;" if married filing jointly)?"</f>
        <v>Is your earned income less than $47,915 ($53,865 if married filing jointly)?</v>
      </c>
      <c r="L324" s="1770" t="str">
        <f>IF(OR(A315,EICNumQualChild&lt;&gt;2),"",IF(M324,"Yes","No"))</f>
        <v/>
      </c>
      <c r="M324" s="1176" t="b">
        <f>OR(AND(L315,File_Marr_Joint&lt;&gt;"",EICNumQualChild=2,EIC_EarnedIncome&lt;O13),AND(L315,EICNumQualChild=2,EIC_EarnedIncome&lt;N13))</f>
        <v>0</v>
      </c>
      <c r="AA324" s="2595"/>
      <c r="AB324" s="2595"/>
      <c r="AC324" s="2595"/>
      <c r="AD324" s="2595"/>
      <c r="AE324" s="2595"/>
      <c r="AF324" s="2595"/>
      <c r="AG324" s="2595"/>
      <c r="AH324" s="2595"/>
      <c r="AI324" s="2595"/>
      <c r="AJ324" s="2595"/>
      <c r="AK324" s="2595"/>
      <c r="AL324" s="2595"/>
      <c r="AN324" s="2608"/>
      <c r="AO324" s="2608"/>
      <c r="AP324" s="2595"/>
      <c r="AQ324" s="2595"/>
      <c r="AR324" s="2595"/>
      <c r="AS324" s="2595"/>
      <c r="AT324" s="2595"/>
      <c r="AU324" s="2595"/>
      <c r="AV324" s="2595"/>
    </row>
    <row r="325" spans="1:48">
      <c r="B325" s="1741"/>
      <c r="C325" s="40" t="s">
        <v>243</v>
      </c>
      <c r="M325" s="1176"/>
      <c r="AA325" s="2595"/>
      <c r="AB325" s="2595"/>
      <c r="AC325" s="2595"/>
      <c r="AD325" s="2595"/>
      <c r="AE325" s="2595"/>
      <c r="AF325" s="2595"/>
      <c r="AG325" s="2595"/>
      <c r="AH325" s="2595"/>
      <c r="AI325" s="2595"/>
      <c r="AJ325" s="2595"/>
      <c r="AK325" s="2595"/>
      <c r="AL325" s="2595"/>
      <c r="AN325" s="2608"/>
      <c r="AO325" s="2608"/>
      <c r="AP325" s="2595"/>
      <c r="AQ325" s="2595"/>
      <c r="AR325" s="2595"/>
      <c r="AS325" s="2595"/>
      <c r="AT325" s="2595"/>
      <c r="AU325" s="2595"/>
      <c r="AV325" s="2595"/>
    </row>
    <row r="326" spans="1:48">
      <c r="B326" s="1846" t="str">
        <f>IF(M327,"®","")</f>
        <v/>
      </c>
      <c r="C326" s="133" t="s">
        <v>1275</v>
      </c>
      <c r="D326" s="70" t="s">
        <v>1602</v>
      </c>
      <c r="M326" s="1176"/>
      <c r="AA326" s="2595"/>
      <c r="AB326" s="2595"/>
      <c r="AC326" s="2595"/>
      <c r="AD326" s="2595"/>
      <c r="AE326" s="2595"/>
      <c r="AF326" s="2595"/>
      <c r="AG326" s="2595"/>
      <c r="AH326" s="2595"/>
      <c r="AI326" s="2595"/>
      <c r="AJ326" s="2595"/>
      <c r="AK326" s="2595"/>
      <c r="AL326" s="2595"/>
      <c r="AN326" s="2608"/>
      <c r="AO326" s="2608"/>
      <c r="AP326" s="2595"/>
      <c r="AQ326" s="2595"/>
      <c r="AR326" s="2595"/>
      <c r="AS326" s="2595"/>
      <c r="AT326" s="2595"/>
      <c r="AU326" s="2595"/>
      <c r="AV326" s="2595"/>
    </row>
    <row r="327" spans="1:48">
      <c r="B327" s="1741"/>
      <c r="D327" s="23" t="str">
        <f>"Is your earned income less than "&amp;TEXT(N16,"$0,000")&amp;" ("&amp;TEXT(O16,"$0,000")&amp;" if married filing jointly)?"</f>
        <v>Is your earned income less than $42,158 ($48,108 if married filing jointly)?</v>
      </c>
      <c r="L327" s="1770" t="str">
        <f>IF(OR(A315,EICNumQualChild&lt;&gt;1),"",IF(M327,"Yes","No"))</f>
        <v/>
      </c>
      <c r="M327" s="1176" t="b">
        <f>OR(AND(L315,File_Marr_Joint&lt;&gt;"",EICNumQualChild=1,EIC_EarnedIncome&lt;O16),AND(L315,EICNumQualChild=1,EIC_EarnedIncome&lt;N16))</f>
        <v>0</v>
      </c>
      <c r="AA327" s="2595"/>
      <c r="AB327" s="2595"/>
      <c r="AC327" s="2595"/>
      <c r="AD327" s="2595"/>
      <c r="AE327" s="2595"/>
      <c r="AF327" s="2595"/>
      <c r="AG327" s="2595"/>
      <c r="AH327" s="2595"/>
      <c r="AI327" s="2595"/>
      <c r="AJ327" s="2595"/>
      <c r="AK327" s="2595"/>
      <c r="AL327" s="2595"/>
      <c r="AN327" s="2608"/>
      <c r="AO327" s="2608"/>
      <c r="AP327" s="2595"/>
      <c r="AQ327" s="2595"/>
      <c r="AR327" s="2595"/>
      <c r="AS327" s="2595"/>
      <c r="AT327" s="2595"/>
      <c r="AU327" s="2595"/>
      <c r="AV327" s="2595"/>
    </row>
    <row r="328" spans="1:48">
      <c r="B328" s="1741"/>
      <c r="C328" s="40" t="s">
        <v>243</v>
      </c>
      <c r="M328" s="1176"/>
      <c r="AA328" s="2595"/>
      <c r="AB328" s="2595"/>
      <c r="AC328" s="2595"/>
      <c r="AD328" s="2595"/>
      <c r="AE328" s="2595"/>
      <c r="AF328" s="2595"/>
      <c r="AG328" s="2595"/>
      <c r="AH328" s="2595"/>
      <c r="AI328" s="2595"/>
      <c r="AJ328" s="2595"/>
      <c r="AK328" s="2595"/>
      <c r="AL328" s="2595"/>
      <c r="AN328" s="2608"/>
      <c r="AO328" s="2608"/>
      <c r="AP328" s="2595"/>
      <c r="AQ328" s="2595"/>
      <c r="AR328" s="2595"/>
      <c r="AS328" s="2595"/>
      <c r="AT328" s="2595"/>
      <c r="AU328" s="2595"/>
      <c r="AV328" s="2595"/>
    </row>
    <row r="329" spans="1:48">
      <c r="B329" s="1846" t="str">
        <f>IF(M330,"®","")</f>
        <v/>
      </c>
      <c r="C329" s="133" t="s">
        <v>1275</v>
      </c>
      <c r="D329" s="23" t="s">
        <v>1285</v>
      </c>
      <c r="M329" s="1176"/>
      <c r="AA329" s="2595"/>
      <c r="AB329" s="2595"/>
      <c r="AC329" s="2595"/>
      <c r="AD329" s="2595"/>
      <c r="AE329" s="2595"/>
      <c r="AF329" s="2595"/>
      <c r="AG329" s="2595"/>
      <c r="AH329" s="2595"/>
      <c r="AI329" s="2595"/>
      <c r="AJ329" s="2595"/>
      <c r="AK329" s="2595"/>
      <c r="AL329" s="2595"/>
      <c r="AN329" s="2608"/>
      <c r="AO329" s="2608"/>
      <c r="AP329" s="2595"/>
      <c r="AQ329" s="2595"/>
      <c r="AR329" s="2595"/>
      <c r="AS329" s="2595"/>
      <c r="AT329" s="2595"/>
      <c r="AU329" s="2595"/>
      <c r="AV329" s="2595"/>
    </row>
    <row r="330" spans="1:48">
      <c r="D330" s="23" t="str">
        <f>"Is your earned income less than "&amp;TEXT(N19,"$0,000")&amp;" ("&amp;TEXT(O19,"$0,000")&amp;" if married filing jointly)?"</f>
        <v>Is your earned income less than $21,430 ($27,380 if married filing jointly)?</v>
      </c>
      <c r="L330" s="1770" t="str">
        <f>IF(OR(A315,EICNumQualChild&lt;&gt;0),"",IF(M330,"Yes","No"))</f>
        <v>No</v>
      </c>
      <c r="M330" s="1176" t="b">
        <f>OR(AND(L315,File_Marr_Joint&lt;&gt;"",EIC_EarnedIncome&lt;O19),AND(L315,EIC_EarnedIncome&lt;N19))</f>
        <v>0</v>
      </c>
      <c r="N330" s="5825"/>
      <c r="AA330" s="2595"/>
      <c r="AB330" s="2595"/>
      <c r="AC330" s="2595"/>
      <c r="AD330" s="2595"/>
      <c r="AE330" s="2595"/>
      <c r="AF330" s="2595"/>
      <c r="AG330" s="2595"/>
      <c r="AH330" s="2595"/>
      <c r="AI330" s="2595"/>
      <c r="AJ330" s="2595"/>
      <c r="AK330" s="2595"/>
      <c r="AL330" s="2595"/>
      <c r="AN330" s="2608"/>
      <c r="AO330" s="2608"/>
      <c r="AP330" s="2595"/>
      <c r="AQ330" s="2595"/>
      <c r="AR330" s="2595"/>
      <c r="AS330" s="2595"/>
      <c r="AT330" s="2595"/>
      <c r="AU330" s="2595"/>
      <c r="AV330" s="2595"/>
    </row>
    <row r="331" spans="1:48">
      <c r="M331" s="1176"/>
      <c r="AA331" s="2595"/>
      <c r="AB331" s="2595"/>
      <c r="AC331" s="2595"/>
      <c r="AD331" s="2595"/>
      <c r="AE331" s="2595"/>
      <c r="AF331" s="2595"/>
      <c r="AG331" s="2595"/>
      <c r="AH331" s="2595"/>
      <c r="AI331" s="2595"/>
      <c r="AJ331" s="2595"/>
      <c r="AK331" s="2595"/>
      <c r="AL331" s="2595"/>
      <c r="AN331" s="2608"/>
      <c r="AO331" s="2608"/>
      <c r="AP331" s="2595"/>
      <c r="AQ331" s="2595"/>
      <c r="AR331" s="2595"/>
      <c r="AS331" s="2595"/>
      <c r="AT331" s="2595"/>
      <c r="AU331" s="2595"/>
      <c r="AV331" s="2595"/>
    </row>
    <row r="332" spans="1:48">
      <c r="A332" s="1176" t="b">
        <f>AND(L315,OR(M321,M324,M327,M330))</f>
        <v>0</v>
      </c>
      <c r="B332" s="2053" t="str">
        <f>IF(A332,"X","")</f>
        <v/>
      </c>
      <c r="D332" s="70" t="s">
        <v>2714</v>
      </c>
      <c r="H332" s="2053" t="str">
        <f>IF(M332,"X","")</f>
        <v/>
      </c>
      <c r="J332" s="70" t="s">
        <v>2715</v>
      </c>
      <c r="M332" s="5835" t="b">
        <f>AND(L315,NOT(M321),NOT(M324),NOT(M327),NOT(M330))</f>
        <v>0</v>
      </c>
      <c r="AA332" s="2595"/>
      <c r="AB332" s="2595"/>
      <c r="AC332" s="2595"/>
      <c r="AD332" s="2595"/>
      <c r="AE332" s="2595"/>
      <c r="AF332" s="2595"/>
      <c r="AG332" s="2595"/>
      <c r="AH332" s="2595"/>
      <c r="AI332" s="2595"/>
      <c r="AJ332" s="2595"/>
      <c r="AK332" s="2595"/>
      <c r="AL332" s="2595"/>
      <c r="AN332" s="2608"/>
      <c r="AO332" s="2608"/>
      <c r="AP332" s="2595"/>
      <c r="AQ332" s="2595"/>
      <c r="AR332" s="2595"/>
      <c r="AS332" s="2595"/>
      <c r="AT332" s="2595"/>
      <c r="AU332" s="2595"/>
      <c r="AV332" s="2595"/>
    </row>
    <row r="333" spans="1:48" ht="7.5" customHeight="1">
      <c r="AA333" s="2595"/>
      <c r="AB333" s="2595"/>
      <c r="AC333" s="2595"/>
      <c r="AD333" s="2595"/>
      <c r="AE333" s="2595"/>
      <c r="AF333" s="2595"/>
      <c r="AG333" s="2595"/>
      <c r="AH333" s="2595"/>
      <c r="AI333" s="2595"/>
      <c r="AJ333" s="2595"/>
      <c r="AK333" s="2595"/>
      <c r="AL333" s="2595"/>
      <c r="AN333" s="2608"/>
      <c r="AO333" s="2608"/>
      <c r="AP333" s="2595"/>
      <c r="AQ333" s="2595"/>
      <c r="AR333" s="2595"/>
      <c r="AS333" s="2595"/>
      <c r="AT333" s="2595"/>
      <c r="AU333" s="2595"/>
      <c r="AV333" s="2595"/>
    </row>
    <row r="334" spans="1:48" s="1743" customFormat="1" ht="7.5" customHeight="1">
      <c r="B334" s="1742"/>
      <c r="N334" s="1744"/>
      <c r="AA334" s="2609"/>
      <c r="AB334" s="2609"/>
      <c r="AC334" s="2609"/>
      <c r="AD334" s="2609"/>
      <c r="AE334" s="2609"/>
      <c r="AF334" s="2609"/>
      <c r="AG334" s="2609"/>
      <c r="AH334" s="2609"/>
      <c r="AI334" s="2609"/>
      <c r="AJ334" s="2609"/>
      <c r="AK334" s="2609"/>
      <c r="AL334" s="2609"/>
      <c r="AN334" s="2610"/>
      <c r="AO334" s="2610"/>
      <c r="AP334" s="2609"/>
      <c r="AQ334" s="2609"/>
      <c r="AR334" s="2609"/>
      <c r="AS334" s="2609"/>
      <c r="AT334" s="2609"/>
      <c r="AU334" s="2609"/>
      <c r="AV334" s="2609"/>
    </row>
    <row r="335" spans="1:48" s="132" customFormat="1" ht="15.75">
      <c r="A335" s="1753" t="s">
        <v>1396</v>
      </c>
      <c r="B335" s="1754" t="s">
        <v>1394</v>
      </c>
      <c r="C335" s="1736"/>
      <c r="G335" s="1771" t="str">
        <f>IF(B315&lt;&gt;"","Skip","")</f>
        <v/>
      </c>
      <c r="N335" s="1737"/>
      <c r="AA335" s="2606"/>
      <c r="AB335" s="2606"/>
      <c r="AC335" s="2606"/>
      <c r="AD335" s="2606"/>
      <c r="AE335" s="2606"/>
      <c r="AF335" s="2606"/>
      <c r="AG335" s="2606"/>
      <c r="AH335" s="2606"/>
      <c r="AI335" s="2606"/>
      <c r="AJ335" s="2606"/>
      <c r="AK335" s="2606"/>
      <c r="AL335" s="2606"/>
      <c r="AN335" s="2607"/>
      <c r="AO335" s="2607"/>
      <c r="AP335" s="2606"/>
      <c r="AQ335" s="2606"/>
      <c r="AR335" s="2606"/>
      <c r="AS335" s="2606"/>
      <c r="AT335" s="2606"/>
      <c r="AU335" s="2606"/>
      <c r="AV335" s="2606"/>
    </row>
    <row r="336" spans="1:48" s="132" customFormat="1" ht="15.75">
      <c r="A336" s="1736"/>
      <c r="B336" s="1736"/>
      <c r="C336" s="1736"/>
      <c r="N336" s="1737"/>
      <c r="AA336" s="2606"/>
      <c r="AB336" s="2606"/>
      <c r="AC336" s="2606"/>
      <c r="AD336" s="2606"/>
      <c r="AE336" s="2606"/>
      <c r="AF336" s="2606"/>
      <c r="AG336" s="2606"/>
      <c r="AH336" s="2606"/>
      <c r="AI336" s="2606"/>
      <c r="AJ336" s="2606"/>
      <c r="AK336" s="2606"/>
      <c r="AL336" s="2606"/>
      <c r="AN336" s="2607"/>
      <c r="AO336" s="2607"/>
      <c r="AP336" s="2606"/>
      <c r="AQ336" s="2606"/>
      <c r="AR336" s="2606"/>
      <c r="AS336" s="2606"/>
      <c r="AT336" s="2606"/>
      <c r="AU336" s="2606"/>
      <c r="AV336" s="2606"/>
    </row>
    <row r="337" spans="1:48" s="132" customFormat="1" ht="15.75">
      <c r="A337" s="1736"/>
      <c r="B337" s="1736"/>
      <c r="C337" s="1740" t="s">
        <v>294</v>
      </c>
      <c r="D337" s="23" t="s">
        <v>1286</v>
      </c>
      <c r="N337" s="1737"/>
      <c r="AA337" s="2606"/>
      <c r="AB337" s="2606"/>
      <c r="AC337" s="2606"/>
      <c r="AD337" s="2606"/>
      <c r="AE337" s="2606"/>
      <c r="AF337" s="2606"/>
      <c r="AG337" s="2606"/>
      <c r="AH337" s="2606"/>
      <c r="AI337" s="2606"/>
      <c r="AJ337" s="2606"/>
      <c r="AK337" s="2606"/>
      <c r="AL337" s="2606"/>
      <c r="AN337" s="2607"/>
      <c r="AO337" s="2607"/>
      <c r="AP337" s="2606"/>
      <c r="AQ337" s="2606"/>
      <c r="AR337" s="2606"/>
      <c r="AS337" s="2606"/>
      <c r="AT337" s="2606"/>
      <c r="AU337" s="2606"/>
      <c r="AV337" s="2606"/>
    </row>
    <row r="338" spans="1:48">
      <c r="AA338" s="2595"/>
      <c r="AB338" s="2595"/>
      <c r="AC338" s="2595"/>
      <c r="AD338" s="2595"/>
      <c r="AE338" s="2595"/>
      <c r="AF338" s="2595"/>
      <c r="AG338" s="2595"/>
      <c r="AH338" s="2595"/>
      <c r="AI338" s="2595"/>
      <c r="AJ338" s="2595"/>
      <c r="AK338" s="2595"/>
      <c r="AL338" s="2595"/>
      <c r="AN338" s="2608"/>
      <c r="AO338" s="2608"/>
      <c r="AP338" s="2595"/>
      <c r="AQ338" s="2595"/>
      <c r="AR338" s="2595"/>
      <c r="AS338" s="2595"/>
      <c r="AT338" s="2595"/>
      <c r="AU338" s="2595"/>
      <c r="AV338" s="2595"/>
    </row>
    <row r="339" spans="1:48">
      <c r="A339" s="1176" t="b">
        <f>AND(A332,B339&lt;&gt;"")</f>
        <v>0</v>
      </c>
      <c r="B339" s="1334"/>
      <c r="D339" s="70" t="s">
        <v>1393</v>
      </c>
      <c r="H339" s="2053" t="str">
        <f>IF(M339,"X","")</f>
        <v/>
      </c>
      <c r="J339" s="23" t="s">
        <v>1287</v>
      </c>
      <c r="M339" s="1176" t="b">
        <f>AND(A332,NOT(A339))</f>
        <v>0</v>
      </c>
      <c r="AA339" s="2595"/>
      <c r="AB339" s="2595"/>
      <c r="AC339" s="2595"/>
      <c r="AD339" s="2595"/>
      <c r="AE339" s="2595"/>
      <c r="AF339" s="2595"/>
      <c r="AG339" s="2595"/>
      <c r="AH339" s="2595"/>
      <c r="AI339" s="2595"/>
      <c r="AJ339" s="2595"/>
      <c r="AK339" s="2595"/>
      <c r="AL339" s="2595"/>
      <c r="AN339" s="2608"/>
      <c r="AO339" s="2608"/>
      <c r="AP339" s="2595"/>
      <c r="AQ339" s="2595"/>
      <c r="AR339" s="2595"/>
      <c r="AS339" s="2595"/>
      <c r="AT339" s="2595"/>
      <c r="AU339" s="2595"/>
      <c r="AV339" s="2595"/>
    </row>
    <row r="340" spans="1:48">
      <c r="D340" s="70" t="s">
        <v>1392</v>
      </c>
      <c r="AA340" s="2595"/>
      <c r="AB340" s="2595"/>
      <c r="AC340" s="2595"/>
      <c r="AD340" s="2595"/>
      <c r="AE340" s="2595"/>
      <c r="AF340" s="2595"/>
      <c r="AG340" s="2595"/>
      <c r="AH340" s="2595"/>
      <c r="AI340" s="2595"/>
      <c r="AJ340" s="2595"/>
      <c r="AK340" s="2595"/>
      <c r="AL340" s="2595"/>
      <c r="AN340" s="2608"/>
      <c r="AO340" s="2608"/>
      <c r="AP340" s="2595"/>
      <c r="AQ340" s="2595"/>
      <c r="AR340" s="2595"/>
      <c r="AS340" s="2595"/>
      <c r="AT340" s="2595"/>
      <c r="AU340" s="2595"/>
      <c r="AV340" s="2595"/>
    </row>
    <row r="341" spans="1:48">
      <c r="AA341" s="2595"/>
      <c r="AB341" s="2595"/>
      <c r="AC341" s="2595"/>
      <c r="AD341" s="2595"/>
      <c r="AE341" s="2595"/>
      <c r="AF341" s="2595"/>
      <c r="AG341" s="2595"/>
      <c r="AH341" s="2595"/>
      <c r="AI341" s="2595"/>
      <c r="AJ341" s="2595"/>
      <c r="AK341" s="2595"/>
      <c r="AL341" s="2595"/>
      <c r="AN341" s="2608"/>
      <c r="AO341" s="2608"/>
      <c r="AP341" s="2595"/>
      <c r="AQ341" s="2595"/>
      <c r="AR341" s="2595"/>
      <c r="AS341" s="2595"/>
      <c r="AT341" s="2595"/>
      <c r="AU341" s="2595"/>
      <c r="AV341" s="2595"/>
    </row>
    <row r="342" spans="1:48" s="1743" customFormat="1">
      <c r="B342" s="1742"/>
      <c r="N342" s="1744"/>
      <c r="AA342" s="2609"/>
      <c r="AB342" s="2609"/>
      <c r="AC342" s="2609"/>
      <c r="AD342" s="2609"/>
      <c r="AE342" s="2609"/>
      <c r="AF342" s="2609"/>
      <c r="AG342" s="2609"/>
      <c r="AH342" s="2609"/>
      <c r="AI342" s="2609"/>
      <c r="AJ342" s="2609"/>
      <c r="AK342" s="2609"/>
      <c r="AL342" s="2609"/>
      <c r="AN342" s="2610"/>
      <c r="AO342" s="2610"/>
      <c r="AP342" s="2609"/>
      <c r="AQ342" s="2609"/>
      <c r="AR342" s="2609"/>
      <c r="AS342" s="2609"/>
      <c r="AT342" s="2609"/>
      <c r="AU342" s="2609"/>
      <c r="AV342" s="2609"/>
    </row>
    <row r="343" spans="1:48" s="132" customFormat="1" ht="15.75">
      <c r="A343" s="1736" t="str">
        <f>"Worksheet A  —  "&amp;TaxYear&amp;" EIC  —  Line 27a"</f>
        <v>Worksheet A  —  2021 EIC  —  Line 27a</v>
      </c>
      <c r="B343" s="1736"/>
      <c r="C343" s="1736"/>
      <c r="N343" s="1737"/>
      <c r="AA343" s="2606"/>
      <c r="AB343" s="2606"/>
      <c r="AC343" s="2606"/>
      <c r="AD343" s="2606"/>
      <c r="AE343" s="2606"/>
      <c r="AF343" s="2606"/>
      <c r="AG343" s="2606"/>
      <c r="AH343" s="2606"/>
      <c r="AI343" s="2606"/>
      <c r="AJ343" s="2606"/>
      <c r="AK343" s="2606"/>
      <c r="AL343" s="2606"/>
      <c r="AN343" s="2607"/>
      <c r="AO343" s="2607"/>
      <c r="AP343" s="2606"/>
      <c r="AQ343" s="2606"/>
      <c r="AR343" s="2606"/>
      <c r="AS343" s="2606"/>
      <c r="AT343" s="2606"/>
      <c r="AU343" s="2606"/>
      <c r="AV343" s="2606"/>
    </row>
    <row r="344" spans="1:48" s="132" customFormat="1" ht="15.75">
      <c r="A344" s="1736"/>
      <c r="B344" s="1736"/>
      <c r="C344" s="1736"/>
      <c r="N344" s="1737"/>
      <c r="AA344" s="2606"/>
      <c r="AB344" s="2606"/>
      <c r="AC344" s="2606"/>
      <c r="AD344" s="2606"/>
      <c r="AE344" s="2606"/>
      <c r="AF344" s="2606"/>
      <c r="AG344" s="2606"/>
      <c r="AH344" s="2606"/>
      <c r="AI344" s="2606"/>
      <c r="AJ344" s="2606"/>
      <c r="AK344" s="2606"/>
      <c r="AL344" s="2606"/>
      <c r="AN344" s="2607"/>
      <c r="AO344" s="2607"/>
      <c r="AP344" s="2606"/>
      <c r="AQ344" s="2606"/>
      <c r="AR344" s="2606"/>
      <c r="AS344" s="2606"/>
      <c r="AT344" s="2606"/>
      <c r="AU344" s="2606"/>
      <c r="AV344" s="2606"/>
    </row>
    <row r="345" spans="1:48" s="132" customFormat="1" ht="15.75">
      <c r="A345" s="1753" t="s">
        <v>1398</v>
      </c>
      <c r="B345" s="1736" t="s">
        <v>1397</v>
      </c>
      <c r="C345" s="1736"/>
      <c r="N345" s="1737"/>
      <c r="AA345" s="2606"/>
      <c r="AB345" s="2606"/>
      <c r="AC345" s="2606"/>
      <c r="AD345" s="2606"/>
      <c r="AE345" s="2606"/>
      <c r="AF345" s="2606"/>
      <c r="AG345" s="2606"/>
      <c r="AH345" s="2606"/>
      <c r="AI345" s="2606"/>
      <c r="AJ345" s="2606"/>
      <c r="AK345" s="2606"/>
      <c r="AL345" s="2606"/>
      <c r="AN345" s="2607"/>
      <c r="AO345" s="2607"/>
      <c r="AP345" s="2606"/>
      <c r="AQ345" s="2606"/>
      <c r="AR345" s="2606"/>
      <c r="AS345" s="2606"/>
      <c r="AT345" s="2606"/>
      <c r="AU345" s="2606"/>
      <c r="AV345" s="2606"/>
    </row>
    <row r="346" spans="1:48">
      <c r="AA346" s="2595"/>
      <c r="AB346" s="2595"/>
      <c r="AC346" s="2595"/>
      <c r="AD346" s="2595"/>
      <c r="AE346" s="2595"/>
      <c r="AF346" s="2595"/>
      <c r="AG346" s="2595"/>
      <c r="AH346" s="2595"/>
      <c r="AI346" s="2595"/>
      <c r="AJ346" s="2595"/>
      <c r="AK346" s="2595"/>
      <c r="AL346" s="2595"/>
      <c r="AN346" s="2608"/>
      <c r="AO346" s="2608"/>
      <c r="AP346" s="2595"/>
      <c r="AQ346" s="2595"/>
      <c r="AR346" s="2595"/>
      <c r="AS346" s="2595"/>
      <c r="AT346" s="2595"/>
      <c r="AU346" s="2595"/>
      <c r="AV346" s="2595"/>
    </row>
    <row r="347" spans="1:48">
      <c r="A347" s="1176" t="b">
        <f>AND(L315,M339)</f>
        <v>0</v>
      </c>
      <c r="B347" s="2053" t="str">
        <f>IF(A347,"X","")</f>
        <v/>
      </c>
      <c r="D347" s="70" t="s">
        <v>2929</v>
      </c>
      <c r="AA347" s="2595"/>
      <c r="AB347" s="2595"/>
      <c r="AC347" s="2595"/>
      <c r="AD347" s="2595"/>
      <c r="AE347" s="2595"/>
      <c r="AF347" s="2595"/>
      <c r="AG347" s="2595"/>
      <c r="AH347" s="2595"/>
      <c r="AI347" s="2595"/>
      <c r="AJ347" s="2595"/>
      <c r="AK347" s="2595"/>
      <c r="AL347" s="2595"/>
      <c r="AN347" s="2608"/>
      <c r="AO347" s="2608"/>
      <c r="AP347" s="2595"/>
      <c r="AQ347" s="2595"/>
      <c r="AR347" s="2595"/>
      <c r="AS347" s="2595"/>
      <c r="AT347" s="2595"/>
      <c r="AU347" s="2595"/>
      <c r="AV347" s="2595"/>
    </row>
    <row r="348" spans="1:48">
      <c r="D348" s="70" t="s">
        <v>1399</v>
      </c>
      <c r="AA348" s="2595"/>
      <c r="AB348" s="2595"/>
      <c r="AC348" s="2595"/>
      <c r="AD348" s="2595"/>
      <c r="AE348" s="2595"/>
      <c r="AF348" s="2595"/>
      <c r="AG348" s="2595"/>
      <c r="AH348" s="2595"/>
      <c r="AI348" s="2595"/>
      <c r="AJ348" s="2595"/>
      <c r="AK348" s="2595"/>
      <c r="AL348" s="2595"/>
      <c r="AN348" s="2608"/>
      <c r="AO348" s="2608"/>
      <c r="AP348" s="2595"/>
      <c r="AQ348" s="2595"/>
      <c r="AR348" s="2595"/>
      <c r="AS348" s="2595"/>
      <c r="AT348" s="2595"/>
      <c r="AU348" s="2595"/>
      <c r="AV348" s="2595"/>
    </row>
    <row r="349" spans="1:48">
      <c r="D349" s="70" t="s">
        <v>1400</v>
      </c>
      <c r="AA349" s="2595"/>
      <c r="AB349" s="2595"/>
      <c r="AC349" s="2595"/>
      <c r="AD349" s="2595"/>
      <c r="AE349" s="2595"/>
      <c r="AF349" s="2595"/>
      <c r="AG349" s="2595"/>
      <c r="AH349" s="2595"/>
      <c r="AI349" s="2595"/>
      <c r="AJ349" s="2595"/>
      <c r="AK349" s="2595"/>
      <c r="AL349" s="2595"/>
      <c r="AN349" s="2608"/>
      <c r="AO349" s="2608"/>
      <c r="AP349" s="2595"/>
      <c r="AQ349" s="2595"/>
      <c r="AR349" s="2595"/>
      <c r="AS349" s="2595"/>
      <c r="AT349" s="2595"/>
      <c r="AU349" s="2595"/>
      <c r="AV349" s="2595"/>
    </row>
    <row r="350" spans="1:48">
      <c r="AA350" s="2595"/>
      <c r="AB350" s="2595"/>
      <c r="AC350" s="2595"/>
      <c r="AD350" s="2595"/>
      <c r="AE350" s="2595"/>
      <c r="AF350" s="2595"/>
      <c r="AG350" s="2595"/>
      <c r="AH350" s="2595"/>
      <c r="AI350" s="2595"/>
      <c r="AJ350" s="2595"/>
      <c r="AK350" s="2595"/>
      <c r="AL350" s="2595"/>
      <c r="AN350" s="2608"/>
      <c r="AO350" s="2608"/>
      <c r="AP350" s="2595"/>
      <c r="AQ350" s="2595"/>
      <c r="AR350" s="2595"/>
      <c r="AS350" s="2595"/>
      <c r="AT350" s="2595"/>
      <c r="AU350" s="2595"/>
      <c r="AV350" s="2595"/>
    </row>
    <row r="351" spans="1:48">
      <c r="C351" s="1740" t="s">
        <v>294</v>
      </c>
      <c r="D351" s="70" t="s">
        <v>1401</v>
      </c>
      <c r="J351" s="1750" t="s">
        <v>294</v>
      </c>
      <c r="K351" s="2045" t="str">
        <f>IF(A347,EIC_EarnedIncome,"")</f>
        <v/>
      </c>
      <c r="AA351" s="2595"/>
      <c r="AB351" s="2595"/>
      <c r="AC351" s="2595"/>
      <c r="AD351" s="2595"/>
      <c r="AE351" s="2595"/>
      <c r="AF351" s="2595"/>
      <c r="AG351" s="2595"/>
      <c r="AH351" s="2595"/>
      <c r="AI351" s="2595"/>
      <c r="AJ351" s="2595"/>
      <c r="AK351" s="2595"/>
      <c r="AL351" s="2595"/>
      <c r="AN351" s="2608"/>
      <c r="AO351" s="2608"/>
      <c r="AP351" s="2595"/>
      <c r="AQ351" s="2595"/>
      <c r="AR351" s="2595"/>
      <c r="AS351" s="2595"/>
      <c r="AT351" s="2595"/>
      <c r="AU351" s="2595"/>
      <c r="AV351" s="2595"/>
    </row>
    <row r="352" spans="1:48" ht="13.5" thickBot="1">
      <c r="AA352" s="2595"/>
      <c r="AB352" s="2595"/>
      <c r="AC352" s="2595"/>
      <c r="AD352" s="2595"/>
      <c r="AE352" s="2595"/>
      <c r="AF352" s="2595"/>
      <c r="AG352" s="2595"/>
      <c r="AH352" s="2595"/>
      <c r="AI352" s="2595"/>
      <c r="AJ352" s="2595"/>
      <c r="AK352" s="2595"/>
      <c r="AL352" s="2595"/>
      <c r="AN352" s="2601" t="s">
        <v>1406</v>
      </c>
      <c r="AO352" s="2608"/>
      <c r="AP352" s="2595"/>
      <c r="AQ352" s="2595"/>
      <c r="AR352" s="2595"/>
      <c r="AS352" s="2595"/>
      <c r="AT352" s="2595"/>
      <c r="AU352" s="2595"/>
      <c r="AV352" s="2595"/>
    </row>
    <row r="353" spans="1:48">
      <c r="C353" s="1740" t="s">
        <v>0</v>
      </c>
      <c r="D353" s="70" t="s">
        <v>1402</v>
      </c>
      <c r="K353" s="1750" t="s">
        <v>0</v>
      </c>
      <c r="L353" s="2045" t="str">
        <f>IF(A347,IF(ISERROR(AN357),0,AN357),"")</f>
        <v/>
      </c>
      <c r="AA353" s="2595"/>
      <c r="AB353" s="2595"/>
      <c r="AC353" s="2595"/>
      <c r="AD353" s="2595"/>
      <c r="AE353" s="2595"/>
      <c r="AF353" s="2595"/>
      <c r="AG353" s="2595"/>
      <c r="AH353" s="2595"/>
      <c r="AI353" s="2595"/>
      <c r="AJ353" s="2595"/>
      <c r="AK353" s="2595"/>
      <c r="AL353" s="2595"/>
      <c r="AN353" s="2612" t="str">
        <f>EIC_EarnedIncome</f>
        <v/>
      </c>
      <c r="AO353" s="6809" t="s">
        <v>1288</v>
      </c>
      <c r="AP353" s="6810"/>
      <c r="AQ353" s="6809" t="s">
        <v>1289</v>
      </c>
      <c r="AR353" s="6810"/>
      <c r="AS353" s="6809" t="s">
        <v>1409</v>
      </c>
      <c r="AT353" s="6810"/>
      <c r="AU353" s="6809" t="s">
        <v>1410</v>
      </c>
      <c r="AV353" s="6810"/>
    </row>
    <row r="354" spans="1:48">
      <c r="D354" s="70" t="s">
        <v>1403</v>
      </c>
      <c r="AA354" s="2595"/>
      <c r="AB354" s="2595"/>
      <c r="AC354" s="2595"/>
      <c r="AD354" s="2595"/>
      <c r="AE354" s="2595"/>
      <c r="AF354" s="2595"/>
      <c r="AG354" s="2595"/>
      <c r="AH354" s="2595"/>
      <c r="AI354" s="2595"/>
      <c r="AJ354" s="2595"/>
      <c r="AK354" s="2595"/>
      <c r="AL354" s="2595"/>
      <c r="AN354" s="2613" t="str">
        <f>IF(AN353&lt;&gt;"",ROUND(AN353,0),"")</f>
        <v/>
      </c>
      <c r="AO354" s="2614" t="s">
        <v>1152</v>
      </c>
      <c r="AP354" s="2615" t="s">
        <v>1290</v>
      </c>
      <c r="AQ354" s="2614" t="s">
        <v>1152</v>
      </c>
      <c r="AR354" s="2615" t="s">
        <v>1290</v>
      </c>
      <c r="AS354" s="2614" t="s">
        <v>1152</v>
      </c>
      <c r="AT354" s="2616" t="s">
        <v>1290</v>
      </c>
      <c r="AU354" s="2614" t="s">
        <v>1152</v>
      </c>
      <c r="AV354" s="2616" t="s">
        <v>1290</v>
      </c>
    </row>
    <row r="355" spans="1:48">
      <c r="D355" s="70" t="s">
        <v>1404</v>
      </c>
      <c r="AA355" s="2595"/>
      <c r="AB355" s="2595"/>
      <c r="AC355" s="2595"/>
      <c r="AD355" s="2595"/>
      <c r="AE355" s="2595"/>
      <c r="AF355" s="2595"/>
      <c r="AG355" s="2595"/>
      <c r="AH355" s="2595"/>
      <c r="AI355" s="2595"/>
      <c r="AJ355" s="2595"/>
      <c r="AK355" s="2595"/>
      <c r="AL355" s="2595"/>
      <c r="AN355" s="2613"/>
      <c r="AO355" s="1762" t="e">
        <f>LOOKUP(AN356,'EIC Table'!$A$3:$A$1159,'EIC Table'!$C$3:$C$1159)</f>
        <v>#N/A</v>
      </c>
      <c r="AP355" s="1763" t="e">
        <f>LOOKUP(AN356,'EIC Table'!$A$3:$A$1159,'EIC Table'!$G$3:$G$1159)</f>
        <v>#N/A</v>
      </c>
      <c r="AQ355" s="1762" t="e">
        <f>LOOKUP(AN356,'EIC Table'!$A$3:$A$1159,'EIC Table'!$D$3:$D$1159)</f>
        <v>#N/A</v>
      </c>
      <c r="AR355" s="1763" t="e">
        <f>LOOKUP(AN356,'EIC Table'!$A$3:$A$1159,'EIC Table'!$H$3:$H$1159)</f>
        <v>#N/A</v>
      </c>
      <c r="AS355" s="1764" t="e">
        <f>LOOKUP(AN356,'EIC Table'!$A$3:$A$1159,'EIC Table'!$E$3:$E$1159)</f>
        <v>#N/A</v>
      </c>
      <c r="AT355" s="1763" t="e">
        <f>LOOKUP(AN356,'EIC Table'!$A$3:$A$1159,'EIC Table'!$I$3:$I$1159)</f>
        <v>#N/A</v>
      </c>
      <c r="AU355" s="1764" t="e">
        <f>LOOKUP(AN356,'EIC Table'!$A$3:$A$1159,'EIC Table'!$F$3:$F$1159)</f>
        <v>#N/A</v>
      </c>
      <c r="AV355" s="1763" t="e">
        <f>LOOKUP(AN356,'EIC Table'!$A$3:$A$1159,'EIC Table'!$J$3:$J$1159)</f>
        <v>#N/A</v>
      </c>
    </row>
    <row r="356" spans="1:48" ht="13.5" thickBot="1">
      <c r="D356" s="70" t="s">
        <v>1405</v>
      </c>
      <c r="AA356" s="2595"/>
      <c r="AB356" s="2595"/>
      <c r="AC356" s="2595"/>
      <c r="AD356" s="2595"/>
      <c r="AE356" s="2595"/>
      <c r="AF356" s="2595"/>
      <c r="AG356" s="2595"/>
      <c r="AH356" s="2595"/>
      <c r="AI356" s="2595"/>
      <c r="AJ356" s="2595"/>
      <c r="AK356" s="2595"/>
      <c r="AL356" s="2595"/>
      <c r="AN356" s="2613" t="str">
        <f>IF(AN354="","",AN354)</f>
        <v/>
      </c>
      <c r="AO356" s="2617"/>
      <c r="AP356" s="2618"/>
      <c r="AQ356" s="2617"/>
      <c r="AR356" s="2618"/>
      <c r="AS356" s="2619"/>
      <c r="AT356" s="2618"/>
      <c r="AU356" s="2619"/>
      <c r="AV356" s="2618"/>
    </row>
    <row r="357" spans="1:48" ht="13.5" thickBot="1">
      <c r="A357" s="1176" t="b">
        <f>AND(A347,L353=0)</f>
        <v>0</v>
      </c>
      <c r="D357" s="70" t="s">
        <v>2716</v>
      </c>
      <c r="L357" s="1176" t="b">
        <f>IF(OR(L353="",L353&lt;&gt;0),FALSE,TRUE)</f>
        <v>0</v>
      </c>
      <c r="AA357" s="2595"/>
      <c r="AB357" s="2595"/>
      <c r="AC357" s="2595"/>
      <c r="AD357" s="2595"/>
      <c r="AE357" s="2595"/>
      <c r="AF357" s="2595"/>
      <c r="AG357" s="2595"/>
      <c r="AH357" s="2595"/>
      <c r="AI357" s="2595"/>
      <c r="AJ357" s="2595"/>
      <c r="AK357" s="2595"/>
      <c r="AL357" s="2595"/>
      <c r="AN357" s="2620" t="e">
        <f>IF(EICNumQualChild&gt;2,AV357,IF(EICNumQualChild=2,AT357,IF(EICNumQualChild=1,AR357,AP357)))</f>
        <v>#N/A</v>
      </c>
      <c r="AO357" s="2621"/>
      <c r="AP357" s="2622" t="e">
        <f>IF(File_Marr_Joint&lt;&gt;"",AP355,AO355)</f>
        <v>#N/A</v>
      </c>
      <c r="AQ357" s="2621"/>
      <c r="AR357" s="2622" t="e">
        <f>IF(File_Marr_Joint&lt;&gt;"",AR355,AQ355)</f>
        <v>#N/A</v>
      </c>
      <c r="AS357" s="2623"/>
      <c r="AT357" s="2622" t="e">
        <f>IF(File_Marr_Joint&lt;&gt;"",AT355,AS355)</f>
        <v>#N/A</v>
      </c>
      <c r="AU357" s="2623"/>
      <c r="AV357" s="2622" t="e">
        <f>IF(File_Marr_Joint&lt;&gt;"",AV355,AU355)</f>
        <v>#N/A</v>
      </c>
    </row>
    <row r="358" spans="1:48">
      <c r="D358" s="70" t="s">
        <v>5643</v>
      </c>
      <c r="AA358" s="2595"/>
      <c r="AB358" s="2595"/>
      <c r="AC358" s="2595"/>
      <c r="AD358" s="2595"/>
      <c r="AE358" s="2595"/>
      <c r="AF358" s="2595"/>
      <c r="AG358" s="2595"/>
      <c r="AH358" s="2595"/>
      <c r="AI358" s="2595"/>
      <c r="AJ358" s="2595"/>
      <c r="AK358" s="2595"/>
      <c r="AL358" s="2595"/>
      <c r="AN358" s="2608"/>
      <c r="AO358" s="2608"/>
      <c r="AP358" s="2595"/>
      <c r="AQ358" s="2595"/>
      <c r="AR358" s="2595"/>
      <c r="AS358" s="2595"/>
      <c r="AT358" s="2595"/>
      <c r="AU358" s="2595"/>
      <c r="AV358" s="2595"/>
    </row>
    <row r="359" spans="1:48">
      <c r="AA359" s="2595"/>
      <c r="AB359" s="2595"/>
      <c r="AC359" s="2595"/>
      <c r="AD359" s="2595"/>
      <c r="AE359" s="2595"/>
      <c r="AF359" s="2595"/>
      <c r="AG359" s="2595"/>
      <c r="AH359" s="2595"/>
      <c r="AI359" s="2595"/>
      <c r="AJ359" s="2595"/>
      <c r="AK359" s="2595"/>
      <c r="AL359" s="2595"/>
      <c r="AN359" s="2608"/>
      <c r="AO359" s="2608"/>
      <c r="AP359" s="2595"/>
      <c r="AQ359" s="2595"/>
      <c r="AR359" s="2595"/>
      <c r="AS359" s="2595"/>
      <c r="AT359" s="2595"/>
      <c r="AU359" s="2595"/>
      <c r="AV359" s="2595"/>
    </row>
    <row r="360" spans="1:48">
      <c r="C360" s="1740" t="s">
        <v>1</v>
      </c>
      <c r="D360" s="70" t="s">
        <v>4307</v>
      </c>
      <c r="J360" s="1750" t="s">
        <v>1</v>
      </c>
      <c r="K360" s="2045" t="str">
        <f>IF(AND(A347,NOT(A357)),Adj_Gross_Inc,"")</f>
        <v/>
      </c>
      <c r="AA360" s="2595"/>
      <c r="AB360" s="2595"/>
      <c r="AC360" s="2595"/>
      <c r="AD360" s="2595"/>
      <c r="AE360" s="2595"/>
      <c r="AF360" s="2595"/>
      <c r="AG360" s="2595"/>
      <c r="AH360" s="2595"/>
      <c r="AI360" s="2595"/>
      <c r="AJ360" s="2595"/>
      <c r="AK360" s="2595"/>
      <c r="AL360" s="2595"/>
      <c r="AN360" s="2608"/>
      <c r="AO360" s="2608"/>
      <c r="AP360" s="2595"/>
      <c r="AQ360" s="2595"/>
      <c r="AR360" s="2595"/>
      <c r="AS360" s="2595"/>
      <c r="AT360" s="2595"/>
      <c r="AU360" s="2595"/>
      <c r="AV360" s="2595"/>
    </row>
    <row r="361" spans="1:48">
      <c r="AA361" s="2595"/>
      <c r="AB361" s="2595"/>
      <c r="AC361" s="2595"/>
      <c r="AD361" s="2595"/>
      <c r="AE361" s="2595"/>
      <c r="AF361" s="2595"/>
      <c r="AG361" s="2595"/>
      <c r="AH361" s="2595"/>
      <c r="AI361" s="2595"/>
      <c r="AJ361" s="2595"/>
      <c r="AK361" s="2595"/>
      <c r="AL361" s="2595"/>
      <c r="AN361" s="2608"/>
      <c r="AO361" s="2608"/>
      <c r="AP361" s="2595"/>
      <c r="AQ361" s="2595"/>
      <c r="AR361" s="2595"/>
      <c r="AS361" s="2595"/>
      <c r="AT361" s="2595"/>
      <c r="AU361" s="2595"/>
      <c r="AV361" s="2595"/>
    </row>
    <row r="362" spans="1:48">
      <c r="C362" s="1740" t="s">
        <v>399</v>
      </c>
      <c r="D362" s="23" t="s">
        <v>1291</v>
      </c>
      <c r="AA362" s="2595"/>
      <c r="AB362" s="2595"/>
      <c r="AC362" s="2595"/>
      <c r="AD362" s="2595"/>
      <c r="AE362" s="2595"/>
      <c r="AF362" s="2595"/>
      <c r="AG362" s="2595"/>
      <c r="AH362" s="2595"/>
      <c r="AI362" s="2595"/>
      <c r="AJ362" s="2595"/>
      <c r="AK362" s="2595"/>
      <c r="AL362" s="2595"/>
      <c r="AN362" s="2608"/>
      <c r="AO362" s="2608"/>
      <c r="AP362" s="2595"/>
      <c r="AQ362" s="2595"/>
      <c r="AR362" s="2595"/>
      <c r="AS362" s="2595"/>
      <c r="AT362" s="2595"/>
      <c r="AU362" s="2595"/>
      <c r="AV362" s="2595"/>
    </row>
    <row r="363" spans="1:48">
      <c r="AA363" s="2595"/>
      <c r="AB363" s="2595"/>
      <c r="AC363" s="2595"/>
      <c r="AD363" s="2595"/>
      <c r="AE363" s="2595"/>
      <c r="AF363" s="2595"/>
      <c r="AG363" s="2595"/>
      <c r="AH363" s="2595"/>
      <c r="AI363" s="2595"/>
      <c r="AJ363" s="2595"/>
      <c r="AK363" s="2595"/>
      <c r="AL363" s="2595"/>
      <c r="AN363" s="2608"/>
      <c r="AO363" s="2608"/>
      <c r="AP363" s="2595"/>
      <c r="AQ363" s="2595"/>
      <c r="AR363" s="2595"/>
      <c r="AS363" s="2595"/>
      <c r="AT363" s="2595"/>
      <c r="AU363" s="2595"/>
      <c r="AV363" s="2595"/>
    </row>
    <row r="364" spans="1:48">
      <c r="A364" s="1176" t="b">
        <f>AND(A347,NOT(A357),K360=K351)</f>
        <v>0</v>
      </c>
      <c r="B364" s="2053" t="str">
        <f>IF(A364,"X","")</f>
        <v/>
      </c>
      <c r="D364" s="24" t="s">
        <v>1292</v>
      </c>
      <c r="AA364" s="2595"/>
      <c r="AB364" s="2595"/>
      <c r="AC364" s="2595"/>
      <c r="AD364" s="2595"/>
      <c r="AE364" s="2595"/>
      <c r="AF364" s="2595"/>
      <c r="AG364" s="2595"/>
      <c r="AH364" s="2595"/>
      <c r="AI364" s="2595"/>
      <c r="AJ364" s="2595"/>
      <c r="AK364" s="2595"/>
      <c r="AL364" s="2595"/>
      <c r="AN364" s="2608"/>
      <c r="AO364" s="2608"/>
      <c r="AP364" s="2595"/>
      <c r="AQ364" s="2595"/>
      <c r="AR364" s="2595"/>
      <c r="AS364" s="2595"/>
      <c r="AT364" s="2595"/>
      <c r="AU364" s="2595"/>
      <c r="AV364" s="2595"/>
    </row>
    <row r="365" spans="1:48">
      <c r="AA365" s="2595"/>
      <c r="AB365" s="2595"/>
      <c r="AC365" s="2595"/>
      <c r="AD365" s="2595"/>
      <c r="AE365" s="2595"/>
      <c r="AF365" s="2595"/>
      <c r="AG365" s="2595"/>
      <c r="AH365" s="2595"/>
      <c r="AI365" s="2595"/>
      <c r="AJ365" s="2595"/>
      <c r="AK365" s="2595"/>
      <c r="AL365" s="2595"/>
      <c r="AN365" s="2608"/>
      <c r="AO365" s="2608"/>
      <c r="AP365" s="2595"/>
      <c r="AQ365" s="2595"/>
      <c r="AR365" s="2595"/>
      <c r="AS365" s="2595"/>
      <c r="AT365" s="2595"/>
      <c r="AU365" s="2595"/>
      <c r="AV365" s="2595"/>
    </row>
    <row r="366" spans="1:48">
      <c r="A366" s="1176" t="b">
        <f>AND(A347,NOT(A357),K360&lt;&gt;K351)</f>
        <v>0</v>
      </c>
      <c r="B366" s="2053" t="str">
        <f>IF(OR(L353=0,$B$347=""),"",IF(K360=K351,"","X"))</f>
        <v/>
      </c>
      <c r="D366" s="24" t="s">
        <v>1293</v>
      </c>
      <c r="AA366" s="2595"/>
      <c r="AB366" s="2595"/>
      <c r="AC366" s="2595"/>
      <c r="AD366" s="2595"/>
      <c r="AE366" s="2595"/>
      <c r="AF366" s="2595"/>
      <c r="AG366" s="2595"/>
      <c r="AH366" s="2595"/>
      <c r="AI366" s="2595"/>
      <c r="AJ366" s="2595"/>
      <c r="AK366" s="2595"/>
      <c r="AL366" s="2595"/>
      <c r="AN366" s="2608"/>
      <c r="AO366" s="2608"/>
      <c r="AP366" s="2595"/>
      <c r="AQ366" s="2595"/>
      <c r="AR366" s="2595"/>
      <c r="AS366" s="2595"/>
      <c r="AT366" s="2595"/>
      <c r="AU366" s="2595"/>
      <c r="AV366" s="2595"/>
    </row>
    <row r="367" spans="1:48" ht="7.5" customHeight="1">
      <c r="AA367" s="2595"/>
      <c r="AB367" s="2595"/>
      <c r="AC367" s="2595"/>
      <c r="AD367" s="2595"/>
      <c r="AE367" s="2595"/>
      <c r="AF367" s="2595"/>
      <c r="AG367" s="2595"/>
      <c r="AH367" s="2595"/>
      <c r="AI367" s="2595"/>
      <c r="AJ367" s="2595"/>
      <c r="AK367" s="2595"/>
      <c r="AL367" s="2595"/>
      <c r="AN367" s="2608"/>
      <c r="AO367" s="2608"/>
      <c r="AP367" s="2595"/>
      <c r="AQ367" s="2595"/>
      <c r="AR367" s="2595"/>
      <c r="AS367" s="2595"/>
      <c r="AT367" s="2595"/>
      <c r="AU367" s="2595"/>
      <c r="AV367" s="2595"/>
    </row>
    <row r="368" spans="1:48" s="1743" customFormat="1" ht="7.5" customHeight="1">
      <c r="B368" s="1742"/>
      <c r="N368" s="1744"/>
      <c r="AA368" s="2609"/>
      <c r="AB368" s="2609"/>
      <c r="AC368" s="2609"/>
      <c r="AD368" s="2609"/>
      <c r="AE368" s="2609"/>
      <c r="AF368" s="2609"/>
      <c r="AG368" s="2609"/>
      <c r="AH368" s="2609"/>
      <c r="AI368" s="2609"/>
      <c r="AJ368" s="2609"/>
      <c r="AK368" s="2609"/>
      <c r="AL368" s="2609"/>
      <c r="AN368" s="2610"/>
      <c r="AO368" s="2610"/>
      <c r="AP368" s="2609"/>
      <c r="AQ368" s="2609"/>
      <c r="AR368" s="2609"/>
      <c r="AS368" s="2609"/>
      <c r="AT368" s="2609"/>
      <c r="AU368" s="2609"/>
      <c r="AV368" s="2609"/>
    </row>
    <row r="369" spans="1:48" s="132" customFormat="1" ht="16.5" customHeight="1">
      <c r="A369" s="1753" t="s">
        <v>1412</v>
      </c>
      <c r="B369" s="1769" t="s">
        <v>1411</v>
      </c>
      <c r="C369" s="1736"/>
      <c r="N369" s="1737"/>
      <c r="AA369" s="2606"/>
      <c r="AB369" s="2606"/>
      <c r="AC369" s="2606"/>
      <c r="AD369" s="2606"/>
      <c r="AE369" s="2606"/>
      <c r="AF369" s="2606"/>
      <c r="AG369" s="2606"/>
      <c r="AH369" s="2606"/>
      <c r="AI369" s="2606"/>
      <c r="AJ369" s="2606"/>
      <c r="AK369" s="2606"/>
      <c r="AL369" s="2606"/>
      <c r="AN369" s="2607"/>
      <c r="AO369" s="2607"/>
      <c r="AP369" s="2606"/>
      <c r="AQ369" s="2606"/>
      <c r="AR369" s="2606"/>
      <c r="AS369" s="2606"/>
      <c r="AT369" s="2606"/>
      <c r="AU369" s="2606"/>
      <c r="AV369" s="2606"/>
    </row>
    <row r="370" spans="1:48">
      <c r="AA370" s="2595"/>
      <c r="AB370" s="2595"/>
      <c r="AC370" s="2595"/>
      <c r="AD370" s="2595"/>
      <c r="AE370" s="2595"/>
      <c r="AF370" s="2595"/>
      <c r="AG370" s="2595"/>
      <c r="AH370" s="2595"/>
      <c r="AI370" s="2595"/>
      <c r="AJ370" s="2595"/>
      <c r="AK370" s="2595"/>
      <c r="AL370" s="2595"/>
      <c r="AN370" s="2608"/>
      <c r="AO370" s="2608"/>
      <c r="AP370" s="2595"/>
      <c r="AQ370" s="2595"/>
      <c r="AR370" s="2595"/>
      <c r="AS370" s="2595"/>
      <c r="AT370" s="2595"/>
      <c r="AU370" s="2595"/>
      <c r="AV370" s="2595"/>
    </row>
    <row r="371" spans="1:48">
      <c r="C371" s="1740" t="s">
        <v>31</v>
      </c>
      <c r="D371" s="23" t="s">
        <v>1294</v>
      </c>
      <c r="AA371" s="2595"/>
      <c r="AB371" s="2595"/>
      <c r="AC371" s="2595"/>
      <c r="AD371" s="2595"/>
      <c r="AE371" s="2595"/>
      <c r="AF371" s="2595"/>
      <c r="AG371" s="2595"/>
      <c r="AH371" s="2595"/>
      <c r="AI371" s="2595"/>
      <c r="AJ371" s="2595"/>
      <c r="AK371" s="2595"/>
      <c r="AL371" s="2595"/>
      <c r="AN371" s="2608"/>
      <c r="AO371" s="2608"/>
      <c r="AP371" s="2595"/>
      <c r="AQ371" s="2595"/>
      <c r="AR371" s="2595"/>
      <c r="AS371" s="2595"/>
      <c r="AT371" s="2595"/>
      <c r="AU371" s="2595"/>
      <c r="AV371" s="2595"/>
    </row>
    <row r="372" spans="1:48">
      <c r="B372" s="1846" t="str">
        <f>IF(OR($H$332="X",$B$347="",$B$366=""),"",IF(EICNumQualChild=0,"®",""))</f>
        <v/>
      </c>
      <c r="C372" s="133" t="s">
        <v>1275</v>
      </c>
      <c r="D372" s="70" t="s">
        <v>1285</v>
      </c>
      <c r="L372" s="438"/>
      <c r="M372" s="1176"/>
      <c r="N372" s="1337">
        <v>11650</v>
      </c>
      <c r="AA372" s="2595"/>
      <c r="AB372" s="2595"/>
      <c r="AC372" s="2595"/>
      <c r="AD372" s="2595"/>
      <c r="AE372" s="2595"/>
      <c r="AF372" s="2595"/>
      <c r="AG372" s="2595"/>
      <c r="AH372" s="2595"/>
      <c r="AI372" s="2595"/>
      <c r="AJ372" s="2595"/>
      <c r="AK372" s="2595"/>
      <c r="AL372" s="2595"/>
      <c r="AN372" s="2608"/>
      <c r="AO372" s="2608"/>
      <c r="AP372" s="2595"/>
      <c r="AQ372" s="2595"/>
      <c r="AR372" s="2595"/>
      <c r="AS372" s="2595"/>
      <c r="AT372" s="2595"/>
      <c r="AU372" s="2595"/>
      <c r="AV372" s="2595"/>
    </row>
    <row r="373" spans="1:48">
      <c r="D373" s="23" t="str">
        <f>"Is the amount on line 3 less than "&amp;TEXT(N372,"$0,000")&amp;" ("&amp;TEXT(N373,"$0,000")&amp;" if married filing jointly)? "</f>
        <v xml:space="preserve">Is the amount on line 3 less than $11,650 ($17,600 if married filing jointly)? </v>
      </c>
      <c r="L373" s="40" t="str">
        <f>IF(B372&lt;&gt;"®","",IF(M373,"Yes","No"))</f>
        <v/>
      </c>
      <c r="M373" s="1176" t="b">
        <f>AND(EICNumQualChild=0,A366,OR(AND(File_Marr_Joint="",$K$360&lt;N372),AND(File_Marr_Joint&lt;&gt;"",$K$360&lt;N373)))</f>
        <v>0</v>
      </c>
      <c r="N373" s="1337">
        <v>17600</v>
      </c>
      <c r="AA373" s="2595"/>
      <c r="AB373" s="2595"/>
      <c r="AC373" s="2595"/>
      <c r="AD373" s="2595"/>
      <c r="AE373" s="2595"/>
      <c r="AF373" s="2595"/>
      <c r="AG373" s="2595"/>
      <c r="AH373" s="2595"/>
      <c r="AI373" s="2595"/>
      <c r="AJ373" s="2595"/>
      <c r="AK373" s="2595"/>
      <c r="AL373" s="2595"/>
      <c r="AN373" s="2608"/>
      <c r="AO373" s="2608"/>
      <c r="AP373" s="2595"/>
      <c r="AQ373" s="2595"/>
      <c r="AR373" s="2595"/>
      <c r="AS373" s="2595"/>
      <c r="AT373" s="2595"/>
      <c r="AU373" s="2595"/>
      <c r="AV373" s="2595"/>
    </row>
    <row r="374" spans="1:48">
      <c r="C374" s="40" t="s">
        <v>243</v>
      </c>
      <c r="M374" s="1176"/>
      <c r="N374" s="1337"/>
      <c r="AA374" s="2595"/>
      <c r="AB374" s="2595"/>
      <c r="AC374" s="2595"/>
      <c r="AD374" s="2595"/>
      <c r="AE374" s="2595"/>
      <c r="AF374" s="2595"/>
      <c r="AG374" s="2595"/>
      <c r="AH374" s="2595"/>
      <c r="AI374" s="2595"/>
      <c r="AJ374" s="2595"/>
      <c r="AK374" s="2595"/>
      <c r="AL374" s="2595"/>
      <c r="AN374" s="2608"/>
      <c r="AO374" s="2608"/>
      <c r="AP374" s="2595"/>
      <c r="AQ374" s="2595"/>
      <c r="AR374" s="2595"/>
      <c r="AS374" s="2595"/>
      <c r="AT374" s="2595"/>
      <c r="AU374" s="2595"/>
      <c r="AV374" s="2595"/>
    </row>
    <row r="375" spans="1:48" ht="14.25" customHeight="1">
      <c r="B375" s="1846" t="str">
        <f>IF(OR($H$332="X",$B$347="",$B$366=""),"",IF(EICNumQualChild&gt;0,"®",""))</f>
        <v/>
      </c>
      <c r="C375" s="133" t="s">
        <v>1275</v>
      </c>
      <c r="D375" s="70" t="s">
        <v>1604</v>
      </c>
      <c r="L375" s="438"/>
      <c r="M375" s="1176"/>
      <c r="N375" s="1337">
        <v>19550</v>
      </c>
      <c r="AA375" s="2595"/>
      <c r="AB375" s="2595"/>
      <c r="AC375" s="2595"/>
      <c r="AD375" s="2595"/>
      <c r="AE375" s="2595"/>
      <c r="AF375" s="2595"/>
      <c r="AG375" s="2595"/>
      <c r="AH375" s="2595"/>
      <c r="AI375" s="2595"/>
      <c r="AJ375" s="2595"/>
      <c r="AK375" s="2595"/>
      <c r="AL375" s="2595"/>
      <c r="AN375" s="2608"/>
      <c r="AO375" s="2608"/>
      <c r="AP375" s="2595"/>
      <c r="AQ375" s="2595"/>
      <c r="AR375" s="2595"/>
      <c r="AS375" s="2595"/>
      <c r="AT375" s="2595"/>
      <c r="AU375" s="2595"/>
      <c r="AV375" s="2595"/>
    </row>
    <row r="376" spans="1:48">
      <c r="D376" s="23" t="str">
        <f>"Is the amount on line 3 less than "&amp;TEXT(N375,"$0,000")&amp;" ("&amp;TEXT(N376,"$0,000")&amp;" if married filing jointly)?"</f>
        <v>Is the amount on line 3 less than $19,550 ($25,500 if married filing jointly)?</v>
      </c>
      <c r="L376" s="40" t="str">
        <f>IF(B375&lt;&gt;"®","",IF(M376,"Yes","No"))</f>
        <v/>
      </c>
      <c r="M376" s="1176" t="b">
        <f>AND(EICNumQualChild&gt;=1,A366,OR(AND(File_Marr_Joint="",$K$360&lt;N375),AND(File_Marr_Joint&lt;&gt;"",$K$360&lt;N376)))</f>
        <v>0</v>
      </c>
      <c r="N376" s="1337">
        <v>25500</v>
      </c>
      <c r="AA376" s="2595"/>
      <c r="AB376" s="2595"/>
      <c r="AC376" s="2595"/>
      <c r="AD376" s="2595"/>
      <c r="AE376" s="2595"/>
      <c r="AF376" s="2595"/>
      <c r="AG376" s="2595"/>
      <c r="AH376" s="2595"/>
      <c r="AI376" s="2595"/>
      <c r="AJ376" s="2595"/>
      <c r="AK376" s="2595"/>
      <c r="AL376" s="2595"/>
      <c r="AN376" s="2608"/>
      <c r="AO376" s="2608"/>
      <c r="AP376" s="2595"/>
      <c r="AQ376" s="2595"/>
      <c r="AR376" s="2595"/>
      <c r="AS376" s="2595"/>
      <c r="AT376" s="2595"/>
      <c r="AU376" s="2595"/>
      <c r="AV376" s="2595"/>
    </row>
    <row r="377" spans="1:48">
      <c r="N377" s="70"/>
      <c r="AA377" s="2595"/>
      <c r="AB377" s="2595"/>
      <c r="AC377" s="2595"/>
      <c r="AD377" s="2595"/>
      <c r="AE377" s="2595"/>
      <c r="AF377" s="2595"/>
      <c r="AG377" s="2595"/>
      <c r="AH377" s="2595"/>
      <c r="AI377" s="2595"/>
      <c r="AJ377" s="2595"/>
      <c r="AK377" s="2595"/>
      <c r="AL377" s="2595"/>
      <c r="AN377" s="2608"/>
      <c r="AO377" s="2608"/>
      <c r="AP377" s="2595"/>
      <c r="AQ377" s="2595"/>
      <c r="AR377" s="2595"/>
      <c r="AS377" s="2595"/>
      <c r="AT377" s="2595"/>
      <c r="AU377" s="2595"/>
      <c r="AV377" s="2595"/>
    </row>
    <row r="378" spans="1:48">
      <c r="A378" s="1176" t="b">
        <f>AND(NOT(A357),A366,OR(M373,M376))</f>
        <v>0</v>
      </c>
      <c r="B378" s="2053" t="str">
        <f>IF(A378,"X","")</f>
        <v/>
      </c>
      <c r="D378" s="24" t="s">
        <v>1295</v>
      </c>
      <c r="AA378" s="2595"/>
      <c r="AB378" s="2595"/>
      <c r="AC378" s="2595"/>
      <c r="AD378" s="2595"/>
      <c r="AE378" s="2595"/>
      <c r="AF378" s="2595"/>
      <c r="AG378" s="2595"/>
      <c r="AH378" s="2595"/>
      <c r="AI378" s="2595"/>
      <c r="AJ378" s="2595"/>
      <c r="AK378" s="2595"/>
      <c r="AL378" s="2595"/>
      <c r="AN378" s="2608"/>
      <c r="AO378" s="2608"/>
      <c r="AP378" s="2595"/>
      <c r="AQ378" s="2595"/>
      <c r="AR378" s="2595"/>
      <c r="AS378" s="2595"/>
      <c r="AT378" s="2595"/>
      <c r="AU378" s="2595"/>
      <c r="AV378" s="2595"/>
    </row>
    <row r="379" spans="1:48" ht="13.5" thickBot="1">
      <c r="AA379" s="2595"/>
      <c r="AB379" s="2595"/>
      <c r="AC379" s="2595"/>
      <c r="AD379" s="2595"/>
      <c r="AE379" s="2595"/>
      <c r="AF379" s="2595"/>
      <c r="AG379" s="2595"/>
      <c r="AH379" s="2595"/>
      <c r="AI379" s="2595"/>
      <c r="AJ379" s="2595"/>
      <c r="AK379" s="2595"/>
      <c r="AL379" s="2595"/>
      <c r="AN379" s="2601" t="s">
        <v>1296</v>
      </c>
      <c r="AO379" s="2608"/>
      <c r="AP379" s="2595"/>
      <c r="AQ379" s="2595"/>
      <c r="AR379" s="2595"/>
      <c r="AS379" s="2595"/>
      <c r="AT379" s="2595"/>
      <c r="AU379" s="2595"/>
      <c r="AV379" s="2595"/>
    </row>
    <row r="380" spans="1:48">
      <c r="A380" s="1176" t="b">
        <f>AND(A366,NOT(M373),NOT(M376))</f>
        <v>0</v>
      </c>
      <c r="B380" s="2053" t="str">
        <f>IF(A380,"X","")</f>
        <v/>
      </c>
      <c r="D380" s="1256" t="s">
        <v>1415</v>
      </c>
      <c r="K380" s="1750"/>
      <c r="AA380" s="2595"/>
      <c r="AB380" s="2595"/>
      <c r="AC380" s="2595"/>
      <c r="AD380" s="2595"/>
      <c r="AE380" s="2595"/>
      <c r="AF380" s="2595"/>
      <c r="AG380" s="2595"/>
      <c r="AH380" s="2595"/>
      <c r="AI380" s="2595"/>
      <c r="AJ380" s="2595"/>
      <c r="AK380" s="2595"/>
      <c r="AL380" s="2595"/>
      <c r="AN380" s="2612">
        <f>Adj_Gross_Inc</f>
        <v>0</v>
      </c>
      <c r="AO380" s="6809" t="s">
        <v>1288</v>
      </c>
      <c r="AP380" s="6810"/>
      <c r="AQ380" s="6809" t="s">
        <v>1289</v>
      </c>
      <c r="AR380" s="6810"/>
      <c r="AS380" s="6809" t="s">
        <v>1409</v>
      </c>
      <c r="AT380" s="6810"/>
      <c r="AU380" s="6809" t="s">
        <v>1410</v>
      </c>
      <c r="AV380" s="6810"/>
    </row>
    <row r="381" spans="1:48">
      <c r="D381" s="70" t="s">
        <v>2104</v>
      </c>
      <c r="AA381" s="2595"/>
      <c r="AB381" s="2595"/>
      <c r="AC381" s="2595"/>
      <c r="AD381" s="2595"/>
      <c r="AE381" s="2595"/>
      <c r="AF381" s="2595"/>
      <c r="AG381" s="2595"/>
      <c r="AH381" s="2595"/>
      <c r="AI381" s="2595"/>
      <c r="AJ381" s="2595"/>
      <c r="AK381" s="2595"/>
      <c r="AL381" s="2595"/>
      <c r="AN381" s="2613">
        <f>IF(AN380&lt;&gt;"",ROUND(AN380,0),"")</f>
        <v>0</v>
      </c>
      <c r="AO381" s="2614" t="s">
        <v>1152</v>
      </c>
      <c r="AP381" s="2615" t="s">
        <v>1290</v>
      </c>
      <c r="AQ381" s="2614" t="s">
        <v>1152</v>
      </c>
      <c r="AR381" s="2615" t="s">
        <v>1290</v>
      </c>
      <c r="AS381" s="2614" t="s">
        <v>1152</v>
      </c>
      <c r="AT381" s="2616" t="s">
        <v>1290</v>
      </c>
      <c r="AU381" s="2614" t="s">
        <v>1152</v>
      </c>
      <c r="AV381" s="2616" t="s">
        <v>1290</v>
      </c>
    </row>
    <row r="382" spans="1:48">
      <c r="D382" s="70" t="s">
        <v>2106</v>
      </c>
      <c r="K382" s="1750"/>
      <c r="AA382" s="2595"/>
      <c r="AB382" s="2595"/>
      <c r="AC382" s="2595"/>
      <c r="AD382" s="2595"/>
      <c r="AE382" s="2595"/>
      <c r="AF382" s="2595"/>
      <c r="AG382" s="2595"/>
      <c r="AH382" s="2595"/>
      <c r="AI382" s="2595"/>
      <c r="AJ382" s="2595"/>
      <c r="AK382" s="2595"/>
      <c r="AL382" s="2595"/>
      <c r="AN382" s="2613"/>
      <c r="AO382" s="1762" t="e">
        <f>LOOKUP(AN383,'EIC Table'!$A$3:$A$1159,'EIC Table'!$C$3:$C$1159)</f>
        <v>#N/A</v>
      </c>
      <c r="AP382" s="1763" t="e">
        <f>LOOKUP(AN383,'EIC Table'!$A$3:$A$1159,'EIC Table'!$G$3:$G$1159)</f>
        <v>#N/A</v>
      </c>
      <c r="AQ382" s="1762" t="e">
        <f>LOOKUP(AN383,'EIC Table'!$A$3:$A$1159,'EIC Table'!$D$3:$D$1159)</f>
        <v>#N/A</v>
      </c>
      <c r="AR382" s="1763" t="e">
        <f>LOOKUP(AN383,'EIC Table'!$A$3:$A$1159,'EIC Table'!$H$3:$H$1159)</f>
        <v>#N/A</v>
      </c>
      <c r="AS382" s="1764" t="e">
        <f>LOOKUP(AN383,'EIC Table'!$A$3:$A$1159,'EIC Table'!$E$3:$E$1159)</f>
        <v>#N/A</v>
      </c>
      <c r="AT382" s="1763" t="e">
        <f>LOOKUP(AN383,'EIC Table'!$A$3:$A$1159,'EIC Table'!$I$3:$I$1159)</f>
        <v>#N/A</v>
      </c>
      <c r="AU382" s="1764" t="e">
        <f>LOOKUP(AN383,'EIC Table'!$A$3:$A$1159,'EIC Table'!$F$3:$F$1159)</f>
        <v>#N/A</v>
      </c>
      <c r="AV382" s="1763" t="e">
        <f>LOOKUP(AN383,'EIC Table'!$A$3:$A$1159,'EIC Table'!$J$3:$J$1159)</f>
        <v>#N/A</v>
      </c>
    </row>
    <row r="383" spans="1:48" ht="13.5" thickBot="1">
      <c r="D383" s="70" t="s">
        <v>2105</v>
      </c>
      <c r="K383" s="1750" t="s">
        <v>31</v>
      </c>
      <c r="L383" s="2045" t="str">
        <f>IF(B366="","",IF(B378&lt;&gt;"","",AN384))</f>
        <v/>
      </c>
      <c r="AA383" s="2595"/>
      <c r="AB383" s="2595"/>
      <c r="AC383" s="2595"/>
      <c r="AD383" s="2595"/>
      <c r="AE383" s="2595"/>
      <c r="AF383" s="2595"/>
      <c r="AG383" s="2595"/>
      <c r="AH383" s="2595"/>
      <c r="AI383" s="2595"/>
      <c r="AJ383" s="2595"/>
      <c r="AK383" s="2595"/>
      <c r="AL383" s="2595"/>
      <c r="AN383" s="2613">
        <f>IF(AN381="","",AN381)</f>
        <v>0</v>
      </c>
      <c r="AO383" s="1762"/>
      <c r="AP383" s="1763"/>
      <c r="AQ383" s="1762"/>
      <c r="AR383" s="1763"/>
      <c r="AS383" s="1764"/>
      <c r="AT383" s="1763"/>
      <c r="AU383" s="1764"/>
      <c r="AV383" s="1763"/>
    </row>
    <row r="384" spans="1:48" ht="13.5" thickBot="1">
      <c r="D384" s="23" t="s">
        <v>1297</v>
      </c>
      <c r="AA384" s="2595"/>
      <c r="AB384" s="2595"/>
      <c r="AC384" s="2595"/>
      <c r="AD384" s="2595"/>
      <c r="AE384" s="2595"/>
      <c r="AF384" s="2595"/>
      <c r="AG384" s="2595"/>
      <c r="AH384" s="2595"/>
      <c r="AI384" s="2595"/>
      <c r="AJ384" s="2595"/>
      <c r="AK384" s="2595"/>
      <c r="AL384" s="2595"/>
      <c r="AN384" s="2620" t="e">
        <f>IF(EICNumQualChild&gt;2,AV384,IF(EICNumQualChild=2,AT384,IF(EICNumQualChild=1,AR384,AP384)))</f>
        <v>#N/A</v>
      </c>
      <c r="AO384" s="2621"/>
      <c r="AP384" s="2622" t="e">
        <f>IF(File_Marr_Joint&lt;&gt;"",AP382,AO382)</f>
        <v>#N/A</v>
      </c>
      <c r="AQ384" s="2621"/>
      <c r="AR384" s="2622" t="e">
        <f>IF(File_Marr_Joint&lt;&gt;"",AR382,AQ382)</f>
        <v>#N/A</v>
      </c>
      <c r="AS384" s="2623"/>
      <c r="AT384" s="2622" t="e">
        <f>IF(File_Marr_Joint&lt;&gt;"",AT382,AS382)</f>
        <v>#N/A</v>
      </c>
      <c r="AU384" s="2623"/>
      <c r="AV384" s="2622" t="e">
        <f>IF(File_Marr_Joint&lt;&gt;"",AV382,AU382)</f>
        <v>#N/A</v>
      </c>
    </row>
    <row r="385" spans="1:48">
      <c r="D385" s="70" t="s">
        <v>2717</v>
      </c>
      <c r="AA385" s="2595"/>
      <c r="AB385" s="2595"/>
      <c r="AC385" s="2595"/>
      <c r="AD385" s="2595"/>
      <c r="AE385" s="2595"/>
      <c r="AF385" s="2595"/>
      <c r="AG385" s="2595"/>
      <c r="AH385" s="2595"/>
      <c r="AI385" s="2595"/>
      <c r="AJ385" s="2595"/>
      <c r="AK385" s="2595"/>
      <c r="AL385" s="2595"/>
      <c r="AN385" s="2595"/>
      <c r="AO385" s="2595"/>
      <c r="AP385" s="2595"/>
      <c r="AQ385" s="2595"/>
      <c r="AR385" s="2595"/>
      <c r="AS385" s="2595"/>
      <c r="AT385" s="2595"/>
      <c r="AU385" s="2595"/>
      <c r="AV385" s="2595"/>
    </row>
    <row r="386" spans="1:48" ht="7.5" customHeight="1">
      <c r="AA386" s="2595"/>
      <c r="AB386" s="2595"/>
      <c r="AC386" s="2595"/>
      <c r="AD386" s="2595"/>
      <c r="AE386" s="2595"/>
      <c r="AF386" s="2595"/>
      <c r="AG386" s="2595"/>
      <c r="AH386" s="2595"/>
      <c r="AI386" s="2595"/>
      <c r="AJ386" s="2595"/>
      <c r="AK386" s="2595"/>
      <c r="AL386" s="2595"/>
      <c r="AN386" s="2608"/>
      <c r="AO386" s="2608"/>
      <c r="AP386" s="2595"/>
      <c r="AQ386" s="2595"/>
      <c r="AR386" s="2595"/>
      <c r="AS386" s="2595"/>
      <c r="AT386" s="2595"/>
      <c r="AU386" s="2595"/>
      <c r="AV386" s="2595"/>
    </row>
    <row r="387" spans="1:48" s="1743" customFormat="1" ht="7.5" customHeight="1">
      <c r="B387" s="1742"/>
      <c r="N387" s="1744"/>
      <c r="AA387" s="2609"/>
      <c r="AB387" s="2609"/>
      <c r="AC387" s="2609"/>
      <c r="AD387" s="2609"/>
      <c r="AE387" s="2609"/>
      <c r="AF387" s="2609"/>
      <c r="AG387" s="2609"/>
      <c r="AH387" s="2609"/>
      <c r="AI387" s="2609"/>
      <c r="AJ387" s="2609"/>
      <c r="AK387" s="2609"/>
      <c r="AL387" s="2609"/>
      <c r="AN387" s="2610"/>
      <c r="AO387" s="2610"/>
      <c r="AP387" s="2609"/>
      <c r="AQ387" s="2609"/>
      <c r="AR387" s="2609"/>
      <c r="AS387" s="2609"/>
      <c r="AT387" s="2609"/>
      <c r="AU387" s="2609"/>
      <c r="AV387" s="2609"/>
    </row>
    <row r="388" spans="1:48" s="132" customFormat="1" ht="15.75">
      <c r="A388" s="1753" t="s">
        <v>1414</v>
      </c>
      <c r="B388" s="1769" t="s">
        <v>1413</v>
      </c>
      <c r="C388" s="1736"/>
      <c r="N388" s="1737"/>
      <c r="AA388" s="2606"/>
      <c r="AB388" s="2606"/>
      <c r="AC388" s="2606"/>
      <c r="AD388" s="2606"/>
      <c r="AE388" s="2606"/>
      <c r="AF388" s="2606"/>
      <c r="AG388" s="2606"/>
      <c r="AH388" s="2606"/>
      <c r="AI388" s="2606"/>
      <c r="AJ388" s="2606"/>
      <c r="AK388" s="2606"/>
      <c r="AL388" s="2606"/>
      <c r="AN388" s="2607"/>
      <c r="AO388" s="2607"/>
      <c r="AP388" s="2606"/>
      <c r="AQ388" s="2606"/>
      <c r="AR388" s="2606"/>
      <c r="AS388" s="2606"/>
      <c r="AT388" s="2606"/>
      <c r="AU388" s="2606"/>
      <c r="AV388" s="2606"/>
    </row>
    <row r="389" spans="1:48">
      <c r="AA389" s="2595"/>
      <c r="AB389" s="2595"/>
      <c r="AC389" s="2595"/>
      <c r="AD389" s="2595"/>
      <c r="AE389" s="2595"/>
      <c r="AF389" s="2595"/>
      <c r="AG389" s="2595"/>
      <c r="AH389" s="2595"/>
      <c r="AI389" s="2595"/>
      <c r="AJ389" s="2595"/>
      <c r="AK389" s="2595"/>
      <c r="AL389" s="2595"/>
      <c r="AN389" s="2608"/>
      <c r="AO389" s="2608"/>
      <c r="AP389" s="2595"/>
      <c r="AQ389" s="2595"/>
      <c r="AR389" s="2595"/>
      <c r="AS389" s="2595"/>
      <c r="AT389" s="2595"/>
      <c r="AU389" s="2595"/>
      <c r="AV389" s="2595"/>
    </row>
    <row r="390" spans="1:48">
      <c r="C390" s="1035" t="s">
        <v>67</v>
      </c>
      <c r="D390" s="24" t="s">
        <v>1298</v>
      </c>
      <c r="L390" s="1750" t="s">
        <v>67</v>
      </c>
      <c r="M390" s="2045" t="str">
        <f>IF(OR(A364,A378),L353,IF(A380,MIN(L353,L383),""))</f>
        <v/>
      </c>
      <c r="N390" s="23"/>
      <c r="O390" s="2115" t="str">
        <f>IF(EIC_WSA_Part3&lt;1000,TEXT(EIC_WSA_Part3,"$0"),TEXT(EIC_WSA_Part3,"$0,000"))</f>
        <v/>
      </c>
      <c r="AA390" s="2595"/>
      <c r="AB390" s="2595"/>
      <c r="AC390" s="2595"/>
      <c r="AD390" s="2595"/>
      <c r="AE390" s="2595"/>
      <c r="AF390" s="2595"/>
      <c r="AG390" s="2595"/>
      <c r="AH390" s="2595"/>
      <c r="AI390" s="2595"/>
      <c r="AJ390" s="2595"/>
      <c r="AK390" s="2595"/>
      <c r="AL390" s="2595"/>
      <c r="AN390" s="2608"/>
      <c r="AO390" s="2608"/>
      <c r="AP390" s="2595"/>
      <c r="AQ390" s="2595"/>
      <c r="AR390" s="2595"/>
      <c r="AS390" s="2595"/>
      <c r="AT390" s="2595"/>
      <c r="AU390" s="2595"/>
      <c r="AV390" s="2595"/>
    </row>
    <row r="391" spans="1:48" ht="21.75" customHeight="1">
      <c r="D391" s="1005" t="s">
        <v>5658</v>
      </c>
      <c r="AA391" s="2595"/>
      <c r="AB391" s="2595"/>
      <c r="AC391" s="2595"/>
      <c r="AD391" s="2595"/>
      <c r="AE391" s="2595"/>
      <c r="AF391" s="2595"/>
      <c r="AG391" s="2595"/>
      <c r="AH391" s="2595"/>
      <c r="AI391" s="2595"/>
      <c r="AJ391" s="2595"/>
      <c r="AK391" s="2595"/>
      <c r="AL391" s="2595"/>
      <c r="AN391" s="2608"/>
      <c r="AO391" s="2608"/>
      <c r="AP391" s="2595"/>
      <c r="AQ391" s="2595"/>
      <c r="AR391" s="2595"/>
      <c r="AS391" s="2595"/>
      <c r="AT391" s="2595"/>
      <c r="AU391" s="2595"/>
      <c r="AV391" s="2595"/>
    </row>
    <row r="392" spans="1:48">
      <c r="B392" s="24" t="s">
        <v>1299</v>
      </c>
      <c r="C392" s="24"/>
      <c r="AA392" s="2595"/>
      <c r="AB392" s="2595"/>
      <c r="AC392" s="2595"/>
      <c r="AD392" s="2595"/>
      <c r="AE392" s="2595"/>
      <c r="AF392" s="2595"/>
      <c r="AG392" s="2595"/>
      <c r="AH392" s="2595"/>
      <c r="AI392" s="2595"/>
      <c r="AJ392" s="2595"/>
      <c r="AK392" s="2595"/>
      <c r="AL392" s="2595"/>
      <c r="AN392" s="2608"/>
      <c r="AO392" s="2608"/>
      <c r="AP392" s="2595"/>
      <c r="AQ392" s="2595"/>
      <c r="AR392" s="2595"/>
      <c r="AS392" s="2595"/>
      <c r="AT392" s="2595"/>
      <c r="AU392" s="2595"/>
      <c r="AV392" s="2595"/>
    </row>
    <row r="393" spans="1:48">
      <c r="B393" s="23" t="s">
        <v>1300</v>
      </c>
      <c r="AA393" s="2595"/>
      <c r="AB393" s="2595"/>
      <c r="AC393" s="2595"/>
      <c r="AD393" s="2595"/>
      <c r="AE393" s="2595"/>
      <c r="AF393" s="2595"/>
      <c r="AG393" s="2595"/>
      <c r="AH393" s="2595"/>
      <c r="AI393" s="2595"/>
      <c r="AJ393" s="2595"/>
      <c r="AK393" s="2595"/>
      <c r="AL393" s="2595"/>
      <c r="AN393" s="2608"/>
      <c r="AO393" s="2608"/>
      <c r="AP393" s="2595"/>
      <c r="AQ393" s="2595"/>
      <c r="AR393" s="2595"/>
      <c r="AS393" s="2595"/>
      <c r="AT393" s="2595"/>
      <c r="AU393" s="2595"/>
      <c r="AV393" s="2595"/>
    </row>
    <row r="394" spans="1:48">
      <c r="B394" s="1869" t="s">
        <v>1647</v>
      </c>
      <c r="C394" s="1869"/>
      <c r="D394" s="1869"/>
      <c r="AA394" s="2595"/>
      <c r="AB394" s="2595"/>
      <c r="AC394" s="2595"/>
      <c r="AD394" s="2595"/>
      <c r="AE394" s="2595"/>
      <c r="AF394" s="2595"/>
      <c r="AG394" s="2595"/>
      <c r="AH394" s="2595"/>
      <c r="AI394" s="2595"/>
      <c r="AJ394" s="2595"/>
      <c r="AK394" s="2595"/>
      <c r="AL394" s="2595"/>
      <c r="AN394" s="2608"/>
      <c r="AO394" s="2608"/>
      <c r="AP394" s="2595"/>
      <c r="AQ394" s="2595"/>
      <c r="AR394" s="2595"/>
      <c r="AS394" s="2595"/>
      <c r="AT394" s="2595"/>
      <c r="AU394" s="2595"/>
      <c r="AV394" s="2595"/>
    </row>
    <row r="395" spans="1:48">
      <c r="D395" s="1869"/>
      <c r="AA395" s="2595"/>
      <c r="AB395" s="2595"/>
      <c r="AC395" s="2595"/>
      <c r="AD395" s="2595"/>
      <c r="AE395" s="2595"/>
      <c r="AF395" s="2595"/>
      <c r="AG395" s="2595"/>
      <c r="AH395" s="2595"/>
      <c r="AI395" s="2595"/>
      <c r="AJ395" s="2595"/>
      <c r="AK395" s="2595"/>
      <c r="AL395" s="2595"/>
      <c r="AN395" s="2608"/>
      <c r="AO395" s="2608"/>
      <c r="AP395" s="2595"/>
      <c r="AQ395" s="2595"/>
      <c r="AR395" s="2595"/>
      <c r="AS395" s="2595"/>
      <c r="AT395" s="2595"/>
      <c r="AU395" s="2595"/>
      <c r="AV395" s="2595"/>
    </row>
    <row r="396" spans="1:48">
      <c r="C396" s="54"/>
      <c r="D396" s="3480"/>
      <c r="E396" s="54"/>
      <c r="F396" s="54"/>
      <c r="G396" s="54"/>
      <c r="H396" s="54"/>
      <c r="I396" s="54"/>
      <c r="J396" s="54"/>
      <c r="AA396" s="2595"/>
      <c r="AB396" s="2595"/>
      <c r="AC396" s="2595"/>
      <c r="AD396" s="2595"/>
      <c r="AE396" s="2595"/>
      <c r="AF396" s="2595"/>
      <c r="AG396" s="2595"/>
      <c r="AH396" s="2595"/>
      <c r="AI396" s="2595"/>
      <c r="AJ396" s="2595"/>
      <c r="AK396" s="2595"/>
      <c r="AL396" s="2595"/>
      <c r="AN396" s="2608"/>
      <c r="AO396" s="2608"/>
      <c r="AP396" s="2595"/>
      <c r="AQ396" s="2595"/>
      <c r="AR396" s="2595"/>
      <c r="AS396" s="2595"/>
      <c r="AT396" s="2595"/>
      <c r="AU396" s="2595"/>
      <c r="AV396" s="2595"/>
    </row>
    <row r="397" spans="1:48">
      <c r="C397" s="2719"/>
      <c r="D397" s="2720" t="s">
        <v>1427</v>
      </c>
      <c r="J397" s="1750"/>
      <c r="M397" s="836"/>
      <c r="N397" s="23"/>
      <c r="O397" s="1749"/>
      <c r="Q397" s="1749"/>
      <c r="AA397" s="2595"/>
      <c r="AB397" s="2595"/>
      <c r="AC397" s="2595"/>
      <c r="AD397" s="2595"/>
      <c r="AE397" s="2595"/>
      <c r="AF397" s="2595"/>
      <c r="AG397" s="2595"/>
      <c r="AH397" s="2595"/>
      <c r="AI397" s="2595"/>
      <c r="AJ397" s="2595"/>
      <c r="AK397" s="2595"/>
      <c r="AL397" s="2595"/>
      <c r="AN397" s="2608"/>
      <c r="AO397" s="2608"/>
      <c r="AP397" s="2595"/>
      <c r="AQ397" s="2595"/>
      <c r="AR397" s="2595"/>
      <c r="AS397" s="2595"/>
      <c r="AT397" s="2595"/>
      <c r="AU397" s="2595"/>
      <c r="AV397" s="2595"/>
    </row>
    <row r="398" spans="1:48">
      <c r="C398" s="2719"/>
      <c r="D398" s="2720" t="s">
        <v>5659</v>
      </c>
      <c r="J398" s="1750"/>
      <c r="M398" s="836"/>
      <c r="N398" s="23"/>
      <c r="O398" s="1749"/>
      <c r="Q398" s="1749"/>
      <c r="AA398" s="2595"/>
      <c r="AB398" s="2595"/>
      <c r="AC398" s="2595"/>
      <c r="AD398" s="2595"/>
      <c r="AE398" s="2595"/>
      <c r="AF398" s="2595"/>
      <c r="AG398" s="2595"/>
      <c r="AH398" s="2595"/>
      <c r="AI398" s="2595"/>
      <c r="AJ398" s="2595"/>
      <c r="AK398" s="2595"/>
      <c r="AL398" s="2595"/>
      <c r="AN398" s="2608"/>
      <c r="AO398" s="2608"/>
      <c r="AP398" s="2595"/>
      <c r="AQ398" s="2595"/>
      <c r="AR398" s="2595"/>
      <c r="AS398" s="2595"/>
      <c r="AT398" s="2595"/>
      <c r="AU398" s="2595"/>
      <c r="AV398" s="2595"/>
    </row>
    <row r="399" spans="1:48">
      <c r="C399" s="2719"/>
      <c r="D399" s="2720" t="str">
        <f>"take the credit for "&amp;TaxYear&amp;"."</f>
        <v>take the credit for 2021.</v>
      </c>
      <c r="J399" s="1750"/>
      <c r="M399" s="836"/>
      <c r="N399" s="23"/>
      <c r="O399" s="1749"/>
      <c r="Q399" s="1749"/>
      <c r="AA399" s="2595"/>
      <c r="AB399" s="2595"/>
      <c r="AC399" s="2595"/>
      <c r="AD399" s="2595"/>
      <c r="AE399" s="2595"/>
      <c r="AF399" s="2595"/>
      <c r="AG399" s="2595"/>
      <c r="AH399" s="2595"/>
      <c r="AI399" s="2595"/>
      <c r="AJ399" s="2595"/>
      <c r="AK399" s="2595"/>
      <c r="AL399" s="2595"/>
      <c r="AN399" s="2608"/>
      <c r="AO399" s="2608"/>
      <c r="AP399" s="2595"/>
      <c r="AQ399" s="2595"/>
      <c r="AR399" s="2595"/>
      <c r="AS399" s="2595"/>
      <c r="AT399" s="2595"/>
      <c r="AU399" s="2595"/>
      <c r="AV399" s="2595"/>
    </row>
    <row r="400" spans="1:48">
      <c r="D400" s="1869"/>
      <c r="AA400" s="2595"/>
      <c r="AB400" s="2595"/>
      <c r="AC400" s="2595"/>
      <c r="AD400" s="2595"/>
      <c r="AE400" s="2595"/>
      <c r="AF400" s="2595"/>
      <c r="AG400" s="2595"/>
      <c r="AH400" s="2595"/>
      <c r="AI400" s="2595"/>
      <c r="AJ400" s="2595"/>
      <c r="AK400" s="2595"/>
      <c r="AL400" s="2595"/>
      <c r="AN400" s="2608"/>
      <c r="AO400" s="2608"/>
      <c r="AP400" s="2595"/>
      <c r="AQ400" s="2595"/>
      <c r="AR400" s="2595"/>
      <c r="AS400" s="2595"/>
      <c r="AT400" s="2595"/>
      <c r="AU400" s="2595"/>
      <c r="AV400" s="2595"/>
    </row>
    <row r="401" spans="1:48">
      <c r="AA401" s="2595"/>
      <c r="AB401" s="2595"/>
      <c r="AC401" s="2595"/>
      <c r="AD401" s="2595"/>
      <c r="AE401" s="2595"/>
      <c r="AF401" s="2595"/>
      <c r="AG401" s="2595"/>
      <c r="AH401" s="2595"/>
      <c r="AI401" s="2595"/>
      <c r="AJ401" s="2595"/>
      <c r="AK401" s="2595"/>
      <c r="AL401" s="2595"/>
      <c r="AN401" s="2608"/>
      <c r="AO401" s="2608"/>
      <c r="AP401" s="2595"/>
      <c r="AQ401" s="2595"/>
      <c r="AR401" s="2595"/>
      <c r="AS401" s="2595"/>
      <c r="AT401" s="2595"/>
      <c r="AU401" s="2595"/>
      <c r="AV401" s="2595"/>
    </row>
    <row r="402" spans="1:48">
      <c r="A402" s="3687"/>
      <c r="B402" s="3688"/>
      <c r="C402" s="3687"/>
      <c r="D402" s="3687"/>
      <c r="E402" s="3687"/>
      <c r="F402" s="3687"/>
      <c r="G402" s="3687"/>
      <c r="H402" s="3687"/>
      <c r="I402" s="3687"/>
      <c r="J402" s="3687"/>
      <c r="K402" s="3687"/>
      <c r="L402" s="3687"/>
      <c r="M402" s="3687"/>
      <c r="N402" s="3689"/>
      <c r="O402" s="3687"/>
      <c r="P402" s="3687"/>
      <c r="Q402" s="3687"/>
      <c r="R402" s="3687"/>
      <c r="S402" s="3687"/>
      <c r="AA402" s="2595"/>
      <c r="AB402" s="2595"/>
      <c r="AC402" s="2595"/>
      <c r="AD402" s="2595"/>
      <c r="AE402" s="2595"/>
      <c r="AF402" s="2595"/>
      <c r="AG402" s="2595"/>
      <c r="AH402" s="2595"/>
      <c r="AI402" s="2595"/>
      <c r="AJ402" s="2595"/>
      <c r="AK402" s="2595"/>
      <c r="AL402" s="2595"/>
      <c r="AN402" s="2608"/>
      <c r="AO402" s="2608"/>
      <c r="AP402" s="2595"/>
      <c r="AQ402" s="2595"/>
      <c r="AR402" s="2595"/>
      <c r="AS402" s="2595"/>
      <c r="AT402" s="2595"/>
      <c r="AU402" s="2595"/>
      <c r="AV402" s="2595"/>
    </row>
    <row r="403" spans="1:48" s="132" customFormat="1" ht="20.25">
      <c r="A403" s="1736" t="s">
        <v>2933</v>
      </c>
      <c r="B403" s="1736"/>
      <c r="C403" s="1736"/>
      <c r="D403" s="1736" t="str">
        <f>"—  "&amp;TaxYear&amp;" EIC  —"</f>
        <v>—  2021 EIC  —</v>
      </c>
      <c r="F403" s="1736" t="s">
        <v>4308</v>
      </c>
      <c r="N403" s="1737"/>
      <c r="O403" s="3686" t="s">
        <v>175</v>
      </c>
      <c r="AA403" s="2595"/>
      <c r="AB403" s="2595"/>
      <c r="AC403" s="2595"/>
      <c r="AD403" s="2595"/>
      <c r="AE403" s="2595"/>
      <c r="AF403" s="2595"/>
      <c r="AG403" s="2595"/>
      <c r="AH403" s="2595"/>
      <c r="AI403" s="2595"/>
      <c r="AJ403" s="2595"/>
      <c r="AK403" s="2595"/>
      <c r="AL403" s="2595"/>
      <c r="AN403" s="1737"/>
      <c r="AO403" s="1737"/>
    </row>
    <row r="404" spans="1:48">
      <c r="AA404" s="2595"/>
      <c r="AB404" s="2595"/>
      <c r="AC404" s="2595"/>
      <c r="AD404" s="2595"/>
      <c r="AE404" s="2595"/>
      <c r="AF404" s="2595"/>
      <c r="AG404" s="2595"/>
      <c r="AH404" s="2595"/>
      <c r="AI404" s="2595"/>
      <c r="AJ404" s="2595"/>
      <c r="AK404" s="2595"/>
      <c r="AL404" s="2595"/>
      <c r="AN404" s="2608"/>
      <c r="AO404" s="2608"/>
      <c r="AP404" s="2595"/>
      <c r="AQ404" s="2595"/>
      <c r="AR404" s="2595"/>
      <c r="AS404" s="2595"/>
      <c r="AT404" s="2595"/>
      <c r="AU404" s="2595"/>
      <c r="AV404" s="2595"/>
    </row>
    <row r="405" spans="1:48">
      <c r="A405" s="5835" t="b">
        <f>A315</f>
        <v>0</v>
      </c>
      <c r="B405" s="2053" t="str">
        <f>IF(A405,"X","")</f>
        <v/>
      </c>
      <c r="D405" s="24" t="s">
        <v>1589</v>
      </c>
      <c r="AA405" s="2595"/>
      <c r="AB405" s="2595"/>
      <c r="AC405" s="2595"/>
      <c r="AD405" s="2595"/>
      <c r="AE405" s="2595"/>
      <c r="AF405" s="2595"/>
      <c r="AG405" s="2595"/>
      <c r="AH405" s="2595"/>
      <c r="AI405" s="2595"/>
      <c r="AJ405" s="2595"/>
      <c r="AK405" s="2595"/>
      <c r="AL405" s="2595"/>
      <c r="AN405" s="2608"/>
      <c r="AO405" s="2608"/>
      <c r="AP405" s="2595"/>
      <c r="AQ405" s="2595"/>
      <c r="AR405" s="2595"/>
      <c r="AS405" s="2595"/>
      <c r="AT405" s="2595"/>
      <c r="AU405" s="2595"/>
      <c r="AV405" s="2595"/>
    </row>
    <row r="406" spans="1:48">
      <c r="AA406" s="2595"/>
      <c r="AB406" s="2595"/>
      <c r="AC406" s="2595"/>
      <c r="AD406" s="2595"/>
      <c r="AE406" s="2595"/>
      <c r="AF406" s="2595"/>
      <c r="AG406" s="2595"/>
      <c r="AH406" s="2595"/>
      <c r="AI406" s="2595"/>
      <c r="AJ406" s="2595"/>
      <c r="AK406" s="2595"/>
      <c r="AL406" s="2595"/>
      <c r="AN406" s="2608"/>
      <c r="AO406" s="2608"/>
      <c r="AP406" s="2595"/>
      <c r="AQ406" s="2595"/>
      <c r="AR406" s="2595"/>
      <c r="AS406" s="2595"/>
      <c r="AT406" s="2595"/>
      <c r="AU406" s="2595"/>
      <c r="AV406" s="2595"/>
    </row>
    <row r="407" spans="1:48">
      <c r="C407" s="706" t="s">
        <v>42</v>
      </c>
      <c r="D407" s="23" t="s">
        <v>1301</v>
      </c>
      <c r="AA407" s="2595"/>
      <c r="AB407" s="2595"/>
      <c r="AC407" s="2595"/>
      <c r="AD407" s="2595"/>
      <c r="AE407" s="2595"/>
      <c r="AF407" s="2595"/>
      <c r="AG407" s="2595"/>
      <c r="AH407" s="2595"/>
      <c r="AI407" s="2595"/>
      <c r="AJ407" s="2595"/>
      <c r="AK407" s="2595"/>
      <c r="AL407" s="2595"/>
      <c r="AN407" s="2608"/>
      <c r="AO407" s="2608"/>
      <c r="AP407" s="2595"/>
      <c r="AQ407" s="2595"/>
      <c r="AR407" s="2595"/>
      <c r="AS407" s="2595"/>
      <c r="AT407" s="2595"/>
      <c r="AU407" s="2595"/>
      <c r="AV407" s="2595"/>
    </row>
    <row r="408" spans="1:48" ht="6" customHeight="1">
      <c r="AA408" s="2595"/>
      <c r="AB408" s="2595"/>
      <c r="AC408" s="2595"/>
      <c r="AD408" s="2595"/>
      <c r="AE408" s="2595"/>
      <c r="AF408" s="2595"/>
      <c r="AG408" s="2595"/>
      <c r="AH408" s="2595"/>
      <c r="AI408" s="2595"/>
      <c r="AJ408" s="2595"/>
      <c r="AK408" s="2595"/>
      <c r="AL408" s="2595"/>
      <c r="AN408" s="2608"/>
      <c r="AO408" s="2608"/>
      <c r="AP408" s="2595"/>
      <c r="AQ408" s="2595"/>
      <c r="AR408" s="2595"/>
      <c r="AS408" s="2595"/>
      <c r="AT408" s="2595"/>
      <c r="AU408" s="2595"/>
      <c r="AV408" s="2595"/>
    </row>
    <row r="409" spans="1:48">
      <c r="C409" s="706" t="s">
        <v>42</v>
      </c>
      <c r="D409" s="56" t="s">
        <v>1302</v>
      </c>
      <c r="AA409" s="2595"/>
      <c r="AB409" s="2595"/>
      <c r="AC409" s="2595"/>
      <c r="AD409" s="2595"/>
      <c r="AE409" s="2595"/>
      <c r="AF409" s="2595"/>
      <c r="AG409" s="2595"/>
      <c r="AH409" s="2595"/>
      <c r="AI409" s="2595"/>
      <c r="AJ409" s="2595"/>
      <c r="AK409" s="2595"/>
      <c r="AL409" s="2595"/>
      <c r="AN409" s="2608"/>
      <c r="AO409" s="2608"/>
      <c r="AP409" s="2595"/>
      <c r="AQ409" s="2595"/>
      <c r="AR409" s="2595"/>
      <c r="AS409" s="2595"/>
      <c r="AT409" s="2595"/>
      <c r="AU409" s="2595"/>
      <c r="AV409" s="2595"/>
    </row>
    <row r="410" spans="1:48" ht="7.5" customHeight="1">
      <c r="AA410" s="2595"/>
      <c r="AB410" s="2595"/>
      <c r="AC410" s="2595"/>
      <c r="AD410" s="2595"/>
      <c r="AE410" s="2595"/>
      <c r="AF410" s="2595"/>
      <c r="AG410" s="2595"/>
      <c r="AH410" s="2595"/>
      <c r="AI410" s="2595"/>
      <c r="AJ410" s="2595"/>
      <c r="AK410" s="2595"/>
      <c r="AL410" s="2595"/>
      <c r="AN410" s="2608"/>
      <c r="AO410" s="2608"/>
      <c r="AP410" s="2595"/>
      <c r="AQ410" s="2595"/>
      <c r="AR410" s="2595"/>
      <c r="AS410" s="2595"/>
      <c r="AT410" s="2595"/>
      <c r="AU410" s="2595"/>
      <c r="AV410" s="2595"/>
    </row>
    <row r="411" spans="1:48" s="1743" customFormat="1" ht="7.5" customHeight="1">
      <c r="B411" s="1742"/>
      <c r="N411" s="1744"/>
      <c r="AA411" s="2609"/>
      <c r="AB411" s="2609"/>
      <c r="AC411" s="2609"/>
      <c r="AD411" s="2609"/>
      <c r="AE411" s="2609"/>
      <c r="AF411" s="2609"/>
      <c r="AG411" s="2609"/>
      <c r="AH411" s="2609"/>
      <c r="AI411" s="2609"/>
      <c r="AJ411" s="2609"/>
      <c r="AK411" s="2609"/>
      <c r="AL411" s="2609"/>
      <c r="AN411" s="2610"/>
      <c r="AO411" s="2610"/>
      <c r="AP411" s="2609"/>
      <c r="AQ411" s="2609"/>
      <c r="AR411" s="2609"/>
      <c r="AS411" s="2609"/>
      <c r="AT411" s="2609"/>
      <c r="AU411" s="2609"/>
      <c r="AV411" s="2609"/>
    </row>
    <row r="412" spans="1:48" s="132" customFormat="1" ht="15.75">
      <c r="A412" s="1753" t="s">
        <v>1398</v>
      </c>
      <c r="B412" s="1773" t="s">
        <v>1416</v>
      </c>
      <c r="C412" s="1736"/>
      <c r="N412" s="1737"/>
      <c r="AA412" s="2606"/>
      <c r="AB412" s="2606"/>
      <c r="AC412" s="2606"/>
      <c r="AD412" s="2606"/>
      <c r="AE412" s="2606"/>
      <c r="AF412" s="2606"/>
      <c r="AG412" s="2606"/>
      <c r="AH412" s="2606"/>
      <c r="AI412" s="2606"/>
      <c r="AJ412" s="2606"/>
      <c r="AK412" s="2606"/>
      <c r="AL412" s="2606"/>
      <c r="AN412" s="2607"/>
      <c r="AO412" s="2607"/>
      <c r="AP412" s="2606"/>
      <c r="AQ412" s="2606"/>
      <c r="AR412" s="2606"/>
      <c r="AS412" s="2606"/>
      <c r="AT412" s="2606"/>
      <c r="AU412" s="2606"/>
      <c r="AV412" s="2606"/>
    </row>
    <row r="413" spans="1:48">
      <c r="AA413" s="2595"/>
      <c r="AB413" s="2595"/>
      <c r="AC413" s="2595"/>
      <c r="AD413" s="2595"/>
      <c r="AE413" s="2595"/>
      <c r="AF413" s="2595"/>
      <c r="AG413" s="2595"/>
      <c r="AH413" s="2595"/>
      <c r="AI413" s="2595"/>
      <c r="AJ413" s="2595"/>
      <c r="AK413" s="2595"/>
      <c r="AL413" s="2595"/>
      <c r="AN413" s="2608"/>
      <c r="AO413" s="2608"/>
      <c r="AP413" s="2595"/>
      <c r="AQ413" s="2595"/>
      <c r="AR413" s="2595"/>
      <c r="AS413" s="2595"/>
      <c r="AT413" s="2595"/>
      <c r="AU413" s="2595"/>
      <c r="AV413" s="2595"/>
    </row>
    <row r="414" spans="1:48">
      <c r="A414" s="1176" t="b">
        <f>AND(A405,B414="X")</f>
        <v>0</v>
      </c>
      <c r="B414" s="1334"/>
      <c r="D414" s="24" t="s">
        <v>4474</v>
      </c>
      <c r="AA414" s="2595"/>
      <c r="AB414" s="2595"/>
      <c r="AC414" s="2595"/>
      <c r="AD414" s="2595"/>
      <c r="AE414" s="2595"/>
      <c r="AF414" s="2595"/>
      <c r="AG414" s="2595"/>
      <c r="AH414" s="2595"/>
      <c r="AI414" s="2595"/>
      <c r="AJ414" s="2595"/>
      <c r="AK414" s="2595"/>
      <c r="AL414" s="2595"/>
      <c r="AN414" s="2608"/>
      <c r="AO414" s="2608"/>
      <c r="AP414" s="2595"/>
      <c r="AQ414" s="2595"/>
      <c r="AR414" s="2595"/>
      <c r="AS414" s="2595"/>
      <c r="AT414" s="2595"/>
      <c r="AU414" s="2595"/>
      <c r="AV414" s="2595"/>
    </row>
    <row r="415" spans="1:48">
      <c r="AA415" s="2595"/>
      <c r="AB415" s="2595"/>
      <c r="AC415" s="2595"/>
      <c r="AD415" s="2595"/>
      <c r="AE415" s="2595"/>
      <c r="AF415" s="2595"/>
      <c r="AG415" s="2595"/>
      <c r="AH415" s="2595"/>
      <c r="AI415" s="2595"/>
      <c r="AJ415" s="2595"/>
      <c r="AK415" s="2595"/>
      <c r="AL415" s="2595"/>
      <c r="AN415" s="2608"/>
      <c r="AO415" s="2608"/>
      <c r="AP415" s="2595"/>
      <c r="AQ415" s="2595"/>
      <c r="AR415" s="2595"/>
      <c r="AS415" s="2595"/>
      <c r="AT415" s="2595"/>
      <c r="AU415" s="2595"/>
      <c r="AV415" s="2595"/>
    </row>
    <row r="416" spans="1:48">
      <c r="C416" s="1740" t="s">
        <v>13</v>
      </c>
      <c r="D416" s="70" t="s">
        <v>4444</v>
      </c>
      <c r="M416" s="3209"/>
      <c r="N416" s="1740" t="s">
        <v>1303</v>
      </c>
      <c r="O416" s="2045" t="str">
        <f>IF(AND(A414,A405),'Sch. SE'!X21,"")</f>
        <v/>
      </c>
      <c r="AA416" s="2595"/>
      <c r="AB416" s="2595"/>
      <c r="AC416" s="2595"/>
      <c r="AD416" s="2595"/>
      <c r="AE416" s="2595"/>
      <c r="AF416" s="2595"/>
      <c r="AG416" s="2595"/>
      <c r="AH416" s="2595"/>
      <c r="AI416" s="2595"/>
      <c r="AJ416" s="2595"/>
      <c r="AK416" s="2595"/>
      <c r="AL416" s="2595"/>
      <c r="AN416" s="2608"/>
      <c r="AO416" s="2608"/>
      <c r="AP416" s="2595"/>
      <c r="AQ416" s="2595"/>
      <c r="AR416" s="2595"/>
      <c r="AS416" s="2595"/>
      <c r="AT416" s="2595"/>
      <c r="AU416" s="2595"/>
      <c r="AV416" s="2595"/>
    </row>
    <row r="417" spans="1:48">
      <c r="AA417" s="2595"/>
      <c r="AB417" s="2595"/>
      <c r="AC417" s="2595"/>
      <c r="AD417" s="2595"/>
      <c r="AE417" s="2595"/>
      <c r="AF417" s="2595"/>
      <c r="AG417" s="2595"/>
      <c r="AH417" s="2595"/>
      <c r="AI417" s="2595"/>
      <c r="AJ417" s="2595"/>
      <c r="AK417" s="2595"/>
      <c r="AL417" s="2595"/>
      <c r="AN417" s="2608"/>
      <c r="AO417" s="2608"/>
      <c r="AP417" s="2595"/>
      <c r="AQ417" s="2595"/>
      <c r="AR417" s="2595"/>
      <c r="AS417" s="2595"/>
      <c r="AT417" s="2595"/>
      <c r="AU417" s="2595"/>
      <c r="AV417" s="2595"/>
    </row>
    <row r="418" spans="1:48">
      <c r="C418" s="1740" t="s">
        <v>592</v>
      </c>
      <c r="D418" s="70" t="s">
        <v>4445</v>
      </c>
      <c r="M418" s="3209"/>
      <c r="N418" s="1740" t="s">
        <v>1304</v>
      </c>
      <c r="O418" s="2045" t="str">
        <f>IF(AND(A414,A405),SUM('Sch. SE'!X24,ChurchEmployeeIncome1,ChurchEmployeeIncome2),"")</f>
        <v/>
      </c>
      <c r="AA418" s="2595"/>
      <c r="AB418" s="2595"/>
      <c r="AC418" s="2595"/>
      <c r="AD418" s="2595"/>
      <c r="AE418" s="2595"/>
      <c r="AF418" s="2595"/>
      <c r="AG418" s="2595"/>
      <c r="AH418" s="2595"/>
      <c r="AI418" s="2595"/>
      <c r="AJ418" s="2595"/>
      <c r="AK418" s="2595"/>
      <c r="AL418" s="2595"/>
      <c r="AN418" s="2608"/>
      <c r="AO418" s="2608"/>
      <c r="AP418" s="2595"/>
      <c r="AQ418" s="2595"/>
      <c r="AR418" s="2595"/>
      <c r="AS418" s="2595"/>
      <c r="AT418" s="2595"/>
      <c r="AU418" s="2595"/>
      <c r="AV418" s="2595"/>
    </row>
    <row r="419" spans="1:48">
      <c r="AA419" s="2595"/>
      <c r="AB419" s="2595"/>
      <c r="AC419" s="2595"/>
      <c r="AD419" s="2595"/>
      <c r="AE419" s="2595"/>
      <c r="AF419" s="2595"/>
      <c r="AG419" s="2595"/>
      <c r="AH419" s="2595"/>
      <c r="AI419" s="2595"/>
      <c r="AJ419" s="2595"/>
      <c r="AK419" s="2595"/>
      <c r="AL419" s="2595"/>
      <c r="AN419" s="2608"/>
      <c r="AO419" s="2608"/>
      <c r="AP419" s="2595"/>
      <c r="AQ419" s="2595"/>
      <c r="AR419" s="2595"/>
      <c r="AS419" s="2595"/>
      <c r="AT419" s="2595"/>
      <c r="AU419" s="2595"/>
      <c r="AV419" s="2595"/>
    </row>
    <row r="420" spans="1:48">
      <c r="C420" s="1740" t="s">
        <v>590</v>
      </c>
      <c r="D420" s="23" t="s">
        <v>1305</v>
      </c>
      <c r="N420" s="1740" t="s">
        <v>1306</v>
      </c>
      <c r="O420" s="2045" t="str">
        <f>IF(AND(A405,A414,OR(O416&lt;&gt;"",O418&lt;&gt;"")),SUM(O416,O418),"")</f>
        <v/>
      </c>
      <c r="AA420" s="2595"/>
      <c r="AB420" s="2595"/>
      <c r="AC420" s="2595"/>
      <c r="AD420" s="2595"/>
      <c r="AE420" s="2595"/>
      <c r="AF420" s="2595"/>
      <c r="AG420" s="2595"/>
      <c r="AH420" s="2595"/>
      <c r="AI420" s="2595"/>
      <c r="AJ420" s="2595"/>
      <c r="AK420" s="2595"/>
      <c r="AL420" s="2595"/>
      <c r="AN420" s="2608"/>
      <c r="AO420" s="2608"/>
      <c r="AP420" s="2595"/>
      <c r="AQ420" s="2595"/>
      <c r="AR420" s="2595"/>
      <c r="AS420" s="2595"/>
      <c r="AT420" s="2595"/>
      <c r="AU420" s="2595"/>
      <c r="AV420" s="2595"/>
    </row>
    <row r="421" spans="1:48">
      <c r="AA421" s="2595"/>
      <c r="AB421" s="2595"/>
      <c r="AC421" s="2595"/>
      <c r="AD421" s="2595"/>
      <c r="AE421" s="2595"/>
      <c r="AF421" s="2595"/>
      <c r="AG421" s="2595"/>
      <c r="AH421" s="2595"/>
      <c r="AI421" s="2595"/>
      <c r="AJ421" s="2595"/>
      <c r="AK421" s="2595"/>
      <c r="AL421" s="2595"/>
      <c r="AN421" s="2608"/>
      <c r="AO421" s="2608"/>
      <c r="AP421" s="2595"/>
      <c r="AQ421" s="2595"/>
      <c r="AR421" s="2595"/>
      <c r="AS421" s="2595"/>
      <c r="AT421" s="2595"/>
      <c r="AU421" s="2595"/>
      <c r="AV421" s="2595"/>
    </row>
    <row r="422" spans="1:48">
      <c r="C422" s="1740" t="s">
        <v>1307</v>
      </c>
      <c r="D422" s="70" t="s">
        <v>4446</v>
      </c>
      <c r="N422" s="1740" t="s">
        <v>1308</v>
      </c>
      <c r="O422" s="2045" t="str">
        <f>IF(AND(A405,A414),'Sch. SE'!S45,"")</f>
        <v/>
      </c>
      <c r="R422" s="1749" t="s">
        <v>90</v>
      </c>
      <c r="AA422" s="2595"/>
      <c r="AB422" s="2595"/>
      <c r="AC422" s="2595"/>
      <c r="AD422" s="2595"/>
      <c r="AE422" s="2595"/>
      <c r="AF422" s="2595"/>
      <c r="AG422" s="2595"/>
      <c r="AH422" s="2595"/>
      <c r="AI422" s="2595"/>
      <c r="AJ422" s="2595"/>
      <c r="AK422" s="2595"/>
      <c r="AL422" s="2595"/>
      <c r="AN422" s="2608"/>
      <c r="AO422" s="2608"/>
      <c r="AP422" s="2595"/>
      <c r="AQ422" s="2595"/>
      <c r="AR422" s="2595"/>
      <c r="AS422" s="2595"/>
      <c r="AT422" s="2595"/>
      <c r="AU422" s="2595"/>
      <c r="AV422" s="2595"/>
    </row>
    <row r="423" spans="1:48">
      <c r="R423" s="1749" t="s">
        <v>411</v>
      </c>
      <c r="AA423" s="2595"/>
      <c r="AB423" s="2595"/>
      <c r="AC423" s="2595"/>
      <c r="AD423" s="2595"/>
      <c r="AE423" s="2595"/>
      <c r="AF423" s="2595"/>
      <c r="AG423" s="2595"/>
      <c r="AH423" s="2595"/>
      <c r="AI423" s="2595"/>
      <c r="AJ423" s="2595"/>
      <c r="AK423" s="2595"/>
      <c r="AL423" s="2595"/>
      <c r="AN423" s="2608"/>
      <c r="AO423" s="2608"/>
      <c r="AP423" s="2595"/>
      <c r="AQ423" s="2595"/>
      <c r="AR423" s="2595"/>
      <c r="AS423" s="2595"/>
      <c r="AT423" s="2595"/>
      <c r="AU423" s="2595"/>
      <c r="AV423" s="2595"/>
    </row>
    <row r="424" spans="1:48">
      <c r="C424" s="1740" t="s">
        <v>1309</v>
      </c>
      <c r="D424" s="23" t="s">
        <v>1310</v>
      </c>
      <c r="N424" s="1750" t="s">
        <v>1311</v>
      </c>
      <c r="O424" s="2045" t="str">
        <f>IF(R424&lt;&gt;"",ROUND(R424,0),IF(OR(NOT(A405),NOT(A414)),"",IF(OR(O422=0,O422=""),O420,SUM(O420,-O422))))</f>
        <v/>
      </c>
      <c r="R424" s="6821"/>
      <c r="S424" s="6822"/>
      <c r="T424" s="6822"/>
      <c r="U424" s="6822"/>
      <c r="V424" s="6822"/>
      <c r="W424" s="6822"/>
      <c r="X424" s="6822"/>
      <c r="AA424" s="2595"/>
      <c r="AB424" s="2595"/>
      <c r="AC424" s="2595"/>
      <c r="AD424" s="2595"/>
      <c r="AE424" s="2595"/>
      <c r="AF424" s="2595"/>
      <c r="AG424" s="2595"/>
      <c r="AH424" s="2595"/>
      <c r="AI424" s="2595"/>
      <c r="AJ424" s="2595"/>
      <c r="AK424" s="2595"/>
      <c r="AL424" s="2595"/>
      <c r="AN424" s="2608"/>
      <c r="AO424" s="2608"/>
      <c r="AP424" s="2595"/>
      <c r="AQ424" s="2595"/>
      <c r="AR424" s="2595"/>
      <c r="AS424" s="2595"/>
      <c r="AT424" s="2595"/>
      <c r="AU424" s="2595"/>
      <c r="AV424" s="2595"/>
    </row>
    <row r="425" spans="1:48" ht="7.5" customHeight="1"/>
    <row r="426" spans="1:48" s="1743" customFormat="1" ht="7.5" customHeight="1">
      <c r="B426" s="1742"/>
      <c r="N426" s="1744"/>
      <c r="AN426" s="1744"/>
      <c r="AO426" s="1744"/>
    </row>
    <row r="427" spans="1:48" s="132" customFormat="1" ht="15.75">
      <c r="A427" s="1753" t="s">
        <v>1412</v>
      </c>
      <c r="B427" s="1769" t="s">
        <v>1417</v>
      </c>
      <c r="C427" s="1736"/>
      <c r="K427" s="1770"/>
      <c r="N427" s="1737"/>
      <c r="AN427" s="1737"/>
      <c r="AO427" s="1737"/>
    </row>
    <row r="428" spans="1:48" s="132" customFormat="1" ht="15" customHeight="1">
      <c r="A428" s="4768"/>
      <c r="B428" s="4768"/>
      <c r="C428" s="1123" t="s">
        <v>1312</v>
      </c>
      <c r="N428" s="1737"/>
      <c r="AN428" s="1737"/>
      <c r="AO428" s="1737"/>
    </row>
    <row r="429" spans="1:48">
      <c r="AA429" s="2595"/>
      <c r="AB429" s="2595"/>
      <c r="AC429" s="2595"/>
      <c r="AD429" s="2595"/>
      <c r="AE429" s="2595"/>
      <c r="AF429" s="2595"/>
      <c r="AG429" s="2595"/>
      <c r="AH429" s="2595"/>
      <c r="AI429" s="2595"/>
      <c r="AJ429" s="2595"/>
      <c r="AK429" s="2595"/>
      <c r="AL429" s="2595"/>
      <c r="AN429" s="2608"/>
      <c r="AO429" s="2608"/>
      <c r="AP429" s="2595"/>
      <c r="AQ429" s="2595"/>
      <c r="AR429" s="2595"/>
      <c r="AS429" s="2595"/>
      <c r="AT429" s="2595"/>
      <c r="AU429" s="2595"/>
      <c r="AV429" s="2595"/>
    </row>
    <row r="430" spans="1:48">
      <c r="A430" s="1176" t="b">
        <f>AND(A405,B430="X")</f>
        <v>0</v>
      </c>
      <c r="B430" s="1334" t="s">
        <v>1202</v>
      </c>
      <c r="D430" s="24" t="s">
        <v>4475</v>
      </c>
      <c r="AA430" s="2595"/>
      <c r="AB430" s="2595"/>
      <c r="AC430" s="2595"/>
      <c r="AD430" s="2595"/>
      <c r="AE430" s="2595"/>
      <c r="AF430" s="2595"/>
      <c r="AG430" s="2595"/>
      <c r="AH430" s="2595"/>
      <c r="AI430" s="2595"/>
      <c r="AJ430" s="2595"/>
      <c r="AK430" s="2595"/>
      <c r="AL430" s="2595"/>
      <c r="AN430" s="2608"/>
      <c r="AO430" s="2608"/>
      <c r="AP430" s="2595"/>
      <c r="AQ430" s="2595"/>
      <c r="AR430" s="2595"/>
      <c r="AS430" s="2595"/>
      <c r="AT430" s="2595"/>
      <c r="AU430" s="2595"/>
      <c r="AV430" s="2595"/>
    </row>
    <row r="431" spans="1:48">
      <c r="A431" s="4768"/>
      <c r="B431" s="4768"/>
    </row>
    <row r="432" spans="1:48" ht="13.5" customHeight="1">
      <c r="A432" s="4768"/>
      <c r="B432" s="4768"/>
      <c r="C432" s="1740" t="s">
        <v>0</v>
      </c>
      <c r="D432" s="70" t="s">
        <v>2930</v>
      </c>
      <c r="R432" s="1749" t="s">
        <v>90</v>
      </c>
    </row>
    <row r="433" spans="1:41">
      <c r="A433" s="4768"/>
      <c r="B433" s="4768"/>
      <c r="D433" s="70" t="s">
        <v>2932</v>
      </c>
      <c r="R433" s="1749" t="s">
        <v>411</v>
      </c>
    </row>
    <row r="434" spans="1:41">
      <c r="A434" s="4768"/>
      <c r="B434" s="4768"/>
      <c r="D434" s="70" t="s">
        <v>2931</v>
      </c>
      <c r="R434" s="1749"/>
      <c r="T434" s="1749"/>
      <c r="U434" s="408"/>
      <c r="V434" s="1749"/>
      <c r="X434" s="1749"/>
    </row>
    <row r="435" spans="1:41">
      <c r="D435" s="70"/>
      <c r="R435" s="6801"/>
      <c r="S435" s="6801"/>
      <c r="T435" s="6801"/>
      <c r="U435" s="6801"/>
      <c r="V435" s="6801"/>
      <c r="W435" s="6801"/>
      <c r="X435" s="6801"/>
      <c r="AA435" s="70" t="s">
        <v>5662</v>
      </c>
    </row>
    <row r="436" spans="1:41">
      <c r="C436" s="1740"/>
      <c r="D436" s="133" t="s">
        <v>591</v>
      </c>
      <c r="E436" s="70" t="s">
        <v>5661</v>
      </c>
      <c r="N436" s="1740" t="s">
        <v>1313</v>
      </c>
      <c r="O436" s="1849" t="str">
        <f>IF(OR(R435&lt;&gt;"",R436&lt;&gt;""),SUM(ROUND(R435,0),ROUND(R436,0)),IF(A430,FarmProfitNet,""))</f>
        <v/>
      </c>
      <c r="R436" s="6802"/>
      <c r="S436" s="6802"/>
      <c r="T436" s="6802"/>
      <c r="U436" s="6802"/>
      <c r="V436" s="6802"/>
      <c r="W436" s="6802"/>
      <c r="X436" s="6802"/>
      <c r="AA436" s="70" t="s">
        <v>5663</v>
      </c>
    </row>
    <row r="437" spans="1:41">
      <c r="E437" s="70" t="s">
        <v>5660</v>
      </c>
      <c r="R437" s="6811"/>
      <c r="S437" s="6811"/>
      <c r="T437" s="6811"/>
      <c r="U437" s="6811"/>
      <c r="V437" s="6811"/>
      <c r="W437" s="6811"/>
      <c r="X437" s="6811"/>
      <c r="Y437" s="438"/>
      <c r="Z437" s="438"/>
      <c r="AA437" s="70"/>
    </row>
    <row r="438" spans="1:41">
      <c r="N438" s="23"/>
      <c r="R438" s="6801"/>
      <c r="S438" s="6801"/>
      <c r="T438" s="6801"/>
      <c r="U438" s="6801"/>
      <c r="V438" s="6801"/>
      <c r="W438" s="6801"/>
      <c r="X438" s="6801"/>
      <c r="Y438" s="438"/>
      <c r="Z438" s="438"/>
      <c r="AA438" s="70" t="s">
        <v>1606</v>
      </c>
      <c r="AN438" s="23"/>
      <c r="AO438" s="23"/>
    </row>
    <row r="439" spans="1:41">
      <c r="C439" s="1740"/>
      <c r="D439" s="133" t="s">
        <v>592</v>
      </c>
      <c r="E439" s="70" t="s">
        <v>4448</v>
      </c>
      <c r="N439" s="1740" t="s">
        <v>1314</v>
      </c>
      <c r="O439" s="2045" t="str">
        <f>IF(OR(R438&lt;&gt;"",R439&lt;&gt;""),SUM(ROUND(R438,0),ROUND(R439,0)),IF(NOT(A430),"",IF(Business_Profit&gt;400,"&gt;$400",IF(AND(SchC_StatutoryEmp_1&lt;&gt;"",SchC_StatutoryEmp_2&lt;&gt;""),SUM(Business_Profit,-'Sch. C'!T23,-'Sch. C'!T137),IF(SchC_StatutoryEmp_1&lt;&gt;"",SUM(SchC_ProfitLoss1,-'Sch. C'!T23),IF(SchC_StatutoryEmp_2&lt;&gt;"",SUM(SchC_ProfitLoss2,-'Sch. C'!T137),Business_Profit))))))</f>
        <v/>
      </c>
      <c r="R439" s="6802"/>
      <c r="S439" s="6802"/>
      <c r="T439" s="6802"/>
      <c r="U439" s="6802"/>
      <c r="V439" s="6802"/>
      <c r="W439" s="6802"/>
      <c r="X439" s="6802"/>
      <c r="Y439" s="438"/>
      <c r="Z439" s="438"/>
      <c r="AA439" s="23" t="s">
        <v>1315</v>
      </c>
    </row>
    <row r="440" spans="1:41">
      <c r="E440" s="70" t="s">
        <v>4447</v>
      </c>
      <c r="R440" s="6805"/>
      <c r="S440" s="6805"/>
      <c r="T440" s="6805"/>
      <c r="U440" s="6805"/>
      <c r="V440" s="6805"/>
      <c r="W440" s="6805"/>
      <c r="X440" s="6805"/>
      <c r="Y440" s="438"/>
      <c r="Z440" s="438"/>
    </row>
    <row r="442" spans="1:41">
      <c r="C442" s="1740" t="s">
        <v>590</v>
      </c>
      <c r="D442" s="23" t="s">
        <v>1316</v>
      </c>
      <c r="N442" s="1740" t="s">
        <v>1317</v>
      </c>
      <c r="O442" s="2045" t="str">
        <f>IF(A430,SUM(O436,O439),"")</f>
        <v/>
      </c>
    </row>
    <row r="444" spans="1:41">
      <c r="D444" s="1748" t="s">
        <v>2718</v>
      </c>
    </row>
    <row r="445" spans="1:41">
      <c r="D445" s="1748" t="s">
        <v>2719</v>
      </c>
    </row>
    <row r="446" spans="1:41">
      <c r="D446" s="1748" t="s">
        <v>1318</v>
      </c>
    </row>
    <row r="448" spans="1:41" s="1743" customFormat="1">
      <c r="B448" s="1742"/>
      <c r="N448" s="1744"/>
      <c r="AN448" s="1744"/>
      <c r="AO448" s="1744"/>
    </row>
    <row r="449" spans="1:43" s="132" customFormat="1" ht="20.25">
      <c r="A449" s="1736" t="s">
        <v>2933</v>
      </c>
      <c r="B449" s="1736"/>
      <c r="C449" s="1736"/>
      <c r="D449" s="1736" t="str">
        <f>"—  "&amp;TaxYear&amp;" EIC  —"</f>
        <v>—  2021 EIC  —</v>
      </c>
      <c r="F449" s="1736" t="s">
        <v>5657</v>
      </c>
      <c r="N449" s="1737"/>
      <c r="O449" s="3686" t="s">
        <v>175</v>
      </c>
      <c r="AN449" s="1737"/>
      <c r="AO449" s="1737"/>
    </row>
    <row r="451" spans="1:43" s="132" customFormat="1" ht="15.75">
      <c r="A451" s="1753" t="s">
        <v>1414</v>
      </c>
      <c r="B451" s="1769" t="s">
        <v>4309</v>
      </c>
      <c r="C451" s="1736"/>
      <c r="N451" s="1737"/>
      <c r="R451" s="1749" t="s">
        <v>90</v>
      </c>
      <c r="S451" s="23"/>
      <c r="T451" s="1749"/>
      <c r="U451" s="23"/>
      <c r="V451" s="1749"/>
      <c r="W451" s="23"/>
      <c r="X451" s="1749"/>
      <c r="AN451" s="1737"/>
      <c r="AO451" s="1737"/>
    </row>
    <row r="452" spans="1:43">
      <c r="R452" s="1749" t="s">
        <v>411</v>
      </c>
      <c r="T452" s="1749"/>
      <c r="V452" s="1749"/>
      <c r="X452" s="1749"/>
    </row>
    <row r="453" spans="1:43">
      <c r="C453" s="1740" t="s">
        <v>1</v>
      </c>
      <c r="D453" s="70" t="s">
        <v>4310</v>
      </c>
      <c r="N453" s="1750" t="s">
        <v>1613</v>
      </c>
      <c r="O453" s="2045" t="str">
        <f>IF(R453&lt;&gt;"",ROUND(R453,0),IF(NOT(A405),"",IF(AND(SchC_StatutoryEmp_1&lt;&gt;"",SchC_StatutoryEmp_2&lt;&gt;""),SUM('Sch. C'!T23,'Sch. C'!T137),IF(SchC_StatutoryEmp_1&lt;&gt;"",'Sch. C'!T23,IF(SchC_StatutoryEmp_2&lt;&gt;"",'Sch. C'!T137,"")))))</f>
        <v/>
      </c>
      <c r="Q453" s="408"/>
      <c r="R453" s="6806"/>
      <c r="S453" s="6807"/>
      <c r="T453" s="6807"/>
      <c r="U453" s="6807"/>
      <c r="V453" s="6807"/>
      <c r="W453" s="6807"/>
      <c r="X453" s="6808"/>
    </row>
    <row r="454" spans="1:43">
      <c r="D454" s="23" t="s">
        <v>1319</v>
      </c>
      <c r="O454" s="497"/>
    </row>
    <row r="455" spans="1:43" ht="7.5" customHeight="1"/>
    <row r="456" spans="1:43" s="1743" customFormat="1" ht="7.5" customHeight="1">
      <c r="B456" s="1742"/>
      <c r="N456" s="1744"/>
      <c r="AN456" s="1744"/>
      <c r="AO456" s="1744"/>
    </row>
    <row r="457" spans="1:43" s="132" customFormat="1" ht="15.75">
      <c r="A457" s="1753" t="s">
        <v>1419</v>
      </c>
      <c r="B457" s="1769" t="s">
        <v>1418</v>
      </c>
      <c r="C457" s="1736"/>
      <c r="N457" s="1737"/>
      <c r="AN457" s="1737"/>
      <c r="AO457" s="1737"/>
    </row>
    <row r="458" spans="1:43" ht="15" customHeight="1">
      <c r="D458" s="24" t="s">
        <v>2720</v>
      </c>
    </row>
    <row r="459" spans="1:43">
      <c r="D459" s="23" t="s">
        <v>1320</v>
      </c>
      <c r="R459" s="1749" t="s">
        <v>90</v>
      </c>
      <c r="T459" s="1749"/>
      <c r="V459" s="1749"/>
      <c r="X459" s="1749"/>
      <c r="AA459" s="1749"/>
      <c r="AN459" s="23"/>
      <c r="AO459" s="23"/>
      <c r="AP459" s="14"/>
      <c r="AQ459" s="14"/>
    </row>
    <row r="460" spans="1:43">
      <c r="R460" s="1749" t="s">
        <v>411</v>
      </c>
      <c r="T460" s="1749"/>
      <c r="V460" s="1749"/>
      <c r="X460" s="1749"/>
      <c r="AA460" s="1749"/>
      <c r="AN460" s="23"/>
      <c r="AO460" s="23"/>
      <c r="AP460" s="14"/>
      <c r="AQ460" s="14"/>
    </row>
    <row r="461" spans="1:43">
      <c r="C461" s="1740" t="s">
        <v>1321</v>
      </c>
      <c r="D461" s="70" t="s">
        <v>1401</v>
      </c>
      <c r="N461" s="1750" t="s">
        <v>1611</v>
      </c>
      <c r="O461" s="2045" t="str">
        <f>IF(R461&lt;&gt;"",R461,IF(NOT(A405),"",EIC_EarnedIncome))</f>
        <v/>
      </c>
      <c r="R461" s="6806"/>
      <c r="S461" s="6807"/>
      <c r="T461" s="6807"/>
      <c r="U461" s="6807"/>
      <c r="V461" s="6807"/>
      <c r="W461" s="6807"/>
      <c r="X461" s="6808"/>
    </row>
    <row r="463" spans="1:43">
      <c r="C463" s="1740" t="s">
        <v>592</v>
      </c>
      <c r="D463" s="70" t="s">
        <v>1598</v>
      </c>
      <c r="G463" s="24" t="s">
        <v>1599</v>
      </c>
      <c r="N463" s="1750" t="s">
        <v>1612</v>
      </c>
      <c r="O463" s="2045" t="str">
        <f>IF(NOT(A405),"",SUM(O424,O442,O453,O461))</f>
        <v/>
      </c>
    </row>
    <row r="464" spans="1:43">
      <c r="D464" s="70" t="s">
        <v>2721</v>
      </c>
    </row>
    <row r="465" spans="1:29">
      <c r="D465" s="70" t="s">
        <v>4311</v>
      </c>
    </row>
    <row r="466" spans="1:29">
      <c r="D466" s="54"/>
      <c r="E466" s="54"/>
      <c r="F466" s="54"/>
      <c r="G466" s="54"/>
      <c r="H466" s="54"/>
      <c r="I466" s="54"/>
      <c r="J466" s="54"/>
      <c r="K466" s="4348"/>
      <c r="L466" s="70"/>
      <c r="M466" s="70"/>
      <c r="N466" s="70"/>
      <c r="O466" s="70"/>
      <c r="P466" s="70"/>
      <c r="Q466" s="70"/>
      <c r="R466" s="70"/>
      <c r="S466" s="70"/>
      <c r="T466" s="70"/>
      <c r="U466" s="70"/>
      <c r="V466" s="70"/>
      <c r="W466" s="70"/>
      <c r="X466" s="70"/>
      <c r="Y466" s="70"/>
      <c r="Z466" s="70"/>
      <c r="AA466" s="70"/>
      <c r="AB466" s="70"/>
      <c r="AC466" s="70"/>
    </row>
    <row r="467" spans="1:29">
      <c r="C467" s="1740" t="s">
        <v>31</v>
      </c>
      <c r="D467" s="23" t="s">
        <v>1294</v>
      </c>
      <c r="K467" s="70"/>
      <c r="L467" s="70"/>
      <c r="M467" s="70"/>
      <c r="N467" s="70"/>
      <c r="O467" s="70"/>
      <c r="P467" s="70"/>
      <c r="Q467" s="70"/>
      <c r="R467" s="70"/>
      <c r="S467" s="70"/>
      <c r="T467" s="70"/>
      <c r="U467" s="70"/>
      <c r="V467" s="70"/>
      <c r="W467" s="70"/>
      <c r="X467" s="70"/>
      <c r="Y467" s="70"/>
      <c r="Z467" s="70"/>
      <c r="AA467" s="70"/>
      <c r="AB467" s="70"/>
      <c r="AC467" s="70"/>
    </row>
    <row r="468" spans="1:29">
      <c r="B468" s="1846" t="str">
        <f>IF(M469,"®","")</f>
        <v/>
      </c>
      <c r="C468" s="133" t="s">
        <v>1275</v>
      </c>
      <c r="D468" s="70" t="s">
        <v>1600</v>
      </c>
      <c r="K468" s="70"/>
      <c r="L468" s="70"/>
      <c r="M468" s="70"/>
      <c r="N468" s="70"/>
      <c r="O468" s="70"/>
      <c r="P468" s="70"/>
      <c r="Q468" s="70"/>
      <c r="R468" s="70"/>
      <c r="S468" s="70"/>
      <c r="T468" s="70"/>
      <c r="U468" s="70"/>
      <c r="V468" s="70"/>
      <c r="W468" s="70"/>
      <c r="X468" s="70"/>
      <c r="Y468" s="70"/>
      <c r="Z468" s="70"/>
      <c r="AA468" s="70"/>
      <c r="AB468" s="70"/>
      <c r="AC468" s="70"/>
    </row>
    <row r="469" spans="1:29">
      <c r="B469" s="1751"/>
      <c r="D469" s="70" t="str">
        <f>"Is line 4b less than "&amp;TEXT(N10,"$0,000")&amp;" ("&amp;TEXT(O10,"$0,000")&amp;" if married filing jointly)?"</f>
        <v>Is line 4b less than $51,464 ($57,414 if married filing jointly)?</v>
      </c>
      <c r="K469" s="70"/>
      <c r="L469" s="70"/>
      <c r="M469" s="1176" t="b">
        <f>AND($A$405,EICNumQualChild&gt;=3,OR(AND(File_Marr_Joint&lt;&gt;"",EarnedIncomeWSB&lt;O10),EarnedIncomeWSB&lt;N10))</f>
        <v>0</v>
      </c>
      <c r="N469" s="70"/>
      <c r="O469" s="70"/>
      <c r="P469" s="70"/>
      <c r="Q469" s="70"/>
      <c r="R469" s="70"/>
      <c r="S469" s="70"/>
      <c r="T469" s="70"/>
      <c r="U469" s="70"/>
      <c r="V469" s="70"/>
      <c r="W469" s="70"/>
      <c r="X469" s="70"/>
      <c r="Y469" s="70"/>
      <c r="Z469" s="70"/>
      <c r="AA469" s="70"/>
      <c r="AB469" s="70"/>
      <c r="AC469" s="70"/>
    </row>
    <row r="470" spans="1:29">
      <c r="B470" s="1751"/>
      <c r="C470" s="40" t="s">
        <v>243</v>
      </c>
      <c r="K470" s="70"/>
      <c r="L470" s="70"/>
      <c r="M470" s="70"/>
      <c r="N470" s="70"/>
      <c r="O470" s="70"/>
      <c r="P470" s="70"/>
      <c r="Q470" s="70"/>
      <c r="R470" s="70"/>
      <c r="S470" s="70"/>
      <c r="T470" s="70"/>
      <c r="U470" s="70"/>
      <c r="V470" s="70"/>
      <c r="W470" s="70"/>
      <c r="X470" s="70"/>
      <c r="Y470" s="70"/>
      <c r="Z470" s="70"/>
      <c r="AA470" s="70"/>
      <c r="AB470" s="70"/>
      <c r="AC470" s="70"/>
    </row>
    <row r="471" spans="1:29">
      <c r="B471" s="1846" t="str">
        <f>IF(M472,"®","")</f>
        <v/>
      </c>
      <c r="C471" s="133" t="s">
        <v>1275</v>
      </c>
      <c r="D471" s="70" t="s">
        <v>1601</v>
      </c>
      <c r="K471" s="70"/>
      <c r="L471" s="70"/>
      <c r="M471" s="70"/>
      <c r="N471" s="70"/>
      <c r="O471" s="70"/>
      <c r="P471" s="70"/>
      <c r="Q471" s="70"/>
      <c r="R471" s="70"/>
      <c r="S471" s="70"/>
      <c r="T471" s="70"/>
      <c r="U471" s="70"/>
      <c r="V471" s="70"/>
      <c r="W471" s="70"/>
      <c r="X471" s="70"/>
      <c r="Y471" s="70"/>
      <c r="Z471" s="70"/>
      <c r="AA471" s="70"/>
      <c r="AB471" s="70"/>
      <c r="AC471" s="70"/>
    </row>
    <row r="472" spans="1:29">
      <c r="B472" s="1751"/>
      <c r="D472" s="70" t="str">
        <f>"Is line 4b less than "&amp;TEXT(N13,"$0,000")&amp;" ("&amp;TEXT(O13,"$0,000")&amp;" if married filing jointly)?"</f>
        <v>Is line 4b less than $47,915 ($53,865 if married filing jointly)?</v>
      </c>
      <c r="K472" s="70"/>
      <c r="L472" s="70"/>
      <c r="M472" s="1176" t="b">
        <f>AND($A$405,EICNumQualChild=2,OR(AND(File_Marr_Joint&lt;&gt;"",EarnedIncomeWSB&lt;O13),EarnedIncomeWSB&lt;N13))</f>
        <v>0</v>
      </c>
      <c r="N472" s="70"/>
      <c r="O472" s="70"/>
      <c r="P472" s="70"/>
      <c r="Q472" s="70"/>
      <c r="R472" s="70"/>
      <c r="S472" s="70"/>
      <c r="T472" s="70"/>
      <c r="U472" s="70"/>
      <c r="V472" s="70"/>
      <c r="W472" s="70"/>
      <c r="X472" s="70"/>
      <c r="Y472" s="70"/>
      <c r="Z472" s="70"/>
      <c r="AA472" s="70"/>
      <c r="AB472" s="70"/>
      <c r="AC472" s="70"/>
    </row>
    <row r="473" spans="1:29">
      <c r="B473" s="1751"/>
      <c r="C473" s="40" t="s">
        <v>243</v>
      </c>
      <c r="K473" s="70"/>
      <c r="L473" s="70"/>
      <c r="M473" s="70"/>
      <c r="N473" s="70"/>
      <c r="O473" s="70"/>
      <c r="P473" s="70"/>
      <c r="Q473" s="70"/>
      <c r="R473" s="70"/>
      <c r="S473" s="70"/>
      <c r="T473" s="70"/>
      <c r="U473" s="70"/>
      <c r="V473" s="70"/>
      <c r="W473" s="70"/>
      <c r="X473" s="70"/>
      <c r="Y473" s="70"/>
      <c r="Z473" s="70"/>
      <c r="AA473" s="70"/>
      <c r="AB473" s="70"/>
      <c r="AC473" s="70"/>
    </row>
    <row r="474" spans="1:29">
      <c r="B474" s="1846" t="str">
        <f>IF(M475,"®","")</f>
        <v/>
      </c>
      <c r="C474" s="133" t="s">
        <v>1275</v>
      </c>
      <c r="D474" s="70" t="s">
        <v>1602</v>
      </c>
      <c r="K474" s="70"/>
      <c r="L474" s="70"/>
      <c r="M474" s="70"/>
      <c r="N474" s="70"/>
      <c r="O474" s="70"/>
      <c r="P474" s="70"/>
      <c r="Q474" s="70"/>
      <c r="R474" s="70"/>
      <c r="S474" s="70"/>
      <c r="T474" s="70"/>
      <c r="U474" s="70"/>
      <c r="V474" s="70"/>
      <c r="W474" s="70"/>
      <c r="X474" s="70"/>
      <c r="Y474" s="70"/>
      <c r="Z474" s="70"/>
      <c r="AA474" s="70"/>
      <c r="AB474" s="70"/>
      <c r="AC474" s="70"/>
    </row>
    <row r="475" spans="1:29">
      <c r="B475" s="1751"/>
      <c r="D475" s="70" t="str">
        <f>"Is line 4b less than "&amp;TEXT(N16,"$0,000")&amp;" ("&amp;TEXT(O16,"$0,000")&amp;" if married filing jointly)?"</f>
        <v>Is line 4b less than $42,158 ($48,108 if married filing jointly)?</v>
      </c>
      <c r="K475" s="70"/>
      <c r="L475" s="70"/>
      <c r="M475" s="1176" t="b">
        <f>AND($A$405,EICNumQualChild=1,OR(AND(File_Marr_Joint&lt;&gt;"",EarnedIncomeWSB&lt;O16),EarnedIncomeWSB&lt;N16))</f>
        <v>0</v>
      </c>
      <c r="N475" s="70"/>
      <c r="O475" s="70"/>
      <c r="P475" s="70"/>
      <c r="Q475" s="70"/>
      <c r="R475" s="70"/>
      <c r="S475" s="70"/>
      <c r="T475" s="70"/>
      <c r="U475" s="70"/>
      <c r="V475" s="70"/>
      <c r="W475" s="70"/>
      <c r="X475" s="70"/>
      <c r="Y475" s="70"/>
      <c r="Z475" s="70"/>
      <c r="AA475" s="70"/>
      <c r="AB475" s="70"/>
      <c r="AC475" s="70"/>
    </row>
    <row r="476" spans="1:29">
      <c r="B476" s="1751"/>
      <c r="C476" s="40" t="s">
        <v>243</v>
      </c>
      <c r="K476" s="70"/>
      <c r="L476" s="70"/>
      <c r="M476" s="70"/>
      <c r="N476" s="70"/>
      <c r="O476" s="70"/>
      <c r="P476" s="70"/>
      <c r="Q476" s="70"/>
      <c r="R476" s="70"/>
      <c r="S476" s="70"/>
      <c r="T476" s="70"/>
      <c r="U476" s="70"/>
      <c r="V476" s="70"/>
      <c r="W476" s="70"/>
      <c r="X476" s="70"/>
      <c r="Y476" s="70"/>
      <c r="Z476" s="70"/>
      <c r="AA476" s="70"/>
      <c r="AB476" s="70"/>
      <c r="AC476" s="70"/>
    </row>
    <row r="477" spans="1:29">
      <c r="B477" s="1846" t="str">
        <f>IF(M478,"®","")</f>
        <v/>
      </c>
      <c r="C477" s="133" t="s">
        <v>1275</v>
      </c>
      <c r="D477" s="23" t="s">
        <v>1285</v>
      </c>
      <c r="K477" s="70"/>
      <c r="L477" s="70"/>
      <c r="M477" s="70"/>
      <c r="N477" s="70"/>
      <c r="O477" s="70"/>
      <c r="P477" s="70"/>
      <c r="Q477" s="70"/>
      <c r="R477" s="70"/>
      <c r="S477" s="70"/>
      <c r="T477" s="70"/>
      <c r="U477" s="70"/>
      <c r="V477" s="70"/>
      <c r="W477" s="70"/>
      <c r="X477" s="70"/>
      <c r="Y477" s="70"/>
      <c r="Z477" s="70"/>
      <c r="AA477" s="70"/>
      <c r="AB477" s="70"/>
      <c r="AC477" s="70"/>
    </row>
    <row r="478" spans="1:29">
      <c r="D478" s="23" t="str">
        <f>"Is line 4b less than "&amp;TEXT(N19,"$0,000")&amp;" ("&amp;TEXT(O19,"$0,000")&amp;" if married filing jointly)?"</f>
        <v>Is line 4b less than $21,430 ($27,380 if married filing jointly)?</v>
      </c>
      <c r="K478" s="70"/>
      <c r="L478" s="70"/>
      <c r="M478" s="1176" t="b">
        <f>AND($A$405,EICNumQualChild=0,OR(AND(File_Marr_Joint&lt;&gt;"",EarnedIncomeWSB&lt;O19),EarnedIncomeWSB&lt;N19))</f>
        <v>0</v>
      </c>
      <c r="N478" s="70"/>
      <c r="O478" s="70"/>
      <c r="P478" s="70"/>
      <c r="Q478" s="70"/>
      <c r="R478" s="70"/>
      <c r="S478" s="70"/>
      <c r="T478" s="70"/>
      <c r="U478" s="70"/>
      <c r="V478" s="70"/>
      <c r="W478" s="70"/>
      <c r="X478" s="70"/>
      <c r="Y478" s="70"/>
      <c r="Z478" s="70"/>
      <c r="AA478" s="70"/>
      <c r="AB478" s="70"/>
      <c r="AC478" s="70"/>
    </row>
    <row r="480" spans="1:29">
      <c r="A480" s="1176" t="b">
        <f>AND(A405,OR(M469,M472,M475,M478))</f>
        <v>0</v>
      </c>
      <c r="B480" s="2053" t="str">
        <f>IF(A480,"X","")</f>
        <v/>
      </c>
      <c r="D480" s="24" t="s">
        <v>1603</v>
      </c>
    </row>
    <row r="481" spans="1:48">
      <c r="D481" s="70" t="s">
        <v>2934</v>
      </c>
    </row>
    <row r="483" spans="1:48">
      <c r="A483" s="1176" t="b">
        <f>AND(A405,NOT(M469),NOT(M472),NOT(M475),NOT(M478),NOT(M481))</f>
        <v>0</v>
      </c>
      <c r="B483" s="2053" t="str">
        <f>IF(A483,"X","")</f>
        <v/>
      </c>
      <c r="D483" s="70" t="s">
        <v>4312</v>
      </c>
    </row>
    <row r="484" spans="1:48" ht="7.5" customHeight="1"/>
    <row r="485" spans="1:48" s="1743" customFormat="1" ht="7.5" customHeight="1">
      <c r="B485" s="1742"/>
      <c r="N485" s="1744"/>
      <c r="AN485" s="1744"/>
      <c r="AO485" s="1744"/>
    </row>
    <row r="486" spans="1:48" s="132" customFormat="1" ht="15.75">
      <c r="A486" s="1753" t="s">
        <v>1420</v>
      </c>
      <c r="B486" s="1769" t="s">
        <v>1418</v>
      </c>
      <c r="C486" s="1736"/>
      <c r="N486" s="1737"/>
      <c r="AN486" s="1737"/>
      <c r="AO486" s="1737"/>
    </row>
    <row r="488" spans="1:48" ht="13.5" thickBot="1">
      <c r="C488" s="1740" t="s">
        <v>67</v>
      </c>
      <c r="D488" s="70" t="s">
        <v>1425</v>
      </c>
      <c r="L488" s="1750" t="s">
        <v>1608</v>
      </c>
      <c r="M488" s="2045" t="str">
        <f>IF(A480,EarnedIncomeWSB,"")</f>
        <v/>
      </c>
      <c r="O488" s="5834"/>
      <c r="AN488" s="1771" t="s">
        <v>5664</v>
      </c>
    </row>
    <row r="489" spans="1:48">
      <c r="C489" s="1740"/>
      <c r="N489" s="1740"/>
      <c r="O489" s="438"/>
      <c r="AN489" s="1756" t="str">
        <f>M488</f>
        <v/>
      </c>
      <c r="AO489" s="6803" t="s">
        <v>1288</v>
      </c>
      <c r="AP489" s="6804"/>
      <c r="AQ489" s="6803" t="s">
        <v>1289</v>
      </c>
      <c r="AR489" s="6804"/>
      <c r="AS489" s="6803" t="s">
        <v>1409</v>
      </c>
      <c r="AT489" s="6804"/>
      <c r="AU489" s="6803" t="s">
        <v>1410</v>
      </c>
      <c r="AV489" s="6804"/>
    </row>
    <row r="490" spans="1:48">
      <c r="C490" s="1740" t="s">
        <v>68</v>
      </c>
      <c r="D490" s="70" t="s">
        <v>1710</v>
      </c>
      <c r="N490" s="1740"/>
      <c r="O490" s="438"/>
      <c r="AN490" s="1757" t="str">
        <f>IF(AN489&lt;&gt;"",ROUND(AN489,0),"")</f>
        <v/>
      </c>
      <c r="AO490" s="1758" t="s">
        <v>1152</v>
      </c>
      <c r="AP490" s="1759" t="s">
        <v>1290</v>
      </c>
      <c r="AQ490" s="1758" t="s">
        <v>1152</v>
      </c>
      <c r="AR490" s="1759" t="s">
        <v>1290</v>
      </c>
      <c r="AS490" s="1758" t="s">
        <v>1152</v>
      </c>
      <c r="AT490" s="1760" t="s">
        <v>1290</v>
      </c>
      <c r="AU490" s="1758" t="s">
        <v>1152</v>
      </c>
      <c r="AV490" s="1760" t="s">
        <v>1290</v>
      </c>
    </row>
    <row r="491" spans="1:48">
      <c r="C491" s="1740"/>
      <c r="D491" s="70" t="s">
        <v>1711</v>
      </c>
      <c r="N491" s="1750" t="s">
        <v>1609</v>
      </c>
      <c r="O491" s="2045" t="str">
        <f>IF(A480,AN493,"")</f>
        <v/>
      </c>
      <c r="AN491" s="1761"/>
      <c r="AO491" s="1762" t="e">
        <f>LOOKUP(AN492,'EIC Table'!$A$3:$A$1159,'EIC Table'!$C$3:$C$1159)</f>
        <v>#N/A</v>
      </c>
      <c r="AP491" s="1763" t="e">
        <f>LOOKUP(AN492,'EIC Table'!$A$3:$A$1159,'EIC Table'!$G$3:$G$1159)</f>
        <v>#N/A</v>
      </c>
      <c r="AQ491" s="1762" t="e">
        <f>LOOKUP(AN492,'EIC Table'!$A$3:$A$1159,'EIC Table'!$D$3:$D$1159)</f>
        <v>#N/A</v>
      </c>
      <c r="AR491" s="1763" t="e">
        <f>LOOKUP(AN492,'EIC Table'!$A$3:$A$1159,'EIC Table'!$H$3:$H$1159)</f>
        <v>#N/A</v>
      </c>
      <c r="AS491" s="1764" t="e">
        <f>LOOKUP(AN492,'EIC Table'!$A$3:$A$1159,'EIC Table'!$E$3:$E$1159)</f>
        <v>#N/A</v>
      </c>
      <c r="AT491" s="1763" t="e">
        <f>LOOKUP(AN492,'EIC Table'!$A$3:$A$1159,'EIC Table'!$I$3:$I$1159)</f>
        <v>#N/A</v>
      </c>
      <c r="AU491" s="1764" t="e">
        <f>LOOKUP(AN492,'EIC Table'!$A$3:$A$1159,'EIC Table'!$F$3:$F$1159)</f>
        <v>#N/A</v>
      </c>
      <c r="AV491" s="1763" t="e">
        <f>LOOKUP(AN492,'EIC Table'!$A$3:$A$1159,'EIC Table'!$J$3:$J$1159)</f>
        <v>#N/A</v>
      </c>
    </row>
    <row r="492" spans="1:48" ht="13.5" thickBot="1">
      <c r="C492" s="1740"/>
      <c r="D492" s="70" t="s">
        <v>1712</v>
      </c>
      <c r="N492" s="1740"/>
      <c r="O492" s="438"/>
      <c r="AN492" s="1757" t="str">
        <f>IF(AN490="","",AN490)</f>
        <v/>
      </c>
      <c r="AO492" s="1762"/>
      <c r="AP492" s="1763"/>
      <c r="AQ492" s="1762"/>
      <c r="AR492" s="1763"/>
      <c r="AS492" s="1764"/>
      <c r="AT492" s="1763"/>
      <c r="AU492" s="1764"/>
      <c r="AV492" s="1763"/>
    </row>
    <row r="493" spans="1:48" ht="13.5" thickBot="1">
      <c r="C493" s="1740"/>
      <c r="N493" s="1740"/>
      <c r="O493" s="438"/>
      <c r="AN493" s="1765" t="e">
        <f>IF(EICNumQualChild&gt;2,AV493,IF(EICNumQualChild=2,AT493,IF(EICNumQualChild=1,AR493,AP493)))</f>
        <v>#N/A</v>
      </c>
      <c r="AO493" s="1766"/>
      <c r="AP493" s="1767" t="e">
        <f>IF(File_Marr_Joint&lt;&gt;"",AP491,AO491)</f>
        <v>#N/A</v>
      </c>
      <c r="AQ493" s="1766"/>
      <c r="AR493" s="1767" t="e">
        <f>IF(File_Marr_Joint&lt;&gt;"",AR491,AQ491)</f>
        <v>#N/A</v>
      </c>
      <c r="AS493" s="1768"/>
      <c r="AT493" s="1767" t="e">
        <f>IF(File_Marr_Joint&lt;&gt;"",AT491,AS491)</f>
        <v>#N/A</v>
      </c>
      <c r="AU493" s="1768"/>
      <c r="AV493" s="1767" t="e">
        <f>IF(File_Marr_Joint&lt;&gt;"",AV491,AU491)</f>
        <v>#N/A</v>
      </c>
    </row>
    <row r="494" spans="1:48">
      <c r="C494" s="1740"/>
      <c r="D494" s="70" t="s">
        <v>2722</v>
      </c>
      <c r="N494" s="1740"/>
      <c r="O494" s="1337" t="b">
        <f>AND(B405&lt;&gt;"",O491=0)</f>
        <v>0</v>
      </c>
      <c r="AN494" s="23"/>
      <c r="AO494" s="23"/>
    </row>
    <row r="495" spans="1:48">
      <c r="C495" s="1740"/>
      <c r="D495" s="70" t="s">
        <v>5644</v>
      </c>
      <c r="N495" s="1740"/>
      <c r="O495" s="438"/>
      <c r="AN495" s="23"/>
      <c r="AO495" s="23"/>
    </row>
    <row r="496" spans="1:48">
      <c r="C496" s="1740"/>
      <c r="N496" s="1740"/>
      <c r="O496" s="438"/>
      <c r="AN496" s="23"/>
      <c r="AO496" s="23"/>
    </row>
    <row r="497" spans="1:41">
      <c r="C497" s="1740" t="s">
        <v>204</v>
      </c>
      <c r="D497" s="70" t="s">
        <v>4307</v>
      </c>
      <c r="L497" s="1750" t="s">
        <v>1610</v>
      </c>
      <c r="M497" s="2045" t="str">
        <f>IF(OR($B$405="",B483&lt;&gt;""),"",Adj_Gross_Inc)</f>
        <v/>
      </c>
      <c r="N497" s="1740"/>
      <c r="O497" s="438"/>
      <c r="AN497" s="23"/>
      <c r="AO497" s="23"/>
    </row>
    <row r="498" spans="1:41">
      <c r="C498" s="1740"/>
      <c r="N498" s="1740"/>
      <c r="O498" s="438"/>
      <c r="AN498" s="23"/>
      <c r="AO498" s="23"/>
    </row>
    <row r="499" spans="1:41">
      <c r="C499" s="1740" t="s">
        <v>205</v>
      </c>
      <c r="D499" s="23" t="s">
        <v>1322</v>
      </c>
      <c r="N499" s="1740"/>
      <c r="O499" s="438"/>
      <c r="AN499" s="23"/>
      <c r="AO499" s="23"/>
    </row>
    <row r="500" spans="1:41">
      <c r="C500" s="1740"/>
      <c r="N500" s="1740"/>
      <c r="O500" s="438"/>
      <c r="AN500" s="23"/>
      <c r="AO500" s="23"/>
    </row>
    <row r="501" spans="1:41">
      <c r="A501" s="1176" t="b">
        <f>AND(A480,M497=M488)</f>
        <v>0</v>
      </c>
      <c r="B501" s="2053" t="str">
        <f>IF(A501,"X","")</f>
        <v/>
      </c>
      <c r="D501" s="70" t="s">
        <v>2723</v>
      </c>
      <c r="AN501" s="23"/>
      <c r="AO501" s="23"/>
    </row>
    <row r="502" spans="1:41">
      <c r="C502" s="1740"/>
      <c r="N502" s="1740"/>
      <c r="O502" s="438"/>
      <c r="AN502" s="23"/>
      <c r="AO502" s="23"/>
    </row>
    <row r="503" spans="1:41">
      <c r="A503" s="1176" t="b">
        <f>AND(A480,NOT(A501))</f>
        <v>0</v>
      </c>
      <c r="B503" s="2053" t="str">
        <f>IF(OR($B$405="",B483&lt;&gt;""),"",IF(M497=M488,"","X"))</f>
        <v/>
      </c>
      <c r="D503" s="70" t="s">
        <v>2724</v>
      </c>
      <c r="AN503" s="23"/>
      <c r="AO503" s="23"/>
    </row>
    <row r="504" spans="1:41" ht="7.5" customHeight="1"/>
    <row r="505" spans="1:41" s="1743" customFormat="1" ht="7.5" customHeight="1">
      <c r="B505" s="1742"/>
      <c r="N505" s="1744"/>
      <c r="AN505" s="1744"/>
      <c r="AO505" s="1744"/>
    </row>
    <row r="506" spans="1:41" s="132" customFormat="1" ht="15.75">
      <c r="A506" s="1753" t="s">
        <v>1422</v>
      </c>
      <c r="B506" s="1769" t="s">
        <v>1421</v>
      </c>
      <c r="C506" s="1736"/>
      <c r="N506" s="1737"/>
      <c r="AN506" s="1737"/>
      <c r="AO506" s="1737"/>
    </row>
    <row r="508" spans="1:41">
      <c r="C508" s="1740" t="s">
        <v>295</v>
      </c>
      <c r="D508" s="23" t="s">
        <v>1294</v>
      </c>
      <c r="N508" s="23"/>
    </row>
    <row r="509" spans="1:41">
      <c r="C509" s="1740"/>
      <c r="N509" s="23"/>
    </row>
    <row r="510" spans="1:41">
      <c r="A510" s="1176" t="b">
        <f>AND(A503,EICNumQualChild=0,OR(AND(File_Marr_Joint&lt;&gt;"",M497&lt;N373),M497&lt;N372))</f>
        <v>0</v>
      </c>
      <c r="B510" s="1846" t="str">
        <f>IF(A510,"®","")</f>
        <v/>
      </c>
      <c r="C510" s="1740" t="s">
        <v>1323</v>
      </c>
      <c r="D510" s="70" t="s">
        <v>1285</v>
      </c>
      <c r="N510" s="23"/>
    </row>
    <row r="511" spans="1:41">
      <c r="B511" s="1751"/>
      <c r="C511" s="1740"/>
      <c r="D511" s="23" t="str">
        <f>" Is the amount on line 8 less than "&amp;TEXT(N372,"$0,000")&amp;" ("&amp;TEXT(N373,"$0,000")&amp;" if married filing jointly)?"</f>
        <v xml:space="preserve"> Is the amount on line 8 less than $11,650 ($17,600 if married filing jointly)?</v>
      </c>
      <c r="L511" s="40" t="str">
        <f>IF(OR(NOT(A503),EICNumQualChild&lt;&gt;0),"",IF(A510,"Yes","No"))</f>
        <v/>
      </c>
      <c r="M511" s="1176" t="b">
        <f>IF(OR(AND(File_Marr_Joint&lt;&gt;"",M497&lt;N373),M497&lt;N372),TRUE,FALSE)</f>
        <v>0</v>
      </c>
      <c r="N511" s="23"/>
    </row>
    <row r="512" spans="1:41">
      <c r="B512" s="1751"/>
      <c r="C512" s="1740"/>
      <c r="N512" s="23"/>
    </row>
    <row r="513" spans="1:48">
      <c r="A513" s="1176" t="b">
        <f>AND(A503,EICNumQualChild&gt;=1,OR(AND(File_Marr_Joint&lt;&gt;"",M497&lt;N376),M497&lt;N375))</f>
        <v>0</v>
      </c>
      <c r="B513" s="1846" t="str">
        <f>IF(OR($B$405="",B483&lt;&gt;"",B501&lt;&gt;""),"",IF(AND(File_Marr_Joint,EICNumQualChild&gt;0),"®",IF(EICNumQualChild&gt;0,"®","")))</f>
        <v/>
      </c>
      <c r="C513" s="1740" t="s">
        <v>1323</v>
      </c>
      <c r="D513" s="70" t="s">
        <v>1604</v>
      </c>
      <c r="N513" s="23"/>
    </row>
    <row r="514" spans="1:48">
      <c r="C514" s="1740"/>
      <c r="D514" s="23" t="str">
        <f>" Is the amount on line 8 less than "&amp;TEXT(N375,"$0,000")&amp;" ("&amp;TEXT(N376,"$0,000")&amp;" if married filing jointly)?"</f>
        <v xml:space="preserve"> Is the amount on line 8 less than $19,550 ($25,500 if married filing jointly)?</v>
      </c>
      <c r="L514" s="40" t="str">
        <f>IF(OR(NOT(A503),EICNumQualChild&lt;1),"",IF(A513,"Yes","No"))</f>
        <v/>
      </c>
      <c r="M514" s="1176" t="b">
        <f>IF(OR(AND(File_Marr_Joint&lt;&gt;"",M497&lt;N376),M497&lt;N375),TRUE,FALSE)</f>
        <v>0</v>
      </c>
      <c r="N514" s="23"/>
    </row>
    <row r="515" spans="1:48" ht="13.5" thickBot="1">
      <c r="C515" s="1740"/>
      <c r="N515" s="23"/>
      <c r="AN515" s="1771" t="s">
        <v>5665</v>
      </c>
    </row>
    <row r="516" spans="1:48">
      <c r="A516" s="1176" t="b">
        <f>OR(A510,A513)</f>
        <v>0</v>
      </c>
      <c r="B516" s="2053" t="str">
        <f>IF(A516,"X","")</f>
        <v/>
      </c>
      <c r="C516" s="1740"/>
      <c r="D516" s="70" t="s">
        <v>2726</v>
      </c>
      <c r="N516" s="23"/>
      <c r="AN516" s="1756" t="str">
        <f>M497</f>
        <v/>
      </c>
      <c r="AO516" s="6803" t="s">
        <v>1288</v>
      </c>
      <c r="AP516" s="6804"/>
      <c r="AQ516" s="6803" t="s">
        <v>1289</v>
      </c>
      <c r="AR516" s="6804"/>
      <c r="AS516" s="6803" t="s">
        <v>1409</v>
      </c>
      <c r="AT516" s="6804"/>
      <c r="AU516" s="6803" t="s">
        <v>1410</v>
      </c>
      <c r="AV516" s="6804"/>
    </row>
    <row r="517" spans="1:48">
      <c r="C517" s="1740"/>
      <c r="N517" s="23"/>
      <c r="AN517" s="1757" t="str">
        <f>IF(AN516&lt;&gt;"",ROUND(AN516,0),"")</f>
        <v/>
      </c>
      <c r="AO517" s="1758" t="s">
        <v>1152</v>
      </c>
      <c r="AP517" s="1759" t="s">
        <v>1290</v>
      </c>
      <c r="AQ517" s="1758" t="s">
        <v>1152</v>
      </c>
      <c r="AR517" s="1759" t="s">
        <v>1290</v>
      </c>
      <c r="AS517" s="1758" t="s">
        <v>1152</v>
      </c>
      <c r="AT517" s="1760" t="s">
        <v>1290</v>
      </c>
      <c r="AU517" s="1758" t="s">
        <v>1152</v>
      </c>
      <c r="AV517" s="1760" t="s">
        <v>1290</v>
      </c>
    </row>
    <row r="518" spans="1:48">
      <c r="A518" s="1176" t="b">
        <f>AND(A503,NOT(A510),NOT(A513))</f>
        <v>0</v>
      </c>
      <c r="B518" s="2053" t="str">
        <f>IF(A518,"X","")</f>
        <v/>
      </c>
      <c r="C518" s="1740"/>
      <c r="D518" s="70" t="s">
        <v>2725</v>
      </c>
      <c r="N518" s="23"/>
      <c r="AN518" s="1761"/>
      <c r="AO518" s="1762" t="e">
        <f>LOOKUP(AN519,'EIC Table'!$A$3:$A$1159,'EIC Table'!$C$3:$C$1159)</f>
        <v>#N/A</v>
      </c>
      <c r="AP518" s="1763" t="e">
        <f>LOOKUP(AN519,'EIC Table'!$A$3:$A$1159,'EIC Table'!$G$3:$G$1159)</f>
        <v>#N/A</v>
      </c>
      <c r="AQ518" s="1762" t="e">
        <f>LOOKUP(AN519,'EIC Table'!$A$3:$A$1159,'EIC Table'!$D$3:$D$1159)</f>
        <v>#N/A</v>
      </c>
      <c r="AR518" s="1763" t="e">
        <f>LOOKUP(AN519,'EIC Table'!$A$3:$A$1159,'EIC Table'!$H$3:$H$1159)</f>
        <v>#N/A</v>
      </c>
      <c r="AS518" s="1764" t="e">
        <f>LOOKUP(AN519,'EIC Table'!$A$3:$A$1159,'EIC Table'!$E$3:$E$1159)</f>
        <v>#N/A</v>
      </c>
      <c r="AT518" s="1763" t="e">
        <f>LOOKUP(AN519,'EIC Table'!$A$3:$A$1159,'EIC Table'!$I$3:$I$1159)</f>
        <v>#N/A</v>
      </c>
      <c r="AU518" s="1764" t="e">
        <f>LOOKUP(AN519,'EIC Table'!$A$3:$A$1159,'EIC Table'!$F$3:$F$1159)</f>
        <v>#N/A</v>
      </c>
      <c r="AV518" s="1763" t="e">
        <f>LOOKUP(AN519,'EIC Table'!$A$3:$A$1159,'EIC Table'!$J$3:$J$1159)</f>
        <v>#N/A</v>
      </c>
    </row>
    <row r="519" spans="1:48" ht="13.5" thickBot="1">
      <c r="C519" s="1740"/>
      <c r="D519" s="70" t="s">
        <v>1424</v>
      </c>
      <c r="N519" s="23"/>
      <c r="AN519" s="1757" t="str">
        <f>IF(AN517="","",AN517)</f>
        <v/>
      </c>
      <c r="AO519" s="1762"/>
      <c r="AP519" s="1763"/>
      <c r="AQ519" s="1762"/>
      <c r="AR519" s="1763"/>
      <c r="AS519" s="1764"/>
      <c r="AT519" s="1763"/>
      <c r="AU519" s="1764"/>
      <c r="AV519" s="1763"/>
    </row>
    <row r="520" spans="1:48" ht="13.5" thickBot="1">
      <c r="C520" s="1740"/>
      <c r="D520" s="23" t="s">
        <v>1325</v>
      </c>
      <c r="N520" s="23"/>
      <c r="AN520" s="1765" t="e">
        <f>IF(EICNumQualChild&gt;2,AV520,IF(EICNumQualChild=2,AT520,IF(EICNumQualChild=1,AR520,AP520)))</f>
        <v>#N/A</v>
      </c>
      <c r="AO520" s="1766"/>
      <c r="AP520" s="1767" t="e">
        <f>IF(File_Marr_Joint&lt;&gt;"",AP518,AO518)</f>
        <v>#N/A</v>
      </c>
      <c r="AQ520" s="1766"/>
      <c r="AR520" s="1767" t="e">
        <f>IF(File_Marr_Joint&lt;&gt;"",AR518,AQ518)</f>
        <v>#N/A</v>
      </c>
      <c r="AS520" s="1768"/>
      <c r="AT520" s="1767" t="e">
        <f>IF(File_Marr_Joint&lt;&gt;"",AT518,AS518)</f>
        <v>#N/A</v>
      </c>
      <c r="AU520" s="1768"/>
      <c r="AV520" s="1767" t="e">
        <f>IF(File_Marr_Joint&lt;&gt;"",AV518,AU518)</f>
        <v>#N/A</v>
      </c>
    </row>
    <row r="521" spans="1:48">
      <c r="C521" s="1740"/>
      <c r="D521" s="70" t="s">
        <v>2727</v>
      </c>
      <c r="N521" s="1740" t="s">
        <v>1324</v>
      </c>
      <c r="O521" s="2045" t="str">
        <f>IF(OR($B$518="",$B$405=""),"",AN520)</f>
        <v/>
      </c>
    </row>
    <row r="522" spans="1:48">
      <c r="C522" s="1740"/>
      <c r="D522" s="70"/>
      <c r="N522" s="23"/>
    </row>
    <row r="523" spans="1:48">
      <c r="C523" s="1740"/>
      <c r="D523" s="23" t="s">
        <v>1326</v>
      </c>
      <c r="N523" s="23"/>
    </row>
    <row r="524" spans="1:48">
      <c r="C524" s="1740"/>
      <c r="D524" s="70" t="s">
        <v>1426</v>
      </c>
      <c r="N524" s="23"/>
      <c r="O524" s="4984">
        <f>MIN(O491,O521)</f>
        <v>0</v>
      </c>
    </row>
    <row r="525" spans="1:48" ht="7.5" customHeight="1"/>
    <row r="526" spans="1:48" s="1743" customFormat="1" ht="7.5" customHeight="1">
      <c r="B526" s="1742"/>
      <c r="N526" s="1744"/>
      <c r="AN526" s="1744"/>
      <c r="AO526" s="1744"/>
    </row>
    <row r="527" spans="1:48" s="132" customFormat="1" ht="15.75">
      <c r="A527" s="1753" t="s">
        <v>1423</v>
      </c>
      <c r="B527" s="1769" t="s">
        <v>1413</v>
      </c>
      <c r="C527" s="1736"/>
      <c r="N527" s="1737"/>
      <c r="AN527" s="1737"/>
      <c r="AO527" s="1737"/>
    </row>
    <row r="528" spans="1:48">
      <c r="N528" s="1740" t="s">
        <v>1327</v>
      </c>
      <c r="O528" s="2045" t="str">
        <f>IF(OR(A501,A516),O491,IF(A518,O524,""))</f>
        <v/>
      </c>
      <c r="AA528" s="311" t="str">
        <f>IF(EIC_WSB_Part7&lt;1000,TEXT(EIC_WSB_Part7,"$0"),TEXT(EIC_WSB_Part7,"$0,000"))</f>
        <v/>
      </c>
    </row>
    <row r="529" spans="3:27">
      <c r="C529" s="2499" t="s">
        <v>296</v>
      </c>
      <c r="D529" s="24" t="s">
        <v>1298</v>
      </c>
      <c r="N529" s="23"/>
    </row>
    <row r="530" spans="3:27">
      <c r="C530" s="1740"/>
      <c r="N530" s="23"/>
    </row>
    <row r="531" spans="3:27">
      <c r="C531" s="1740"/>
      <c r="D531" s="24" t="s">
        <v>2935</v>
      </c>
    </row>
    <row r="532" spans="3:27">
      <c r="C532" s="3690" t="s">
        <v>42</v>
      </c>
      <c r="D532" s="23" t="s">
        <v>1300</v>
      </c>
    </row>
    <row r="533" spans="3:27">
      <c r="D533" s="1869" t="s">
        <v>1647</v>
      </c>
    </row>
    <row r="535" spans="3:27">
      <c r="D535" s="54"/>
      <c r="E535" s="54"/>
      <c r="F535" s="54"/>
      <c r="G535" s="54"/>
      <c r="H535" s="54"/>
      <c r="I535" s="54"/>
      <c r="J535" s="54"/>
      <c r="K535" s="54"/>
      <c r="O535" s="70"/>
    </row>
    <row r="536" spans="3:27">
      <c r="E536" s="1748" t="s">
        <v>1427</v>
      </c>
      <c r="O536" s="70"/>
    </row>
    <row r="537" spans="3:27" ht="13.5" thickBot="1">
      <c r="E537" s="999" t="s">
        <v>2728</v>
      </c>
    </row>
    <row r="538" spans="3:27" ht="13.5" thickBot="1">
      <c r="E538" s="1748" t="str">
        <f>"8862 to take the credit for "&amp;TaxYear&amp;"."</f>
        <v>8862 to take the credit for 2021.</v>
      </c>
      <c r="N538" s="2725" t="s">
        <v>3415</v>
      </c>
      <c r="O538" s="4158">
        <f>IF(EIC_WSA_Part3&lt;&gt;"",EIC_WSA_Part3,IF(EIC_WSB_Part7&lt;&gt;"",EIC_WSB_Part7,0))</f>
        <v>0</v>
      </c>
      <c r="AA538" s="311"/>
    </row>
  </sheetData>
  <sheetProtection algorithmName="SHA-512" hashValue="heJJoGaUxVuu1v1vweDcJBieTZyUWhpBqBCHBrjWvbQrEMKhTPQ4Bo20cho2rsDXY3vol2wPmRYGqd7aHF7SXw==" saltValue="I2tMXeK/UfHUyqZGfn9kVQ==" spinCount="100000" sheet="1" objects="1" scenarios="1"/>
  <mergeCells count="38">
    <mergeCell ref="A61:B61"/>
    <mergeCell ref="A143:B143"/>
    <mergeCell ref="A115:B115"/>
    <mergeCell ref="A144:B144"/>
    <mergeCell ref="A145:B145"/>
    <mergeCell ref="A146:B146"/>
    <mergeCell ref="A147:B147"/>
    <mergeCell ref="A121:B121"/>
    <mergeCell ref="A128:B128"/>
    <mergeCell ref="A134:B134"/>
    <mergeCell ref="R437:X437"/>
    <mergeCell ref="M88:Y93"/>
    <mergeCell ref="M96:Y98"/>
    <mergeCell ref="M101:Y104"/>
    <mergeCell ref="R424:X424"/>
    <mergeCell ref="R436:X436"/>
    <mergeCell ref="R435:X435"/>
    <mergeCell ref="AU380:AV380"/>
    <mergeCell ref="AS353:AT353"/>
    <mergeCell ref="AO380:AP380"/>
    <mergeCell ref="AQ380:AR380"/>
    <mergeCell ref="AS380:AT380"/>
    <mergeCell ref="AO353:AP353"/>
    <mergeCell ref="AQ353:AR353"/>
    <mergeCell ref="AU353:AV353"/>
    <mergeCell ref="R438:X438"/>
    <mergeCell ref="R439:X439"/>
    <mergeCell ref="AU516:AV516"/>
    <mergeCell ref="AS516:AT516"/>
    <mergeCell ref="AQ516:AR516"/>
    <mergeCell ref="AO516:AP516"/>
    <mergeCell ref="AU489:AV489"/>
    <mergeCell ref="AS489:AT489"/>
    <mergeCell ref="AQ489:AR489"/>
    <mergeCell ref="AO489:AP489"/>
    <mergeCell ref="R440:X440"/>
    <mergeCell ref="R461:X461"/>
    <mergeCell ref="R453:X453"/>
  </mergeCells>
  <conditionalFormatting sqref="A68">
    <cfRule type="expression" dxfId="2549" priority="212">
      <formula>IF(AND($B$68="",$B$70="",$B$73="",$B$76="",H$78="",NOT(NoEICredit)),1,0)</formula>
    </cfRule>
  </conditionalFormatting>
  <conditionalFormatting sqref="A70">
    <cfRule type="expression" dxfId="2548" priority="199">
      <formula>IF(AND($B$68="",$B$70="",$B$73="",$B$76="",H$78="",NOT(NoEICredit)),1,0)</formula>
    </cfRule>
  </conditionalFormatting>
  <conditionalFormatting sqref="A73">
    <cfRule type="expression" dxfId="2547" priority="198">
      <formula>IF(AND($B$68="",$B$70="",$B$73="",$B$76="",H$78="",NOT(NoEICredit)),1,0)</formula>
    </cfRule>
  </conditionalFormatting>
  <conditionalFormatting sqref="A76">
    <cfRule type="expression" dxfId="2546" priority="197">
      <formula>IF(AND($B$68="",$B$70="",$B$73="",$B$76="",H$78="",NOT(NoEICredit)),1,0)</formula>
    </cfRule>
  </conditionalFormatting>
  <conditionalFormatting sqref="A312">
    <cfRule type="expression" dxfId="2545" priority="162">
      <formula>IF(AND(OR($B$252&lt;&gt;"",$H$252&lt;&gt;""),$B$315="",$H$315=""),1,0)</formula>
    </cfRule>
  </conditionalFormatting>
  <conditionalFormatting sqref="A250:B250">
    <cfRule type="expression" dxfId="2544" priority="172">
      <formula>IF(AND(OR($B$117="X",$H$149="X",#REF!="X"),$B$252="",$H$252=""),1,0)</formula>
    </cfRule>
  </conditionalFormatting>
  <conditionalFormatting sqref="B39">
    <cfRule type="expression" dxfId="2543" priority="123">
      <formula>IF(NoColor,1,0)</formula>
    </cfRule>
  </conditionalFormatting>
  <conditionalFormatting sqref="B59">
    <cfRule type="expression" dxfId="2542" priority="121">
      <formula>IF(NoColor,1,0)</formula>
    </cfRule>
  </conditionalFormatting>
  <conditionalFormatting sqref="B63">
    <cfRule type="expression" dxfId="2541" priority="122">
      <formula>IF(NoColor,1,0)</formula>
    </cfRule>
  </conditionalFormatting>
  <conditionalFormatting sqref="B68">
    <cfRule type="expression" dxfId="2540" priority="131">
      <formula>IF(NoColor,1,0)</formula>
    </cfRule>
  </conditionalFormatting>
  <conditionalFormatting sqref="B70">
    <cfRule type="expression" dxfId="2539" priority="130">
      <formula>IF(NoColor,1,0)</formula>
    </cfRule>
  </conditionalFormatting>
  <conditionalFormatting sqref="B73">
    <cfRule type="expression" dxfId="2538" priority="129">
      <formula>IF(NoColor,1,0)</formula>
    </cfRule>
  </conditionalFormatting>
  <conditionalFormatting sqref="B76">
    <cfRule type="expression" dxfId="2537" priority="128">
      <formula>IF(NoColor,1,0)</formula>
    </cfRule>
  </conditionalFormatting>
  <conditionalFormatting sqref="B252">
    <cfRule type="expression" dxfId="2536" priority="143">
      <formula>IF(NoColor,1,0)</formula>
    </cfRule>
  </conditionalFormatting>
  <conditionalFormatting sqref="B312:B313">
    <cfRule type="expression" dxfId="2535" priority="163">
      <formula>IF(AND(OR($B$252&lt;&gt;"",$H$252&lt;&gt;""),$B$315="",$H$315=""),1,0)</formula>
    </cfRule>
  </conditionalFormatting>
  <conditionalFormatting sqref="B315">
    <cfRule type="expression" dxfId="2534" priority="120">
      <formula>IF(NoColor,1,0)</formula>
    </cfRule>
  </conditionalFormatting>
  <conditionalFormatting sqref="B339">
    <cfRule type="expression" dxfId="2533" priority="132">
      <formula>IF(NoColor,1,0)</formula>
    </cfRule>
  </conditionalFormatting>
  <conditionalFormatting sqref="B392:C394">
    <cfRule type="expression" dxfId="2532" priority="113" stopIfTrue="1">
      <formula>IF(OR($M$390="",$M$390=0),0,IF(AND($H$339&lt;&gt;"",EICNumQualChild&gt;1),1,0))</formula>
    </cfRule>
  </conditionalFormatting>
  <conditionalFormatting sqref="C1">
    <cfRule type="expression" dxfId="2531" priority="311" stopIfTrue="1">
      <formula>IF($A$1=1,1,0)</formula>
    </cfRule>
  </conditionalFormatting>
  <conditionalFormatting sqref="C390">
    <cfRule type="expression" dxfId="2530" priority="3046">
      <formula>IF($B$315&lt;&gt;"",0,IF($M$390&gt;0,1,0))</formula>
    </cfRule>
  </conditionalFormatting>
  <conditionalFormatting sqref="D21">
    <cfRule type="expression" dxfId="2529" priority="272" stopIfTrue="1">
      <formula>IF($B$21="X",1,0)</formula>
    </cfRule>
  </conditionalFormatting>
  <conditionalFormatting sqref="D23:D24">
    <cfRule type="expression" dxfId="2528" priority="268">
      <formula>IF(AND($B$26="",$H$26="",NOT(NoEICredit)),1,0)</formula>
    </cfRule>
  </conditionalFormatting>
  <conditionalFormatting sqref="D26">
    <cfRule type="expression" dxfId="2527" priority="224" stopIfTrue="1">
      <formula>IF($B$26="X",1,0)</formula>
    </cfRule>
  </conditionalFormatting>
  <conditionalFormatting sqref="D31">
    <cfRule type="expression" dxfId="2526" priority="1257" stopIfTrue="1">
      <formula>IF(AND(H27="",B31="X"),1,0)</formula>
    </cfRule>
  </conditionalFormatting>
  <conditionalFormatting sqref="D33">
    <cfRule type="expression" dxfId="2525" priority="267">
      <formula>IF(AND($B$35="",$H$35="",NOT(NoEICredit)),1,0)</formula>
    </cfRule>
  </conditionalFormatting>
  <conditionalFormatting sqref="D35">
    <cfRule type="expression" dxfId="2524" priority="1263" stopIfTrue="1">
      <formula>IF(AND(B35="X",$B$31="",$H$26="",$H$21=""),1,0)</formula>
    </cfRule>
  </conditionalFormatting>
  <conditionalFormatting sqref="D37">
    <cfRule type="expression" dxfId="2523" priority="266">
      <formula>IF(AND($B$26&lt;&gt;"",$B$39="",$H$39="",NOT(NoEICredit)),1,0)</formula>
    </cfRule>
  </conditionalFormatting>
  <conditionalFormatting sqref="D39:D41">
    <cfRule type="expression" dxfId="2522" priority="1283" stopIfTrue="1">
      <formula>IF(AND($B$39="X",$B35="",$B$31="",$H$26="",$H$21=""),1,0)</formula>
    </cfRule>
  </conditionalFormatting>
  <conditionalFormatting sqref="D61">
    <cfRule type="expression" dxfId="2521" priority="1308">
      <formula>IF(AND($B$59&lt;&gt;"",$B$63="",H$63="",NOT(NoEICredit)),1,0)</formula>
    </cfRule>
  </conditionalFormatting>
  <conditionalFormatting sqref="D63:D64">
    <cfRule type="expression" dxfId="2520" priority="64">
      <formula>AND($A$59,NOT($N$65))</formula>
    </cfRule>
  </conditionalFormatting>
  <conditionalFormatting sqref="D66">
    <cfRule type="expression" dxfId="2519" priority="260">
      <formula>IF(AND($B$68="",$B$70="",$B$73="",$B$76="",H$78="",NOT(NoEICredit)),1,0)</formula>
    </cfRule>
  </conditionalFormatting>
  <conditionalFormatting sqref="D78:D80">
    <cfRule type="expression" dxfId="2518" priority="219">
      <formula>IF(AND($B$78="X",$H$80=""),1,0)</formula>
    </cfRule>
  </conditionalFormatting>
  <conditionalFormatting sqref="D106">
    <cfRule type="expression" dxfId="2517" priority="310" stopIfTrue="1">
      <formula>IF($B$106="",1,0)</formula>
    </cfRule>
  </conditionalFormatting>
  <conditionalFormatting sqref="D112">
    <cfRule type="expression" dxfId="2516" priority="59">
      <formula>$A$112</formula>
    </cfRule>
  </conditionalFormatting>
  <conditionalFormatting sqref="D117:D118">
    <cfRule type="expression" dxfId="2515" priority="1">
      <formula>$A$117</formula>
    </cfRule>
  </conditionalFormatting>
  <conditionalFormatting sqref="D118 D125">
    <cfRule type="expression" dxfId="2514" priority="315" stopIfTrue="1">
      <formula>IF(AND($B$112="X",$B$149="X",$H$109="",$B$31="",$H$26="",$H$21=""),1,0)</formula>
    </cfRule>
  </conditionalFormatting>
  <conditionalFormatting sqref="D124">
    <cfRule type="expression" dxfId="2513" priority="60">
      <formula>$A$124</formula>
    </cfRule>
  </conditionalFormatting>
  <conditionalFormatting sqref="D131">
    <cfRule type="expression" dxfId="2512" priority="61">
      <formula>$A$131</formula>
    </cfRule>
  </conditionalFormatting>
  <conditionalFormatting sqref="D139">
    <cfRule type="expression" dxfId="2511" priority="58">
      <formula>$A$139</formula>
    </cfRule>
  </conditionalFormatting>
  <conditionalFormatting sqref="D140">
    <cfRule type="expression" dxfId="2510" priority="4412" stopIfTrue="1">
      <formula>IF(AND(B124="X",B140="X",$H$109="",$B$31="",$H$26="",$H$21=""),1,0)</formula>
    </cfRule>
  </conditionalFormatting>
  <conditionalFormatting sqref="D149:D151">
    <cfRule type="expression" dxfId="2509" priority="91">
      <formula>$A$149</formula>
    </cfRule>
    <cfRule type="expression" dxfId="2508" priority="92" stopIfTrue="1">
      <formula>IF(AND($B$112="X",$B$149="X",$H$109="",$B$31="",$H$26="",$H$21=""),1,0)</formula>
    </cfRule>
  </conditionalFormatting>
  <conditionalFormatting sqref="D159">
    <cfRule type="expression" dxfId="2507" priority="4648">
      <formula>IF(AND($B$106=0,#REF!&lt;&gt;""),1,0)</formula>
    </cfRule>
  </conditionalFormatting>
  <conditionalFormatting sqref="D159:D160">
    <cfRule type="expression" dxfId="2506" priority="85">
      <formula>$A$159</formula>
    </cfRule>
  </conditionalFormatting>
  <conditionalFormatting sqref="D170:D171">
    <cfRule type="expression" dxfId="2505" priority="55">
      <formula>$A$170</formula>
    </cfRule>
  </conditionalFormatting>
  <conditionalFormatting sqref="D172:D173">
    <cfRule type="expression" dxfId="2504" priority="78">
      <formula>$A$159</formula>
    </cfRule>
  </conditionalFormatting>
  <conditionalFormatting sqref="D183:D184">
    <cfRule type="expression" dxfId="2503" priority="52">
      <formula>$A$183</formula>
    </cfRule>
  </conditionalFormatting>
  <conditionalFormatting sqref="D185:D186">
    <cfRule type="expression" dxfId="2502" priority="50">
      <formula>$A$159</formula>
    </cfRule>
  </conditionalFormatting>
  <conditionalFormatting sqref="D197">
    <cfRule type="expression" dxfId="2501" priority="48">
      <formula>$A197</formula>
    </cfRule>
  </conditionalFormatting>
  <conditionalFormatting sqref="D198:D200">
    <cfRule type="expression" dxfId="2500" priority="43">
      <formula>$A$159</formula>
    </cfRule>
  </conditionalFormatting>
  <conditionalFormatting sqref="D211">
    <cfRule type="expression" dxfId="2499" priority="41">
      <formula>$A211</formula>
    </cfRule>
  </conditionalFormatting>
  <conditionalFormatting sqref="D212:D214">
    <cfRule type="expression" dxfId="2498" priority="37">
      <formula>$A$159</formula>
    </cfRule>
  </conditionalFormatting>
  <conditionalFormatting sqref="D218">
    <cfRule type="expression" dxfId="2497" priority="35">
      <formula>$A218</formula>
    </cfRule>
  </conditionalFormatting>
  <conditionalFormatting sqref="D219:D222">
    <cfRule type="expression" dxfId="2496" priority="29">
      <formula>$A$159</formula>
    </cfRule>
  </conditionalFormatting>
  <conditionalFormatting sqref="D225">
    <cfRule type="expression" dxfId="2495" priority="28">
      <formula>$A225</formula>
    </cfRule>
  </conditionalFormatting>
  <conditionalFormatting sqref="D226:D227">
    <cfRule type="expression" dxfId="2494" priority="27">
      <formula>$A$225</formula>
    </cfRule>
  </conditionalFormatting>
  <conditionalFormatting sqref="D228">
    <cfRule type="expression" dxfId="2493" priority="25">
      <formula>$A$159</formula>
    </cfRule>
  </conditionalFormatting>
  <conditionalFormatting sqref="D235:D238">
    <cfRule type="expression" dxfId="2492" priority="20">
      <formula>$A$235</formula>
    </cfRule>
  </conditionalFormatting>
  <conditionalFormatting sqref="D240">
    <cfRule type="expression" dxfId="2491" priority="19">
      <formula>$A$159</formula>
    </cfRule>
  </conditionalFormatting>
  <conditionalFormatting sqref="D243:D244">
    <cfRule type="expression" dxfId="2490" priority="17">
      <formula>$A$243</formula>
    </cfRule>
  </conditionalFormatting>
  <conditionalFormatting sqref="D247">
    <cfRule type="expression" dxfId="2489" priority="16">
      <formula>$A$159</formula>
    </cfRule>
  </conditionalFormatting>
  <conditionalFormatting sqref="D252:D254">
    <cfRule type="expression" dxfId="2488" priority="191" stopIfTrue="1">
      <formula>IF(AND($B$252="X",$B$31="",$H$26="",$H$21=""),1,0)</formula>
    </cfRule>
  </conditionalFormatting>
  <conditionalFormatting sqref="D315:D316">
    <cfRule type="expression" dxfId="2487" priority="230" stopIfTrue="1">
      <formula>IF($B$315="X",1,0)</formula>
    </cfRule>
  </conditionalFormatting>
  <conditionalFormatting sqref="D332">
    <cfRule type="expression" dxfId="2486" priority="227" stopIfTrue="1">
      <formula>IF($B$332="X",1,0)</formula>
    </cfRule>
  </conditionalFormatting>
  <conditionalFormatting sqref="D339:D340">
    <cfRule type="expression" dxfId="2485" priority="303" stopIfTrue="1">
      <formula>IF(AND($H$339="",$B$339="X"),1,0)</formula>
    </cfRule>
  </conditionalFormatting>
  <conditionalFormatting sqref="D357:D358">
    <cfRule type="expression" dxfId="2484" priority="299" stopIfTrue="1">
      <formula>$A$357</formula>
    </cfRule>
  </conditionalFormatting>
  <conditionalFormatting sqref="D364">
    <cfRule type="expression" dxfId="2483" priority="182">
      <formula>IF(B364="X",1,0)</formula>
    </cfRule>
  </conditionalFormatting>
  <conditionalFormatting sqref="D366">
    <cfRule type="expression" dxfId="2482" priority="183">
      <formula>IF(B366="X",1,0)</formula>
    </cfRule>
  </conditionalFormatting>
  <conditionalFormatting sqref="D378">
    <cfRule type="expression" dxfId="2481" priority="300" stopIfTrue="1">
      <formula>IF($B$378&lt;&gt;"",1,0)</formula>
    </cfRule>
  </conditionalFormatting>
  <conditionalFormatting sqref="D380:D385">
    <cfRule type="expression" dxfId="2480" priority="301" stopIfTrue="1">
      <formula>$A$380</formula>
    </cfRule>
  </conditionalFormatting>
  <conditionalFormatting sqref="D390">
    <cfRule type="expression" dxfId="2479" priority="3045">
      <formula>IF(OR($B$315=0,$B$315&lt;&gt;""),0,IF($M$390&gt;0,1,0))</formula>
    </cfRule>
  </conditionalFormatting>
  <conditionalFormatting sqref="D392:D396 D400 D533">
    <cfRule type="expression" dxfId="2478" priority="3041" stopIfTrue="1">
      <formula>IF(OR($M$390="",$M$390=0),0,IF(AND($H$339&lt;&gt;"",EICNumQualChild&gt;1),1,0))</formula>
    </cfRule>
  </conditionalFormatting>
  <conditionalFormatting sqref="D405">
    <cfRule type="expression" dxfId="2477" priority="9">
      <formula>$A$405</formula>
    </cfRule>
  </conditionalFormatting>
  <conditionalFormatting sqref="D464:D465">
    <cfRule type="expression" dxfId="2476" priority="304" stopIfTrue="1">
      <formula>IF($O$463&lt;=0,1,0)</formula>
    </cfRule>
  </conditionalFormatting>
  <conditionalFormatting sqref="D468:D469">
    <cfRule type="expression" dxfId="2475" priority="6">
      <formula>$M$469</formula>
    </cfRule>
  </conditionalFormatting>
  <conditionalFormatting sqref="D471:D472">
    <cfRule type="expression" dxfId="2474" priority="7">
      <formula>$M$472</formula>
    </cfRule>
  </conditionalFormatting>
  <conditionalFormatting sqref="D474:D475">
    <cfRule type="expression" dxfId="2473" priority="8">
      <formula>$M$475</formula>
    </cfRule>
  </conditionalFormatting>
  <conditionalFormatting sqref="D480:D481">
    <cfRule type="expression" dxfId="2472" priority="189">
      <formula>$A$480</formula>
    </cfRule>
  </conditionalFormatting>
  <conditionalFormatting sqref="D483">
    <cfRule type="expression" dxfId="2471" priority="306" stopIfTrue="1">
      <formula>IF(B483&lt;&gt;"",1,0)</formula>
    </cfRule>
  </conditionalFormatting>
  <conditionalFormatting sqref="D494:D496 D498 D500 D502">
    <cfRule type="expression" dxfId="2470" priority="305" stopIfTrue="1">
      <formula>$O$494</formula>
    </cfRule>
  </conditionalFormatting>
  <conditionalFormatting sqref="D501">
    <cfRule type="expression" dxfId="2469" priority="307" stopIfTrue="1">
      <formula>$A$501</formula>
    </cfRule>
  </conditionalFormatting>
  <conditionalFormatting sqref="D516">
    <cfRule type="expression" dxfId="2468" priority="309" stopIfTrue="1">
      <formula>IF($B$516&lt;&gt;"",1,0)</formula>
    </cfRule>
  </conditionalFormatting>
  <conditionalFormatting sqref="D518:D524">
    <cfRule type="expression" dxfId="2467" priority="308" stopIfTrue="1">
      <formula>$A$518</formula>
    </cfRule>
  </conditionalFormatting>
  <conditionalFormatting sqref="D529">
    <cfRule type="expression" dxfId="2466" priority="179">
      <formula>IF($O$528="",0,IF($O$528&gt;0,1,0))</formula>
    </cfRule>
  </conditionalFormatting>
  <conditionalFormatting sqref="D531:D532">
    <cfRule type="expression" dxfId="2465" priority="313" stopIfTrue="1">
      <formula>IF(AND($B$291&lt;&gt;"",$B$106&gt;0),1,0)</formula>
    </cfRule>
  </conditionalFormatting>
  <conditionalFormatting sqref="D436:E436 E437 D439:E439">
    <cfRule type="expression" dxfId="2464" priority="158">
      <formula>$A$430</formula>
    </cfRule>
  </conditionalFormatting>
  <conditionalFormatting sqref="E440">
    <cfRule type="expression" dxfId="2463" priority="153">
      <formula>$A$430</formula>
    </cfRule>
  </conditionalFormatting>
  <conditionalFormatting sqref="G78">
    <cfRule type="expression" dxfId="2462" priority="184">
      <formula>IF($H$78&lt;&gt;"",1,0)</formula>
    </cfRule>
    <cfRule type="expression" dxfId="2461" priority="196">
      <formula>IF(AND($B$68="",$B$70="",$B$73="",$B$76="",N$78="",NOT(NoEICredit)),1,0)</formula>
    </cfRule>
  </conditionalFormatting>
  <conditionalFormatting sqref="G80">
    <cfRule type="expression" dxfId="2460" priority="216">
      <formula>IF(H80&lt;&gt;"",1,0)</formula>
    </cfRule>
    <cfRule type="expression" dxfId="2459" priority="221">
      <formula>IF($B$78="X",1,0)</formula>
    </cfRule>
  </conditionalFormatting>
  <conditionalFormatting sqref="G318">
    <cfRule type="expression" dxfId="2458" priority="110" stopIfTrue="1">
      <formula>IF(G318&lt;&gt;"",1,0)</formula>
    </cfRule>
  </conditionalFormatting>
  <conditionalFormatting sqref="G335">
    <cfRule type="expression" dxfId="2457" priority="226" stopIfTrue="1">
      <formula>IF(G335&lt;&gt;"",1,0)</formula>
    </cfRule>
  </conditionalFormatting>
  <conditionalFormatting sqref="G463">
    <cfRule type="expression" dxfId="2456" priority="190">
      <formula>IF(AND($B$315&lt;&gt;"",$H$332&lt;&gt;"X",$O$463&gt;0),1,0)</formula>
    </cfRule>
  </conditionalFormatting>
  <conditionalFormatting sqref="H26">
    <cfRule type="expression" dxfId="2455" priority="149">
      <formula>IF(NoColor,1,0)</formula>
    </cfRule>
  </conditionalFormatting>
  <conditionalFormatting sqref="H39">
    <cfRule type="expression" dxfId="2454" priority="136">
      <formula>IF(NoColor,1,0)</formula>
    </cfRule>
  </conditionalFormatting>
  <conditionalFormatting sqref="H65">
    <cfRule type="expression" dxfId="2453" priority="72">
      <formula>AND($A$59,$A$63)</formula>
    </cfRule>
  </conditionalFormatting>
  <conditionalFormatting sqref="H78">
    <cfRule type="expression" dxfId="2452" priority="137">
      <formula>IF(NoColor,1,0)</formula>
    </cfRule>
  </conditionalFormatting>
  <conditionalFormatting sqref="H80">
    <cfRule type="expression" dxfId="2451" priority="126">
      <formula>IF(OR(NoColor,$B$78=""),1,0)</formula>
    </cfRule>
    <cfRule type="expression" dxfId="2450" priority="125">
      <formula>IF($B$78="",1,0)</formula>
    </cfRule>
    <cfRule type="expression" dxfId="2449" priority="217">
      <formula>IF($B$78="X",1,0)</formula>
    </cfRule>
  </conditionalFormatting>
  <conditionalFormatting sqref="H252">
    <cfRule type="expression" dxfId="2448" priority="142">
      <formula>IF(NoColor,1,0)</formula>
    </cfRule>
  </conditionalFormatting>
  <conditionalFormatting sqref="H315">
    <cfRule type="expression" dxfId="2447" priority="134">
      <formula>IF(NoColor,1,0)</formula>
    </cfRule>
  </conditionalFormatting>
  <conditionalFormatting sqref="J21">
    <cfRule type="expression" dxfId="2446" priority="273" stopIfTrue="1">
      <formula>IF(H21="X",1,0)</formula>
    </cfRule>
  </conditionalFormatting>
  <conditionalFormatting sqref="J26">
    <cfRule type="expression" dxfId="2445" priority="1234" stopIfTrue="1">
      <formula>IF(AND(H21="",H26="X"),1,0)</formula>
    </cfRule>
  </conditionalFormatting>
  <conditionalFormatting sqref="J27">
    <cfRule type="expression" dxfId="2444" priority="1235" stopIfTrue="1">
      <formula>IF(AND(H21="",H26="X"),1,0)</formula>
    </cfRule>
  </conditionalFormatting>
  <conditionalFormatting sqref="J31">
    <cfRule type="expression" dxfId="2443" priority="116" stopIfTrue="1">
      <formula>IF($H$35="X",1,0)</formula>
    </cfRule>
  </conditionalFormatting>
  <conditionalFormatting sqref="J35">
    <cfRule type="expression" dxfId="2442" priority="223" stopIfTrue="1">
      <formula>IF($H$35="X",1,0)</formula>
    </cfRule>
  </conditionalFormatting>
  <conditionalFormatting sqref="J63:J64">
    <cfRule type="expression" dxfId="2441" priority="1309" stopIfTrue="1">
      <formula>IF(AND(H63="X",H59="",$B$31="",$H$26="",$H$21=""),1,0)</formula>
    </cfRule>
  </conditionalFormatting>
  <conditionalFormatting sqref="J65">
    <cfRule type="expression" dxfId="2440" priority="70">
      <formula>AND($A$63,$H$65&lt;&gt;"")</formula>
    </cfRule>
    <cfRule type="expression" dxfId="2439" priority="71">
      <formula>$A$63</formula>
    </cfRule>
  </conditionalFormatting>
  <conditionalFormatting sqref="J78">
    <cfRule type="expression" dxfId="2438" priority="195">
      <formula>IF($H$78&lt;&gt;"",1,0)</formula>
    </cfRule>
    <cfRule type="expression" dxfId="2437" priority="285">
      <formula>IF(AND($B$68="",$B$70="",$B$73="",$B$76="",N$78="",NOT(NoEICredit)),1,0)</formula>
    </cfRule>
  </conditionalFormatting>
  <conditionalFormatting sqref="J80">
    <cfRule type="expression" dxfId="2436" priority="215">
      <formula>IF($B$78="X",1,0)</formula>
    </cfRule>
    <cfRule type="expression" dxfId="2435" priority="214">
      <formula>IF(H80&lt;&gt;"",1,0)</formula>
    </cfRule>
  </conditionalFormatting>
  <conditionalFormatting sqref="J112">
    <cfRule type="expression" dxfId="2434" priority="281" stopIfTrue="1">
      <formula>IF(B106="",0,IF(AND(H78&lt;&gt;"",EICNumQualChild=0),1,0))</formula>
    </cfRule>
  </conditionalFormatting>
  <conditionalFormatting sqref="J124">
    <cfRule type="expression" dxfId="2433" priority="63" stopIfTrue="1">
      <formula>IF(AND(H110="X",H124="X",$H$109="",$B$31="",$H$26="",$H$21=""),1,0)</formula>
    </cfRule>
  </conditionalFormatting>
  <conditionalFormatting sqref="J131">
    <cfRule type="expression" dxfId="2432" priority="105" stopIfTrue="1">
      <formula>IF(AND(H131="X",H116="",$B$31="",$H$26="",$H$21=""),1,0)</formula>
    </cfRule>
  </conditionalFormatting>
  <conditionalFormatting sqref="J139:J140">
    <cfRule type="expression" dxfId="2431" priority="4411" stopIfTrue="1">
      <formula>IF(AND(H139="X",H123="",$B$31="",$H$26="",$H$21=""),1,0)</formula>
    </cfRule>
    <cfRule type="expression" dxfId="2430" priority="96">
      <formula>$M$139</formula>
    </cfRule>
  </conditionalFormatting>
  <conditionalFormatting sqref="J149">
    <cfRule type="expression" dxfId="2429" priority="4426" stopIfTrue="1">
      <formula>IF(AND(H149="X",H112="",$B$31="",$H$26="",$H$21=""),1,0)</formula>
    </cfRule>
  </conditionalFormatting>
  <conditionalFormatting sqref="J159">
    <cfRule type="expression" dxfId="2428" priority="57">
      <formula>$G$159</formula>
    </cfRule>
  </conditionalFormatting>
  <conditionalFormatting sqref="J170">
    <cfRule type="expression" dxfId="2427" priority="56">
      <formula>$N$170</formula>
    </cfRule>
  </conditionalFormatting>
  <conditionalFormatting sqref="J183">
    <cfRule type="expression" dxfId="2426" priority="54">
      <formula>$G$183</formula>
    </cfRule>
  </conditionalFormatting>
  <conditionalFormatting sqref="J197">
    <cfRule type="expression" dxfId="2425" priority="49">
      <formula>$G197</formula>
    </cfRule>
  </conditionalFormatting>
  <conditionalFormatting sqref="J198">
    <cfRule type="expression" dxfId="2424" priority="45">
      <formula>$G$197</formula>
    </cfRule>
  </conditionalFormatting>
  <conditionalFormatting sqref="J211">
    <cfRule type="expression" dxfId="2423" priority="42">
      <formula>$G211</formula>
    </cfRule>
  </conditionalFormatting>
  <conditionalFormatting sqref="J212">
    <cfRule type="expression" dxfId="2422" priority="39">
      <formula>$G$211</formula>
    </cfRule>
  </conditionalFormatting>
  <conditionalFormatting sqref="J218:J221">
    <cfRule type="expression" dxfId="2421" priority="31">
      <formula>$G$218</formula>
    </cfRule>
  </conditionalFormatting>
  <conditionalFormatting sqref="J225">
    <cfRule type="expression" dxfId="2420" priority="26">
      <formula>$G$225</formula>
    </cfRule>
  </conditionalFormatting>
  <conditionalFormatting sqref="J235">
    <cfRule type="expression" dxfId="2419" priority="24">
      <formula>$G235</formula>
    </cfRule>
  </conditionalFormatting>
  <conditionalFormatting sqref="J243">
    <cfRule type="expression" dxfId="2418" priority="18">
      <formula>$G243</formula>
    </cfRule>
  </conditionalFormatting>
  <conditionalFormatting sqref="J252:J253">
    <cfRule type="expression" dxfId="2417" priority="1285" stopIfTrue="1">
      <formula>$G$252</formula>
    </cfRule>
  </conditionalFormatting>
  <conditionalFormatting sqref="J315">
    <cfRule type="expression" dxfId="2416" priority="229" stopIfTrue="1">
      <formula>IF($H$315="X",1,0)</formula>
    </cfRule>
  </conditionalFormatting>
  <conditionalFormatting sqref="J332">
    <cfRule type="expression" dxfId="2415" priority="228" stopIfTrue="1">
      <formula>IF($H$332="X",1,0)</formula>
    </cfRule>
  </conditionalFormatting>
  <conditionalFormatting sqref="J339 D503">
    <cfRule type="expression" dxfId="2414" priority="302" stopIfTrue="1">
      <formula>IF(AND($B$315="",$B$332="X",B339&lt;&gt;""),1,0)</formula>
    </cfRule>
  </conditionalFormatting>
  <conditionalFormatting sqref="J117:L117">
    <cfRule type="expression" dxfId="2413" priority="2636" stopIfTrue="1">
      <formula>$N$117</formula>
    </cfRule>
  </conditionalFormatting>
  <conditionalFormatting sqref="L321">
    <cfRule type="expression" dxfId="2412" priority="10">
      <formula>IF(M321,1,0)</formula>
    </cfRule>
  </conditionalFormatting>
  <conditionalFormatting sqref="L324">
    <cfRule type="expression" dxfId="2411" priority="15">
      <formula>IF(M324,1,0)</formula>
    </cfRule>
  </conditionalFormatting>
  <conditionalFormatting sqref="L327">
    <cfRule type="expression" dxfId="2410" priority="12">
      <formula>IF(M327,1,0)</formula>
    </cfRule>
  </conditionalFormatting>
  <conditionalFormatting sqref="L330">
    <cfRule type="expression" dxfId="2409" priority="11">
      <formula>IF(M330,1,0)</formula>
    </cfRule>
  </conditionalFormatting>
  <conditionalFormatting sqref="L373">
    <cfRule type="expression" dxfId="2408" priority="180">
      <formula>$M$373</formula>
    </cfRule>
  </conditionalFormatting>
  <conditionalFormatting sqref="L376">
    <cfRule type="expression" dxfId="2407" priority="181">
      <formula>IF(L376="Yes",1,0)</formula>
    </cfRule>
  </conditionalFormatting>
  <conditionalFormatting sqref="L511">
    <cfRule type="expression" dxfId="2406" priority="5">
      <formula>$L$511="Yes"</formula>
    </cfRule>
    <cfRule type="expression" dxfId="2405" priority="4">
      <formula>$L$511="No"</formula>
    </cfRule>
  </conditionalFormatting>
  <conditionalFormatting sqref="L514">
    <cfRule type="expression" dxfId="2404" priority="2">
      <formula>$L$514="No"</formula>
    </cfRule>
    <cfRule type="expression" dxfId="2403" priority="3">
      <formula>$L$514="Yes"</formula>
    </cfRule>
  </conditionalFormatting>
  <conditionalFormatting sqref="M10">
    <cfRule type="expression" dxfId="2402" priority="177">
      <formula>IF(M10="No",1,0)</formula>
    </cfRule>
  </conditionalFormatting>
  <conditionalFormatting sqref="M13">
    <cfRule type="expression" dxfId="2401" priority="176">
      <formula>IF(M13="No",1,0)</formula>
    </cfRule>
  </conditionalFormatting>
  <conditionalFormatting sqref="M16">
    <cfRule type="expression" dxfId="2400" priority="175">
      <formula>IF(M16="No",1,0)</formula>
    </cfRule>
  </conditionalFormatting>
  <conditionalFormatting sqref="M19">
    <cfRule type="expression" dxfId="2399" priority="174">
      <formula>IF(M19="No",1,0)</formula>
    </cfRule>
  </conditionalFormatting>
  <conditionalFormatting sqref="M259:M262">
    <cfRule type="expression" dxfId="2398" priority="117">
      <formula>($H$252&lt;&gt;"")</formula>
    </cfRule>
  </conditionalFormatting>
  <conditionalFormatting sqref="N5">
    <cfRule type="expression" dxfId="2397" priority="114">
      <formula>NoColor</formula>
    </cfRule>
  </conditionalFormatting>
  <conditionalFormatting sqref="N61:Y64">
    <cfRule type="expression" dxfId="2396" priority="73">
      <formula>$N$59</formula>
    </cfRule>
  </conditionalFormatting>
  <conditionalFormatting sqref="O534:O536">
    <cfRule type="expression" dxfId="2395" priority="178">
      <formula>IF($O$528="",0,IF($O$528&gt;0,1,0))</formula>
    </cfRule>
  </conditionalFormatting>
  <hyperlinks>
    <hyperlink ref="D533" r:id="rId1" xr:uid="{00000000-0004-0000-1700-000000000000}"/>
    <hyperlink ref="B394" r:id="rId2" xr:uid="{00000000-0004-0000-1700-000001000000}"/>
  </hyperlinks>
  <pageMargins left="0.75" right="0.75" top="0.4" bottom="0.4" header="0.31" footer="0.5"/>
  <pageSetup scale="64" fitToHeight="0" orientation="portrait" r:id="rId3"/>
  <headerFooter alignWithMargins="0"/>
  <rowBreaks count="4" manualBreakCount="4">
    <brk id="81" max="24" man="1"/>
    <brk id="341" max="24" man="1"/>
    <brk id="401" max="24" man="1"/>
    <brk id="447" max="24" man="1"/>
  </rowBreaks>
  <drawing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CA95"/>
  <sheetViews>
    <sheetView zoomScaleNormal="100" zoomScaleSheetLayoutView="100" workbookViewId="0"/>
  </sheetViews>
  <sheetFormatPr defaultColWidth="3.85546875" defaultRowHeight="12.75"/>
  <cols>
    <col min="1" max="1" width="2.42578125" customWidth="1"/>
    <col min="2" max="2" width="7.85546875" customWidth="1"/>
    <col min="5" max="5" width="4.140625" customWidth="1"/>
    <col min="30" max="30" width="6" customWidth="1"/>
    <col min="40" max="40" width="12.42578125" customWidth="1"/>
  </cols>
  <sheetData>
    <row r="1" spans="1:79" s="42" customFormat="1" ht="9.75" customHeight="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1126"/>
      <c r="AO1" s="1126"/>
      <c r="AP1"/>
      <c r="AQ1"/>
      <c r="AR1"/>
      <c r="AS1"/>
      <c r="AT1"/>
      <c r="AU1"/>
      <c r="AV1"/>
      <c r="BO1"/>
      <c r="BP1"/>
      <c r="BQ1" s="4860"/>
      <c r="BR1" s="4860"/>
      <c r="BS1" s="4860"/>
      <c r="BT1" s="4860"/>
      <c r="BU1" s="4860"/>
      <c r="BV1" s="4860"/>
      <c r="BW1" s="4860"/>
      <c r="BX1" s="4860"/>
      <c r="BY1" s="4860"/>
      <c r="BZ1" s="4860"/>
      <c r="CA1" s="4860"/>
    </row>
    <row r="2" spans="1:79" s="42" customFormat="1" ht="24" customHeight="1" thickBot="1">
      <c r="A2" s="78"/>
      <c r="B2" s="78"/>
      <c r="C2" s="4883" t="s">
        <v>4417</v>
      </c>
      <c r="D2" s="541"/>
      <c r="E2" s="340"/>
      <c r="F2" s="36"/>
      <c r="G2" s="36"/>
      <c r="H2" s="36"/>
      <c r="I2" s="36"/>
      <c r="J2" s="36"/>
      <c r="K2" s="4861"/>
      <c r="L2" s="4861"/>
      <c r="M2" s="4861"/>
      <c r="N2" s="4861"/>
      <c r="O2" s="4861"/>
      <c r="P2" s="4861"/>
      <c r="Q2" s="4861"/>
      <c r="R2" s="4861"/>
      <c r="S2" s="6825"/>
      <c r="T2" s="6825"/>
      <c r="U2" s="6825"/>
      <c r="V2" s="6825"/>
      <c r="W2" s="6825"/>
      <c r="X2" s="6825"/>
      <c r="Y2" s="6825"/>
      <c r="Z2" s="6825"/>
      <c r="AA2" s="6825"/>
      <c r="AB2" s="6825"/>
      <c r="AC2" s="6825"/>
      <c r="AD2" s="6825"/>
      <c r="AE2" s="6825"/>
      <c r="AF2" s="6825"/>
      <c r="AG2" s="6825"/>
      <c r="AH2" s="6825"/>
      <c r="AI2" s="6825"/>
      <c r="AJ2" s="6825"/>
      <c r="AK2" s="6825"/>
      <c r="AL2" s="6825"/>
      <c r="AM2" s="5559"/>
      <c r="AN2" s="5559"/>
      <c r="AO2" s="5559"/>
      <c r="AP2"/>
      <c r="AQ2"/>
      <c r="AR2"/>
      <c r="AS2"/>
      <c r="AT2"/>
      <c r="AU2"/>
      <c r="AV2"/>
      <c r="BO2"/>
      <c r="BP2"/>
      <c r="BQ2" s="4860"/>
      <c r="BR2" s="4860"/>
      <c r="BS2" s="4860"/>
      <c r="BT2" s="4860"/>
      <c r="BU2" s="4860"/>
      <c r="BV2" s="4860"/>
      <c r="BW2" s="4860"/>
      <c r="BX2" s="4860"/>
      <c r="BY2" s="4860"/>
      <c r="BZ2" s="4860"/>
      <c r="CA2" s="4860"/>
    </row>
    <row r="3" spans="1:79" s="42" customFormat="1" ht="19.5" customHeight="1">
      <c r="A3" s="78"/>
      <c r="B3" s="6854" t="s">
        <v>4469</v>
      </c>
      <c r="C3" s="4853" t="s">
        <v>119</v>
      </c>
      <c r="D3" s="770"/>
      <c r="E3" s="4862"/>
      <c r="F3" s="31"/>
      <c r="G3" s="23"/>
      <c r="H3" s="771"/>
      <c r="I3" s="771" t="s">
        <v>367</v>
      </c>
      <c r="J3" s="4863" t="s">
        <v>4418</v>
      </c>
      <c r="K3" s="4864"/>
      <c r="L3" s="4864"/>
      <c r="M3" s="4864"/>
      <c r="N3" s="4864"/>
      <c r="O3" s="4864"/>
      <c r="P3" s="4865"/>
      <c r="Q3" s="4865"/>
      <c r="R3" s="4865"/>
      <c r="S3" s="4865"/>
      <c r="T3" s="4865"/>
      <c r="U3" s="4865"/>
      <c r="V3" s="4865"/>
      <c r="W3" s="4865"/>
      <c r="X3" s="4865"/>
      <c r="Y3" s="4865"/>
      <c r="Z3" s="4865"/>
      <c r="AA3" s="4865"/>
      <c r="AB3" s="4865"/>
      <c r="AC3" s="4865"/>
      <c r="AD3" s="4865"/>
      <c r="AE3" s="4865"/>
      <c r="AF3" s="4865"/>
      <c r="AG3" s="4865"/>
      <c r="AH3" s="4865"/>
      <c r="AI3" s="4865"/>
      <c r="AJ3" s="4865"/>
      <c r="AK3" s="4865"/>
      <c r="AL3" s="4866"/>
      <c r="AM3" s="6845" t="s">
        <v>5286</v>
      </c>
      <c r="AN3" s="6846"/>
      <c r="AO3" s="6846"/>
      <c r="AP3"/>
      <c r="AQ3"/>
      <c r="AR3"/>
      <c r="AS3"/>
      <c r="AT3"/>
      <c r="AU3"/>
      <c r="AV3"/>
      <c r="BO3"/>
      <c r="BP3"/>
      <c r="BQ3" s="4860"/>
      <c r="BR3" s="4860"/>
      <c r="BS3" s="4860"/>
      <c r="BT3" s="4860"/>
      <c r="BU3" s="4860"/>
      <c r="BV3" s="4860"/>
      <c r="BW3" s="4860"/>
      <c r="BX3" s="4860"/>
      <c r="BY3" s="4860"/>
      <c r="BZ3" s="4860"/>
      <c r="CA3" s="4860"/>
    </row>
    <row r="4" spans="1:79" s="42" customFormat="1" ht="14.25" customHeight="1">
      <c r="A4" s="78"/>
      <c r="B4" s="6851"/>
      <c r="C4" s="4854"/>
      <c r="D4" s="539"/>
      <c r="E4" s="38"/>
      <c r="F4" s="23"/>
      <c r="G4" s="23"/>
      <c r="H4" s="771"/>
      <c r="I4" s="771"/>
      <c r="J4" s="4867" t="s">
        <v>4419</v>
      </c>
      <c r="K4" s="4858"/>
      <c r="L4" s="4858"/>
      <c r="M4" s="4858"/>
      <c r="N4" s="4858"/>
      <c r="O4" s="4858"/>
      <c r="P4" s="4859"/>
      <c r="Q4" s="4859"/>
      <c r="R4" s="4859"/>
      <c r="S4" s="4859"/>
      <c r="T4" s="4859"/>
      <c r="U4" s="4859"/>
      <c r="V4" s="4859"/>
      <c r="W4" s="4859"/>
      <c r="X4" s="4859"/>
      <c r="Y4" s="4859"/>
      <c r="Z4" s="4859"/>
      <c r="AA4" s="4859"/>
      <c r="AB4" s="4859"/>
      <c r="AC4" s="4859"/>
      <c r="AD4" s="4859"/>
      <c r="AE4" s="4859"/>
      <c r="AF4" s="4859"/>
      <c r="AG4" s="4859"/>
      <c r="AH4" s="4859"/>
      <c r="AI4" s="4859"/>
      <c r="AJ4" s="4859"/>
      <c r="AK4" s="4859"/>
      <c r="AL4" s="4868"/>
      <c r="AM4" s="6845"/>
      <c r="AN4" s="6846"/>
      <c r="AO4" s="6846"/>
      <c r="AP4"/>
      <c r="AQ4"/>
      <c r="AR4"/>
      <c r="AS4"/>
      <c r="AT4"/>
      <c r="AU4"/>
      <c r="AV4"/>
      <c r="BO4"/>
      <c r="BP4"/>
      <c r="BQ4" s="4860"/>
      <c r="BR4" s="4860"/>
      <c r="BS4" s="4860"/>
      <c r="BT4" s="4860"/>
      <c r="BU4" s="4860"/>
      <c r="BV4" s="4860"/>
      <c r="BW4" s="4860"/>
      <c r="BX4" s="4860"/>
      <c r="BY4" s="4860"/>
      <c r="BZ4" s="4860"/>
      <c r="CA4" s="4860"/>
    </row>
    <row r="5" spans="1:79" s="42" customFormat="1" ht="15.75" customHeight="1">
      <c r="A5" s="78"/>
      <c r="B5" s="6851"/>
      <c r="C5" s="4854"/>
      <c r="D5" s="322"/>
      <c r="E5" s="38"/>
      <c r="F5" s="23"/>
      <c r="G5" s="23"/>
      <c r="H5" s="771"/>
      <c r="I5" s="771" t="s">
        <v>367</v>
      </c>
      <c r="J5" s="412" t="s">
        <v>4420</v>
      </c>
      <c r="K5" s="4858"/>
      <c r="L5" s="4858"/>
      <c r="M5" s="4858"/>
      <c r="N5" s="4858"/>
      <c r="O5" s="4858"/>
      <c r="P5" s="4859"/>
      <c r="Q5" s="4859"/>
      <c r="R5" s="4859"/>
      <c r="S5" s="4859"/>
      <c r="T5" s="4859"/>
      <c r="U5" s="4859"/>
      <c r="V5" s="4859"/>
      <c r="W5" s="4859"/>
      <c r="X5" s="4859"/>
      <c r="Y5" s="4859"/>
      <c r="Z5" s="4859"/>
      <c r="AA5" s="4859"/>
      <c r="AB5" s="4859"/>
      <c r="AC5" s="4859"/>
      <c r="AD5" s="4859"/>
      <c r="AE5" s="4859"/>
      <c r="AF5" s="4859"/>
      <c r="AG5" s="4859"/>
      <c r="AH5" s="4859"/>
      <c r="AI5" s="4859"/>
      <c r="AJ5" s="4859"/>
      <c r="AK5" s="4859"/>
      <c r="AL5" s="4868"/>
      <c r="AM5" s="6845"/>
      <c r="AN5" s="6846"/>
      <c r="AO5" s="6846"/>
      <c r="AP5"/>
      <c r="AQ5"/>
      <c r="AR5"/>
      <c r="AS5"/>
      <c r="AT5"/>
      <c r="AU5"/>
      <c r="AV5"/>
      <c r="BO5"/>
      <c r="BP5"/>
      <c r="BQ5" s="4860"/>
      <c r="BR5" s="4860"/>
      <c r="BS5" s="4860"/>
      <c r="BT5" s="4860"/>
      <c r="BU5" s="4860"/>
      <c r="BV5" s="4860"/>
      <c r="BW5" s="4860"/>
      <c r="BX5" s="4860"/>
      <c r="BY5" s="4860"/>
      <c r="BZ5" s="4860"/>
      <c r="CA5" s="4860"/>
    </row>
    <row r="6" spans="1:79" s="42" customFormat="1" ht="21" customHeight="1">
      <c r="A6" s="78"/>
      <c r="B6" s="6851"/>
      <c r="C6" s="4854"/>
      <c r="D6" s="322"/>
      <c r="E6" s="38"/>
      <c r="F6" s="23"/>
      <c r="G6" s="23"/>
      <c r="H6" s="771"/>
      <c r="I6" s="412" t="s">
        <v>5268</v>
      </c>
      <c r="J6" s="412"/>
      <c r="K6" s="4858"/>
      <c r="L6" s="4858"/>
      <c r="M6" s="4858"/>
      <c r="N6" s="4858"/>
      <c r="O6" s="4858"/>
      <c r="P6" s="4859"/>
      <c r="Q6" s="4859"/>
      <c r="R6" s="4859"/>
      <c r="S6" s="4859"/>
      <c r="T6" s="4859"/>
      <c r="U6" s="4859"/>
      <c r="V6" s="4859"/>
      <c r="W6" s="4859"/>
      <c r="X6" s="4859"/>
      <c r="Y6" s="4859"/>
      <c r="Z6" s="4859"/>
      <c r="AA6" s="4859"/>
      <c r="AB6" s="4859"/>
      <c r="AC6" s="4859"/>
      <c r="AD6" s="4859"/>
      <c r="AE6" s="4859"/>
      <c r="AF6" s="4859"/>
      <c r="AG6" s="4859"/>
      <c r="AH6" s="4859"/>
      <c r="AI6" s="4859"/>
      <c r="AJ6" s="4859"/>
      <c r="AK6" s="4859"/>
      <c r="AL6" s="4868"/>
      <c r="AM6" s="6845"/>
      <c r="AN6" s="6846"/>
      <c r="AO6" s="6846"/>
      <c r="AP6"/>
      <c r="AQ6"/>
      <c r="AR6"/>
      <c r="AS6"/>
      <c r="AT6"/>
      <c r="AU6"/>
      <c r="AV6"/>
      <c r="BO6"/>
      <c r="BP6"/>
      <c r="BQ6" s="4860"/>
      <c r="BR6" s="4860"/>
      <c r="BS6" s="4860"/>
      <c r="BT6" s="4860"/>
      <c r="BU6" s="4860"/>
      <c r="BV6" s="4860"/>
      <c r="BW6" s="4860"/>
      <c r="BX6" s="4860"/>
      <c r="BY6" s="4860"/>
      <c r="BZ6" s="4860"/>
      <c r="CA6" s="4860"/>
    </row>
    <row r="7" spans="1:79" s="42" customFormat="1" ht="15" customHeight="1" thickBot="1">
      <c r="A7" s="78"/>
      <c r="B7" s="6855"/>
      <c r="C7" s="4855"/>
      <c r="D7" s="950"/>
      <c r="E7" s="340"/>
      <c r="F7" s="36"/>
      <c r="G7" s="36"/>
      <c r="H7" s="1913"/>
      <c r="I7" s="4869" t="s">
        <v>5269</v>
      </c>
      <c r="J7" s="4870"/>
      <c r="K7" s="4871"/>
      <c r="L7" s="4871"/>
      <c r="M7" s="4871"/>
      <c r="N7" s="4871"/>
      <c r="O7" s="4871"/>
      <c r="P7" s="4872"/>
      <c r="Q7" s="4872"/>
      <c r="R7" s="4872"/>
      <c r="S7" s="4872"/>
      <c r="T7" s="4872"/>
      <c r="U7" s="4872"/>
      <c r="V7" s="4872"/>
      <c r="W7" s="4872"/>
      <c r="X7" s="4872"/>
      <c r="Y7" s="4872"/>
      <c r="Z7" s="4872"/>
      <c r="AA7" s="4872"/>
      <c r="AB7" s="4872"/>
      <c r="AC7" s="4872"/>
      <c r="AD7" s="4872"/>
      <c r="AE7" s="4872"/>
      <c r="AF7" s="4872"/>
      <c r="AG7" s="4872"/>
      <c r="AH7" s="4872"/>
      <c r="AI7" s="4872"/>
      <c r="AJ7" s="4872"/>
      <c r="AK7" s="4872"/>
      <c r="AL7" s="4873"/>
      <c r="AM7" s="6845"/>
      <c r="AN7" s="6846"/>
      <c r="AO7" s="6846"/>
      <c r="AP7"/>
      <c r="AQ7"/>
      <c r="AR7"/>
      <c r="AS7"/>
      <c r="AT7"/>
      <c r="AU7"/>
      <c r="AV7"/>
      <c r="BO7"/>
      <c r="BP7"/>
      <c r="BQ7" s="4860"/>
      <c r="BR7" s="4860"/>
      <c r="BS7" s="4860"/>
      <c r="BT7" s="4860"/>
      <c r="BU7" s="4860"/>
      <c r="BV7" s="4860"/>
      <c r="BW7" s="4860"/>
      <c r="BX7" s="4860"/>
      <c r="BY7" s="4860"/>
      <c r="BZ7" s="4860"/>
      <c r="CA7" s="4860"/>
    </row>
    <row r="8" spans="1:79" s="42" customFormat="1" ht="17.25" customHeight="1">
      <c r="A8" s="78"/>
      <c r="B8" s="6859" t="s">
        <v>5270</v>
      </c>
      <c r="C8" s="4854"/>
      <c r="D8" s="322"/>
      <c r="E8" s="38"/>
      <c r="F8" s="23"/>
      <c r="G8" s="23"/>
      <c r="H8" s="771"/>
      <c r="I8" s="4874"/>
      <c r="J8" s="412"/>
      <c r="K8" s="4907"/>
      <c r="L8" s="4907"/>
      <c r="M8" s="4907"/>
      <c r="N8" s="4907"/>
      <c r="O8" s="4907"/>
      <c r="P8" s="4908"/>
      <c r="Q8" s="4908"/>
      <c r="R8" s="4908"/>
      <c r="S8" s="4908"/>
      <c r="T8" s="4908"/>
      <c r="U8" s="4908"/>
      <c r="V8" s="4908"/>
      <c r="W8" s="4908"/>
      <c r="X8" s="4908"/>
      <c r="Y8" s="4908"/>
      <c r="Z8" s="4908"/>
      <c r="AA8" s="4908"/>
      <c r="AB8" s="4908"/>
      <c r="AC8" s="4908"/>
      <c r="AD8" s="4908"/>
      <c r="AE8" s="4908"/>
      <c r="AF8" s="4908"/>
      <c r="AG8" s="4908"/>
      <c r="AH8" s="4908"/>
      <c r="AI8" s="4908"/>
      <c r="AJ8" s="4908"/>
      <c r="AK8" s="4908"/>
      <c r="AL8" s="4868"/>
      <c r="AM8" s="6827" t="s">
        <v>5272</v>
      </c>
      <c r="AN8" s="6828"/>
      <c r="AO8" s="6829"/>
      <c r="AP8"/>
      <c r="AQ8"/>
      <c r="AR8"/>
      <c r="AS8"/>
      <c r="AT8"/>
      <c r="AU8"/>
      <c r="AV8"/>
      <c r="BO8"/>
      <c r="BP8"/>
      <c r="BQ8" s="4860"/>
      <c r="BR8" s="4860"/>
      <c r="BS8" s="4860"/>
      <c r="BT8" s="4860"/>
      <c r="BU8" s="4860"/>
      <c r="BV8" s="4860"/>
      <c r="BW8" s="4860"/>
      <c r="BX8" s="4860"/>
      <c r="BY8" s="4860"/>
      <c r="BZ8" s="4860"/>
      <c r="CA8" s="4860"/>
    </row>
    <row r="9" spans="1:79" s="42" customFormat="1" ht="15.75" customHeight="1">
      <c r="A9" s="78"/>
      <c r="B9" s="6843"/>
      <c r="C9" s="4881" t="s">
        <v>431</v>
      </c>
      <c r="D9" s="4858"/>
      <c r="E9" s="412" t="s">
        <v>5264</v>
      </c>
      <c r="F9" s="343"/>
      <c r="G9" s="343"/>
      <c r="H9" s="343"/>
      <c r="I9" s="343"/>
      <c r="J9" s="343"/>
      <c r="K9" s="343"/>
      <c r="L9" s="343"/>
      <c r="M9" s="343"/>
      <c r="N9" s="343"/>
      <c r="O9" s="343"/>
      <c r="P9" s="343"/>
      <c r="Q9" s="343"/>
      <c r="R9" s="343"/>
      <c r="S9" s="343"/>
      <c r="T9" s="343"/>
      <c r="U9" s="343"/>
      <c r="V9" s="343"/>
      <c r="W9" s="343"/>
      <c r="X9" s="343"/>
      <c r="Y9" s="343"/>
      <c r="Z9" s="343"/>
      <c r="AA9" s="343"/>
      <c r="AB9" s="343"/>
      <c r="AC9" s="343"/>
      <c r="AD9" s="343"/>
      <c r="AE9" s="343"/>
      <c r="AF9" s="343"/>
      <c r="AG9" s="343"/>
      <c r="AH9" s="343"/>
      <c r="AI9" s="6826"/>
      <c r="AJ9" s="6826"/>
      <c r="AK9" s="343"/>
      <c r="AL9" s="4875"/>
      <c r="AM9" s="6856" t="s">
        <v>5273</v>
      </c>
      <c r="AN9" s="6857"/>
      <c r="AO9" s="6858"/>
      <c r="AP9"/>
      <c r="AQ9"/>
      <c r="AR9"/>
      <c r="AS9"/>
      <c r="AT9"/>
      <c r="AU9"/>
      <c r="AV9"/>
      <c r="BO9"/>
      <c r="BP9"/>
      <c r="BQ9" s="4860"/>
      <c r="BR9" s="4860"/>
      <c r="BS9" s="4860"/>
      <c r="BT9" s="4860"/>
      <c r="BU9" s="4860"/>
      <c r="BV9" s="4860"/>
      <c r="BW9" s="4860"/>
      <c r="BX9" s="4860"/>
      <c r="BY9" s="4860"/>
      <c r="BZ9" s="4860"/>
      <c r="CA9" s="4860"/>
    </row>
    <row r="10" spans="1:79" s="42" customFormat="1" ht="15.75" customHeight="1">
      <c r="A10" s="78"/>
      <c r="B10" s="6843"/>
      <c r="C10" s="4881"/>
      <c r="D10" s="4858"/>
      <c r="E10" s="412" t="str">
        <f>"1040-SR for whom you entered a social security number that was issued on or before the due date of your "&amp;TaxYear</f>
        <v>1040-SR for whom you entered a social security number that was issued on or before the due date of your 2021</v>
      </c>
      <c r="F10" s="412"/>
      <c r="G10" s="412"/>
      <c r="H10" s="4874"/>
      <c r="I10" s="412"/>
      <c r="J10" s="412"/>
      <c r="K10" s="4858"/>
      <c r="L10" s="4858"/>
      <c r="M10" s="4858"/>
      <c r="N10" s="4858"/>
      <c r="O10" s="4858"/>
      <c r="P10" s="4858"/>
      <c r="Q10" s="4858"/>
      <c r="R10" s="4858"/>
      <c r="S10" s="4858"/>
      <c r="T10" s="4858"/>
      <c r="U10" s="4858"/>
      <c r="V10" s="4858"/>
      <c r="W10" s="4858"/>
      <c r="X10" s="4858"/>
      <c r="Y10" s="4858"/>
      <c r="Z10" s="4858"/>
      <c r="AA10" s="4858"/>
      <c r="AB10" s="4858"/>
      <c r="AC10" s="4858"/>
      <c r="AD10" s="4858"/>
      <c r="AE10" s="4858"/>
      <c r="AF10" s="4858"/>
      <c r="AG10" s="4858"/>
      <c r="AH10" s="4858"/>
      <c r="AI10" s="4858"/>
      <c r="AJ10" s="4858"/>
      <c r="AK10" s="4858"/>
      <c r="AL10" s="4875"/>
      <c r="AM10" s="4901"/>
      <c r="AN10" s="4902" t="s">
        <v>5271</v>
      </c>
      <c r="AO10" s="4914"/>
      <c r="AP10"/>
      <c r="AQ10"/>
      <c r="AR10"/>
      <c r="AS10"/>
      <c r="AT10"/>
      <c r="AU10"/>
      <c r="AV10"/>
      <c r="BO10"/>
      <c r="BP10"/>
      <c r="BQ10" s="4860"/>
      <c r="BR10" s="4860"/>
      <c r="BS10" s="4860"/>
      <c r="BT10" s="4860"/>
      <c r="BU10" s="4860"/>
      <c r="BV10" s="4860"/>
      <c r="BW10" s="4860"/>
      <c r="BX10" s="4860"/>
      <c r="BY10" s="4860"/>
      <c r="BZ10" s="4860"/>
      <c r="CA10" s="4860"/>
    </row>
    <row r="11" spans="1:79" s="42" customFormat="1" ht="15.75" customHeight="1">
      <c r="A11" s="78"/>
      <c r="B11" s="6843"/>
      <c r="C11" s="4881"/>
      <c r="D11" s="4858"/>
      <c r="E11" s="412" t="s">
        <v>5258</v>
      </c>
      <c r="F11" s="412"/>
      <c r="G11" s="412"/>
      <c r="H11" s="4874"/>
      <c r="I11" s="412"/>
      <c r="J11" s="412"/>
      <c r="K11" s="4858"/>
      <c r="L11" s="4858"/>
      <c r="M11" s="4858"/>
      <c r="N11" s="4858"/>
      <c r="O11" s="4858"/>
      <c r="P11" s="4858"/>
      <c r="Q11" s="4858"/>
      <c r="R11" s="4858"/>
      <c r="S11" s="4858"/>
      <c r="T11" s="4858"/>
      <c r="U11" s="4858"/>
      <c r="V11" s="4858"/>
      <c r="W11" s="4858"/>
      <c r="X11" s="4858"/>
      <c r="Y11" s="4858"/>
      <c r="Z11" s="4858"/>
      <c r="AA11" s="4858"/>
      <c r="AB11" s="4858"/>
      <c r="AC11" s="4858"/>
      <c r="AD11" s="4858"/>
      <c r="AE11" s="4858"/>
      <c r="AF11" s="4858" t="s">
        <v>2910</v>
      </c>
      <c r="AG11" s="4909" t="s">
        <v>431</v>
      </c>
      <c r="AH11" s="6563">
        <f>IF(AN11&lt;&gt;"",ROUND(AN11,0),AH53)</f>
        <v>0</v>
      </c>
      <c r="AI11" s="6563"/>
      <c r="AJ11" s="6563"/>
      <c r="AK11" s="6563"/>
      <c r="AL11" s="4875"/>
      <c r="AM11" s="4901"/>
      <c r="AN11" s="4900"/>
      <c r="AO11" s="4914"/>
      <c r="AP11"/>
      <c r="AQ11"/>
      <c r="AR11"/>
      <c r="AS11"/>
      <c r="AT11"/>
      <c r="AU11"/>
      <c r="AV11"/>
      <c r="BO11"/>
      <c r="BP11"/>
      <c r="BQ11" s="4860"/>
      <c r="BR11" s="4860"/>
      <c r="BS11" s="4860"/>
      <c r="BT11" s="4860"/>
      <c r="BU11" s="4860"/>
      <c r="BV11" s="4860"/>
      <c r="BW11" s="4860"/>
      <c r="BX11" s="4860"/>
      <c r="BY11" s="4860"/>
      <c r="BZ11" s="4860"/>
      <c r="CA11" s="4860"/>
    </row>
    <row r="12" spans="1:79" s="42" customFormat="1" ht="19.5" customHeight="1" thickBot="1">
      <c r="A12" s="78"/>
      <c r="B12" s="6860"/>
      <c r="C12" s="4855"/>
      <c r="D12" s="950"/>
      <c r="E12" s="340"/>
      <c r="F12" s="36"/>
      <c r="G12" s="36"/>
      <c r="H12" s="1913"/>
      <c r="I12" s="4869"/>
      <c r="J12" s="4870"/>
      <c r="K12" s="4871"/>
      <c r="L12" s="4871"/>
      <c r="M12" s="4871"/>
      <c r="N12" s="4871"/>
      <c r="O12" s="4871"/>
      <c r="P12" s="4872"/>
      <c r="Q12" s="4872"/>
      <c r="R12" s="4872"/>
      <c r="S12" s="4872"/>
      <c r="T12" s="4872"/>
      <c r="U12" s="4872"/>
      <c r="V12" s="4872"/>
      <c r="W12" s="4872"/>
      <c r="X12" s="4872"/>
      <c r="Y12" s="4872"/>
      <c r="Z12" s="4872"/>
      <c r="AA12" s="4872"/>
      <c r="AB12" s="4872"/>
      <c r="AC12" s="4872"/>
      <c r="AD12" s="4872"/>
      <c r="AE12" s="4872"/>
      <c r="AF12" s="4872"/>
      <c r="AG12" s="4872"/>
      <c r="AH12" s="4872"/>
      <c r="AI12" s="4872"/>
      <c r="AJ12" s="4872"/>
      <c r="AK12" s="4872"/>
      <c r="AL12" s="4873"/>
      <c r="AM12" s="4910"/>
      <c r="AN12" s="4911"/>
      <c r="AO12" s="4915"/>
      <c r="AP12"/>
      <c r="AQ12"/>
      <c r="AR12"/>
      <c r="AS12"/>
      <c r="AT12"/>
      <c r="AU12"/>
      <c r="AV12"/>
      <c r="BO12"/>
      <c r="BP12"/>
      <c r="BQ12" s="4860"/>
      <c r="BR12" s="4860"/>
      <c r="BS12" s="4860"/>
      <c r="BT12" s="4860"/>
      <c r="BU12" s="4860"/>
      <c r="BV12" s="4860"/>
      <c r="BW12" s="4860"/>
      <c r="BX12" s="4860"/>
      <c r="BY12" s="4860"/>
      <c r="BZ12" s="4860"/>
      <c r="CA12" s="4860"/>
    </row>
    <row r="13" spans="1:79" s="42" customFormat="1" ht="15.75" customHeight="1">
      <c r="A13" s="78"/>
      <c r="B13" s="6854" t="s">
        <v>4468</v>
      </c>
      <c r="C13" s="4856" t="s">
        <v>294</v>
      </c>
      <c r="D13" s="4857"/>
      <c r="E13" s="412" t="str">
        <f>"Can you be claimed as a dependent on another person's "&amp;TaxYear&amp;" return? If filing a joint return, go to line 2."</f>
        <v>Can you be claimed as a dependent on another person's 2021 return? If filing a joint return, go to line 2.</v>
      </c>
      <c r="F13" s="412"/>
      <c r="G13" s="412"/>
      <c r="H13" s="4874"/>
      <c r="I13" s="412"/>
      <c r="J13" s="412"/>
      <c r="K13" s="4858"/>
      <c r="L13" s="4858"/>
      <c r="M13" s="4858"/>
      <c r="N13" s="4858"/>
      <c r="O13" s="4858"/>
      <c r="P13" s="4858"/>
      <c r="Q13" s="4858"/>
      <c r="R13" s="4858"/>
      <c r="S13" s="4858"/>
      <c r="T13" s="4858"/>
      <c r="U13" s="4858"/>
      <c r="V13" s="4858"/>
      <c r="W13" s="4858"/>
      <c r="X13" s="4858"/>
      <c r="Y13" s="4858"/>
      <c r="Z13" s="4858"/>
      <c r="AA13" s="4858"/>
      <c r="AB13" s="4858"/>
      <c r="AC13" s="4858"/>
      <c r="AD13" s="4858"/>
      <c r="AE13" s="4858"/>
      <c r="AF13" s="4858"/>
      <c r="AG13" s="4858"/>
      <c r="AH13" s="4858"/>
      <c r="AI13" s="6834" t="b">
        <f>(DependentYOU&lt;&gt;"")</f>
        <v>0</v>
      </c>
      <c r="AJ13" s="6834"/>
      <c r="AK13" s="6834"/>
      <c r="AL13" s="4875"/>
      <c r="AM13" s="786"/>
      <c r="AN13" s="1126"/>
      <c r="AO13" s="1126"/>
      <c r="AP13"/>
      <c r="AQ13"/>
      <c r="AR13"/>
      <c r="AS13"/>
      <c r="AT13"/>
      <c r="AU13"/>
      <c r="AV13"/>
      <c r="BO13"/>
      <c r="BP13"/>
      <c r="BQ13" s="4860"/>
      <c r="BR13" s="4860"/>
      <c r="BS13" s="4860"/>
      <c r="BT13" s="4860"/>
      <c r="BU13" s="4860"/>
      <c r="BV13" s="4860"/>
      <c r="BW13" s="4860"/>
      <c r="BX13" s="4860"/>
      <c r="BY13" s="4860"/>
      <c r="BZ13" s="4860"/>
      <c r="CA13" s="4860"/>
    </row>
    <row r="14" spans="1:79" s="42" customFormat="1" ht="8.25" customHeight="1">
      <c r="A14" s="78"/>
      <c r="B14" s="6851"/>
      <c r="C14" s="4856"/>
      <c r="D14" s="4857"/>
      <c r="E14" s="4874"/>
      <c r="F14" s="412"/>
      <c r="G14" s="412"/>
      <c r="H14" s="4874"/>
      <c r="I14" s="412"/>
      <c r="J14" s="412"/>
      <c r="K14" s="4858"/>
      <c r="L14" s="4858"/>
      <c r="M14" s="4858"/>
      <c r="N14" s="4858"/>
      <c r="O14" s="4858"/>
      <c r="P14" s="4858"/>
      <c r="Q14" s="4858"/>
      <c r="R14" s="4858"/>
      <c r="S14" s="4858"/>
      <c r="T14" s="4858"/>
      <c r="U14" s="4858"/>
      <c r="V14" s="4858"/>
      <c r="W14" s="4858"/>
      <c r="X14" s="4858"/>
      <c r="Y14" s="4858"/>
      <c r="Z14" s="4858"/>
      <c r="AA14" s="4858"/>
      <c r="AB14" s="4858"/>
      <c r="AC14" s="4858"/>
      <c r="AD14" s="4858"/>
      <c r="AE14" s="4858"/>
      <c r="AF14" s="4858"/>
      <c r="AG14" s="4858"/>
      <c r="AH14" s="4858"/>
      <c r="AI14" s="4858"/>
      <c r="AJ14" s="4858"/>
      <c r="AK14" s="4858"/>
      <c r="AL14" s="4875"/>
      <c r="AM14" s="786"/>
      <c r="AN14" s="1126"/>
      <c r="AO14" s="1126"/>
      <c r="AP14"/>
      <c r="AQ14"/>
      <c r="AR14"/>
      <c r="AS14"/>
      <c r="AT14"/>
      <c r="AU14"/>
      <c r="AV14"/>
      <c r="BO14"/>
      <c r="BP14"/>
      <c r="BQ14" s="4860"/>
      <c r="BR14" s="4860"/>
      <c r="BS14" s="4860"/>
      <c r="BT14" s="4860"/>
      <c r="BU14" s="4860"/>
      <c r="BV14" s="4860"/>
      <c r="BW14" s="4860"/>
      <c r="BX14" s="4860"/>
      <c r="BY14" s="4860"/>
      <c r="BZ14" s="4860"/>
      <c r="CA14" s="4860"/>
    </row>
    <row r="15" spans="1:79" s="42" customFormat="1" ht="15.75" customHeight="1">
      <c r="A15" s="78"/>
      <c r="B15" s="6851"/>
      <c r="C15" s="6832" t="b">
        <f>E15&lt;&gt;""</f>
        <v>1</v>
      </c>
      <c r="D15" s="6833"/>
      <c r="E15" s="4880" t="str">
        <f>IF($AI$13,"","X")</f>
        <v>X</v>
      </c>
      <c r="F15" s="4877" t="s">
        <v>414</v>
      </c>
      <c r="G15" s="412"/>
      <c r="H15" s="412" t="s">
        <v>4421</v>
      </c>
      <c r="I15" s="412"/>
      <c r="J15" s="412"/>
      <c r="K15" s="4858"/>
      <c r="L15" s="4858"/>
      <c r="M15" s="4858"/>
      <c r="N15" s="4858"/>
      <c r="O15" s="4858"/>
      <c r="P15" s="4858"/>
      <c r="Q15" s="4858"/>
      <c r="R15" s="4858"/>
      <c r="S15" s="4858"/>
      <c r="T15" s="4858"/>
      <c r="U15" s="4858"/>
      <c r="V15" s="4858"/>
      <c r="W15" s="4858"/>
      <c r="X15" s="4858"/>
      <c r="Y15" s="4858"/>
      <c r="Z15" s="4858"/>
      <c r="AA15" s="4858"/>
      <c r="AB15" s="4858"/>
      <c r="AC15" s="4858"/>
      <c r="AD15" s="4858"/>
      <c r="AE15" s="4858"/>
      <c r="AF15" s="4858"/>
      <c r="AG15" s="4858"/>
      <c r="AH15" s="4858"/>
      <c r="AI15" s="4858"/>
      <c r="AJ15" s="4858"/>
      <c r="AK15" s="4858"/>
      <c r="AL15" s="4875"/>
      <c r="AM15" s="786"/>
      <c r="AN15" s="1126"/>
      <c r="AO15" s="1126"/>
      <c r="AP15"/>
      <c r="AQ15"/>
      <c r="AR15"/>
      <c r="AS15"/>
      <c r="AT15"/>
      <c r="AU15"/>
      <c r="AV15"/>
      <c r="BO15"/>
      <c r="BP15"/>
      <c r="BQ15" s="4860"/>
      <c r="BR15" s="4860"/>
      <c r="BS15" s="4860"/>
      <c r="BT15" s="4860"/>
      <c r="BU15" s="4860"/>
      <c r="BV15" s="4860"/>
      <c r="BW15" s="4860"/>
      <c r="BX15" s="4860"/>
      <c r="BY15" s="4860"/>
      <c r="BZ15" s="4860"/>
      <c r="CA15" s="4860"/>
    </row>
    <row r="16" spans="1:79" s="42" customFormat="1" ht="8.25" customHeight="1">
      <c r="A16" s="78"/>
      <c r="B16" s="6851"/>
      <c r="C16" s="4912"/>
      <c r="D16" s="4913"/>
      <c r="E16" s="4874"/>
      <c r="F16" s="412"/>
      <c r="G16" s="412"/>
      <c r="H16" s="4874"/>
      <c r="I16" s="412"/>
      <c r="J16" s="412"/>
      <c r="K16" s="4858"/>
      <c r="L16" s="4858"/>
      <c r="M16" s="4858"/>
      <c r="N16" s="4858"/>
      <c r="O16" s="4858"/>
      <c r="P16" s="4858"/>
      <c r="Q16" s="4858"/>
      <c r="R16" s="4858"/>
      <c r="S16" s="4858"/>
      <c r="T16" s="4858"/>
      <c r="U16" s="4858"/>
      <c r="V16" s="4858"/>
      <c r="W16" s="4858"/>
      <c r="X16" s="4858"/>
      <c r="Y16" s="4858"/>
      <c r="Z16" s="4858"/>
      <c r="AA16" s="4858"/>
      <c r="AB16" s="4858"/>
      <c r="AC16" s="4858"/>
      <c r="AD16" s="4858"/>
      <c r="AE16" s="4858"/>
      <c r="AF16" s="4858"/>
      <c r="AG16" s="4858"/>
      <c r="AH16" s="4858"/>
      <c r="AI16" s="4858"/>
      <c r="AJ16" s="4858"/>
      <c r="AK16" s="4858"/>
      <c r="AL16" s="4875"/>
      <c r="AM16" s="786"/>
      <c r="AN16" s="1126"/>
      <c r="AO16" s="1126"/>
      <c r="AP16"/>
      <c r="AQ16"/>
      <c r="AR16"/>
      <c r="AS16"/>
      <c r="AT16"/>
      <c r="AU16"/>
      <c r="AV16"/>
      <c r="BO16"/>
      <c r="BP16"/>
      <c r="BQ16" s="4860"/>
      <c r="BR16" s="4860"/>
      <c r="BS16" s="4860"/>
      <c r="BT16" s="4860"/>
      <c r="BU16" s="4860"/>
      <c r="BV16" s="4860"/>
      <c r="BW16" s="4860"/>
      <c r="BX16" s="4860"/>
      <c r="BY16" s="4860"/>
      <c r="BZ16" s="4860"/>
      <c r="CA16" s="4860"/>
    </row>
    <row r="17" spans="1:79" s="42" customFormat="1" ht="15.75" customHeight="1">
      <c r="A17" s="78"/>
      <c r="B17" s="6851"/>
      <c r="C17" s="6832" t="b">
        <f>E17&lt;&gt;""</f>
        <v>0</v>
      </c>
      <c r="D17" s="6833"/>
      <c r="E17" s="4880" t="str">
        <f>IF($AI$13,"X","")</f>
        <v/>
      </c>
      <c r="F17" s="4877" t="s">
        <v>416</v>
      </c>
      <c r="G17" s="412"/>
      <c r="H17" s="412" t="s">
        <v>4423</v>
      </c>
      <c r="I17" s="412"/>
      <c r="J17" s="412"/>
      <c r="K17" s="4858"/>
      <c r="L17" s="4858"/>
      <c r="M17" s="4858"/>
      <c r="N17" s="4858"/>
      <c r="O17" s="412" t="s">
        <v>4422</v>
      </c>
      <c r="P17" s="4858"/>
      <c r="Q17" s="4858"/>
      <c r="R17" s="4858"/>
      <c r="S17" s="4858"/>
      <c r="T17" s="4858"/>
      <c r="U17" s="4858"/>
      <c r="V17" s="4858"/>
      <c r="W17" s="4858"/>
      <c r="X17" s="4858"/>
      <c r="Y17" s="4858"/>
      <c r="Z17" s="4858"/>
      <c r="AA17" s="4858"/>
      <c r="AB17" s="4858"/>
      <c r="AC17" s="4858"/>
      <c r="AD17" s="4858"/>
      <c r="AE17" s="4858"/>
      <c r="AF17" s="4858"/>
      <c r="AG17" s="4858"/>
      <c r="AH17" s="4858"/>
      <c r="AI17" s="4858"/>
      <c r="AJ17" s="4858"/>
      <c r="AK17" s="4858"/>
      <c r="AL17" s="4875"/>
      <c r="AM17" s="786"/>
      <c r="AN17" s="4876"/>
      <c r="AO17" s="1126"/>
      <c r="AP17"/>
      <c r="AQ17"/>
      <c r="AR17"/>
      <c r="AS17"/>
      <c r="AT17"/>
      <c r="AU17"/>
      <c r="AV17"/>
      <c r="BO17"/>
      <c r="BP17"/>
      <c r="BQ17" s="4860"/>
      <c r="BR17" s="4860"/>
      <c r="BS17" s="4860"/>
      <c r="BT17" s="4860"/>
      <c r="BU17" s="4860"/>
      <c r="BV17" s="4860"/>
      <c r="BW17" s="4860"/>
      <c r="BX17" s="4860"/>
      <c r="BY17" s="4860"/>
      <c r="BZ17" s="4860"/>
      <c r="CA17" s="4860"/>
    </row>
    <row r="18" spans="1:79" s="42" customFormat="1" ht="20.25" customHeight="1">
      <c r="A18" s="78"/>
      <c r="B18" s="6851"/>
      <c r="C18" s="4856" t="s">
        <v>0</v>
      </c>
      <c r="D18" s="4858"/>
      <c r="E18" s="412" t="str">
        <f>"Does your "&amp;TaxYear&amp;" return include a social security number that was issued on or before the due date of your "&amp;TaxYear &amp;""</f>
        <v>Does your 2021 return include a social security number that was issued on or before the due date of your 2021</v>
      </c>
      <c r="F18" s="412"/>
      <c r="G18" s="412"/>
      <c r="H18" s="4874"/>
      <c r="I18" s="412"/>
      <c r="J18" s="412"/>
      <c r="K18" s="4858"/>
      <c r="L18" s="4858"/>
      <c r="M18" s="4858"/>
      <c r="N18" s="4858"/>
      <c r="O18" s="4858"/>
      <c r="P18" s="4858"/>
      <c r="Q18" s="4858"/>
      <c r="R18" s="4858"/>
      <c r="S18" s="4858"/>
      <c r="T18" s="4858"/>
      <c r="U18" s="4858"/>
      <c r="V18" s="4858"/>
      <c r="W18" s="4858"/>
      <c r="X18" s="4858"/>
      <c r="Y18" s="4858"/>
      <c r="Z18" s="4858"/>
      <c r="AA18" s="4858"/>
      <c r="AB18" s="4858"/>
      <c r="AC18" s="4858"/>
      <c r="AD18" s="4858"/>
      <c r="AE18" s="4858"/>
      <c r="AF18" s="4858"/>
      <c r="AG18" s="4858"/>
      <c r="AH18" s="70"/>
      <c r="AI18" s="70"/>
      <c r="AJ18" s="70"/>
      <c r="AK18" s="70"/>
      <c r="AL18" s="4875"/>
      <c r="AM18" s="786"/>
      <c r="AN18" s="4876"/>
      <c r="AO18" s="1126"/>
      <c r="AP18"/>
      <c r="AQ18"/>
      <c r="AR18"/>
      <c r="AS18"/>
      <c r="AT18"/>
      <c r="AU18"/>
      <c r="AV18"/>
      <c r="BO18"/>
      <c r="BP18"/>
      <c r="BQ18" s="4860"/>
      <c r="BR18" s="4860"/>
      <c r="BS18" s="4860"/>
      <c r="BT18" s="4860"/>
      <c r="BU18" s="4860"/>
      <c r="BV18" s="4860"/>
      <c r="BW18" s="4860"/>
      <c r="BX18" s="4860"/>
      <c r="BY18" s="4860"/>
      <c r="BZ18" s="4860"/>
      <c r="CA18" s="4860"/>
    </row>
    <row r="19" spans="1:79" s="42" customFormat="1" ht="15.75" customHeight="1">
      <c r="A19" s="78"/>
      <c r="B19" s="6851"/>
      <c r="C19" s="4856"/>
      <c r="D19" s="4858"/>
      <c r="E19" s="412" t="s">
        <v>5274</v>
      </c>
      <c r="F19" s="412"/>
      <c r="G19" s="412"/>
      <c r="H19" s="4874"/>
      <c r="I19" s="412"/>
      <c r="J19" s="412"/>
      <c r="K19" s="4858"/>
      <c r="L19" s="4858"/>
      <c r="M19" s="4858"/>
      <c r="N19" s="4858"/>
      <c r="O19" s="4858"/>
      <c r="P19" s="4858"/>
      <c r="Q19" s="4858"/>
      <c r="R19" s="4858"/>
      <c r="S19" s="4858"/>
      <c r="T19" s="4858"/>
      <c r="U19" s="4858"/>
      <c r="V19" s="4858"/>
      <c r="W19" s="4858"/>
      <c r="X19" s="4858"/>
      <c r="Y19" s="4858"/>
      <c r="Z19" s="4858"/>
      <c r="AA19" s="4858"/>
      <c r="AB19" s="4858"/>
      <c r="AC19" s="4858"/>
      <c r="AD19" s="4858"/>
      <c r="AE19" s="4858"/>
      <c r="AF19" s="4858"/>
      <c r="AG19" s="4858"/>
      <c r="AH19" s="4858"/>
      <c r="AI19" s="4858"/>
      <c r="AJ19" s="4858"/>
      <c r="AK19" s="4858"/>
      <c r="AL19" s="4875"/>
      <c r="AM19" s="786"/>
      <c r="AN19" s="4876"/>
      <c r="AO19" s="1126"/>
      <c r="AP19"/>
      <c r="AQ19"/>
      <c r="AR19"/>
      <c r="AS19"/>
      <c r="AT19"/>
      <c r="AU19"/>
      <c r="AV19"/>
      <c r="BO19"/>
      <c r="BP19"/>
      <c r="BQ19" s="4860"/>
      <c r="BR19" s="4860"/>
      <c r="BS19" s="4860"/>
      <c r="BT19" s="4860"/>
      <c r="BU19" s="4860"/>
      <c r="BV19" s="4860"/>
      <c r="BW19" s="4860"/>
      <c r="BX19" s="4860"/>
      <c r="BY19" s="4860"/>
      <c r="BZ19" s="4860"/>
      <c r="CA19" s="4860"/>
    </row>
    <row r="20" spans="1:79" s="42" customFormat="1" ht="8.25" customHeight="1">
      <c r="A20" s="78"/>
      <c r="B20" s="6851"/>
      <c r="C20" s="4856"/>
      <c r="D20" s="4857"/>
      <c r="E20" s="4874"/>
      <c r="F20" s="412"/>
      <c r="G20" s="412"/>
      <c r="H20" s="4874"/>
      <c r="I20" s="412"/>
      <c r="J20" s="412"/>
      <c r="K20" s="4858"/>
      <c r="L20" s="4858"/>
      <c r="M20" s="4858"/>
      <c r="N20" s="4858"/>
      <c r="O20" s="4858"/>
      <c r="P20" s="4858"/>
      <c r="Q20" s="4858"/>
      <c r="R20" s="4858"/>
      <c r="S20" s="4858"/>
      <c r="T20" s="4858"/>
      <c r="U20" s="4858"/>
      <c r="V20" s="4858"/>
      <c r="W20" s="4858"/>
      <c r="X20" s="4858"/>
      <c r="Y20" s="4858"/>
      <c r="Z20" s="4858"/>
      <c r="AA20" s="4858"/>
      <c r="AB20" s="4858"/>
      <c r="AC20" s="4858"/>
      <c r="AD20" s="4858"/>
      <c r="AE20" s="4858"/>
      <c r="AF20" s="4858"/>
      <c r="AG20" s="4858"/>
      <c r="AH20" s="4858"/>
      <c r="AI20" s="4858"/>
      <c r="AJ20" s="4858"/>
      <c r="AK20" s="4858"/>
      <c r="AL20" s="4875"/>
      <c r="AM20" s="786"/>
      <c r="AN20" s="4876"/>
      <c r="AO20" s="1126"/>
      <c r="AP20"/>
      <c r="AQ20"/>
      <c r="AR20"/>
      <c r="AS20"/>
      <c r="AT20"/>
      <c r="AU20"/>
      <c r="AV20"/>
      <c r="BO20"/>
      <c r="BP20"/>
      <c r="BQ20" s="4860"/>
      <c r="BR20" s="4860"/>
      <c r="BS20" s="4860"/>
      <c r="BT20" s="4860"/>
      <c r="BU20" s="4860"/>
      <c r="BV20" s="4860"/>
      <c r="BW20" s="4860"/>
      <c r="BX20" s="4860"/>
      <c r="BY20" s="4860"/>
      <c r="BZ20" s="4860"/>
      <c r="CA20" s="4860"/>
    </row>
    <row r="21" spans="1:79" s="42" customFormat="1" ht="15.75" customHeight="1">
      <c r="A21" s="78"/>
      <c r="B21" s="6851"/>
      <c r="C21" s="6832" t="b">
        <f>E21&lt;&gt;""</f>
        <v>1</v>
      </c>
      <c r="D21" s="6833"/>
      <c r="E21" s="4880" t="str">
        <f>IF(AI43,"",IF(E23="","X",""))</f>
        <v>X</v>
      </c>
      <c r="F21" s="4877" t="s">
        <v>416</v>
      </c>
      <c r="G21" s="412"/>
      <c r="H21" s="4874" t="s">
        <v>5250</v>
      </c>
      <c r="I21" s="412"/>
      <c r="J21" s="412"/>
      <c r="K21" s="4858"/>
      <c r="L21" s="4858"/>
      <c r="M21" s="4858"/>
      <c r="N21" s="4858"/>
      <c r="O21" s="4858"/>
      <c r="P21" s="4858"/>
      <c r="Q21" s="4858"/>
      <c r="R21" s="4858"/>
      <c r="S21" s="4858"/>
      <c r="T21" s="4858"/>
      <c r="U21" s="4858"/>
      <c r="V21" s="4858"/>
      <c r="W21" s="4858"/>
      <c r="X21" s="4858"/>
      <c r="Y21" s="4858"/>
      <c r="Z21" s="4858"/>
      <c r="AA21" s="4858"/>
      <c r="AB21" s="4858"/>
      <c r="AC21" s="4858"/>
      <c r="AD21" s="4858"/>
      <c r="AE21" s="4858"/>
      <c r="AF21" s="4858"/>
      <c r="AG21" s="4858"/>
      <c r="AH21" s="4858"/>
      <c r="AI21" s="4858"/>
      <c r="AJ21" s="4858"/>
      <c r="AK21" s="4858"/>
      <c r="AL21" s="4875"/>
      <c r="AM21" s="786"/>
      <c r="AN21" s="4876"/>
      <c r="AO21" s="1126"/>
      <c r="AP21"/>
      <c r="AQ21"/>
      <c r="AR21"/>
      <c r="AS21"/>
      <c r="AT21"/>
      <c r="AU21"/>
      <c r="AV21"/>
      <c r="BO21"/>
      <c r="BP21"/>
      <c r="BQ21" s="4860"/>
      <c r="BR21" s="4860"/>
      <c r="BS21" s="4860"/>
      <c r="BT21" s="4860"/>
      <c r="BU21" s="4860"/>
      <c r="BV21" s="4860"/>
      <c r="BW21" s="4860"/>
      <c r="BX21" s="4860"/>
      <c r="BY21" s="4860"/>
      <c r="BZ21" s="4860"/>
      <c r="CA21" s="4860"/>
    </row>
    <row r="22" spans="1:79" s="42" customFormat="1" ht="8.25" customHeight="1">
      <c r="A22" s="78"/>
      <c r="B22" s="6851"/>
      <c r="C22" s="4912"/>
      <c r="D22" s="4913"/>
      <c r="E22" s="4874"/>
      <c r="F22" s="412"/>
      <c r="G22" s="412"/>
      <c r="H22" s="4874"/>
      <c r="I22" s="412"/>
      <c r="J22" s="412"/>
      <c r="K22" s="4858"/>
      <c r="L22" s="4858"/>
      <c r="M22" s="4858"/>
      <c r="N22" s="4858"/>
      <c r="O22" s="4858"/>
      <c r="P22" s="4858"/>
      <c r="Q22" s="4858"/>
      <c r="R22" s="4858"/>
      <c r="S22" s="4858"/>
      <c r="T22" s="4858"/>
      <c r="U22" s="4858"/>
      <c r="V22" s="4858"/>
      <c r="W22" s="4858"/>
      <c r="X22" s="4858"/>
      <c r="Y22" s="4858"/>
      <c r="Z22" s="4858"/>
      <c r="AA22" s="4858"/>
      <c r="AB22" s="4858"/>
      <c r="AC22" s="4858"/>
      <c r="AD22" s="4858"/>
      <c r="AE22" s="4858"/>
      <c r="AF22" s="4858"/>
      <c r="AG22" s="4858"/>
      <c r="AH22" s="4858"/>
      <c r="AI22" s="4858"/>
      <c r="AJ22" s="4858"/>
      <c r="AK22" s="4858"/>
      <c r="AL22" s="4875"/>
      <c r="AM22" s="786"/>
      <c r="AN22" s="4876"/>
      <c r="AO22" s="1126"/>
      <c r="AP22"/>
      <c r="AQ22"/>
      <c r="AR22"/>
      <c r="AS22"/>
      <c r="AT22"/>
      <c r="AU22"/>
      <c r="AV22"/>
      <c r="BO22"/>
      <c r="BP22"/>
      <c r="BQ22" s="4860"/>
      <c r="BR22" s="4860"/>
      <c r="BS22" s="4860"/>
      <c r="BT22" s="4860"/>
      <c r="BU22" s="4860"/>
      <c r="BV22" s="4860"/>
      <c r="BW22" s="4860"/>
      <c r="BX22" s="4860"/>
      <c r="BY22" s="4860"/>
      <c r="BZ22" s="4860"/>
      <c r="CA22" s="4860"/>
    </row>
    <row r="23" spans="1:79" s="42" customFormat="1" ht="15.75" customHeight="1">
      <c r="A23" s="78"/>
      <c r="B23" s="6851"/>
      <c r="C23" s="6832" t="b">
        <f>(File_Marr_Joint&lt;&gt;"")</f>
        <v>0</v>
      </c>
      <c r="D23" s="6833"/>
      <c r="E23" s="4879"/>
      <c r="F23" s="4877" t="s">
        <v>414</v>
      </c>
      <c r="G23" s="412"/>
      <c r="H23" s="412" t="s">
        <v>4467</v>
      </c>
      <c r="I23" s="412"/>
      <c r="J23" s="412"/>
      <c r="K23" s="4858"/>
      <c r="L23" s="4858"/>
      <c r="M23" s="4858"/>
      <c r="N23" s="4858"/>
      <c r="O23" s="4874"/>
      <c r="P23" s="4858"/>
      <c r="Q23" s="4858"/>
      <c r="R23" s="4858"/>
      <c r="S23" s="4858"/>
      <c r="T23" s="4858"/>
      <c r="U23" s="4858"/>
      <c r="V23" s="4858"/>
      <c r="W23" s="4858"/>
      <c r="X23" s="4858"/>
      <c r="Y23" s="4858"/>
      <c r="Z23" s="4858"/>
      <c r="AA23" s="4858"/>
      <c r="AB23" s="4858"/>
      <c r="AC23" s="4858"/>
      <c r="AD23" s="4858"/>
      <c r="AE23" s="4858"/>
      <c r="AF23" s="4858"/>
      <c r="AG23" s="4858"/>
      <c r="AH23" s="4858"/>
      <c r="AI23" s="6834" t="b">
        <f>AND($C$23,$E$23&lt;&gt;"")</f>
        <v>0</v>
      </c>
      <c r="AJ23" s="6834"/>
      <c r="AK23" s="6834"/>
      <c r="AL23" s="4875"/>
      <c r="AM23" s="786"/>
      <c r="AN23" s="4876"/>
      <c r="AO23" s="1126"/>
      <c r="AP23"/>
      <c r="AQ23"/>
      <c r="AR23"/>
      <c r="AS23"/>
      <c r="AT23"/>
      <c r="AU23"/>
      <c r="AV23"/>
      <c r="BO23"/>
      <c r="BP23"/>
      <c r="BQ23" s="4860"/>
      <c r="BR23" s="4860"/>
      <c r="BS23" s="4860"/>
      <c r="BT23" s="4860"/>
      <c r="BU23" s="4860"/>
      <c r="BV23" s="4860"/>
      <c r="BW23" s="4860"/>
      <c r="BX23" s="4860"/>
      <c r="BY23" s="4860"/>
      <c r="BZ23" s="4860"/>
      <c r="CA23" s="4860"/>
    </row>
    <row r="24" spans="1:79" s="42" customFormat="1" ht="15">
      <c r="A24" s="78"/>
      <c r="B24" s="6851"/>
      <c r="C24" s="4912"/>
      <c r="D24" s="4882"/>
      <c r="E24" s="4858"/>
      <c r="F24" s="412"/>
      <c r="G24" s="412"/>
      <c r="H24" s="412" t="s">
        <v>5251</v>
      </c>
      <c r="I24" s="412"/>
      <c r="J24" s="412"/>
      <c r="K24" s="4858"/>
      <c r="L24" s="4858"/>
      <c r="M24" s="4858"/>
      <c r="N24" s="4858"/>
      <c r="O24" s="4858"/>
      <c r="P24" s="4858"/>
      <c r="Q24" s="4858"/>
      <c r="R24" s="4858"/>
      <c r="S24" s="4858"/>
      <c r="T24" s="4858"/>
      <c r="U24" s="4858"/>
      <c r="V24" s="4858"/>
      <c r="W24" s="4858"/>
      <c r="X24" s="4858"/>
      <c r="Y24" s="4858"/>
      <c r="Z24" s="4858"/>
      <c r="AA24" s="4858"/>
      <c r="AB24" s="4858"/>
      <c r="AC24" s="4858"/>
      <c r="AD24" s="4858"/>
      <c r="AE24" s="4858"/>
      <c r="AF24" s="4858"/>
      <c r="AG24" s="4858"/>
      <c r="AH24" s="4858"/>
      <c r="AI24" s="6834" t="b">
        <f>AND(NOT($C$23),$E$23&lt;&gt;"")</f>
        <v>0</v>
      </c>
      <c r="AJ24" s="6834"/>
      <c r="AK24" s="6834"/>
      <c r="AL24" s="4875"/>
      <c r="AM24" s="786"/>
      <c r="AN24" s="4876"/>
      <c r="AO24" s="1126"/>
      <c r="AP24"/>
      <c r="AQ24"/>
      <c r="AR24"/>
      <c r="AS24"/>
      <c r="AT24"/>
      <c r="AU24"/>
      <c r="AV24"/>
      <c r="BO24"/>
      <c r="BP24"/>
      <c r="BQ24" s="4860"/>
      <c r="BR24" s="4860"/>
      <c r="BS24" s="4860"/>
      <c r="BT24" s="4860"/>
      <c r="BU24" s="4860"/>
      <c r="BV24" s="4860"/>
      <c r="BW24" s="4860"/>
      <c r="BX24" s="4860"/>
      <c r="BY24" s="4860"/>
      <c r="BZ24" s="4860"/>
      <c r="CA24" s="4860"/>
    </row>
    <row r="25" spans="1:79" s="42" customFormat="1" ht="19.5" customHeight="1">
      <c r="A25" s="78"/>
      <c r="B25" s="6851"/>
      <c r="C25" s="4856" t="s">
        <v>1</v>
      </c>
      <c r="D25" s="4858"/>
      <c r="E25" s="412" t="str">
        <f>"Was at least one of you a member of the U.S. Armed Forces at any time during "&amp;TaxYear&amp;", and does at least one of you"</f>
        <v>Was at least one of you a member of the U.S. Armed Forces at any time during 2021, and does at least one of you</v>
      </c>
      <c r="F25" s="412"/>
      <c r="G25" s="412"/>
      <c r="H25" s="4874"/>
      <c r="I25" s="412"/>
      <c r="J25" s="412"/>
      <c r="K25" s="4858"/>
      <c r="L25" s="4858"/>
      <c r="M25" s="4858"/>
      <c r="N25" s="4858"/>
      <c r="O25" s="4858"/>
      <c r="P25" s="4858"/>
      <c r="Q25" s="4858"/>
      <c r="R25" s="4858"/>
      <c r="S25" s="4858"/>
      <c r="T25" s="4858"/>
      <c r="U25" s="4858"/>
      <c r="V25" s="4858"/>
      <c r="W25" s="4858"/>
      <c r="X25" s="4858"/>
      <c r="Y25" s="4858"/>
      <c r="Z25" s="4858"/>
      <c r="AA25" s="4858"/>
      <c r="AB25" s="4858"/>
      <c r="AC25" s="4858"/>
      <c r="AD25" s="4858"/>
      <c r="AE25" s="4858"/>
      <c r="AF25" s="4858"/>
      <c r="AG25" s="4858"/>
      <c r="AH25" s="4858"/>
      <c r="AI25" s="4858"/>
      <c r="AJ25" s="4858"/>
      <c r="AK25" s="4858"/>
      <c r="AL25" s="4875"/>
      <c r="AM25" s="786"/>
      <c r="AN25" s="4876"/>
      <c r="AO25" s="1126"/>
      <c r="AP25"/>
      <c r="AQ25"/>
      <c r="AR25"/>
      <c r="AS25"/>
      <c r="AT25"/>
      <c r="AU25"/>
      <c r="AV25"/>
      <c r="BO25"/>
      <c r="BP25"/>
      <c r="BQ25" s="4860"/>
      <c r="BR25" s="4860"/>
      <c r="BS25" s="4860"/>
      <c r="BT25" s="4860"/>
      <c r="BU25" s="4860"/>
      <c r="BV25" s="4860"/>
      <c r="BW25" s="4860"/>
      <c r="BX25" s="4860"/>
      <c r="BY25" s="4860"/>
      <c r="BZ25" s="4860"/>
      <c r="CA25" s="4860"/>
    </row>
    <row r="26" spans="1:79" s="42" customFormat="1" ht="15.75" customHeight="1">
      <c r="A26" s="78"/>
      <c r="B26" s="6851"/>
      <c r="C26" s="4856"/>
      <c r="D26" s="4858"/>
      <c r="E26" s="412" t="str">
        <f>"have a social security number that was issued on or before the due date of your "&amp;TaxYear&amp;" return (including extensions)?"</f>
        <v>have a social security number that was issued on or before the due date of your 2021 return (including extensions)?</v>
      </c>
      <c r="F26" s="412"/>
      <c r="G26" s="412"/>
      <c r="H26" s="4874"/>
      <c r="I26" s="412"/>
      <c r="J26" s="412"/>
      <c r="K26" s="4858"/>
      <c r="L26" s="4858"/>
      <c r="M26" s="4858"/>
      <c r="N26" s="4858"/>
      <c r="O26" s="4858"/>
      <c r="P26" s="4858"/>
      <c r="Q26" s="4858"/>
      <c r="R26" s="4858"/>
      <c r="S26" s="4858"/>
      <c r="T26" s="4858"/>
      <c r="U26" s="4858"/>
      <c r="V26" s="4858"/>
      <c r="W26" s="4858"/>
      <c r="X26" s="4858"/>
      <c r="Y26" s="4858"/>
      <c r="Z26" s="4858"/>
      <c r="AA26" s="4858"/>
      <c r="AB26" s="4858"/>
      <c r="AC26" s="4858"/>
      <c r="AD26" s="4858"/>
      <c r="AE26" s="4858"/>
      <c r="AF26" s="4858"/>
      <c r="AG26" s="4858"/>
      <c r="AH26" s="4858"/>
      <c r="AI26" s="4858"/>
      <c r="AJ26" s="4858"/>
      <c r="AK26" s="4858"/>
      <c r="AL26" s="4875"/>
      <c r="AM26" s="786"/>
      <c r="AN26" s="4876"/>
      <c r="AO26" s="1126"/>
      <c r="AP26"/>
      <c r="AQ26"/>
      <c r="AR26"/>
      <c r="AS26"/>
      <c r="AT26"/>
      <c r="AU26"/>
      <c r="AV26"/>
      <c r="BO26"/>
      <c r="BP26"/>
      <c r="BQ26" s="4860"/>
      <c r="BR26" s="4860"/>
      <c r="BS26" s="4860"/>
      <c r="BT26" s="4860"/>
      <c r="BU26" s="4860"/>
      <c r="BV26" s="4860"/>
      <c r="BW26" s="4860"/>
      <c r="BX26" s="4860"/>
      <c r="BY26" s="4860"/>
      <c r="BZ26" s="4860"/>
      <c r="CA26" s="4860"/>
    </row>
    <row r="27" spans="1:79" s="42" customFormat="1" ht="8.25" customHeight="1">
      <c r="A27" s="78"/>
      <c r="B27" s="6851"/>
      <c r="C27" s="4856"/>
      <c r="D27" s="4857"/>
      <c r="E27" s="4874"/>
      <c r="F27" s="412"/>
      <c r="G27" s="412"/>
      <c r="H27" s="4874"/>
      <c r="I27" s="412"/>
      <c r="J27" s="412"/>
      <c r="K27" s="4858"/>
      <c r="L27" s="4858"/>
      <c r="M27" s="4858"/>
      <c r="N27" s="4858"/>
      <c r="O27" s="4858"/>
      <c r="P27" s="4858"/>
      <c r="Q27" s="4858"/>
      <c r="R27" s="4858"/>
      <c r="S27" s="4858"/>
      <c r="T27" s="4858"/>
      <c r="U27" s="4858"/>
      <c r="V27" s="4858"/>
      <c r="W27" s="4858"/>
      <c r="X27" s="4858"/>
      <c r="Y27" s="4858"/>
      <c r="Z27" s="4858"/>
      <c r="AA27" s="4858"/>
      <c r="AB27" s="4858"/>
      <c r="AC27" s="4858"/>
      <c r="AD27" s="4858"/>
      <c r="AE27" s="4858"/>
      <c r="AF27" s="4858"/>
      <c r="AG27" s="4858"/>
      <c r="AH27" s="4858"/>
      <c r="AI27" s="4858"/>
      <c r="AJ27" s="4858"/>
      <c r="AK27" s="4858"/>
      <c r="AL27" s="4875"/>
      <c r="AM27" s="786"/>
      <c r="AN27" s="4876"/>
      <c r="AO27" s="1126"/>
      <c r="AP27"/>
      <c r="AQ27"/>
      <c r="AR27"/>
      <c r="AS27"/>
      <c r="AT27"/>
      <c r="AU27"/>
      <c r="AV27"/>
      <c r="BO27"/>
      <c r="BP27"/>
      <c r="BQ27" s="4860"/>
      <c r="BR27" s="4860"/>
      <c r="BS27" s="4860"/>
      <c r="BT27" s="4860"/>
      <c r="BU27" s="4860"/>
      <c r="BV27" s="4860"/>
      <c r="BW27" s="4860"/>
      <c r="BX27" s="4860"/>
      <c r="BY27" s="4860"/>
      <c r="BZ27" s="4860"/>
      <c r="CA27" s="4860"/>
    </row>
    <row r="28" spans="1:79" s="42" customFormat="1" ht="15.75" customHeight="1">
      <c r="A28" s="78"/>
      <c r="B28" s="6851"/>
      <c r="C28" s="6832" t="b">
        <f>E28&lt;&gt;""</f>
        <v>0</v>
      </c>
      <c r="D28" s="6833"/>
      <c r="E28" s="4880" t="str">
        <f>IF(OR(C17,C21,AI24),"",IF(E30="","X",""))</f>
        <v/>
      </c>
      <c r="F28" s="4877" t="s">
        <v>416</v>
      </c>
      <c r="G28" s="412"/>
      <c r="H28" s="4874" t="s">
        <v>4425</v>
      </c>
      <c r="I28" s="412"/>
      <c r="J28" s="412"/>
      <c r="K28" s="4858"/>
      <c r="L28" s="4858"/>
      <c r="M28" s="4858"/>
      <c r="N28" s="4874" t="s">
        <v>5250</v>
      </c>
      <c r="O28" s="4858"/>
      <c r="P28" s="4858"/>
      <c r="Q28" s="4858"/>
      <c r="R28" s="4858"/>
      <c r="S28" s="4858"/>
      <c r="T28" s="4858"/>
      <c r="U28" s="4858"/>
      <c r="V28" s="4858"/>
      <c r="W28" s="4858"/>
      <c r="X28" s="4858"/>
      <c r="Y28" s="4858"/>
      <c r="Z28" s="4858"/>
      <c r="AA28" s="4858"/>
      <c r="AB28" s="4858"/>
      <c r="AC28" s="4858"/>
      <c r="AD28" s="4858"/>
      <c r="AE28" s="4858"/>
      <c r="AF28" s="4858"/>
      <c r="AG28" s="4858"/>
      <c r="AH28" s="4858"/>
      <c r="AI28" s="6830" t="b">
        <f>AND(NOT($AI$13),E28&lt;&gt;"")</f>
        <v>0</v>
      </c>
      <c r="AJ28" s="6830"/>
      <c r="AK28" s="6830"/>
      <c r="AL28" s="4875"/>
      <c r="AM28" s="786"/>
      <c r="AN28" s="4876"/>
      <c r="AO28" s="1126"/>
      <c r="AP28"/>
      <c r="AQ28"/>
      <c r="AR28"/>
      <c r="AS28"/>
      <c r="AT28"/>
      <c r="AU28"/>
      <c r="AV28"/>
      <c r="BO28"/>
      <c r="BP28"/>
      <c r="BQ28" s="4860"/>
      <c r="BR28" s="4860"/>
      <c r="BS28" s="4860"/>
      <c r="BT28" s="4860"/>
      <c r="BU28" s="4860"/>
      <c r="BV28" s="4860"/>
      <c r="BW28" s="4860"/>
      <c r="BX28" s="4860"/>
      <c r="BY28" s="4860"/>
      <c r="BZ28" s="4860"/>
      <c r="CA28" s="4860"/>
    </row>
    <row r="29" spans="1:79" s="42" customFormat="1" ht="8.25" customHeight="1">
      <c r="A29" s="78"/>
      <c r="B29" s="6851"/>
      <c r="C29" s="4856"/>
      <c r="D29" s="4857"/>
      <c r="E29" s="4874"/>
      <c r="F29" s="412"/>
      <c r="G29" s="412"/>
      <c r="H29" s="4874"/>
      <c r="I29" s="412"/>
      <c r="J29" s="412"/>
      <c r="K29" s="4858"/>
      <c r="L29" s="4858"/>
      <c r="M29" s="4858"/>
      <c r="N29" s="4858"/>
      <c r="O29" s="4858"/>
      <c r="P29" s="4858"/>
      <c r="Q29" s="4858"/>
      <c r="R29" s="4858"/>
      <c r="S29" s="4858"/>
      <c r="T29" s="4858"/>
      <c r="U29" s="4858"/>
      <c r="V29" s="4858"/>
      <c r="W29" s="4858"/>
      <c r="X29" s="4858"/>
      <c r="Y29" s="4858"/>
      <c r="Z29" s="4858"/>
      <c r="AA29" s="4858"/>
      <c r="AB29" s="4858"/>
      <c r="AC29" s="4858"/>
      <c r="AD29" s="4858"/>
      <c r="AE29" s="4858"/>
      <c r="AF29" s="4858"/>
      <c r="AG29" s="4858"/>
      <c r="AH29" s="4858"/>
      <c r="AI29" s="4882"/>
      <c r="AJ29" s="4882"/>
      <c r="AK29" s="4882"/>
      <c r="AL29" s="4875"/>
      <c r="AM29" s="786"/>
      <c r="AN29" s="4876"/>
      <c r="AO29" s="1126"/>
      <c r="AP29"/>
      <c r="AQ29"/>
      <c r="AR29"/>
      <c r="AS29"/>
      <c r="AT29"/>
      <c r="AU29"/>
      <c r="AV29"/>
      <c r="BO29"/>
      <c r="BP29"/>
      <c r="BQ29" s="4860"/>
      <c r="BR29" s="4860"/>
      <c r="BS29" s="4860"/>
      <c r="BT29" s="4860"/>
      <c r="BU29" s="4860"/>
      <c r="BV29" s="4860"/>
      <c r="BW29" s="4860"/>
      <c r="BX29" s="4860"/>
      <c r="BY29" s="4860"/>
      <c r="BZ29" s="4860"/>
      <c r="CA29" s="4860"/>
    </row>
    <row r="30" spans="1:79" s="42" customFormat="1" ht="15.75" customHeight="1">
      <c r="A30" s="78"/>
      <c r="B30" s="6851"/>
      <c r="C30" s="4856"/>
      <c r="D30" s="4858"/>
      <c r="E30" s="4879"/>
      <c r="F30" s="4877" t="s">
        <v>414</v>
      </c>
      <c r="G30" s="412"/>
      <c r="H30" s="412" t="s">
        <v>3795</v>
      </c>
      <c r="I30" s="412"/>
      <c r="J30" s="412"/>
      <c r="K30" s="4858"/>
      <c r="L30" s="4858"/>
      <c r="M30" s="4858"/>
      <c r="N30" s="4858"/>
      <c r="O30" s="4858"/>
      <c r="P30" s="4858"/>
      <c r="Q30" s="4858"/>
      <c r="R30" s="4858"/>
      <c r="S30" s="4858"/>
      <c r="T30" s="4858"/>
      <c r="U30" s="4858"/>
      <c r="V30" s="4858"/>
      <c r="W30" s="4858"/>
      <c r="X30" s="4858"/>
      <c r="Y30" s="4858"/>
      <c r="Z30" s="4858"/>
      <c r="AA30" s="4858"/>
      <c r="AB30" s="4858"/>
      <c r="AC30" s="4858"/>
      <c r="AD30" s="4858"/>
      <c r="AE30" s="4858"/>
      <c r="AF30" s="4858"/>
      <c r="AG30" s="4858"/>
      <c r="AH30" s="4858"/>
      <c r="AI30" s="4882"/>
      <c r="AJ30" s="4882"/>
      <c r="AK30" s="4882"/>
      <c r="AL30" s="4875"/>
      <c r="AM30" s="786"/>
      <c r="AN30" s="4876"/>
      <c r="AO30" s="1126"/>
      <c r="AP30"/>
      <c r="AQ30"/>
      <c r="AR30"/>
      <c r="AS30"/>
      <c r="AT30"/>
      <c r="AU30"/>
      <c r="AV30"/>
      <c r="BO30"/>
      <c r="BP30"/>
      <c r="BQ30" s="4860"/>
      <c r="BR30" s="4860"/>
      <c r="BS30" s="4860"/>
      <c r="BT30" s="4860"/>
      <c r="BU30" s="4860"/>
      <c r="BV30" s="4860"/>
      <c r="BW30" s="4860"/>
      <c r="BX30" s="4860"/>
      <c r="BY30" s="4860"/>
      <c r="BZ30" s="4860"/>
      <c r="CA30" s="4860"/>
    </row>
    <row r="31" spans="1:79" s="42" customFormat="1" ht="19.5" customHeight="1">
      <c r="A31" s="78"/>
      <c r="B31" s="6851"/>
      <c r="C31" s="4856" t="s">
        <v>399</v>
      </c>
      <c r="D31" s="4858"/>
      <c r="E31" s="412" t="str">
        <f>"Does one of you have a social security number that was issued on or before the due date of your "&amp;TaxYear&amp;" return (including extensions)?"</f>
        <v>Does one of you have a social security number that was issued on or before the due date of your 2021 return (including extensions)?</v>
      </c>
      <c r="F31" s="412"/>
      <c r="G31" s="412"/>
      <c r="H31" s="4874"/>
      <c r="I31" s="412"/>
      <c r="J31" s="412"/>
      <c r="K31" s="4858"/>
      <c r="L31" s="4858"/>
      <c r="M31" s="4858"/>
      <c r="N31" s="4858"/>
      <c r="O31" s="4858"/>
      <c r="P31" s="4858"/>
      <c r="Q31" s="4858"/>
      <c r="R31" s="4858"/>
      <c r="S31" s="4858"/>
      <c r="T31" s="4858"/>
      <c r="U31" s="4858"/>
      <c r="V31" s="4858"/>
      <c r="W31" s="4858"/>
      <c r="X31" s="4858"/>
      <c r="Y31" s="4858"/>
      <c r="Z31" s="4858"/>
      <c r="AA31" s="4858"/>
      <c r="AB31" s="4858"/>
      <c r="AC31" s="4858"/>
      <c r="AD31" s="4858"/>
      <c r="AE31" s="4858"/>
      <c r="AF31" s="4858"/>
      <c r="AG31" s="4858"/>
      <c r="AH31" s="4858"/>
      <c r="AI31" s="4882"/>
      <c r="AJ31" s="4882"/>
      <c r="AK31" s="4882"/>
      <c r="AL31" s="4875"/>
      <c r="AM31" s="786"/>
      <c r="AN31" s="4876"/>
      <c r="AO31" s="1126"/>
      <c r="AP31"/>
      <c r="AQ31"/>
      <c r="AR31"/>
      <c r="AS31"/>
      <c r="AT31"/>
      <c r="AU31"/>
      <c r="AV31"/>
      <c r="BO31"/>
      <c r="BP31"/>
      <c r="BQ31" s="4860"/>
      <c r="BR31" s="4860"/>
      <c r="BS31" s="4860"/>
      <c r="BT31" s="4860"/>
      <c r="BU31" s="4860"/>
      <c r="BV31" s="4860"/>
      <c r="BW31" s="4860"/>
      <c r="BX31" s="4860"/>
      <c r="BY31" s="4860"/>
      <c r="BZ31" s="4860"/>
      <c r="CA31" s="4860"/>
    </row>
    <row r="32" spans="1:79" s="42" customFormat="1" ht="8.25" customHeight="1">
      <c r="A32" s="78"/>
      <c r="B32" s="6851"/>
      <c r="C32" s="4856"/>
      <c r="D32" s="4857"/>
      <c r="E32" s="4874"/>
      <c r="F32" s="412"/>
      <c r="G32" s="412"/>
      <c r="H32" s="4874"/>
      <c r="I32" s="412"/>
      <c r="J32" s="412"/>
      <c r="K32" s="4858"/>
      <c r="L32" s="4858"/>
      <c r="M32" s="4858"/>
      <c r="N32" s="4858"/>
      <c r="O32" s="4858"/>
      <c r="P32" s="4858"/>
      <c r="Q32" s="4858"/>
      <c r="R32" s="4858"/>
      <c r="S32" s="4858"/>
      <c r="T32" s="4858"/>
      <c r="U32" s="4858"/>
      <c r="V32" s="4858"/>
      <c r="W32" s="4858"/>
      <c r="X32" s="4858"/>
      <c r="Y32" s="4858"/>
      <c r="Z32" s="4858"/>
      <c r="AA32" s="4858"/>
      <c r="AB32" s="4858"/>
      <c r="AC32" s="4858"/>
      <c r="AD32" s="4858"/>
      <c r="AE32" s="4858"/>
      <c r="AF32" s="4858"/>
      <c r="AG32" s="4858"/>
      <c r="AH32" s="4858"/>
      <c r="AI32" s="4882"/>
      <c r="AJ32" s="4882"/>
      <c r="AK32" s="4882"/>
      <c r="AL32" s="4875"/>
      <c r="AM32" s="786"/>
      <c r="AN32" s="4876"/>
      <c r="AO32" s="1126"/>
      <c r="AP32"/>
      <c r="AQ32"/>
      <c r="AR32"/>
      <c r="AS32"/>
      <c r="AT32"/>
      <c r="AU32"/>
      <c r="AV32"/>
      <c r="BO32"/>
      <c r="BP32"/>
      <c r="BQ32" s="4860"/>
      <c r="BR32" s="4860"/>
      <c r="BS32" s="4860"/>
      <c r="BT32" s="4860"/>
      <c r="BU32" s="4860"/>
      <c r="BV32" s="4860"/>
      <c r="BW32" s="4860"/>
      <c r="BX32" s="4860"/>
      <c r="BY32" s="4860"/>
      <c r="BZ32" s="4860"/>
      <c r="CA32" s="4860"/>
    </row>
    <row r="33" spans="1:79" s="42" customFormat="1" ht="15.75" customHeight="1">
      <c r="A33" s="78"/>
      <c r="B33" s="6851"/>
      <c r="C33" s="6832" t="b">
        <f>E33&lt;&gt;""</f>
        <v>0</v>
      </c>
      <c r="D33" s="6833"/>
      <c r="E33" s="4880" t="str">
        <f>IF(OR(C17,C21,AI24,C28),"",IF(E35="","X",""))</f>
        <v/>
      </c>
      <c r="F33" s="4877" t="s">
        <v>416</v>
      </c>
      <c r="G33" s="412"/>
      <c r="H33" s="4874" t="s">
        <v>4426</v>
      </c>
      <c r="I33" s="412"/>
      <c r="J33" s="412"/>
      <c r="K33" s="4858"/>
      <c r="L33" s="4858"/>
      <c r="M33" s="4858"/>
      <c r="N33" s="4874" t="s">
        <v>5250</v>
      </c>
      <c r="O33" s="4858"/>
      <c r="P33" s="4858"/>
      <c r="Q33" s="4858"/>
      <c r="R33" s="4858"/>
      <c r="S33" s="4858"/>
      <c r="T33" s="4858"/>
      <c r="U33" s="4858"/>
      <c r="V33" s="4858"/>
      <c r="W33" s="4858"/>
      <c r="X33" s="4858"/>
      <c r="Y33" s="4858"/>
      <c r="Z33" s="4858"/>
      <c r="AA33" s="4858"/>
      <c r="AB33" s="4858"/>
      <c r="AC33" s="4858"/>
      <c r="AD33" s="4858"/>
      <c r="AE33" s="4858"/>
      <c r="AF33" s="4858"/>
      <c r="AG33" s="4858"/>
      <c r="AH33" s="4858"/>
      <c r="AI33" s="6830" t="b">
        <f>AND(NOT($AI$13),E33&lt;&gt;"")</f>
        <v>0</v>
      </c>
      <c r="AJ33" s="6830"/>
      <c r="AK33" s="6830"/>
      <c r="AL33" s="4875"/>
      <c r="AM33" s="786"/>
      <c r="AN33" s="4876"/>
      <c r="AO33" s="1126"/>
      <c r="AP33"/>
      <c r="AQ33"/>
      <c r="AR33"/>
      <c r="AS33"/>
      <c r="AT33"/>
      <c r="AU33"/>
      <c r="AV33"/>
      <c r="BO33"/>
      <c r="BP33"/>
      <c r="BQ33" s="4860"/>
      <c r="BR33" s="4860"/>
      <c r="BS33" s="4860"/>
      <c r="BT33" s="4860"/>
      <c r="BU33" s="4860"/>
      <c r="BV33" s="4860"/>
      <c r="BW33" s="4860"/>
      <c r="BX33" s="4860"/>
      <c r="BY33" s="4860"/>
      <c r="BZ33" s="4860"/>
      <c r="CA33" s="4860"/>
    </row>
    <row r="34" spans="1:79" s="42" customFormat="1" ht="8.25" customHeight="1">
      <c r="A34" s="78"/>
      <c r="B34" s="6851"/>
      <c r="C34" s="4912"/>
      <c r="D34" s="4913"/>
      <c r="E34" s="4874"/>
      <c r="F34" s="412"/>
      <c r="G34" s="412"/>
      <c r="H34" s="4874"/>
      <c r="I34" s="412"/>
      <c r="J34" s="412"/>
      <c r="K34" s="4858"/>
      <c r="L34" s="4858"/>
      <c r="M34" s="4858"/>
      <c r="N34" s="4858"/>
      <c r="O34" s="4858"/>
      <c r="P34" s="4858"/>
      <c r="Q34" s="4858"/>
      <c r="R34" s="4858"/>
      <c r="S34" s="4858"/>
      <c r="T34" s="4858"/>
      <c r="U34" s="4858"/>
      <c r="V34" s="4858"/>
      <c r="W34" s="4858"/>
      <c r="X34" s="4858"/>
      <c r="Y34" s="4858"/>
      <c r="Z34" s="4858"/>
      <c r="AA34" s="4858"/>
      <c r="AB34" s="4858"/>
      <c r="AC34" s="4858"/>
      <c r="AD34" s="4858"/>
      <c r="AE34" s="4858"/>
      <c r="AF34" s="4858"/>
      <c r="AG34" s="4858"/>
      <c r="AH34" s="4858"/>
      <c r="AI34" s="4882"/>
      <c r="AJ34" s="4882"/>
      <c r="AK34" s="4882"/>
      <c r="AL34" s="4875"/>
      <c r="AM34" s="786"/>
      <c r="AN34" s="4876"/>
      <c r="AO34" s="1126"/>
      <c r="AP34"/>
      <c r="AQ34"/>
      <c r="AR34"/>
      <c r="AS34"/>
      <c r="AT34"/>
      <c r="AU34"/>
      <c r="AV34"/>
      <c r="BO34"/>
      <c r="BP34"/>
      <c r="BQ34" s="4860"/>
      <c r="BR34" s="4860"/>
      <c r="BS34" s="4860"/>
      <c r="BT34" s="4860"/>
      <c r="BU34" s="4860"/>
      <c r="BV34" s="4860"/>
      <c r="BW34" s="4860"/>
      <c r="BX34" s="4860"/>
      <c r="BY34" s="4860"/>
      <c r="BZ34" s="4860"/>
      <c r="CA34" s="4860"/>
    </row>
    <row r="35" spans="1:79" s="42" customFormat="1" ht="15.75" customHeight="1">
      <c r="A35" s="78"/>
      <c r="B35" s="6851"/>
      <c r="C35" s="6832" t="b">
        <f>E35&lt;&gt;""</f>
        <v>0</v>
      </c>
      <c r="D35" s="6833"/>
      <c r="E35" s="4879"/>
      <c r="F35" s="4877" t="s">
        <v>414</v>
      </c>
      <c r="G35" s="412"/>
      <c r="H35" s="4874" t="s">
        <v>4424</v>
      </c>
      <c r="I35" s="4874"/>
      <c r="J35" s="4874"/>
      <c r="K35" s="4874"/>
      <c r="L35" s="4874"/>
      <c r="M35" s="4874"/>
      <c r="N35" s="4874"/>
      <c r="O35" s="4874"/>
      <c r="P35" s="4874"/>
      <c r="Q35" s="4874"/>
      <c r="R35" s="4874"/>
      <c r="S35" s="4874"/>
      <c r="T35" s="4874"/>
      <c r="U35" s="4874"/>
      <c r="V35" s="4874"/>
      <c r="W35" s="4874"/>
      <c r="X35" s="4874"/>
      <c r="Y35" s="4874"/>
      <c r="Z35" s="4874"/>
      <c r="AA35" s="4874"/>
      <c r="AB35" s="4874"/>
      <c r="AC35" s="4874"/>
      <c r="AD35" s="4874"/>
      <c r="AE35" s="4874"/>
      <c r="AF35" s="4874"/>
      <c r="AG35" s="4858"/>
      <c r="AH35" s="4858"/>
      <c r="AI35" s="6830" t="b">
        <f>(E35&lt;&gt;"")</f>
        <v>0</v>
      </c>
      <c r="AJ35" s="6830"/>
      <c r="AK35" s="6830"/>
      <c r="AL35" s="4875"/>
      <c r="AM35" s="786"/>
      <c r="AN35" s="4876"/>
      <c r="AO35" s="1126"/>
      <c r="AP35"/>
      <c r="AQ35"/>
      <c r="AR35"/>
      <c r="AS35"/>
      <c r="AT35"/>
      <c r="AU35"/>
      <c r="AV35"/>
      <c r="BO35"/>
      <c r="BP35"/>
      <c r="BQ35" s="4860"/>
      <c r="BR35" s="4860"/>
      <c r="BS35" s="4860"/>
      <c r="BT35" s="4860"/>
      <c r="BU35" s="4860"/>
      <c r="BV35" s="4860"/>
      <c r="BW35" s="4860"/>
      <c r="BX35" s="4860"/>
      <c r="BY35" s="4860"/>
      <c r="BZ35" s="4860"/>
      <c r="CA35" s="4860"/>
    </row>
    <row r="36" spans="1:79" s="42" customFormat="1" ht="8.25" customHeight="1">
      <c r="A36" s="78"/>
      <c r="B36" s="6851"/>
      <c r="C36" s="6832"/>
      <c r="D36" s="6840"/>
      <c r="E36" s="412"/>
      <c r="F36" s="412"/>
      <c r="G36" s="412"/>
      <c r="H36" s="4874"/>
      <c r="I36" s="412"/>
      <c r="J36" s="412"/>
      <c r="K36" s="4858"/>
      <c r="L36" s="4858"/>
      <c r="M36" s="4858"/>
      <c r="N36" s="4858"/>
      <c r="O36" s="4858"/>
      <c r="P36" s="4858"/>
      <c r="Q36" s="4858"/>
      <c r="R36" s="4858"/>
      <c r="S36" s="4858"/>
      <c r="T36" s="4858"/>
      <c r="U36" s="4858"/>
      <c r="V36" s="4858"/>
      <c r="W36" s="4858"/>
      <c r="X36" s="4858"/>
      <c r="Y36" s="4858"/>
      <c r="Z36" s="4858"/>
      <c r="AA36" s="4858"/>
      <c r="AB36" s="4858"/>
      <c r="AC36" s="4858"/>
      <c r="AD36" s="4858"/>
      <c r="AE36" s="4858"/>
      <c r="AF36" s="4858"/>
      <c r="AG36" s="4858"/>
      <c r="AH36" s="4858"/>
      <c r="AI36" s="4858"/>
      <c r="AJ36" s="4858"/>
      <c r="AK36" s="4858"/>
      <c r="AL36" s="4875"/>
      <c r="AM36" s="786"/>
      <c r="AN36" s="4876"/>
      <c r="AO36" s="1126"/>
      <c r="AP36"/>
      <c r="AQ36"/>
      <c r="AR36"/>
      <c r="AS36"/>
      <c r="AT36"/>
      <c r="AU36"/>
      <c r="AV36"/>
      <c r="BO36"/>
      <c r="BP36"/>
      <c r="BQ36" s="4860"/>
      <c r="BR36" s="4860"/>
      <c r="BS36" s="4860"/>
      <c r="BT36" s="4860"/>
      <c r="BU36" s="4860"/>
      <c r="BV36" s="4860"/>
      <c r="BW36" s="4860"/>
      <c r="BX36" s="4860"/>
      <c r="BY36" s="4860"/>
      <c r="BZ36" s="4860"/>
      <c r="CA36" s="4860"/>
    </row>
    <row r="37" spans="1:79" s="42" customFormat="1" ht="15.75" customHeight="1">
      <c r="A37" s="78"/>
      <c r="B37" s="6851"/>
      <c r="C37" s="4881" t="s">
        <v>31</v>
      </c>
      <c r="D37" s="4858"/>
      <c r="E37" s="412" t="s">
        <v>5252</v>
      </c>
      <c r="F37" s="412"/>
      <c r="G37" s="412"/>
      <c r="H37" s="4874"/>
      <c r="I37" s="412"/>
      <c r="J37" s="412"/>
      <c r="K37" s="4858"/>
      <c r="L37" s="4858"/>
      <c r="M37" s="4858"/>
      <c r="N37" s="4858"/>
      <c r="O37" s="4858"/>
      <c r="P37" s="4858"/>
      <c r="Q37" s="4858"/>
      <c r="R37" s="4858"/>
      <c r="S37" s="4858"/>
      <c r="T37" s="4858"/>
      <c r="U37" s="4858"/>
      <c r="V37" s="4858"/>
      <c r="W37" s="4858"/>
      <c r="X37" s="4858"/>
      <c r="Y37" s="4858"/>
      <c r="Z37" s="4858"/>
      <c r="AA37" s="4858"/>
      <c r="AB37" s="4858"/>
      <c r="AC37" s="4858"/>
      <c r="AD37" s="4858"/>
      <c r="AE37" s="4858"/>
      <c r="AF37" s="4858"/>
      <c r="AG37" s="4858"/>
      <c r="AH37" s="4858"/>
      <c r="AI37" s="4858"/>
      <c r="AJ37" s="4858"/>
      <c r="AK37" s="4858"/>
      <c r="AL37" s="4875"/>
      <c r="AM37" s="786"/>
      <c r="AN37" s="4876"/>
      <c r="AO37" s="1126"/>
      <c r="AP37"/>
      <c r="AQ37"/>
      <c r="AR37"/>
      <c r="AS37"/>
      <c r="AT37"/>
      <c r="AU37"/>
      <c r="AV37"/>
      <c r="BO37"/>
      <c r="BP37"/>
      <c r="BQ37" s="4860"/>
      <c r="BR37" s="4860"/>
      <c r="BS37" s="4860"/>
      <c r="BT37" s="4860"/>
      <c r="BU37" s="4860"/>
      <c r="BV37" s="4860"/>
      <c r="BW37" s="4860"/>
      <c r="BX37" s="4860"/>
      <c r="BY37" s="4860"/>
      <c r="BZ37" s="4860"/>
      <c r="CA37" s="4860"/>
    </row>
    <row r="38" spans="1:79" s="42" customFormat="1" ht="15.75" customHeight="1">
      <c r="A38" s="78"/>
      <c r="B38" s="6851"/>
      <c r="C38" s="5532"/>
      <c r="D38" s="5533"/>
      <c r="E38" s="412" t="s">
        <v>5253</v>
      </c>
      <c r="F38" s="412"/>
      <c r="G38" s="412"/>
      <c r="H38" s="4874"/>
      <c r="I38" s="412"/>
      <c r="J38" s="412"/>
      <c r="K38" s="4858"/>
      <c r="L38" s="4858"/>
      <c r="M38" s="4858"/>
      <c r="N38" s="4858"/>
      <c r="O38" s="4858"/>
      <c r="P38" s="4858"/>
      <c r="Q38" s="4858"/>
      <c r="R38" s="4858"/>
      <c r="S38" s="4858"/>
      <c r="T38" s="4858"/>
      <c r="U38" s="4858"/>
      <c r="V38" s="4858"/>
      <c r="W38" s="4858"/>
      <c r="X38" s="4858"/>
      <c r="Y38" s="4858"/>
      <c r="Z38" s="4858"/>
      <c r="AA38" s="4858"/>
      <c r="AB38" s="4858"/>
      <c r="AC38" s="4858"/>
      <c r="AD38" s="4858"/>
      <c r="AE38" s="4858"/>
      <c r="AF38" s="4858"/>
      <c r="AG38" s="4858"/>
      <c r="AH38" s="4858"/>
      <c r="AI38" s="4858"/>
      <c r="AJ38" s="4858"/>
      <c r="AK38" s="4858"/>
      <c r="AL38" s="4875"/>
      <c r="AM38" s="786"/>
      <c r="AN38" s="4876"/>
      <c r="AO38" s="1126"/>
      <c r="AP38"/>
      <c r="AQ38"/>
      <c r="AR38"/>
      <c r="AS38"/>
      <c r="AT38"/>
      <c r="AU38"/>
      <c r="AV38"/>
      <c r="BO38"/>
      <c r="BP38"/>
      <c r="BQ38" s="4860"/>
      <c r="BR38" s="4860"/>
      <c r="BS38" s="4860"/>
      <c r="BT38" s="4860"/>
      <c r="BU38" s="4860"/>
      <c r="BV38" s="4860"/>
      <c r="BW38" s="4860"/>
      <c r="BX38" s="4860"/>
      <c r="BY38" s="4860"/>
      <c r="BZ38" s="4860"/>
      <c r="CA38" s="4860"/>
    </row>
    <row r="39" spans="1:79" s="42" customFormat="1" ht="15.75" customHeight="1">
      <c r="A39" s="78"/>
      <c r="B39" s="6851"/>
      <c r="C39" s="5532"/>
      <c r="D39" s="5533"/>
      <c r="E39" s="412" t="s">
        <v>5254</v>
      </c>
      <c r="F39" s="412"/>
      <c r="G39" s="412"/>
      <c r="H39" s="4874"/>
      <c r="I39" s="412"/>
      <c r="J39" s="412"/>
      <c r="K39" s="4858"/>
      <c r="L39" s="4858"/>
      <c r="M39" s="4858"/>
      <c r="N39" s="4858"/>
      <c r="O39" s="4858"/>
      <c r="P39" s="4858"/>
      <c r="Q39" s="4858"/>
      <c r="R39" s="4858"/>
      <c r="S39" s="4858"/>
      <c r="T39" s="4858"/>
      <c r="U39" s="4858"/>
      <c r="V39" s="4858"/>
      <c r="W39" s="4858"/>
      <c r="X39" s="4858"/>
      <c r="Y39" s="4858"/>
      <c r="Z39" s="4858"/>
      <c r="AA39" s="4858"/>
      <c r="AB39" s="4858"/>
      <c r="AC39" s="4858"/>
      <c r="AD39" s="4858"/>
      <c r="AE39" s="4858"/>
      <c r="AF39" s="4858"/>
      <c r="AG39" s="4858"/>
      <c r="AH39" s="4858"/>
      <c r="AI39" s="4858"/>
      <c r="AJ39" s="4858"/>
      <c r="AK39" s="4858"/>
      <c r="AL39" s="4875"/>
      <c r="AM39" s="786"/>
      <c r="AN39" s="4876"/>
      <c r="AO39" s="1126"/>
      <c r="AP39"/>
      <c r="AQ39"/>
      <c r="AR39"/>
      <c r="AS39"/>
      <c r="AT39"/>
      <c r="AU39"/>
      <c r="AV39"/>
      <c r="BO39"/>
      <c r="BP39"/>
      <c r="BQ39" s="4860"/>
      <c r="BR39" s="4860"/>
      <c r="BS39" s="4860"/>
      <c r="BT39" s="4860"/>
      <c r="BU39" s="4860"/>
      <c r="BV39" s="4860"/>
      <c r="BW39" s="4860"/>
      <c r="BX39" s="4860"/>
      <c r="BY39" s="4860"/>
      <c r="BZ39" s="4860"/>
      <c r="CA39" s="4860"/>
    </row>
    <row r="40" spans="1:79" s="42" customFormat="1" ht="8.25" customHeight="1">
      <c r="A40" s="78"/>
      <c r="B40" s="6851"/>
      <c r="C40" s="4856"/>
      <c r="D40" s="4857"/>
      <c r="E40" s="4874"/>
      <c r="F40" s="412"/>
      <c r="G40" s="412"/>
      <c r="H40" s="4874"/>
      <c r="I40" s="412"/>
      <c r="J40" s="412"/>
      <c r="K40" s="4858"/>
      <c r="L40" s="4858"/>
      <c r="M40" s="4858"/>
      <c r="N40" s="4858"/>
      <c r="O40" s="4858"/>
      <c r="P40" s="4858"/>
      <c r="Q40" s="4858"/>
      <c r="R40" s="4858"/>
      <c r="S40" s="4858"/>
      <c r="T40" s="4858"/>
      <c r="U40" s="4858"/>
      <c r="V40" s="4858"/>
      <c r="W40" s="4858"/>
      <c r="X40" s="4858"/>
      <c r="Y40" s="4858"/>
      <c r="Z40" s="4858"/>
      <c r="AA40" s="4858"/>
      <c r="AB40" s="4858"/>
      <c r="AC40" s="4858"/>
      <c r="AD40" s="4858"/>
      <c r="AE40" s="4858"/>
      <c r="AF40" s="4858"/>
      <c r="AG40" s="4858"/>
      <c r="AH40" s="4858"/>
      <c r="AI40" s="4882"/>
      <c r="AJ40" s="4882"/>
      <c r="AK40" s="4882"/>
      <c r="AL40" s="4875"/>
      <c r="AM40" s="786"/>
      <c r="AN40" s="4876"/>
      <c r="AO40" s="1126"/>
      <c r="AP40"/>
      <c r="AQ40"/>
      <c r="AR40"/>
      <c r="AS40"/>
      <c r="AT40"/>
      <c r="AU40"/>
      <c r="AV40"/>
      <c r="BO40"/>
      <c r="BP40"/>
      <c r="BQ40" s="4860"/>
      <c r="BR40" s="4860"/>
      <c r="BS40" s="4860"/>
      <c r="BT40" s="4860"/>
      <c r="BU40" s="4860"/>
      <c r="BV40" s="4860"/>
      <c r="BW40" s="4860"/>
      <c r="BX40" s="4860"/>
      <c r="BY40" s="4860"/>
      <c r="BZ40" s="4860"/>
      <c r="CA40" s="4860"/>
    </row>
    <row r="41" spans="1:79" s="42" customFormat="1" ht="15.75" customHeight="1">
      <c r="A41" s="78"/>
      <c r="B41" s="6851"/>
      <c r="C41" s="6832" t="b">
        <f>E41&lt;&gt;""</f>
        <v>0</v>
      </c>
      <c r="D41" s="6833"/>
      <c r="E41" s="4880" t="str">
        <f>IF(OR(C17,C21,C28,C33),"",IF(E43="","X",""))</f>
        <v/>
      </c>
      <c r="F41" s="4877" t="s">
        <v>416</v>
      </c>
      <c r="G41" s="412"/>
      <c r="H41" s="4874" t="s">
        <v>5255</v>
      </c>
      <c r="I41" s="412"/>
      <c r="J41" s="412"/>
      <c r="K41" s="4858"/>
      <c r="L41" s="4858"/>
      <c r="M41" s="4858"/>
      <c r="N41" s="4858"/>
      <c r="O41" s="4858"/>
      <c r="P41" s="4858"/>
      <c r="Q41" s="4858"/>
      <c r="R41" s="4858"/>
      <c r="S41" s="4858"/>
      <c r="T41" s="4858"/>
      <c r="U41" s="4858"/>
      <c r="V41" s="4858"/>
      <c r="W41" s="4858"/>
      <c r="X41" s="4858"/>
      <c r="Y41" s="4858"/>
      <c r="Z41" s="4858"/>
      <c r="AA41" s="4858"/>
      <c r="AB41" s="4858"/>
      <c r="AC41" s="4858"/>
      <c r="AD41" s="4858"/>
      <c r="AE41" s="4858"/>
      <c r="AF41" s="4858"/>
      <c r="AG41" s="4858"/>
      <c r="AH41" s="4858"/>
      <c r="AI41" s="6830" t="b">
        <f>AND(NOT($AI$13),E41&lt;&gt;"")</f>
        <v>0</v>
      </c>
      <c r="AJ41" s="6830"/>
      <c r="AK41" s="6830"/>
      <c r="AL41" s="4875"/>
      <c r="AM41" s="786"/>
      <c r="AN41" s="4876"/>
      <c r="AO41" s="1126"/>
      <c r="AP41"/>
      <c r="AQ41"/>
      <c r="AR41"/>
      <c r="AS41"/>
      <c r="AT41"/>
      <c r="AU41"/>
      <c r="AV41"/>
      <c r="BO41"/>
      <c r="BP41"/>
      <c r="BQ41" s="4860"/>
      <c r="BR41" s="4860"/>
      <c r="BS41" s="4860"/>
      <c r="BT41" s="4860"/>
      <c r="BU41" s="4860"/>
      <c r="BV41" s="4860"/>
      <c r="BW41" s="4860"/>
      <c r="BX41" s="4860"/>
      <c r="BY41" s="4860"/>
      <c r="BZ41" s="4860"/>
      <c r="CA41" s="4860"/>
    </row>
    <row r="42" spans="1:79" s="42" customFormat="1" ht="8.25" customHeight="1">
      <c r="A42" s="78"/>
      <c r="B42" s="6851"/>
      <c r="C42" s="4912"/>
      <c r="D42" s="4913"/>
      <c r="E42" s="4874"/>
      <c r="F42" s="412"/>
      <c r="G42" s="412"/>
      <c r="H42" s="4874"/>
      <c r="I42" s="412"/>
      <c r="J42" s="412"/>
      <c r="K42" s="4858"/>
      <c r="L42" s="4858"/>
      <c r="M42" s="4858"/>
      <c r="N42" s="4858"/>
      <c r="O42" s="4858"/>
      <c r="P42" s="4858"/>
      <c r="Q42" s="4858"/>
      <c r="R42" s="4858"/>
      <c r="S42" s="4858"/>
      <c r="T42" s="4858"/>
      <c r="U42" s="4858"/>
      <c r="V42" s="4858"/>
      <c r="W42" s="4858"/>
      <c r="X42" s="4858"/>
      <c r="Y42" s="4858"/>
      <c r="Z42" s="4858"/>
      <c r="AA42" s="4858"/>
      <c r="AB42" s="4858"/>
      <c r="AC42" s="4858"/>
      <c r="AD42" s="4858"/>
      <c r="AE42" s="4858"/>
      <c r="AF42" s="4858"/>
      <c r="AG42" s="4858"/>
      <c r="AH42" s="4858"/>
      <c r="AI42" s="4882"/>
      <c r="AJ42" s="4882"/>
      <c r="AK42" s="4882"/>
      <c r="AL42" s="4875"/>
      <c r="AM42" s="786"/>
      <c r="AN42" s="4876"/>
      <c r="AO42" s="1126"/>
      <c r="AP42"/>
      <c r="AQ42"/>
      <c r="AR42"/>
      <c r="AS42"/>
      <c r="AT42"/>
      <c r="AU42"/>
      <c r="AV42"/>
      <c r="BO42"/>
      <c r="BP42"/>
      <c r="BQ42" s="4860"/>
      <c r="BR42" s="4860"/>
      <c r="BS42" s="4860"/>
      <c r="BT42" s="4860"/>
      <c r="BU42" s="4860"/>
      <c r="BV42" s="4860"/>
      <c r="BW42" s="4860"/>
      <c r="BX42" s="4860"/>
      <c r="BY42" s="4860"/>
      <c r="BZ42" s="4860"/>
      <c r="CA42" s="4860"/>
    </row>
    <row r="43" spans="1:79" s="42" customFormat="1" ht="15.75" customHeight="1">
      <c r="A43" s="78"/>
      <c r="B43" s="6851"/>
      <c r="C43" s="6832" t="b">
        <f>E43&lt;&gt;""</f>
        <v>0</v>
      </c>
      <c r="D43" s="6833"/>
      <c r="E43" s="4879"/>
      <c r="F43" s="4877" t="s">
        <v>414</v>
      </c>
      <c r="G43" s="412"/>
      <c r="H43" s="4874" t="s">
        <v>5256</v>
      </c>
      <c r="I43" s="4874"/>
      <c r="J43" s="4874"/>
      <c r="K43" s="4874"/>
      <c r="L43" s="4874"/>
      <c r="M43" s="4874"/>
      <c r="N43" s="4874"/>
      <c r="O43" s="4874"/>
      <c r="P43" s="4874"/>
      <c r="Q43" s="4874"/>
      <c r="R43" s="4874"/>
      <c r="S43" s="4874"/>
      <c r="T43" s="4874"/>
      <c r="U43" s="4874"/>
      <c r="V43" s="4874"/>
      <c r="W43" s="4874"/>
      <c r="X43" s="4874"/>
      <c r="Y43" s="4874"/>
      <c r="Z43" s="4874"/>
      <c r="AA43" s="4874"/>
      <c r="AB43" s="4874"/>
      <c r="AC43" s="4874"/>
      <c r="AD43" s="4874"/>
      <c r="AE43" s="4874"/>
      <c r="AF43" s="4874"/>
      <c r="AG43" s="4858"/>
      <c r="AH43" s="4858"/>
      <c r="AI43" s="6834" t="b">
        <f>OR(C17,C43)</f>
        <v>0</v>
      </c>
      <c r="AJ43" s="6834"/>
      <c r="AK43" s="6834"/>
      <c r="AL43" s="4875"/>
      <c r="AM43" s="786"/>
      <c r="AN43" s="4876"/>
      <c r="AO43" s="1126"/>
      <c r="AP43"/>
      <c r="AQ43"/>
      <c r="AR43"/>
      <c r="AS43"/>
      <c r="AT43"/>
      <c r="AU43"/>
      <c r="AV43"/>
      <c r="BO43"/>
      <c r="BP43"/>
      <c r="BQ43" s="4860"/>
      <c r="BR43" s="4860"/>
      <c r="BS43" s="4860"/>
      <c r="BT43" s="4860"/>
      <c r="BU43" s="4860"/>
      <c r="BV43" s="4860"/>
      <c r="BW43" s="4860"/>
      <c r="BX43" s="4860"/>
      <c r="BY43" s="4860"/>
      <c r="BZ43" s="4860"/>
      <c r="CA43" s="4860"/>
    </row>
    <row r="44" spans="1:79" s="42" customFormat="1" ht="8.25" customHeight="1">
      <c r="A44" s="78"/>
      <c r="B44" s="6852"/>
      <c r="C44" s="6835" t="b">
        <f>AND(File_Marr_Joint="",E25="",E31&lt;&gt;"")</f>
        <v>0</v>
      </c>
      <c r="D44" s="6836"/>
      <c r="E44" s="4904"/>
      <c r="F44" s="4904"/>
      <c r="G44" s="4904"/>
      <c r="H44" s="4905"/>
      <c r="I44" s="4904"/>
      <c r="J44" s="4904"/>
      <c r="K44" s="4903"/>
      <c r="L44" s="4903"/>
      <c r="M44" s="4903"/>
      <c r="N44" s="4903"/>
      <c r="O44" s="4903"/>
      <c r="P44" s="4903"/>
      <c r="Q44" s="4903"/>
      <c r="R44" s="4903"/>
      <c r="S44" s="4903"/>
      <c r="T44" s="4903"/>
      <c r="U44" s="4903"/>
      <c r="V44" s="4903"/>
      <c r="W44" s="4903"/>
      <c r="X44" s="4903"/>
      <c r="Y44" s="4903"/>
      <c r="Z44" s="4903"/>
      <c r="AA44" s="4903"/>
      <c r="AB44" s="4903"/>
      <c r="AC44" s="4903"/>
      <c r="AD44" s="4903"/>
      <c r="AE44" s="4903"/>
      <c r="AF44" s="4903"/>
      <c r="AG44" s="4903"/>
      <c r="AH44" s="4903"/>
      <c r="AI44" s="4903"/>
      <c r="AJ44" s="4903"/>
      <c r="AK44" s="4903"/>
      <c r="AL44" s="4906"/>
      <c r="AM44" s="786"/>
      <c r="AN44" s="4876"/>
      <c r="AO44" s="1126"/>
      <c r="AP44"/>
      <c r="AQ44"/>
      <c r="AR44"/>
      <c r="AS44"/>
      <c r="AT44"/>
      <c r="AU44"/>
      <c r="AV44"/>
      <c r="BO44"/>
      <c r="BP44"/>
      <c r="BQ44" s="4860"/>
      <c r="BR44" s="4860"/>
      <c r="BS44" s="4860"/>
      <c r="BT44" s="4860"/>
      <c r="BU44" s="4860"/>
      <c r="BV44" s="4860"/>
      <c r="BW44" s="4860"/>
      <c r="BX44" s="4860"/>
      <c r="BY44" s="4860"/>
      <c r="BZ44" s="4860"/>
      <c r="CA44" s="4860"/>
    </row>
    <row r="45" spans="1:79" s="42" customFormat="1" ht="19.5" customHeight="1">
      <c r="A45" s="78"/>
      <c r="B45" s="6850" t="s">
        <v>5283</v>
      </c>
      <c r="C45" s="4881" t="s">
        <v>67</v>
      </c>
      <c r="D45" s="4858"/>
      <c r="E45" s="412" t="s">
        <v>355</v>
      </c>
      <c r="F45" s="412"/>
      <c r="G45" s="412"/>
      <c r="H45" s="4874"/>
      <c r="I45" s="4874"/>
      <c r="J45" s="4874"/>
      <c r="K45" s="4874"/>
      <c r="L45" s="4874"/>
      <c r="M45" s="4874"/>
      <c r="N45" s="4874"/>
      <c r="O45" s="4874"/>
      <c r="P45" s="4874"/>
      <c r="Q45" s="4874"/>
      <c r="R45" s="4874"/>
      <c r="S45" s="4874"/>
      <c r="T45" s="4874"/>
      <c r="U45" s="4874"/>
      <c r="V45" s="4874"/>
      <c r="W45" s="4874"/>
      <c r="X45" s="4874"/>
      <c r="Y45" s="4874"/>
      <c r="Z45" s="4874"/>
      <c r="AA45" s="4874"/>
      <c r="AB45" s="4874"/>
      <c r="AC45" s="4874"/>
      <c r="AD45" s="4874"/>
      <c r="AE45" s="4874"/>
      <c r="AF45" s="4874"/>
      <c r="AG45" s="4858"/>
      <c r="AH45" s="4858"/>
      <c r="AI45" s="4858"/>
      <c r="AJ45" s="4858"/>
      <c r="AK45" s="4858"/>
      <c r="AL45" s="4875"/>
      <c r="AM45" s="786"/>
      <c r="AN45" s="4876"/>
      <c r="AO45" s="1126"/>
      <c r="AP45"/>
      <c r="AQ45"/>
      <c r="AR45"/>
      <c r="AS45"/>
      <c r="AT45"/>
      <c r="AU45"/>
      <c r="AV45"/>
      <c r="BO45"/>
      <c r="BP45"/>
      <c r="BQ45" s="4860"/>
      <c r="BR45" s="4860"/>
      <c r="BS45" s="4860"/>
      <c r="BT45" s="4860"/>
      <c r="BU45" s="4860"/>
      <c r="BV45" s="4860"/>
      <c r="BW45" s="4860"/>
      <c r="BX45" s="4860"/>
      <c r="BY45" s="4860"/>
      <c r="BZ45" s="4860"/>
      <c r="CA45" s="4860"/>
    </row>
    <row r="46" spans="1:79" s="42" customFormat="1" ht="15.75" customHeight="1">
      <c r="A46" s="78"/>
      <c r="B46" s="6851"/>
      <c r="C46" s="4856"/>
      <c r="D46" s="4858"/>
      <c r="E46" s="4878" t="s">
        <v>1275</v>
      </c>
      <c r="F46" s="412" t="str">
        <f>TEXT(AC46,"$0,000")&amp;" if single, head of household, married filing separately, or qualifying widow(er),"</f>
        <v>$1,400 if single, head of household, married filing separately, or qualifying widow(er),</v>
      </c>
      <c r="G46" s="412"/>
      <c r="H46" s="4874"/>
      <c r="I46" s="4874"/>
      <c r="J46" s="4874"/>
      <c r="K46" s="4874"/>
      <c r="L46" s="4874"/>
      <c r="M46" s="4874"/>
      <c r="N46" s="4874"/>
      <c r="O46" s="4874"/>
      <c r="P46" s="4874"/>
      <c r="Q46" s="4874"/>
      <c r="R46" s="4874"/>
      <c r="S46" s="4874"/>
      <c r="T46" s="4874"/>
      <c r="U46" s="4874"/>
      <c r="V46" s="4874"/>
      <c r="W46" s="4874"/>
      <c r="X46" s="4874"/>
      <c r="Y46" s="4874"/>
      <c r="Z46" s="4874"/>
      <c r="AA46" s="4874"/>
      <c r="AB46" s="4874"/>
      <c r="AC46" s="6837">
        <v>1400</v>
      </c>
      <c r="AD46" s="6837"/>
      <c r="AE46" s="6837"/>
      <c r="AF46" s="4874"/>
      <c r="AG46" s="4858"/>
      <c r="AH46" s="4858"/>
      <c r="AI46" s="4858"/>
      <c r="AJ46" s="4858"/>
      <c r="AK46" s="4858"/>
      <c r="AL46" s="4875"/>
      <c r="AM46" s="786"/>
      <c r="AN46" s="4876"/>
      <c r="AO46" s="1126"/>
      <c r="AP46"/>
      <c r="AQ46"/>
      <c r="AR46"/>
      <c r="AS46"/>
      <c r="AT46"/>
      <c r="AU46"/>
      <c r="AV46"/>
      <c r="BO46"/>
      <c r="BP46"/>
      <c r="BQ46" s="4860"/>
      <c r="BR46" s="4860"/>
      <c r="BS46" s="4860"/>
      <c r="BT46" s="4860"/>
      <c r="BU46" s="4860"/>
      <c r="BV46" s="4860"/>
      <c r="BW46" s="4860"/>
      <c r="BX46" s="4860"/>
      <c r="BY46" s="4860"/>
      <c r="BZ46" s="4860"/>
      <c r="CA46" s="4860"/>
    </row>
    <row r="47" spans="1:79" s="42" customFormat="1" ht="15.75" customHeight="1">
      <c r="A47" s="78"/>
      <c r="B47" s="6851"/>
      <c r="C47" s="4856"/>
      <c r="D47" s="4858"/>
      <c r="E47" s="4878" t="s">
        <v>1275</v>
      </c>
      <c r="F47" s="412" t="str">
        <f>TEXT(AC47,"$0,000")&amp;" if married filing jointly and you answered “Yes” to question 4, or"</f>
        <v>$1,400 if married filing jointly and you answered “Yes” to question 4, or</v>
      </c>
      <c r="G47" s="412"/>
      <c r="H47" s="4874"/>
      <c r="I47" s="4874"/>
      <c r="J47" s="4874"/>
      <c r="K47" s="4874"/>
      <c r="L47" s="4874"/>
      <c r="M47" s="4874"/>
      <c r="N47" s="4874"/>
      <c r="O47" s="4874"/>
      <c r="P47" s="4874"/>
      <c r="Q47" s="4874"/>
      <c r="R47" s="4874"/>
      <c r="S47" s="4874"/>
      <c r="T47" s="4874"/>
      <c r="U47" s="4874"/>
      <c r="V47" s="4874"/>
      <c r="W47" s="4874"/>
      <c r="X47" s="4874"/>
      <c r="Y47" s="4874"/>
      <c r="Z47" s="4874"/>
      <c r="AA47" s="4874"/>
      <c r="AB47" s="4874"/>
      <c r="AC47" s="6837">
        <v>1400</v>
      </c>
      <c r="AD47" s="6837"/>
      <c r="AE47" s="6837"/>
      <c r="AF47" s="4874"/>
      <c r="AG47" s="4909" t="s">
        <v>67</v>
      </c>
      <c r="AH47" s="6563" t="str">
        <f>IF($AI$43,"",IF(AND(File_Marr_Joint&lt;&gt;"",C33),AC47,IF(AND(File_Marr_Joint&lt;&gt;"",OR(C21,C28)),AC48,IF(AND(File_Marr_Joint&lt;&gt;"",C41),0,IF(OR(File_Single&lt;&gt;"",File_Head&lt;&gt;"",File_Marr_Sep&lt;&gt;"",File_Qual_Widow&lt;&gt;""),AC46,"Filing status?")))))</f>
        <v>Filing status?</v>
      </c>
      <c r="AI47" s="6563"/>
      <c r="AJ47" s="6563"/>
      <c r="AK47" s="6563"/>
      <c r="AL47" s="4875"/>
      <c r="AM47" s="786"/>
      <c r="AN47" s="4876"/>
      <c r="AO47" s="1126"/>
      <c r="AP47"/>
      <c r="AQ47"/>
      <c r="AR47"/>
      <c r="AS47"/>
      <c r="AT47"/>
      <c r="AU47"/>
      <c r="AV47"/>
      <c r="BO47"/>
      <c r="BP47"/>
      <c r="BQ47" s="4860"/>
      <c r="BR47" s="4860"/>
      <c r="BS47" s="4860"/>
      <c r="BT47" s="4860"/>
      <c r="BU47" s="4860"/>
      <c r="BV47" s="4860"/>
      <c r="BW47" s="4860"/>
      <c r="BX47" s="4860"/>
      <c r="BY47" s="4860"/>
      <c r="BZ47" s="4860"/>
      <c r="CA47" s="4860"/>
    </row>
    <row r="48" spans="1:79" s="42" customFormat="1" ht="15.75" customHeight="1">
      <c r="A48" s="78"/>
      <c r="B48" s="6851"/>
      <c r="C48" s="4856"/>
      <c r="D48" s="4858"/>
      <c r="E48" s="4878" t="s">
        <v>1275</v>
      </c>
      <c r="F48" s="412" t="str">
        <f>TEXT(AC48,"$0,000")&amp;" if married filing jointly and you answered “Yes” to question 2 or 3"</f>
        <v>$2,800 if married filing jointly and you answered “Yes” to question 2 or 3</v>
      </c>
      <c r="G48" s="412"/>
      <c r="H48" s="4874"/>
      <c r="I48" s="4874"/>
      <c r="J48" s="4874"/>
      <c r="K48" s="4874"/>
      <c r="L48" s="4874"/>
      <c r="M48" s="4874"/>
      <c r="N48" s="4874"/>
      <c r="O48" s="4874"/>
      <c r="P48" s="4874"/>
      <c r="Q48" s="4874"/>
      <c r="R48" s="4874"/>
      <c r="S48" s="4874"/>
      <c r="T48" s="4874"/>
      <c r="U48" s="4874"/>
      <c r="V48" s="4874"/>
      <c r="W48" s="4874"/>
      <c r="X48" s="4874"/>
      <c r="Y48" s="4874"/>
      <c r="Z48" s="4874"/>
      <c r="AA48" s="4874"/>
      <c r="AB48" s="4874"/>
      <c r="AC48" s="6837">
        <v>2800</v>
      </c>
      <c r="AD48" s="6837"/>
      <c r="AE48" s="6837"/>
      <c r="AF48" s="4874"/>
      <c r="AG48" s="4858"/>
      <c r="AH48" s="4858"/>
      <c r="AI48" s="4858"/>
      <c r="AJ48" s="4858"/>
      <c r="AK48" s="4858"/>
      <c r="AL48" s="4875"/>
      <c r="AM48" s="786"/>
      <c r="AN48" s="4876"/>
      <c r="AO48" s="1126"/>
      <c r="AP48"/>
      <c r="AQ48"/>
      <c r="AR48"/>
      <c r="AS48"/>
      <c r="AT48"/>
      <c r="AU48"/>
      <c r="AV48"/>
      <c r="BO48"/>
      <c r="BP48"/>
      <c r="BQ48" s="4860"/>
      <c r="BR48" s="4860"/>
      <c r="BS48" s="4860"/>
      <c r="BT48" s="4860"/>
      <c r="BU48" s="4860"/>
      <c r="BV48" s="4860"/>
      <c r="BW48" s="4860"/>
      <c r="BX48" s="4860"/>
      <c r="BY48" s="4860"/>
      <c r="BZ48" s="4860"/>
      <c r="CA48" s="4860"/>
    </row>
    <row r="49" spans="1:79" s="42" customFormat="1" ht="12" customHeight="1">
      <c r="A49" s="78"/>
      <c r="B49" s="6851"/>
      <c r="C49" s="5532"/>
      <c r="D49" s="5533"/>
      <c r="E49" s="412"/>
      <c r="F49" s="412"/>
      <c r="G49" s="412"/>
      <c r="H49" s="4874"/>
      <c r="I49" s="412"/>
      <c r="J49" s="412"/>
      <c r="K49" s="4858"/>
      <c r="L49" s="4858"/>
      <c r="M49" s="4858"/>
      <c r="N49" s="4858"/>
      <c r="O49" s="4858"/>
      <c r="P49" s="4858"/>
      <c r="Q49" s="4858"/>
      <c r="R49" s="4858"/>
      <c r="S49" s="4858"/>
      <c r="T49" s="4858"/>
      <c r="U49" s="4858"/>
      <c r="V49" s="4858"/>
      <c r="W49" s="4858"/>
      <c r="X49" s="4858"/>
      <c r="Y49" s="4858"/>
      <c r="Z49" s="4858"/>
      <c r="AA49" s="4858"/>
      <c r="AB49" s="4858"/>
      <c r="AC49" s="4858"/>
      <c r="AD49" s="4858"/>
      <c r="AE49" s="4858"/>
      <c r="AF49" s="4858"/>
      <c r="AG49" s="4858"/>
      <c r="AH49" s="4858"/>
      <c r="AI49" s="4858"/>
      <c r="AJ49" s="4858"/>
      <c r="AK49" s="4858"/>
      <c r="AL49" s="4875"/>
      <c r="AM49" s="786"/>
      <c r="AN49" s="4876"/>
      <c r="AO49" s="1126"/>
      <c r="AP49"/>
      <c r="AQ49"/>
      <c r="AR49"/>
      <c r="AS49"/>
      <c r="AT49"/>
      <c r="AU49"/>
      <c r="AV49"/>
      <c r="BO49"/>
      <c r="BP49"/>
      <c r="BQ49" s="4860"/>
      <c r="BR49" s="4860"/>
      <c r="BS49" s="4860"/>
      <c r="BT49" s="4860"/>
      <c r="BU49" s="4860"/>
      <c r="BV49" s="4860"/>
      <c r="BW49" s="4860"/>
      <c r="BX49" s="4860"/>
      <c r="BY49" s="4860"/>
      <c r="BZ49" s="4860"/>
      <c r="CA49" s="4860"/>
    </row>
    <row r="50" spans="1:79" s="42" customFormat="1" ht="15.75" customHeight="1">
      <c r="A50" s="78"/>
      <c r="B50" s="6851"/>
      <c r="C50" s="4881" t="s">
        <v>68</v>
      </c>
      <c r="D50" s="5533"/>
      <c r="E50" s="412" t="str">
        <f>"Multiply "&amp;TEXT(AC46,"$0,000")&amp;" by the number of dependents listed in the Dependents section on page 1 of Form 1040 or"</f>
        <v>Multiply $1,400 by the number of dependents listed in the Dependents section on page 1 of Form 1040 or</v>
      </c>
      <c r="F50" s="412"/>
      <c r="G50" s="412"/>
      <c r="H50" s="4874"/>
      <c r="I50" s="412"/>
      <c r="J50" s="412"/>
      <c r="K50" s="4858"/>
      <c r="L50" s="4858"/>
      <c r="M50" s="4858"/>
      <c r="N50" s="4858"/>
      <c r="O50" s="4858"/>
      <c r="P50" s="4858"/>
      <c r="Q50" s="4858"/>
      <c r="R50" s="4858"/>
      <c r="S50" s="4858"/>
      <c r="T50" s="4858"/>
      <c r="U50" s="4858"/>
      <c r="V50" s="4858"/>
      <c r="W50" s="4858"/>
      <c r="X50" s="4858"/>
      <c r="Y50" s="4858"/>
      <c r="Z50" s="4858"/>
      <c r="AA50" s="4858"/>
      <c r="AB50" s="4858"/>
      <c r="AC50" s="4858"/>
      <c r="AD50" s="4858"/>
      <c r="AE50" s="4858"/>
      <c r="AF50" s="4858"/>
      <c r="AG50" s="4858"/>
      <c r="AH50" s="4858"/>
      <c r="AI50" s="4858"/>
      <c r="AJ50" s="4858"/>
      <c r="AK50" s="4858"/>
      <c r="AL50" s="4875"/>
      <c r="AM50" s="786"/>
      <c r="AN50" s="4876"/>
      <c r="AO50" s="1126"/>
      <c r="AP50"/>
      <c r="AQ50"/>
      <c r="AR50"/>
      <c r="AS50"/>
      <c r="AT50"/>
      <c r="AU50"/>
      <c r="AV50"/>
      <c r="BO50"/>
      <c r="BP50"/>
      <c r="BQ50" s="4860"/>
      <c r="BR50" s="4860"/>
      <c r="BS50" s="4860"/>
      <c r="BT50" s="4860"/>
      <c r="BU50" s="4860"/>
      <c r="BV50" s="4860"/>
      <c r="BW50" s="4860"/>
      <c r="BX50" s="4860"/>
      <c r="BY50" s="4860"/>
      <c r="BZ50" s="4860"/>
      <c r="CA50" s="4860"/>
    </row>
    <row r="51" spans="1:79" s="42" customFormat="1" ht="15.75" customHeight="1">
      <c r="A51" s="78"/>
      <c r="B51" s="6851"/>
      <c r="C51" s="5532"/>
      <c r="D51" s="5533"/>
      <c r="E51" s="412" t="str">
        <f>"1040-SR for whom you entered a social security number that was issued on or before the due date of your "&amp;TaxYear</f>
        <v>1040-SR for whom you entered a social security number that was issued on or before the due date of your 2021</v>
      </c>
      <c r="F51" s="412"/>
      <c r="G51" s="412"/>
      <c r="H51" s="4874"/>
      <c r="I51" s="412"/>
      <c r="J51" s="412"/>
      <c r="K51" s="4858"/>
      <c r="L51" s="4858"/>
      <c r="M51" s="4858"/>
      <c r="N51" s="4858"/>
      <c r="O51" s="4858"/>
      <c r="P51" s="4858"/>
      <c r="Q51" s="4858"/>
      <c r="R51" s="4858"/>
      <c r="S51" s="4858"/>
      <c r="T51" s="4858"/>
      <c r="U51" s="4858"/>
      <c r="V51" s="4858"/>
      <c r="W51" s="4858"/>
      <c r="X51" s="4858"/>
      <c r="Y51" s="4858"/>
      <c r="Z51" s="4858"/>
      <c r="AA51" s="4858"/>
      <c r="AB51" s="4858"/>
      <c r="AC51" s="4858"/>
      <c r="AD51" s="4858"/>
      <c r="AE51" s="4858"/>
      <c r="AF51" s="4858"/>
      <c r="AG51" s="4858"/>
      <c r="AH51" s="4858"/>
      <c r="AI51" s="4858"/>
      <c r="AJ51" s="4858"/>
      <c r="AK51" s="4858"/>
      <c r="AL51" s="4875"/>
      <c r="AM51" s="786"/>
      <c r="AN51" s="4876"/>
      <c r="AO51" s="1126"/>
      <c r="AP51"/>
      <c r="AQ51"/>
      <c r="AR51"/>
      <c r="AS51"/>
      <c r="AT51"/>
      <c r="AU51"/>
      <c r="AV51"/>
      <c r="BO51"/>
      <c r="BP51"/>
      <c r="BQ51" s="4860"/>
      <c r="BR51" s="4860"/>
      <c r="BS51" s="4860"/>
      <c r="BT51" s="4860"/>
      <c r="BU51" s="4860"/>
      <c r="BV51" s="4860"/>
      <c r="BW51" s="4860"/>
      <c r="BX51" s="4860"/>
      <c r="BY51" s="4860"/>
      <c r="BZ51" s="4860"/>
      <c r="CA51" s="4860"/>
    </row>
    <row r="52" spans="1:79" s="42" customFormat="1" ht="15.75" customHeight="1">
      <c r="A52" s="78"/>
      <c r="B52" s="6851"/>
      <c r="C52" s="4856"/>
      <c r="D52" s="4858"/>
      <c r="E52" s="412" t="s">
        <v>5258</v>
      </c>
      <c r="F52" s="412"/>
      <c r="G52" s="412"/>
      <c r="H52" s="4874"/>
      <c r="I52" s="412"/>
      <c r="J52" s="412"/>
      <c r="K52" s="4858"/>
      <c r="L52" s="4858"/>
      <c r="M52" s="4858"/>
      <c r="N52" s="4858"/>
      <c r="O52" s="4858"/>
      <c r="P52" s="4858"/>
      <c r="Q52" s="4858"/>
      <c r="R52" s="4858"/>
      <c r="S52" s="4858"/>
      <c r="T52" s="4858"/>
      <c r="U52" s="4858"/>
      <c r="V52" s="4858"/>
      <c r="W52" s="4858"/>
      <c r="X52" s="4858"/>
      <c r="Y52" s="4858"/>
      <c r="Z52" s="4858"/>
      <c r="AA52" s="4858"/>
      <c r="AB52" s="4858"/>
      <c r="AC52" s="4858"/>
      <c r="AD52" s="4858"/>
      <c r="AE52" s="4858"/>
      <c r="AF52" s="4858"/>
      <c r="AG52" s="4909" t="s">
        <v>68</v>
      </c>
      <c r="AH52" s="6563">
        <f>(AC46*Dependents!BD41)</f>
        <v>0</v>
      </c>
      <c r="AI52" s="6563"/>
      <c r="AJ52" s="6563"/>
      <c r="AK52" s="6563"/>
      <c r="AL52" s="4875"/>
      <c r="AM52" s="786"/>
      <c r="AN52" s="4876"/>
      <c r="AO52" s="1126"/>
      <c r="AP52"/>
      <c r="AQ52"/>
      <c r="AR52"/>
      <c r="AS52"/>
      <c r="AT52"/>
      <c r="AU52"/>
      <c r="AV52"/>
      <c r="BO52"/>
      <c r="BP52"/>
      <c r="BQ52" s="4860"/>
      <c r="BR52" s="4860"/>
      <c r="BS52" s="4860"/>
      <c r="BT52" s="4860"/>
      <c r="BU52" s="4860"/>
      <c r="BV52" s="4860"/>
      <c r="BW52" s="4860"/>
      <c r="BX52" s="4860"/>
      <c r="BY52" s="4860"/>
      <c r="BZ52" s="4860"/>
      <c r="CA52" s="4860"/>
    </row>
    <row r="53" spans="1:79" s="42" customFormat="1" ht="15.75" customHeight="1">
      <c r="A53" s="78"/>
      <c r="B53" s="6851"/>
      <c r="C53" s="4881" t="s">
        <v>204</v>
      </c>
      <c r="D53" s="4858"/>
      <c r="E53" s="412" t="s">
        <v>1899</v>
      </c>
      <c r="F53" s="412"/>
      <c r="G53" s="412"/>
      <c r="H53" s="4874"/>
      <c r="I53" s="412"/>
      <c r="J53" s="412"/>
      <c r="K53" s="4858"/>
      <c r="L53" s="4858"/>
      <c r="M53" s="4858"/>
      <c r="N53" s="4858"/>
      <c r="O53" s="4858"/>
      <c r="P53" s="4858"/>
      <c r="Q53" s="4858"/>
      <c r="R53" s="4858"/>
      <c r="S53" s="4858"/>
      <c r="T53" s="4858"/>
      <c r="U53" s="4858"/>
      <c r="V53" s="4858"/>
      <c r="W53" s="4858"/>
      <c r="X53" s="4858"/>
      <c r="Y53" s="4858"/>
      <c r="Z53" s="4858"/>
      <c r="AA53" s="4858"/>
      <c r="AB53" s="4858"/>
      <c r="AC53" s="4858"/>
      <c r="AD53" s="4858"/>
      <c r="AE53" s="4858"/>
      <c r="AF53" s="4858" t="s">
        <v>2975</v>
      </c>
      <c r="AG53" s="4909" t="s">
        <v>204</v>
      </c>
      <c r="AH53" s="6563">
        <f>IF($AI$43,"",SUM(AH47,AH52))</f>
        <v>0</v>
      </c>
      <c r="AI53" s="6563"/>
      <c r="AJ53" s="6563"/>
      <c r="AK53" s="6563"/>
      <c r="AL53" s="4875"/>
      <c r="AM53" s="786"/>
      <c r="AN53" s="4876"/>
      <c r="AO53" s="1126"/>
      <c r="AP53"/>
      <c r="AQ53"/>
      <c r="AR53"/>
      <c r="AS53"/>
      <c r="AT53"/>
      <c r="AU53"/>
      <c r="AV53"/>
      <c r="BO53"/>
      <c r="BP53"/>
      <c r="BQ53" s="4860"/>
      <c r="BR53" s="4860"/>
      <c r="BS53" s="4860"/>
      <c r="BT53" s="4860"/>
      <c r="BU53" s="4860"/>
      <c r="BV53" s="4860"/>
      <c r="BW53" s="4860"/>
      <c r="BX53" s="4860"/>
      <c r="BY53" s="4860"/>
      <c r="BZ53" s="4860"/>
      <c r="CA53" s="4860"/>
    </row>
    <row r="54" spans="1:79" s="42" customFormat="1" ht="8.25" customHeight="1">
      <c r="A54" s="78"/>
      <c r="B54" s="6852"/>
      <c r="C54" s="4856"/>
      <c r="D54" s="4858"/>
      <c r="E54" s="412"/>
      <c r="F54" s="412"/>
      <c r="G54" s="412"/>
      <c r="H54" s="4874"/>
      <c r="I54" s="412"/>
      <c r="J54" s="412"/>
      <c r="K54" s="4858"/>
      <c r="L54" s="4858"/>
      <c r="M54" s="4858"/>
      <c r="N54" s="4858"/>
      <c r="O54" s="4858"/>
      <c r="P54" s="4858"/>
      <c r="Q54" s="4858"/>
      <c r="R54" s="4858"/>
      <c r="S54" s="4858"/>
      <c r="T54" s="4858"/>
      <c r="U54" s="4858"/>
      <c r="V54" s="4858"/>
      <c r="W54" s="4858"/>
      <c r="X54" s="4858"/>
      <c r="Y54" s="4858"/>
      <c r="Z54" s="4858"/>
      <c r="AA54" s="4858"/>
      <c r="AB54" s="4858"/>
      <c r="AC54" s="4858"/>
      <c r="AD54" s="4858"/>
      <c r="AE54" s="4858"/>
      <c r="AF54" s="4858"/>
      <c r="AG54" s="4858"/>
      <c r="AH54" s="4858"/>
      <c r="AI54" s="4858"/>
      <c r="AJ54" s="4858"/>
      <c r="AK54" s="4858"/>
      <c r="AL54" s="4875"/>
      <c r="AM54" s="786"/>
      <c r="AN54" s="4876"/>
      <c r="AO54" s="1126"/>
      <c r="AP54"/>
      <c r="AQ54"/>
      <c r="AR54"/>
      <c r="AS54"/>
      <c r="AT54"/>
      <c r="AU54"/>
      <c r="AV54"/>
      <c r="BO54"/>
      <c r="BP54"/>
      <c r="BQ54" s="4860"/>
      <c r="BR54" s="4860"/>
      <c r="BS54" s="4860"/>
      <c r="BT54" s="4860"/>
      <c r="BU54" s="4860"/>
      <c r="BV54" s="4860"/>
      <c r="BW54" s="4860"/>
      <c r="BX54" s="4860"/>
      <c r="BY54" s="4860"/>
      <c r="BZ54" s="4860"/>
      <c r="CA54" s="4860"/>
    </row>
    <row r="55" spans="1:79" s="42" customFormat="1" ht="19.5" customHeight="1">
      <c r="A55" s="78"/>
      <c r="B55" s="6850" t="s">
        <v>5284</v>
      </c>
      <c r="C55" s="5565" t="s">
        <v>205</v>
      </c>
      <c r="D55" s="5566"/>
      <c r="E55" s="5567" t="s">
        <v>5287</v>
      </c>
      <c r="F55" s="5567"/>
      <c r="G55" s="5567"/>
      <c r="H55" s="5568"/>
      <c r="I55" s="5568"/>
      <c r="J55" s="5568"/>
      <c r="K55" s="5568"/>
      <c r="L55" s="5568"/>
      <c r="M55" s="5568"/>
      <c r="N55" s="5568"/>
      <c r="O55" s="5568"/>
      <c r="P55" s="5568"/>
      <c r="Q55" s="5568"/>
      <c r="R55" s="5568"/>
      <c r="S55" s="5568"/>
      <c r="T55" s="5568"/>
      <c r="U55" s="5568"/>
      <c r="V55" s="5568"/>
      <c r="W55" s="5568"/>
      <c r="X55" s="5568"/>
      <c r="Y55" s="5568"/>
      <c r="Z55" s="5568"/>
      <c r="AA55" s="5568"/>
      <c r="AB55" s="5568"/>
      <c r="AC55" s="5568"/>
      <c r="AD55" s="5568"/>
      <c r="AE55" s="5568"/>
      <c r="AF55" s="5568"/>
      <c r="AG55" s="5569" t="s">
        <v>5281</v>
      </c>
      <c r="AH55" s="6847">
        <f>Adj_Gross_Inc</f>
        <v>0</v>
      </c>
      <c r="AI55" s="6847"/>
      <c r="AJ55" s="6847"/>
      <c r="AK55" s="6847"/>
      <c r="AL55" s="5570"/>
      <c r="AM55" s="786"/>
      <c r="AN55" s="4876"/>
      <c r="AO55" s="1126"/>
      <c r="AP55"/>
      <c r="AQ55"/>
      <c r="AR55"/>
      <c r="AS55"/>
      <c r="AT55"/>
      <c r="AU55"/>
      <c r="AV55"/>
      <c r="BO55"/>
      <c r="BP55"/>
      <c r="BQ55" s="4860"/>
      <c r="BR55" s="4860"/>
      <c r="BS55" s="4860"/>
      <c r="BT55" s="4860"/>
      <c r="BU55" s="4860"/>
      <c r="BV55" s="4860"/>
      <c r="BW55" s="4860"/>
      <c r="BX55" s="4860"/>
      <c r="BY55" s="4860"/>
      <c r="BZ55" s="4860"/>
      <c r="CA55" s="4860"/>
    </row>
    <row r="56" spans="1:79" s="42" customFormat="1" ht="15.75" customHeight="1">
      <c r="A56" s="78"/>
      <c r="B56" s="6851"/>
      <c r="C56" s="4856"/>
      <c r="D56" s="4858"/>
      <c r="E56" s="4878" t="s">
        <v>1275</v>
      </c>
      <c r="F56" s="412" t="str">
        <f>"Single or Married filing separately—"&amp;TEXT(AC56,"$0,000")</f>
        <v>Single or Married filing separately—$75,000</v>
      </c>
      <c r="G56" s="412"/>
      <c r="H56" s="4874"/>
      <c r="I56" s="4874"/>
      <c r="J56" s="4874"/>
      <c r="K56" s="4874"/>
      <c r="L56" s="4874"/>
      <c r="M56" s="4874"/>
      <c r="N56" s="4874"/>
      <c r="O56" s="4874"/>
      <c r="P56" s="4874"/>
      <c r="Q56" s="4874"/>
      <c r="R56" s="4874"/>
      <c r="S56" s="4874"/>
      <c r="T56" s="4874"/>
      <c r="U56" s="4874"/>
      <c r="V56" s="4874"/>
      <c r="W56" s="4874"/>
      <c r="X56" s="4874"/>
      <c r="Y56" s="4874"/>
      <c r="Z56" s="4874"/>
      <c r="AA56" s="4874"/>
      <c r="AB56" s="4874"/>
      <c r="AC56" s="6837">
        <v>75000</v>
      </c>
      <c r="AD56" s="6837"/>
      <c r="AE56" s="6837"/>
      <c r="AF56" s="4874"/>
      <c r="AG56" s="4858"/>
      <c r="AH56" s="4858"/>
      <c r="AI56" s="4858"/>
      <c r="AJ56" s="4858"/>
      <c r="AK56" s="4858"/>
      <c r="AL56" s="4875"/>
      <c r="AM56" s="786"/>
      <c r="AN56" s="4876"/>
      <c r="AO56" s="1126"/>
      <c r="AP56"/>
      <c r="AQ56"/>
      <c r="AR56"/>
      <c r="AS56"/>
      <c r="AT56"/>
      <c r="AU56"/>
      <c r="AV56"/>
      <c r="BO56"/>
      <c r="BP56"/>
      <c r="BQ56" s="4860"/>
      <c r="BR56" s="4860"/>
      <c r="BS56" s="4860"/>
      <c r="BT56" s="4860"/>
      <c r="BU56" s="4860"/>
      <c r="BV56" s="4860"/>
      <c r="BW56" s="4860"/>
      <c r="BX56" s="4860"/>
      <c r="BY56" s="4860"/>
      <c r="BZ56" s="4860"/>
      <c r="CA56" s="4860"/>
    </row>
    <row r="57" spans="1:79" s="42" customFormat="1" ht="15.75" customHeight="1">
      <c r="A57" s="78"/>
      <c r="B57" s="6851"/>
      <c r="C57" s="4856"/>
      <c r="D57" s="4858"/>
      <c r="E57" s="4878" t="s">
        <v>1275</v>
      </c>
      <c r="F57" s="412" t="str">
        <f>"Married filing jointly or qualifying widow(er)—"&amp;TEXT(AC57,"$0,000")</f>
        <v>Married filing jointly or qualifying widow(er)—$150,000</v>
      </c>
      <c r="G57" s="412"/>
      <c r="H57" s="4874"/>
      <c r="I57" s="4874"/>
      <c r="J57" s="4874"/>
      <c r="K57" s="4874"/>
      <c r="L57" s="4874"/>
      <c r="M57" s="4874"/>
      <c r="N57" s="4874"/>
      <c r="O57" s="4874"/>
      <c r="P57" s="4874"/>
      <c r="Q57" s="4874"/>
      <c r="R57" s="4874"/>
      <c r="S57" s="4874"/>
      <c r="T57" s="4874"/>
      <c r="U57" s="4874"/>
      <c r="V57" s="4874"/>
      <c r="W57" s="4874"/>
      <c r="X57" s="4874"/>
      <c r="Y57" s="4874"/>
      <c r="Z57" s="4874"/>
      <c r="AA57" s="4874"/>
      <c r="AB57" s="4874"/>
      <c r="AC57" s="6837">
        <v>150000</v>
      </c>
      <c r="AD57" s="6837"/>
      <c r="AE57" s="6837"/>
      <c r="AF57" s="4874"/>
      <c r="AG57" s="4858"/>
      <c r="AH57" s="6849" t="str">
        <f>IF($AI$43,"",IF(OR(File_Single&lt;&gt;"",File_Marr_Sep&lt;&gt;""),AC56,IF(OR(File_Marr_Joint&lt;&gt;"",File_Qual_Widow&lt;&gt;""),AC57,IF(File_Head&lt;&gt;"",AC58,"Filing status?"))))</f>
        <v>Filing status?</v>
      </c>
      <c r="AI57" s="6849"/>
      <c r="AJ57" s="6849"/>
      <c r="AK57" s="6849"/>
      <c r="AL57" s="4875"/>
      <c r="AM57" s="786"/>
      <c r="AN57" s="4876"/>
      <c r="AO57" s="1126"/>
      <c r="AP57"/>
      <c r="AQ57"/>
      <c r="AR57"/>
      <c r="AS57"/>
      <c r="AT57"/>
      <c r="AU57"/>
      <c r="AV57"/>
      <c r="BO57"/>
      <c r="BP57"/>
      <c r="BQ57" s="4860"/>
      <c r="BR57" s="4860"/>
      <c r="BS57" s="4860"/>
      <c r="BT57" s="4860"/>
      <c r="BU57" s="4860"/>
      <c r="BV57" s="4860"/>
      <c r="BW57" s="4860"/>
      <c r="BX57" s="4860"/>
      <c r="BY57" s="4860"/>
      <c r="BZ57" s="4860"/>
      <c r="CA57" s="4860"/>
    </row>
    <row r="58" spans="1:79" s="42" customFormat="1" ht="15.75" customHeight="1">
      <c r="A58" s="78"/>
      <c r="B58" s="6851"/>
      <c r="C58" s="4856"/>
      <c r="D58" s="4858"/>
      <c r="E58" s="4878" t="s">
        <v>1275</v>
      </c>
      <c r="F58" s="412" t="str">
        <f>"Head of household—"&amp;TEXT(AC58,"$0,000")</f>
        <v>Head of household—$112,500</v>
      </c>
      <c r="G58" s="412"/>
      <c r="H58" s="4874"/>
      <c r="I58" s="4874"/>
      <c r="J58" s="4874"/>
      <c r="K58" s="4874"/>
      <c r="L58" s="4874"/>
      <c r="M58" s="4874"/>
      <c r="N58" s="4874"/>
      <c r="O58" s="4874"/>
      <c r="P58" s="4874"/>
      <c r="Q58" s="4874"/>
      <c r="R58" s="4874"/>
      <c r="S58" s="4874"/>
      <c r="T58" s="4874"/>
      <c r="U58" s="4874"/>
      <c r="V58" s="4874"/>
      <c r="W58" s="4874"/>
      <c r="X58" s="4874"/>
      <c r="Y58" s="4874"/>
      <c r="Z58" s="4874"/>
      <c r="AA58" s="4874"/>
      <c r="AB58" s="4874"/>
      <c r="AC58" s="6837">
        <v>112500</v>
      </c>
      <c r="AD58" s="6837"/>
      <c r="AE58" s="6837"/>
      <c r="AF58" s="4874"/>
      <c r="AG58" s="4858"/>
      <c r="AH58" s="4858"/>
      <c r="AI58" s="4882"/>
      <c r="AJ58" s="4882"/>
      <c r="AK58" s="4882"/>
      <c r="AL58" s="4875"/>
      <c r="AM58" s="786"/>
      <c r="AN58" s="4876"/>
      <c r="AO58" s="1126"/>
      <c r="AP58"/>
      <c r="AQ58"/>
      <c r="AR58"/>
      <c r="AS58"/>
      <c r="AT58"/>
      <c r="AU58"/>
      <c r="AV58"/>
      <c r="BO58"/>
      <c r="BP58"/>
      <c r="BQ58" s="4860"/>
      <c r="BR58" s="4860"/>
      <c r="BS58" s="4860"/>
      <c r="BT58" s="4860"/>
      <c r="BU58" s="4860"/>
      <c r="BV58" s="4860"/>
      <c r="BW58" s="4860"/>
      <c r="BX58" s="4860"/>
      <c r="BY58" s="4860"/>
      <c r="BZ58" s="4860"/>
      <c r="CA58" s="4860"/>
    </row>
    <row r="59" spans="1:79" s="42" customFormat="1" ht="8.25" customHeight="1">
      <c r="A59" s="78"/>
      <c r="B59" s="6851"/>
      <c r="C59" s="4856"/>
      <c r="D59" s="4857"/>
      <c r="E59" s="4874"/>
      <c r="F59" s="412"/>
      <c r="G59" s="412"/>
      <c r="H59" s="4874"/>
      <c r="I59" s="412"/>
      <c r="J59" s="412"/>
      <c r="K59" s="4858"/>
      <c r="L59" s="4858"/>
      <c r="M59" s="4858"/>
      <c r="N59" s="4858"/>
      <c r="O59" s="4858"/>
      <c r="P59" s="4858"/>
      <c r="Q59" s="4858"/>
      <c r="R59" s="4858"/>
      <c r="S59" s="4858"/>
      <c r="T59" s="4858"/>
      <c r="U59" s="4858"/>
      <c r="V59" s="4858"/>
      <c r="W59" s="4858"/>
      <c r="X59" s="4858"/>
      <c r="Y59" s="4858"/>
      <c r="Z59" s="4858"/>
      <c r="AA59" s="4858"/>
      <c r="AB59" s="4858"/>
      <c r="AC59" s="4858"/>
      <c r="AD59" s="4858"/>
      <c r="AE59" s="4858"/>
      <c r="AF59" s="4858"/>
      <c r="AG59" s="4858"/>
      <c r="AH59" s="4858"/>
      <c r="AI59" s="3263"/>
      <c r="AJ59" s="3263"/>
      <c r="AK59" s="3263"/>
      <c r="AL59" s="4875"/>
      <c r="AM59" s="786"/>
      <c r="AN59" s="4876"/>
      <c r="AO59" s="1126"/>
      <c r="AP59"/>
      <c r="AQ59"/>
      <c r="AR59"/>
      <c r="AS59"/>
      <c r="AT59"/>
      <c r="AU59"/>
      <c r="AV59"/>
      <c r="BO59"/>
      <c r="BP59"/>
      <c r="BQ59" s="4860"/>
      <c r="BR59" s="4860"/>
      <c r="BS59" s="4860"/>
      <c r="BT59" s="4860"/>
      <c r="BU59" s="4860"/>
      <c r="BV59" s="4860"/>
      <c r="BW59" s="4860"/>
      <c r="BX59" s="4860"/>
      <c r="BY59" s="4860"/>
      <c r="BZ59" s="4860"/>
      <c r="CA59" s="4860"/>
    </row>
    <row r="60" spans="1:79" s="42" customFormat="1" ht="15.75" customHeight="1">
      <c r="A60" s="78"/>
      <c r="B60" s="6851"/>
      <c r="C60" s="6838" t="b">
        <f>E60&lt;&gt;""</f>
        <v>0</v>
      </c>
      <c r="D60" s="6839"/>
      <c r="E60" s="4880" t="str">
        <f>IF(AND(NOT(AI43),Adj_Gross_Inc&gt;AH57),"X","")</f>
        <v/>
      </c>
      <c r="F60" s="4877" t="s">
        <v>416</v>
      </c>
      <c r="G60" s="412"/>
      <c r="H60" s="4874" t="s">
        <v>5259</v>
      </c>
      <c r="I60" s="412"/>
      <c r="J60" s="412"/>
      <c r="K60" s="4858"/>
      <c r="L60" s="4858"/>
      <c r="M60" s="4858"/>
      <c r="N60" s="4858"/>
      <c r="O60" s="4858"/>
      <c r="P60" s="4858"/>
      <c r="Q60" s="4858"/>
      <c r="R60" s="4858"/>
      <c r="S60" s="4858"/>
      <c r="T60" s="4858"/>
      <c r="U60" s="4858"/>
      <c r="V60" s="4858"/>
      <c r="W60" s="4858"/>
      <c r="X60" s="4858"/>
      <c r="Y60" s="4858"/>
      <c r="Z60" s="4858"/>
      <c r="AA60" s="4858"/>
      <c r="AB60" s="4858"/>
      <c r="AC60" s="4858"/>
      <c r="AD60" s="4858"/>
      <c r="AE60" s="4858"/>
      <c r="AF60" s="4858" t="s">
        <v>2401</v>
      </c>
      <c r="AG60" s="4909" t="s">
        <v>205</v>
      </c>
      <c r="AH60" s="6563" t="str">
        <f>IF($AI$43,"",IF(C60,AH55,""))</f>
        <v/>
      </c>
      <c r="AI60" s="6563"/>
      <c r="AJ60" s="6563"/>
      <c r="AK60" s="6563"/>
      <c r="AL60" s="4875"/>
      <c r="AM60" s="786"/>
      <c r="AN60" s="4876"/>
      <c r="AO60" s="1126"/>
      <c r="AP60"/>
      <c r="AQ60"/>
      <c r="AR60"/>
      <c r="AS60"/>
      <c r="AT60"/>
      <c r="AU60"/>
      <c r="AV60"/>
      <c r="BO60"/>
      <c r="BP60"/>
      <c r="BQ60" s="4860"/>
      <c r="BR60" s="4860"/>
      <c r="BS60" s="4860"/>
      <c r="BT60" s="4860"/>
      <c r="BU60" s="4860"/>
      <c r="BV60" s="4860"/>
      <c r="BW60" s="4860"/>
      <c r="BX60" s="4860"/>
      <c r="BY60" s="4860"/>
      <c r="BZ60" s="4860"/>
      <c r="CA60" s="4860"/>
    </row>
    <row r="61" spans="1:79" s="42" customFormat="1" ht="8.25" customHeight="1">
      <c r="A61" s="78"/>
      <c r="B61" s="6851"/>
      <c r="C61" s="4912"/>
      <c r="D61" s="4913"/>
      <c r="E61" s="4874"/>
      <c r="F61" s="412"/>
      <c r="G61" s="412"/>
      <c r="H61" s="4874"/>
      <c r="I61" s="412"/>
      <c r="J61" s="412"/>
      <c r="K61" s="4858"/>
      <c r="L61" s="4858"/>
      <c r="M61" s="4858"/>
      <c r="N61" s="4858"/>
      <c r="O61" s="4858"/>
      <c r="P61" s="4858"/>
      <c r="Q61" s="4858"/>
      <c r="R61" s="4858"/>
      <c r="S61" s="4858"/>
      <c r="T61" s="4858"/>
      <c r="U61" s="4858"/>
      <c r="V61" s="4858"/>
      <c r="W61" s="4858"/>
      <c r="X61" s="4858"/>
      <c r="Y61" s="4858"/>
      <c r="Z61" s="4858"/>
      <c r="AA61" s="4858"/>
      <c r="AB61" s="4858"/>
      <c r="AC61" s="4858"/>
      <c r="AD61" s="4858"/>
      <c r="AE61" s="4858"/>
      <c r="AF61" s="4858"/>
      <c r="AG61" s="4858"/>
      <c r="AH61" s="4858"/>
      <c r="AI61" s="4858"/>
      <c r="AJ61" s="4858"/>
      <c r="AK61" s="4858"/>
      <c r="AL61" s="4875"/>
      <c r="AM61" s="786"/>
      <c r="AN61" s="4876"/>
      <c r="AO61" s="1126"/>
      <c r="AP61"/>
      <c r="AQ61"/>
      <c r="AR61"/>
      <c r="AS61"/>
      <c r="AT61"/>
      <c r="AU61"/>
      <c r="AV61"/>
      <c r="BO61"/>
      <c r="BP61"/>
      <c r="BQ61" s="4860"/>
      <c r="BR61" s="4860"/>
      <c r="BS61" s="4860"/>
      <c r="BT61" s="4860"/>
      <c r="BU61" s="4860"/>
      <c r="BV61" s="4860"/>
      <c r="BW61" s="4860"/>
      <c r="BX61" s="4860"/>
      <c r="BY61" s="4860"/>
      <c r="BZ61" s="4860"/>
      <c r="CA61" s="4860"/>
    </row>
    <row r="62" spans="1:79" s="42" customFormat="1" ht="15.75" customHeight="1">
      <c r="A62" s="78"/>
      <c r="B62" s="6851"/>
      <c r="C62" s="6838" t="b">
        <f>E62&lt;&gt;""</f>
        <v>1</v>
      </c>
      <c r="D62" s="6839"/>
      <c r="E62" s="4880" t="str">
        <f>IF(AND(NOT(AI43),Adj_Gross_Inc&gt;AH57),"","X")</f>
        <v>X</v>
      </c>
      <c r="F62" s="4877" t="s">
        <v>414</v>
      </c>
      <c r="G62" s="412"/>
      <c r="H62" s="4874" t="s">
        <v>5260</v>
      </c>
      <c r="I62" s="4874"/>
      <c r="J62" s="4874"/>
      <c r="K62" s="4874"/>
      <c r="L62" s="4874"/>
      <c r="M62" s="4874"/>
      <c r="N62" s="4874"/>
      <c r="O62" s="4874"/>
      <c r="P62" s="4874"/>
      <c r="Q62" s="4874"/>
      <c r="R62" s="4874"/>
      <c r="S62" s="4874"/>
      <c r="T62" s="4874"/>
      <c r="U62" s="4874"/>
      <c r="V62" s="4874"/>
      <c r="W62" s="4874"/>
      <c r="X62" s="4874"/>
      <c r="Y62" s="4874"/>
      <c r="Z62" s="4874"/>
      <c r="AA62" s="4874"/>
      <c r="AB62" s="4874"/>
      <c r="AC62" s="4874"/>
      <c r="AD62" s="4874"/>
      <c r="AE62" s="4874"/>
      <c r="AF62" s="4874"/>
      <c r="AG62" s="4858"/>
      <c r="AH62" s="4858"/>
      <c r="AI62" s="4882"/>
      <c r="AJ62" s="4882"/>
      <c r="AK62" s="4882"/>
      <c r="AL62" s="4875"/>
      <c r="AM62" s="786"/>
      <c r="AN62" s="4876"/>
      <c r="AO62" s="1126"/>
      <c r="AP62"/>
      <c r="AQ62"/>
      <c r="AR62"/>
      <c r="AS62"/>
      <c r="AT62"/>
      <c r="AU62"/>
      <c r="AV62"/>
      <c r="BO62"/>
      <c r="BP62"/>
      <c r="BQ62" s="4860"/>
      <c r="BR62" s="4860"/>
      <c r="BS62" s="4860"/>
      <c r="BT62" s="4860"/>
      <c r="BU62" s="4860"/>
      <c r="BV62" s="4860"/>
      <c r="BW62" s="4860"/>
      <c r="BX62" s="4860"/>
      <c r="BY62" s="4860"/>
      <c r="BZ62" s="4860"/>
      <c r="CA62" s="4860"/>
    </row>
    <row r="63" spans="1:79" s="42" customFormat="1" ht="8.25" customHeight="1">
      <c r="A63" s="78"/>
      <c r="B63" s="6851"/>
      <c r="C63" s="6832" t="b">
        <f>AND(File_Marr_Joint="",E44="",E50&lt;&gt;"")</f>
        <v>1</v>
      </c>
      <c r="D63" s="6840"/>
      <c r="E63" s="412"/>
      <c r="F63" s="412"/>
      <c r="G63" s="412"/>
      <c r="H63" s="4874"/>
      <c r="I63" s="412"/>
      <c r="J63" s="412"/>
      <c r="K63" s="4858"/>
      <c r="L63" s="4858"/>
      <c r="M63" s="4858"/>
      <c r="N63" s="4858"/>
      <c r="O63" s="4858"/>
      <c r="P63" s="4858"/>
      <c r="Q63" s="4858"/>
      <c r="R63" s="4858"/>
      <c r="S63" s="4858"/>
      <c r="T63" s="4858"/>
      <c r="U63" s="4858"/>
      <c r="V63" s="4858"/>
      <c r="W63" s="4858"/>
      <c r="X63" s="4858"/>
      <c r="Y63" s="4858"/>
      <c r="Z63" s="4858"/>
      <c r="AA63" s="4858"/>
      <c r="AB63" s="4858"/>
      <c r="AC63" s="4858"/>
      <c r="AD63" s="4858"/>
      <c r="AE63" s="4858"/>
      <c r="AF63" s="4858"/>
      <c r="AG63" s="4858"/>
      <c r="AH63" s="4858"/>
      <c r="AI63" s="4858"/>
      <c r="AJ63" s="4858"/>
      <c r="AK63" s="4858"/>
      <c r="AL63" s="4875"/>
      <c r="AM63" s="786"/>
      <c r="AN63" s="4876"/>
      <c r="AO63" s="1126"/>
      <c r="AP63"/>
      <c r="AQ63"/>
      <c r="AR63"/>
      <c r="AS63"/>
      <c r="AT63"/>
      <c r="AU63"/>
      <c r="AV63"/>
      <c r="BO63"/>
      <c r="BP63"/>
      <c r="BQ63" s="4860"/>
      <c r="BR63" s="4860"/>
      <c r="BS63" s="4860"/>
      <c r="BT63" s="4860"/>
      <c r="BU63" s="4860"/>
      <c r="BV63" s="4860"/>
      <c r="BW63" s="4860"/>
      <c r="BX63" s="4860"/>
      <c r="BY63" s="4860"/>
      <c r="BZ63" s="4860"/>
      <c r="CA63" s="4860"/>
    </row>
    <row r="64" spans="1:79" s="42" customFormat="1" ht="19.5" customHeight="1">
      <c r="A64" s="78"/>
      <c r="B64" s="6851"/>
      <c r="C64" s="4881" t="s">
        <v>295</v>
      </c>
      <c r="D64" s="4858"/>
      <c r="E64" s="412" t="s">
        <v>5261</v>
      </c>
      <c r="F64" s="412"/>
      <c r="G64" s="412"/>
      <c r="H64" s="4874"/>
      <c r="I64" s="4874"/>
      <c r="J64" s="4874"/>
      <c r="K64" s="4874"/>
      <c r="L64" s="4874"/>
      <c r="M64" s="4874"/>
      <c r="N64" s="4874"/>
      <c r="O64" s="4874"/>
      <c r="P64" s="4874"/>
      <c r="Q64" s="4874"/>
      <c r="R64" s="4874"/>
      <c r="S64" s="4874"/>
      <c r="T64" s="4874"/>
      <c r="U64" s="4874"/>
      <c r="V64" s="4874"/>
      <c r="W64" s="4874"/>
      <c r="X64" s="4874"/>
      <c r="Y64" s="4874"/>
      <c r="Z64" s="4874"/>
      <c r="AA64" s="4874"/>
      <c r="AB64" s="4874"/>
      <c r="AC64" s="4874"/>
      <c r="AD64" s="4874"/>
      <c r="AE64" s="4874"/>
      <c r="AF64" s="4874"/>
      <c r="AG64" s="4858"/>
      <c r="AH64" s="4858"/>
      <c r="AI64" s="4858"/>
      <c r="AJ64" s="4858"/>
      <c r="AK64" s="4858"/>
      <c r="AL64" s="4875"/>
      <c r="AM64" s="786"/>
      <c r="AN64" s="4876"/>
      <c r="AO64" s="1126"/>
      <c r="AP64"/>
      <c r="AQ64"/>
      <c r="AR64"/>
      <c r="AS64"/>
      <c r="AT64"/>
      <c r="AU64"/>
      <c r="AV64"/>
      <c r="BO64"/>
      <c r="BP64"/>
      <c r="BQ64" s="4860"/>
      <c r="BR64" s="4860"/>
      <c r="BS64" s="4860"/>
      <c r="BT64" s="4860"/>
      <c r="BU64" s="4860"/>
      <c r="BV64" s="4860"/>
      <c r="BW64" s="4860"/>
      <c r="BX64" s="4860"/>
      <c r="BY64" s="4860"/>
      <c r="BZ64" s="4860"/>
      <c r="CA64" s="4860"/>
    </row>
    <row r="65" spans="1:79" s="42" customFormat="1" ht="15.75" customHeight="1">
      <c r="A65" s="78"/>
      <c r="B65" s="6851"/>
      <c r="C65" s="4856"/>
      <c r="D65" s="4858"/>
      <c r="E65" s="4878" t="s">
        <v>1275</v>
      </c>
      <c r="F65" s="412" t="str">
        <f>"Single or Married filing separately—"&amp;TEXT(AC65,"$0,000")</f>
        <v>Single or Married filing separately—$80,000</v>
      </c>
      <c r="G65" s="412"/>
      <c r="H65" s="4874"/>
      <c r="I65" s="4874"/>
      <c r="J65" s="4874"/>
      <c r="K65" s="4874"/>
      <c r="L65" s="4874"/>
      <c r="M65" s="4874"/>
      <c r="N65" s="4874"/>
      <c r="O65" s="4874"/>
      <c r="P65" s="4874"/>
      <c r="Q65" s="4874"/>
      <c r="R65" s="4874"/>
      <c r="S65" s="4874"/>
      <c r="T65" s="4874"/>
      <c r="U65" s="4874"/>
      <c r="V65" s="4874"/>
      <c r="W65" s="4874"/>
      <c r="X65" s="4874"/>
      <c r="Y65" s="4874"/>
      <c r="Z65" s="4874"/>
      <c r="AA65" s="4874"/>
      <c r="AB65" s="4874"/>
      <c r="AC65" s="6837">
        <v>80000</v>
      </c>
      <c r="AD65" s="6837"/>
      <c r="AE65" s="6837"/>
      <c r="AF65" s="4874"/>
      <c r="AG65" s="4858"/>
      <c r="AH65" s="4858"/>
      <c r="AI65" s="4858"/>
      <c r="AJ65" s="4858"/>
      <c r="AK65" s="4858"/>
      <c r="AL65" s="4875"/>
      <c r="AM65" s="786"/>
      <c r="AN65" s="4876"/>
      <c r="AO65" s="1126"/>
      <c r="AP65"/>
      <c r="AQ65"/>
      <c r="AR65"/>
      <c r="AS65"/>
      <c r="AT65"/>
      <c r="AU65"/>
      <c r="AV65"/>
      <c r="BO65"/>
      <c r="BP65"/>
      <c r="BQ65" s="4860"/>
      <c r="BR65" s="4860"/>
      <c r="BS65" s="4860"/>
      <c r="BT65" s="4860"/>
      <c r="BU65" s="4860"/>
      <c r="BV65" s="4860"/>
      <c r="BW65" s="4860"/>
      <c r="BX65" s="4860"/>
      <c r="BY65" s="4860"/>
      <c r="BZ65" s="4860"/>
      <c r="CA65" s="4860"/>
    </row>
    <row r="66" spans="1:79" s="42" customFormat="1" ht="15.75" customHeight="1">
      <c r="A66" s="78"/>
      <c r="B66" s="6851"/>
      <c r="C66" s="4856"/>
      <c r="D66" s="4858"/>
      <c r="E66" s="4878" t="s">
        <v>1275</v>
      </c>
      <c r="F66" s="412" t="str">
        <f>"Married filing jointly or qualifying widow(er)—"&amp;TEXT(AC66,"$0,000")</f>
        <v>Married filing jointly or qualifying widow(er)—$160,000</v>
      </c>
      <c r="G66" s="412"/>
      <c r="H66" s="4874"/>
      <c r="I66" s="4874"/>
      <c r="J66" s="4874"/>
      <c r="K66" s="4874"/>
      <c r="L66" s="4874"/>
      <c r="M66" s="4874"/>
      <c r="N66" s="4874"/>
      <c r="O66" s="4874"/>
      <c r="P66" s="4874"/>
      <c r="Q66" s="4874"/>
      <c r="R66" s="4874"/>
      <c r="S66" s="4874"/>
      <c r="T66" s="4874"/>
      <c r="U66" s="4874"/>
      <c r="V66" s="4874"/>
      <c r="W66" s="4874"/>
      <c r="X66" s="4874"/>
      <c r="Y66" s="4874"/>
      <c r="Z66" s="4874"/>
      <c r="AA66" s="4874"/>
      <c r="AB66" s="4874"/>
      <c r="AC66" s="6837">
        <v>160000</v>
      </c>
      <c r="AD66" s="6837"/>
      <c r="AE66" s="6837"/>
      <c r="AF66" s="4874"/>
      <c r="AG66" s="4858"/>
      <c r="AH66" s="6849" t="str">
        <f>IF($AI$43,"",IF(OR(File_Single&lt;&gt;"",File_Marr_Sep&lt;&gt;""),AC65,IF(OR(File_Marr_Joint&lt;&gt;"",File_Qual_Widow&lt;&gt;""),AC66,IF(File_Head&lt;&gt;"",AC67,"Filing status?"))))</f>
        <v>Filing status?</v>
      </c>
      <c r="AI66" s="6849"/>
      <c r="AJ66" s="6849"/>
      <c r="AK66" s="6849"/>
      <c r="AL66" s="4875"/>
      <c r="AM66" s="786"/>
      <c r="AN66" s="4876"/>
      <c r="AO66" s="1126"/>
      <c r="AP66"/>
      <c r="AQ66"/>
      <c r="AR66"/>
      <c r="AS66"/>
      <c r="AT66"/>
      <c r="AU66"/>
      <c r="AV66"/>
      <c r="BO66"/>
      <c r="BP66"/>
      <c r="BQ66" s="4860"/>
      <c r="BR66" s="4860"/>
      <c r="BS66" s="4860"/>
      <c r="BT66" s="4860"/>
      <c r="BU66" s="4860"/>
      <c r="BV66" s="4860"/>
      <c r="BW66" s="4860"/>
      <c r="BX66" s="4860"/>
      <c r="BY66" s="4860"/>
      <c r="BZ66" s="4860"/>
      <c r="CA66" s="4860"/>
    </row>
    <row r="67" spans="1:79" s="42" customFormat="1" ht="15.75" customHeight="1">
      <c r="A67" s="78"/>
      <c r="B67" s="6851"/>
      <c r="C67" s="4856"/>
      <c r="D67" s="4858"/>
      <c r="E67" s="4878" t="s">
        <v>1275</v>
      </c>
      <c r="F67" s="412" t="str">
        <f>"Head of household—"&amp;TEXT(AC67,"$0,000")</f>
        <v>Head of household—$120,000</v>
      </c>
      <c r="G67" s="412"/>
      <c r="H67" s="4874"/>
      <c r="I67" s="4874"/>
      <c r="J67" s="4874"/>
      <c r="K67" s="4874"/>
      <c r="L67" s="4874"/>
      <c r="M67" s="4874"/>
      <c r="N67" s="4874"/>
      <c r="O67" s="4874"/>
      <c r="P67" s="4874"/>
      <c r="Q67" s="4874"/>
      <c r="R67" s="4874"/>
      <c r="S67" s="4874"/>
      <c r="T67" s="4874"/>
      <c r="U67" s="4874"/>
      <c r="V67" s="4874"/>
      <c r="W67" s="4874"/>
      <c r="X67" s="4874"/>
      <c r="Y67" s="4874"/>
      <c r="Z67" s="4874"/>
      <c r="AA67" s="4874"/>
      <c r="AB67" s="4874"/>
      <c r="AC67" s="6837">
        <v>120000</v>
      </c>
      <c r="AD67" s="6837"/>
      <c r="AE67" s="6837"/>
      <c r="AF67" s="4874"/>
      <c r="AG67" s="4858"/>
      <c r="AH67" s="4858"/>
      <c r="AI67" s="4882"/>
      <c r="AJ67" s="4882"/>
      <c r="AK67" s="4882"/>
      <c r="AL67" s="4875"/>
      <c r="AM67" s="786"/>
      <c r="AN67" s="4876"/>
      <c r="AO67" s="1126"/>
      <c r="AP67"/>
      <c r="AQ67"/>
      <c r="AR67"/>
      <c r="AS67"/>
      <c r="AT67"/>
      <c r="AU67"/>
      <c r="AV67"/>
      <c r="BO67"/>
      <c r="BP67"/>
      <c r="BQ67" s="4860"/>
      <c r="BR67" s="4860"/>
      <c r="BS67" s="4860"/>
      <c r="BT67" s="4860"/>
      <c r="BU67" s="4860"/>
      <c r="BV67" s="4860"/>
      <c r="BW67" s="4860"/>
      <c r="BX67" s="4860"/>
      <c r="BY67" s="4860"/>
      <c r="BZ67" s="4860"/>
      <c r="CA67" s="4860"/>
    </row>
    <row r="68" spans="1:79" s="42" customFormat="1" ht="8.25" customHeight="1">
      <c r="A68" s="78"/>
      <c r="B68" s="6851"/>
      <c r="C68" s="4856"/>
      <c r="D68" s="4857"/>
      <c r="E68" s="4874"/>
      <c r="F68" s="412"/>
      <c r="G68" s="412"/>
      <c r="H68" s="4874"/>
      <c r="I68" s="412"/>
      <c r="J68" s="412"/>
      <c r="K68" s="4858"/>
      <c r="L68" s="4858"/>
      <c r="M68" s="4858"/>
      <c r="N68" s="4858"/>
      <c r="O68" s="4858"/>
      <c r="P68" s="4858"/>
      <c r="Q68" s="4858"/>
      <c r="R68" s="4858"/>
      <c r="S68" s="4858"/>
      <c r="T68" s="4858"/>
      <c r="U68" s="4858"/>
      <c r="V68" s="4858"/>
      <c r="W68" s="4858"/>
      <c r="X68" s="4858"/>
      <c r="Y68" s="4858"/>
      <c r="Z68" s="4858"/>
      <c r="AA68" s="4858"/>
      <c r="AB68" s="4858"/>
      <c r="AC68" s="4858"/>
      <c r="AD68" s="4858"/>
      <c r="AE68" s="4858"/>
      <c r="AF68" s="4858"/>
      <c r="AG68" s="4858"/>
      <c r="AH68" s="4858"/>
      <c r="AI68" s="5564"/>
      <c r="AJ68" s="5564"/>
      <c r="AK68" s="5564"/>
      <c r="AL68" s="4875"/>
      <c r="AM68" s="786"/>
      <c r="AN68" s="4876"/>
      <c r="AO68" s="1126"/>
      <c r="AP68"/>
      <c r="AQ68"/>
      <c r="AR68"/>
      <c r="AS68"/>
      <c r="AT68"/>
      <c r="AU68"/>
      <c r="AV68"/>
      <c r="BO68"/>
      <c r="BP68"/>
      <c r="BQ68" s="4860"/>
      <c r="BR68" s="4860"/>
      <c r="BS68" s="4860"/>
      <c r="BT68" s="4860"/>
      <c r="BU68" s="4860"/>
      <c r="BV68" s="4860"/>
      <c r="BW68" s="4860"/>
      <c r="BX68" s="4860"/>
      <c r="BY68" s="4860"/>
      <c r="BZ68" s="4860"/>
      <c r="CA68" s="4860"/>
    </row>
    <row r="69" spans="1:79" s="42" customFormat="1" ht="15.75" customHeight="1">
      <c r="A69" s="78"/>
      <c r="B69" s="6851"/>
      <c r="C69" s="6838" t="b">
        <f>E69&lt;&gt;""</f>
        <v>0</v>
      </c>
      <c r="D69" s="6839"/>
      <c r="E69" s="4880" t="str">
        <f>IF(AND(NOT(AI43),C60,AH60&gt;AH66),"X","")</f>
        <v/>
      </c>
      <c r="F69" s="4877" t="s">
        <v>416</v>
      </c>
      <c r="G69" s="412"/>
      <c r="H69" s="4874" t="s">
        <v>5256</v>
      </c>
      <c r="I69" s="412"/>
      <c r="J69" s="412"/>
      <c r="K69" s="4858"/>
      <c r="L69" s="4858"/>
      <c r="M69" s="4858"/>
      <c r="N69" s="4858"/>
      <c r="O69" s="4858"/>
      <c r="P69" s="4858"/>
      <c r="Q69" s="4858"/>
      <c r="R69" s="4858"/>
      <c r="S69" s="4858"/>
      <c r="T69" s="4858"/>
      <c r="U69" s="4858"/>
      <c r="V69" s="4858"/>
      <c r="W69" s="4858"/>
      <c r="X69" s="4858"/>
      <c r="Y69" s="4858"/>
      <c r="Z69" s="4858"/>
      <c r="AA69" s="4858"/>
      <c r="AB69" s="4858"/>
      <c r="AC69" s="4858"/>
      <c r="AD69" s="4858"/>
      <c r="AE69" s="4858"/>
      <c r="AF69" s="4858"/>
      <c r="AG69" s="4858"/>
      <c r="AH69" s="4858"/>
      <c r="AI69" s="4882"/>
      <c r="AJ69" s="4882"/>
      <c r="AK69" s="4882"/>
      <c r="AL69" s="4875"/>
      <c r="AM69" s="786"/>
      <c r="AN69" s="4876"/>
      <c r="AO69" s="1126"/>
      <c r="AP69"/>
      <c r="AQ69"/>
      <c r="AR69"/>
      <c r="AS69"/>
      <c r="AT69"/>
      <c r="AU69"/>
      <c r="AV69"/>
      <c r="BO69"/>
      <c r="BP69"/>
      <c r="BQ69" s="4860"/>
      <c r="BR69" s="4860"/>
      <c r="BS69" s="4860"/>
      <c r="BT69" s="4860"/>
      <c r="BU69" s="4860"/>
      <c r="BV69" s="4860"/>
      <c r="BW69" s="4860"/>
      <c r="BX69" s="4860"/>
      <c r="BY69" s="4860"/>
      <c r="BZ69" s="4860"/>
      <c r="CA69" s="4860"/>
    </row>
    <row r="70" spans="1:79" s="42" customFormat="1" ht="8.25" customHeight="1">
      <c r="A70" s="78"/>
      <c r="B70" s="6851"/>
      <c r="C70" s="4912"/>
      <c r="D70" s="4913"/>
      <c r="E70" s="4874"/>
      <c r="F70" s="412"/>
      <c r="G70" s="412"/>
      <c r="H70" s="4874"/>
      <c r="I70" s="412"/>
      <c r="J70" s="412"/>
      <c r="K70" s="4858"/>
      <c r="L70" s="4858"/>
      <c r="M70" s="4858"/>
      <c r="N70" s="4858"/>
      <c r="O70" s="4858"/>
      <c r="P70" s="4858"/>
      <c r="Q70" s="4858"/>
      <c r="R70" s="4858"/>
      <c r="S70" s="4858"/>
      <c r="T70" s="4858"/>
      <c r="U70" s="4858"/>
      <c r="V70" s="4858"/>
      <c r="W70" s="4858"/>
      <c r="X70" s="4858"/>
      <c r="Y70" s="4858"/>
      <c r="Z70" s="4858"/>
      <c r="AA70" s="4858"/>
      <c r="AB70" s="4858"/>
      <c r="AC70" s="4858"/>
      <c r="AD70" s="4858"/>
      <c r="AE70" s="4858"/>
      <c r="AF70" s="4858"/>
      <c r="AG70" s="4858"/>
      <c r="AH70" s="4858"/>
      <c r="AI70" s="3263"/>
      <c r="AJ70" s="3263"/>
      <c r="AK70" s="3263"/>
      <c r="AL70" s="4875"/>
      <c r="AM70" s="786"/>
      <c r="AN70" s="4876"/>
      <c r="AO70" s="1126"/>
      <c r="AP70"/>
      <c r="AQ70"/>
      <c r="AR70"/>
      <c r="AS70"/>
      <c r="AT70"/>
      <c r="AU70"/>
      <c r="AV70"/>
      <c r="BO70"/>
      <c r="BP70"/>
      <c r="BQ70" s="4860"/>
      <c r="BR70" s="4860"/>
      <c r="BS70" s="4860"/>
      <c r="BT70" s="4860"/>
      <c r="BU70" s="4860"/>
      <c r="BV70" s="4860"/>
      <c r="BW70" s="4860"/>
      <c r="BX70" s="4860"/>
      <c r="BY70" s="4860"/>
      <c r="BZ70" s="4860"/>
      <c r="CA70" s="4860"/>
    </row>
    <row r="71" spans="1:79" s="42" customFormat="1" ht="15.75" customHeight="1">
      <c r="A71" s="78"/>
      <c r="B71" s="6851"/>
      <c r="C71" s="6838" t="b">
        <f>E71&lt;&gt;""</f>
        <v>0</v>
      </c>
      <c r="D71" s="6839"/>
      <c r="E71" s="4880" t="str">
        <f>IF(AND(NOT(AI43),C60,NOT(C69)),"X","")</f>
        <v/>
      </c>
      <c r="F71" s="4877" t="s">
        <v>414</v>
      </c>
      <c r="G71" s="412"/>
      <c r="H71" s="4874" t="s">
        <v>5282</v>
      </c>
      <c r="I71" s="4874"/>
      <c r="J71" s="4874"/>
      <c r="K71" s="4874"/>
      <c r="L71" s="4874"/>
      <c r="M71" s="4874"/>
      <c r="N71" s="4874"/>
      <c r="O71" s="4874"/>
      <c r="P71" s="4874"/>
      <c r="Q71" s="4874"/>
      <c r="R71" s="4874"/>
      <c r="S71" s="4874"/>
      <c r="T71" s="4874"/>
      <c r="U71" s="4874"/>
      <c r="V71" s="4874"/>
      <c r="W71" s="4874"/>
      <c r="X71" s="4874"/>
      <c r="Y71" s="4874"/>
      <c r="Z71" s="4874"/>
      <c r="AA71" s="4874"/>
      <c r="AB71" s="4874"/>
      <c r="AC71" s="4874"/>
      <c r="AD71" s="4874"/>
      <c r="AE71" s="4874"/>
      <c r="AF71" s="4858" t="s">
        <v>2780</v>
      </c>
      <c r="AG71" s="4909" t="s">
        <v>295</v>
      </c>
      <c r="AH71" s="6563" t="str">
        <f>IF(OR($AI$43,C62,C69),"",SUM(AH66,-AH60))</f>
        <v/>
      </c>
      <c r="AI71" s="6563"/>
      <c r="AJ71" s="6563"/>
      <c r="AK71" s="6563"/>
      <c r="AL71" s="4875"/>
      <c r="AM71" s="786"/>
      <c r="AN71" s="4876"/>
      <c r="AO71" s="1126"/>
      <c r="AP71"/>
      <c r="AQ71"/>
      <c r="AR71"/>
      <c r="AS71"/>
      <c r="AT71"/>
      <c r="AU71"/>
      <c r="AV71"/>
      <c r="BO71"/>
      <c r="BP71"/>
      <c r="BQ71" s="4860"/>
      <c r="BR71" s="4860"/>
      <c r="BS71" s="4860"/>
      <c r="BT71" s="4860"/>
      <c r="BU71" s="4860"/>
      <c r="BV71" s="4860"/>
      <c r="BW71" s="4860"/>
      <c r="BX71" s="4860"/>
      <c r="BY71" s="4860"/>
      <c r="BZ71" s="4860"/>
      <c r="CA71" s="4860"/>
    </row>
    <row r="72" spans="1:79" s="42" customFormat="1" ht="8.25" customHeight="1">
      <c r="A72" s="78"/>
      <c r="B72" s="6851"/>
      <c r="C72" s="6832" t="b">
        <f>AND(File_Marr_Joint="",E54="",E60&lt;&gt;"")</f>
        <v>0</v>
      </c>
      <c r="D72" s="6840"/>
      <c r="E72" s="412"/>
      <c r="F72" s="412"/>
      <c r="G72" s="412"/>
      <c r="H72" s="4874"/>
      <c r="I72" s="412"/>
      <c r="J72" s="412"/>
      <c r="K72" s="4858"/>
      <c r="L72" s="4858"/>
      <c r="M72" s="4858"/>
      <c r="N72" s="4858"/>
      <c r="O72" s="4858"/>
      <c r="P72" s="4858"/>
      <c r="Q72" s="4858"/>
      <c r="R72" s="4858"/>
      <c r="S72" s="4858"/>
      <c r="T72" s="4858"/>
      <c r="U72" s="4858"/>
      <c r="V72" s="4858"/>
      <c r="W72" s="4858"/>
      <c r="X72" s="4858"/>
      <c r="Y72" s="4858"/>
      <c r="Z72" s="4858"/>
      <c r="AA72" s="4858"/>
      <c r="AB72" s="4858"/>
      <c r="AC72" s="4858"/>
      <c r="AD72" s="4858"/>
      <c r="AE72" s="4858"/>
      <c r="AF72" s="4858"/>
      <c r="AG72" s="4858"/>
      <c r="AH72" s="4858"/>
      <c r="AI72" s="4858"/>
      <c r="AJ72" s="4858"/>
      <c r="AK72" s="4858"/>
      <c r="AL72" s="4875"/>
      <c r="AM72" s="786"/>
      <c r="AN72" s="4876"/>
      <c r="AO72" s="1126"/>
      <c r="AP72"/>
      <c r="AQ72"/>
      <c r="AR72"/>
      <c r="AS72"/>
      <c r="AT72"/>
      <c r="AU72"/>
      <c r="AV72"/>
      <c r="BO72"/>
      <c r="BP72"/>
      <c r="BQ72" s="4860"/>
      <c r="BR72" s="4860"/>
      <c r="BS72" s="4860"/>
      <c r="BT72" s="4860"/>
      <c r="BU72" s="4860"/>
      <c r="BV72" s="4860"/>
      <c r="BW72" s="4860"/>
      <c r="BX72" s="4860"/>
      <c r="BY72" s="4860"/>
      <c r="BZ72" s="4860"/>
      <c r="CA72" s="4860"/>
    </row>
    <row r="73" spans="1:79" s="42" customFormat="1" ht="19.5" customHeight="1">
      <c r="A73" s="78"/>
      <c r="B73" s="6851"/>
      <c r="C73" s="4881" t="s">
        <v>296</v>
      </c>
      <c r="D73" s="4858"/>
      <c r="E73" s="412" t="s">
        <v>5262</v>
      </c>
      <c r="F73" s="412"/>
      <c r="G73" s="412"/>
      <c r="H73" s="4874"/>
      <c r="I73" s="4874"/>
      <c r="J73" s="4874"/>
      <c r="K73" s="4874"/>
      <c r="L73" s="4874"/>
      <c r="M73" s="4874"/>
      <c r="N73" s="4874"/>
      <c r="O73" s="4874"/>
      <c r="P73" s="4874"/>
      <c r="Q73" s="4874"/>
      <c r="R73" s="4874"/>
      <c r="S73" s="4874"/>
      <c r="T73" s="4874"/>
      <c r="U73" s="4874"/>
      <c r="V73" s="4874"/>
      <c r="W73" s="4874"/>
      <c r="X73" s="4874"/>
      <c r="Y73" s="4874"/>
      <c r="Z73" s="4874"/>
      <c r="AA73" s="4874"/>
      <c r="AB73" s="4874"/>
      <c r="AC73" s="4874"/>
      <c r="AD73" s="4874"/>
      <c r="AE73" s="4874"/>
      <c r="AF73" s="4874"/>
      <c r="AG73" s="4858"/>
      <c r="AH73" s="4858"/>
      <c r="AI73" s="4858"/>
      <c r="AJ73" s="4858"/>
      <c r="AK73" s="4858"/>
      <c r="AL73" s="4875"/>
      <c r="AM73" s="786"/>
      <c r="AN73" s="4876"/>
      <c r="AO73" s="1126"/>
      <c r="AP73"/>
      <c r="AQ73"/>
      <c r="AR73"/>
      <c r="AS73"/>
      <c r="AT73"/>
      <c r="AU73"/>
      <c r="AV73"/>
      <c r="BO73"/>
      <c r="BP73"/>
      <c r="BQ73" s="4860"/>
      <c r="BR73" s="4860"/>
      <c r="BS73" s="4860"/>
      <c r="BT73" s="4860"/>
      <c r="BU73" s="4860"/>
      <c r="BV73" s="4860"/>
      <c r="BW73" s="4860"/>
      <c r="BX73" s="4860"/>
      <c r="BY73" s="4860"/>
      <c r="BZ73" s="4860"/>
      <c r="CA73" s="4860"/>
    </row>
    <row r="74" spans="1:79" s="42" customFormat="1" ht="15.75" customHeight="1">
      <c r="A74" s="78"/>
      <c r="B74" s="6851"/>
      <c r="C74" s="4856"/>
      <c r="D74" s="4858"/>
      <c r="E74" s="4878" t="s">
        <v>1275</v>
      </c>
      <c r="F74" s="412" t="str">
        <f>"Single or Married filing separately—"&amp;TEXT(AC74,"$0,000")</f>
        <v>Single or Married filing separately—$5,000</v>
      </c>
      <c r="G74" s="412"/>
      <c r="H74" s="4874"/>
      <c r="I74" s="4874"/>
      <c r="J74" s="4874"/>
      <c r="K74" s="4874"/>
      <c r="L74" s="4874"/>
      <c r="M74" s="4874"/>
      <c r="N74" s="4874"/>
      <c r="O74" s="4874"/>
      <c r="P74" s="4874"/>
      <c r="Q74" s="4874"/>
      <c r="R74" s="4874"/>
      <c r="S74" s="4874"/>
      <c r="T74" s="4874"/>
      <c r="U74" s="4874"/>
      <c r="V74" s="4874"/>
      <c r="W74" s="4874"/>
      <c r="X74" s="4874"/>
      <c r="Y74" s="4874"/>
      <c r="Z74" s="4874"/>
      <c r="AA74" s="4874"/>
      <c r="AB74" s="4874"/>
      <c r="AC74" s="6837">
        <v>5000</v>
      </c>
      <c r="AD74" s="6837"/>
      <c r="AE74" s="6837"/>
      <c r="AF74" s="4874"/>
      <c r="AG74" s="4858"/>
      <c r="AH74" s="4858"/>
      <c r="AI74" s="4858"/>
      <c r="AJ74" s="4858"/>
      <c r="AK74" s="4858"/>
      <c r="AL74" s="4875"/>
      <c r="AM74" s="786"/>
      <c r="AN74" s="4876"/>
      <c r="AO74" s="1126"/>
      <c r="AP74"/>
      <c r="AQ74"/>
      <c r="AR74"/>
      <c r="AS74"/>
      <c r="AT74"/>
      <c r="AU74"/>
      <c r="AV74"/>
      <c r="BO74"/>
      <c r="BP74"/>
      <c r="BQ74" s="4860"/>
      <c r="BR74" s="4860"/>
      <c r="BS74" s="4860"/>
      <c r="BT74" s="4860"/>
      <c r="BU74" s="4860"/>
      <c r="BV74" s="4860"/>
      <c r="BW74" s="4860"/>
      <c r="BX74" s="4860"/>
      <c r="BY74" s="4860"/>
      <c r="BZ74" s="4860"/>
      <c r="CA74" s="4860"/>
    </row>
    <row r="75" spans="1:79" s="42" customFormat="1" ht="15.75" customHeight="1">
      <c r="A75" s="78"/>
      <c r="B75" s="6851"/>
      <c r="C75" s="4856"/>
      <c r="D75" s="4858"/>
      <c r="E75" s="4878" t="s">
        <v>1275</v>
      </c>
      <c r="F75" s="412" t="str">
        <f>"Married filing jointly or qualifying widow(er)—"&amp;TEXT(AC75,"$0,000")</f>
        <v>Married filing jointly or qualifying widow(er)—$10,000</v>
      </c>
      <c r="G75" s="412"/>
      <c r="H75" s="4874"/>
      <c r="I75" s="4874"/>
      <c r="J75" s="4874"/>
      <c r="K75" s="4874"/>
      <c r="L75" s="4874"/>
      <c r="M75" s="4874"/>
      <c r="N75" s="4874"/>
      <c r="O75" s="4874"/>
      <c r="P75" s="4874"/>
      <c r="Q75" s="4874"/>
      <c r="R75" s="4874"/>
      <c r="S75" s="4874"/>
      <c r="T75" s="4874"/>
      <c r="U75" s="4874"/>
      <c r="V75" s="4874"/>
      <c r="W75" s="4874"/>
      <c r="X75" s="4874"/>
      <c r="Y75" s="4874"/>
      <c r="Z75" s="4874"/>
      <c r="AA75" s="4874"/>
      <c r="AB75" s="4874"/>
      <c r="AC75" s="6837">
        <v>10000</v>
      </c>
      <c r="AD75" s="6837"/>
      <c r="AE75" s="6837"/>
      <c r="AF75" s="4874"/>
      <c r="AG75" s="4858"/>
      <c r="AH75" s="6848" t="str">
        <f>IF(OR(File_Single&lt;&gt;"",File_Marr_Sep&lt;&gt;""),AC74,IF(OR(File_Marr_Joint&lt;&gt;"",File_Qual_Widow&lt;&gt;""),AC75,IF(File_Head&lt;&gt;"",AC76,"Filing status?")))</f>
        <v>Filing status?</v>
      </c>
      <c r="AI75" s="6848"/>
      <c r="AJ75" s="6848"/>
      <c r="AK75" s="6848"/>
      <c r="AL75" s="4875"/>
      <c r="AM75" s="786"/>
      <c r="AN75" s="4876"/>
      <c r="AO75" s="1126"/>
      <c r="AP75"/>
      <c r="AQ75"/>
      <c r="AR75"/>
      <c r="AS75"/>
      <c r="AT75"/>
      <c r="AU75"/>
      <c r="AV75"/>
      <c r="BO75"/>
      <c r="BP75"/>
      <c r="BQ75" s="4860"/>
      <c r="BR75" s="4860"/>
      <c r="BS75" s="4860"/>
      <c r="BT75" s="4860"/>
      <c r="BU75" s="4860"/>
      <c r="BV75" s="4860"/>
      <c r="BW75" s="4860"/>
      <c r="BX75" s="4860"/>
      <c r="BY75" s="4860"/>
      <c r="BZ75" s="4860"/>
      <c r="CA75" s="4860"/>
    </row>
    <row r="76" spans="1:79" s="42" customFormat="1" ht="15.75" customHeight="1">
      <c r="A76" s="78"/>
      <c r="B76" s="6851"/>
      <c r="C76" s="4856"/>
      <c r="D76" s="4858"/>
      <c r="E76" s="4878" t="s">
        <v>1275</v>
      </c>
      <c r="F76" s="412" t="str">
        <f>"Head of household—"&amp;TEXT(AC76,"$0,000")</f>
        <v>Head of household—$7,500</v>
      </c>
      <c r="G76" s="412"/>
      <c r="H76" s="4874"/>
      <c r="I76" s="4874"/>
      <c r="J76" s="4874"/>
      <c r="K76" s="4874"/>
      <c r="L76" s="4874"/>
      <c r="M76" s="4874"/>
      <c r="N76" s="4874"/>
      <c r="O76" s="4874"/>
      <c r="P76" s="4874"/>
      <c r="Q76" s="4874"/>
      <c r="R76" s="4874"/>
      <c r="S76" s="4874"/>
      <c r="T76" s="4874"/>
      <c r="U76" s="4874"/>
      <c r="V76" s="4874"/>
      <c r="W76" s="4874"/>
      <c r="X76" s="4874"/>
      <c r="Y76" s="4874"/>
      <c r="Z76" s="4874"/>
      <c r="AA76" s="4874"/>
      <c r="AB76" s="4874"/>
      <c r="AC76" s="6837">
        <v>7500</v>
      </c>
      <c r="AD76" s="6837"/>
      <c r="AE76" s="6837"/>
      <c r="AF76" s="4874"/>
      <c r="AG76" s="4909" t="s">
        <v>296</v>
      </c>
      <c r="AH76" s="6841" t="str">
        <f>IF(OR($AI$43,C62,C69),"",ROUND(AH71/AH75,4))</f>
        <v/>
      </c>
      <c r="AI76" s="6841"/>
      <c r="AJ76" s="6841"/>
      <c r="AK76" s="6841"/>
      <c r="AL76" s="4875"/>
      <c r="AM76" s="786"/>
      <c r="AN76" s="4876"/>
      <c r="AO76" s="1126"/>
      <c r="AP76"/>
      <c r="AQ76"/>
      <c r="AR76"/>
      <c r="AS76"/>
      <c r="AT76"/>
      <c r="AU76"/>
      <c r="AV76"/>
      <c r="BO76"/>
      <c r="BP76"/>
      <c r="BQ76" s="4860"/>
      <c r="BR76" s="4860"/>
      <c r="BS76" s="4860"/>
      <c r="BT76" s="4860"/>
      <c r="BU76" s="4860"/>
      <c r="BV76" s="4860"/>
      <c r="BW76" s="4860"/>
      <c r="BX76" s="4860"/>
      <c r="BY76" s="4860"/>
      <c r="BZ76" s="4860"/>
      <c r="CA76" s="4860"/>
    </row>
    <row r="77" spans="1:79" s="42" customFormat="1" ht="8.25" customHeight="1">
      <c r="A77" s="78"/>
      <c r="B77" s="6851"/>
      <c r="C77" s="6832" t="b">
        <f>AND(File_Marr_Joint="",E63="",E69&lt;&gt;"")</f>
        <v>0</v>
      </c>
      <c r="D77" s="6840"/>
      <c r="E77" s="412"/>
      <c r="F77" s="412"/>
      <c r="G77" s="412"/>
      <c r="H77" s="4874"/>
      <c r="I77" s="412"/>
      <c r="J77" s="412"/>
      <c r="K77" s="4858"/>
      <c r="L77" s="4858"/>
      <c r="M77" s="4858"/>
      <c r="N77" s="4858"/>
      <c r="O77" s="4858"/>
      <c r="P77" s="4858"/>
      <c r="Q77" s="4858"/>
      <c r="R77" s="4858"/>
      <c r="S77" s="4858"/>
      <c r="T77" s="4858"/>
      <c r="U77" s="4858"/>
      <c r="V77" s="4858"/>
      <c r="W77" s="4858"/>
      <c r="X77" s="4858"/>
      <c r="Y77" s="4858"/>
      <c r="Z77" s="4858"/>
      <c r="AA77" s="4858"/>
      <c r="AB77" s="4858"/>
      <c r="AC77" s="4858"/>
      <c r="AD77" s="4858"/>
      <c r="AE77" s="4858"/>
      <c r="AF77" s="4858"/>
      <c r="AG77" s="4858"/>
      <c r="AH77" s="4858"/>
      <c r="AI77" s="4858"/>
      <c r="AJ77" s="4858"/>
      <c r="AK77" s="4858"/>
      <c r="AL77" s="4875"/>
      <c r="AM77" s="786"/>
      <c r="AN77" s="4876"/>
      <c r="AO77" s="1126"/>
      <c r="AP77"/>
      <c r="AQ77"/>
      <c r="AR77"/>
      <c r="AS77"/>
      <c r="AT77"/>
      <c r="AU77"/>
      <c r="AV77"/>
      <c r="BO77"/>
      <c r="BP77"/>
      <c r="BQ77" s="4860"/>
      <c r="BR77" s="4860"/>
      <c r="BS77" s="4860"/>
      <c r="BT77" s="4860"/>
      <c r="BU77" s="4860"/>
      <c r="BV77" s="4860"/>
      <c r="BW77" s="4860"/>
      <c r="BX77" s="4860"/>
      <c r="BY77" s="4860"/>
      <c r="BZ77" s="4860"/>
      <c r="CA77" s="4860"/>
    </row>
    <row r="78" spans="1:79" s="42" customFormat="1" ht="15.75" customHeight="1">
      <c r="A78" s="78"/>
      <c r="B78" s="6851"/>
      <c r="C78" s="4881" t="s">
        <v>297</v>
      </c>
      <c r="D78" s="4858"/>
      <c r="E78" s="412" t="s">
        <v>5263</v>
      </c>
      <c r="F78" s="412"/>
      <c r="G78" s="412"/>
      <c r="H78" s="4874"/>
      <c r="I78" s="412"/>
      <c r="J78" s="412"/>
      <c r="K78" s="4858"/>
      <c r="L78" s="4858"/>
      <c r="M78" s="4858"/>
      <c r="N78" s="4858"/>
      <c r="O78" s="4858"/>
      <c r="P78" s="4858"/>
      <c r="Q78" s="4858"/>
      <c r="R78" s="4858"/>
      <c r="S78" s="4858"/>
      <c r="T78" s="4858"/>
      <c r="U78" s="4858"/>
      <c r="V78" s="4858"/>
      <c r="W78" s="4858"/>
      <c r="X78" s="4858"/>
      <c r="Y78" s="4858"/>
      <c r="Z78" s="4858"/>
      <c r="AA78" s="4858"/>
      <c r="AB78" s="4858"/>
      <c r="AC78" s="4858"/>
      <c r="AD78" s="4858"/>
      <c r="AE78" s="4858"/>
      <c r="AF78" s="4858" t="s">
        <v>2418</v>
      </c>
      <c r="AG78" s="4909" t="s">
        <v>297</v>
      </c>
      <c r="AH78" s="6563">
        <f>IF(OR($AI$43,C69),"",IF(C62,AH53,ROUND(AH53*AH76,0)))</f>
        <v>0</v>
      </c>
      <c r="AI78" s="6563"/>
      <c r="AJ78" s="6563"/>
      <c r="AK78" s="6563"/>
      <c r="AL78" s="4875"/>
      <c r="AM78" s="786"/>
      <c r="AN78" s="4876"/>
      <c r="AO78" s="1126"/>
      <c r="AP78"/>
      <c r="AQ78"/>
      <c r="AR78"/>
      <c r="AS78"/>
      <c r="AT78"/>
      <c r="AU78"/>
      <c r="AV78"/>
      <c r="BO78"/>
      <c r="BP78"/>
      <c r="BQ78" s="4860"/>
      <c r="BR78" s="4860"/>
      <c r="BS78" s="4860"/>
      <c r="BT78" s="4860"/>
      <c r="BU78" s="4860"/>
      <c r="BV78" s="4860"/>
      <c r="BW78" s="4860"/>
      <c r="BX78" s="4860"/>
      <c r="BY78" s="4860"/>
      <c r="BZ78" s="4860"/>
      <c r="CA78" s="4860"/>
    </row>
    <row r="79" spans="1:79" s="42" customFormat="1" ht="12" customHeight="1">
      <c r="A79" s="78"/>
      <c r="B79" s="6851"/>
      <c r="C79" s="5574"/>
      <c r="D79" s="5573"/>
      <c r="E79" s="4904"/>
      <c r="F79" s="4904"/>
      <c r="G79" s="4904"/>
      <c r="H79" s="4905"/>
      <c r="I79" s="4904"/>
      <c r="J79" s="4904"/>
      <c r="K79" s="4903"/>
      <c r="L79" s="4903"/>
      <c r="M79" s="4903"/>
      <c r="N79" s="4903"/>
      <c r="O79" s="4903"/>
      <c r="P79" s="4903"/>
      <c r="Q79" s="4903"/>
      <c r="R79" s="4903"/>
      <c r="S79" s="4903"/>
      <c r="T79" s="4903"/>
      <c r="U79" s="4903"/>
      <c r="V79" s="4903"/>
      <c r="W79" s="4903"/>
      <c r="X79" s="4903"/>
      <c r="Y79" s="4903"/>
      <c r="Z79" s="4903"/>
      <c r="AA79" s="4903"/>
      <c r="AB79" s="4903"/>
      <c r="AC79" s="4903"/>
      <c r="AD79" s="4903"/>
      <c r="AE79" s="4903"/>
      <c r="AF79" s="4903"/>
      <c r="AG79" s="4903"/>
      <c r="AH79" s="4903"/>
      <c r="AI79" s="4903"/>
      <c r="AJ79" s="4903"/>
      <c r="AK79" s="4903"/>
      <c r="AL79" s="4906"/>
      <c r="AM79" s="786"/>
      <c r="AN79" s="4876"/>
      <c r="AO79" s="1126"/>
      <c r="AP79"/>
      <c r="AQ79"/>
      <c r="AR79"/>
      <c r="AS79"/>
      <c r="AT79"/>
      <c r="AU79"/>
      <c r="AV79"/>
      <c r="BO79"/>
      <c r="BP79"/>
      <c r="BQ79" s="4860"/>
      <c r="BR79" s="4860"/>
      <c r="BS79" s="4860"/>
      <c r="BT79" s="4860"/>
      <c r="BU79" s="4860"/>
      <c r="BV79" s="4860"/>
      <c r="BW79" s="4860"/>
      <c r="BX79" s="4860"/>
      <c r="BY79" s="4860"/>
      <c r="BZ79" s="4860"/>
      <c r="CA79" s="4860"/>
    </row>
    <row r="80" spans="1:79" s="42" customFormat="1" ht="27" customHeight="1">
      <c r="A80" s="78"/>
      <c r="B80" s="6842" t="s">
        <v>5270</v>
      </c>
      <c r="C80" s="4881" t="s">
        <v>431</v>
      </c>
      <c r="D80" s="5533"/>
      <c r="E80" s="412" t="s">
        <v>5264</v>
      </c>
      <c r="F80" s="412"/>
      <c r="G80" s="412"/>
      <c r="H80" s="4874"/>
      <c r="I80" s="412"/>
      <c r="J80" s="412"/>
      <c r="K80" s="4858"/>
      <c r="L80" s="4858"/>
      <c r="M80" s="4858"/>
      <c r="N80" s="4858"/>
      <c r="O80" s="4858"/>
      <c r="P80" s="4858"/>
      <c r="Q80" s="4858"/>
      <c r="R80" s="4858"/>
      <c r="S80" s="4858"/>
      <c r="T80" s="4858"/>
      <c r="U80" s="4858"/>
      <c r="V80" s="4858"/>
      <c r="W80" s="4858"/>
      <c r="X80" s="4858"/>
      <c r="Y80" s="4858"/>
      <c r="Z80" s="4858"/>
      <c r="AA80" s="4858"/>
      <c r="AB80" s="4858"/>
      <c r="AC80" s="4858"/>
      <c r="AD80" s="4858"/>
      <c r="AE80" s="4858"/>
      <c r="AF80" s="4858"/>
      <c r="AG80" s="4858"/>
      <c r="AH80" s="4858"/>
      <c r="AI80" s="4858"/>
      <c r="AJ80" s="4858"/>
      <c r="AK80" s="4858"/>
      <c r="AL80" s="4875"/>
      <c r="AM80" s="786"/>
      <c r="AN80" s="4876"/>
      <c r="AO80" s="1126"/>
      <c r="AP80"/>
      <c r="AQ80"/>
      <c r="AR80"/>
      <c r="AS80"/>
      <c r="AT80"/>
      <c r="AU80"/>
      <c r="AV80"/>
      <c r="BO80"/>
      <c r="BP80"/>
      <c r="BQ80" s="4860"/>
      <c r="BR80" s="4860"/>
      <c r="BS80" s="4860"/>
      <c r="BT80" s="4860"/>
      <c r="BU80" s="4860"/>
      <c r="BV80" s="4860"/>
      <c r="BW80" s="4860"/>
      <c r="BX80" s="4860"/>
      <c r="BY80" s="4860"/>
      <c r="BZ80" s="4860"/>
      <c r="CA80" s="4860"/>
    </row>
    <row r="81" spans="1:79" s="42" customFormat="1" ht="15" customHeight="1">
      <c r="A81" s="78"/>
      <c r="B81" s="6843"/>
      <c r="C81" s="5532"/>
      <c r="D81" s="5533"/>
      <c r="E81" s="5575" t="s">
        <v>5257</v>
      </c>
      <c r="F81" s="412"/>
      <c r="G81" s="412"/>
      <c r="H81" s="4874"/>
      <c r="I81" s="412"/>
      <c r="J81" s="412"/>
      <c r="K81" s="4858"/>
      <c r="L81" s="4858"/>
      <c r="M81" s="4858"/>
      <c r="N81" s="4858"/>
      <c r="O81" s="4858"/>
      <c r="P81" s="4858"/>
      <c r="Q81" s="4858"/>
      <c r="R81" s="4858"/>
      <c r="S81" s="4858"/>
      <c r="T81" s="4858"/>
      <c r="U81" s="4858"/>
      <c r="V81" s="4858"/>
      <c r="W81" s="4858"/>
      <c r="X81" s="4858"/>
      <c r="Y81" s="4858"/>
      <c r="Z81" s="4858"/>
      <c r="AA81" s="4858"/>
      <c r="AB81" s="4858"/>
      <c r="AC81" s="4858"/>
      <c r="AD81" s="4858"/>
      <c r="AE81" s="4858"/>
      <c r="AF81" s="4858"/>
      <c r="AG81" s="4858"/>
      <c r="AH81" s="4858"/>
      <c r="AI81" s="4858"/>
      <c r="AJ81" s="4858"/>
      <c r="AK81" s="4858"/>
      <c r="AL81" s="4875"/>
      <c r="AM81" s="786"/>
      <c r="AN81" s="4876"/>
      <c r="AO81" s="1126"/>
      <c r="AP81"/>
      <c r="AQ81"/>
      <c r="AR81"/>
      <c r="AS81"/>
      <c r="AT81"/>
      <c r="AU81"/>
      <c r="AV81"/>
      <c r="BO81"/>
      <c r="BP81"/>
      <c r="BQ81" s="4860"/>
      <c r="BR81" s="4860"/>
      <c r="BS81" s="4860"/>
      <c r="BT81" s="4860"/>
      <c r="BU81" s="4860"/>
      <c r="BV81" s="4860"/>
      <c r="BW81" s="4860"/>
      <c r="BX81" s="4860"/>
      <c r="BY81" s="4860"/>
      <c r="BZ81" s="4860"/>
      <c r="CA81" s="4860"/>
    </row>
    <row r="82" spans="1:79" s="42" customFormat="1" ht="12.75" customHeight="1">
      <c r="A82" s="78"/>
      <c r="B82" s="6843"/>
      <c r="C82" s="4856"/>
      <c r="D82" s="4858"/>
      <c r="E82" s="412" t="s">
        <v>5258</v>
      </c>
      <c r="F82" s="412"/>
      <c r="G82" s="412"/>
      <c r="H82" s="4874"/>
      <c r="I82" s="412"/>
      <c r="J82" s="412"/>
      <c r="K82" s="4858"/>
      <c r="L82" s="4858"/>
      <c r="M82" s="4858"/>
      <c r="N82" s="4858"/>
      <c r="O82" s="4858"/>
      <c r="P82" s="4858"/>
      <c r="Q82" s="4858"/>
      <c r="R82" s="4858"/>
      <c r="S82" s="4858"/>
      <c r="T82" s="4858"/>
      <c r="U82" s="4858"/>
      <c r="V82" s="4858"/>
      <c r="W82" s="4858"/>
      <c r="X82" s="4858"/>
      <c r="Y82" s="4858"/>
      <c r="Z82" s="4858"/>
      <c r="AA82" s="4858"/>
      <c r="AB82" s="4858"/>
      <c r="AC82" s="4858"/>
      <c r="AD82" s="4858"/>
      <c r="AE82" s="4858"/>
      <c r="AF82" s="4858" t="s">
        <v>2780</v>
      </c>
      <c r="AG82" s="4909" t="s">
        <v>431</v>
      </c>
      <c r="AH82" s="6563">
        <f>IF(OR($AI$43,C69),"",AH11)</f>
        <v>0</v>
      </c>
      <c r="AI82" s="6563"/>
      <c r="AJ82" s="6563"/>
      <c r="AK82" s="6563"/>
      <c r="AL82" s="4875"/>
      <c r="AM82" s="786"/>
      <c r="AN82" s="4876"/>
      <c r="AO82" s="1126"/>
      <c r="AP82"/>
      <c r="AQ82"/>
      <c r="AR82"/>
      <c r="AS82"/>
      <c r="AT82"/>
      <c r="AU82"/>
      <c r="AV82"/>
      <c r="BO82"/>
      <c r="BP82"/>
      <c r="BQ82" s="4860"/>
      <c r="BR82" s="4860"/>
      <c r="BS82" s="4860"/>
      <c r="BT82" s="4860"/>
      <c r="BU82" s="4860"/>
      <c r="BV82" s="4860"/>
      <c r="BW82" s="4860"/>
      <c r="BX82" s="4860"/>
      <c r="BY82" s="4860"/>
      <c r="BZ82" s="4860"/>
      <c r="CA82" s="4860"/>
    </row>
    <row r="83" spans="1:79" s="42" customFormat="1" ht="12.75" customHeight="1">
      <c r="A83" s="78"/>
      <c r="B83" s="6853"/>
      <c r="C83" s="5572"/>
      <c r="D83" s="5573"/>
      <c r="E83" s="4904"/>
      <c r="F83" s="4904"/>
      <c r="G83" s="4904"/>
      <c r="H83" s="4905"/>
      <c r="I83" s="4904"/>
      <c r="J83" s="4904"/>
      <c r="K83" s="4903"/>
      <c r="L83" s="4903"/>
      <c r="M83" s="4903"/>
      <c r="N83" s="4903"/>
      <c r="O83" s="4903"/>
      <c r="P83" s="4903"/>
      <c r="Q83" s="4903"/>
      <c r="R83" s="4903"/>
      <c r="S83" s="4903"/>
      <c r="T83" s="4903"/>
      <c r="U83" s="4903"/>
      <c r="V83" s="4903"/>
      <c r="W83" s="4903"/>
      <c r="X83" s="4903"/>
      <c r="Y83" s="4903"/>
      <c r="Z83" s="4903"/>
      <c r="AA83" s="4903"/>
      <c r="AB83" s="4903"/>
      <c r="AC83" s="4903"/>
      <c r="AD83" s="4903"/>
      <c r="AE83" s="4903"/>
      <c r="AF83" s="4903"/>
      <c r="AG83" s="4903"/>
      <c r="AH83" s="4903"/>
      <c r="AI83" s="4903"/>
      <c r="AJ83" s="4903"/>
      <c r="AK83" s="4903"/>
      <c r="AL83" s="4906"/>
      <c r="AM83" s="786"/>
      <c r="AN83" s="4876"/>
      <c r="AO83" s="1126"/>
      <c r="AP83"/>
      <c r="AQ83"/>
      <c r="AR83"/>
      <c r="AS83"/>
      <c r="AT83"/>
      <c r="AU83"/>
      <c r="AV83"/>
      <c r="BO83"/>
      <c r="BP83"/>
      <c r="BQ83" s="4860"/>
      <c r="BR83" s="4860"/>
      <c r="BS83" s="4860"/>
      <c r="BT83" s="4860"/>
      <c r="BU83" s="4860"/>
      <c r="BV83" s="4860"/>
      <c r="BW83" s="4860"/>
      <c r="BX83" s="4860"/>
      <c r="BY83" s="4860"/>
      <c r="BZ83" s="4860"/>
      <c r="CA83" s="4860"/>
    </row>
    <row r="84" spans="1:79" s="42" customFormat="1" ht="18" customHeight="1">
      <c r="A84" s="78"/>
      <c r="B84" s="6842" t="s">
        <v>5285</v>
      </c>
      <c r="C84" s="5565" t="s">
        <v>432</v>
      </c>
      <c r="D84" s="5571"/>
      <c r="E84" s="5567" t="s">
        <v>5265</v>
      </c>
      <c r="F84" s="5567"/>
      <c r="G84" s="5567"/>
      <c r="H84" s="5568"/>
      <c r="I84" s="5567"/>
      <c r="J84" s="5567"/>
      <c r="K84" s="5566"/>
      <c r="L84" s="5566"/>
      <c r="M84" s="5566"/>
      <c r="N84" s="5566"/>
      <c r="O84" s="5566"/>
      <c r="P84" s="5566"/>
      <c r="Q84" s="5566"/>
      <c r="R84" s="5566"/>
      <c r="S84" s="5566"/>
      <c r="T84" s="5566"/>
      <c r="U84" s="5566"/>
      <c r="V84" s="5566"/>
      <c r="W84" s="5566"/>
      <c r="X84" s="5566"/>
      <c r="Y84" s="5566"/>
      <c r="Z84" s="5566"/>
      <c r="AA84" s="5566"/>
      <c r="AB84" s="5566"/>
      <c r="AC84" s="5566"/>
      <c r="AD84" s="5566"/>
      <c r="AE84" s="5566"/>
      <c r="AF84" s="5566"/>
      <c r="AG84" s="5566"/>
      <c r="AH84" s="5566"/>
      <c r="AI84" s="5566"/>
      <c r="AJ84" s="5566"/>
      <c r="AK84" s="5566"/>
      <c r="AL84" s="5570"/>
      <c r="AM84" s="786"/>
      <c r="AN84" s="4876"/>
      <c r="AO84" s="1126"/>
      <c r="AP84"/>
      <c r="AQ84"/>
      <c r="AR84"/>
      <c r="AS84"/>
      <c r="AT84"/>
      <c r="AU84"/>
      <c r="AV84"/>
      <c r="BO84"/>
      <c r="BP84"/>
      <c r="BQ84" s="4860"/>
      <c r="BR84" s="4860"/>
      <c r="BS84" s="4860"/>
      <c r="BT84" s="4860"/>
      <c r="BU84" s="4860"/>
      <c r="BV84" s="4860"/>
      <c r="BW84" s="4860"/>
      <c r="BX84" s="4860"/>
      <c r="BY84" s="4860"/>
      <c r="BZ84" s="4860"/>
      <c r="CA84" s="4860"/>
    </row>
    <row r="85" spans="1:79" s="42" customFormat="1" ht="15.75" customHeight="1">
      <c r="A85" s="78"/>
      <c r="B85" s="6843"/>
      <c r="C85" s="5532"/>
      <c r="D85" s="5533"/>
      <c r="E85" s="412" t="s">
        <v>5266</v>
      </c>
      <c r="F85" s="412"/>
      <c r="G85" s="412"/>
      <c r="H85" s="4874"/>
      <c r="I85" s="412"/>
      <c r="J85" s="412"/>
      <c r="K85" s="4858"/>
      <c r="L85" s="4858"/>
      <c r="M85" s="4858"/>
      <c r="N85" s="4858"/>
      <c r="O85" s="4858"/>
      <c r="P85" s="4858"/>
      <c r="Q85" s="4858"/>
      <c r="R85" s="4858"/>
      <c r="S85" s="4858"/>
      <c r="T85" s="4858"/>
      <c r="U85" s="4858"/>
      <c r="V85" s="4858"/>
      <c r="W85" s="4858"/>
      <c r="X85" s="4858"/>
      <c r="Y85" s="4858"/>
      <c r="Z85" s="4858"/>
      <c r="AA85" s="4858"/>
      <c r="AB85" s="4858"/>
      <c r="AC85" s="4858"/>
      <c r="AD85" s="4858"/>
      <c r="AE85" s="4858"/>
      <c r="AF85" s="4858"/>
      <c r="AG85" s="4858"/>
      <c r="AH85" s="4858"/>
      <c r="AI85" s="4858"/>
      <c r="AJ85" s="4858"/>
      <c r="AK85" s="4858"/>
      <c r="AL85" s="4875"/>
      <c r="AM85" s="786"/>
      <c r="AN85" s="4876"/>
      <c r="AO85" s="1126"/>
      <c r="AP85"/>
      <c r="AQ85"/>
      <c r="AR85"/>
      <c r="AS85"/>
      <c r="AT85"/>
      <c r="AU85"/>
      <c r="AV85"/>
      <c r="BO85"/>
      <c r="BP85"/>
      <c r="BQ85" s="4860"/>
      <c r="BR85" s="4860"/>
      <c r="BS85" s="4860"/>
      <c r="BT85" s="4860"/>
      <c r="BU85" s="4860"/>
      <c r="BV85" s="4860"/>
      <c r="BW85" s="4860"/>
      <c r="BX85" s="4860"/>
      <c r="BY85" s="4860"/>
      <c r="BZ85" s="4860"/>
      <c r="CA85" s="4860"/>
    </row>
    <row r="86" spans="1:79" s="42" customFormat="1" ht="15.75" customHeight="1">
      <c r="A86" s="78"/>
      <c r="B86" s="6843"/>
      <c r="C86" s="4856"/>
      <c r="D86" s="4858"/>
      <c r="E86" s="412" t="s">
        <v>5267</v>
      </c>
      <c r="F86" s="412"/>
      <c r="G86" s="412"/>
      <c r="H86" s="4874"/>
      <c r="I86" s="412"/>
      <c r="J86" s="412"/>
      <c r="K86" s="4858"/>
      <c r="L86" s="4858"/>
      <c r="M86" s="4858"/>
      <c r="N86" s="4858"/>
      <c r="O86" s="4858"/>
      <c r="P86" s="4858"/>
      <c r="Q86" s="4858"/>
      <c r="R86" s="4858"/>
      <c r="S86" s="4858"/>
      <c r="T86" s="4858"/>
      <c r="U86" s="4858"/>
      <c r="V86" s="4858"/>
      <c r="W86" s="4858"/>
      <c r="X86" s="4858"/>
      <c r="Y86" s="4858"/>
      <c r="Z86" s="4858"/>
      <c r="AA86" s="4858"/>
      <c r="AB86" s="4858"/>
      <c r="AC86" s="4858"/>
      <c r="AD86" s="4858"/>
      <c r="AE86" s="4858"/>
      <c r="AF86" s="4858" t="s">
        <v>4394</v>
      </c>
      <c r="AG86" s="4909" t="s">
        <v>432</v>
      </c>
      <c r="AH86" s="6563">
        <f>IF(OR($AI$43,C69),"",MAX(0,SUM(AH78,-AH82)))</f>
        <v>0</v>
      </c>
      <c r="AI86" s="6563"/>
      <c r="AJ86" s="6563"/>
      <c r="AK86" s="6563"/>
      <c r="AL86" s="4875"/>
      <c r="AM86" s="786"/>
      <c r="AN86" s="4876"/>
      <c r="AO86" s="1126"/>
      <c r="AP86"/>
      <c r="AQ86"/>
      <c r="AR86"/>
      <c r="AS86"/>
      <c r="AT86"/>
      <c r="AU86"/>
      <c r="AV86"/>
      <c r="BO86"/>
      <c r="BP86"/>
      <c r="BQ86" s="4860"/>
      <c r="BR86" s="4860"/>
      <c r="BS86" s="4860"/>
      <c r="BT86" s="4860"/>
      <c r="BU86" s="4860"/>
      <c r="BV86" s="4860"/>
      <c r="BW86" s="4860"/>
      <c r="BX86" s="4860"/>
      <c r="BY86" s="4860"/>
      <c r="BZ86" s="4860"/>
      <c r="CA86" s="4860"/>
    </row>
    <row r="87" spans="1:79" s="42" customFormat="1" ht="12" customHeight="1">
      <c r="A87" s="78"/>
      <c r="B87" s="6844"/>
      <c r="C87" s="5576"/>
      <c r="D87" s="5577"/>
      <c r="E87" s="5577"/>
      <c r="F87" s="5577"/>
      <c r="G87" s="5577"/>
      <c r="H87" s="5577"/>
      <c r="I87" s="5577"/>
      <c r="J87" s="5577"/>
      <c r="K87" s="5577"/>
      <c r="L87" s="5577"/>
      <c r="M87" s="5577"/>
      <c r="N87" s="5577"/>
      <c r="O87" s="5577"/>
      <c r="P87" s="5577"/>
      <c r="Q87" s="5577"/>
      <c r="R87" s="5577"/>
      <c r="S87" s="5577"/>
      <c r="T87" s="5577"/>
      <c r="U87" s="5577"/>
      <c r="V87" s="5577"/>
      <c r="W87" s="5577"/>
      <c r="X87" s="5577"/>
      <c r="Y87" s="5577"/>
      <c r="Z87" s="5577"/>
      <c r="AA87" s="5577"/>
      <c r="AB87" s="6831"/>
      <c r="AC87" s="6831"/>
      <c r="AD87" s="6831"/>
      <c r="AE87" s="5578"/>
      <c r="AF87" s="5579"/>
      <c r="AG87" s="5579"/>
      <c r="AH87" s="5579"/>
      <c r="AI87" s="6831"/>
      <c r="AJ87" s="6831"/>
      <c r="AK87" s="6831"/>
      <c r="AL87" s="5580"/>
      <c r="AM87" s="786"/>
      <c r="AN87" s="4876"/>
      <c r="AO87" s="1126"/>
      <c r="AP87"/>
      <c r="AQ87"/>
      <c r="AR87"/>
      <c r="AS87"/>
      <c r="AT87"/>
      <c r="AU87"/>
      <c r="AV87"/>
      <c r="BO87"/>
      <c r="BP87"/>
      <c r="BQ87" s="4860"/>
      <c r="BR87" s="4860"/>
      <c r="BS87" s="4860"/>
      <c r="BT87" s="4860"/>
      <c r="BU87" s="4860"/>
      <c r="BV87" s="4860"/>
      <c r="BW87" s="4860"/>
      <c r="BX87" s="4860"/>
      <c r="BY87" s="4860"/>
      <c r="BZ87" s="4860"/>
      <c r="CA87" s="4860"/>
    </row>
    <row r="88" spans="1:79" s="42" customFormat="1" ht="19.5" customHeight="1">
      <c r="A88" s="78"/>
      <c r="B88" s="1126"/>
      <c r="C88" s="1126"/>
      <c r="D88" s="1126"/>
      <c r="E88" s="1126"/>
      <c r="F88" s="1126"/>
      <c r="G88" s="1126"/>
      <c r="H88" s="1126"/>
      <c r="I88" s="1126"/>
      <c r="J88" s="1126"/>
      <c r="K88" s="1126"/>
      <c r="L88" s="1126"/>
      <c r="M88" s="1126"/>
      <c r="N88" s="1126"/>
      <c r="O88" s="1126"/>
      <c r="P88" s="1126"/>
      <c r="Q88" s="1126"/>
      <c r="R88" s="1126"/>
      <c r="S88" s="1126"/>
      <c r="T88" s="1126"/>
      <c r="U88" s="1126"/>
      <c r="V88" s="1126"/>
      <c r="W88" s="1126"/>
      <c r="X88" s="1126"/>
      <c r="Y88" s="1126"/>
      <c r="Z88" s="1126"/>
      <c r="AA88" s="1126"/>
      <c r="AB88" s="1126"/>
      <c r="AC88" s="1126"/>
      <c r="AD88" s="1126"/>
      <c r="AE88" s="1126"/>
      <c r="AF88" s="1126"/>
      <c r="AG88" s="1126"/>
      <c r="AH88" s="1126"/>
      <c r="AI88" s="1126"/>
      <c r="AJ88" s="1126"/>
      <c r="AK88" s="1126"/>
      <c r="AL88" s="1126"/>
      <c r="AM88" s="1126"/>
      <c r="AN88" s="1126"/>
      <c r="AO88" s="1126"/>
      <c r="AP88"/>
      <c r="AQ88"/>
      <c r="AR88"/>
      <c r="AS88"/>
      <c r="AT88"/>
      <c r="AU88"/>
      <c r="AV88"/>
      <c r="BO88"/>
      <c r="BP88"/>
      <c r="BQ88" s="4860"/>
      <c r="BR88" s="4860"/>
      <c r="BS88" s="4860"/>
      <c r="BT88" s="4860"/>
      <c r="BU88" s="4860"/>
      <c r="BV88" s="4860"/>
      <c r="BW88" s="4860"/>
      <c r="BX88" s="4860"/>
      <c r="BY88" s="4860"/>
      <c r="BZ88" s="4860"/>
      <c r="CA88" s="4860"/>
    </row>
    <row r="89" spans="1:79" s="42" customFormat="1" ht="15.75" customHeight="1">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BO89"/>
      <c r="BP89"/>
      <c r="BQ89" s="4860"/>
      <c r="BR89" s="4860"/>
      <c r="BS89" s="4860"/>
      <c r="BT89" s="4860"/>
      <c r="BU89" s="4860"/>
      <c r="BV89" s="4860"/>
      <c r="BW89" s="4860"/>
      <c r="BX89" s="4860"/>
      <c r="BY89" s="4860"/>
      <c r="BZ89" s="4860"/>
      <c r="CA89" s="4860"/>
    </row>
    <row r="90" spans="1:79" s="42" customFormat="1" ht="15.75" customHeight="1">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BO90"/>
      <c r="BP90"/>
      <c r="BQ90" s="4860"/>
      <c r="BR90" s="4860"/>
      <c r="BS90" s="4860"/>
      <c r="BT90" s="4860"/>
      <c r="BU90" s="4860"/>
      <c r="BV90" s="4860"/>
      <c r="BW90" s="4860"/>
      <c r="BX90" s="4860"/>
      <c r="BY90" s="4860"/>
      <c r="BZ90" s="4860"/>
      <c r="CA90" s="4860"/>
    </row>
    <row r="91" spans="1:79" s="42" customFormat="1" ht="15.75" customHeight="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BO91"/>
      <c r="BP91"/>
      <c r="BQ91" s="4860"/>
      <c r="BR91" s="4860"/>
      <c r="BS91" s="4860"/>
      <c r="BT91" s="4860"/>
      <c r="BU91" s="4860"/>
      <c r="BV91" s="4860"/>
      <c r="BW91" s="4860"/>
      <c r="BX91" s="4860"/>
      <c r="BY91" s="4860"/>
      <c r="BZ91" s="4860"/>
      <c r="CA91" s="4860"/>
    </row>
    <row r="92" spans="1:79" s="42" customFormat="1" ht="15.75" customHeight="1">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BO92"/>
      <c r="BP92"/>
      <c r="BQ92" s="4860"/>
      <c r="BR92" s="4860"/>
      <c r="BS92" s="4860"/>
      <c r="BT92" s="4860"/>
      <c r="BU92" s="4860"/>
      <c r="BV92" s="4860"/>
      <c r="BW92" s="4860"/>
      <c r="BX92" s="4860"/>
      <c r="BY92" s="4860"/>
      <c r="BZ92" s="4860"/>
      <c r="CA92" s="4860"/>
    </row>
    <row r="93" spans="1:79" s="42" customFormat="1" ht="15.75" customHeight="1">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BO93"/>
      <c r="BP93"/>
      <c r="BQ93" s="4860"/>
      <c r="BR93" s="4860"/>
      <c r="BS93" s="4860"/>
      <c r="BT93" s="4860"/>
      <c r="BU93" s="4860"/>
      <c r="BV93" s="4860"/>
      <c r="BW93" s="4860"/>
      <c r="BX93" s="4860"/>
      <c r="BY93" s="4860"/>
      <c r="BZ93" s="4860"/>
      <c r="CA93" s="4860"/>
    </row>
    <row r="94" spans="1:79" s="42" customFormat="1" ht="15.75" customHeight="1">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BO94"/>
      <c r="BP94"/>
      <c r="BQ94" s="4860"/>
      <c r="BR94" s="4860"/>
      <c r="BS94" s="4860"/>
      <c r="BT94" s="4860"/>
      <c r="BU94" s="4860"/>
      <c r="BV94" s="4860"/>
      <c r="BW94" s="4860"/>
      <c r="BX94" s="4860"/>
      <c r="BY94" s="4860"/>
      <c r="BZ94" s="4860"/>
      <c r="CA94" s="4860"/>
    </row>
    <row r="95" spans="1:79" s="42" customFormat="1" ht="15.75" customHeight="1">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BO95"/>
      <c r="BP95"/>
      <c r="BQ95" s="4860"/>
      <c r="BR95" s="4860"/>
      <c r="BS95" s="4860"/>
      <c r="BT95" s="4860"/>
      <c r="BU95" s="4860"/>
      <c r="BV95" s="4860"/>
      <c r="BW95" s="4860"/>
      <c r="BX95" s="4860"/>
      <c r="BY95" s="4860"/>
      <c r="BZ95" s="4860"/>
      <c r="CA95" s="4860"/>
    </row>
  </sheetData>
  <sheetProtection algorithmName="SHA-512" hashValue="fYrucDxpdCadQPM5OIp0i5QRcvNOXW1POIIyiQftVoeubcttZbGlrWwjEN7szS87DTaF0poKp0SZLt/Zv9Gfvg==" saltValue="Wur0kj6E+wxYVgfwqzNZ6w==" spinCount="100000" sheet="1" objects="1" scenarios="1"/>
  <mergeCells count="66">
    <mergeCell ref="B84:B87"/>
    <mergeCell ref="AM3:AO7"/>
    <mergeCell ref="AH55:AK55"/>
    <mergeCell ref="AH75:AK75"/>
    <mergeCell ref="AH57:AK57"/>
    <mergeCell ref="AH66:AK66"/>
    <mergeCell ref="B45:B54"/>
    <mergeCell ref="B55:B79"/>
    <mergeCell ref="B80:B83"/>
    <mergeCell ref="B3:B7"/>
    <mergeCell ref="AM9:AO9"/>
    <mergeCell ref="B8:B12"/>
    <mergeCell ref="B13:B44"/>
    <mergeCell ref="AI23:AK23"/>
    <mergeCell ref="AI24:AK24"/>
    <mergeCell ref="C28:D28"/>
    <mergeCell ref="AH78:AK78"/>
    <mergeCell ref="AH82:AK82"/>
    <mergeCell ref="AH86:AK86"/>
    <mergeCell ref="C77:D77"/>
    <mergeCell ref="C72:D72"/>
    <mergeCell ref="AC74:AE74"/>
    <mergeCell ref="AC75:AE75"/>
    <mergeCell ref="AH76:AK76"/>
    <mergeCell ref="AC76:AE76"/>
    <mergeCell ref="C69:D69"/>
    <mergeCell ref="C71:D71"/>
    <mergeCell ref="C62:D62"/>
    <mergeCell ref="C63:D63"/>
    <mergeCell ref="AC65:AE65"/>
    <mergeCell ref="AC66:AE66"/>
    <mergeCell ref="AC56:AE56"/>
    <mergeCell ref="AC57:AE57"/>
    <mergeCell ref="AH60:AK60"/>
    <mergeCell ref="AC58:AE58"/>
    <mergeCell ref="AC67:AE67"/>
    <mergeCell ref="C21:D21"/>
    <mergeCell ref="C17:D17"/>
    <mergeCell ref="C15:D15"/>
    <mergeCell ref="AI13:AK13"/>
    <mergeCell ref="C36:D36"/>
    <mergeCell ref="C23:D23"/>
    <mergeCell ref="C33:D33"/>
    <mergeCell ref="AI33:AK33"/>
    <mergeCell ref="C35:D35"/>
    <mergeCell ref="AI87:AK87"/>
    <mergeCell ref="AI35:AK35"/>
    <mergeCell ref="AH53:AK53"/>
    <mergeCell ref="AB87:AD87"/>
    <mergeCell ref="C41:D41"/>
    <mergeCell ref="AI41:AK41"/>
    <mergeCell ref="C43:D43"/>
    <mergeCell ref="AI43:AK43"/>
    <mergeCell ref="C44:D44"/>
    <mergeCell ref="AC46:AE46"/>
    <mergeCell ref="AC47:AE47"/>
    <mergeCell ref="AH47:AK47"/>
    <mergeCell ref="AC48:AE48"/>
    <mergeCell ref="AH52:AK52"/>
    <mergeCell ref="C60:D60"/>
    <mergeCell ref="AH71:AK71"/>
    <mergeCell ref="S2:AL2"/>
    <mergeCell ref="AI9:AJ9"/>
    <mergeCell ref="AH11:AK11"/>
    <mergeCell ref="AM8:AO8"/>
    <mergeCell ref="AI28:AK28"/>
  </mergeCells>
  <conditionalFormatting sqref="E15">
    <cfRule type="expression" dxfId="2394" priority="22">
      <formula>NoColor</formula>
    </cfRule>
  </conditionalFormatting>
  <conditionalFormatting sqref="E17">
    <cfRule type="expression" dxfId="2393" priority="21">
      <formula>NoColor</formula>
    </cfRule>
  </conditionalFormatting>
  <conditionalFormatting sqref="E21">
    <cfRule type="expression" dxfId="2392" priority="20">
      <formula>NoColor</formula>
    </cfRule>
  </conditionalFormatting>
  <conditionalFormatting sqref="E23">
    <cfRule type="expression" dxfId="2391" priority="4">
      <formula>NoColor</formula>
    </cfRule>
  </conditionalFormatting>
  <conditionalFormatting sqref="E28">
    <cfRule type="expression" dxfId="2390" priority="19">
      <formula>NoColor</formula>
    </cfRule>
  </conditionalFormatting>
  <conditionalFormatting sqref="E30">
    <cfRule type="expression" dxfId="2389" priority="3">
      <formula>NoColor</formula>
    </cfRule>
  </conditionalFormatting>
  <conditionalFormatting sqref="E33">
    <cfRule type="expression" dxfId="2388" priority="18">
      <formula>NoColor</formula>
    </cfRule>
  </conditionalFormatting>
  <conditionalFormatting sqref="E35">
    <cfRule type="expression" dxfId="2387" priority="2">
      <formula>NoColor</formula>
    </cfRule>
  </conditionalFormatting>
  <conditionalFormatting sqref="E41">
    <cfRule type="expression" dxfId="2386" priority="17">
      <formula>NoColor</formula>
    </cfRule>
  </conditionalFormatting>
  <conditionalFormatting sqref="E43">
    <cfRule type="expression" dxfId="2385" priority="1">
      <formula>NoColor</formula>
    </cfRule>
  </conditionalFormatting>
  <conditionalFormatting sqref="E60">
    <cfRule type="expression" dxfId="2384" priority="16">
      <formula>NoColor</formula>
    </cfRule>
  </conditionalFormatting>
  <conditionalFormatting sqref="E62">
    <cfRule type="expression" dxfId="2383" priority="15">
      <formula>NoColor</formula>
    </cfRule>
  </conditionalFormatting>
  <conditionalFormatting sqref="E69">
    <cfRule type="expression" dxfId="2382" priority="14">
      <formula>NoColor</formula>
    </cfRule>
  </conditionalFormatting>
  <conditionalFormatting sqref="E71">
    <cfRule type="expression" dxfId="2381" priority="13">
      <formula>NoColor</formula>
    </cfRule>
  </conditionalFormatting>
  <conditionalFormatting sqref="H15">
    <cfRule type="expression" dxfId="2380" priority="28">
      <formula>$C$15</formula>
    </cfRule>
  </conditionalFormatting>
  <conditionalFormatting sqref="H17">
    <cfRule type="expression" dxfId="2379" priority="52">
      <formula>(E17&lt;&gt;"")</formula>
    </cfRule>
  </conditionalFormatting>
  <conditionalFormatting sqref="H21">
    <cfRule type="expression" dxfId="2378" priority="24">
      <formula>$C$21</formula>
    </cfRule>
  </conditionalFormatting>
  <conditionalFormatting sqref="H23">
    <cfRule type="expression" dxfId="2377" priority="27">
      <formula>$AI$23</formula>
    </cfRule>
  </conditionalFormatting>
  <conditionalFormatting sqref="H24">
    <cfRule type="expression" dxfId="2376" priority="26">
      <formula>$AI$24</formula>
    </cfRule>
  </conditionalFormatting>
  <conditionalFormatting sqref="H30">
    <cfRule type="expression" dxfId="2375" priority="48">
      <formula>$E$30&lt;&gt;""</formula>
    </cfRule>
  </conditionalFormatting>
  <conditionalFormatting sqref="H35:H39">
    <cfRule type="expression" dxfId="2374" priority="46">
      <formula>$AI$35</formula>
    </cfRule>
  </conditionalFormatting>
  <conditionalFormatting sqref="H43:H44 H63">
    <cfRule type="expression" dxfId="2373" priority="39">
      <formula>C43</formula>
    </cfRule>
  </conditionalFormatting>
  <conditionalFormatting sqref="H49:H54">
    <cfRule type="expression" dxfId="2372" priority="38">
      <formula>$AI$35</formula>
    </cfRule>
  </conditionalFormatting>
  <conditionalFormatting sqref="H69">
    <cfRule type="expression" dxfId="2371" priority="25">
      <formula>$C$69</formula>
    </cfRule>
  </conditionalFormatting>
  <conditionalFormatting sqref="H72">
    <cfRule type="expression" dxfId="2370" priority="36">
      <formula>C72</formula>
    </cfRule>
  </conditionalFormatting>
  <conditionalFormatting sqref="H77">
    <cfRule type="expression" dxfId="2369" priority="35">
      <formula>C77</formula>
    </cfRule>
  </conditionalFormatting>
  <conditionalFormatting sqref="H78:H86">
    <cfRule type="expression" dxfId="2368" priority="30">
      <formula>$AI$35</formula>
    </cfRule>
  </conditionalFormatting>
  <conditionalFormatting sqref="N28">
    <cfRule type="expression" dxfId="2367" priority="49">
      <formula>$E$28&lt;&gt;""</formula>
    </cfRule>
  </conditionalFormatting>
  <conditionalFormatting sqref="N33">
    <cfRule type="expression" dxfId="2366" priority="47">
      <formula>$E$33&lt;&gt;""</formula>
    </cfRule>
  </conditionalFormatting>
  <conditionalFormatting sqref="O17">
    <cfRule type="expression" dxfId="2365" priority="29">
      <formula>$C$17</formula>
    </cfRule>
  </conditionalFormatting>
  <conditionalFormatting sqref="AH11:AK11">
    <cfRule type="expression" dxfId="2364" priority="23">
      <formula>NoColor</formula>
    </cfRule>
  </conditionalFormatting>
  <conditionalFormatting sqref="AH47:AK47">
    <cfRule type="expression" dxfId="2363" priority="12">
      <formula>NoColor</formula>
    </cfRule>
  </conditionalFormatting>
  <conditionalFormatting sqref="AH52:AK53">
    <cfRule type="expression" dxfId="2362" priority="11">
      <formula>NoColor</formula>
    </cfRule>
  </conditionalFormatting>
  <conditionalFormatting sqref="AH60:AK60">
    <cfRule type="expression" dxfId="2361" priority="10">
      <formula>NoColor</formula>
    </cfRule>
  </conditionalFormatting>
  <conditionalFormatting sqref="AH71:AK71">
    <cfRule type="expression" dxfId="2360" priority="9">
      <formula>NoColor</formula>
    </cfRule>
  </conditionalFormatting>
  <conditionalFormatting sqref="AH76:AK76">
    <cfRule type="expression" dxfId="2359" priority="8">
      <formula>NoColor</formula>
    </cfRule>
  </conditionalFormatting>
  <conditionalFormatting sqref="AH78:AK78">
    <cfRule type="expression" dxfId="2358" priority="7">
      <formula>NoColor</formula>
    </cfRule>
  </conditionalFormatting>
  <conditionalFormatting sqref="AH82:AK82">
    <cfRule type="expression" dxfId="2357" priority="6">
      <formula>NoColor</formula>
    </cfRule>
  </conditionalFormatting>
  <conditionalFormatting sqref="AH86:AK86">
    <cfRule type="expression" dxfId="2356" priority="5">
      <formula>NoColor</formula>
    </cfRule>
  </conditionalFormatting>
  <pageMargins left="0.95" right="0.45" top="0.25" bottom="0.5" header="0.3" footer="0.3"/>
  <pageSetup scale="6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
    <pageSetUpPr fitToPage="1"/>
  </sheetPr>
  <dimension ref="A1:AX150"/>
  <sheetViews>
    <sheetView zoomScaleNormal="100" zoomScaleSheetLayoutView="100" workbookViewId="0">
      <selection activeCell="N70" sqref="N70"/>
    </sheetView>
  </sheetViews>
  <sheetFormatPr defaultRowHeight="12.75"/>
  <cols>
    <col min="1" max="1" width="1.85546875" customWidth="1"/>
    <col min="2" max="2" width="14" customWidth="1"/>
    <col min="3" max="3" width="5.28515625" customWidth="1"/>
    <col min="4" max="4" width="2.140625" customWidth="1"/>
    <col min="5" max="5" width="3.85546875" customWidth="1"/>
    <col min="6" max="6" width="11" customWidth="1"/>
    <col min="7" max="7" width="2.7109375" customWidth="1"/>
    <col min="8" max="8" width="21.42578125" customWidth="1"/>
    <col min="9" max="9" width="4.42578125" customWidth="1"/>
    <col min="10" max="10" width="10.5703125" customWidth="1"/>
    <col min="11" max="12" width="4.28515625" customWidth="1"/>
    <col min="13" max="13" width="15.5703125" customWidth="1"/>
    <col min="14" max="14" width="3.5703125" style="270" customWidth="1"/>
    <col min="15" max="15" width="18.140625" customWidth="1"/>
    <col min="16" max="16" width="2.28515625" customWidth="1"/>
    <col min="17" max="17" width="14" style="972" customWidth="1"/>
    <col min="18" max="18" width="3.7109375" customWidth="1"/>
    <col min="19" max="19" width="18.7109375" customWidth="1"/>
    <col min="20" max="21" width="3.5703125" customWidth="1"/>
    <col min="22" max="22" width="4.5703125" style="1377" customWidth="1"/>
    <col min="23" max="23" width="3.5703125" style="42" customWidth="1"/>
    <col min="24" max="24" width="5.42578125" style="42" customWidth="1"/>
    <col min="25" max="25" width="9.85546875" style="42" customWidth="1"/>
    <col min="26" max="27" width="10.42578125" style="42" customWidth="1"/>
    <col min="28" max="28" width="11.85546875" style="42" customWidth="1"/>
    <col min="29" max="29" width="19.85546875" style="42" customWidth="1"/>
    <col min="30" max="30" width="5.28515625" style="42" customWidth="1"/>
    <col min="31" max="31" width="13.42578125" style="42" customWidth="1"/>
    <col min="32" max="32" width="3.28515625" style="42" customWidth="1"/>
    <col min="33" max="33" width="3.5703125" style="42" customWidth="1"/>
    <col min="34" max="34" width="12.7109375" style="42" customWidth="1"/>
    <col min="35" max="36" width="3.5703125" style="42" customWidth="1"/>
    <col min="37" max="37" width="6.5703125" style="42" customWidth="1"/>
    <col min="38" max="38" width="10.5703125" customWidth="1"/>
    <col min="39" max="39" width="4.140625" customWidth="1"/>
    <col min="40" max="40" width="13.7109375" style="5902" customWidth="1"/>
    <col min="41" max="50" width="10.7109375" style="2595" customWidth="1"/>
  </cols>
  <sheetData>
    <row r="1" spans="1:40" ht="16.5" customHeight="1" thickBot="1">
      <c r="A1" s="588"/>
      <c r="B1" s="588"/>
      <c r="C1" s="588"/>
      <c r="D1" s="588"/>
      <c r="E1" s="588"/>
      <c r="F1" s="588"/>
      <c r="G1" s="588"/>
      <c r="H1" s="588"/>
      <c r="I1" s="588"/>
      <c r="J1" s="588"/>
      <c r="K1" s="588"/>
      <c r="L1" s="588"/>
      <c r="M1" s="588"/>
      <c r="N1" s="588"/>
      <c r="O1" s="588"/>
      <c r="P1" s="588"/>
      <c r="Q1" s="3429"/>
      <c r="AK1"/>
      <c r="AN1" s="5901" t="s">
        <v>2033</v>
      </c>
    </row>
    <row r="2" spans="1:40" ht="14.25" customHeight="1" thickBot="1">
      <c r="A2" s="588"/>
      <c r="B2" s="588"/>
      <c r="C2" s="588"/>
      <c r="D2" s="588"/>
      <c r="E2" s="588"/>
      <c r="F2" s="588"/>
      <c r="G2" s="588"/>
      <c r="H2" s="588"/>
      <c r="I2" s="588"/>
      <c r="J2" s="588"/>
      <c r="K2" s="588"/>
      <c r="L2" s="588"/>
      <c r="M2" s="588"/>
      <c r="N2" s="588"/>
      <c r="O2" s="588"/>
      <c r="P2" s="588"/>
      <c r="V2" s="3818" t="s">
        <v>2614</v>
      </c>
      <c r="W2" s="1274"/>
      <c r="X2" s="1274"/>
      <c r="Y2" s="1274"/>
      <c r="Z2" s="1274"/>
      <c r="AA2" s="1274"/>
      <c r="AB2" s="1274"/>
      <c r="AC2" s="1274"/>
      <c r="AD2" s="2120" t="s">
        <v>1737</v>
      </c>
      <c r="AE2" s="1274"/>
      <c r="AF2" s="1274"/>
      <c r="AG2" s="1274"/>
      <c r="AH2" s="1274"/>
      <c r="AI2" s="3417"/>
      <c r="AJ2" s="1286"/>
      <c r="AK2"/>
      <c r="AM2" s="799"/>
    </row>
    <row r="3" spans="1:40" ht="15.75" customHeight="1">
      <c r="A3" s="588"/>
      <c r="B3" s="1933"/>
      <c r="C3" s="1378"/>
      <c r="D3" s="1501"/>
      <c r="E3" s="1501"/>
      <c r="F3" s="1501"/>
      <c r="G3" s="1501"/>
      <c r="H3" s="1501"/>
      <c r="I3" s="1501"/>
      <c r="J3" s="1501"/>
      <c r="K3" s="1501"/>
      <c r="L3" s="1502"/>
      <c r="M3" s="588"/>
      <c r="N3" s="1933"/>
      <c r="O3" s="1502"/>
      <c r="P3" s="588"/>
      <c r="V3" s="3316" t="s">
        <v>5405</v>
      </c>
      <c r="W3" s="1179"/>
      <c r="X3" s="1179"/>
      <c r="Y3" s="1179"/>
      <c r="Z3" s="1179"/>
      <c r="AA3" s="1179"/>
      <c r="AB3" s="1179"/>
      <c r="AC3" s="1185" t="str">
        <f>TEXT(O19,"0.0%")&amp;" of the amount of your adjusted gross income on Form 1040, line 11."</f>
        <v>7.5% of the amount of your adjusted gross income on Form 1040, line 11.</v>
      </c>
      <c r="AD3" s="1179"/>
      <c r="AE3" s="1179"/>
      <c r="AF3" s="1179"/>
      <c r="AG3" s="1179"/>
      <c r="AH3" s="1179"/>
      <c r="AI3" s="1284"/>
      <c r="AJ3" s="5789"/>
      <c r="AK3"/>
      <c r="AM3" s="5787"/>
      <c r="AN3" s="5909" t="s">
        <v>111</v>
      </c>
    </row>
    <row r="4" spans="1:40" ht="12" customHeight="1">
      <c r="A4" s="588"/>
      <c r="B4" s="1934" t="s">
        <v>2410</v>
      </c>
      <c r="C4" s="1925"/>
      <c r="D4" s="1145"/>
      <c r="E4" s="1145"/>
      <c r="F4" s="1145"/>
      <c r="G4" s="1145"/>
      <c r="H4" s="1145"/>
      <c r="I4" s="1145"/>
      <c r="J4" s="1145"/>
      <c r="K4" s="1145"/>
      <c r="L4" s="1504"/>
      <c r="M4" s="588"/>
      <c r="N4" s="3430" t="s">
        <v>1715</v>
      </c>
      <c r="O4" s="1504"/>
      <c r="P4" s="588"/>
      <c r="V4" s="2641" t="s">
        <v>5406</v>
      </c>
      <c r="W4" s="3431"/>
      <c r="X4" s="3431"/>
      <c r="Y4" s="3431"/>
      <c r="Z4" s="3431"/>
      <c r="AA4" s="3431"/>
      <c r="AB4" s="3431"/>
      <c r="AC4" s="3431"/>
      <c r="AD4" s="3431"/>
      <c r="AE4" s="3431"/>
      <c r="AF4" s="3431"/>
      <c r="AG4" s="1185" t="str">
        <f>"of  "&amp;TaxYear&amp;","</f>
        <v>of  2021,</v>
      </c>
      <c r="AH4" s="3431"/>
      <c r="AI4" s="1284"/>
      <c r="AJ4" s="5791"/>
      <c r="AK4" s="1250"/>
      <c r="AL4" s="1250"/>
      <c r="AM4" s="1250"/>
    </row>
    <row r="5" spans="1:40" ht="13.5" customHeight="1" thickBot="1">
      <c r="A5" s="588"/>
      <c r="B5" s="4621" t="s">
        <v>2411</v>
      </c>
      <c r="C5" s="1925"/>
      <c r="D5" s="1145"/>
      <c r="E5" s="1145"/>
      <c r="F5" s="1145"/>
      <c r="G5" s="1145"/>
      <c r="H5" s="1145"/>
      <c r="I5" s="1145"/>
      <c r="J5" s="1145"/>
      <c r="K5" s="1145"/>
      <c r="L5" s="1504"/>
      <c r="M5" s="588"/>
      <c r="N5" s="1932" t="s">
        <v>2616</v>
      </c>
      <c r="O5" s="1504"/>
      <c r="P5" s="588"/>
      <c r="V5" s="6887" t="s">
        <v>2618</v>
      </c>
      <c r="W5" s="6888"/>
      <c r="X5" s="6888"/>
      <c r="Y5" s="6888"/>
      <c r="Z5" s="6888"/>
      <c r="AA5" s="6888"/>
      <c r="AB5" s="6888"/>
      <c r="AC5" s="6888"/>
      <c r="AD5" s="6888"/>
      <c r="AE5" s="6888"/>
      <c r="AF5" s="6888"/>
      <c r="AG5" s="6888"/>
      <c r="AH5" s="6888"/>
      <c r="AI5" s="1905"/>
      <c r="AJ5" s="5791"/>
      <c r="AK5" s="1250"/>
      <c r="AL5" s="1824" t="s">
        <v>5598</v>
      </c>
      <c r="AM5" s="1250"/>
    </row>
    <row r="6" spans="1:40" ht="13.5" thickBot="1">
      <c r="A6" s="588"/>
      <c r="B6" s="4621" t="str">
        <f>"If you paid additional state and local income taxes during "&amp;TaxYear&amp;", see worksheet at the right."</f>
        <v>If you paid additional state and local income taxes during 2021, see worksheet at the right.</v>
      </c>
      <c r="C6" s="1379"/>
      <c r="D6" s="1145"/>
      <c r="E6" s="1145"/>
      <c r="F6" s="1145"/>
      <c r="G6" s="1145"/>
      <c r="H6" s="1145"/>
      <c r="I6" s="1145"/>
      <c r="J6" s="1145"/>
      <c r="K6" s="1145"/>
      <c r="L6" s="1504"/>
      <c r="M6" s="588"/>
      <c r="N6" s="1932" t="s">
        <v>5403</v>
      </c>
      <c r="O6" s="1504"/>
      <c r="P6" s="588"/>
      <c r="V6" s="3419"/>
      <c r="W6" s="3420"/>
      <c r="X6" s="3421"/>
      <c r="Y6" s="3421"/>
      <c r="Z6" s="3421"/>
      <c r="AA6" s="3421"/>
      <c r="AB6" s="3421"/>
      <c r="AC6" s="3422"/>
      <c r="AD6" s="3423"/>
      <c r="AE6" s="3428" t="str">
        <f>IF(File_Marr_Joint="","","You")</f>
        <v/>
      </c>
      <c r="AF6" s="3421"/>
      <c r="AG6" s="3427"/>
      <c r="AH6" s="3428" t="str">
        <f>IF(File_Marr_Joint="","","Spouse")</f>
        <v/>
      </c>
      <c r="AI6" s="4184"/>
      <c r="AJ6" s="5791"/>
      <c r="AK6" s="2410" t="s">
        <v>2045</v>
      </c>
      <c r="AL6" s="1824" t="s">
        <v>5599</v>
      </c>
      <c r="AM6" s="1250"/>
    </row>
    <row r="7" spans="1:40">
      <c r="A7" s="588"/>
      <c r="B7" s="4621" t="s">
        <v>3987</v>
      </c>
      <c r="C7" s="1379"/>
      <c r="D7" s="1145"/>
      <c r="E7" s="1145"/>
      <c r="F7" s="1145"/>
      <c r="G7" s="1145"/>
      <c r="H7" s="1145"/>
      <c r="I7" s="1145"/>
      <c r="J7" s="1145"/>
      <c r="K7" s="1145"/>
      <c r="L7" s="1504"/>
      <c r="M7" s="588"/>
      <c r="N7" s="1932" t="s">
        <v>2617</v>
      </c>
      <c r="O7" s="1504"/>
      <c r="P7" s="588"/>
      <c r="V7" s="1384"/>
      <c r="W7" s="1250"/>
      <c r="X7" s="1250"/>
      <c r="Y7" s="1250"/>
      <c r="Z7" s="1250"/>
      <c r="AA7" s="1250"/>
      <c r="AB7" s="1250"/>
      <c r="AC7" s="1250"/>
      <c r="AD7" s="1250"/>
      <c r="AE7" s="1250"/>
      <c r="AF7" s="1250"/>
      <c r="AG7" s="1250"/>
      <c r="AH7" s="1250"/>
      <c r="AI7" s="1385"/>
      <c r="AJ7" s="5791"/>
      <c r="AK7" s="5792">
        <v>0</v>
      </c>
      <c r="AL7" s="5793">
        <v>450</v>
      </c>
      <c r="AM7" s="1250"/>
    </row>
    <row r="8" spans="1:40" ht="12.75" customHeight="1" thickBot="1">
      <c r="A8" s="588"/>
      <c r="B8" s="1676"/>
      <c r="C8" s="1280"/>
      <c r="D8" s="1509"/>
      <c r="E8" s="1509"/>
      <c r="F8" s="1509"/>
      <c r="G8" s="1509"/>
      <c r="H8" s="1509"/>
      <c r="I8" s="1509"/>
      <c r="J8" s="1509"/>
      <c r="K8" s="1509"/>
      <c r="L8" s="1510"/>
      <c r="M8" s="588"/>
      <c r="N8" s="1676"/>
      <c r="O8" s="1510"/>
      <c r="P8" s="588"/>
      <c r="V8" s="2119" t="s">
        <v>294</v>
      </c>
      <c r="W8" s="1536" t="s">
        <v>2611</v>
      </c>
      <c r="X8" s="1250"/>
      <c r="Y8" s="1250"/>
      <c r="Z8" s="1250"/>
      <c r="AA8" s="1250"/>
      <c r="AB8" s="1250"/>
      <c r="AC8" s="1250"/>
      <c r="AD8" s="3424" t="str">
        <f>IF(File_Marr_Joint="","1.","1a.")</f>
        <v>1.</v>
      </c>
      <c r="AE8" s="3415"/>
      <c r="AF8" s="1250"/>
      <c r="AG8" s="3424" t="str">
        <f>IF(File_Marr_Joint="","","1b.")</f>
        <v/>
      </c>
      <c r="AH8" s="3415"/>
      <c r="AI8" s="1251"/>
      <c r="AJ8" s="1250"/>
      <c r="AK8" s="5794">
        <v>41</v>
      </c>
      <c r="AL8" s="5795">
        <v>850</v>
      </c>
      <c r="AM8" s="1250"/>
    </row>
    <row r="9" spans="1:40" ht="13.5" customHeight="1">
      <c r="A9" s="588"/>
      <c r="B9" s="588"/>
      <c r="C9" s="588"/>
      <c r="D9" s="588"/>
      <c r="E9" s="588"/>
      <c r="F9" s="588"/>
      <c r="G9" s="588"/>
      <c r="H9" s="588"/>
      <c r="I9" s="588"/>
      <c r="J9" s="588"/>
      <c r="K9" s="588"/>
      <c r="L9" s="588"/>
      <c r="M9" s="588"/>
      <c r="N9" s="644"/>
      <c r="O9" s="588"/>
      <c r="P9" s="588"/>
      <c r="V9" s="1384"/>
      <c r="W9" s="1250"/>
      <c r="X9" s="1250"/>
      <c r="Y9" s="1250"/>
      <c r="Z9" s="1250"/>
      <c r="AA9" s="1250"/>
      <c r="AB9" s="1250"/>
      <c r="AC9" s="1250"/>
      <c r="AD9" s="1250"/>
      <c r="AE9" s="1250"/>
      <c r="AF9" s="1250"/>
      <c r="AG9" s="1250"/>
      <c r="AH9" s="1250"/>
      <c r="AI9" s="1251"/>
      <c r="AJ9" s="1250"/>
      <c r="AK9" s="5794">
        <v>51</v>
      </c>
      <c r="AL9" s="5795">
        <v>1690</v>
      </c>
      <c r="AM9" s="1250"/>
    </row>
    <row r="10" spans="1:40" ht="16.5" customHeight="1">
      <c r="A10" s="588"/>
      <c r="B10" s="334" t="s">
        <v>379</v>
      </c>
      <c r="C10" s="24"/>
      <c r="D10" s="3192"/>
      <c r="E10" s="4343"/>
      <c r="F10" s="3191"/>
      <c r="G10" s="3191"/>
      <c r="H10" s="3191"/>
      <c r="I10" s="3160" t="s">
        <v>378</v>
      </c>
      <c r="J10" s="3191"/>
      <c r="K10" s="3191"/>
      <c r="L10" s="3193"/>
      <c r="M10" s="4344"/>
      <c r="N10" s="6862" t="s">
        <v>152</v>
      </c>
      <c r="O10" s="6863"/>
      <c r="P10" s="644"/>
      <c r="Q10" s="985" t="b">
        <f>OR(ItemizeAnyway,AND(O62&lt;&gt;0,O62&gt;Standard))</f>
        <v>0</v>
      </c>
      <c r="S10" s="1357"/>
      <c r="V10" s="2119" t="s">
        <v>0</v>
      </c>
      <c r="W10" s="1536" t="s">
        <v>2612</v>
      </c>
      <c r="X10" s="1250"/>
      <c r="Y10" s="1250"/>
      <c r="Z10" s="1250"/>
      <c r="AA10" s="1250"/>
      <c r="AB10" s="1250"/>
      <c r="AC10" s="1250"/>
      <c r="AD10" s="3424" t="str">
        <f>IF(File_Marr_Joint="","2.","2a.")</f>
        <v>2.</v>
      </c>
      <c r="AE10" s="3416" t="str">
        <f>IF(YourAge="?","Birthdate needed.",LOOKUP(YourAge,AK7:AK11,AL7:AL11))</f>
        <v>Birthdate needed.</v>
      </c>
      <c r="AF10" s="1250"/>
      <c r="AG10" s="3424" t="str">
        <f>IF(File_Marr_Joint="","","2b.")</f>
        <v/>
      </c>
      <c r="AH10" s="3416" t="str">
        <f>IF(File_Marr_Joint="","",IF(SpouseAge="?","Birthdate needed.",LOOKUP(SpouseAge,AK7:AK11,AL7:AL11)))</f>
        <v/>
      </c>
      <c r="AI10" s="1251"/>
      <c r="AJ10" s="1250"/>
      <c r="AK10" s="5794">
        <v>61</v>
      </c>
      <c r="AL10" s="5795">
        <v>4520</v>
      </c>
      <c r="AM10" s="1250"/>
    </row>
    <row r="11" spans="1:40" ht="18.75" customHeight="1" thickBot="1">
      <c r="A11" s="588"/>
      <c r="B11" s="4182" t="s">
        <v>3973</v>
      </c>
      <c r="C11" s="22"/>
      <c r="D11" s="6870" t="s">
        <v>3980</v>
      </c>
      <c r="E11" s="6871"/>
      <c r="F11" s="6871"/>
      <c r="G11" s="6871"/>
      <c r="H11" s="6871"/>
      <c r="I11" s="6871"/>
      <c r="J11" s="6871"/>
      <c r="K11" s="6871"/>
      <c r="L11" s="6871"/>
      <c r="M11" s="6872"/>
      <c r="N11" s="6868">
        <f>TaxYear</f>
        <v>2021</v>
      </c>
      <c r="O11" s="6869"/>
      <c r="P11" s="644"/>
      <c r="Q11" s="973"/>
      <c r="R11" s="270"/>
      <c r="V11" s="1384"/>
      <c r="W11" s="1250"/>
      <c r="X11" s="1250"/>
      <c r="Y11" s="1250"/>
      <c r="Z11" s="1250"/>
      <c r="AA11" s="1250"/>
      <c r="AB11" s="1250"/>
      <c r="AC11" s="1250"/>
      <c r="AD11" s="1250"/>
      <c r="AE11" s="1250"/>
      <c r="AF11" s="1250"/>
      <c r="AG11" s="1250"/>
      <c r="AH11" s="1250"/>
      <c r="AI11" s="1251"/>
      <c r="AJ11" s="1250"/>
      <c r="AK11" s="5796">
        <v>71</v>
      </c>
      <c r="AL11" s="5797">
        <v>5640</v>
      </c>
      <c r="AM11" s="1250"/>
    </row>
    <row r="12" spans="1:40" ht="10.5" customHeight="1">
      <c r="A12" s="588"/>
      <c r="B12" s="136" t="s">
        <v>176</v>
      </c>
      <c r="C12" s="2737"/>
      <c r="D12" s="6873" t="s">
        <v>3345</v>
      </c>
      <c r="E12" s="6874"/>
      <c r="F12" s="6874"/>
      <c r="G12" s="6874"/>
      <c r="H12" s="6874"/>
      <c r="I12" s="6874"/>
      <c r="J12" s="6874"/>
      <c r="K12" s="6874"/>
      <c r="L12" s="6874"/>
      <c r="M12" s="6875"/>
      <c r="N12" s="2733"/>
      <c r="O12" s="137" t="s">
        <v>177</v>
      </c>
      <c r="P12" s="644"/>
      <c r="Q12" s="973"/>
      <c r="R12" s="270"/>
      <c r="V12" s="2119" t="s">
        <v>1</v>
      </c>
      <c r="W12" s="1536" t="str">
        <f>IF(File_Marr_Joint="","Enter the smaller of line 1 or line 2","Enter the smaller of 1.a or 2.a (and of 1.b or 2.b)")</f>
        <v>Enter the smaller of line 1 or line 2</v>
      </c>
      <c r="X12" s="3425"/>
      <c r="Y12" s="3425"/>
      <c r="Z12" s="3425"/>
      <c r="AA12" s="3425"/>
      <c r="AB12" s="3425"/>
      <c r="AC12" s="3425"/>
      <c r="AD12" s="3424" t="str">
        <f>IF(File_Marr_Joint="","3.","3a.")</f>
        <v>3.</v>
      </c>
      <c r="AE12" s="3416">
        <f>IF(AE8="",0,MIN(AE8,AE10))</f>
        <v>0</v>
      </c>
      <c r="AF12" s="1250"/>
      <c r="AG12" s="3424" t="str">
        <f>IF(File_Marr_Joint="","","3b.")</f>
        <v/>
      </c>
      <c r="AH12" s="3416" t="str">
        <f>IF(File_Marr_Joint="","",IF(AH8="",0,MIN(AH8,AH10)))</f>
        <v/>
      </c>
      <c r="AI12" s="1251"/>
      <c r="AJ12" s="1250"/>
      <c r="AK12" s="1250"/>
      <c r="AL12" s="1250"/>
      <c r="AM12" s="1250"/>
    </row>
    <row r="13" spans="1:40" ht="15.75" customHeight="1" thickBot="1">
      <c r="A13" s="588"/>
      <c r="B13" s="2734" t="s">
        <v>229</v>
      </c>
      <c r="C13" s="2738"/>
      <c r="D13" s="6876" t="s">
        <v>3979</v>
      </c>
      <c r="E13" s="6877"/>
      <c r="F13" s="6877"/>
      <c r="G13" s="6877"/>
      <c r="H13" s="6877"/>
      <c r="I13" s="6877"/>
      <c r="J13" s="6877"/>
      <c r="K13" s="6877"/>
      <c r="L13" s="6877"/>
      <c r="M13" s="6878"/>
      <c r="N13" s="2735"/>
      <c r="O13" s="2736" t="s">
        <v>3455</v>
      </c>
      <c r="P13" s="644"/>
      <c r="Q13" s="974" t="s">
        <v>90</v>
      </c>
      <c r="R13" s="270"/>
      <c r="V13" s="1384"/>
      <c r="W13" s="1250"/>
      <c r="X13" s="1250"/>
      <c r="Y13" s="1250"/>
      <c r="Z13" s="1250"/>
      <c r="AA13" s="1250"/>
      <c r="AB13" s="1250"/>
      <c r="AC13" s="1250"/>
      <c r="AD13" s="1250"/>
      <c r="AE13" s="1250"/>
      <c r="AF13" s="1250"/>
      <c r="AG13" s="1250"/>
      <c r="AH13" s="1250"/>
      <c r="AI13" s="1251"/>
      <c r="AK13"/>
    </row>
    <row r="14" spans="1:40" ht="11.25" customHeight="1">
      <c r="A14" s="588"/>
      <c r="B14" s="21" t="s">
        <v>3346</v>
      </c>
      <c r="C14" s="22"/>
      <c r="D14" s="139"/>
      <c r="E14" s="139"/>
      <c r="F14" s="139"/>
      <c r="G14" s="139"/>
      <c r="H14" s="139"/>
      <c r="I14" s="134"/>
      <c r="J14" s="134"/>
      <c r="K14" s="134"/>
      <c r="L14" s="134"/>
      <c r="M14" s="135"/>
      <c r="N14" s="6866" t="s">
        <v>89</v>
      </c>
      <c r="O14" s="6867"/>
      <c r="P14" s="644"/>
      <c r="Q14" s="974" t="s">
        <v>91</v>
      </c>
      <c r="R14" s="270"/>
      <c r="V14" s="2119" t="s">
        <v>399</v>
      </c>
      <c r="W14" s="1536" t="str">
        <f>IF(File_Marr_Joint="","Enter amount from line 3.","Add lines 3a and 3b.")</f>
        <v>Enter amount from line 3.</v>
      </c>
      <c r="X14" s="1250"/>
      <c r="Y14" s="1250"/>
      <c r="Z14" s="1250"/>
      <c r="AA14" s="1250"/>
      <c r="AB14" s="1250"/>
      <c r="AC14" s="1250"/>
      <c r="AD14" s="3424"/>
      <c r="AE14" s="3425"/>
      <c r="AF14" s="1250"/>
      <c r="AG14" s="3424" t="s">
        <v>399</v>
      </c>
      <c r="AH14" s="3416">
        <f>IF(AND(ISERROR(SUM(AE12,AH12)),File_Marr_Joint&lt;&gt;""),"",IF(File_Marr_Joint&lt;&gt;"",SUM(AE12,AH12),AE12))</f>
        <v>0</v>
      </c>
      <c r="AI14" s="1251"/>
      <c r="AK14"/>
      <c r="AN14" s="5907"/>
    </row>
    <row r="15" spans="1:40" ht="14.25" customHeight="1">
      <c r="A15" s="588"/>
      <c r="B15" s="6879" t="str">
        <f>Names</f>
        <v/>
      </c>
      <c r="C15" s="6879"/>
      <c r="D15" s="6879"/>
      <c r="E15" s="6879"/>
      <c r="F15" s="6879"/>
      <c r="G15" s="6879"/>
      <c r="H15" s="6879"/>
      <c r="I15" s="6879"/>
      <c r="J15" s="6879"/>
      <c r="K15" s="6879"/>
      <c r="L15" s="6879"/>
      <c r="M15" s="6880"/>
      <c r="N15" s="6864">
        <f>IF(NoSSN,"",SS_Yours)</f>
        <v>1010001</v>
      </c>
      <c r="O15" s="6865"/>
      <c r="P15" s="644"/>
      <c r="Q15" s="974" t="s">
        <v>93</v>
      </c>
      <c r="R15" s="270"/>
      <c r="V15" s="1384"/>
      <c r="W15" s="1250"/>
      <c r="X15" s="1250"/>
      <c r="Y15" s="1250"/>
      <c r="Z15" s="1250"/>
      <c r="AA15" s="1250"/>
      <c r="AB15" s="1250"/>
      <c r="AC15" s="1250"/>
      <c r="AD15" s="1250"/>
      <c r="AE15" s="1250"/>
      <c r="AF15" s="1250"/>
      <c r="AG15" s="1250"/>
      <c r="AH15" s="1250"/>
      <c r="AI15" s="1251"/>
      <c r="AK15"/>
      <c r="AN15" s="5907"/>
    </row>
    <row r="16" spans="1:40" ht="15.75" thickBot="1">
      <c r="A16" s="588"/>
      <c r="B16" s="334" t="s">
        <v>122</v>
      </c>
      <c r="C16" s="22"/>
      <c r="D16" s="161" t="s">
        <v>263</v>
      </c>
      <c r="E16" s="161"/>
      <c r="F16" s="161"/>
      <c r="G16" s="161"/>
      <c r="H16" s="161"/>
      <c r="I16" s="134"/>
      <c r="J16" s="134"/>
      <c r="K16" s="3164"/>
      <c r="L16" s="3173"/>
      <c r="M16" s="135"/>
      <c r="N16" s="3173"/>
      <c r="O16" s="141"/>
      <c r="P16" s="644"/>
      <c r="Q16" s="975"/>
      <c r="R16" s="270"/>
      <c r="V16" s="2119" t="s">
        <v>31</v>
      </c>
      <c r="W16" s="1536" t="s">
        <v>2615</v>
      </c>
      <c r="X16" s="1250"/>
      <c r="Y16" s="1250"/>
      <c r="Z16" s="1250"/>
      <c r="AA16" s="1250"/>
      <c r="AB16" s="1250"/>
      <c r="AC16" s="1250"/>
      <c r="AD16" s="3424"/>
      <c r="AE16" s="3425"/>
      <c r="AF16" s="1250"/>
      <c r="AG16" s="3424" t="s">
        <v>31</v>
      </c>
      <c r="AH16" s="3415"/>
      <c r="AI16" s="1251"/>
      <c r="AK16"/>
      <c r="AN16" s="5907"/>
    </row>
    <row r="17" spans="1:41" ht="15.75" thickBot="1">
      <c r="A17" s="588"/>
      <c r="B17" s="334" t="s">
        <v>264</v>
      </c>
      <c r="C17" s="22">
        <v>1</v>
      </c>
      <c r="D17" s="164" t="s">
        <v>518</v>
      </c>
      <c r="E17" s="164"/>
      <c r="F17" s="164"/>
      <c r="G17" s="164"/>
      <c r="H17" s="164"/>
      <c r="I17" s="22"/>
      <c r="J17" s="568"/>
      <c r="K17" s="568" t="s">
        <v>394</v>
      </c>
      <c r="L17" s="333">
        <v>1</v>
      </c>
      <c r="M17" s="1389">
        <f>IF(Q17&lt;&gt;"",ROUND(Q17,0),AH18)</f>
        <v>0</v>
      </c>
      <c r="N17" s="3174"/>
      <c r="O17" s="3182">
        <v>5000</v>
      </c>
      <c r="P17" s="644"/>
      <c r="Q17" s="976"/>
      <c r="R17" s="270"/>
      <c r="V17" s="1384"/>
      <c r="W17" s="1250"/>
      <c r="X17" s="1250"/>
      <c r="Y17" s="1250"/>
      <c r="Z17" s="1250"/>
      <c r="AA17" s="1250"/>
      <c r="AB17" s="1250"/>
      <c r="AC17" s="1250"/>
      <c r="AD17" s="1250"/>
      <c r="AE17" s="1250"/>
      <c r="AF17" s="1250"/>
      <c r="AG17" s="1250"/>
      <c r="AH17" s="1250"/>
      <c r="AI17" s="1251"/>
      <c r="AK17"/>
      <c r="AN17" s="5907"/>
    </row>
    <row r="18" spans="1:41" ht="14.25" customHeight="1">
      <c r="A18" s="588"/>
      <c r="B18" s="334" t="s">
        <v>125</v>
      </c>
      <c r="C18" s="22">
        <v>2</v>
      </c>
      <c r="D18" s="164" t="s">
        <v>3981</v>
      </c>
      <c r="E18" s="272"/>
      <c r="F18" s="272"/>
      <c r="G18" s="272"/>
      <c r="H18" s="568"/>
      <c r="I18" s="142">
        <v>2</v>
      </c>
      <c r="J18" s="6881">
        <f>Adj_Gross_Inc</f>
        <v>0</v>
      </c>
      <c r="K18" s="6882"/>
      <c r="L18" s="3174"/>
      <c r="M18" s="19"/>
      <c r="N18" s="3184"/>
      <c r="O18" s="3182">
        <v>10000</v>
      </c>
      <c r="P18" s="644"/>
      <c r="Q18" s="975"/>
      <c r="R18" s="270"/>
      <c r="S18" s="1308"/>
      <c r="V18" s="2119" t="s">
        <v>67</v>
      </c>
      <c r="W18" s="1536" t="s">
        <v>2613</v>
      </c>
      <c r="X18" s="1250"/>
      <c r="Y18" s="1250"/>
      <c r="Z18" s="1250"/>
      <c r="AA18" s="1250"/>
      <c r="AB18" s="1250"/>
      <c r="AC18" s="1250"/>
      <c r="AD18" s="3424"/>
      <c r="AE18" s="3425"/>
      <c r="AF18" s="1250"/>
      <c r="AG18" s="3424" t="s">
        <v>67</v>
      </c>
      <c r="AH18" s="3416">
        <f>SUM(ROUND(AH14,0),ROUND(AH16,0))</f>
        <v>0</v>
      </c>
      <c r="AI18" s="1251"/>
      <c r="AK18"/>
      <c r="AN18" s="5907"/>
    </row>
    <row r="19" spans="1:41" ht="15.75" thickBot="1">
      <c r="A19" s="588"/>
      <c r="B19" s="334" t="s">
        <v>38</v>
      </c>
      <c r="C19" s="22">
        <v>3</v>
      </c>
      <c r="D19" s="164" t="str">
        <f>"Multiply line 2 above by "&amp;TEXT(O19,"0.0%")&amp;" ("&amp;TEXT(O19,"0.000")&amp;")"</f>
        <v>Multiply line 2 above by 7.5% (0.075)</v>
      </c>
      <c r="E19" s="164"/>
      <c r="F19" s="164"/>
      <c r="G19" s="164"/>
      <c r="H19" s="164"/>
      <c r="I19" s="22"/>
      <c r="J19" s="568"/>
      <c r="K19" s="568" t="s">
        <v>570</v>
      </c>
      <c r="L19" s="333">
        <v>3</v>
      </c>
      <c r="M19" s="1389" t="str">
        <f>IF(AND(J18&lt;&gt;0,J18&lt;&gt;""),J18*O19,"")</f>
        <v/>
      </c>
      <c r="N19" s="3174"/>
      <c r="O19" s="3183">
        <v>7.4999999999999997E-2</v>
      </c>
      <c r="P19" s="644"/>
      <c r="Q19" s="975"/>
      <c r="R19" s="1291"/>
      <c r="S19" s="1308"/>
      <c r="V19" s="3426"/>
      <c r="W19" s="1255"/>
      <c r="X19" s="1255"/>
      <c r="Y19" s="1255"/>
      <c r="Z19" s="1255"/>
      <c r="AA19" s="1255"/>
      <c r="AB19" s="1255"/>
      <c r="AC19" s="1255"/>
      <c r="AD19" s="1255"/>
      <c r="AE19" s="1255"/>
      <c r="AF19" s="1255"/>
      <c r="AG19" s="1255"/>
      <c r="AH19" s="1255"/>
      <c r="AI19" s="1388"/>
      <c r="AK19"/>
    </row>
    <row r="20" spans="1:41" ht="13.5" thickBot="1">
      <c r="A20" s="588"/>
      <c r="B20" s="16"/>
      <c r="C20" s="16">
        <v>4</v>
      </c>
      <c r="D20" s="250" t="s">
        <v>2109</v>
      </c>
      <c r="E20" s="250"/>
      <c r="F20" s="250"/>
      <c r="G20" s="250"/>
      <c r="H20" s="250"/>
      <c r="I20" s="17"/>
      <c r="J20" s="17"/>
      <c r="K20" s="3171"/>
      <c r="L20" s="17"/>
      <c r="M20" s="916" t="s">
        <v>570</v>
      </c>
      <c r="N20" s="332">
        <v>4</v>
      </c>
      <c r="O20" s="1341" t="str">
        <f>IF(Q20&lt;&gt;"",ROUND(Q20,0),IF(OR(J18=0,J18=""),"",IF(M19&lt;0, M17,IF(M19&gt;M17,0,ROUND(M17-M19,0)))))</f>
        <v/>
      </c>
      <c r="P20" s="644"/>
      <c r="Q20" s="976"/>
      <c r="R20" s="270"/>
      <c r="S20" s="1308"/>
      <c r="AK20"/>
    </row>
    <row r="21" spans="1:41" ht="15" customHeight="1">
      <c r="A21" s="588"/>
      <c r="B21" s="334" t="s">
        <v>17</v>
      </c>
      <c r="C21" s="22">
        <v>5</v>
      </c>
      <c r="D21" s="164" t="s">
        <v>2389</v>
      </c>
      <c r="E21" s="164"/>
      <c r="F21" s="164"/>
      <c r="G21" s="164"/>
      <c r="H21" s="164"/>
      <c r="I21" s="22"/>
      <c r="J21" s="860"/>
      <c r="K21" s="3166"/>
      <c r="L21" s="644"/>
      <c r="M21" s="3172"/>
      <c r="N21" s="644"/>
      <c r="O21" s="3954">
        <f>ROUND(SUM(StateTaxW2,LocalTaxW2,StateTax_INT,StateTax_DIV,StateTaxIRA,LocalTaxIRA,StateTaxPA,LocalTaxPA),0)</f>
        <v>0</v>
      </c>
      <c r="P21" s="644"/>
      <c r="Q21" s="975"/>
      <c r="R21" s="270"/>
      <c r="V21" s="1381"/>
      <c r="W21" s="2120" t="s">
        <v>1737</v>
      </c>
      <c r="X21" s="1274"/>
      <c r="Y21" s="1274"/>
      <c r="Z21" s="1274"/>
      <c r="AA21" s="1274"/>
      <c r="AB21" s="1274"/>
      <c r="AC21" s="1274"/>
      <c r="AD21" s="1274"/>
      <c r="AE21" s="6896" t="s">
        <v>175</v>
      </c>
      <c r="AF21" s="6896"/>
      <c r="AG21" s="6896"/>
      <c r="AH21" s="6896"/>
      <c r="AI21" s="1275"/>
      <c r="AK21"/>
    </row>
    <row r="22" spans="1:41" ht="12.75" customHeight="1" thickBot="1">
      <c r="A22" s="588"/>
      <c r="B22" s="591" t="s">
        <v>266</v>
      </c>
      <c r="C22" s="22"/>
      <c r="D22" s="246" t="s">
        <v>33</v>
      </c>
      <c r="E22" s="392" t="s">
        <v>3661</v>
      </c>
      <c r="F22" s="1839"/>
      <c r="G22" s="164"/>
      <c r="H22" s="164"/>
      <c r="I22" s="22"/>
      <c r="J22" s="470"/>
      <c r="K22" s="3167"/>
      <c r="L22" s="3174"/>
      <c r="M22" s="3172"/>
      <c r="N22" s="3174"/>
      <c r="O22" s="3955">
        <f>IF(File_Marr_Sep&lt;&gt;"",$O$17,$O$18)</f>
        <v>10000</v>
      </c>
      <c r="P22" s="644"/>
      <c r="Q22" s="1020" t="s">
        <v>564</v>
      </c>
      <c r="R22" s="270"/>
      <c r="V22" s="3819" t="s">
        <v>4388</v>
      </c>
      <c r="W22" s="1179"/>
      <c r="X22" s="1179"/>
      <c r="Y22" s="1179"/>
      <c r="Z22" s="1179"/>
      <c r="AA22" s="1179"/>
      <c r="AB22" s="1179"/>
      <c r="AC22" s="1179"/>
      <c r="AD22" s="1179"/>
      <c r="AE22" s="6897"/>
      <c r="AF22" s="6897"/>
      <c r="AG22" s="6897"/>
      <c r="AH22" s="6897"/>
      <c r="AI22" s="1244"/>
      <c r="AK22"/>
    </row>
    <row r="23" spans="1:41" ht="12.75" customHeight="1" thickBot="1">
      <c r="A23" s="588"/>
      <c r="B23" s="591"/>
      <c r="C23" s="22"/>
      <c r="D23" s="22"/>
      <c r="E23" s="1023" t="s">
        <v>3662</v>
      </c>
      <c r="F23" s="161"/>
      <c r="G23" s="161"/>
      <c r="H23" s="161"/>
      <c r="I23" s="22"/>
      <c r="J23" s="568"/>
      <c r="K23" s="3167"/>
      <c r="L23" s="3174"/>
      <c r="M23" s="3172"/>
      <c r="N23" s="3174"/>
      <c r="O23" s="2739"/>
      <c r="P23" s="644"/>
      <c r="Q23" s="976"/>
      <c r="R23" s="270"/>
      <c r="V23" s="1380"/>
      <c r="W23" s="1280"/>
      <c r="X23" s="1280"/>
      <c r="Y23" s="1280"/>
      <c r="Z23" s="1280"/>
      <c r="AA23" s="1280"/>
      <c r="AB23" s="1280"/>
      <c r="AC23" s="1280"/>
      <c r="AD23" s="1280"/>
      <c r="AE23" s="1280"/>
      <c r="AF23" s="1280"/>
      <c r="AG23" s="1280"/>
      <c r="AH23" s="1280"/>
      <c r="AI23" s="1281"/>
      <c r="AK23"/>
    </row>
    <row r="24" spans="1:41" ht="12.75" customHeight="1" thickBot="1">
      <c r="A24" s="588"/>
      <c r="B24" s="591"/>
      <c r="C24" s="22"/>
      <c r="D24" s="22"/>
      <c r="E24" s="1023" t="s">
        <v>3663</v>
      </c>
      <c r="F24" s="161"/>
      <c r="G24" s="161"/>
      <c r="H24" s="161"/>
      <c r="I24" s="22"/>
      <c r="J24" s="568"/>
      <c r="K24" s="3167"/>
      <c r="L24" s="3175"/>
      <c r="M24" s="3172"/>
      <c r="N24" s="3174"/>
      <c r="O24" s="2984"/>
      <c r="P24" s="644"/>
      <c r="Q24" s="975"/>
      <c r="R24" s="270"/>
      <c r="V24" s="1384"/>
      <c r="W24" s="1250"/>
      <c r="X24" s="1250"/>
      <c r="Y24" s="1250"/>
      <c r="Z24" s="1250"/>
      <c r="AA24" s="1250"/>
      <c r="AB24" s="1250"/>
      <c r="AC24" s="1250"/>
      <c r="AD24" s="1250"/>
      <c r="AE24" s="1385"/>
      <c r="AF24" s="1385"/>
      <c r="AG24" s="1250"/>
      <c r="AH24" s="1250"/>
      <c r="AI24" s="1251"/>
      <c r="AK24"/>
    </row>
    <row r="25" spans="1:41" ht="12.75" customHeight="1" thickBot="1">
      <c r="A25" s="588"/>
      <c r="B25" s="21"/>
      <c r="C25" s="22"/>
      <c r="D25" s="22"/>
      <c r="E25" s="1023" t="s">
        <v>3664</v>
      </c>
      <c r="F25" s="1839"/>
      <c r="G25" s="164"/>
      <c r="H25" s="164"/>
      <c r="I25" s="22"/>
      <c r="J25" s="568" t="s">
        <v>2027</v>
      </c>
      <c r="K25" s="1180"/>
      <c r="L25" s="332" t="s">
        <v>369</v>
      </c>
      <c r="M25" s="3159" t="str">
        <f>IF(AND(O25,Q23&lt;&gt;""),Q23,IF(O25,SUM(O21,AH38),IF(K25="X",Q25,"")))</f>
        <v/>
      </c>
      <c r="N25" s="3174"/>
      <c r="O25" s="3176" t="b">
        <f>IF(K25&lt;&gt;"",FALSE,IF(OR(O21&lt;&gt;0,Q23&lt;&gt;"",AH38&gt;0),TRUE,FALSE))</f>
        <v>0</v>
      </c>
      <c r="P25" s="644"/>
      <c r="Q25" s="976"/>
      <c r="R25" s="270"/>
      <c r="S25" s="3950">
        <f>IF(Q23&lt;&gt;"",ROUND(Q23,0),SUM(O21,AH38))</f>
        <v>0</v>
      </c>
      <c r="V25" s="1384" t="s">
        <v>294</v>
      </c>
      <c r="W25" s="1536" t="str">
        <f>"Enter State and local income taxes paid in "&amp;TaxYear&amp;" for a prior year, such as taxes paid with your "&amp;TaxYear-1&amp;" state or"</f>
        <v>Enter State and local income taxes paid in 2021 for a prior year, such as taxes paid with your 2020 state or</v>
      </c>
      <c r="X25" s="1250"/>
      <c r="Y25" s="1250"/>
      <c r="Z25" s="1250"/>
      <c r="AA25" s="1250"/>
      <c r="AB25" s="1250"/>
      <c r="AC25" s="1250"/>
      <c r="AD25" s="1250"/>
      <c r="AE25" s="1385"/>
      <c r="AF25" s="1385"/>
      <c r="AG25" s="1250"/>
      <c r="AH25" s="1250"/>
      <c r="AI25" s="1251"/>
      <c r="AK25"/>
    </row>
    <row r="26" spans="1:41" ht="13.5" customHeight="1">
      <c r="A26" s="588"/>
      <c r="B26" s="21"/>
      <c r="C26" s="22"/>
      <c r="D26" s="246" t="s">
        <v>47</v>
      </c>
      <c r="E26" s="1023" t="s">
        <v>2390</v>
      </c>
      <c r="F26" s="164"/>
      <c r="G26" s="164"/>
      <c r="H26" s="164"/>
      <c r="I26" s="22"/>
      <c r="J26" s="568"/>
      <c r="K26" s="568" t="s">
        <v>2415</v>
      </c>
      <c r="L26" s="332" t="s">
        <v>370</v>
      </c>
      <c r="M26" s="1192"/>
      <c r="N26" s="3174"/>
      <c r="O26" s="3956">
        <f>IF(M25="",0,ROUND(M25,0))</f>
        <v>0</v>
      </c>
      <c r="P26" s="644"/>
      <c r="Q26" s="1242" t="s">
        <v>756</v>
      </c>
      <c r="R26" s="270"/>
      <c r="V26" s="1384"/>
      <c r="W26" s="1536" t="str">
        <f>"local income tax return. Don't include the portion of State and local taxes paid in "&amp;TaxYear-1&amp;", penalties or interest."</f>
        <v>local income tax return. Don't include the portion of State and local taxes paid in 2020, penalties or interest.</v>
      </c>
      <c r="X26" s="1250"/>
      <c r="Y26" s="1250"/>
      <c r="Z26" s="1250"/>
      <c r="AA26" s="1250"/>
      <c r="AB26" s="1250"/>
      <c r="AC26" s="1250"/>
      <c r="AD26" s="1250"/>
      <c r="AE26" s="1385"/>
      <c r="AF26" s="1385"/>
      <c r="AG26" s="1250"/>
      <c r="AH26" s="2121"/>
      <c r="AI26" s="1251"/>
      <c r="AK26"/>
      <c r="AO26" s="2601"/>
    </row>
    <row r="27" spans="1:41" ht="12.75" customHeight="1">
      <c r="A27" s="588"/>
      <c r="B27" s="21"/>
      <c r="C27" s="22"/>
      <c r="D27" s="246" t="s">
        <v>48</v>
      </c>
      <c r="E27" s="1023" t="s">
        <v>2391</v>
      </c>
      <c r="F27" s="164"/>
      <c r="G27" s="164"/>
      <c r="H27" s="164"/>
      <c r="I27" s="22"/>
      <c r="J27" s="22"/>
      <c r="K27" s="568" t="s">
        <v>2419</v>
      </c>
      <c r="L27" s="332" t="s">
        <v>943</v>
      </c>
      <c r="M27" s="1192"/>
      <c r="N27" s="3174"/>
      <c r="O27" s="3956">
        <f>ROUND(M26,0)</f>
        <v>0</v>
      </c>
      <c r="P27" s="644"/>
      <c r="Q27" s="975"/>
      <c r="R27" s="270"/>
      <c r="V27" s="1384"/>
      <c r="W27" s="1250"/>
      <c r="X27" s="1250"/>
      <c r="Y27" s="1250"/>
      <c r="Z27" s="1250"/>
      <c r="AA27" s="1250"/>
      <c r="AB27" s="1250"/>
      <c r="AC27" s="1250"/>
      <c r="AD27" s="1250"/>
      <c r="AE27" s="1385"/>
      <c r="AF27" s="1385"/>
      <c r="AG27" s="1250"/>
      <c r="AH27" s="1250"/>
      <c r="AI27" s="1251"/>
      <c r="AK27"/>
    </row>
    <row r="28" spans="1:41" ht="12.75" customHeight="1">
      <c r="A28" s="588"/>
      <c r="B28" s="21"/>
      <c r="C28" s="22"/>
      <c r="D28" s="246" t="s">
        <v>92</v>
      </c>
      <c r="E28" s="1023" t="s">
        <v>2392</v>
      </c>
      <c r="F28" s="164"/>
      <c r="G28" s="164"/>
      <c r="H28" s="164"/>
      <c r="I28" s="22"/>
      <c r="J28" s="22"/>
      <c r="K28" s="568" t="s">
        <v>2780</v>
      </c>
      <c r="L28" s="332" t="s">
        <v>867</v>
      </c>
      <c r="M28" s="3177">
        <f>SUM(O26:O28)</f>
        <v>0</v>
      </c>
      <c r="N28" s="3174"/>
      <c r="O28" s="3956">
        <f>ROUND(M27,0)</f>
        <v>0</v>
      </c>
      <c r="P28" s="644"/>
      <c r="Q28" s="975"/>
      <c r="R28" s="270"/>
      <c r="V28" s="1252" t="s">
        <v>0</v>
      </c>
      <c r="W28" s="1536" t="str">
        <f>"State and local estimated tax payments made during "&amp;TaxYear&amp;", including any part of a prior year refund that you"</f>
        <v>State and local estimated tax payments made during 2021, including any part of a prior year refund that you</v>
      </c>
      <c r="X28" s="1250"/>
      <c r="Y28" s="1250"/>
      <c r="Z28" s="1250"/>
      <c r="AA28" s="1250"/>
      <c r="AB28" s="1250"/>
      <c r="AC28" s="1250"/>
      <c r="AD28" s="1250"/>
      <c r="AE28" s="1385"/>
      <c r="AF28" s="1385"/>
      <c r="AG28" s="1250"/>
      <c r="AH28" s="1250"/>
      <c r="AI28" s="1251"/>
      <c r="AK28"/>
    </row>
    <row r="29" spans="1:41" ht="12.75" customHeight="1" thickBot="1">
      <c r="A29" s="588"/>
      <c r="B29" s="21"/>
      <c r="C29" s="22"/>
      <c r="D29" s="246" t="s">
        <v>964</v>
      </c>
      <c r="E29" s="1023" t="str">
        <f>"Enter the smaller of line 5d or "&amp;TEXT($O$18,"$0,000")&amp;" ("&amp;TEXT(O17,"$0,000")&amp;" if married filing"</f>
        <v>Enter the smaller of line 5d or $10,000 ($5,000 if married filing</v>
      </c>
      <c r="F29" s="164"/>
      <c r="G29" s="164"/>
      <c r="H29" s="164"/>
      <c r="I29" s="22"/>
      <c r="J29" s="22"/>
      <c r="K29" s="568"/>
      <c r="L29" s="3175"/>
      <c r="M29" s="271"/>
      <c r="N29" s="3174"/>
      <c r="O29" s="2985"/>
      <c r="P29" s="644"/>
      <c r="Q29" s="975"/>
      <c r="R29" s="270"/>
      <c r="V29" s="1384"/>
      <c r="W29" s="1536" t="str">
        <f>"chose to have credited to your "&amp;TaxYear&amp;" state or local income taxes."</f>
        <v>chose to have credited to your 2021 state or local income taxes.</v>
      </c>
      <c r="X29" s="1250"/>
      <c r="Y29" s="1250"/>
      <c r="Z29" s="1250"/>
      <c r="AA29" s="1250"/>
      <c r="AB29" s="1250"/>
      <c r="AC29" s="1250"/>
      <c r="AD29" s="1250"/>
      <c r="AE29" s="1385"/>
      <c r="AF29" s="1385"/>
      <c r="AG29" s="1250"/>
      <c r="AH29" s="2121"/>
      <c r="AI29" s="1251"/>
      <c r="AK29"/>
    </row>
    <row r="30" spans="1:41" ht="12.75" customHeight="1" thickBot="1">
      <c r="A30" s="588"/>
      <c r="B30" s="21"/>
      <c r="C30" s="22"/>
      <c r="D30" s="246"/>
      <c r="E30" s="1023" t="s">
        <v>2393</v>
      </c>
      <c r="F30" s="164"/>
      <c r="G30" s="164"/>
      <c r="H30" s="164"/>
      <c r="I30" s="22"/>
      <c r="J30" s="22"/>
      <c r="K30" s="568" t="s">
        <v>604</v>
      </c>
      <c r="L30" s="332" t="s">
        <v>2394</v>
      </c>
      <c r="M30" s="3159">
        <f>IF(Q30&lt;&gt;"",ROUND(Q30,0),MIN(M28,O22))</f>
        <v>0</v>
      </c>
      <c r="N30" s="3174"/>
      <c r="O30" s="2985"/>
      <c r="P30" s="644"/>
      <c r="Q30" s="976"/>
      <c r="R30" s="270"/>
      <c r="S30" s="1357"/>
      <c r="V30" s="1384"/>
      <c r="W30" s="1250"/>
      <c r="X30" s="1250"/>
      <c r="Y30" s="1250"/>
      <c r="Z30" s="1250"/>
      <c r="AA30" s="1250"/>
      <c r="AB30" s="1250"/>
      <c r="AC30" s="1250"/>
      <c r="AD30" s="1250"/>
      <c r="AE30" s="1385"/>
      <c r="AF30" s="1385"/>
      <c r="AG30" s="1250"/>
      <c r="AH30" s="1250"/>
      <c r="AI30" s="1251"/>
      <c r="AK30"/>
    </row>
    <row r="31" spans="1:41" ht="13.5" customHeight="1" thickBot="1">
      <c r="A31" s="588"/>
      <c r="B31" s="21"/>
      <c r="C31" s="22">
        <v>6</v>
      </c>
      <c r="D31" s="1023" t="s">
        <v>2110</v>
      </c>
      <c r="E31" s="164"/>
      <c r="F31" s="164"/>
      <c r="G31" s="164"/>
      <c r="H31" s="164"/>
      <c r="I31" s="6883"/>
      <c r="J31" s="6884"/>
      <c r="K31" s="3166"/>
      <c r="L31" s="644"/>
      <c r="M31" s="271"/>
      <c r="N31" s="3174"/>
      <c r="O31" s="2985"/>
      <c r="P31" s="644"/>
      <c r="Q31" s="975"/>
      <c r="R31" s="270"/>
      <c r="S31" s="1660">
        <v>750000</v>
      </c>
      <c r="V31" s="2119" t="s">
        <v>1</v>
      </c>
      <c r="W31" s="1536" t="s">
        <v>3035</v>
      </c>
      <c r="X31" s="1250"/>
      <c r="Y31" s="1250"/>
      <c r="Z31" s="1250"/>
      <c r="AA31" s="1250"/>
      <c r="AB31" s="1250"/>
      <c r="AC31" s="1250"/>
      <c r="AD31" s="1250"/>
      <c r="AE31" s="1385"/>
      <c r="AF31" s="1385"/>
      <c r="AG31" s="1250"/>
      <c r="AH31" s="1250"/>
      <c r="AI31" s="1251"/>
      <c r="AK31"/>
    </row>
    <row r="32" spans="1:41" ht="13.5" thickBot="1">
      <c r="A32" s="588"/>
      <c r="B32" s="21"/>
      <c r="C32" s="22"/>
      <c r="D32" s="6885"/>
      <c r="E32" s="6883"/>
      <c r="F32" s="6883"/>
      <c r="G32" s="6883"/>
      <c r="H32" s="6883"/>
      <c r="I32" s="6883"/>
      <c r="J32" s="6884"/>
      <c r="K32" s="3165"/>
      <c r="L32" s="332">
        <v>6</v>
      </c>
      <c r="M32" s="1192"/>
      <c r="N32" s="3174"/>
      <c r="O32" s="1340"/>
      <c r="P32" s="644"/>
      <c r="Q32" s="976"/>
      <c r="R32" s="270"/>
      <c r="S32" s="1660">
        <v>375000</v>
      </c>
      <c r="V32" s="2119"/>
      <c r="W32" s="1536" t="s">
        <v>1973</v>
      </c>
      <c r="X32" s="1250"/>
      <c r="Y32" s="1250"/>
      <c r="Z32" s="1250"/>
      <c r="AA32" s="1250"/>
      <c r="AB32" s="1250"/>
      <c r="AC32" s="1250"/>
      <c r="AD32" s="1250"/>
      <c r="AE32" s="1385"/>
      <c r="AF32" s="1385"/>
      <c r="AG32" s="1250"/>
      <c r="AH32" s="2121"/>
      <c r="AI32" s="1251"/>
      <c r="AK32"/>
    </row>
    <row r="33" spans="1:37" ht="13.5" thickBot="1">
      <c r="A33" s="588"/>
      <c r="B33" s="16"/>
      <c r="C33" s="16">
        <v>7</v>
      </c>
      <c r="D33" s="1622" t="s">
        <v>2396</v>
      </c>
      <c r="E33" s="250"/>
      <c r="F33" s="250"/>
      <c r="G33" s="250"/>
      <c r="H33" s="250"/>
      <c r="I33" s="17"/>
      <c r="J33" s="17"/>
      <c r="K33" s="3168"/>
      <c r="L33" s="17"/>
      <c r="M33" s="916" t="s">
        <v>530</v>
      </c>
      <c r="N33" s="333">
        <v>7</v>
      </c>
      <c r="O33" s="1341">
        <f>IF(Q33&lt;&gt;"",ROUND(Q33,0),SUM(M30,ROUND(M32,0)))</f>
        <v>0</v>
      </c>
      <c r="P33" s="644"/>
      <c r="Q33" s="976"/>
      <c r="R33" s="270"/>
      <c r="S33" s="1660">
        <v>1000000</v>
      </c>
      <c r="V33" s="1384"/>
      <c r="W33" s="1250"/>
      <c r="X33" s="1250"/>
      <c r="Y33" s="1250"/>
      <c r="Z33" s="1250"/>
      <c r="AA33" s="1250"/>
      <c r="AB33" s="1250"/>
      <c r="AC33" s="1250"/>
      <c r="AD33" s="1250"/>
      <c r="AE33" s="1385"/>
      <c r="AF33" s="1385"/>
      <c r="AG33" s="1250"/>
      <c r="AH33" s="1250"/>
      <c r="AI33" s="1251"/>
      <c r="AK33"/>
    </row>
    <row r="34" spans="1:37" ht="15.75" thickBot="1">
      <c r="A34" s="588"/>
      <c r="B34" s="334" t="s">
        <v>2402</v>
      </c>
      <c r="C34" s="22">
        <v>8</v>
      </c>
      <c r="D34" s="218"/>
      <c r="E34" s="1023" t="s">
        <v>2398</v>
      </c>
      <c r="F34" s="164"/>
      <c r="G34" s="164"/>
      <c r="H34" s="164"/>
      <c r="I34" s="22"/>
      <c r="J34" s="22"/>
      <c r="K34" s="3170"/>
      <c r="L34" s="644"/>
      <c r="M34" s="3181"/>
      <c r="N34" s="644"/>
      <c r="O34" s="20"/>
      <c r="P34" s="644"/>
      <c r="Q34" s="975"/>
      <c r="R34" s="270"/>
      <c r="S34" s="1660">
        <v>500000</v>
      </c>
      <c r="V34" s="2119" t="s">
        <v>399</v>
      </c>
      <c r="W34" s="1536" t="s">
        <v>3167</v>
      </c>
      <c r="X34" s="1250"/>
      <c r="Y34" s="1250"/>
      <c r="Z34" s="1250"/>
      <c r="AA34" s="1250"/>
      <c r="AB34" s="1250"/>
      <c r="AC34" s="1250"/>
      <c r="AD34" s="1250"/>
      <c r="AE34" s="1385"/>
      <c r="AF34" s="1385"/>
      <c r="AG34" s="1250"/>
      <c r="AH34" s="1250"/>
      <c r="AI34" s="1251"/>
      <c r="AK34"/>
    </row>
    <row r="35" spans="1:37" ht="12.75" customHeight="1" thickBot="1">
      <c r="A35" s="588"/>
      <c r="B35" s="334" t="s">
        <v>266</v>
      </c>
      <c r="C35" s="22"/>
      <c r="D35" s="164"/>
      <c r="E35" s="1023" t="s">
        <v>2399</v>
      </c>
      <c r="F35" s="164"/>
      <c r="G35" s="164"/>
      <c r="H35" s="164"/>
      <c r="I35" s="22"/>
      <c r="J35" s="22"/>
      <c r="K35" s="3166"/>
      <c r="L35" s="3174"/>
      <c r="M35" s="1340"/>
      <c r="N35" s="3174"/>
      <c r="O35" s="3929"/>
      <c r="P35" s="644"/>
      <c r="Q35" s="975"/>
      <c r="R35" s="799" t="s">
        <v>34</v>
      </c>
      <c r="S35" s="5134"/>
      <c r="V35" s="2119"/>
      <c r="W35" s="1536" t="s">
        <v>3166</v>
      </c>
      <c r="X35" s="1250"/>
      <c r="Y35" s="1250"/>
      <c r="Z35" s="1250"/>
      <c r="AA35" s="1250"/>
      <c r="AB35" s="1250"/>
      <c r="AC35" s="1250"/>
      <c r="AD35" s="1250"/>
      <c r="AE35" s="1385"/>
      <c r="AF35" s="1385"/>
      <c r="AG35" s="1250"/>
      <c r="AH35" s="3942">
        <f>F1099G_StateTaxWH</f>
        <v>0</v>
      </c>
      <c r="AI35" s="1251"/>
      <c r="AK35"/>
    </row>
    <row r="36" spans="1:37" ht="12.75" customHeight="1">
      <c r="A36" s="588"/>
      <c r="B36" s="21"/>
      <c r="C36" s="22"/>
      <c r="D36" s="164"/>
      <c r="E36" s="1023" t="s">
        <v>2400</v>
      </c>
      <c r="F36" s="164"/>
      <c r="G36" s="164"/>
      <c r="H36" s="164"/>
      <c r="I36" s="22"/>
      <c r="J36" s="568" t="s">
        <v>2514</v>
      </c>
      <c r="K36" s="1180"/>
      <c r="L36" s="3174"/>
      <c r="M36" s="1340"/>
      <c r="N36" s="3174"/>
      <c r="O36" s="3929"/>
      <c r="P36" s="644"/>
      <c r="Q36" s="975"/>
      <c r="R36" s="270"/>
      <c r="S36" s="4766" t="s">
        <v>4306</v>
      </c>
      <c r="V36" s="1384"/>
      <c r="W36" s="1376"/>
      <c r="X36" s="1250"/>
      <c r="Y36" s="1250"/>
      <c r="Z36" s="1250"/>
      <c r="AA36" s="1250"/>
      <c r="AB36" s="1250"/>
      <c r="AC36" s="1250"/>
      <c r="AD36" s="1250"/>
      <c r="AE36" s="1385"/>
      <c r="AF36" s="1385"/>
      <c r="AG36" s="1385"/>
      <c r="AH36" s="1385"/>
      <c r="AI36" s="1251"/>
      <c r="AK36"/>
    </row>
    <row r="37" spans="1:37" ht="12.75" customHeight="1" thickBot="1">
      <c r="A37" s="588"/>
      <c r="B37" s="6886" t="s">
        <v>3982</v>
      </c>
      <c r="C37" s="22"/>
      <c r="D37" s="246" t="s">
        <v>33</v>
      </c>
      <c r="E37" s="164" t="s">
        <v>3456</v>
      </c>
      <c r="F37" s="164"/>
      <c r="G37" s="164"/>
      <c r="H37" s="164"/>
      <c r="I37" s="22"/>
      <c r="J37" s="22"/>
      <c r="K37" s="3166"/>
      <c r="L37" s="3174"/>
      <c r="M37" s="1340"/>
      <c r="N37" s="3174"/>
      <c r="O37" s="3929"/>
      <c r="P37" s="644"/>
      <c r="Q37" s="975"/>
      <c r="R37" s="270"/>
      <c r="V37" s="2119" t="s">
        <v>31</v>
      </c>
      <c r="W37" s="1536" t="s">
        <v>3168</v>
      </c>
      <c r="X37" s="1250"/>
      <c r="Y37" s="1250"/>
      <c r="Z37" s="1250"/>
      <c r="AA37" s="1250"/>
      <c r="AB37" s="1250"/>
      <c r="AC37" s="1250"/>
      <c r="AD37" s="1250"/>
      <c r="AE37" s="1385"/>
      <c r="AF37" s="1385"/>
      <c r="AG37" s="1250"/>
      <c r="AH37" s="1250"/>
      <c r="AI37" s="1251"/>
      <c r="AK37"/>
    </row>
    <row r="38" spans="1:37" ht="13.5" thickBot="1">
      <c r="A38" s="588"/>
      <c r="B38" s="6886"/>
      <c r="C38" s="2986"/>
      <c r="D38" s="3178"/>
      <c r="E38" s="4183" t="s">
        <v>3457</v>
      </c>
      <c r="F38" s="3179"/>
      <c r="G38" s="3179"/>
      <c r="H38" s="3179"/>
      <c r="I38" s="3179"/>
      <c r="J38" s="3179"/>
      <c r="K38" s="568" t="s">
        <v>2211</v>
      </c>
      <c r="L38" s="332" t="s">
        <v>34</v>
      </c>
      <c r="M38" s="4767">
        <f>MIN(S42,ROUND(S35,0))</f>
        <v>0</v>
      </c>
      <c r="N38" s="3174"/>
      <c r="O38" s="3929"/>
      <c r="P38" s="644"/>
      <c r="Q38" s="975"/>
      <c r="R38" s="799"/>
      <c r="S38" s="3932"/>
      <c r="V38" s="1384"/>
      <c r="W38" s="1536" t="s">
        <v>2397</v>
      </c>
      <c r="X38" s="1250"/>
      <c r="Y38" s="1250"/>
      <c r="Z38" s="1250"/>
      <c r="AA38" s="1250"/>
      <c r="AB38" s="1250"/>
      <c r="AC38" s="1250"/>
      <c r="AD38" s="1250"/>
      <c r="AE38" s="1385"/>
      <c r="AF38" s="1385"/>
      <c r="AG38" s="1250"/>
      <c r="AH38" s="1389">
        <f>ROUND(SUM(AH26,AH29,AH32,AH35),0)</f>
        <v>0</v>
      </c>
      <c r="AI38" s="1251"/>
      <c r="AK38"/>
    </row>
    <row r="39" spans="1:37" ht="13.5" thickBot="1">
      <c r="A39" s="588"/>
      <c r="B39" s="6886"/>
      <c r="C39" s="22"/>
      <c r="D39" s="246" t="s">
        <v>47</v>
      </c>
      <c r="E39" s="4183" t="s">
        <v>3983</v>
      </c>
      <c r="F39" s="3179"/>
      <c r="G39" s="3179"/>
      <c r="H39" s="3179"/>
      <c r="I39" s="3179"/>
      <c r="J39" s="3179"/>
      <c r="K39" s="3167"/>
      <c r="L39" s="3174"/>
      <c r="M39" s="20"/>
      <c r="N39" s="3174"/>
      <c r="O39" s="20"/>
      <c r="P39" s="644"/>
      <c r="Q39" s="975"/>
      <c r="R39" s="270"/>
      <c r="S39" s="3930" t="str">
        <f>IF(AND(M38&lt;&gt;"",S38=""),"Enter Loan Date","Date of Loan")</f>
        <v>Enter Loan Date</v>
      </c>
      <c r="V39" s="1387"/>
      <c r="W39" s="1255"/>
      <c r="X39" s="1255"/>
      <c r="Y39" s="1255"/>
      <c r="Z39" s="1255"/>
      <c r="AA39" s="1255"/>
      <c r="AB39" s="1255"/>
      <c r="AC39" s="1255"/>
      <c r="AD39" s="1255"/>
      <c r="AE39" s="2118"/>
      <c r="AF39" s="2118"/>
      <c r="AG39" s="1255"/>
      <c r="AH39" s="1255"/>
      <c r="AI39" s="1388"/>
      <c r="AK39"/>
    </row>
    <row r="40" spans="1:37" ht="13.5" thickBot="1">
      <c r="A40" s="588"/>
      <c r="B40" s="6886"/>
      <c r="C40" s="22"/>
      <c r="D40" s="3180"/>
      <c r="E40" s="4183" t="s">
        <v>3984</v>
      </c>
      <c r="F40" s="3179"/>
      <c r="G40" s="3179"/>
      <c r="H40" s="3179"/>
      <c r="I40" s="3179"/>
      <c r="J40" s="3179"/>
      <c r="K40" s="3167"/>
      <c r="L40" s="3174"/>
      <c r="M40" s="20"/>
      <c r="N40" s="3174"/>
      <c r="O40" s="20"/>
      <c r="P40" s="644"/>
      <c r="Q40" s="975"/>
      <c r="R40" s="313"/>
      <c r="S40" s="3931" t="s">
        <v>3148</v>
      </c>
      <c r="AK40"/>
    </row>
    <row r="41" spans="1:37" ht="13.5" thickBot="1">
      <c r="A41" s="588"/>
      <c r="B41" s="3185"/>
      <c r="C41" s="22"/>
      <c r="D41" s="3180"/>
      <c r="E41" s="4183" t="s">
        <v>3985</v>
      </c>
      <c r="F41" s="3179"/>
      <c r="G41" s="3179"/>
      <c r="H41" s="3179"/>
      <c r="I41" s="3179"/>
      <c r="J41" s="3179"/>
      <c r="K41" s="3167"/>
      <c r="L41" s="3174"/>
      <c r="M41" s="20"/>
      <c r="N41" s="3174"/>
      <c r="O41" s="20"/>
      <c r="P41" s="644"/>
      <c r="Q41" s="975"/>
      <c r="R41" s="270"/>
      <c r="S41" s="3928">
        <v>43084</v>
      </c>
      <c r="V41" s="1381"/>
      <c r="W41" s="1274"/>
      <c r="X41" s="1274"/>
      <c r="Y41" s="1274"/>
      <c r="Z41" s="1274"/>
      <c r="AA41" s="1274"/>
      <c r="AB41" s="1274"/>
      <c r="AC41" s="1274"/>
      <c r="AD41" s="1274"/>
      <c r="AE41" s="1274"/>
      <c r="AF41" s="1274"/>
      <c r="AG41" s="1274"/>
      <c r="AH41" s="1274"/>
      <c r="AI41" s="1275"/>
      <c r="AK41"/>
    </row>
    <row r="42" spans="1:37" ht="16.5" thickBot="1">
      <c r="A42" s="588"/>
      <c r="B42" s="3185"/>
      <c r="C42" s="22"/>
      <c r="D42" s="3180"/>
      <c r="E42" s="4183" t="s">
        <v>3986</v>
      </c>
      <c r="F42" s="3179"/>
      <c r="G42" s="6895"/>
      <c r="H42" s="6895"/>
      <c r="I42" s="6895"/>
      <c r="J42" s="6895"/>
      <c r="K42" s="3167"/>
      <c r="L42" s="3174"/>
      <c r="M42" s="20"/>
      <c r="N42" s="3174"/>
      <c r="O42" s="20"/>
      <c r="P42" s="644"/>
      <c r="Q42" s="975"/>
      <c r="R42" s="270"/>
      <c r="S42" s="3933">
        <f>IF(AND(S45,File_Marr_Sep&lt;&gt;""),S32,IF(S45,S31,IF(File_Marr_Sep&lt;&gt;"",S34,S33)))</f>
        <v>1000000</v>
      </c>
      <c r="V42" s="1382" t="s">
        <v>3268</v>
      </c>
      <c r="W42" s="1179"/>
      <c r="X42" s="1179"/>
      <c r="Y42" s="1179"/>
      <c r="Z42" s="1179"/>
      <c r="AA42" s="1179"/>
      <c r="AB42" s="1283"/>
      <c r="AC42" s="1283"/>
      <c r="AD42" s="1179"/>
      <c r="AE42" s="1179"/>
      <c r="AF42" s="1179"/>
      <c r="AG42" s="5138" t="s">
        <v>175</v>
      </c>
      <c r="AH42" s="1179"/>
      <c r="AI42" s="1244"/>
      <c r="AK42"/>
    </row>
    <row r="43" spans="1:37" ht="13.5" thickBot="1">
      <c r="A43" s="588"/>
      <c r="B43" s="3185"/>
      <c r="C43" s="22"/>
      <c r="D43" s="3180"/>
      <c r="E43" s="3186"/>
      <c r="F43" s="3186"/>
      <c r="G43" s="3186"/>
      <c r="H43" s="3186"/>
      <c r="I43" s="3186"/>
      <c r="J43" s="3186"/>
      <c r="K43" s="3167"/>
      <c r="L43" s="332" t="s">
        <v>35</v>
      </c>
      <c r="M43" s="1192"/>
      <c r="N43" s="3174"/>
      <c r="O43" s="20"/>
      <c r="P43" s="644"/>
      <c r="Q43" s="975"/>
      <c r="R43" s="270"/>
      <c r="S43" s="3930" t="s">
        <v>3150</v>
      </c>
      <c r="V43" s="1380"/>
      <c r="W43" s="1704"/>
      <c r="X43" s="1704"/>
      <c r="Y43" s="1904"/>
      <c r="Z43" s="1905"/>
      <c r="AA43" s="1905"/>
      <c r="AB43" s="1905"/>
      <c r="AC43" s="1905"/>
      <c r="AD43" s="1905"/>
      <c r="AE43" s="1905"/>
      <c r="AF43" s="1704"/>
      <c r="AG43" s="1704"/>
      <c r="AH43" s="1704"/>
      <c r="AI43" s="2512"/>
      <c r="AJ43" s="989"/>
      <c r="AK43"/>
    </row>
    <row r="44" spans="1:37">
      <c r="A44" s="588"/>
      <c r="B44" s="3185"/>
      <c r="C44" s="22"/>
      <c r="D44" s="246" t="s">
        <v>48</v>
      </c>
      <c r="E44" s="164" t="s">
        <v>3665</v>
      </c>
      <c r="F44" s="3179"/>
      <c r="G44" s="3179"/>
      <c r="H44" s="3179"/>
      <c r="I44" s="3179"/>
      <c r="J44" s="3179"/>
      <c r="K44" s="3167"/>
      <c r="L44" s="3174"/>
      <c r="M44" s="20"/>
      <c r="N44" s="3174"/>
      <c r="O44" s="20"/>
      <c r="P44" s="644"/>
      <c r="Q44" s="975"/>
      <c r="R44" s="270"/>
      <c r="S44" s="1271" t="b">
        <f>AND(S35&lt;&gt;"",S35&gt;S42)</f>
        <v>0</v>
      </c>
      <c r="V44" s="2055"/>
      <c r="W44" s="1246" t="s">
        <v>3145</v>
      </c>
      <c r="X44" s="1246"/>
      <c r="Y44" s="1246"/>
      <c r="Z44" s="1246"/>
      <c r="AA44" s="1246"/>
      <c r="AB44" s="1246"/>
      <c r="AC44" s="1246"/>
      <c r="AD44" s="1246"/>
      <c r="AE44" s="1246"/>
      <c r="AF44" s="1246"/>
      <c r="AG44" s="1246"/>
      <c r="AH44" s="1246"/>
      <c r="AI44" s="1247"/>
      <c r="AK44"/>
    </row>
    <row r="45" spans="1:37" ht="13.5" thickBot="1">
      <c r="A45" s="588"/>
      <c r="B45" s="1680"/>
      <c r="C45" s="22"/>
      <c r="D45" s="3180"/>
      <c r="E45" s="1023" t="s">
        <v>3666</v>
      </c>
      <c r="F45" s="3179"/>
      <c r="G45" s="3179"/>
      <c r="H45" s="3179"/>
      <c r="I45" s="3179"/>
      <c r="J45" s="3179"/>
      <c r="K45" s="568" t="s">
        <v>805</v>
      </c>
      <c r="L45" s="332" t="s">
        <v>97</v>
      </c>
      <c r="M45" s="1192"/>
      <c r="N45" s="3174"/>
      <c r="O45" s="20"/>
      <c r="P45" s="644"/>
      <c r="Q45" s="975"/>
      <c r="R45" s="270"/>
      <c r="S45" s="1271" t="b">
        <f>S38&gt;S41</f>
        <v>0</v>
      </c>
      <c r="V45" s="3927" t="str">
        <f>"•"</f>
        <v>•</v>
      </c>
      <c r="W45" s="1520" t="str">
        <f>"On or before December 15, 2017:  Interest on up to "&amp;TEXT(S33,"$0,000")&amp;" ("&amp;TEXT(S34,"$0,000")&amp;" if you are married filing separately) of that debt."</f>
        <v>On or before December 15, 2017:  Interest on up to $1,000,000 ($500,000 if you are married filing separately) of that debt.</v>
      </c>
      <c r="X45" s="1250"/>
      <c r="Y45" s="1250"/>
      <c r="Z45" s="1250"/>
      <c r="AA45" s="1250"/>
      <c r="AB45" s="1250"/>
      <c r="AC45" s="1250"/>
      <c r="AD45" s="1250"/>
      <c r="AE45" s="1250"/>
      <c r="AF45" s="1250"/>
      <c r="AG45" s="1250"/>
      <c r="AH45" s="1250"/>
      <c r="AI45" s="1251"/>
      <c r="AK45"/>
    </row>
    <row r="46" spans="1:37" ht="13.5" thickBot="1">
      <c r="A46" s="588"/>
      <c r="B46" s="1680"/>
      <c r="C46" s="22"/>
      <c r="D46" s="246" t="s">
        <v>92</v>
      </c>
      <c r="E46" s="1023" t="s">
        <v>3667</v>
      </c>
      <c r="F46" s="164"/>
      <c r="G46" s="164"/>
      <c r="H46" s="164"/>
      <c r="I46" s="22"/>
      <c r="J46" s="22"/>
      <c r="K46" s="568" t="s">
        <v>2514</v>
      </c>
      <c r="L46" s="332" t="s">
        <v>377</v>
      </c>
      <c r="M46" s="3177">
        <f>IF(AE72,AH87,S46)</f>
        <v>0</v>
      </c>
      <c r="N46" s="3174"/>
      <c r="O46" s="5151" t="str">
        <f>IF(AND($P$46="",$AE$72),"Your MIP deduction","")</f>
        <v/>
      </c>
      <c r="P46" s="5152"/>
      <c r="Q46" s="5153" t="str">
        <f>IF($AE$72,"&lt; Hide note.","")</f>
        <v/>
      </c>
      <c r="R46" s="799" t="s">
        <v>377</v>
      </c>
      <c r="S46" s="4765"/>
      <c r="V46" s="1903"/>
      <c r="W46" s="1520"/>
      <c r="X46" s="1250" t="s">
        <v>3146</v>
      </c>
      <c r="Y46" s="1250"/>
      <c r="Z46" s="1250"/>
      <c r="AA46" s="1250"/>
      <c r="AB46" s="1250"/>
      <c r="AC46" s="1250"/>
      <c r="AD46" s="1250"/>
      <c r="AE46" s="1250"/>
      <c r="AF46" s="1250"/>
      <c r="AG46" s="1250"/>
      <c r="AH46" s="1250"/>
      <c r="AI46" s="1251"/>
      <c r="AK46"/>
    </row>
    <row r="47" spans="1:37">
      <c r="A47" s="588"/>
      <c r="B47" s="1680"/>
      <c r="C47" s="22"/>
      <c r="D47" s="246" t="s">
        <v>964</v>
      </c>
      <c r="E47" s="1023" t="s">
        <v>3668</v>
      </c>
      <c r="F47" s="164"/>
      <c r="G47" s="164"/>
      <c r="H47" s="164"/>
      <c r="I47" s="22"/>
      <c r="J47" s="22"/>
      <c r="K47" s="568" t="s">
        <v>2780</v>
      </c>
      <c r="L47" s="332" t="s">
        <v>2403</v>
      </c>
      <c r="M47" s="3177">
        <f>SUM(ROUND(M38,0),ROUND(M43,0),ROUND(M45,0),ROUND(M46,0))</f>
        <v>0</v>
      </c>
      <c r="N47" s="3174"/>
      <c r="O47" s="5151" t="str">
        <f>IF(AND($P$46="",$AE$72),"was limited.","")</f>
        <v/>
      </c>
      <c r="P47" s="644"/>
      <c r="Q47" s="975"/>
      <c r="R47" s="270"/>
      <c r="S47" s="799" t="s">
        <v>4770</v>
      </c>
      <c r="V47" s="3927" t="str">
        <f>"•"</f>
        <v>•</v>
      </c>
      <c r="W47" s="1520" t="str">
        <f>"After December 15, 2017:  Interest on up to "&amp;TEXT(S31,"$0,000")&amp;" ("&amp;TEXT(S32,"$0,000")&amp;" if you are married filing separately) of that debt."</f>
        <v>After December 15, 2017:  Interest on up to $750,000 ($375,000 if you are married filing separately) of that debt.</v>
      </c>
      <c r="X47" s="1250"/>
      <c r="Y47" s="1250"/>
      <c r="Z47" s="1250"/>
      <c r="AA47" s="1250"/>
      <c r="AB47" s="1250"/>
      <c r="AC47" s="1250"/>
      <c r="AD47" s="1250"/>
      <c r="AE47" s="1250"/>
      <c r="AF47" s="1250"/>
      <c r="AG47" s="1250"/>
      <c r="AH47" s="1250"/>
      <c r="AI47" s="1251"/>
      <c r="AK47"/>
    </row>
    <row r="48" spans="1:37" ht="13.5" thickBot="1">
      <c r="A48" s="588"/>
      <c r="B48" s="21"/>
      <c r="C48" s="22">
        <v>9</v>
      </c>
      <c r="D48" s="164"/>
      <c r="E48" s="1023" t="s">
        <v>3669</v>
      </c>
      <c r="F48" s="164"/>
      <c r="G48" s="164"/>
      <c r="H48" s="164"/>
      <c r="I48" s="22"/>
      <c r="J48" s="22"/>
      <c r="K48" s="568"/>
      <c r="L48" s="332">
        <v>9</v>
      </c>
      <c r="M48" s="1192"/>
      <c r="N48" s="3174"/>
      <c r="O48" s="5151" t="str">
        <f>IF(AND($P$46="",$AE$72),"(See worksheet.)","")</f>
        <v/>
      </c>
      <c r="P48" s="644"/>
      <c r="Q48" s="975"/>
      <c r="R48" s="270"/>
      <c r="S48" s="799" t="s">
        <v>4771</v>
      </c>
      <c r="V48" s="1387"/>
      <c r="W48" s="1899"/>
      <c r="X48" s="4345" t="s">
        <v>3147</v>
      </c>
      <c r="Y48" s="1255"/>
      <c r="Z48" s="1255"/>
      <c r="AA48" s="1255"/>
      <c r="AB48" s="1255"/>
      <c r="AC48" s="1255"/>
      <c r="AD48" s="1255"/>
      <c r="AE48" s="1255"/>
      <c r="AF48" s="1255"/>
      <c r="AG48" s="1255"/>
      <c r="AH48" s="1255"/>
      <c r="AI48" s="1388"/>
      <c r="AK48"/>
    </row>
    <row r="49" spans="1:50" ht="13.5" thickBot="1">
      <c r="A49" s="588"/>
      <c r="B49" s="16"/>
      <c r="C49" s="16">
        <v>10</v>
      </c>
      <c r="D49" s="250"/>
      <c r="E49" s="1622" t="str">
        <f>"Add lines "&amp;L47&amp;" and "&amp;L48</f>
        <v>Add lines 8e and 9</v>
      </c>
      <c r="F49" s="250"/>
      <c r="G49" s="250"/>
      <c r="H49" s="250"/>
      <c r="I49" s="17"/>
      <c r="J49" s="17"/>
      <c r="K49" s="17"/>
      <c r="L49" s="17"/>
      <c r="M49" s="916" t="s">
        <v>2781</v>
      </c>
      <c r="N49" s="332">
        <f>C49</f>
        <v>10</v>
      </c>
      <c r="O49" s="1341">
        <f>IF(Q49&lt;&gt;"",ROUND(Q49,0),SUM(M47,ROUND(M48,0)))</f>
        <v>0</v>
      </c>
      <c r="P49" s="644"/>
      <c r="Q49" s="976"/>
      <c r="R49" s="270"/>
      <c r="S49" s="5154">
        <v>109000</v>
      </c>
      <c r="AK49"/>
    </row>
    <row r="50" spans="1:50" ht="15">
      <c r="A50" s="588"/>
      <c r="B50" s="334" t="s">
        <v>333</v>
      </c>
      <c r="C50" s="22">
        <v>11</v>
      </c>
      <c r="D50" s="164" t="s">
        <v>519</v>
      </c>
      <c r="E50" s="164"/>
      <c r="F50" s="164"/>
      <c r="G50" s="164"/>
      <c r="H50" s="164"/>
      <c r="I50" s="22"/>
      <c r="J50" s="22"/>
      <c r="K50" s="3169"/>
      <c r="L50" s="644"/>
      <c r="M50" s="20"/>
      <c r="N50" s="3173"/>
      <c r="O50" s="1900" t="str">
        <f>IF(AND($AE$92,$P$54=""),"Your charitable","")</f>
        <v/>
      </c>
      <c r="P50" s="644"/>
      <c r="Q50" s="975"/>
      <c r="R50" s="313"/>
      <c r="S50" s="5154">
        <v>100000</v>
      </c>
      <c r="V50" s="1381"/>
      <c r="W50" s="1274"/>
      <c r="X50" s="1274"/>
      <c r="Y50" s="1274"/>
      <c r="Z50" s="1274"/>
      <c r="AA50" s="1274"/>
      <c r="AB50" s="1274"/>
      <c r="AC50" s="1274"/>
      <c r="AD50" s="1274"/>
      <c r="AE50" s="1274"/>
      <c r="AF50" s="1274"/>
      <c r="AG50" s="1274"/>
      <c r="AH50" s="1274"/>
      <c r="AI50" s="1275"/>
      <c r="AK50"/>
    </row>
    <row r="51" spans="1:50" ht="13.5" customHeight="1">
      <c r="A51" s="588"/>
      <c r="B51" s="334" t="s">
        <v>334</v>
      </c>
      <c r="C51" s="22"/>
      <c r="D51" s="273" t="s">
        <v>520</v>
      </c>
      <c r="E51" s="273"/>
      <c r="F51" s="273"/>
      <c r="G51" s="273"/>
      <c r="H51" s="273"/>
      <c r="I51" s="22"/>
      <c r="J51" s="22"/>
      <c r="K51" s="3167"/>
      <c r="L51" s="332">
        <f>C50</f>
        <v>11</v>
      </c>
      <c r="M51" s="1192"/>
      <c r="N51" s="3174"/>
      <c r="O51" s="1900" t="str">
        <f>IF(AND($AE$92,$P$54=""),"contribution","")</f>
        <v/>
      </c>
      <c r="P51" s="644"/>
      <c r="Q51" s="975"/>
      <c r="R51" s="313"/>
      <c r="S51" s="5154">
        <f>IF(File_Marr_Sep&lt;&gt;"",S50,S49)</f>
        <v>109000</v>
      </c>
      <c r="V51" s="1382" t="s">
        <v>4768</v>
      </c>
      <c r="W51" s="1179"/>
      <c r="X51" s="1179"/>
      <c r="Y51" s="1179"/>
      <c r="Z51" s="1179"/>
      <c r="AA51" s="1179"/>
      <c r="AB51" s="1283"/>
      <c r="AC51" s="1283"/>
      <c r="AD51" s="1179"/>
      <c r="AE51" s="1179"/>
      <c r="AF51" s="1179"/>
      <c r="AG51" s="5138" t="s">
        <v>175</v>
      </c>
      <c r="AH51" s="1179"/>
      <c r="AI51" s="1244"/>
      <c r="AK51"/>
    </row>
    <row r="52" spans="1:50" ht="14.25" customHeight="1" thickBot="1">
      <c r="A52" s="588"/>
      <c r="B52" s="6861" t="s">
        <v>2111</v>
      </c>
      <c r="C52" s="22">
        <v>12</v>
      </c>
      <c r="D52" s="555" t="s">
        <v>3671</v>
      </c>
      <c r="E52" s="555"/>
      <c r="F52" s="555"/>
      <c r="G52" s="555"/>
      <c r="H52" s="555"/>
      <c r="I52" s="22"/>
      <c r="J52" s="22"/>
      <c r="K52" s="3167"/>
      <c r="L52" s="336"/>
      <c r="M52" s="20"/>
      <c r="N52" s="3174"/>
      <c r="O52" s="1900" t="str">
        <f>IF(AND($AE$92,$P$54=""),"may be limited.","")</f>
        <v/>
      </c>
      <c r="P52" s="644"/>
      <c r="Q52" s="975"/>
      <c r="R52" s="313"/>
      <c r="V52" s="1380"/>
      <c r="W52" s="1704"/>
      <c r="X52" s="1704"/>
      <c r="Y52" s="1904"/>
      <c r="Z52" s="1905"/>
      <c r="AA52" s="1905"/>
      <c r="AB52" s="1905"/>
      <c r="AC52" s="1905"/>
      <c r="AD52" s="1905"/>
      <c r="AE52" s="1905"/>
      <c r="AF52" s="1704"/>
      <c r="AG52" s="1704"/>
      <c r="AH52" s="1704"/>
      <c r="AI52" s="2512"/>
      <c r="AJ52" s="989"/>
      <c r="AK52"/>
    </row>
    <row r="53" spans="1:50" ht="16.5" customHeight="1">
      <c r="A53" s="588"/>
      <c r="B53" s="6364"/>
      <c r="C53" s="22"/>
      <c r="D53" s="375" t="s">
        <v>3670</v>
      </c>
      <c r="E53" s="375"/>
      <c r="F53" s="375"/>
      <c r="G53" s="375"/>
      <c r="H53" s="375"/>
      <c r="I53" s="22"/>
      <c r="J53" s="22"/>
      <c r="K53" s="3167"/>
      <c r="L53" s="333">
        <f>C52</f>
        <v>12</v>
      </c>
      <c r="M53" s="1192"/>
      <c r="N53" s="3174"/>
      <c r="O53" s="1900" t="str">
        <f>IF(AND($AE$92,$P$54=""),"See 'Limits on","")</f>
        <v/>
      </c>
      <c r="P53" s="644"/>
      <c r="Q53" s="975"/>
      <c r="R53" s="270"/>
      <c r="V53" s="3927" t="str">
        <f>"•"</f>
        <v>•</v>
      </c>
      <c r="W53" s="1246" t="s">
        <v>4769</v>
      </c>
      <c r="X53" s="1246"/>
      <c r="Y53" s="1246"/>
      <c r="Z53" s="1246"/>
      <c r="AA53" s="1246"/>
      <c r="AB53" s="1246"/>
      <c r="AC53" s="1246"/>
      <c r="AD53" s="1246"/>
      <c r="AE53" s="1246"/>
      <c r="AF53" s="1246"/>
      <c r="AG53" s="1246"/>
      <c r="AH53" s="1246"/>
      <c r="AI53" s="1247"/>
      <c r="AK53"/>
    </row>
    <row r="54" spans="1:50" ht="16.5" customHeight="1" thickBot="1">
      <c r="A54" s="588"/>
      <c r="B54" s="6364"/>
      <c r="C54" s="22">
        <v>13</v>
      </c>
      <c r="D54" s="164" t="s">
        <v>114</v>
      </c>
      <c r="E54" s="164"/>
      <c r="F54" s="164"/>
      <c r="G54" s="164"/>
      <c r="H54" s="164"/>
      <c r="I54" s="22"/>
      <c r="J54" s="22"/>
      <c r="K54" s="3167"/>
      <c r="L54" s="332">
        <f>C54</f>
        <v>13</v>
      </c>
      <c r="M54" s="1192"/>
      <c r="N54" s="3174"/>
      <c r="O54" s="1900" t="str">
        <f>IF(AND($AE$92,$P$54=""),"Deductions-Line 14'","")</f>
        <v/>
      </c>
      <c r="P54" s="1901"/>
      <c r="Q54" s="1902" t="str">
        <f>IF($AE$92,"Hide note.","")</f>
        <v/>
      </c>
      <c r="R54" s="270"/>
      <c r="V54" s="3927"/>
      <c r="W54" s="5136" t="str">
        <f>TEXT(S49,"$0,000")&amp;" ("&amp;TEXT(S49/2,"$0,000")&amp;", if married filing separately)."</f>
        <v>$109,000 ($54,500, if married filing separately).</v>
      </c>
      <c r="X54" s="5135"/>
      <c r="Y54" s="1250"/>
      <c r="Z54" s="1250"/>
      <c r="AA54" s="1250"/>
      <c r="AB54" s="1250"/>
      <c r="AC54" s="1250"/>
      <c r="AD54" s="1250"/>
      <c r="AE54" s="1250"/>
      <c r="AF54" s="1250"/>
      <c r="AG54" s="1250"/>
      <c r="AH54" s="1250"/>
      <c r="AI54" s="1251"/>
      <c r="AK54"/>
    </row>
    <row r="55" spans="1:50" ht="16.5" customHeight="1" thickBot="1">
      <c r="A55" s="588"/>
      <c r="B55" s="6368"/>
      <c r="C55" s="16">
        <v>14</v>
      </c>
      <c r="D55" s="250" t="str">
        <f>"Add lines "&amp;C50&amp;" through "&amp;C54</f>
        <v>Add lines 11 through 13</v>
      </c>
      <c r="E55" s="250"/>
      <c r="F55" s="250"/>
      <c r="G55" s="250"/>
      <c r="H55" s="250"/>
      <c r="I55" s="16"/>
      <c r="J55" s="16"/>
      <c r="K55" s="16"/>
      <c r="L55" s="16"/>
      <c r="M55" s="916" t="s">
        <v>624</v>
      </c>
      <c r="N55" s="332">
        <f>C55</f>
        <v>14</v>
      </c>
      <c r="O55" s="1341">
        <f>IF(Q55&lt;&gt;"",ROUND(Q55,0),SUM(ROUND(M51,0),ROUND(M53,0),ROUND(M54,0)))</f>
        <v>0</v>
      </c>
      <c r="P55" s="644"/>
      <c r="Q55" s="976"/>
      <c r="R55" s="975"/>
      <c r="S55" s="975"/>
      <c r="T55" s="975"/>
      <c r="V55" s="3927" t="str">
        <f>"•"</f>
        <v>•</v>
      </c>
      <c r="W55" s="3739" t="str">
        <f>"If the amount on Form 1040 or 1040-SR, line 11, is more than:"&amp;TEXT(S50,"$0,000")&amp;" ("&amp;TEXT(S50/2,"$0,000")&amp;", if married filing separately),"</f>
        <v>If the amount on Form 1040 or 1040-SR, line 11, is more than:$100,000 ($50,000, if married filing separately),</v>
      </c>
      <c r="X55" s="1250"/>
      <c r="Y55" s="1250"/>
      <c r="Z55" s="1250"/>
      <c r="AA55" s="1250"/>
      <c r="AB55" s="1250"/>
      <c r="AC55" s="1250"/>
      <c r="AD55" s="1250"/>
      <c r="AE55" s="1250"/>
      <c r="AF55" s="1250"/>
      <c r="AG55" s="1250"/>
      <c r="AH55" s="1250"/>
      <c r="AI55" s="1251"/>
      <c r="AK55"/>
    </row>
    <row r="56" spans="1:50" ht="16.5" customHeight="1" thickBot="1">
      <c r="A56" s="588"/>
      <c r="B56" s="3187" t="s">
        <v>311</v>
      </c>
      <c r="C56" s="151">
        <v>15</v>
      </c>
      <c r="D56" s="1706" t="s">
        <v>2406</v>
      </c>
      <c r="E56" s="2731"/>
      <c r="F56" s="2731"/>
      <c r="G56" s="2731"/>
      <c r="H56" s="2731"/>
      <c r="I56" s="2731"/>
      <c r="J56" s="2731"/>
      <c r="K56" s="2731"/>
      <c r="L56" s="2731"/>
      <c r="M56" s="2732"/>
      <c r="N56" s="3173"/>
      <c r="O56" s="20"/>
      <c r="P56" s="644"/>
      <c r="Q56" s="2903"/>
      <c r="R56" s="975"/>
      <c r="S56" s="4615" t="s">
        <v>3976</v>
      </c>
      <c r="T56" s="975"/>
      <c r="V56" s="3927"/>
      <c r="W56" s="1537" t="s">
        <v>4788</v>
      </c>
      <c r="X56" s="1250"/>
      <c r="Y56" s="1250"/>
      <c r="Z56" s="1250"/>
      <c r="AA56" s="1250"/>
      <c r="AB56" s="1250"/>
      <c r="AC56" s="1250"/>
      <c r="AD56" s="1250"/>
      <c r="AE56" s="1250"/>
      <c r="AF56" s="1250"/>
      <c r="AG56" s="1250"/>
      <c r="AH56" s="1250"/>
      <c r="AI56" s="1251"/>
      <c r="AK56"/>
    </row>
    <row r="57" spans="1:50" ht="15" customHeight="1" thickBot="1">
      <c r="A57" s="588"/>
      <c r="B57" s="3187" t="s">
        <v>258</v>
      </c>
      <c r="C57" s="22"/>
      <c r="D57" s="1276" t="s">
        <v>2407</v>
      </c>
      <c r="E57" s="1262"/>
      <c r="F57" s="1262"/>
      <c r="G57" s="1262"/>
      <c r="H57" s="1262"/>
      <c r="I57" s="1262"/>
      <c r="J57" s="1262"/>
      <c r="K57" s="1262"/>
      <c r="L57" s="1262"/>
      <c r="M57" s="1262"/>
      <c r="N57" s="3174"/>
      <c r="O57" s="20"/>
      <c r="P57" s="644"/>
      <c r="Q57" s="4612"/>
      <c r="R57" s="975"/>
      <c r="S57" s="4615" t="s">
        <v>434</v>
      </c>
      <c r="T57" s="975"/>
      <c r="V57" s="1387"/>
      <c r="W57" s="5137"/>
      <c r="X57" s="4345"/>
      <c r="Y57" s="1255"/>
      <c r="Z57" s="1255"/>
      <c r="AA57" s="1255"/>
      <c r="AB57" s="1255"/>
      <c r="AC57" s="1255"/>
      <c r="AD57" s="1255"/>
      <c r="AE57" s="1255"/>
      <c r="AF57" s="1255"/>
      <c r="AG57" s="1255"/>
      <c r="AH57" s="1255"/>
      <c r="AI57" s="1388"/>
      <c r="AK57"/>
    </row>
    <row r="58" spans="1:50" s="2904" customFormat="1" ht="16.5" thickBot="1">
      <c r="A58" s="2901"/>
      <c r="B58" s="223"/>
      <c r="C58" s="2902"/>
      <c r="D58" s="1622" t="s">
        <v>2404</v>
      </c>
      <c r="E58" s="2902"/>
      <c r="F58" s="2902"/>
      <c r="G58" s="2902"/>
      <c r="H58" s="2902"/>
      <c r="I58" s="2902"/>
      <c r="J58" s="2902"/>
      <c r="K58" s="2902"/>
      <c r="L58" s="2902"/>
      <c r="M58" s="916" t="s">
        <v>2778</v>
      </c>
      <c r="N58" s="332">
        <f>C56</f>
        <v>15</v>
      </c>
      <c r="O58" s="3264"/>
      <c r="P58" s="644"/>
      <c r="Q58" s="6898" t="s">
        <v>3974</v>
      </c>
      <c r="R58" s="975"/>
      <c r="S58" s="976"/>
      <c r="T58" s="975"/>
      <c r="U58"/>
      <c r="V58" s="1377"/>
      <c r="W58" s="42"/>
      <c r="X58" s="42"/>
      <c r="Y58" s="42"/>
      <c r="Z58" s="42"/>
      <c r="AA58" s="42"/>
      <c r="AB58" s="42"/>
      <c r="AC58" s="42"/>
      <c r="AD58" s="42"/>
      <c r="AE58" s="42"/>
      <c r="AF58" s="42"/>
      <c r="AG58" s="42"/>
      <c r="AH58" s="42"/>
      <c r="AI58" s="42"/>
      <c r="AJ58" s="42"/>
      <c r="AK58"/>
      <c r="AL58"/>
      <c r="AM58"/>
      <c r="AN58" s="5908"/>
      <c r="AO58" s="2905"/>
      <c r="AP58" s="2905"/>
      <c r="AQ58" s="2905"/>
      <c r="AR58" s="2905"/>
      <c r="AS58" s="2905"/>
      <c r="AT58" s="2905"/>
      <c r="AU58" s="2905"/>
      <c r="AV58" s="2905"/>
      <c r="AW58" s="2905"/>
      <c r="AX58" s="2905"/>
    </row>
    <row r="59" spans="1:50" ht="13.5" thickBot="1">
      <c r="A59" s="588"/>
      <c r="B59" s="22" t="s">
        <v>402</v>
      </c>
      <c r="C59" s="22">
        <v>16</v>
      </c>
      <c r="D59" s="4618" t="s">
        <v>2112</v>
      </c>
      <c r="E59" s="1196"/>
      <c r="F59" s="1196"/>
      <c r="G59" s="1196"/>
      <c r="H59" s="1196"/>
      <c r="I59" s="1655"/>
      <c r="J59" s="6900" t="str">
        <f>S77</f>
        <v xml:space="preserve">  </v>
      </c>
      <c r="K59" s="6900"/>
      <c r="L59" s="6900"/>
      <c r="M59" s="6901"/>
      <c r="N59" s="3173"/>
      <c r="O59" s="20"/>
      <c r="P59" s="644"/>
      <c r="Q59" s="6899"/>
      <c r="R59" s="975"/>
      <c r="S59" s="4617" t="s">
        <v>3977</v>
      </c>
      <c r="T59" s="975"/>
      <c r="V59" s="1381"/>
      <c r="W59" s="1274"/>
      <c r="X59" s="1274"/>
      <c r="Y59" s="1274"/>
      <c r="Z59" s="1274"/>
      <c r="AA59" s="1274"/>
      <c r="AB59" s="1274"/>
      <c r="AC59" s="1274"/>
      <c r="AD59" s="1274"/>
      <c r="AE59" s="1274"/>
      <c r="AF59" s="1274"/>
      <c r="AG59" s="1274"/>
      <c r="AH59" s="1274"/>
      <c r="AI59" s="1275"/>
      <c r="AK59"/>
    </row>
    <row r="60" spans="1:50" ht="16.5" thickBot="1">
      <c r="A60" s="588"/>
      <c r="B60" s="22" t="s">
        <v>457</v>
      </c>
      <c r="C60" s="22"/>
      <c r="D60" s="6891" t="str">
        <f>IF(O60,S73&amp;"   "&amp;S72,IF(AND(ItemizedDeduct,NQDisasterLoss&lt;&gt;"",NQDisasterLoss&gt;0),S73,""))</f>
        <v/>
      </c>
      <c r="E60" s="6891"/>
      <c r="F60" s="6891"/>
      <c r="G60" s="6891"/>
      <c r="H60" s="6891"/>
      <c r="I60" s="6891"/>
      <c r="J60" s="6891"/>
      <c r="K60" s="6891"/>
      <c r="L60" s="6891"/>
      <c r="M60" s="6892"/>
      <c r="N60" s="3174"/>
      <c r="O60" s="1340" t="b">
        <f>AND(StdDeduct,NQDisasterLoss&lt;&gt;"",NQDisasterLoss&gt;0)</f>
        <v>0</v>
      </c>
      <c r="P60" s="644"/>
      <c r="Q60" s="975"/>
      <c r="R60" s="975"/>
      <c r="S60" s="4616"/>
      <c r="T60" s="975"/>
      <c r="V60" s="1382" t="s">
        <v>4786</v>
      </c>
      <c r="W60" s="1179"/>
      <c r="X60" s="1179"/>
      <c r="Y60" s="1179"/>
      <c r="Z60" s="1179"/>
      <c r="AA60" s="1179"/>
      <c r="AB60" s="1283"/>
      <c r="AC60" s="1283"/>
      <c r="AD60" s="1179"/>
      <c r="AE60" s="1179"/>
      <c r="AF60" s="1179"/>
      <c r="AG60" s="5138" t="s">
        <v>175</v>
      </c>
      <c r="AH60" s="1179"/>
      <c r="AI60" s="1244"/>
      <c r="AK60"/>
    </row>
    <row r="61" spans="1:50" ht="13.5" thickBot="1">
      <c r="A61" s="588"/>
      <c r="B61" s="16" t="s">
        <v>434</v>
      </c>
      <c r="C61" s="16"/>
      <c r="D61" s="6893"/>
      <c r="E61" s="6893"/>
      <c r="F61" s="6893"/>
      <c r="G61" s="6893"/>
      <c r="H61" s="6893"/>
      <c r="I61" s="6893"/>
      <c r="J61" s="6893"/>
      <c r="K61" s="6893"/>
      <c r="L61" s="6893"/>
      <c r="M61" s="6894"/>
      <c r="N61" s="332">
        <f>C59</f>
        <v>16</v>
      </c>
      <c r="O61" s="3177">
        <f>IF(Q61&lt;&gt;"",ROUND(Q61,0),IF(O60,SUM(Standard,ROUND(NQDisasterLoss,0)),S71))</f>
        <v>0</v>
      </c>
      <c r="P61" s="644"/>
      <c r="Q61" s="976"/>
      <c r="R61" s="975"/>
      <c r="S61" s="4617" t="s">
        <v>3978</v>
      </c>
      <c r="T61" s="975"/>
      <c r="V61" s="1380"/>
      <c r="W61" s="1704"/>
      <c r="X61" s="1704"/>
      <c r="Y61" s="1904"/>
      <c r="Z61" s="1905" t="b">
        <f>AND(O42&lt;&gt;"",O42&gt;0,O42&gt;AD61*Adj_Gross_Inc)</f>
        <v>0</v>
      </c>
      <c r="AA61" s="1905" t="b">
        <f>IF(O42&gt;AC61*Adj_Gross_Inc,TRUE,FALSE)</f>
        <v>0</v>
      </c>
      <c r="AB61" s="1905" t="b">
        <f>IF(O42&gt;AD61*Adj_Gross_Inc,TRUE,FALSE)</f>
        <v>0</v>
      </c>
      <c r="AC61" s="1905">
        <v>0.6</v>
      </c>
      <c r="AD61" s="1905">
        <v>0.2</v>
      </c>
      <c r="AE61" s="1905" t="b">
        <f>OR(AND(Z61,AB61),AA61)</f>
        <v>0</v>
      </c>
      <c r="AF61" s="1704"/>
      <c r="AG61" s="1704"/>
      <c r="AH61" s="1704"/>
      <c r="AI61" s="2512"/>
      <c r="AJ61" s="989"/>
      <c r="AK61"/>
    </row>
    <row r="62" spans="1:50" ht="15.75" thickBot="1">
      <c r="A62" s="588"/>
      <c r="B62" s="334" t="s">
        <v>202</v>
      </c>
      <c r="C62" s="22">
        <v>17</v>
      </c>
      <c r="D62" s="1023" t="s">
        <v>2408</v>
      </c>
      <c r="E62" s="164"/>
      <c r="F62" s="164"/>
      <c r="G62" s="164"/>
      <c r="H62" s="164"/>
      <c r="I62" s="22"/>
      <c r="J62" s="22"/>
      <c r="K62" s="22"/>
      <c r="L62" s="22"/>
      <c r="M62" s="145"/>
      <c r="N62" s="3173"/>
      <c r="O62" s="4614">
        <f>IF(Q63&lt;&gt;"",ROUND(Q63,0),SUM(O20,O33,O49,O55,O58,S71))</f>
        <v>0</v>
      </c>
      <c r="P62" s="644"/>
      <c r="Q62" s="975"/>
      <c r="R62" s="975"/>
      <c r="S62" s="975"/>
      <c r="T62" s="975"/>
      <c r="V62" s="6902" t="s">
        <v>4787</v>
      </c>
      <c r="W62" s="6903"/>
      <c r="X62" s="6903"/>
      <c r="Y62" s="6903"/>
      <c r="Z62" s="6903"/>
      <c r="AA62" s="6903"/>
      <c r="AB62" s="6903"/>
      <c r="AC62" s="6903"/>
      <c r="AD62" s="6903"/>
      <c r="AE62" s="6903"/>
      <c r="AF62" s="6903"/>
      <c r="AG62" s="6903"/>
      <c r="AH62" s="6903"/>
      <c r="AI62" s="6904"/>
      <c r="AJ62" s="5788"/>
      <c r="AK62"/>
    </row>
    <row r="63" spans="1:50" ht="15.75" thickBot="1">
      <c r="A63" s="588"/>
      <c r="B63" s="334" t="s">
        <v>457</v>
      </c>
      <c r="C63" s="22"/>
      <c r="D63" s="1633" t="s">
        <v>5404</v>
      </c>
      <c r="E63" s="164"/>
      <c r="F63" s="164"/>
      <c r="G63" s="164"/>
      <c r="H63" s="164"/>
      <c r="I63" s="22"/>
      <c r="J63" s="22"/>
      <c r="K63" s="22"/>
      <c r="L63" s="22"/>
      <c r="M63" s="145"/>
      <c r="N63" s="332">
        <f>C62</f>
        <v>17</v>
      </c>
      <c r="O63" s="1341">
        <f>IF(Q63&lt;&gt;"",ROUND(Q63,0),IF(O60,O61,SUM(O20,O33,O49,O55,ROUND(O58,0),O61)))</f>
        <v>0</v>
      </c>
      <c r="P63" s="644"/>
      <c r="Q63" s="976"/>
      <c r="R63" s="975"/>
      <c r="S63" s="976"/>
      <c r="T63" s="975"/>
      <c r="V63" s="6905"/>
      <c r="W63" s="6906"/>
      <c r="X63" s="6906"/>
      <c r="Y63" s="6906"/>
      <c r="Z63" s="6906"/>
      <c r="AA63" s="6906"/>
      <c r="AB63" s="6906"/>
      <c r="AC63" s="6906"/>
      <c r="AD63" s="6906"/>
      <c r="AE63" s="6906"/>
      <c r="AF63" s="6906"/>
      <c r="AG63" s="6906"/>
      <c r="AH63" s="6906"/>
      <c r="AI63" s="6907"/>
      <c r="AJ63" s="5788"/>
      <c r="AK63"/>
    </row>
    <row r="64" spans="1:50" ht="12" customHeight="1" thickBot="1">
      <c r="A64" s="588"/>
      <c r="B64" s="334" t="s">
        <v>434</v>
      </c>
      <c r="C64" s="22">
        <v>18</v>
      </c>
      <c r="D64" s="3544" t="s">
        <v>429</v>
      </c>
      <c r="E64" s="164"/>
      <c r="F64" s="164"/>
      <c r="G64" s="164"/>
      <c r="H64" s="164"/>
      <c r="I64" s="22"/>
      <c r="J64" s="22"/>
      <c r="K64" s="22"/>
      <c r="L64" s="22"/>
      <c r="M64" s="1194"/>
      <c r="N64" s="3174"/>
      <c r="O64" s="3188"/>
      <c r="P64" s="644"/>
      <c r="Q64" s="975"/>
      <c r="R64" s="975"/>
      <c r="S64" s="4617" t="s">
        <v>3977</v>
      </c>
      <c r="T64" s="975"/>
      <c r="V64" s="1384"/>
      <c r="W64" s="1536"/>
      <c r="X64" s="1536"/>
      <c r="Y64" s="1536"/>
      <c r="Z64" s="1536"/>
      <c r="AA64" s="1536"/>
      <c r="AB64" s="1536"/>
      <c r="AC64" s="1536"/>
      <c r="AD64" s="1536"/>
      <c r="AE64" s="1536"/>
      <c r="AF64" s="1536"/>
      <c r="AG64" s="1536"/>
      <c r="AH64" s="1536"/>
      <c r="AI64" s="5140"/>
      <c r="AJ64" s="989"/>
      <c r="AK64"/>
    </row>
    <row r="65" spans="1:39" ht="12.75" customHeight="1" thickBot="1">
      <c r="A65" s="588"/>
      <c r="B65" s="3189" t="b">
        <f>IF(N65&lt;&gt;"",TRUE,FALSE)</f>
        <v>0</v>
      </c>
      <c r="C65" s="800"/>
      <c r="D65" s="1080" t="s">
        <v>2</v>
      </c>
      <c r="E65" s="156"/>
      <c r="F65" s="248"/>
      <c r="G65" s="248"/>
      <c r="H65" s="248"/>
      <c r="I65" s="156"/>
      <c r="J65" s="156"/>
      <c r="K65" s="156"/>
      <c r="L65" s="156"/>
      <c r="M65" s="1057" t="s">
        <v>556</v>
      </c>
      <c r="N65" s="1193"/>
      <c r="O65" s="3190"/>
      <c r="P65" s="644"/>
      <c r="Q65" s="975"/>
      <c r="R65" s="975"/>
      <c r="S65" s="4616"/>
      <c r="T65" s="975"/>
      <c r="V65" s="2119" t="s">
        <v>294</v>
      </c>
      <c r="W65" s="1536" t="s">
        <v>4772</v>
      </c>
      <c r="X65" s="2041"/>
      <c r="Y65" s="5141"/>
      <c r="Z65" s="1536"/>
      <c r="AA65" s="1536"/>
      <c r="AB65" s="1536"/>
      <c r="AC65" s="1536"/>
      <c r="AD65" s="1536"/>
      <c r="AE65" s="1536"/>
      <c r="AF65" s="1536"/>
      <c r="AG65" s="3424"/>
      <c r="AH65" s="3424"/>
      <c r="AI65" s="5140"/>
      <c r="AJ65" s="989"/>
      <c r="AK65"/>
    </row>
    <row r="66" spans="1:39" ht="12.75" customHeight="1">
      <c r="A66" s="588"/>
      <c r="B66" s="4620" t="s">
        <v>3454</v>
      </c>
      <c r="C66" s="1052"/>
      <c r="D66" s="1052"/>
      <c r="E66" s="1052"/>
      <c r="F66" s="1052"/>
      <c r="G66" s="1052"/>
      <c r="H66" s="1052"/>
      <c r="I66" s="1052"/>
      <c r="J66" s="1052"/>
      <c r="K66" s="1056"/>
      <c r="L66" s="1056" t="s">
        <v>594</v>
      </c>
      <c r="M66" s="1053"/>
      <c r="N66" s="1054"/>
      <c r="O66" s="1055" t="str">
        <f>"Schedule A (Form 1040) "&amp;TaxYear</f>
        <v>Schedule A (Form 1040) 2021</v>
      </c>
      <c r="P66" s="644"/>
      <c r="Q66" s="975"/>
      <c r="R66" s="975"/>
      <c r="S66" s="4617" t="s">
        <v>3978</v>
      </c>
      <c r="T66" s="975"/>
      <c r="V66" s="1384"/>
      <c r="W66" s="1536" t="s">
        <v>4789</v>
      </c>
      <c r="X66" s="2041"/>
      <c r="Y66" s="5141"/>
      <c r="Z66" s="1536"/>
      <c r="AA66" s="1536"/>
      <c r="AB66" s="1536"/>
      <c r="AC66" s="1536"/>
      <c r="AD66" s="1536"/>
      <c r="AE66" s="5147" t="b">
        <f>OR($AH$66="",$AH$66=0)</f>
        <v>1</v>
      </c>
      <c r="AF66" s="1536"/>
      <c r="AG66" s="3424" t="s">
        <v>294</v>
      </c>
      <c r="AH66" s="5132">
        <f>S46</f>
        <v>0</v>
      </c>
      <c r="AI66" s="5140"/>
      <c r="AJ66" s="989"/>
      <c r="AK66"/>
    </row>
    <row r="67" spans="1:39" ht="13.5" customHeight="1">
      <c r="A67" s="1215"/>
      <c r="B67" s="2089"/>
      <c r="C67" s="2089"/>
      <c r="D67" s="2089"/>
      <c r="E67" s="2089"/>
      <c r="F67" s="2089"/>
      <c r="G67" s="2089"/>
      <c r="H67" s="2089"/>
      <c r="I67" s="2090"/>
      <c r="J67" s="2090"/>
      <c r="K67" s="2090"/>
      <c r="L67" s="2090"/>
      <c r="M67" s="2091"/>
      <c r="N67" s="2092"/>
      <c r="O67" s="2091"/>
      <c r="P67" s="2091"/>
      <c r="Q67" s="975"/>
      <c r="R67" s="975"/>
      <c r="S67" s="975"/>
      <c r="T67" s="975"/>
      <c r="V67" s="1384"/>
      <c r="W67" s="1536"/>
      <c r="X67" s="1536"/>
      <c r="Y67" s="1536"/>
      <c r="Z67" s="1536"/>
      <c r="AA67" s="1536"/>
      <c r="AB67" s="1536"/>
      <c r="AC67" s="1536"/>
      <c r="AD67" s="1536"/>
      <c r="AE67" s="1536"/>
      <c r="AF67" s="1536"/>
      <c r="AG67" s="1536"/>
      <c r="AH67" s="1536"/>
      <c r="AI67" s="5140"/>
      <c r="AJ67" s="989"/>
      <c r="AK67"/>
    </row>
    <row r="68" spans="1:39" ht="13.5" thickBot="1">
      <c r="B68" s="1"/>
      <c r="C68" s="1"/>
      <c r="D68" s="3"/>
      <c r="E68" s="3"/>
      <c r="F68" s="3"/>
      <c r="G68" s="3"/>
      <c r="H68" s="3"/>
      <c r="I68" s="1"/>
      <c r="J68" s="1"/>
      <c r="K68" s="1"/>
      <c r="L68" s="1"/>
      <c r="M68" s="2"/>
      <c r="N68" s="799"/>
      <c r="O68" s="2"/>
      <c r="P68" s="2"/>
      <c r="Q68" s="977"/>
      <c r="S68" s="5808" t="str">
        <f>IF(S60&lt;&gt;"",TEXT(ROUND(S60,0),"$0"),"")</f>
        <v/>
      </c>
      <c r="V68" s="2119" t="s">
        <v>0</v>
      </c>
      <c r="W68" s="1536" t="s">
        <v>4785</v>
      </c>
      <c r="X68" s="1536"/>
      <c r="Y68" s="1536"/>
      <c r="Z68" s="1536"/>
      <c r="AA68" s="1536"/>
      <c r="AB68" s="1536"/>
      <c r="AC68" s="5139"/>
      <c r="AD68" s="3424" t="s">
        <v>0</v>
      </c>
      <c r="AE68" s="4307" t="str">
        <f>IF(AE66,"",Adj_Gross_Inc)</f>
        <v/>
      </c>
      <c r="AF68" s="1536"/>
      <c r="AG68" s="5143" t="s">
        <v>4776</v>
      </c>
      <c r="AH68" s="1536" t="s">
        <v>4775</v>
      </c>
      <c r="AI68" s="5140"/>
      <c r="AJ68" s="989"/>
      <c r="AK68"/>
    </row>
    <row r="69" spans="1:39" ht="14.25" thickTop="1" thickBot="1">
      <c r="B69" s="1"/>
      <c r="C69" s="6262" t="s">
        <v>386</v>
      </c>
      <c r="D69" s="6889"/>
      <c r="E69" s="6889"/>
      <c r="F69" s="6889"/>
      <c r="G69" s="6889"/>
      <c r="H69" s="6889"/>
      <c r="I69" s="6889"/>
      <c r="J69" s="6890"/>
      <c r="K69" s="1"/>
      <c r="L69" s="1"/>
      <c r="M69" s="2"/>
      <c r="N69" s="799"/>
      <c r="O69" s="2"/>
      <c r="P69" s="270"/>
      <c r="Q69" s="978" t="s">
        <v>660</v>
      </c>
      <c r="S69" s="5808" t="str">
        <f>IF(S65&lt;&gt;"",TEXT(ROUND(S65,0),"$0"),"")</f>
        <v/>
      </c>
      <c r="V69" s="1384"/>
      <c r="W69" s="1536"/>
      <c r="X69" s="1536"/>
      <c r="Y69" s="1536"/>
      <c r="Z69" s="1536"/>
      <c r="AA69" s="1536"/>
      <c r="AB69" s="1536"/>
      <c r="AC69" s="1536"/>
      <c r="AD69" s="1536"/>
      <c r="AE69" s="1536"/>
      <c r="AF69" s="1536"/>
      <c r="AG69" s="1536"/>
      <c r="AH69" s="1536"/>
      <c r="AI69" s="5140"/>
      <c r="AJ69" s="989"/>
      <c r="AK69"/>
    </row>
    <row r="70" spans="1:39" ht="14.25" thickTop="1" thickBot="1">
      <c r="B70" s="1"/>
      <c r="C70" s="1"/>
      <c r="D70" s="3"/>
      <c r="E70" s="3"/>
      <c r="F70" s="3"/>
      <c r="G70" s="3"/>
      <c r="H70" s="3"/>
      <c r="I70" s="1"/>
      <c r="J70" s="1"/>
      <c r="K70" s="1"/>
      <c r="L70" s="1"/>
      <c r="M70" s="2"/>
      <c r="N70" s="799"/>
      <c r="O70" s="2"/>
      <c r="P70" s="270"/>
      <c r="Q70" s="978"/>
      <c r="S70" s="1271" t="str">
        <f>S58&amp;" "&amp;S68&amp;"     "&amp;S63&amp;" "&amp;S69</f>
        <v xml:space="preserve">       </v>
      </c>
      <c r="T70" s="6"/>
      <c r="U70" s="6"/>
      <c r="V70" s="2119" t="s">
        <v>1</v>
      </c>
      <c r="W70" s="1536" t="str">
        <f>"Enter "&amp;TEXT(S50,"$0,000")&amp;" ("&amp;TEXT(S50/2,"$0,000")&amp;" if married filing separately)"</f>
        <v>Enter $100,000 ($50,000 if married filing separately)</v>
      </c>
      <c r="X70" s="1536"/>
      <c r="Y70" s="1536"/>
      <c r="Z70" s="1536"/>
      <c r="AA70" s="1536"/>
      <c r="AB70" s="1536"/>
      <c r="AC70" s="5139" t="s">
        <v>445</v>
      </c>
      <c r="AD70" s="3424" t="s">
        <v>1</v>
      </c>
      <c r="AE70" s="4307" t="str">
        <f>IF(AE66,"",IF(File_Marr_Sep&lt;&gt;"",S50/2,S50))</f>
        <v/>
      </c>
      <c r="AF70" s="1536"/>
      <c r="AG70" s="1536"/>
      <c r="AH70" s="1536"/>
      <c r="AI70" s="5140"/>
      <c r="AJ70" s="989"/>
      <c r="AK70"/>
    </row>
    <row r="71" spans="1:39" ht="14.25" thickTop="1" thickBot="1">
      <c r="B71" s="1"/>
      <c r="C71" s="6262" t="s">
        <v>387</v>
      </c>
      <c r="D71" s="6889"/>
      <c r="E71" s="6889"/>
      <c r="F71" s="6889"/>
      <c r="G71" s="6889"/>
      <c r="H71" s="6889"/>
      <c r="I71" s="6889"/>
      <c r="J71" s="6890"/>
      <c r="K71" s="1"/>
      <c r="L71" s="1"/>
      <c r="M71" s="2"/>
      <c r="N71" s="799"/>
      <c r="O71" s="2"/>
      <c r="P71" s="270"/>
      <c r="Q71" s="973"/>
      <c r="S71" s="1660">
        <f>SUM(ROUND(NQDisasterLoss,0),ROUND(S60,0),ROUND(S65,0))</f>
        <v>0</v>
      </c>
      <c r="V71" s="1384"/>
      <c r="W71" s="3739"/>
      <c r="X71" s="1536"/>
      <c r="Y71" s="1536"/>
      <c r="Z71" s="1536"/>
      <c r="AA71" s="1536"/>
      <c r="AB71" s="1536"/>
      <c r="AC71" s="1536"/>
      <c r="AD71" s="1536"/>
      <c r="AE71" s="1536"/>
      <c r="AF71" s="1536"/>
      <c r="AG71" s="1536"/>
      <c r="AH71" s="1536"/>
      <c r="AI71" s="5140"/>
      <c r="AJ71" s="989"/>
      <c r="AK71"/>
    </row>
    <row r="72" spans="1:39" ht="13.5" thickTop="1">
      <c r="Q72" s="973"/>
      <c r="S72" s="5380" t="str">
        <f>IF(AND(Standard,NQDisasterLoss&lt;&gt;"",NQDisasterLoss&gt;0),"Claimed with qualified disaster losses = "&amp;TEXT(Standard,"$0,000"),"")</f>
        <v/>
      </c>
      <c r="V72" s="2119" t="s">
        <v>399</v>
      </c>
      <c r="W72" s="1536" t="s">
        <v>4773</v>
      </c>
      <c r="X72" s="1536"/>
      <c r="Y72" s="1536"/>
      <c r="Z72" s="1536"/>
      <c r="AA72" s="1536"/>
      <c r="AB72" s="1536"/>
      <c r="AC72" s="1536"/>
      <c r="AD72" s="1536"/>
      <c r="AE72" s="5148" t="b">
        <f>(AE68&gt;AE70)</f>
        <v>0</v>
      </c>
      <c r="AF72" s="1536"/>
      <c r="AG72" s="1536"/>
      <c r="AH72" s="1536"/>
      <c r="AI72" s="5140"/>
      <c r="AJ72" s="989"/>
      <c r="AK72"/>
    </row>
    <row r="73" spans="1:39">
      <c r="S73" s="5380" t="str">
        <f>IF(AND($Q$57&lt;&gt;"",$Q$57&gt;0,$Q$57&gt;999),"Net Qualified Disaster Losses = "&amp;TEXT($Q$57,"$0,000"),IF(AND($Q$57&lt;&gt;"",$Q$57&gt;0),"Net Qualified Disaster Losses = "&amp;TEXT($Q$57,"$0"),""))</f>
        <v/>
      </c>
      <c r="U73" s="4280"/>
      <c r="V73" s="5379"/>
      <c r="W73" s="5145" t="str">
        <f>IF($AE$66,"",IF($AE$72,"","X"))</f>
        <v/>
      </c>
      <c r="X73" s="5144" t="s">
        <v>414</v>
      </c>
      <c r="Y73" s="1536" t="s">
        <v>4774</v>
      </c>
      <c r="Z73" s="1536"/>
      <c r="AA73" s="1536"/>
      <c r="AB73" s="1536"/>
      <c r="AC73" s="1536"/>
      <c r="AD73" s="1536"/>
      <c r="AE73" s="1536"/>
      <c r="AF73" s="1536"/>
      <c r="AG73" s="1536"/>
      <c r="AH73" s="1536"/>
      <c r="AI73" s="5140"/>
      <c r="AJ73" s="989"/>
      <c r="AK73"/>
    </row>
    <row r="74" spans="1:39">
      <c r="F74" s="796"/>
      <c r="G74" s="796"/>
      <c r="H74" s="796"/>
      <c r="S74" s="3564" t="str">
        <f>IF(OR(S65="",S65=0),"",IF(S65&gt;999,S63&amp;" = "&amp;TEXT(S65,"$0,000"),S63&amp;" = "&amp;TEXT(S65,"$0")))</f>
        <v/>
      </c>
      <c r="V74" s="1384"/>
      <c r="W74" s="3739"/>
      <c r="X74" s="1536"/>
      <c r="Y74" s="1536" t="s">
        <v>4784</v>
      </c>
      <c r="Z74" s="1536"/>
      <c r="AA74" s="1536"/>
      <c r="AB74" s="1536"/>
      <c r="AC74" s="1536"/>
      <c r="AD74" s="1536"/>
      <c r="AE74" s="1536"/>
      <c r="AF74" s="1536"/>
      <c r="AG74" s="1536"/>
      <c r="AH74" s="5149">
        <v>1000</v>
      </c>
      <c r="AI74" s="5140"/>
      <c r="AJ74" s="989"/>
      <c r="AK74"/>
    </row>
    <row r="75" spans="1:39" ht="12.75" customHeight="1">
      <c r="B75" s="1"/>
      <c r="C75" s="1"/>
      <c r="D75" s="3"/>
      <c r="E75" s="3"/>
      <c r="F75" s="3"/>
      <c r="G75" s="3"/>
      <c r="H75" s="3"/>
      <c r="I75" s="1"/>
      <c r="J75" s="1"/>
      <c r="K75" s="1"/>
      <c r="L75" s="1"/>
      <c r="M75" s="2"/>
      <c r="N75" s="799"/>
      <c r="O75" s="2"/>
      <c r="P75" s="2"/>
      <c r="Q75" s="977"/>
      <c r="S75" s="3564" t="str">
        <f>IF(OR(S60="",S60=0),"",IF(S60&gt;999,S58&amp;" = "&amp;TEXT(S60,"$0,000"),S58&amp;" = "&amp;TEXT(S60,"$0")))</f>
        <v/>
      </c>
      <c r="V75" s="1384"/>
      <c r="W75" s="3739"/>
      <c r="X75" s="1536"/>
      <c r="Y75" s="1536"/>
      <c r="Z75" s="1536"/>
      <c r="AA75" s="1536"/>
      <c r="AB75" s="1536"/>
      <c r="AC75" s="1536"/>
      <c r="AD75" s="1536"/>
      <c r="AE75" s="1536"/>
      <c r="AF75" s="1536"/>
      <c r="AG75" s="1536"/>
      <c r="AH75" s="5149">
        <v>500</v>
      </c>
      <c r="AI75" s="5140"/>
      <c r="AJ75" s="989"/>
      <c r="AK75"/>
    </row>
    <row r="76" spans="1:39" ht="12.75" customHeight="1">
      <c r="S76" s="1271"/>
      <c r="V76" s="1384"/>
      <c r="W76" s="5145" t="str">
        <f>IF($AE$66,"",IF($AE$72,"X",""))</f>
        <v/>
      </c>
      <c r="X76" s="5144" t="s">
        <v>416</v>
      </c>
      <c r="Y76" s="1536" t="str">
        <f>"Subtract line 3 from line 2. If the result isn't a multiple of "&amp;TEXT(AH74,"$0,000")&amp;" ("&amp;TEXT(AH75,"$000")&amp;" if married filing"</f>
        <v>Subtract line 3 from line 2. If the result isn't a multiple of $1,000 ($500 if married filing</v>
      </c>
      <c r="Z76" s="1536"/>
      <c r="AA76" s="1536"/>
      <c r="AB76" s="1536"/>
      <c r="AC76" s="1536"/>
      <c r="AD76" s="1536"/>
      <c r="AE76" s="1536"/>
      <c r="AF76" s="1536"/>
      <c r="AG76" s="1536"/>
      <c r="AH76" s="5149" t="e">
        <f>SUM(AE68,-AE70)</f>
        <v>#VALUE!</v>
      </c>
      <c r="AI76" s="5140"/>
      <c r="AJ76" s="989"/>
      <c r="AK76"/>
      <c r="AL76" s="3262"/>
      <c r="AM76" s="3262"/>
    </row>
    <row r="77" spans="1:39" ht="12.75" customHeight="1">
      <c r="S77" s="1308" t="str">
        <f>S74&amp;"  "&amp;S75</f>
        <v xml:space="preserve">  </v>
      </c>
      <c r="V77" s="1384"/>
      <c r="W77" s="3739"/>
      <c r="X77" s="1536"/>
      <c r="Y77" s="1536" t="str">
        <f>"separately), increase it to the next multiple of "&amp;TEXT(AH74,"$0,000")&amp;" ("&amp;TEXT(AH75,"$0")&amp;" if married filing separately)."</f>
        <v>separately), increase it to the next multiple of $1,000 ($500 if married filing separately).</v>
      </c>
      <c r="Z77" s="1536"/>
      <c r="AA77" s="1536"/>
      <c r="AB77" s="1536"/>
      <c r="AC77" s="1536"/>
      <c r="AD77" s="1536"/>
      <c r="AE77" s="1536"/>
      <c r="AF77" s="1536"/>
      <c r="AG77" s="1536"/>
      <c r="AH77" s="5149" t="e">
        <f>IF(AL77,$AH$76,(TRUNC($AH$76/AH74)*AH74)+AH74)</f>
        <v>#VALUE!</v>
      </c>
      <c r="AI77" s="5140"/>
      <c r="AJ77" s="989"/>
      <c r="AK77"/>
      <c r="AL77" s="5133" t="e">
        <f>$AH$76/AH74=TRUNC($AH$76/AH74)</f>
        <v>#VALUE!</v>
      </c>
      <c r="AM77" s="5133"/>
    </row>
    <row r="78" spans="1:39" ht="12.75" customHeight="1">
      <c r="S78" s="1271"/>
      <c r="V78" s="1384"/>
      <c r="W78" s="3739"/>
      <c r="X78" s="1536"/>
      <c r="Y78" s="1536" t="s">
        <v>4777</v>
      </c>
      <c r="Z78" s="1536"/>
      <c r="AA78" s="1536"/>
      <c r="AB78" s="1536"/>
      <c r="AC78" s="1536"/>
      <c r="AD78" s="1536"/>
      <c r="AE78" s="1536"/>
      <c r="AF78" s="1536"/>
      <c r="AG78" s="1536"/>
      <c r="AH78" s="5149" t="e">
        <f>IF(AL78,$AH$76,(TRUNC($AH$76/AH75)*AH75)+AH75)</f>
        <v>#VALUE!</v>
      </c>
      <c r="AI78" s="5140"/>
      <c r="AJ78" s="989"/>
      <c r="AK78"/>
      <c r="AL78" s="5133" t="e">
        <f>$AH$76/AH75=TRUNC($AH$76/AH75)</f>
        <v>#VALUE!</v>
      </c>
      <c r="AM78" s="5133"/>
    </row>
    <row r="79" spans="1:39" ht="11.25" customHeight="1">
      <c r="S79" s="1271"/>
      <c r="V79" s="1384"/>
      <c r="W79" s="3739"/>
      <c r="X79" s="1536"/>
      <c r="Y79" s="1536" t="s">
        <v>4778</v>
      </c>
      <c r="Z79" s="1536"/>
      <c r="AA79" s="1536"/>
      <c r="AB79" s="1536"/>
      <c r="AC79" s="1536"/>
      <c r="AD79" s="3424" t="s">
        <v>399</v>
      </c>
      <c r="AE79" s="4307" t="str">
        <f>IF($AE$66,"",IF(File_Marr_Sep&lt;&gt;"",AH78,AH77))</f>
        <v/>
      </c>
      <c r="AF79" s="1536"/>
      <c r="AG79" s="1536"/>
      <c r="AH79" s="5148"/>
      <c r="AI79" s="5140"/>
      <c r="AJ79" s="989"/>
      <c r="AK79"/>
      <c r="AL79" s="1271"/>
      <c r="AM79" s="1271"/>
    </row>
    <row r="80" spans="1:39" ht="12.75" customHeight="1">
      <c r="S80" s="1271"/>
      <c r="V80" s="1384"/>
      <c r="W80" s="3739"/>
      <c r="X80" s="1536"/>
      <c r="Y80" s="1536"/>
      <c r="Z80" s="1536"/>
      <c r="AA80" s="1536"/>
      <c r="AB80" s="1536"/>
      <c r="AC80" s="1536"/>
      <c r="AD80" s="1536"/>
      <c r="AE80" s="1536"/>
      <c r="AF80" s="1536"/>
      <c r="AG80" s="1536"/>
      <c r="AH80" s="5149">
        <v>10000</v>
      </c>
      <c r="AI80" s="5140"/>
      <c r="AJ80" s="989"/>
      <c r="AK80"/>
      <c r="AL80" s="5150" t="e">
        <f>IF($AE$79/AH80&gt;=1,1,$AE$79/AH80)</f>
        <v>#VALUE!</v>
      </c>
      <c r="AM80" s="5150"/>
    </row>
    <row r="81" spans="22:39" ht="14.25" customHeight="1">
      <c r="V81" s="2119" t="s">
        <v>31</v>
      </c>
      <c r="W81" s="1536" t="s">
        <v>4779</v>
      </c>
      <c r="X81" s="1536"/>
      <c r="Y81" s="1536"/>
      <c r="Z81" s="1536"/>
      <c r="AA81" s="1536"/>
      <c r="AB81" s="1536"/>
      <c r="AC81" s="1536"/>
      <c r="AD81" s="1536"/>
      <c r="AE81" s="1536"/>
      <c r="AF81" s="1536"/>
      <c r="AG81" s="1536"/>
      <c r="AH81" s="5149">
        <v>5000</v>
      </c>
      <c r="AI81" s="5140"/>
      <c r="AJ81" s="989"/>
      <c r="AK81"/>
      <c r="AL81" s="5150" t="e">
        <f>IF($AE$79/AH81&gt;=1,1,$AE$79/AH81)</f>
        <v>#VALUE!</v>
      </c>
      <c r="AM81" s="5150"/>
    </row>
    <row r="82" spans="22:39" ht="12.75" customHeight="1">
      <c r="V82" s="1384"/>
      <c r="W82" s="3739" t="s">
        <v>4780</v>
      </c>
      <c r="X82" s="1536"/>
      <c r="Y82" s="1536"/>
      <c r="Z82" s="1536"/>
      <c r="AA82" s="1536"/>
      <c r="AB82" s="1536"/>
      <c r="AC82" s="1536"/>
      <c r="AD82" s="1536"/>
      <c r="AE82" s="5139" t="s">
        <v>531</v>
      </c>
      <c r="AF82" s="1536"/>
      <c r="AG82" s="3424" t="s">
        <v>31</v>
      </c>
      <c r="AH82" s="5146" t="str">
        <f>IF($AE$66,"",IF(File_Marr_Sep&lt;&gt;"",AL81,AL80))</f>
        <v/>
      </c>
      <c r="AI82" s="5140"/>
      <c r="AJ82" s="989"/>
      <c r="AK82"/>
    </row>
    <row r="83" spans="22:39" ht="12.75" customHeight="1">
      <c r="V83" s="1384"/>
      <c r="W83" s="3739"/>
      <c r="X83" s="1536"/>
      <c r="Y83" s="1536"/>
      <c r="Z83" s="1536"/>
      <c r="AA83" s="1536"/>
      <c r="AB83" s="1536"/>
      <c r="AC83" s="1536"/>
      <c r="AD83" s="1536"/>
      <c r="AE83" s="1536"/>
      <c r="AF83" s="1536"/>
      <c r="AG83" s="1536"/>
      <c r="AH83" s="1536"/>
      <c r="AI83" s="5140"/>
      <c r="AJ83" s="989"/>
      <c r="AK83"/>
    </row>
    <row r="84" spans="22:39" ht="12.75" customHeight="1">
      <c r="V84" s="2119" t="s">
        <v>67</v>
      </c>
      <c r="W84" s="3739" t="s">
        <v>4781</v>
      </c>
      <c r="X84" s="1536"/>
      <c r="Y84" s="1536"/>
      <c r="Z84" s="1536"/>
      <c r="AA84" s="1536"/>
      <c r="AB84" s="1536"/>
      <c r="AC84" s="1536"/>
      <c r="AD84" s="1536"/>
      <c r="AE84" s="5139" t="s">
        <v>2970</v>
      </c>
      <c r="AF84" s="1536"/>
      <c r="AG84" s="3424" t="s">
        <v>67</v>
      </c>
      <c r="AH84" s="4307" t="str">
        <f>IF($AE$66,"",ROUND(AH66*AH82,0))</f>
        <v/>
      </c>
      <c r="AI84" s="5140"/>
      <c r="AJ84" s="989"/>
      <c r="AK84"/>
    </row>
    <row r="85" spans="22:39" ht="12.75" customHeight="1">
      <c r="V85" s="1384"/>
      <c r="W85" s="3739"/>
      <c r="X85" s="1536"/>
      <c r="Y85" s="1536"/>
      <c r="Z85" s="1536"/>
      <c r="AA85" s="1536"/>
      <c r="AB85" s="1536"/>
      <c r="AC85" s="1536"/>
      <c r="AD85" s="1536"/>
      <c r="AE85" s="1536"/>
      <c r="AF85" s="1536"/>
      <c r="AG85" s="1536"/>
      <c r="AH85" s="1536"/>
      <c r="AI85" s="5140"/>
      <c r="AJ85" s="989"/>
      <c r="AK85"/>
    </row>
    <row r="86" spans="22:39" ht="12.75" customHeight="1" thickBot="1">
      <c r="V86" s="2119" t="s">
        <v>68</v>
      </c>
      <c r="W86" s="1536" t="s">
        <v>4783</v>
      </c>
      <c r="X86" s="1536"/>
      <c r="Y86" s="1536"/>
      <c r="Z86" s="1536"/>
      <c r="AA86" s="1536"/>
      <c r="AB86" s="1536"/>
      <c r="AC86" s="1536"/>
      <c r="AD86" s="1536"/>
      <c r="AE86" s="1536"/>
      <c r="AF86" s="1536"/>
      <c r="AG86" s="1536"/>
      <c r="AH86" s="1536"/>
      <c r="AI86" s="5140"/>
      <c r="AJ86" s="989"/>
      <c r="AK86"/>
      <c r="AL86" s="5156" t="s">
        <v>91</v>
      </c>
      <c r="AM86" s="5156"/>
    </row>
    <row r="87" spans="22:39" ht="12.75" customHeight="1" thickBot="1">
      <c r="V87" s="1384"/>
      <c r="W87" s="3739" t="s">
        <v>4782</v>
      </c>
      <c r="X87" s="1536"/>
      <c r="Y87" s="1536"/>
      <c r="Z87" s="1536"/>
      <c r="AA87" s="1536"/>
      <c r="AB87" s="1536"/>
      <c r="AC87" s="1536"/>
      <c r="AD87" s="1536"/>
      <c r="AE87" s="5139" t="s">
        <v>1191</v>
      </c>
      <c r="AF87" s="1536"/>
      <c r="AG87" s="3424" t="s">
        <v>68</v>
      </c>
      <c r="AH87" s="4307" t="str">
        <f>IF(AL87&lt;&gt;"",ROUND(AL87,0),IF($AE$66,"",SUM(AH66,-AH84)))</f>
        <v/>
      </c>
      <c r="AI87" s="5140"/>
      <c r="AJ87" s="989"/>
      <c r="AK87"/>
      <c r="AL87" s="5155"/>
      <c r="AM87" s="5790"/>
    </row>
    <row r="88" spans="22:39" ht="12.75" customHeight="1" thickBot="1">
      <c r="V88" s="1387"/>
      <c r="W88" s="4345"/>
      <c r="X88" s="4345"/>
      <c r="Y88" s="4345"/>
      <c r="Z88" s="4345"/>
      <c r="AA88" s="4345"/>
      <c r="AB88" s="4345"/>
      <c r="AC88" s="4345"/>
      <c r="AD88" s="4345"/>
      <c r="AE88" s="4345"/>
      <c r="AF88" s="4345"/>
      <c r="AG88" s="4345"/>
      <c r="AH88" s="4345"/>
      <c r="AI88" s="5142"/>
      <c r="AJ88" s="989"/>
      <c r="AK88"/>
    </row>
    <row r="89" spans="22:39" ht="12.75" customHeight="1" thickBot="1">
      <c r="AK89"/>
    </row>
    <row r="90" spans="22:39" ht="12.75" customHeight="1">
      <c r="V90" s="1381"/>
      <c r="W90" s="1274"/>
      <c r="X90" s="1274"/>
      <c r="Y90" s="1274"/>
      <c r="Z90" s="1274"/>
      <c r="AA90" s="1274"/>
      <c r="AB90" s="1274"/>
      <c r="AC90" s="1274"/>
      <c r="AD90" s="1274"/>
      <c r="AE90" s="1274"/>
      <c r="AF90" s="1274"/>
      <c r="AG90" s="1274"/>
      <c r="AH90" s="1274"/>
      <c r="AI90" s="1275"/>
      <c r="AK90"/>
    </row>
    <row r="91" spans="22:39" ht="12.75" customHeight="1">
      <c r="V91" s="1382" t="s">
        <v>2409</v>
      </c>
      <c r="W91" s="1179"/>
      <c r="X91" s="1179"/>
      <c r="Y91" s="1179"/>
      <c r="Z91" s="1179"/>
      <c r="AA91" s="1179"/>
      <c r="AB91" s="1283" t="s">
        <v>1655</v>
      </c>
      <c r="AC91" s="1283" t="s">
        <v>1656</v>
      </c>
      <c r="AD91" s="1179"/>
      <c r="AE91" s="1179"/>
      <c r="AF91" s="1179"/>
      <c r="AG91" s="1179"/>
      <c r="AH91" s="1179"/>
      <c r="AI91" s="1244"/>
      <c r="AK91"/>
    </row>
    <row r="92" spans="22:39" ht="12.75" customHeight="1" thickBot="1">
      <c r="V92" s="1380"/>
      <c r="W92" s="1704"/>
      <c r="X92" s="1704"/>
      <c r="Y92" s="1904"/>
      <c r="Z92" s="1905" t="b">
        <f>AND(O55&lt;&gt;"",O55&gt;0,O55&gt;AD92*Adj_Gross_Inc)</f>
        <v>0</v>
      </c>
      <c r="AA92" s="1905" t="b">
        <f>IF(O55&gt;AC92*Adj_Gross_Inc,TRUE,FALSE)</f>
        <v>0</v>
      </c>
      <c r="AB92" s="1905" t="b">
        <f>IF(O55&gt;AD92*Adj_Gross_Inc,TRUE,FALSE)</f>
        <v>0</v>
      </c>
      <c r="AC92" s="1905">
        <v>0.6</v>
      </c>
      <c r="AD92" s="1905">
        <v>0.2</v>
      </c>
      <c r="AE92" s="1905" t="b">
        <f>OR(AND(Z92,AB92),AA92)</f>
        <v>0</v>
      </c>
      <c r="AF92" s="1704"/>
      <c r="AG92" s="1704"/>
      <c r="AH92" s="1704"/>
      <c r="AI92" s="2512"/>
      <c r="AJ92" s="989"/>
      <c r="AK92"/>
    </row>
    <row r="93" spans="22:39" ht="12.75" customHeight="1">
      <c r="V93" s="1384"/>
      <c r="W93" s="1376"/>
      <c r="X93" s="1250"/>
      <c r="Y93" s="1250"/>
      <c r="Z93" s="1250"/>
      <c r="AA93" s="1250"/>
      <c r="AB93" s="1250"/>
      <c r="AC93" s="1250"/>
      <c r="AD93" s="1250"/>
      <c r="AE93" s="1250"/>
      <c r="AF93" s="1250"/>
      <c r="AG93" s="1250"/>
      <c r="AH93" s="1250"/>
      <c r="AI93" s="1251"/>
      <c r="AK93"/>
    </row>
    <row r="94" spans="22:39" ht="12.75" customHeight="1">
      <c r="V94" s="1923" t="s">
        <v>294</v>
      </c>
      <c r="W94" s="1520" t="str">
        <f>"If your total contributions for the year are "&amp;TEXT(AD92,"0%")&amp;" or less of your adjusted gross income, the limits discussed in this section"</f>
        <v>If your total contributions for the year are 20% or less of your adjusted gross income, the limits discussed in this section</v>
      </c>
      <c r="X94" s="1898"/>
      <c r="Y94" s="1897"/>
      <c r="Z94" s="1520"/>
      <c r="AA94" s="1250"/>
      <c r="AB94" s="1250"/>
      <c r="AC94" s="1250"/>
      <c r="AD94" s="1250"/>
      <c r="AE94" s="1250"/>
      <c r="AF94" s="1250"/>
      <c r="AG94" s="1250"/>
      <c r="AH94" s="1250"/>
      <c r="AI94" s="1251"/>
      <c r="AK94"/>
    </row>
    <row r="95" spans="22:39" ht="16.5" customHeight="1">
      <c r="V95" s="1903"/>
      <c r="W95" s="1520" t="s">
        <v>1668</v>
      </c>
      <c r="X95" s="1898"/>
      <c r="Y95" s="1897"/>
      <c r="Z95" s="1520"/>
      <c r="AA95" s="1250"/>
      <c r="AB95" s="1250"/>
      <c r="AC95" s="1250"/>
      <c r="AD95" s="1250"/>
      <c r="AE95" s="1250"/>
      <c r="AF95" s="1250"/>
      <c r="AG95" s="1250"/>
      <c r="AH95" s="1250"/>
      <c r="AI95" s="1251"/>
      <c r="AK95"/>
    </row>
    <row r="96" spans="22:39">
      <c r="V96" s="1384"/>
      <c r="W96" s="1376"/>
      <c r="X96" s="1250"/>
      <c r="Y96" s="1250"/>
      <c r="Z96" s="1250"/>
      <c r="AA96" s="1250"/>
      <c r="AB96" s="1250"/>
      <c r="AC96" s="1250"/>
      <c r="AD96" s="1250"/>
      <c r="AE96" s="1250"/>
      <c r="AF96" s="1250"/>
      <c r="AG96" s="1250"/>
      <c r="AH96" s="1250"/>
      <c r="AI96" s="1251"/>
      <c r="AK96"/>
    </row>
    <row r="97" spans="22:37">
      <c r="V97" s="1923" t="s">
        <v>0</v>
      </c>
      <c r="W97" s="1520" t="s">
        <v>3988</v>
      </c>
      <c r="X97" s="1250"/>
      <c r="Y97" s="1250"/>
      <c r="Z97" s="1250"/>
      <c r="AA97" s="1250"/>
      <c r="AB97" s="1250"/>
      <c r="AC97" s="1250"/>
      <c r="AD97" s="1250"/>
      <c r="AE97" s="1250"/>
      <c r="AF97" s="1250"/>
      <c r="AG97" s="1250"/>
      <c r="AH97" s="1250"/>
      <c r="AI97" s="1251"/>
      <c r="AK97"/>
    </row>
    <row r="98" spans="22:37">
      <c r="V98" s="1384"/>
      <c r="W98" s="1249" t="s">
        <v>3989</v>
      </c>
      <c r="X98" s="1250"/>
      <c r="Y98" s="1250"/>
      <c r="Z98" s="1250"/>
      <c r="AA98" s="1250"/>
      <c r="AB98" s="1250"/>
      <c r="AC98" s="1250"/>
      <c r="AD98" s="1250"/>
      <c r="AE98" s="1250"/>
      <c r="AF98" s="1250"/>
      <c r="AG98" s="1250"/>
      <c r="AH98" s="1250"/>
      <c r="AI98" s="1251"/>
      <c r="AK98"/>
    </row>
    <row r="99" spans="22:37" ht="15" customHeight="1">
      <c r="V99" s="1384"/>
      <c r="W99" s="1249" t="s">
        <v>1740</v>
      </c>
      <c r="X99" s="1250"/>
      <c r="Y99" s="1250"/>
      <c r="Z99" s="1250"/>
      <c r="AA99" s="1250"/>
      <c r="AB99" s="1250"/>
      <c r="AC99" s="1250"/>
      <c r="AD99" s="1250"/>
      <c r="AE99" s="1250"/>
      <c r="AF99" s="1250"/>
      <c r="AG99" s="1250"/>
      <c r="AH99" s="1250"/>
      <c r="AI99" s="1251"/>
      <c r="AK99"/>
    </row>
    <row r="100" spans="22:37">
      <c r="V100" s="1384"/>
      <c r="W100" s="1249" t="s">
        <v>1741</v>
      </c>
      <c r="X100" s="1250"/>
      <c r="Y100" s="1250"/>
      <c r="Z100" s="1250"/>
      <c r="AA100" s="1250"/>
      <c r="AB100" s="1250"/>
      <c r="AC100" s="1250"/>
      <c r="AD100" s="1250"/>
      <c r="AE100" s="1250"/>
      <c r="AF100" s="1250"/>
      <c r="AG100" s="1250"/>
      <c r="AH100" s="1250"/>
      <c r="AI100" s="1251"/>
      <c r="AK100"/>
    </row>
    <row r="101" spans="22:37" ht="13.5" thickBot="1">
      <c r="V101" s="1387"/>
      <c r="W101" s="1899"/>
      <c r="X101" s="1255"/>
      <c r="Y101" s="1255"/>
      <c r="Z101" s="1255"/>
      <c r="AA101" s="1255"/>
      <c r="AB101" s="1255"/>
      <c r="AC101" s="1255"/>
      <c r="AD101" s="1255"/>
      <c r="AE101" s="1255"/>
      <c r="AF101" s="1255"/>
      <c r="AG101" s="1255"/>
      <c r="AH101" s="1255"/>
      <c r="AI101" s="1388"/>
      <c r="AK101"/>
    </row>
    <row r="102" spans="22:37">
      <c r="V102"/>
      <c r="W102"/>
      <c r="X102"/>
      <c r="Y102"/>
      <c r="Z102"/>
      <c r="AA102"/>
      <c r="AB102"/>
      <c r="AC102"/>
      <c r="AD102"/>
      <c r="AE102"/>
      <c r="AF102"/>
      <c r="AG102"/>
      <c r="AH102"/>
      <c r="AI102"/>
      <c r="AJ102"/>
      <c r="AK102"/>
    </row>
    <row r="103" spans="22:37">
      <c r="V103"/>
      <c r="W103"/>
      <c r="X103"/>
      <c r="Y103"/>
      <c r="Z103"/>
      <c r="AA103"/>
      <c r="AB103"/>
      <c r="AC103"/>
      <c r="AD103"/>
      <c r="AE103"/>
      <c r="AF103"/>
      <c r="AG103"/>
      <c r="AH103"/>
      <c r="AI103"/>
      <c r="AJ103"/>
      <c r="AK103"/>
    </row>
    <row r="104" spans="22:37">
      <c r="V104"/>
      <c r="W104"/>
      <c r="X104"/>
      <c r="Y104"/>
      <c r="Z104"/>
      <c r="AA104"/>
      <c r="AB104"/>
      <c r="AC104"/>
      <c r="AD104"/>
      <c r="AE104"/>
      <c r="AF104"/>
      <c r="AG104"/>
      <c r="AH104"/>
      <c r="AI104"/>
      <c r="AJ104"/>
      <c r="AK104"/>
    </row>
    <row r="105" spans="22:37">
      <c r="V105"/>
      <c r="W105"/>
      <c r="X105"/>
      <c r="Y105"/>
      <c r="Z105"/>
      <c r="AA105"/>
      <c r="AB105"/>
      <c r="AC105"/>
      <c r="AD105"/>
      <c r="AE105"/>
      <c r="AF105"/>
      <c r="AG105"/>
      <c r="AH105"/>
      <c r="AI105"/>
      <c r="AJ105"/>
      <c r="AK105"/>
    </row>
    <row r="106" spans="22:37">
      <c r="V106"/>
      <c r="W106"/>
      <c r="X106"/>
      <c r="Y106"/>
      <c r="Z106"/>
      <c r="AA106"/>
      <c r="AB106"/>
      <c r="AC106"/>
      <c r="AD106"/>
      <c r="AE106"/>
      <c r="AF106"/>
      <c r="AG106"/>
      <c r="AH106"/>
      <c r="AI106"/>
      <c r="AJ106"/>
      <c r="AK106"/>
    </row>
    <row r="107" spans="22:37">
      <c r="V107"/>
      <c r="W107"/>
      <c r="X107"/>
      <c r="Y107"/>
      <c r="Z107"/>
      <c r="AA107"/>
      <c r="AB107"/>
      <c r="AC107"/>
      <c r="AD107"/>
      <c r="AE107"/>
      <c r="AF107"/>
      <c r="AG107"/>
      <c r="AH107"/>
      <c r="AI107"/>
      <c r="AJ107"/>
      <c r="AK107"/>
    </row>
    <row r="108" spans="22:37">
      <c r="V108"/>
      <c r="W108"/>
      <c r="X108"/>
      <c r="Y108"/>
      <c r="Z108"/>
      <c r="AA108"/>
      <c r="AB108"/>
      <c r="AC108"/>
      <c r="AD108"/>
      <c r="AE108"/>
      <c r="AF108"/>
      <c r="AG108"/>
      <c r="AH108"/>
      <c r="AI108"/>
      <c r="AJ108"/>
      <c r="AK108"/>
    </row>
    <row r="109" spans="22:37">
      <c r="V109"/>
      <c r="W109"/>
      <c r="X109"/>
      <c r="Y109"/>
      <c r="Z109"/>
      <c r="AA109"/>
      <c r="AB109"/>
      <c r="AC109"/>
      <c r="AD109"/>
      <c r="AE109"/>
      <c r="AF109"/>
      <c r="AG109"/>
      <c r="AH109"/>
      <c r="AI109"/>
      <c r="AJ109"/>
      <c r="AK109"/>
    </row>
    <row r="110" spans="22:37">
      <c r="V110"/>
      <c r="W110"/>
      <c r="X110"/>
      <c r="Y110"/>
      <c r="Z110"/>
      <c r="AA110"/>
      <c r="AB110"/>
      <c r="AC110"/>
      <c r="AD110"/>
      <c r="AE110"/>
      <c r="AF110"/>
      <c r="AG110"/>
      <c r="AH110"/>
      <c r="AI110"/>
      <c r="AJ110"/>
      <c r="AK110"/>
    </row>
    <row r="111" spans="22:37">
      <c r="V111"/>
      <c r="W111"/>
      <c r="X111"/>
      <c r="Y111"/>
      <c r="Z111"/>
      <c r="AA111"/>
      <c r="AB111"/>
      <c r="AC111"/>
      <c r="AD111"/>
      <c r="AE111"/>
      <c r="AF111"/>
      <c r="AG111"/>
      <c r="AH111"/>
      <c r="AI111"/>
      <c r="AJ111"/>
      <c r="AK111"/>
    </row>
    <row r="112" spans="22:37">
      <c r="V112"/>
      <c r="W112"/>
      <c r="X112"/>
      <c r="Y112"/>
      <c r="Z112"/>
      <c r="AA112"/>
      <c r="AB112"/>
      <c r="AC112"/>
      <c r="AD112"/>
      <c r="AE112"/>
      <c r="AF112"/>
      <c r="AG112"/>
      <c r="AH112"/>
      <c r="AI112"/>
      <c r="AJ112"/>
      <c r="AK112"/>
    </row>
    <row r="113" spans="22:37">
      <c r="V113"/>
      <c r="W113"/>
      <c r="X113"/>
      <c r="Y113"/>
      <c r="Z113"/>
      <c r="AA113"/>
      <c r="AB113"/>
      <c r="AC113"/>
      <c r="AD113"/>
      <c r="AE113"/>
      <c r="AF113"/>
      <c r="AG113"/>
      <c r="AH113"/>
      <c r="AI113"/>
      <c r="AJ113"/>
      <c r="AK113"/>
    </row>
    <row r="114" spans="22:37">
      <c r="V114"/>
      <c r="W114"/>
      <c r="X114"/>
      <c r="Y114"/>
      <c r="Z114"/>
      <c r="AA114"/>
      <c r="AB114"/>
      <c r="AC114"/>
      <c r="AD114"/>
      <c r="AE114"/>
      <c r="AF114"/>
      <c r="AG114"/>
      <c r="AH114"/>
      <c r="AI114"/>
      <c r="AJ114"/>
      <c r="AK114"/>
    </row>
    <row r="115" spans="22:37">
      <c r="V115"/>
      <c r="W115"/>
      <c r="X115"/>
      <c r="Y115"/>
      <c r="Z115"/>
      <c r="AA115"/>
      <c r="AB115"/>
      <c r="AC115"/>
      <c r="AD115"/>
      <c r="AE115"/>
      <c r="AF115"/>
      <c r="AG115"/>
      <c r="AH115"/>
      <c r="AI115"/>
      <c r="AJ115"/>
      <c r="AK115"/>
    </row>
    <row r="116" spans="22:37">
      <c r="V116"/>
      <c r="W116"/>
      <c r="X116"/>
      <c r="Y116"/>
      <c r="Z116"/>
      <c r="AA116"/>
      <c r="AB116"/>
      <c r="AC116"/>
      <c r="AD116"/>
      <c r="AE116"/>
      <c r="AF116"/>
      <c r="AG116"/>
      <c r="AH116"/>
      <c r="AI116"/>
      <c r="AJ116"/>
      <c r="AK116"/>
    </row>
    <row r="117" spans="22:37">
      <c r="V117"/>
      <c r="W117"/>
      <c r="X117"/>
      <c r="Y117"/>
      <c r="Z117"/>
      <c r="AA117"/>
      <c r="AB117"/>
      <c r="AC117"/>
      <c r="AD117"/>
      <c r="AE117"/>
      <c r="AF117"/>
      <c r="AG117"/>
      <c r="AH117"/>
      <c r="AI117"/>
      <c r="AJ117"/>
      <c r="AK117"/>
    </row>
    <row r="118" spans="22:37">
      <c r="V118"/>
      <c r="W118"/>
      <c r="X118"/>
      <c r="Y118"/>
      <c r="Z118"/>
      <c r="AA118"/>
      <c r="AB118"/>
      <c r="AC118"/>
      <c r="AD118"/>
      <c r="AE118"/>
      <c r="AF118"/>
      <c r="AG118"/>
      <c r="AH118"/>
      <c r="AI118"/>
      <c r="AJ118"/>
      <c r="AK118"/>
    </row>
    <row r="119" spans="22:37">
      <c r="V119"/>
      <c r="W119"/>
      <c r="X119"/>
      <c r="Y119"/>
      <c r="Z119"/>
      <c r="AA119"/>
      <c r="AB119"/>
      <c r="AC119"/>
      <c r="AD119"/>
      <c r="AE119"/>
      <c r="AF119"/>
      <c r="AG119"/>
      <c r="AH119"/>
      <c r="AI119"/>
      <c r="AJ119"/>
    </row>
    <row r="120" spans="22:37">
      <c r="V120"/>
      <c r="W120"/>
      <c r="X120"/>
      <c r="Y120"/>
      <c r="Z120"/>
      <c r="AA120"/>
      <c r="AB120"/>
      <c r="AC120"/>
      <c r="AD120"/>
      <c r="AE120"/>
      <c r="AF120"/>
      <c r="AG120"/>
      <c r="AH120"/>
      <c r="AI120"/>
      <c r="AJ120"/>
    </row>
    <row r="121" spans="22:37">
      <c r="V121"/>
      <c r="W121"/>
      <c r="X121"/>
      <c r="Y121"/>
      <c r="Z121"/>
      <c r="AA121"/>
      <c r="AB121"/>
      <c r="AC121"/>
      <c r="AD121"/>
      <c r="AE121"/>
      <c r="AF121"/>
      <c r="AG121"/>
      <c r="AH121"/>
      <c r="AI121"/>
      <c r="AJ121"/>
    </row>
    <row r="122" spans="22:37">
      <c r="V122"/>
      <c r="W122"/>
      <c r="X122"/>
      <c r="Y122"/>
      <c r="Z122"/>
      <c r="AA122"/>
      <c r="AB122"/>
      <c r="AC122"/>
      <c r="AD122"/>
      <c r="AE122"/>
      <c r="AF122"/>
      <c r="AG122"/>
      <c r="AH122"/>
      <c r="AI122"/>
      <c r="AJ122"/>
    </row>
    <row r="123" spans="22:37">
      <c r="V123"/>
      <c r="W123"/>
      <c r="X123"/>
      <c r="Y123"/>
      <c r="Z123"/>
      <c r="AA123"/>
      <c r="AB123"/>
      <c r="AC123"/>
      <c r="AD123"/>
      <c r="AE123"/>
      <c r="AF123"/>
      <c r="AG123"/>
      <c r="AH123"/>
      <c r="AI123"/>
      <c r="AJ123"/>
    </row>
    <row r="124" spans="22:37">
      <c r="V124"/>
      <c r="W124"/>
      <c r="X124"/>
      <c r="Y124"/>
      <c r="Z124"/>
      <c r="AA124"/>
      <c r="AB124"/>
      <c r="AC124"/>
      <c r="AD124"/>
      <c r="AE124"/>
      <c r="AF124"/>
      <c r="AG124"/>
      <c r="AH124"/>
      <c r="AI124"/>
      <c r="AJ124"/>
    </row>
    <row r="125" spans="22:37">
      <c r="V125"/>
      <c r="W125"/>
      <c r="X125"/>
      <c r="Y125"/>
      <c r="Z125"/>
      <c r="AA125"/>
      <c r="AB125"/>
      <c r="AC125"/>
      <c r="AD125"/>
      <c r="AE125"/>
      <c r="AF125"/>
      <c r="AG125"/>
      <c r="AH125"/>
      <c r="AI125"/>
      <c r="AJ125"/>
    </row>
    <row r="126" spans="22:37">
      <c r="V126"/>
      <c r="W126"/>
      <c r="X126"/>
      <c r="Y126"/>
      <c r="Z126"/>
      <c r="AA126"/>
      <c r="AB126"/>
      <c r="AC126"/>
      <c r="AD126"/>
      <c r="AE126"/>
      <c r="AF126"/>
      <c r="AG126"/>
      <c r="AH126"/>
      <c r="AI126"/>
      <c r="AJ126"/>
    </row>
    <row r="127" spans="22:37">
      <c r="V127"/>
      <c r="W127"/>
      <c r="X127"/>
      <c r="Y127"/>
      <c r="Z127"/>
      <c r="AA127"/>
      <c r="AB127"/>
      <c r="AC127"/>
      <c r="AD127"/>
      <c r="AE127"/>
      <c r="AF127"/>
      <c r="AG127"/>
      <c r="AH127"/>
      <c r="AI127"/>
      <c r="AJ127"/>
    </row>
    <row r="128" spans="22:37">
      <c r="V128"/>
      <c r="W128"/>
      <c r="X128"/>
      <c r="Y128"/>
      <c r="Z128"/>
      <c r="AA128"/>
      <c r="AB128"/>
      <c r="AC128"/>
      <c r="AD128"/>
      <c r="AE128"/>
      <c r="AF128"/>
      <c r="AG128"/>
      <c r="AH128"/>
      <c r="AI128"/>
      <c r="AJ128"/>
    </row>
    <row r="129" spans="22:36">
      <c r="V129"/>
      <c r="W129"/>
      <c r="X129"/>
      <c r="Y129"/>
      <c r="Z129"/>
      <c r="AA129"/>
      <c r="AB129"/>
      <c r="AC129"/>
      <c r="AD129"/>
      <c r="AE129"/>
      <c r="AF129"/>
      <c r="AG129"/>
      <c r="AH129"/>
      <c r="AI129"/>
      <c r="AJ129"/>
    </row>
    <row r="130" spans="22:36">
      <c r="V130"/>
      <c r="W130"/>
      <c r="X130"/>
      <c r="Y130"/>
      <c r="Z130"/>
      <c r="AA130"/>
      <c r="AB130"/>
      <c r="AC130"/>
      <c r="AD130"/>
      <c r="AE130"/>
      <c r="AF130"/>
      <c r="AG130"/>
      <c r="AH130"/>
      <c r="AI130"/>
      <c r="AJ130"/>
    </row>
    <row r="131" spans="22:36">
      <c r="V131"/>
      <c r="W131"/>
      <c r="X131"/>
      <c r="Y131"/>
      <c r="Z131"/>
      <c r="AA131"/>
      <c r="AB131"/>
      <c r="AC131"/>
      <c r="AD131"/>
      <c r="AE131"/>
      <c r="AF131"/>
      <c r="AG131"/>
      <c r="AH131"/>
      <c r="AI131"/>
      <c r="AJ131"/>
    </row>
    <row r="132" spans="22:36">
      <c r="V132"/>
      <c r="W132"/>
      <c r="X132"/>
      <c r="Y132"/>
      <c r="Z132"/>
      <c r="AA132"/>
      <c r="AB132"/>
      <c r="AC132"/>
      <c r="AD132"/>
      <c r="AE132"/>
      <c r="AF132"/>
      <c r="AG132"/>
      <c r="AH132"/>
      <c r="AI132"/>
      <c r="AJ132"/>
    </row>
    <row r="133" spans="22:36">
      <c r="V133"/>
      <c r="W133"/>
      <c r="X133"/>
      <c r="Y133"/>
      <c r="Z133"/>
      <c r="AA133"/>
      <c r="AB133"/>
      <c r="AC133"/>
      <c r="AD133"/>
      <c r="AE133"/>
      <c r="AF133"/>
      <c r="AG133"/>
      <c r="AH133"/>
      <c r="AI133"/>
      <c r="AJ133"/>
    </row>
    <row r="134" spans="22:36">
      <c r="V134"/>
      <c r="W134"/>
      <c r="X134"/>
      <c r="Y134"/>
      <c r="Z134"/>
      <c r="AA134"/>
      <c r="AB134"/>
      <c r="AC134"/>
      <c r="AD134"/>
      <c r="AE134"/>
      <c r="AF134"/>
      <c r="AG134"/>
      <c r="AH134"/>
      <c r="AI134"/>
      <c r="AJ134"/>
    </row>
    <row r="135" spans="22:36">
      <c r="V135"/>
      <c r="W135"/>
      <c r="X135"/>
      <c r="Y135"/>
      <c r="Z135"/>
      <c r="AA135"/>
      <c r="AB135"/>
      <c r="AC135"/>
      <c r="AD135"/>
      <c r="AE135"/>
      <c r="AF135"/>
      <c r="AG135"/>
      <c r="AH135"/>
      <c r="AI135"/>
      <c r="AJ135"/>
    </row>
    <row r="136" spans="22:36">
      <c r="V136"/>
      <c r="W136"/>
      <c r="X136"/>
      <c r="Y136"/>
      <c r="Z136"/>
      <c r="AA136"/>
      <c r="AB136"/>
      <c r="AC136"/>
      <c r="AD136"/>
      <c r="AE136"/>
      <c r="AF136"/>
      <c r="AG136"/>
      <c r="AH136"/>
      <c r="AI136"/>
      <c r="AJ136"/>
    </row>
    <row r="137" spans="22:36">
      <c r="V137"/>
      <c r="W137"/>
      <c r="X137"/>
      <c r="Y137"/>
      <c r="Z137"/>
      <c r="AA137"/>
      <c r="AB137"/>
      <c r="AC137"/>
      <c r="AD137"/>
      <c r="AE137"/>
      <c r="AF137"/>
      <c r="AG137"/>
      <c r="AH137"/>
      <c r="AI137"/>
      <c r="AJ137"/>
    </row>
    <row r="138" spans="22:36">
      <c r="V138"/>
      <c r="W138"/>
      <c r="X138"/>
      <c r="Y138"/>
      <c r="Z138"/>
      <c r="AA138"/>
      <c r="AB138"/>
      <c r="AC138"/>
      <c r="AD138"/>
      <c r="AE138"/>
      <c r="AF138"/>
      <c r="AG138"/>
      <c r="AH138"/>
      <c r="AI138"/>
      <c r="AJ138"/>
    </row>
    <row r="139" spans="22:36">
      <c r="V139"/>
      <c r="W139"/>
      <c r="X139"/>
      <c r="Y139"/>
      <c r="Z139"/>
      <c r="AA139"/>
      <c r="AB139"/>
      <c r="AC139"/>
      <c r="AD139"/>
      <c r="AE139"/>
      <c r="AF139"/>
      <c r="AG139"/>
      <c r="AH139"/>
      <c r="AI139"/>
      <c r="AJ139"/>
    </row>
    <row r="140" spans="22:36">
      <c r="V140"/>
      <c r="W140"/>
      <c r="X140"/>
      <c r="Y140"/>
      <c r="Z140"/>
      <c r="AA140"/>
      <c r="AB140"/>
      <c r="AC140"/>
      <c r="AD140"/>
      <c r="AE140"/>
      <c r="AF140"/>
      <c r="AG140"/>
      <c r="AH140"/>
      <c r="AI140"/>
      <c r="AJ140"/>
    </row>
    <row r="141" spans="22:36">
      <c r="V141"/>
      <c r="W141"/>
      <c r="X141"/>
      <c r="Y141"/>
      <c r="Z141"/>
      <c r="AA141"/>
      <c r="AB141"/>
      <c r="AC141"/>
      <c r="AD141"/>
      <c r="AE141"/>
      <c r="AF141"/>
      <c r="AG141"/>
      <c r="AH141"/>
      <c r="AI141"/>
      <c r="AJ141"/>
    </row>
    <row r="142" spans="22:36">
      <c r="V142"/>
      <c r="W142"/>
      <c r="X142"/>
      <c r="Y142"/>
      <c r="Z142"/>
      <c r="AA142"/>
      <c r="AB142"/>
      <c r="AC142"/>
      <c r="AD142"/>
      <c r="AE142"/>
      <c r="AF142"/>
      <c r="AG142"/>
      <c r="AH142"/>
      <c r="AI142"/>
      <c r="AJ142"/>
    </row>
    <row r="143" spans="22:36">
      <c r="V143"/>
      <c r="W143"/>
      <c r="X143"/>
      <c r="Y143"/>
      <c r="Z143"/>
      <c r="AA143"/>
      <c r="AB143"/>
      <c r="AC143"/>
      <c r="AD143"/>
      <c r="AE143"/>
      <c r="AF143"/>
      <c r="AG143"/>
      <c r="AH143"/>
      <c r="AI143"/>
      <c r="AJ143"/>
    </row>
    <row r="144" spans="22:36">
      <c r="V144"/>
      <c r="W144"/>
      <c r="X144"/>
      <c r="Y144"/>
      <c r="Z144"/>
      <c r="AA144"/>
      <c r="AB144"/>
      <c r="AC144"/>
      <c r="AD144"/>
      <c r="AE144"/>
      <c r="AF144"/>
      <c r="AG144"/>
      <c r="AH144"/>
      <c r="AI144"/>
      <c r="AJ144"/>
    </row>
    <row r="145" spans="22:36">
      <c r="V145"/>
      <c r="W145"/>
      <c r="X145"/>
      <c r="Y145"/>
      <c r="Z145"/>
      <c r="AA145"/>
      <c r="AB145"/>
      <c r="AC145"/>
      <c r="AD145"/>
      <c r="AE145"/>
      <c r="AF145"/>
      <c r="AG145"/>
      <c r="AH145"/>
      <c r="AI145"/>
      <c r="AJ145"/>
    </row>
    <row r="146" spans="22:36">
      <c r="V146"/>
      <c r="W146"/>
      <c r="X146"/>
      <c r="Y146"/>
      <c r="Z146"/>
      <c r="AA146"/>
      <c r="AB146"/>
      <c r="AC146"/>
      <c r="AD146"/>
      <c r="AE146"/>
      <c r="AF146"/>
      <c r="AG146"/>
      <c r="AH146"/>
      <c r="AI146"/>
      <c r="AJ146"/>
    </row>
    <row r="147" spans="22:36">
      <c r="V147"/>
      <c r="W147"/>
      <c r="X147"/>
      <c r="Y147"/>
      <c r="Z147"/>
      <c r="AA147"/>
      <c r="AB147"/>
      <c r="AC147"/>
      <c r="AD147"/>
      <c r="AE147"/>
      <c r="AF147"/>
      <c r="AG147"/>
      <c r="AH147"/>
      <c r="AI147"/>
      <c r="AJ147"/>
    </row>
    <row r="148" spans="22:36">
      <c r="V148"/>
      <c r="W148"/>
      <c r="X148"/>
      <c r="Y148"/>
      <c r="Z148"/>
      <c r="AA148"/>
      <c r="AB148"/>
      <c r="AC148"/>
      <c r="AD148"/>
      <c r="AE148"/>
      <c r="AF148"/>
      <c r="AG148"/>
      <c r="AH148"/>
      <c r="AI148"/>
      <c r="AJ148"/>
    </row>
    <row r="149" spans="22:36">
      <c r="V149"/>
      <c r="W149"/>
      <c r="X149"/>
      <c r="Y149"/>
      <c r="Z149"/>
      <c r="AA149"/>
      <c r="AB149"/>
      <c r="AC149"/>
      <c r="AD149"/>
      <c r="AE149"/>
      <c r="AF149"/>
      <c r="AG149"/>
      <c r="AH149"/>
      <c r="AI149"/>
      <c r="AJ149"/>
    </row>
    <row r="150" spans="22:36">
      <c r="V150"/>
      <c r="W150"/>
      <c r="X150"/>
      <c r="Y150"/>
      <c r="Z150"/>
      <c r="AA150"/>
      <c r="AB150"/>
      <c r="AC150"/>
      <c r="AD150"/>
      <c r="AE150"/>
      <c r="AF150"/>
      <c r="AG150"/>
      <c r="AH150"/>
      <c r="AI150"/>
      <c r="AJ150"/>
    </row>
  </sheetData>
  <sheetProtection algorithmName="SHA-512" hashValue="0vpcPchU8k3qKF/K7rL3PKt5eLi3gP8QZWc+2oyjrzuvghLS3mJ1GH/KGVSZ7Gt6bgr98gEd4O5jJxuOc2TwzQ==" saltValue="sXgSXVMyfVsdNdLDQvB+xg==" spinCount="100000" sheet="1" objects="1" scenarios="1"/>
  <mergeCells count="23">
    <mergeCell ref="V5:AH5"/>
    <mergeCell ref="C71:J71"/>
    <mergeCell ref="C69:J69"/>
    <mergeCell ref="D60:M60"/>
    <mergeCell ref="D61:M61"/>
    <mergeCell ref="G42:J42"/>
    <mergeCell ref="AE21:AH22"/>
    <mergeCell ref="Q58:Q59"/>
    <mergeCell ref="J59:M59"/>
    <mergeCell ref="V62:AI63"/>
    <mergeCell ref="B52:B55"/>
    <mergeCell ref="N10:O10"/>
    <mergeCell ref="N15:O15"/>
    <mergeCell ref="N14:O14"/>
    <mergeCell ref="N11:O11"/>
    <mergeCell ref="D11:M11"/>
    <mergeCell ref="D12:M12"/>
    <mergeCell ref="D13:M13"/>
    <mergeCell ref="B15:M15"/>
    <mergeCell ref="J18:K18"/>
    <mergeCell ref="I31:J31"/>
    <mergeCell ref="D32:J32"/>
    <mergeCell ref="B37:B40"/>
  </mergeCells>
  <phoneticPr fontId="14" type="noConversion"/>
  <conditionalFormatting sqref="B15">
    <cfRule type="expression" dxfId="2355" priority="254">
      <formula>IF(NoColor,1,0)</formula>
    </cfRule>
  </conditionalFormatting>
  <conditionalFormatting sqref="D45">
    <cfRule type="expression" dxfId="2354" priority="97">
      <formula>IF(NoColor,1,0)</formula>
    </cfRule>
  </conditionalFormatting>
  <conditionalFormatting sqref="D60:D61">
    <cfRule type="expression" dxfId="2353" priority="51">
      <formula>IF(NoColor,1,0)</formula>
    </cfRule>
  </conditionalFormatting>
  <conditionalFormatting sqref="D32:J32">
    <cfRule type="expression" dxfId="2352" priority="244">
      <formula>IF(NoColor,1,0)</formula>
    </cfRule>
  </conditionalFormatting>
  <conditionalFormatting sqref="D38:J38 E39:J39">
    <cfRule type="expression" dxfId="2351" priority="238">
      <formula>IF(NoColor,1,0)</formula>
    </cfRule>
  </conditionalFormatting>
  <conditionalFormatting sqref="D40:J41 D42:G42 D43:J43 F44:J45">
    <cfRule type="expression" dxfId="2350" priority="96">
      <formula>IF(NoColor,1,0)</formula>
    </cfRule>
  </conditionalFormatting>
  <conditionalFormatting sqref="I31:J31">
    <cfRule type="expression" dxfId="2349" priority="245">
      <formula>IF(NoColor,1,0)</formula>
    </cfRule>
  </conditionalFormatting>
  <conditionalFormatting sqref="J18">
    <cfRule type="expression" dxfId="2348" priority="251">
      <formula>IF(NoColor,1,0)</formula>
    </cfRule>
  </conditionalFormatting>
  <conditionalFormatting sqref="K25">
    <cfRule type="expression" dxfId="2347" priority="82">
      <formula>NoColor</formula>
    </cfRule>
  </conditionalFormatting>
  <conditionalFormatting sqref="K36">
    <cfRule type="expression" dxfId="2346" priority="89">
      <formula>NoColor</formula>
    </cfRule>
  </conditionalFormatting>
  <conditionalFormatting sqref="M17">
    <cfRule type="expression" dxfId="2345" priority="86">
      <formula>IF(NoColor,1,0)</formula>
    </cfRule>
  </conditionalFormatting>
  <conditionalFormatting sqref="M19">
    <cfRule type="expression" dxfId="2344" priority="214">
      <formula>IF(NoColor,1,0)</formula>
    </cfRule>
  </conditionalFormatting>
  <conditionalFormatting sqref="M21:M28">
    <cfRule type="expression" dxfId="2343" priority="99">
      <formula>IF(NoColor,1,0)</formula>
    </cfRule>
  </conditionalFormatting>
  <conditionalFormatting sqref="M30">
    <cfRule type="expression" dxfId="2342" priority="100">
      <formula>IF(NoColor,1,0)</formula>
    </cfRule>
  </conditionalFormatting>
  <conditionalFormatting sqref="M32">
    <cfRule type="expression" dxfId="2341" priority="243">
      <formula>IF(NoColor,1,0)</formula>
    </cfRule>
  </conditionalFormatting>
  <conditionalFormatting sqref="M34">
    <cfRule type="expression" dxfId="2340" priority="242">
      <formula>IF(NoColor,1,0)</formula>
    </cfRule>
  </conditionalFormatting>
  <conditionalFormatting sqref="M38">
    <cfRule type="expression" dxfId="2339" priority="98">
      <formula>IF(NoColor,1,0)</formula>
    </cfRule>
  </conditionalFormatting>
  <conditionalFormatting sqref="M43">
    <cfRule type="expression" dxfId="2338" priority="95">
      <formula>IF(NoColor,1,0)</formula>
    </cfRule>
  </conditionalFormatting>
  <conditionalFormatting sqref="M45:M48">
    <cfRule type="expression" dxfId="2337" priority="53">
      <formula>IF(NoColor,1,0)</formula>
    </cfRule>
  </conditionalFormatting>
  <conditionalFormatting sqref="M51">
    <cfRule type="expression" dxfId="2336" priority="237">
      <formula>IF(NoColor,1,0)</formula>
    </cfRule>
  </conditionalFormatting>
  <conditionalFormatting sqref="M53:M54">
    <cfRule type="expression" dxfId="2335" priority="235">
      <formula>IF(NoColor,1,0)</formula>
    </cfRule>
  </conditionalFormatting>
  <conditionalFormatting sqref="N65">
    <cfRule type="expression" dxfId="2334" priority="223">
      <formula>IF(NoColor,1,0)</formula>
    </cfRule>
  </conditionalFormatting>
  <conditionalFormatting sqref="N15:O15">
    <cfRule type="expression" dxfId="2333" priority="253">
      <formula>IF(NoColor,1,0)</formula>
    </cfRule>
  </conditionalFormatting>
  <conditionalFormatting sqref="O20">
    <cfRule type="expression" dxfId="2332" priority="212">
      <formula>IF(NoColor,1,0)</formula>
    </cfRule>
  </conditionalFormatting>
  <conditionalFormatting sqref="O33">
    <cfRule type="expression" dxfId="2331" priority="210">
      <formula>IF(NoColor,1,0)</formula>
    </cfRule>
  </conditionalFormatting>
  <conditionalFormatting sqref="O49">
    <cfRule type="expression" dxfId="2330" priority="208">
      <formula>IF(NoColor,1,0)</formula>
    </cfRule>
  </conditionalFormatting>
  <conditionalFormatting sqref="O55">
    <cfRule type="expression" dxfId="2329" priority="206">
      <formula>IF(NoColor,1,0)</formula>
    </cfRule>
  </conditionalFormatting>
  <conditionalFormatting sqref="O58">
    <cfRule type="expression" dxfId="2328" priority="233">
      <formula>IF(NoColor,1,0)</formula>
    </cfRule>
  </conditionalFormatting>
  <conditionalFormatting sqref="O61">
    <cfRule type="expression" dxfId="2327" priority="225">
      <formula>IF(NoColor,1,0)</formula>
    </cfRule>
  </conditionalFormatting>
  <conditionalFormatting sqref="O63">
    <cfRule type="expression" dxfId="2326" priority="90">
      <formula>IF(NoColor,1,0)</formula>
    </cfRule>
  </conditionalFormatting>
  <conditionalFormatting sqref="P46">
    <cfRule type="expression" dxfId="2325" priority="6">
      <formula>$AE$72</formula>
    </cfRule>
  </conditionalFormatting>
  <conditionalFormatting sqref="P54">
    <cfRule type="expression" dxfId="2324" priority="145">
      <formula>IF($AE$92,1,0)</formula>
    </cfRule>
  </conditionalFormatting>
  <conditionalFormatting sqref="Q46">
    <cfRule type="expression" dxfId="2323" priority="5">
      <formula>$AE$72</formula>
    </cfRule>
  </conditionalFormatting>
  <conditionalFormatting sqref="Q54">
    <cfRule type="expression" dxfId="2322" priority="146">
      <formula>IF($AE$92,1,0)</formula>
    </cfRule>
  </conditionalFormatting>
  <conditionalFormatting sqref="R46">
    <cfRule type="expression" dxfId="2321" priority="4">
      <formula>$S$35=""</formula>
    </cfRule>
  </conditionalFormatting>
  <conditionalFormatting sqref="S38">
    <cfRule type="expression" dxfId="2320" priority="62">
      <formula>$M$47=0</formula>
    </cfRule>
  </conditionalFormatting>
  <conditionalFormatting sqref="S39:S40">
    <cfRule type="expression" dxfId="2319" priority="60">
      <formula>$M$47=0</formula>
    </cfRule>
  </conditionalFormatting>
  <conditionalFormatting sqref="S42">
    <cfRule type="expression" dxfId="2318" priority="56">
      <formula>$M$47=0</formula>
    </cfRule>
  </conditionalFormatting>
  <conditionalFormatting sqref="S43">
    <cfRule type="expression" dxfId="2317" priority="57">
      <formula>$M$38=0</formula>
    </cfRule>
    <cfRule type="expression" dxfId="2316" priority="49">
      <formula>$S$44</formula>
    </cfRule>
  </conditionalFormatting>
  <conditionalFormatting sqref="S46">
    <cfRule type="expression" dxfId="2315" priority="1">
      <formula>$S$35=""</formula>
    </cfRule>
  </conditionalFormatting>
  <conditionalFormatting sqref="S47:S48">
    <cfRule type="expression" dxfId="2314" priority="2">
      <formula>$S$35=""</formula>
    </cfRule>
  </conditionalFormatting>
  <conditionalFormatting sqref="V46">
    <cfRule type="expression" dxfId="2313" priority="72" stopIfTrue="1">
      <formula>IF(AND($Z$92,NOT($AB$92)),1,0)</formula>
    </cfRule>
    <cfRule type="expression" dxfId="2312" priority="73">
      <formula>IF($Z$92,1,0)</formula>
    </cfRule>
  </conditionalFormatting>
  <conditionalFormatting sqref="V66">
    <cfRule type="expression" dxfId="2311" priority="42">
      <formula>IF($AA$92,1,0)</formula>
    </cfRule>
  </conditionalFormatting>
  <conditionalFormatting sqref="V72">
    <cfRule type="expression" dxfId="2310" priority="26">
      <formula>IF($AA$92,1,0)</formula>
    </cfRule>
  </conditionalFormatting>
  <conditionalFormatting sqref="V81">
    <cfRule type="expression" dxfId="2309" priority="15">
      <formula>IF($AA$92,1,0)</formula>
    </cfRule>
  </conditionalFormatting>
  <conditionalFormatting sqref="V86">
    <cfRule type="expression" dxfId="2308" priority="9">
      <formula>IF($AA$92,1,0)</formula>
    </cfRule>
  </conditionalFormatting>
  <conditionalFormatting sqref="V95">
    <cfRule type="expression" dxfId="2307" priority="136">
      <formula>IF($AA$92,1,0)</formula>
    </cfRule>
  </conditionalFormatting>
  <conditionalFormatting sqref="V97">
    <cfRule type="expression" dxfId="2306" priority="128">
      <formula>IF($AA$92,1,0)</formula>
    </cfRule>
  </conditionalFormatting>
  <conditionalFormatting sqref="V65:W65">
    <cfRule type="expression" dxfId="2305" priority="40">
      <formula>IF(AND($Z$92,NOT($AB$92)),1,0)</formula>
    </cfRule>
  </conditionalFormatting>
  <conditionalFormatting sqref="V68:W68">
    <cfRule type="expression" dxfId="2304" priority="31">
      <formula>IF($AA$92,1,0)</formula>
    </cfRule>
  </conditionalFormatting>
  <conditionalFormatting sqref="V70:W70">
    <cfRule type="expression" dxfId="2303" priority="37">
      <formula>IF($AA$92,1,0)</formula>
    </cfRule>
  </conditionalFormatting>
  <conditionalFormatting sqref="V94:W94">
    <cfRule type="expression" dxfId="2302" priority="131">
      <formula>IF(AND($Z$92,NOT($AB$92)),1,0)</formula>
    </cfRule>
  </conditionalFormatting>
  <conditionalFormatting sqref="W45">
    <cfRule type="expression" dxfId="2301" priority="4114">
      <formula>AND(S38&lt;&gt;"",NOT($S$45),$S$44)</formula>
    </cfRule>
  </conditionalFormatting>
  <conditionalFormatting sqref="W45:W47">
    <cfRule type="expression" dxfId="2300" priority="71" stopIfTrue="1">
      <formula>IF(AND($Z$92,NOT($AB$92)),1,0)</formula>
    </cfRule>
  </conditionalFormatting>
  <conditionalFormatting sqref="W47">
    <cfRule type="expression" dxfId="2299" priority="4118">
      <formula>AND(S38&lt;&gt;"",S45,$S$44)</formula>
    </cfRule>
  </conditionalFormatting>
  <conditionalFormatting sqref="W66">
    <cfRule type="expression" dxfId="2298" priority="33">
      <formula>IF(AND($Z$92,NOT($AB$92)),1,0)</formula>
    </cfRule>
  </conditionalFormatting>
  <conditionalFormatting sqref="W71">
    <cfRule type="expression" dxfId="2297" priority="30">
      <formula>IF($AA$92,1,0)</formula>
    </cfRule>
  </conditionalFormatting>
  <conditionalFormatting sqref="W72">
    <cfRule type="expression" dxfId="2296" priority="25">
      <formula>IF(AND($Z$92,NOT($AB$92)),1,0)</formula>
    </cfRule>
  </conditionalFormatting>
  <conditionalFormatting sqref="W73:W80">
    <cfRule type="expression" dxfId="2295" priority="7">
      <formula>IF($AA$92,1,0)</formula>
    </cfRule>
  </conditionalFormatting>
  <conditionalFormatting sqref="W81">
    <cfRule type="expression" dxfId="2294" priority="14">
      <formula>IF(AND($Z$92,NOT($AB$92)),1,0)</formula>
    </cfRule>
  </conditionalFormatting>
  <conditionalFormatting sqref="W82:W85">
    <cfRule type="expression" dxfId="2293" priority="11">
      <formula>IF($AA$92,1,0)</formula>
    </cfRule>
  </conditionalFormatting>
  <conditionalFormatting sqref="W86">
    <cfRule type="expression" dxfId="2292" priority="8">
      <formula>IF(AND($Z$92,NOT($AB$92)),1,0)</formula>
    </cfRule>
  </conditionalFormatting>
  <conditionalFormatting sqref="W87">
    <cfRule type="expression" dxfId="2291" priority="10">
      <formula>IF($AA$92,1,0)</formula>
    </cfRule>
  </conditionalFormatting>
  <conditionalFormatting sqref="W95">
    <cfRule type="expression" dxfId="2290" priority="109">
      <formula>IF(AND($Z$92,NOT($AB$92)),1,0)</formula>
    </cfRule>
  </conditionalFormatting>
  <conditionalFormatting sqref="W97:W100">
    <cfRule type="expression" dxfId="2289" priority="126">
      <formula>IF($AA$92,1,0)</formula>
    </cfRule>
  </conditionalFormatting>
  <conditionalFormatting sqref="AE6">
    <cfRule type="expression" dxfId="2288" priority="83">
      <formula>(File_Marr_Joint="")</formula>
    </cfRule>
  </conditionalFormatting>
  <conditionalFormatting sqref="AE8">
    <cfRule type="expression" dxfId="2287" priority="80">
      <formula>NoColor</formula>
    </cfRule>
  </conditionalFormatting>
  <conditionalFormatting sqref="AE10">
    <cfRule type="expression" dxfId="2286" priority="78">
      <formula>NoColor</formula>
    </cfRule>
  </conditionalFormatting>
  <conditionalFormatting sqref="AE12">
    <cfRule type="expression" dxfId="2285" priority="77">
      <formula>NoColor</formula>
    </cfRule>
  </conditionalFormatting>
  <conditionalFormatting sqref="AH6">
    <cfRule type="expression" dxfId="2284" priority="84">
      <formula>(File_Marr_Joint="")</formula>
    </cfRule>
  </conditionalFormatting>
  <conditionalFormatting sqref="AH8:AH12">
    <cfRule type="expression" dxfId="2283" priority="85">
      <formula>(File_Marr_Joint="")</formula>
    </cfRule>
  </conditionalFormatting>
  <conditionalFormatting sqref="AH14">
    <cfRule type="expression" dxfId="2282" priority="76">
      <formula>NoColor</formula>
    </cfRule>
  </conditionalFormatting>
  <conditionalFormatting sqref="AH16">
    <cfRule type="expression" dxfId="2281" priority="79">
      <formula>NoColor</formula>
    </cfRule>
  </conditionalFormatting>
  <conditionalFormatting sqref="AH18">
    <cfRule type="expression" dxfId="2280" priority="75">
      <formula>NoColor</formula>
    </cfRule>
  </conditionalFormatting>
  <conditionalFormatting sqref="AH26">
    <cfRule type="expression" dxfId="2279" priority="123">
      <formula>IF(NoColor,1,0)</formula>
    </cfRule>
  </conditionalFormatting>
  <conditionalFormatting sqref="AH29">
    <cfRule type="expression" dxfId="2278" priority="119">
      <formula>IF(NoColor,1,0)</formula>
    </cfRule>
  </conditionalFormatting>
  <conditionalFormatting sqref="AH32">
    <cfRule type="expression" dxfId="2277" priority="81">
      <formula>IF(NoColor,1,0)</formula>
    </cfRule>
  </conditionalFormatting>
  <conditionalFormatting sqref="AH35">
    <cfRule type="expression" dxfId="2276" priority="55">
      <formula>IF(NoColor,1,0)</formula>
    </cfRule>
  </conditionalFormatting>
  <conditionalFormatting sqref="AH38">
    <cfRule type="expression" dxfId="2275" priority="120">
      <formula>IF(NoColor,1,0)</formula>
    </cfRule>
  </conditionalFormatting>
  <hyperlinks>
    <hyperlink ref="C69:J69" r:id="rId1" display="Download Form 1040 Schedules A&amp;B" xr:uid="{00000000-0004-0000-1900-000000000000}"/>
    <hyperlink ref="C71:J71" r:id="rId2" display="Download Form 1040 Schedule A&amp;B Instructions" xr:uid="{00000000-0004-0000-1900-000001000000}"/>
  </hyperlinks>
  <printOptions horizontalCentered="1" verticalCentered="1"/>
  <pageMargins left="0.37" right="0.25" top="0.19" bottom="0.2" header="0.25" footer="0.21"/>
  <pageSetup scale="84" fitToHeight="0" orientation="portrait" r:id="rId3"/>
  <headerFooter alignWithMargins="0"/>
  <drawing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pageSetUpPr fitToPage="1"/>
  </sheetPr>
  <dimension ref="A1:AF89"/>
  <sheetViews>
    <sheetView zoomScaleNormal="100" zoomScaleSheetLayoutView="100" workbookViewId="0"/>
  </sheetViews>
  <sheetFormatPr defaultRowHeight="12.75"/>
  <cols>
    <col min="1" max="1" width="1.85546875" style="42" customWidth="1"/>
    <col min="2" max="2" width="15.5703125" customWidth="1"/>
    <col min="3" max="3" width="2.7109375" customWidth="1"/>
    <col min="4" max="4" width="19.85546875" customWidth="1"/>
    <col min="5" max="5" width="19" customWidth="1"/>
    <col min="6" max="6" width="9.140625" customWidth="1"/>
    <col min="7" max="7" width="20" customWidth="1"/>
    <col min="8" max="8" width="3.140625" customWidth="1"/>
    <col min="9" max="9" width="3.42578125" customWidth="1"/>
    <col min="10" max="14" width="1.5703125" customWidth="1"/>
    <col min="15" max="15" width="3.42578125" customWidth="1"/>
    <col min="16" max="16" width="1.85546875" customWidth="1"/>
    <col min="17" max="17" width="2.5703125" customWidth="1"/>
    <col min="18" max="18" width="4.42578125" style="270" customWidth="1"/>
    <col min="19" max="29" width="10.7109375" style="2595" customWidth="1"/>
    <col min="30" max="31" width="4.42578125" style="270" customWidth="1"/>
  </cols>
  <sheetData>
    <row r="1" spans="1:32">
      <c r="A1" s="1179"/>
      <c r="B1" s="1179"/>
      <c r="C1" s="1179"/>
      <c r="D1" s="1179"/>
      <c r="E1" s="1179"/>
      <c r="F1" s="1179"/>
      <c r="G1" s="1179"/>
      <c r="H1" s="1179"/>
      <c r="I1" s="1179"/>
      <c r="J1" s="1179"/>
      <c r="K1" s="1179"/>
      <c r="L1" s="1179"/>
      <c r="M1" s="1179"/>
      <c r="N1" s="1179"/>
      <c r="O1" s="1179"/>
      <c r="P1" s="1179"/>
      <c r="Q1" s="1179"/>
      <c r="R1" s="1927"/>
    </row>
    <row r="2" spans="1:32" ht="15">
      <c r="A2" s="1179"/>
      <c r="B2" s="4095" t="s">
        <v>3996</v>
      </c>
      <c r="C2" s="4096"/>
      <c r="D2" s="1179"/>
      <c r="E2" s="1179"/>
      <c r="F2" s="1179"/>
      <c r="G2" s="1179"/>
      <c r="H2" s="1179"/>
      <c r="I2" s="1179"/>
      <c r="J2" s="1179"/>
      <c r="K2" s="1179"/>
      <c r="L2" s="1179"/>
      <c r="M2" s="1179"/>
      <c r="N2" s="1179"/>
      <c r="O2" s="1179"/>
      <c r="P2" s="1179"/>
      <c r="Q2" s="1179"/>
      <c r="R2" s="1927"/>
    </row>
    <row r="3" spans="1:32" ht="15.75">
      <c r="A3" s="1179"/>
      <c r="B3" s="4091" t="s">
        <v>593</v>
      </c>
      <c r="C3" s="4097" t="s">
        <v>3327</v>
      </c>
      <c r="D3" s="4096"/>
      <c r="E3" s="1179"/>
      <c r="F3" s="1179"/>
      <c r="G3" s="1179"/>
      <c r="H3" s="1179"/>
      <c r="I3" s="1179"/>
      <c r="J3" s="1179"/>
      <c r="K3" s="1179"/>
      <c r="L3" s="1179"/>
      <c r="M3" s="1179"/>
      <c r="N3" s="1179"/>
      <c r="O3" s="1179"/>
      <c r="P3" s="1179"/>
      <c r="Q3" s="1179"/>
      <c r="R3" s="1179"/>
      <c r="AF3" s="270"/>
    </row>
    <row r="4" spans="1:32" ht="15.75">
      <c r="A4" s="1179"/>
      <c r="B4" s="4091" t="s">
        <v>593</v>
      </c>
      <c r="C4" s="4097" t="s">
        <v>3328</v>
      </c>
      <c r="D4" s="4096"/>
      <c r="E4" s="1179"/>
      <c r="F4" s="1179"/>
      <c r="G4" s="1179"/>
      <c r="H4" s="1179"/>
      <c r="I4" s="1179"/>
      <c r="J4" s="1179"/>
      <c r="K4" s="1179"/>
      <c r="L4" s="1179"/>
      <c r="M4" s="1179"/>
      <c r="N4" s="1179"/>
      <c r="O4" s="1179"/>
      <c r="P4" s="1179"/>
      <c r="Q4" s="1179"/>
      <c r="R4" s="1179"/>
      <c r="AF4" s="270"/>
    </row>
    <row r="5" spans="1:32" ht="15.75">
      <c r="A5" s="1179"/>
      <c r="B5" s="4091" t="s">
        <v>593</v>
      </c>
      <c r="C5" s="4097" t="s">
        <v>3329</v>
      </c>
      <c r="D5" s="4096"/>
      <c r="E5" s="1179"/>
      <c r="F5" s="1179"/>
      <c r="G5" s="1179"/>
      <c r="H5" s="1179"/>
      <c r="I5" s="1179"/>
      <c r="J5" s="1179"/>
      <c r="K5" s="1179"/>
      <c r="L5" s="1179"/>
      <c r="M5" s="1179"/>
      <c r="N5" s="1179"/>
      <c r="O5" s="1179"/>
      <c r="P5" s="1179"/>
      <c r="Q5" s="1179"/>
      <c r="R5" s="1179"/>
      <c r="AF5" s="270"/>
    </row>
    <row r="6" spans="1:32" ht="15.75">
      <c r="A6" s="1179"/>
      <c r="B6" s="4091" t="s">
        <v>593</v>
      </c>
      <c r="C6" s="4097" t="s">
        <v>3330</v>
      </c>
      <c r="D6" s="4096"/>
      <c r="E6" s="1179"/>
      <c r="F6" s="1179"/>
      <c r="G6" s="1179"/>
      <c r="H6" s="1179"/>
      <c r="I6" s="1179"/>
      <c r="J6" s="1179"/>
      <c r="K6" s="1179"/>
      <c r="L6" s="1179"/>
      <c r="M6" s="1179"/>
      <c r="N6" s="1179"/>
      <c r="O6" s="1179"/>
      <c r="P6" s="1179"/>
      <c r="Q6" s="1179"/>
      <c r="R6" s="1179"/>
      <c r="AF6" s="270"/>
    </row>
    <row r="7" spans="1:32" ht="15.75">
      <c r="A7" s="1179"/>
      <c r="B7" s="4091" t="s">
        <v>593</v>
      </c>
      <c r="C7" s="4097" t="s">
        <v>3331</v>
      </c>
      <c r="D7" s="4096"/>
      <c r="E7" s="1179"/>
      <c r="F7" s="1179"/>
      <c r="G7" s="1179"/>
      <c r="H7" s="1179"/>
      <c r="I7" s="1179"/>
      <c r="J7" s="1179"/>
      <c r="K7" s="1179"/>
      <c r="L7" s="1179"/>
      <c r="M7" s="1179"/>
      <c r="N7" s="1179"/>
      <c r="O7" s="1179"/>
      <c r="P7" s="1179"/>
      <c r="Q7" s="1179"/>
      <c r="R7" s="1179"/>
      <c r="AF7" s="270"/>
    </row>
    <row r="8" spans="1:32" ht="15.75">
      <c r="A8" s="1179"/>
      <c r="B8" s="4091" t="s">
        <v>593</v>
      </c>
      <c r="C8" s="4097" t="s">
        <v>3332</v>
      </c>
      <c r="D8" s="4096"/>
      <c r="E8" s="1179"/>
      <c r="F8" s="1179"/>
      <c r="G8" s="1179"/>
      <c r="H8" s="1179"/>
      <c r="I8" s="1179"/>
      <c r="J8" s="1179"/>
      <c r="K8" s="1179"/>
      <c r="L8" s="1179"/>
      <c r="M8" s="1179"/>
      <c r="N8" s="1179"/>
      <c r="O8" s="1179"/>
      <c r="P8" s="1179"/>
      <c r="Q8" s="1179"/>
      <c r="R8" s="1179"/>
      <c r="AF8" s="270"/>
    </row>
    <row r="9" spans="1:32" ht="15.75">
      <c r="A9" s="1179"/>
      <c r="B9" s="4091" t="s">
        <v>593</v>
      </c>
      <c r="C9" s="4097" t="s">
        <v>3333</v>
      </c>
      <c r="D9" s="4096"/>
      <c r="E9" s="1179"/>
      <c r="F9" s="1179"/>
      <c r="G9" s="1179"/>
      <c r="H9" s="1179"/>
      <c r="I9" s="1179"/>
      <c r="J9" s="1179"/>
      <c r="K9" s="1179"/>
      <c r="L9" s="1179"/>
      <c r="M9" s="1179"/>
      <c r="N9" s="1179"/>
      <c r="O9" s="1179"/>
      <c r="P9" s="1179"/>
      <c r="Q9" s="1179"/>
      <c r="R9" s="1179"/>
      <c r="AF9" s="270"/>
    </row>
    <row r="10" spans="1:32" ht="15.75">
      <c r="A10" s="1179"/>
      <c r="B10" s="4091" t="s">
        <v>593</v>
      </c>
      <c r="C10" s="4097" t="s">
        <v>3335</v>
      </c>
      <c r="D10" s="4096"/>
      <c r="E10" s="1179"/>
      <c r="F10" s="1179"/>
      <c r="G10" s="1179"/>
      <c r="H10" s="1179"/>
      <c r="I10" s="1179"/>
      <c r="J10" s="1179"/>
      <c r="K10" s="1179"/>
      <c r="L10" s="1179"/>
      <c r="M10" s="1179"/>
      <c r="N10" s="1179"/>
      <c r="O10" s="1179"/>
      <c r="P10" s="1179"/>
      <c r="Q10" s="1179"/>
      <c r="R10" s="1179"/>
      <c r="AF10" s="270"/>
    </row>
    <row r="11" spans="1:32">
      <c r="A11" s="1179"/>
      <c r="B11" s="1179"/>
      <c r="C11" s="4097" t="s">
        <v>3334</v>
      </c>
      <c r="D11" s="4097"/>
      <c r="E11" s="1179"/>
      <c r="F11" s="1179"/>
      <c r="G11" s="1179"/>
      <c r="H11" s="1179"/>
      <c r="I11" s="1179"/>
      <c r="J11" s="1179"/>
      <c r="K11" s="1179"/>
      <c r="L11" s="1179"/>
      <c r="M11" s="1179"/>
      <c r="N11" s="1179"/>
      <c r="O11" s="1179"/>
      <c r="P11" s="1179"/>
      <c r="Q11" s="1179"/>
      <c r="R11" s="1179"/>
      <c r="AF11" s="270"/>
    </row>
    <row r="12" spans="1:32">
      <c r="A12" s="1179"/>
      <c r="B12" s="1179"/>
      <c r="C12" s="1179"/>
      <c r="D12" s="1179"/>
      <c r="E12" s="1179"/>
      <c r="F12" s="1179"/>
      <c r="G12" s="1179"/>
      <c r="H12" s="1179"/>
      <c r="I12" s="1179"/>
      <c r="J12" s="1179"/>
      <c r="K12" s="1179"/>
      <c r="L12" s="1179"/>
      <c r="M12" s="1179"/>
      <c r="N12" s="1179"/>
      <c r="O12" s="1179"/>
      <c r="P12" s="1179"/>
      <c r="Q12" s="1179"/>
      <c r="R12" s="1927"/>
    </row>
    <row r="13" spans="1:32" s="42" customFormat="1" ht="15.75" customHeight="1">
      <c r="A13" s="78"/>
      <c r="B13" s="78"/>
      <c r="C13" s="78"/>
      <c r="D13" s="78"/>
      <c r="E13" s="78"/>
      <c r="F13" s="78"/>
      <c r="G13" s="78"/>
      <c r="H13" s="78"/>
      <c r="I13" s="78"/>
      <c r="J13" s="78"/>
      <c r="K13" s="78"/>
      <c r="L13" s="78"/>
      <c r="M13" s="78"/>
      <c r="N13" s="78"/>
      <c r="O13" s="78"/>
      <c r="P13" s="78"/>
      <c r="Q13" s="1179"/>
      <c r="R13" s="1927"/>
      <c r="S13" s="2594" t="s">
        <v>2033</v>
      </c>
      <c r="T13" s="2595"/>
      <c r="U13" s="2595"/>
      <c r="V13" s="2595"/>
      <c r="W13" s="2595"/>
      <c r="X13" s="2595"/>
      <c r="Y13" s="2595"/>
      <c r="Z13" s="2595"/>
      <c r="AA13" s="2595"/>
      <c r="AB13" s="2595"/>
      <c r="AC13" s="2595"/>
      <c r="AD13" s="313"/>
      <c r="AE13" s="313"/>
    </row>
    <row r="14" spans="1:32" s="42" customFormat="1" ht="8.25" customHeight="1">
      <c r="A14" s="78"/>
      <c r="B14" s="30"/>
      <c r="C14" s="267"/>
      <c r="D14" s="30"/>
      <c r="E14" s="30"/>
      <c r="F14" s="30"/>
      <c r="G14" s="30"/>
      <c r="H14" s="30"/>
      <c r="I14" s="6951" t="s">
        <v>152</v>
      </c>
      <c r="J14" s="6952"/>
      <c r="K14" s="6952"/>
      <c r="L14" s="6952"/>
      <c r="M14" s="6952"/>
      <c r="N14" s="6952"/>
      <c r="O14" s="6952"/>
      <c r="P14" s="78"/>
      <c r="Q14" s="1179"/>
      <c r="R14" s="1927"/>
      <c r="S14" s="2595"/>
      <c r="T14" s="2595"/>
      <c r="U14" s="2595"/>
      <c r="V14" s="2595"/>
      <c r="W14" s="2595"/>
      <c r="X14" s="2595"/>
      <c r="Y14" s="2595"/>
      <c r="Z14" s="2595"/>
      <c r="AA14" s="2595"/>
      <c r="AB14" s="2595"/>
      <c r="AC14" s="2595"/>
      <c r="AD14" s="313"/>
      <c r="AE14" s="313"/>
    </row>
    <row r="15" spans="1:32" s="42" customFormat="1" ht="12.75" customHeight="1">
      <c r="A15" s="78"/>
      <c r="B15" s="344" t="s">
        <v>250</v>
      </c>
      <c r="C15" s="267"/>
      <c r="D15" s="3198"/>
      <c r="E15" s="3195"/>
      <c r="F15" s="3195"/>
      <c r="G15" s="3195"/>
      <c r="H15" s="3196"/>
      <c r="I15" s="6953"/>
      <c r="J15" s="6954"/>
      <c r="K15" s="6954"/>
      <c r="L15" s="6954"/>
      <c r="M15" s="6954"/>
      <c r="N15" s="6954"/>
      <c r="O15" s="6954"/>
      <c r="P15" s="78"/>
      <c r="Q15" s="1179"/>
      <c r="R15" s="1927"/>
      <c r="S15" s="2595"/>
      <c r="T15" s="2595"/>
      <c r="U15" s="2595"/>
      <c r="V15" s="2595"/>
      <c r="W15" s="2595"/>
      <c r="X15" s="2595"/>
      <c r="Y15" s="2595"/>
      <c r="Z15" s="2595"/>
      <c r="AA15" s="2595"/>
      <c r="AB15" s="2595"/>
      <c r="AC15" s="2595"/>
      <c r="AD15" s="313"/>
      <c r="AE15" s="313"/>
    </row>
    <row r="16" spans="1:32" s="42" customFormat="1" ht="16.5" customHeight="1">
      <c r="A16" s="78"/>
      <c r="B16" s="4185" t="s">
        <v>3973</v>
      </c>
      <c r="C16" s="267"/>
      <c r="D16" s="6914" t="s">
        <v>251</v>
      </c>
      <c r="E16" s="6915"/>
      <c r="F16" s="6915"/>
      <c r="G16" s="6915"/>
      <c r="H16" s="6916"/>
      <c r="I16" s="6955">
        <f>TaxYear</f>
        <v>2021</v>
      </c>
      <c r="J16" s="6956"/>
      <c r="K16" s="6956"/>
      <c r="L16" s="6956"/>
      <c r="M16" s="6956"/>
      <c r="N16" s="6956"/>
      <c r="O16" s="6956"/>
      <c r="P16" s="78"/>
      <c r="Q16" s="1179"/>
      <c r="R16" s="1927"/>
      <c r="S16" s="2595"/>
      <c r="T16" s="2595"/>
      <c r="U16" s="2595"/>
      <c r="V16" s="2595"/>
      <c r="W16" s="2595"/>
      <c r="X16" s="2595"/>
      <c r="Y16" s="2595"/>
      <c r="Z16" s="2595"/>
      <c r="AA16" s="2595"/>
      <c r="AB16" s="2595"/>
      <c r="AC16" s="2595"/>
      <c r="AD16" s="313"/>
      <c r="AE16" s="313"/>
    </row>
    <row r="17" spans="1:31" s="42" customFormat="1" ht="12" customHeight="1">
      <c r="A17" s="78"/>
      <c r="B17" s="3197"/>
      <c r="C17" s="267"/>
      <c r="D17" s="6870" t="s">
        <v>3990</v>
      </c>
      <c r="E17" s="6871"/>
      <c r="F17" s="6871"/>
      <c r="G17" s="6871"/>
      <c r="H17" s="6872"/>
      <c r="I17" s="6957"/>
      <c r="J17" s="6958"/>
      <c r="K17" s="6958"/>
      <c r="L17" s="6958"/>
      <c r="M17" s="6958"/>
      <c r="N17" s="6958"/>
      <c r="O17" s="6958"/>
      <c r="P17" s="78"/>
      <c r="Q17" s="1179"/>
      <c r="R17" s="1927"/>
      <c r="S17" s="2595"/>
      <c r="T17" s="2595"/>
      <c r="U17" s="2595"/>
      <c r="V17" s="2595"/>
      <c r="W17" s="2595"/>
      <c r="X17" s="2595"/>
      <c r="Y17" s="2595"/>
      <c r="Z17" s="2595"/>
      <c r="AA17" s="2595"/>
      <c r="AB17" s="2595"/>
      <c r="AC17" s="2595"/>
      <c r="AD17" s="313"/>
      <c r="AE17" s="313"/>
    </row>
    <row r="18" spans="1:31" s="42" customFormat="1" ht="10.5" customHeight="1">
      <c r="A18" s="78"/>
      <c r="B18" s="338" t="s">
        <v>176</v>
      </c>
      <c r="C18" s="267"/>
      <c r="D18" s="6920" t="s">
        <v>3991</v>
      </c>
      <c r="E18" s="6921"/>
      <c r="F18" s="6921"/>
      <c r="G18" s="6921"/>
      <c r="H18" s="6922"/>
      <c r="I18" s="3702" t="s">
        <v>2938</v>
      </c>
      <c r="J18" s="338"/>
      <c r="K18" s="338"/>
      <c r="L18" s="338"/>
      <c r="M18" s="338"/>
      <c r="N18" s="338"/>
      <c r="O18" s="30"/>
      <c r="P18" s="78"/>
      <c r="Q18" s="1179"/>
      <c r="R18" s="1927"/>
      <c r="S18" s="2595"/>
      <c r="T18" s="2595"/>
      <c r="U18" s="2595"/>
      <c r="V18" s="2595"/>
      <c r="W18" s="2595"/>
      <c r="X18" s="2595"/>
      <c r="Y18" s="2595"/>
      <c r="Z18" s="2595"/>
      <c r="AA18" s="2595"/>
      <c r="AB18" s="2595"/>
      <c r="AC18" s="2595"/>
      <c r="AD18" s="313"/>
      <c r="AE18" s="313"/>
    </row>
    <row r="19" spans="1:31" ht="11.25" customHeight="1" thickBot="1">
      <c r="A19" s="78"/>
      <c r="B19" s="338" t="s">
        <v>229</v>
      </c>
      <c r="C19" s="879"/>
      <c r="D19" s="1195"/>
      <c r="E19" s="29"/>
      <c r="F19" s="29"/>
      <c r="G19" s="29"/>
      <c r="H19" s="29"/>
      <c r="I19" s="3194" t="s">
        <v>2937</v>
      </c>
      <c r="J19" s="1058"/>
      <c r="K19" s="1058"/>
      <c r="L19" s="1058"/>
      <c r="M19" s="1058"/>
      <c r="N19" s="1058"/>
      <c r="O19" s="29"/>
      <c r="P19" s="588"/>
      <c r="Q19" s="1145"/>
      <c r="R19" s="1699"/>
    </row>
    <row r="20" spans="1:31" ht="11.25" customHeight="1">
      <c r="A20" s="78"/>
      <c r="B20" s="544" t="s">
        <v>55</v>
      </c>
      <c r="C20" s="160"/>
      <c r="D20" s="545"/>
      <c r="E20" s="545"/>
      <c r="F20" s="545"/>
      <c r="G20" s="546"/>
      <c r="H20" s="6923" t="s">
        <v>89</v>
      </c>
      <c r="I20" s="6924"/>
      <c r="J20" s="6924"/>
      <c r="K20" s="6924"/>
      <c r="L20" s="6924"/>
      <c r="M20" s="6924"/>
      <c r="N20" s="6924"/>
      <c r="O20" s="6924"/>
      <c r="P20" s="588"/>
      <c r="Q20" s="1145"/>
      <c r="R20" s="1699"/>
    </row>
    <row r="21" spans="1:31" ht="17.25" customHeight="1">
      <c r="A21" s="78"/>
      <c r="B21" s="1298" t="str">
        <f>Names</f>
        <v/>
      </c>
      <c r="C21" s="1299"/>
      <c r="D21" s="1300"/>
      <c r="E21" s="1300"/>
      <c r="F21" s="1300"/>
      <c r="G21" s="1300"/>
      <c r="H21" s="6925">
        <f>IF(NoSSN,"",SS_Yours)</f>
        <v>1010001</v>
      </c>
      <c r="I21" s="6926"/>
      <c r="J21" s="6926"/>
      <c r="K21" s="6926"/>
      <c r="L21" s="6926"/>
      <c r="M21" s="6926"/>
      <c r="N21" s="6926"/>
      <c r="O21" s="6926"/>
      <c r="P21" s="588"/>
      <c r="Q21" s="1145"/>
      <c r="R21" s="1699"/>
    </row>
    <row r="22" spans="1:31" ht="13.5" customHeight="1">
      <c r="A22" s="78"/>
      <c r="B22" s="22" t="s">
        <v>51</v>
      </c>
      <c r="C22" s="22">
        <v>1</v>
      </c>
      <c r="D22" s="164" t="s">
        <v>56</v>
      </c>
      <c r="E22" s="21"/>
      <c r="F22" s="21"/>
      <c r="G22" s="21"/>
      <c r="H22" s="335"/>
      <c r="I22" s="6927" t="s">
        <v>37</v>
      </c>
      <c r="J22" s="6928"/>
      <c r="K22" s="6928"/>
      <c r="L22" s="6928"/>
      <c r="M22" s="6928"/>
      <c r="N22" s="6928"/>
      <c r="O22" s="6928"/>
      <c r="P22" s="588"/>
      <c r="Q22" s="1145"/>
      <c r="R22" s="1699"/>
    </row>
    <row r="23" spans="1:31" ht="12" customHeight="1">
      <c r="A23" s="78"/>
      <c r="B23" s="22" t="s">
        <v>389</v>
      </c>
      <c r="C23" s="22"/>
      <c r="D23" s="164" t="s">
        <v>1975</v>
      </c>
      <c r="E23" s="21"/>
      <c r="F23" s="21"/>
      <c r="G23" s="21"/>
      <c r="H23" s="336"/>
      <c r="I23" s="6929"/>
      <c r="J23" s="6930"/>
      <c r="K23" s="6930"/>
      <c r="L23" s="6930"/>
      <c r="M23" s="6930"/>
      <c r="N23" s="6930"/>
      <c r="O23" s="6930"/>
      <c r="P23" s="588"/>
      <c r="Q23" s="1145"/>
      <c r="R23" s="1699"/>
    </row>
    <row r="24" spans="1:31" ht="12.75" customHeight="1">
      <c r="A24" s="78"/>
      <c r="B24" s="21"/>
      <c r="C24" s="22"/>
      <c r="D24" s="164" t="s">
        <v>1976</v>
      </c>
      <c r="E24" s="21"/>
      <c r="F24" s="21"/>
      <c r="G24" s="252"/>
      <c r="H24" s="336"/>
      <c r="I24" s="6911"/>
      <c r="J24" s="6912"/>
      <c r="K24" s="6912"/>
      <c r="L24" s="6912"/>
      <c r="M24" s="6912"/>
      <c r="N24" s="6912"/>
      <c r="O24" s="6913"/>
      <c r="P24" s="588"/>
      <c r="Q24" s="1145"/>
      <c r="R24" s="1699"/>
      <c r="T24" s="2601"/>
    </row>
    <row r="25" spans="1:31" ht="12.75" customHeight="1">
      <c r="A25" s="78"/>
      <c r="B25" s="164" t="s">
        <v>57</v>
      </c>
      <c r="C25" s="22"/>
      <c r="D25" s="6908" t="str">
        <f>IF('1099-INT'!D30="","Use sheet '1099-INT' to enter interest amounts.",'1099-INT'!D30)</f>
        <v>Use sheet '1099-INT' to enter interest amounts.</v>
      </c>
      <c r="E25" s="6909"/>
      <c r="F25" s="6909"/>
      <c r="G25" s="6910"/>
      <c r="H25" s="336"/>
      <c r="I25" s="6917" t="str">
        <f>IF(AND('1099-INT'!D6="",'1099-INT'!D26="",'1099-INT'!D17=""),"",ROUND(SUM('1099-INT'!D6,'1099-INT'!D17,'1099-INT'!D26),2))</f>
        <v/>
      </c>
      <c r="J25" s="6918"/>
      <c r="K25" s="6918"/>
      <c r="L25" s="6918"/>
      <c r="M25" s="6918"/>
      <c r="N25" s="6918"/>
      <c r="O25" s="6919"/>
      <c r="P25" s="588"/>
      <c r="Q25" s="1145"/>
      <c r="R25" s="4092"/>
      <c r="S25" s="2601" t="s">
        <v>1715</v>
      </c>
      <c r="AD25" s="1308"/>
      <c r="AE25" s="1308"/>
    </row>
    <row r="26" spans="1:31" ht="12.75" customHeight="1">
      <c r="A26" s="78"/>
      <c r="B26" s="164" t="s">
        <v>1977</v>
      </c>
      <c r="C26" s="22"/>
      <c r="D26" s="6908" t="str">
        <f>IF('1099-INT'!E30="","",'1099-INT'!E30)</f>
        <v/>
      </c>
      <c r="E26" s="6909"/>
      <c r="F26" s="6909"/>
      <c r="G26" s="6910"/>
      <c r="H26" s="336"/>
      <c r="I26" s="6917" t="str">
        <f>IF(AND('1099-INT'!E6="",'1099-INT'!E26="",'1099-INT'!E17=""),"",ROUND(SUM('1099-INT'!E6,'1099-INT'!E17,'1099-INT'!E26),2))</f>
        <v/>
      </c>
      <c r="J26" s="6918"/>
      <c r="K26" s="6918"/>
      <c r="L26" s="6918"/>
      <c r="M26" s="6918"/>
      <c r="N26" s="6918"/>
      <c r="O26" s="6919"/>
      <c r="P26" s="588"/>
      <c r="Q26" s="1145"/>
      <c r="R26" s="4092"/>
      <c r="S26" s="2601" t="s">
        <v>2250</v>
      </c>
      <c r="AD26" s="1308"/>
      <c r="AE26" s="1308"/>
    </row>
    <row r="27" spans="1:31" ht="12.75" customHeight="1">
      <c r="A27" s="78"/>
      <c r="B27" s="164" t="s">
        <v>448</v>
      </c>
      <c r="C27" s="22"/>
      <c r="D27" s="6908" t="str">
        <f>IF('1099-INT'!F27="","",'1099-INT'!F30)</f>
        <v/>
      </c>
      <c r="E27" s="6909"/>
      <c r="F27" s="6909"/>
      <c r="G27" s="6910"/>
      <c r="H27" s="336"/>
      <c r="I27" s="6917" t="str">
        <f>IF(AND('1099-INT'!F6="",'1099-INT'!F26="",'1099-INT'!F17=""),"",ROUND(SUM('1099-INT'!F6,'1099-INT'!F$17,'1099-INT'!F$26),2))</f>
        <v/>
      </c>
      <c r="J27" s="6918"/>
      <c r="K27" s="6918"/>
      <c r="L27" s="6918"/>
      <c r="M27" s="6918"/>
      <c r="N27" s="6918"/>
      <c r="O27" s="6919"/>
      <c r="P27" s="588"/>
      <c r="Q27" s="1145"/>
      <c r="R27" s="4092"/>
      <c r="AD27" s="1308"/>
      <c r="AE27" s="1308"/>
    </row>
    <row r="28" spans="1:31" ht="12.75" customHeight="1">
      <c r="A28" s="78"/>
      <c r="B28" s="164" t="s">
        <v>3459</v>
      </c>
      <c r="C28" s="22"/>
      <c r="D28" s="6908" t="str">
        <f>IF('1099-INT'!G27="","",'1099-INT'!G30)</f>
        <v/>
      </c>
      <c r="E28" s="6909"/>
      <c r="F28" s="6909"/>
      <c r="G28" s="6910"/>
      <c r="H28" s="336"/>
      <c r="I28" s="6917" t="str">
        <f>IF(AND('1099-INT'!G6="",'1099-INT'!G26="",'1099-INT'!G17=""),"",ROUND(SUM('1099-INT'!G6,'1099-INT'!G$17,'1099-INT'!G$26),2))</f>
        <v/>
      </c>
      <c r="J28" s="6918"/>
      <c r="K28" s="6918"/>
      <c r="L28" s="6918"/>
      <c r="M28" s="6918"/>
      <c r="N28" s="6918"/>
      <c r="O28" s="6919"/>
      <c r="P28" s="588"/>
      <c r="Q28" s="1145"/>
      <c r="R28" s="4092"/>
      <c r="S28" s="2595" t="s">
        <v>2034</v>
      </c>
      <c r="AD28" s="1308"/>
      <c r="AE28" s="1308"/>
    </row>
    <row r="29" spans="1:31" ht="12.75" customHeight="1">
      <c r="A29" s="78"/>
      <c r="B29" s="164" t="s">
        <v>3458</v>
      </c>
      <c r="C29" s="22"/>
      <c r="D29" s="6908" t="str">
        <f>IF('1099-INT'!H27="","",'1099-INT'!H30)</f>
        <v/>
      </c>
      <c r="E29" s="6909"/>
      <c r="F29" s="6909"/>
      <c r="G29" s="6910"/>
      <c r="H29" s="336"/>
      <c r="I29" s="6917" t="str">
        <f>IF(AND('1099-INT'!H6="",'1099-INT'!H26="",'1099-INT'!H17=""),"",ROUND(SUM('1099-INT'!H6,'1099-INT'!H$17,'1099-INT'!H$26),2))</f>
        <v/>
      </c>
      <c r="J29" s="6918"/>
      <c r="K29" s="6918"/>
      <c r="L29" s="6918"/>
      <c r="M29" s="6918"/>
      <c r="N29" s="6918"/>
      <c r="O29" s="6919"/>
      <c r="P29" s="588"/>
      <c r="Q29" s="1145"/>
      <c r="R29" s="4092"/>
      <c r="AD29" s="1308"/>
      <c r="AE29" s="1308"/>
    </row>
    <row r="30" spans="1:31" ht="12.75" customHeight="1">
      <c r="A30" s="78"/>
      <c r="B30" s="164"/>
      <c r="C30" s="22"/>
      <c r="D30" s="6908" t="str">
        <f>IF('1099-INT'!D56="","",'1099-INT'!D59)</f>
        <v/>
      </c>
      <c r="E30" s="6909"/>
      <c r="F30" s="6909"/>
      <c r="G30" s="6910"/>
      <c r="H30" s="336"/>
      <c r="I30" s="6917" t="str">
        <f>IF(AND('1099-INT'!D35="",'1099-INT'!D55="",'1099-INT'!D46=""),"",ROUND(SUM('1099-INT'!D$35,'1099-INT'!D$46,'1099-INT'!D$55),2))</f>
        <v/>
      </c>
      <c r="J30" s="6918"/>
      <c r="K30" s="6918"/>
      <c r="L30" s="6918"/>
      <c r="M30" s="6918"/>
      <c r="N30" s="6918"/>
      <c r="O30" s="6919"/>
      <c r="P30" s="588"/>
      <c r="Q30" s="1145"/>
      <c r="R30" s="4092"/>
      <c r="S30" s="2601" t="s">
        <v>2258</v>
      </c>
      <c r="AD30" s="1308"/>
      <c r="AE30" s="1308"/>
    </row>
    <row r="31" spans="1:31" ht="12.75" customHeight="1">
      <c r="A31" s="78"/>
      <c r="B31" s="149"/>
      <c r="C31" s="22"/>
      <c r="D31" s="6908" t="str">
        <f>IF('1099-INT'!E56="","",'1099-INT'!E59)</f>
        <v/>
      </c>
      <c r="E31" s="6909"/>
      <c r="F31" s="6909"/>
      <c r="G31" s="6910"/>
      <c r="H31" s="336"/>
      <c r="I31" s="6917" t="str">
        <f>IF(AND('1099-INT'!E35="",'1099-INT'!E55="",'1099-INT'!E46=""),"",ROUND(SUM('1099-INT'!E$35,'1099-INT'!E$46,'1099-INT'!E$55),2))</f>
        <v/>
      </c>
      <c r="J31" s="6918"/>
      <c r="K31" s="6918"/>
      <c r="L31" s="6918"/>
      <c r="M31" s="6918"/>
      <c r="N31" s="6918"/>
      <c r="O31" s="6919"/>
      <c r="P31" s="588"/>
      <c r="Q31" s="1145"/>
      <c r="R31" s="4092"/>
      <c r="AD31" s="1308"/>
      <c r="AE31" s="1308"/>
    </row>
    <row r="32" spans="1:31" ht="12.75" customHeight="1">
      <c r="A32" s="78"/>
      <c r="B32" s="140" t="s">
        <v>2412</v>
      </c>
      <c r="C32" s="22"/>
      <c r="D32" s="6908" t="str">
        <f>IF('1099-INT'!F56="","",'1099-INT'!F59)</f>
        <v/>
      </c>
      <c r="E32" s="6909"/>
      <c r="F32" s="6909"/>
      <c r="G32" s="6910"/>
      <c r="H32" s="336"/>
      <c r="I32" s="6917" t="str">
        <f>IF(AND('1099-INT'!F35="",'1099-INT'!F55="",'1099-INT'!F46=""),"",ROUND(SUM('1099-INT'!F$35,'1099-INT'!F$46,'1099-INT'!F$55),2))</f>
        <v/>
      </c>
      <c r="J32" s="6918"/>
      <c r="K32" s="6918"/>
      <c r="L32" s="6918"/>
      <c r="M32" s="6918"/>
      <c r="N32" s="6918"/>
      <c r="O32" s="6919"/>
      <c r="P32" s="588"/>
      <c r="Q32" s="1145"/>
      <c r="R32" s="4092"/>
      <c r="AD32" s="1308"/>
      <c r="AE32" s="1308"/>
    </row>
    <row r="33" spans="1:31" ht="12.75" customHeight="1">
      <c r="A33" s="78"/>
      <c r="B33" s="6861" t="s">
        <v>712</v>
      </c>
      <c r="C33" s="22"/>
      <c r="D33" s="6908" t="str">
        <f>IF('1099-INT'!G56="","",'1099-INT'!G59)</f>
        <v/>
      </c>
      <c r="E33" s="6909"/>
      <c r="F33" s="6909"/>
      <c r="G33" s="6910"/>
      <c r="H33" s="336">
        <v>1</v>
      </c>
      <c r="I33" s="6917" t="str">
        <f>IF(AND('1099-INT'!G35="",'1099-INT'!G55="",'1099-INT'!G46=""),"",ROUND(SUM('1099-INT'!G$35,'1099-INT'!G$46,'1099-INT'!G$55),2))</f>
        <v/>
      </c>
      <c r="J33" s="6918"/>
      <c r="K33" s="6918"/>
      <c r="L33" s="6918"/>
      <c r="M33" s="6918"/>
      <c r="N33" s="6918"/>
      <c r="O33" s="6919"/>
      <c r="P33" s="588"/>
      <c r="Q33" s="1145"/>
      <c r="R33" s="4092"/>
      <c r="AD33" s="1308"/>
      <c r="AE33" s="1308"/>
    </row>
    <row r="34" spans="1:31" ht="12.75" customHeight="1">
      <c r="A34" s="78"/>
      <c r="B34" s="6861"/>
      <c r="C34" s="22"/>
      <c r="D34" s="6908" t="str">
        <f>IF('1099-INT'!H56="","",'1099-INT'!H59)</f>
        <v/>
      </c>
      <c r="E34" s="6909"/>
      <c r="F34" s="6909"/>
      <c r="G34" s="6910"/>
      <c r="H34" s="336"/>
      <c r="I34" s="6917" t="str">
        <f>IF(AND('1099-INT'!H35="",'1099-INT'!H55="",'1099-INT'!H46=""),"",ROUND(SUM('1099-INT'!H$35,'1099-INT'!H$46,'1099-INT'!H$55),2))</f>
        <v/>
      </c>
      <c r="J34" s="6918"/>
      <c r="K34" s="6918"/>
      <c r="L34" s="6918"/>
      <c r="M34" s="6918"/>
      <c r="N34" s="6918"/>
      <c r="O34" s="6919"/>
      <c r="P34" s="588"/>
      <c r="Q34" s="1145"/>
      <c r="R34" s="4092"/>
      <c r="AD34" s="1308"/>
      <c r="AE34" s="1308"/>
    </row>
    <row r="35" spans="1:31" ht="12.75" customHeight="1">
      <c r="A35" s="78"/>
      <c r="B35" s="6861"/>
      <c r="C35" s="22"/>
      <c r="D35" s="6908" t="str">
        <f>IF('1099-INT'!D86="","",'1099-INT'!D89)</f>
        <v/>
      </c>
      <c r="E35" s="6909"/>
      <c r="F35" s="6909"/>
      <c r="G35" s="6910"/>
      <c r="H35" s="336"/>
      <c r="I35" s="6933" t="str">
        <f>IF(AND('1099-INT'!D65="",'1099-INT'!D85="",'1099-INT'!D76=""),"",ROUND(SUM('1099-INT'!D65,'1099-INT'!D76,'1099-INT'!D85),2))</f>
        <v/>
      </c>
      <c r="J35" s="6934"/>
      <c r="K35" s="6934"/>
      <c r="L35" s="6934"/>
      <c r="M35" s="6934"/>
      <c r="N35" s="6934"/>
      <c r="O35" s="6935"/>
      <c r="P35" s="588"/>
      <c r="Q35" s="1145"/>
      <c r="R35" s="4092"/>
      <c r="AD35" s="1308"/>
      <c r="AE35" s="1308"/>
    </row>
    <row r="36" spans="1:31" ht="12.75" customHeight="1">
      <c r="A36" s="78"/>
      <c r="B36" s="6861"/>
      <c r="C36" s="22"/>
      <c r="D36" s="6908" t="str">
        <f>IF('1099-INT'!E86="","",'1099-INT'!E89)</f>
        <v/>
      </c>
      <c r="E36" s="6909"/>
      <c r="F36" s="6909"/>
      <c r="G36" s="6910"/>
      <c r="H36" s="336"/>
      <c r="I36" s="6933" t="str">
        <f>IF(AND('1099-INT'!E65="",'1099-INT'!E85="",'1099-INT'!E76=""),"",ROUND(SUM('1099-INT'!E65,'1099-INT'!E76,'1099-INT'!E85),2))</f>
        <v/>
      </c>
      <c r="J36" s="6934"/>
      <c r="K36" s="6934"/>
      <c r="L36" s="6934"/>
      <c r="M36" s="6934"/>
      <c r="N36" s="6934"/>
      <c r="O36" s="6935"/>
      <c r="P36" s="588"/>
      <c r="Q36" s="1145"/>
      <c r="R36" s="4092"/>
      <c r="AD36" s="1308"/>
      <c r="AE36" s="1308"/>
    </row>
    <row r="37" spans="1:31" ht="12.75" customHeight="1">
      <c r="A37" s="78"/>
      <c r="B37" s="6861"/>
      <c r="C37" s="22"/>
      <c r="D37" s="6908" t="str">
        <f>IF('1099-INT'!F86="","",'1099-INT'!F89)</f>
        <v/>
      </c>
      <c r="E37" s="6909"/>
      <c r="F37" s="6909"/>
      <c r="G37" s="6910"/>
      <c r="H37" s="336"/>
      <c r="I37" s="6933" t="str">
        <f>IF(AND('1099-INT'!F65="",'1099-INT'!F85="",'1099-INT'!F76=""),"",ROUND(SUM('1099-INT'!F65,'1099-INT'!F76,'1099-INT'!F85),2))</f>
        <v/>
      </c>
      <c r="J37" s="6934"/>
      <c r="K37" s="6934"/>
      <c r="L37" s="6934"/>
      <c r="M37" s="6934"/>
      <c r="N37" s="6934"/>
      <c r="O37" s="6935"/>
      <c r="P37" s="588"/>
      <c r="Q37" s="1145"/>
      <c r="R37" s="4092"/>
      <c r="AD37" s="1308"/>
      <c r="AE37" s="1308"/>
    </row>
    <row r="38" spans="1:31" ht="12.75" customHeight="1">
      <c r="A38" s="78"/>
      <c r="B38" s="6861"/>
      <c r="C38" s="22"/>
      <c r="D38" s="6908" t="str">
        <f>IF('1099-INT'!G86="","",'1099-INT'!G89)</f>
        <v/>
      </c>
      <c r="E38" s="6909"/>
      <c r="F38" s="6909"/>
      <c r="G38" s="6910"/>
      <c r="H38" s="336"/>
      <c r="I38" s="6933" t="str">
        <f>IF(AND('1099-INT'!G65="",'1099-INT'!G85="",'1099-INT'!G76=""),"",ROUND(SUM('1099-INT'!G65,'1099-INT'!G76,'1099-INT'!G85),2))</f>
        <v/>
      </c>
      <c r="J38" s="6934"/>
      <c r="K38" s="6934"/>
      <c r="L38" s="6934"/>
      <c r="M38" s="6934"/>
      <c r="N38" s="6934"/>
      <c r="O38" s="6935"/>
      <c r="P38" s="588"/>
      <c r="Q38" s="1145"/>
      <c r="R38" s="4092"/>
      <c r="AD38" s="1308"/>
      <c r="AE38" s="1308"/>
    </row>
    <row r="39" spans="1:31" ht="12.75" customHeight="1">
      <c r="A39" s="78"/>
      <c r="B39" s="6861"/>
      <c r="C39" s="22"/>
      <c r="D39" s="6908" t="str">
        <f>IF('1099-INT'!H86="","",'1099-INT'!H89)</f>
        <v/>
      </c>
      <c r="E39" s="6909"/>
      <c r="F39" s="6909"/>
      <c r="G39" s="6910"/>
      <c r="H39" s="333"/>
      <c r="I39" s="6933" t="str">
        <f>IF(AND('1099-INT'!H65="",'1099-INT'!H85="",'1099-INT'!H76=""),"",ROUND(SUM('1099-INT'!H65,'1099-INT'!H76,'1099-INT'!H85),2))</f>
        <v/>
      </c>
      <c r="J39" s="6934"/>
      <c r="K39" s="6934"/>
      <c r="L39" s="6934"/>
      <c r="M39" s="6934"/>
      <c r="N39" s="6934"/>
      <c r="O39" s="6935"/>
      <c r="P39" s="588"/>
      <c r="Q39" s="1145"/>
      <c r="R39" s="4092"/>
      <c r="AD39" s="1308"/>
      <c r="AE39" s="1308"/>
    </row>
    <row r="40" spans="1:31" ht="12.75" customHeight="1">
      <c r="A40" s="78"/>
      <c r="B40" s="6861"/>
      <c r="C40" s="22">
        <v>2</v>
      </c>
      <c r="D40" s="1023" t="s">
        <v>3995</v>
      </c>
      <c r="E40" s="21"/>
      <c r="F40" s="21"/>
      <c r="G40" s="21"/>
      <c r="H40" s="337">
        <v>2</v>
      </c>
      <c r="I40" s="6942">
        <f>ROUND(SUM(I25:I39),0)</f>
        <v>0</v>
      </c>
      <c r="J40" s="6943"/>
      <c r="K40" s="6943"/>
      <c r="L40" s="6943"/>
      <c r="M40" s="6943"/>
      <c r="N40" s="6943"/>
      <c r="O40" s="6943"/>
      <c r="P40" s="588"/>
      <c r="Q40" s="1145"/>
      <c r="R40" s="4092"/>
      <c r="AD40" s="1308"/>
      <c r="AE40" s="1308"/>
    </row>
    <row r="41" spans="1:31" ht="12.75" customHeight="1">
      <c r="A41" s="78"/>
      <c r="B41" s="6861"/>
      <c r="C41" s="22">
        <v>3</v>
      </c>
      <c r="D41" s="1023" t="s">
        <v>252</v>
      </c>
      <c r="E41" s="21"/>
      <c r="F41" s="21"/>
      <c r="G41" s="21"/>
      <c r="H41" s="335"/>
      <c r="I41" s="153"/>
      <c r="J41" s="153"/>
      <c r="K41" s="153"/>
      <c r="L41" s="153"/>
      <c r="M41" s="153"/>
      <c r="N41" s="153"/>
      <c r="O41" s="153"/>
      <c r="P41" s="588"/>
      <c r="Q41" s="1145"/>
      <c r="R41" s="1699"/>
    </row>
    <row r="42" spans="1:31" ht="12.75" customHeight="1">
      <c r="A42" s="78"/>
      <c r="B42" s="6861"/>
      <c r="C42" s="22"/>
      <c r="D42" s="1023" t="s">
        <v>58</v>
      </c>
      <c r="E42" s="21"/>
      <c r="F42" s="21"/>
      <c r="G42" s="979" t="s">
        <v>244</v>
      </c>
      <c r="H42" s="333">
        <v>3</v>
      </c>
      <c r="I42" s="6936"/>
      <c r="J42" s="6937"/>
      <c r="K42" s="6937"/>
      <c r="L42" s="6937"/>
      <c r="M42" s="6937"/>
      <c r="N42" s="6937"/>
      <c r="O42" s="6937"/>
      <c r="P42" s="588"/>
      <c r="Q42" s="1145"/>
      <c r="R42" s="1699"/>
    </row>
    <row r="43" spans="1:31" ht="12.75" customHeight="1">
      <c r="A43" s="78"/>
      <c r="B43" s="6861"/>
      <c r="C43" s="22">
        <v>4</v>
      </c>
      <c r="D43" s="164" t="s">
        <v>3992</v>
      </c>
      <c r="E43" s="21"/>
      <c r="F43" s="21"/>
      <c r="G43" s="1059"/>
      <c r="H43" s="333">
        <f>C43</f>
        <v>4</v>
      </c>
      <c r="I43" s="6931">
        <f>(I40)-ROUND(I42,0)</f>
        <v>0</v>
      </c>
      <c r="J43" s="6932"/>
      <c r="K43" s="6932"/>
      <c r="L43" s="6932"/>
      <c r="M43" s="6932"/>
      <c r="N43" s="6932"/>
      <c r="O43" s="6932"/>
      <c r="P43" s="588"/>
      <c r="Q43" s="1145"/>
      <c r="R43" s="1699"/>
    </row>
    <row r="44" spans="1:31">
      <c r="A44" s="78"/>
      <c r="B44" s="16"/>
      <c r="C44" s="1025" t="s">
        <v>27</v>
      </c>
      <c r="D44" s="986" t="str">
        <f>"If line 4 is over "&amp;TEXT(H44,"$0,000")&amp;", you must complete Part III."</f>
        <v>If line 4 is over $1,500, you must complete Part III.</v>
      </c>
      <c r="E44" s="152"/>
      <c r="F44" s="152"/>
      <c r="G44" s="1174" t="b">
        <f>AND($I$43&gt;$H$44,OR(AND(K72="",N72=""),AND(N72="",K76="",N76=""),AND(K81="",N81="")))</f>
        <v>0</v>
      </c>
      <c r="H44" s="1024">
        <v>1500</v>
      </c>
      <c r="I44" s="6927" t="s">
        <v>37</v>
      </c>
      <c r="J44" s="6928"/>
      <c r="K44" s="6928"/>
      <c r="L44" s="6928"/>
      <c r="M44" s="6928"/>
      <c r="N44" s="6928"/>
      <c r="O44" s="6928"/>
      <c r="P44" s="588"/>
      <c r="Q44" s="1145"/>
      <c r="R44" s="1699"/>
    </row>
    <row r="45" spans="1:31" ht="12.75" customHeight="1">
      <c r="A45" s="78"/>
      <c r="B45" s="151" t="s">
        <v>118</v>
      </c>
      <c r="C45" s="22">
        <v>5</v>
      </c>
      <c r="D45" s="1196" t="s">
        <v>45</v>
      </c>
      <c r="E45" s="6960"/>
      <c r="F45" s="6961"/>
      <c r="G45" s="6961"/>
      <c r="H45" s="336"/>
      <c r="I45" s="6933"/>
      <c r="J45" s="6934"/>
      <c r="K45" s="6934"/>
      <c r="L45" s="6934"/>
      <c r="M45" s="6934"/>
      <c r="N45" s="6934"/>
      <c r="O45" s="6935"/>
      <c r="P45" s="588"/>
      <c r="Q45" s="1145"/>
      <c r="R45" s="4092"/>
      <c r="S45" s="2601" t="s">
        <v>1715</v>
      </c>
      <c r="T45" s="2601"/>
      <c r="AD45" s="1308"/>
      <c r="AE45" s="1308"/>
    </row>
    <row r="46" spans="1:31" ht="12.75" customHeight="1">
      <c r="A46" s="78"/>
      <c r="B46" s="22" t="s">
        <v>357</v>
      </c>
      <c r="C46" s="22"/>
      <c r="D46" s="6908" t="str">
        <f>IF('1099-DIV'!D6="","Use sheet '1099-DIV' to enter dividend amounts.",'1099-DIV'!D29)</f>
        <v>Use sheet '1099-DIV' to enter dividend amounts.</v>
      </c>
      <c r="E46" s="6909"/>
      <c r="F46" s="6909"/>
      <c r="G46" s="6910"/>
      <c r="H46" s="336"/>
      <c r="I46" s="6933" t="str">
        <f>IF('1099-DIV'!D6="","",ROUND('1099-DIV'!D6,2))</f>
        <v/>
      </c>
      <c r="J46" s="6934"/>
      <c r="K46" s="6934"/>
      <c r="L46" s="6934"/>
      <c r="M46" s="6934"/>
      <c r="N46" s="6934"/>
      <c r="O46" s="6935"/>
      <c r="P46" s="588"/>
      <c r="Q46" s="1145"/>
      <c r="R46" s="4092"/>
      <c r="S46" s="2601" t="s">
        <v>2251</v>
      </c>
      <c r="AD46" s="1308"/>
      <c r="AE46" s="1308"/>
    </row>
    <row r="47" spans="1:31" ht="12.75" customHeight="1">
      <c r="A47" s="78"/>
      <c r="B47" s="22" t="s">
        <v>358</v>
      </c>
      <c r="C47" s="22"/>
      <c r="D47" s="6908" t="str">
        <f>IF('1099-DIV'!E6="","",'1099-DIV'!E29)</f>
        <v/>
      </c>
      <c r="E47" s="6909"/>
      <c r="F47" s="6909"/>
      <c r="G47" s="6910"/>
      <c r="H47" s="336"/>
      <c r="I47" s="6933" t="str">
        <f>IF('1099-DIV'!E6="","",ROUND('1099-DIV'!E6,2))</f>
        <v/>
      </c>
      <c r="J47" s="6934"/>
      <c r="K47" s="6934"/>
      <c r="L47" s="6934"/>
      <c r="M47" s="6934"/>
      <c r="N47" s="6934"/>
      <c r="O47" s="6935"/>
      <c r="P47" s="588"/>
      <c r="Q47" s="1145"/>
      <c r="R47" s="4092"/>
      <c r="AD47" s="1308"/>
      <c r="AE47" s="1308"/>
    </row>
    <row r="48" spans="1:31" ht="12.75" customHeight="1">
      <c r="A48" s="78"/>
      <c r="B48" s="22"/>
      <c r="C48" s="22"/>
      <c r="D48" s="6908" t="str">
        <f>IF('1099-DIV'!F6="","",'1099-DIV'!F29)</f>
        <v/>
      </c>
      <c r="E48" s="6909"/>
      <c r="F48" s="6909"/>
      <c r="G48" s="6910"/>
      <c r="H48" s="336"/>
      <c r="I48" s="6933" t="str">
        <f>IF('1099-DIV'!F6="","",ROUND('1099-DIV'!F6,2))</f>
        <v/>
      </c>
      <c r="J48" s="6934"/>
      <c r="K48" s="6934"/>
      <c r="L48" s="6934"/>
      <c r="M48" s="6934"/>
      <c r="N48" s="6934"/>
      <c r="O48" s="6935"/>
      <c r="P48" s="588"/>
      <c r="Q48" s="1145"/>
      <c r="R48" s="4092"/>
      <c r="S48" s="2595" t="s">
        <v>2034</v>
      </c>
      <c r="AD48" s="1308"/>
      <c r="AE48" s="1308"/>
    </row>
    <row r="49" spans="1:31" ht="12.75" customHeight="1">
      <c r="A49" s="78"/>
      <c r="B49" s="21" t="s">
        <v>57</v>
      </c>
      <c r="C49" s="22"/>
      <c r="D49" s="6908" t="str">
        <f>IF('1099-DIV'!G6="","",'1099-DIV'!G29)</f>
        <v/>
      </c>
      <c r="E49" s="6909"/>
      <c r="F49" s="6909"/>
      <c r="G49" s="6910"/>
      <c r="H49" s="336"/>
      <c r="I49" s="6933" t="str">
        <f>IF('1099-DIV'!G6="","",ROUND('1099-DIV'!G6,2))</f>
        <v/>
      </c>
      <c r="J49" s="6934"/>
      <c r="K49" s="6934"/>
      <c r="L49" s="6934"/>
      <c r="M49" s="6934"/>
      <c r="N49" s="6934"/>
      <c r="O49" s="6935"/>
      <c r="P49" s="588"/>
      <c r="Q49" s="1145"/>
      <c r="R49" s="4092"/>
      <c r="AD49" s="1308"/>
      <c r="AE49" s="1308"/>
    </row>
    <row r="50" spans="1:31" ht="12.75" customHeight="1">
      <c r="A50" s="78"/>
      <c r="B50" s="21" t="s">
        <v>1977</v>
      </c>
      <c r="C50" s="22"/>
      <c r="D50" s="6908" t="str">
        <f>IF('1099-DIV'!H6="","",'1099-DIV'!H29)</f>
        <v/>
      </c>
      <c r="E50" s="6909"/>
      <c r="F50" s="6909"/>
      <c r="G50" s="6910"/>
      <c r="H50" s="336"/>
      <c r="I50" s="6933" t="str">
        <f>IF('1099-DIV'!H6="","",ROUND('1099-DIV'!H6,2))</f>
        <v/>
      </c>
      <c r="J50" s="6934"/>
      <c r="K50" s="6934"/>
      <c r="L50" s="6934"/>
      <c r="M50" s="6934"/>
      <c r="N50" s="6934"/>
      <c r="O50" s="6935"/>
      <c r="P50" s="588"/>
      <c r="Q50" s="1145"/>
      <c r="R50" s="4092"/>
      <c r="S50" s="2601" t="s">
        <v>2259</v>
      </c>
      <c r="AD50" s="1308"/>
      <c r="AE50" s="1308"/>
    </row>
    <row r="51" spans="1:31" ht="12.75" customHeight="1">
      <c r="A51" s="78"/>
      <c r="B51" s="21" t="s">
        <v>448</v>
      </c>
      <c r="C51" s="22"/>
      <c r="D51" s="6908" t="str">
        <f>IF('1099-DIV'!D34="","",'1099-DIV'!D57)</f>
        <v/>
      </c>
      <c r="E51" s="6909"/>
      <c r="F51" s="6909"/>
      <c r="G51" s="6910"/>
      <c r="H51" s="336"/>
      <c r="I51" s="6933" t="str">
        <f>IF('1099-DIV'!D34="","",ROUND('1099-DIV'!D34,2))</f>
        <v/>
      </c>
      <c r="J51" s="6934"/>
      <c r="K51" s="6934"/>
      <c r="L51" s="6934"/>
      <c r="M51" s="6934"/>
      <c r="N51" s="6934"/>
      <c r="O51" s="6935"/>
      <c r="P51" s="588"/>
      <c r="Q51" s="1145"/>
      <c r="R51" s="4092"/>
      <c r="AD51" s="1308"/>
      <c r="AE51" s="1308"/>
    </row>
    <row r="52" spans="1:31" ht="12.75" customHeight="1">
      <c r="A52" s="78"/>
      <c r="B52" s="21" t="s">
        <v>3459</v>
      </c>
      <c r="C52" s="22"/>
      <c r="D52" s="6908" t="str">
        <f>IF('1099-DIV'!E34="","",'1099-DIV'!E57)</f>
        <v/>
      </c>
      <c r="E52" s="6909"/>
      <c r="F52" s="6909"/>
      <c r="G52" s="6910"/>
      <c r="H52" s="336"/>
      <c r="I52" s="6933" t="str">
        <f>IF('1099-DIV'!E34="","",ROUND('1099-DIV'!E34,2))</f>
        <v/>
      </c>
      <c r="J52" s="6934"/>
      <c r="K52" s="6934"/>
      <c r="L52" s="6934"/>
      <c r="M52" s="6934"/>
      <c r="N52" s="6934"/>
      <c r="O52" s="6935"/>
      <c r="P52" s="588"/>
      <c r="Q52" s="1145"/>
      <c r="R52" s="4092"/>
      <c r="AD52" s="1308"/>
      <c r="AE52" s="1308"/>
    </row>
    <row r="53" spans="1:31" ht="12.75" customHeight="1">
      <c r="A53" s="78"/>
      <c r="B53" s="21" t="s">
        <v>3460</v>
      </c>
      <c r="C53" s="22"/>
      <c r="D53" s="6908" t="str">
        <f>IF('1099-DIV'!F34="","",'1099-DIV'!F57)</f>
        <v/>
      </c>
      <c r="E53" s="6909"/>
      <c r="F53" s="6909"/>
      <c r="G53" s="6910"/>
      <c r="H53" s="336">
        <v>5</v>
      </c>
      <c r="I53" s="6933" t="str">
        <f>IF('1099-DIV'!F34="","",ROUND('1099-DIV'!F34,2))</f>
        <v/>
      </c>
      <c r="J53" s="6934"/>
      <c r="K53" s="6934"/>
      <c r="L53" s="6934"/>
      <c r="M53" s="6934"/>
      <c r="N53" s="6934"/>
      <c r="O53" s="6935"/>
      <c r="P53" s="588"/>
      <c r="Q53" s="1145"/>
      <c r="R53" s="4092"/>
      <c r="AD53" s="1308"/>
      <c r="AE53" s="1308"/>
    </row>
    <row r="54" spans="1:31" ht="12.75" customHeight="1">
      <c r="A54" s="78"/>
      <c r="B54" s="149"/>
      <c r="C54" s="22"/>
      <c r="D54" s="6908" t="str">
        <f>IF('1099-DIV'!G34="","",'1099-DIV'!G57)</f>
        <v/>
      </c>
      <c r="E54" s="6909"/>
      <c r="F54" s="6909"/>
      <c r="G54" s="6910"/>
      <c r="H54" s="336"/>
      <c r="I54" s="6933" t="str">
        <f>IF('1099-DIV'!G34="","",ROUND('1099-DIV'!G34,2))</f>
        <v/>
      </c>
      <c r="J54" s="6934"/>
      <c r="K54" s="6934"/>
      <c r="L54" s="6934"/>
      <c r="M54" s="6934"/>
      <c r="N54" s="6934"/>
      <c r="O54" s="6935"/>
      <c r="P54" s="588"/>
      <c r="Q54" s="1145"/>
      <c r="R54" s="4092"/>
      <c r="AD54" s="1308"/>
      <c r="AE54" s="1308"/>
    </row>
    <row r="55" spans="1:31" ht="12.75" customHeight="1">
      <c r="A55" s="78"/>
      <c r="B55" s="140" t="s">
        <v>2413</v>
      </c>
      <c r="C55" s="22"/>
      <c r="D55" s="6908" t="str">
        <f>IF('1099-DIV'!H34="","",'1099-DIV'!H57)</f>
        <v/>
      </c>
      <c r="E55" s="6909"/>
      <c r="F55" s="6909"/>
      <c r="G55" s="6910"/>
      <c r="H55" s="336"/>
      <c r="I55" s="6933" t="str">
        <f>IF('1099-DIV'!H34="","",ROUND('1099-DIV'!H34,2))</f>
        <v/>
      </c>
      <c r="J55" s="6934"/>
      <c r="K55" s="6934"/>
      <c r="L55" s="6934"/>
      <c r="M55" s="6934"/>
      <c r="N55" s="6934"/>
      <c r="O55" s="6935"/>
      <c r="P55" s="588"/>
      <c r="Q55" s="1145"/>
      <c r="R55" s="4092"/>
      <c r="AD55" s="1308"/>
      <c r="AE55" s="1308"/>
    </row>
    <row r="56" spans="1:31" ht="12.75" customHeight="1">
      <c r="A56" s="78"/>
      <c r="B56" s="21" t="s">
        <v>449</v>
      </c>
      <c r="C56" s="22"/>
      <c r="D56" s="6908" t="str">
        <f>IF('1099-DIV'!D62="","",'1099-DIV'!D85)</f>
        <v/>
      </c>
      <c r="E56" s="6909"/>
      <c r="F56" s="6909"/>
      <c r="G56" s="6910"/>
      <c r="H56" s="336"/>
      <c r="I56" s="6933" t="str">
        <f>IF('1099-DIV'!D62="","",ROUND('1099-DIV'!D62,2))</f>
        <v/>
      </c>
      <c r="J56" s="6934"/>
      <c r="K56" s="6934"/>
      <c r="L56" s="6934"/>
      <c r="M56" s="6934"/>
      <c r="N56" s="6934"/>
      <c r="O56" s="6935"/>
      <c r="P56" s="588"/>
      <c r="Q56" s="1145"/>
      <c r="R56" s="4092"/>
      <c r="AD56" s="1308"/>
      <c r="AE56" s="1308"/>
    </row>
    <row r="57" spans="1:31" ht="12.75" customHeight="1">
      <c r="A57" s="78"/>
      <c r="B57" s="21" t="s">
        <v>10</v>
      </c>
      <c r="C57" s="22"/>
      <c r="D57" s="6908" t="str">
        <f>IF('1099-DIV'!E62="","",'1099-DIV'!E85)</f>
        <v/>
      </c>
      <c r="E57" s="6909"/>
      <c r="F57" s="6909"/>
      <c r="G57" s="6910"/>
      <c r="H57" s="336"/>
      <c r="I57" s="6933" t="str">
        <f>IF('1099-DIV'!E62="","",ROUND('1099-DIV'!E62,2))</f>
        <v/>
      </c>
      <c r="J57" s="6934"/>
      <c r="K57" s="6934"/>
      <c r="L57" s="6934"/>
      <c r="M57" s="6934"/>
      <c r="N57" s="6934"/>
      <c r="O57" s="6935"/>
      <c r="P57" s="588"/>
      <c r="Q57" s="1145"/>
      <c r="R57" s="4092"/>
      <c r="AD57" s="1308"/>
      <c r="AE57" s="1308"/>
    </row>
    <row r="58" spans="1:31" ht="12.75" customHeight="1">
      <c r="A58" s="78"/>
      <c r="B58" s="21" t="s">
        <v>450</v>
      </c>
      <c r="C58" s="22"/>
      <c r="D58" s="6908" t="str">
        <f>IF('1099-DIV'!F62="","",'1099-DIV'!F85)</f>
        <v/>
      </c>
      <c r="E58" s="6909"/>
      <c r="F58" s="6909"/>
      <c r="G58" s="6910"/>
      <c r="H58" s="336"/>
      <c r="I58" s="6933" t="str">
        <f>IF('1099-DIV'!F62="","",ROUND('1099-DIV'!F62,2))</f>
        <v/>
      </c>
      <c r="J58" s="6934"/>
      <c r="K58" s="6934"/>
      <c r="L58" s="6934"/>
      <c r="M58" s="6934"/>
      <c r="N58" s="6934"/>
      <c r="O58" s="6935"/>
      <c r="P58" s="588"/>
      <c r="Q58" s="1145"/>
      <c r="R58" s="4092"/>
      <c r="AD58" s="1308"/>
      <c r="AE58" s="1308"/>
    </row>
    <row r="59" spans="1:31" ht="12.75" customHeight="1">
      <c r="A59" s="78"/>
      <c r="B59" s="21" t="s">
        <v>451</v>
      </c>
      <c r="C59" s="22"/>
      <c r="D59" s="6908" t="str">
        <f>IF('1099-DIV'!G62="","",'1099-DIV'!G85)</f>
        <v/>
      </c>
      <c r="E59" s="6909"/>
      <c r="F59" s="6909"/>
      <c r="G59" s="6910"/>
      <c r="H59" s="336"/>
      <c r="I59" s="6933" t="str">
        <f>IF('1099-DIV'!G62="","",ROUND('1099-DIV'!G62,2))</f>
        <v/>
      </c>
      <c r="J59" s="6934"/>
      <c r="K59" s="6934"/>
      <c r="L59" s="6934"/>
      <c r="M59" s="6934"/>
      <c r="N59" s="6934"/>
      <c r="O59" s="6935"/>
      <c r="P59" s="588"/>
      <c r="Q59" s="1145"/>
      <c r="R59" s="4092"/>
      <c r="AD59" s="1308"/>
      <c r="AE59" s="1308"/>
    </row>
    <row r="60" spans="1:31" ht="12.75" customHeight="1">
      <c r="A60" s="78"/>
      <c r="B60" s="21" t="s">
        <v>452</v>
      </c>
      <c r="C60" s="22"/>
      <c r="D60" s="6908" t="str">
        <f>IF('1099-DIV'!H62="","",'1099-DIV'!H85)</f>
        <v/>
      </c>
      <c r="E60" s="6909"/>
      <c r="F60" s="6909"/>
      <c r="G60" s="6910"/>
      <c r="H60" s="336"/>
      <c r="I60" s="6933" t="str">
        <f>IF('1099-DIV'!H62="","",ROUND('1099-DIV'!H62,2))</f>
        <v/>
      </c>
      <c r="J60" s="6934"/>
      <c r="K60" s="6934"/>
      <c r="L60" s="6934"/>
      <c r="M60" s="6934"/>
      <c r="N60" s="6934"/>
      <c r="O60" s="6935"/>
      <c r="P60" s="588"/>
      <c r="Q60" s="1145"/>
      <c r="R60" s="4092"/>
      <c r="AD60" s="1308"/>
      <c r="AE60" s="1308"/>
    </row>
    <row r="61" spans="1:31" ht="12.75" customHeight="1">
      <c r="A61" s="78"/>
      <c r="B61" s="21" t="s">
        <v>221</v>
      </c>
      <c r="C61" s="22"/>
      <c r="D61" s="6908" t="str">
        <f>IF('1099-DIV'!D90="","",'1099-DIV'!D113)</f>
        <v/>
      </c>
      <c r="E61" s="6909"/>
      <c r="F61" s="6909"/>
      <c r="G61" s="6910"/>
      <c r="H61" s="336"/>
      <c r="I61" s="6933" t="str">
        <f>IF('1099-DIV'!D90="","",ROUND('1099-DIV'!D90,2))</f>
        <v/>
      </c>
      <c r="J61" s="6934"/>
      <c r="K61" s="6934"/>
      <c r="L61" s="6934"/>
      <c r="M61" s="6934"/>
      <c r="N61" s="6934"/>
      <c r="O61" s="6935"/>
      <c r="P61" s="588"/>
      <c r="Q61" s="1145"/>
      <c r="R61" s="4092"/>
      <c r="AD61" s="1308"/>
      <c r="AE61" s="1308"/>
    </row>
    <row r="62" spans="1:31" ht="12.75" customHeight="1">
      <c r="A62" s="78"/>
      <c r="B62" s="21" t="s">
        <v>211</v>
      </c>
      <c r="C62" s="22"/>
      <c r="D62" s="6908" t="str">
        <f>IF('1099-DIV'!E90="","",'1099-DIV'!E113)</f>
        <v/>
      </c>
      <c r="E62" s="6909"/>
      <c r="F62" s="6909"/>
      <c r="G62" s="6910"/>
      <c r="H62" s="336"/>
      <c r="I62" s="6933" t="str">
        <f>IF('1099-DIV'!E90="","",ROUND('1099-DIV'!E90,2))</f>
        <v/>
      </c>
      <c r="J62" s="6934"/>
      <c r="K62" s="6934"/>
      <c r="L62" s="6934"/>
      <c r="M62" s="6934"/>
      <c r="N62" s="6934"/>
      <c r="O62" s="6935"/>
      <c r="P62" s="588"/>
      <c r="Q62" s="1145"/>
      <c r="R62" s="4092"/>
      <c r="AD62" s="1308"/>
      <c r="AE62" s="1308"/>
    </row>
    <row r="63" spans="1:31" ht="12.75" customHeight="1">
      <c r="A63" s="78"/>
      <c r="B63" s="21" t="s">
        <v>66</v>
      </c>
      <c r="C63" s="22"/>
      <c r="D63" s="6908" t="str">
        <f>IF('1099-DIV'!F90="","",'1099-DIV'!F113)</f>
        <v/>
      </c>
      <c r="E63" s="6909"/>
      <c r="F63" s="6909"/>
      <c r="G63" s="6910"/>
      <c r="H63" s="336"/>
      <c r="I63" s="6933" t="str">
        <f>IF('1099-DIV'!F90="","",ROUND('1099-DIV'!F90,2))</f>
        <v/>
      </c>
      <c r="J63" s="6934"/>
      <c r="K63" s="6934"/>
      <c r="L63" s="6934"/>
      <c r="M63" s="6934"/>
      <c r="N63" s="6934"/>
      <c r="O63" s="6935"/>
      <c r="P63" s="588"/>
      <c r="Q63" s="1145"/>
      <c r="R63" s="4092"/>
      <c r="AD63" s="1308"/>
      <c r="AE63" s="1308"/>
    </row>
    <row r="64" spans="1:31" ht="12.75" customHeight="1">
      <c r="A64" s="78"/>
      <c r="B64" s="21" t="s">
        <v>212</v>
      </c>
      <c r="C64" s="22"/>
      <c r="D64" s="6908" t="str">
        <f>IF('1099-DIV'!G90="","",'1099-DIV'!G113)</f>
        <v/>
      </c>
      <c r="E64" s="6909"/>
      <c r="F64" s="6909"/>
      <c r="G64" s="6910"/>
      <c r="H64" s="336"/>
      <c r="I64" s="6933" t="str">
        <f>IF('1099-DIV'!G90="","",ROUND('1099-DIV'!G90,2))</f>
        <v/>
      </c>
      <c r="J64" s="6934"/>
      <c r="K64" s="6934"/>
      <c r="L64" s="6934"/>
      <c r="M64" s="6934"/>
      <c r="N64" s="6934"/>
      <c r="O64" s="6935"/>
      <c r="P64" s="588"/>
      <c r="Q64" s="1145"/>
      <c r="R64" s="4092"/>
      <c r="AD64" s="1308"/>
      <c r="AE64" s="1308"/>
    </row>
    <row r="65" spans="1:31" ht="12.75" customHeight="1">
      <c r="A65" s="78"/>
      <c r="B65" s="21" t="s">
        <v>29</v>
      </c>
      <c r="C65" s="22"/>
      <c r="D65" s="6908"/>
      <c r="E65" s="6909"/>
      <c r="F65" s="6909"/>
      <c r="G65" s="6910"/>
      <c r="H65" s="333"/>
      <c r="I65" s="6933"/>
      <c r="J65" s="6934"/>
      <c r="K65" s="6934"/>
      <c r="L65" s="6934"/>
      <c r="M65" s="6934"/>
      <c r="N65" s="6934"/>
      <c r="O65" s="6935"/>
      <c r="P65" s="588"/>
      <c r="Q65" s="1145"/>
      <c r="R65" s="4092"/>
      <c r="AD65" s="1308"/>
      <c r="AE65" s="1308"/>
    </row>
    <row r="66" spans="1:31" ht="12.75" customHeight="1">
      <c r="A66" s="78"/>
      <c r="B66" s="21" t="s">
        <v>30</v>
      </c>
      <c r="C66" s="22">
        <v>6</v>
      </c>
      <c r="D66" s="164" t="s">
        <v>3461</v>
      </c>
      <c r="E66" s="21"/>
      <c r="F66" s="21"/>
      <c r="G66" s="979"/>
      <c r="H66" s="333">
        <v>6</v>
      </c>
      <c r="I66" s="6942">
        <f>ROUND(SUM(I45:I64),0)</f>
        <v>0</v>
      </c>
      <c r="J66" s="6943"/>
      <c r="K66" s="6943"/>
      <c r="L66" s="6943"/>
      <c r="M66" s="6943"/>
      <c r="N66" s="6943"/>
      <c r="O66" s="6943"/>
      <c r="P66" s="588"/>
      <c r="Q66" s="1145"/>
      <c r="R66" s="4092"/>
      <c r="AD66" s="1308"/>
      <c r="AE66" s="1308"/>
    </row>
    <row r="67" spans="1:31" ht="12.75" customHeight="1" thickBot="1">
      <c r="A67" s="78"/>
      <c r="B67" s="156"/>
      <c r="C67" s="1063" t="s">
        <v>27</v>
      </c>
      <c r="D67" s="1064" t="str">
        <f>"If line 6 is over "&amp;TEXT(H44,"$0,000")&amp;", you must complete Part III."</f>
        <v>If line 6 is over $1,500, you must complete Part III.</v>
      </c>
      <c r="E67" s="1065"/>
      <c r="F67" s="1065"/>
      <c r="G67" s="1175" t="b">
        <f>AND($I$66&gt;$H$44,OR(AND(K72="",N72=""),AND(N72="",K76="",N76=""),AND(K81="",N81="")))</f>
        <v>0</v>
      </c>
      <c r="H67" s="1066"/>
      <c r="I67" s="1067"/>
      <c r="J67" s="1067"/>
      <c r="K67" s="1067"/>
      <c r="L67" s="1067"/>
      <c r="M67" s="1067"/>
      <c r="N67" s="1067"/>
      <c r="O67" s="1067"/>
      <c r="P67" s="588"/>
      <c r="Q67" s="1145"/>
      <c r="R67" s="1699"/>
    </row>
    <row r="68" spans="1:31" ht="11.25" customHeight="1">
      <c r="A68" s="78"/>
      <c r="B68" s="591" t="s">
        <v>319</v>
      </c>
      <c r="C68" s="164" t="str">
        <f>"You must complete this part if you (a) had over "&amp;TEXT(H44,"$0,000")&amp;" of interest or dividends; (b) had a foreign"</f>
        <v>You must complete this part if you (a) had over $1,500 of interest or dividends; (b) had a foreign</v>
      </c>
      <c r="D68" s="21"/>
      <c r="E68" s="21"/>
      <c r="F68" s="21"/>
      <c r="G68" s="21"/>
      <c r="H68" s="22"/>
      <c r="I68" s="135"/>
      <c r="J68" s="6938" t="s">
        <v>271</v>
      </c>
      <c r="K68" s="6939"/>
      <c r="L68" s="6940"/>
      <c r="M68" s="6938" t="s">
        <v>272</v>
      </c>
      <c r="N68" s="6939"/>
      <c r="O68" s="6939"/>
      <c r="P68" s="588"/>
      <c r="Q68" s="1145"/>
      <c r="R68" s="1699"/>
    </row>
    <row r="69" spans="1:31" ht="11.25" customHeight="1">
      <c r="A69" s="78"/>
      <c r="B69" s="276"/>
      <c r="C69" s="250" t="s">
        <v>599</v>
      </c>
      <c r="D69" s="143"/>
      <c r="E69" s="143"/>
      <c r="F69" s="143"/>
      <c r="G69" s="143"/>
      <c r="H69" s="16"/>
      <c r="I69" s="547"/>
      <c r="J69" s="6941"/>
      <c r="K69" s="6939"/>
      <c r="L69" s="6940"/>
      <c r="M69" s="6941"/>
      <c r="N69" s="6939"/>
      <c r="O69" s="6939"/>
      <c r="P69" s="588"/>
      <c r="Q69" s="1145"/>
      <c r="R69" s="1699"/>
    </row>
    <row r="70" spans="1:31" ht="11.25" customHeight="1">
      <c r="A70" s="78"/>
      <c r="B70" s="6959" t="s">
        <v>2414</v>
      </c>
      <c r="C70" s="154" t="s">
        <v>265</v>
      </c>
      <c r="D70" s="164" t="str">
        <f>"At any time during "&amp;TaxYear&amp;", did you have interest in or a signature or other authority over a financial"</f>
        <v>At any time during 2021, did you have interest in or a signature or other authority over a financial</v>
      </c>
      <c r="E70" s="21"/>
      <c r="F70" s="21"/>
      <c r="G70" s="21"/>
      <c r="H70" s="22"/>
      <c r="I70" s="168"/>
      <c r="J70" s="3199"/>
      <c r="K70" s="588"/>
      <c r="L70" s="3200"/>
      <c r="M70" s="588"/>
      <c r="N70" s="588"/>
      <c r="O70" s="588"/>
      <c r="P70" s="588"/>
      <c r="Q70" s="1145"/>
      <c r="R70" s="1699"/>
    </row>
    <row r="71" spans="1:31" ht="9.75" customHeight="1">
      <c r="A71" s="78"/>
      <c r="B71" s="6959"/>
      <c r="C71" s="134"/>
      <c r="D71" s="164" t="s">
        <v>595</v>
      </c>
      <c r="E71" s="21"/>
      <c r="F71" s="21"/>
      <c r="G71" s="21"/>
      <c r="H71" s="22"/>
      <c r="I71" s="168"/>
      <c r="J71" s="1060"/>
      <c r="K71" s="135"/>
      <c r="L71" s="168"/>
      <c r="M71" s="1060"/>
      <c r="N71" s="135"/>
      <c r="O71" s="135"/>
      <c r="P71" s="588"/>
      <c r="Q71" s="1145"/>
      <c r="R71" s="1699"/>
    </row>
    <row r="72" spans="1:31" ht="9.75" customHeight="1">
      <c r="A72" s="78"/>
      <c r="B72" s="6959"/>
      <c r="C72" s="134"/>
      <c r="D72" s="164" t="s">
        <v>596</v>
      </c>
      <c r="E72" s="21"/>
      <c r="F72" s="21"/>
      <c r="G72" s="21"/>
      <c r="H72" s="22"/>
      <c r="I72" s="1059" t="s">
        <v>3993</v>
      </c>
      <c r="J72" s="1060"/>
      <c r="K72" s="1401"/>
      <c r="L72" s="168"/>
      <c r="M72" s="1060"/>
      <c r="N72" s="1401"/>
      <c r="O72" s="135"/>
      <c r="P72" s="588"/>
      <c r="Q72" s="1145"/>
      <c r="R72" s="1699"/>
    </row>
    <row r="73" spans="1:31" ht="3.75" customHeight="1">
      <c r="A73" s="78"/>
      <c r="B73" s="6959"/>
      <c r="C73" s="134"/>
      <c r="D73" s="21"/>
      <c r="E73" s="21"/>
      <c r="F73" s="21"/>
      <c r="G73" s="21"/>
      <c r="H73" s="22"/>
      <c r="I73" s="1059"/>
      <c r="J73" s="3202"/>
      <c r="K73" s="3203"/>
      <c r="L73" s="547"/>
      <c r="M73" s="3202"/>
      <c r="N73" s="3203"/>
      <c r="O73" s="18"/>
      <c r="P73" s="588"/>
      <c r="Q73" s="1145"/>
      <c r="R73" s="1699"/>
    </row>
    <row r="74" spans="1:31" ht="10.5" customHeight="1">
      <c r="A74" s="78"/>
      <c r="B74" s="6959"/>
      <c r="C74" s="134"/>
      <c r="D74" s="164" t="s">
        <v>782</v>
      </c>
      <c r="E74" s="21"/>
      <c r="F74" s="21"/>
      <c r="G74" s="21"/>
      <c r="H74" s="22"/>
      <c r="I74" s="1059"/>
      <c r="J74" s="3199"/>
      <c r="K74" s="588"/>
      <c r="L74" s="3200"/>
      <c r="M74" s="588"/>
      <c r="N74" s="588"/>
      <c r="O74" s="588"/>
      <c r="P74" s="588"/>
      <c r="Q74" s="1145"/>
      <c r="R74" s="1699"/>
    </row>
    <row r="75" spans="1:31" ht="9.75" customHeight="1">
      <c r="A75" s="78"/>
      <c r="B75" s="6861" t="s">
        <v>5407</v>
      </c>
      <c r="C75" s="134"/>
      <c r="D75" s="164" t="s">
        <v>1046</v>
      </c>
      <c r="E75" s="21"/>
      <c r="F75" s="21"/>
      <c r="G75" s="21"/>
      <c r="H75" s="22"/>
      <c r="I75" s="1059"/>
      <c r="J75" s="1060"/>
      <c r="K75" s="135"/>
      <c r="L75" s="168"/>
      <c r="M75" s="1060"/>
      <c r="N75" s="135"/>
      <c r="O75" s="135"/>
      <c r="P75" s="588"/>
      <c r="Q75" s="1145"/>
      <c r="R75" s="1699"/>
    </row>
    <row r="76" spans="1:31" ht="9.75" customHeight="1">
      <c r="A76" s="78"/>
      <c r="B76" s="6861"/>
      <c r="C76" s="134"/>
      <c r="D76" s="164" t="s">
        <v>1047</v>
      </c>
      <c r="E76" s="21"/>
      <c r="F76" s="21"/>
      <c r="G76" s="21"/>
      <c r="H76" s="22"/>
      <c r="I76" s="1059" t="s">
        <v>3994</v>
      </c>
      <c r="J76" s="1060"/>
      <c r="K76" s="1401"/>
      <c r="L76" s="168"/>
      <c r="M76" s="1060"/>
      <c r="N76" s="1401"/>
      <c r="O76" s="135"/>
      <c r="P76" s="588"/>
      <c r="Q76" s="1145"/>
      <c r="R76" s="1699"/>
    </row>
    <row r="77" spans="1:31" ht="3" customHeight="1">
      <c r="A77" s="78"/>
      <c r="B77" s="6861"/>
      <c r="C77" s="134"/>
      <c r="D77" s="21"/>
      <c r="E77" s="21"/>
      <c r="F77" s="21"/>
      <c r="G77" s="21"/>
      <c r="H77" s="22"/>
      <c r="I77" s="1059"/>
      <c r="J77" s="3202"/>
      <c r="K77" s="3203"/>
      <c r="L77" s="547"/>
      <c r="M77" s="3202"/>
      <c r="N77" s="3203"/>
      <c r="O77" s="18"/>
      <c r="P77" s="588"/>
      <c r="Q77" s="1145"/>
      <c r="R77" s="1699"/>
    </row>
    <row r="78" spans="1:31" ht="12.75" customHeight="1">
      <c r="A78" s="78"/>
      <c r="B78" s="6861"/>
      <c r="C78" s="155" t="s">
        <v>47</v>
      </c>
      <c r="D78" s="164" t="s">
        <v>783</v>
      </c>
      <c r="E78" s="21"/>
      <c r="F78" s="21"/>
      <c r="G78" s="21"/>
      <c r="H78" s="22"/>
      <c r="I78" s="1059"/>
      <c r="J78" s="3199"/>
      <c r="K78" s="588"/>
      <c r="L78" s="3200"/>
      <c r="M78" s="588"/>
      <c r="N78" s="588"/>
      <c r="O78" s="588"/>
      <c r="P78" s="588"/>
      <c r="Q78" s="1145"/>
      <c r="R78" s="1699"/>
    </row>
    <row r="79" spans="1:31" ht="12" customHeight="1">
      <c r="A79" s="78"/>
      <c r="B79" s="6861"/>
      <c r="C79" s="155"/>
      <c r="D79" s="1061" t="s">
        <v>597</v>
      </c>
      <c r="E79" s="6948"/>
      <c r="F79" s="6948"/>
      <c r="G79" s="6949"/>
      <c r="H79" s="6949"/>
      <c r="I79" s="6950"/>
      <c r="J79" s="3199"/>
      <c r="K79" s="588"/>
      <c r="L79" s="3200"/>
      <c r="M79" s="588"/>
      <c r="N79" s="588"/>
      <c r="O79" s="588"/>
      <c r="P79" s="588"/>
      <c r="Q79" s="1145"/>
      <c r="R79" s="1699"/>
    </row>
    <row r="80" spans="1:31" ht="12" customHeight="1">
      <c r="A80" s="78"/>
      <c r="B80" s="6861"/>
      <c r="C80" s="6946">
        <v>8</v>
      </c>
      <c r="D80" s="164" t="str">
        <f>"During "&amp;TaxYear&amp;", did you receive a distribution from, or were you the grantor of, or transferor to, a"</f>
        <v>During 2021, did you receive a distribution from, or were you the grantor of, or transferor to, a</v>
      </c>
      <c r="E80" s="21"/>
      <c r="F80" s="21"/>
      <c r="G80" s="21"/>
      <c r="H80" s="22"/>
      <c r="I80" s="168"/>
      <c r="J80" s="1170"/>
      <c r="K80" s="1171"/>
      <c r="L80" s="1172"/>
      <c r="M80" s="1170"/>
      <c r="N80" s="1171"/>
      <c r="O80" s="1171"/>
      <c r="P80" s="588"/>
      <c r="Q80" s="1145"/>
      <c r="R80" s="1699"/>
    </row>
    <row r="81" spans="1:18" ht="9.75" customHeight="1">
      <c r="A81" s="78"/>
      <c r="B81" s="6861"/>
      <c r="C81" s="6947"/>
      <c r="D81" s="164" t="s">
        <v>1974</v>
      </c>
      <c r="E81" s="21"/>
      <c r="F81" s="21"/>
      <c r="G81" s="21"/>
      <c r="H81" s="22"/>
      <c r="I81" s="1059" t="s">
        <v>3953</v>
      </c>
      <c r="J81" s="1060"/>
      <c r="K81" s="1401"/>
      <c r="L81" s="168"/>
      <c r="M81" s="1060"/>
      <c r="N81" s="1401"/>
      <c r="O81" s="135"/>
      <c r="P81" s="588"/>
      <c r="Q81" s="1145"/>
      <c r="R81" s="1699"/>
    </row>
    <row r="82" spans="1:18" ht="4.5" customHeight="1" thickBot="1">
      <c r="A82" s="78"/>
      <c r="B82" s="158"/>
      <c r="C82" s="1166"/>
      <c r="D82" s="158"/>
      <c r="E82" s="158"/>
      <c r="F82" s="158"/>
      <c r="G82" s="158"/>
      <c r="H82" s="156"/>
      <c r="I82" s="1167"/>
      <c r="J82" s="1168"/>
      <c r="K82" s="1169"/>
      <c r="L82" s="1173"/>
      <c r="M82" s="1168"/>
      <c r="N82" s="1165"/>
      <c r="O82" s="3201"/>
      <c r="P82" s="588"/>
      <c r="Q82" s="1145"/>
      <c r="R82" s="1699"/>
    </row>
    <row r="83" spans="1:18" ht="13.5" customHeight="1">
      <c r="A83" s="78"/>
      <c r="B83" s="265" t="s">
        <v>484</v>
      </c>
      <c r="C83" s="160"/>
      <c r="D83" s="160"/>
      <c r="E83" s="160"/>
      <c r="F83" s="1068" t="s">
        <v>598</v>
      </c>
      <c r="G83" s="160"/>
      <c r="H83" s="160"/>
      <c r="I83" s="274"/>
      <c r="J83" s="390"/>
      <c r="K83" s="568"/>
      <c r="L83" s="390"/>
      <c r="M83" s="390"/>
      <c r="N83" s="390"/>
      <c r="O83" s="1062" t="str">
        <f>"Schedule B (Form 1040)  "&amp;TaxYear</f>
        <v>Schedule B (Form 1040)  2021</v>
      </c>
      <c r="P83" s="588"/>
      <c r="Q83" s="1145"/>
      <c r="R83" s="1699"/>
    </row>
    <row r="84" spans="1:18" ht="9.75" customHeight="1">
      <c r="A84" s="78"/>
      <c r="B84" s="641"/>
      <c r="C84" s="641"/>
      <c r="D84" s="642"/>
      <c r="E84" s="642"/>
      <c r="F84" s="642"/>
      <c r="G84" s="642"/>
      <c r="H84" s="641"/>
      <c r="I84" s="643"/>
      <c r="J84" s="643"/>
      <c r="K84" s="643"/>
      <c r="L84" s="643"/>
      <c r="M84" s="643"/>
      <c r="N84" s="643"/>
      <c r="O84" s="643"/>
      <c r="P84" s="588"/>
      <c r="Q84" s="1145"/>
      <c r="R84" s="1699"/>
    </row>
    <row r="85" spans="1:18" ht="15" customHeight="1">
      <c r="A85" s="1"/>
      <c r="B85" s="1"/>
      <c r="C85" s="1"/>
      <c r="D85" s="3"/>
      <c r="E85" s="3"/>
      <c r="F85" s="3"/>
      <c r="G85" s="3"/>
      <c r="H85" s="1"/>
      <c r="I85" s="4"/>
      <c r="J85" s="4"/>
      <c r="K85" s="4"/>
      <c r="L85" s="4"/>
      <c r="M85" s="4"/>
      <c r="N85" s="4"/>
      <c r="O85" s="4"/>
    </row>
    <row r="86" spans="1:18">
      <c r="C86" s="1"/>
      <c r="D86" s="3"/>
      <c r="E86" s="3"/>
      <c r="F86" s="3"/>
      <c r="G86" s="3"/>
      <c r="H86" s="1"/>
      <c r="I86" s="4"/>
      <c r="J86" s="4"/>
      <c r="K86" s="4"/>
      <c r="L86" s="4"/>
      <c r="M86" s="4"/>
      <c r="N86" s="4"/>
      <c r="O86" s="4"/>
    </row>
    <row r="87" spans="1:18" ht="13.5" thickBot="1">
      <c r="B87" s="1"/>
      <c r="C87" s="1"/>
      <c r="D87" s="3"/>
      <c r="E87" s="3"/>
      <c r="F87" s="3"/>
      <c r="G87" s="3"/>
      <c r="H87" s="1"/>
      <c r="I87" s="4"/>
      <c r="J87" s="4"/>
      <c r="K87" s="4"/>
      <c r="L87" s="4"/>
      <c r="M87" s="4"/>
      <c r="N87" s="4"/>
      <c r="O87" s="4"/>
    </row>
    <row r="88" spans="1:18" ht="14.25" thickTop="1" thickBot="1">
      <c r="B88" s="1"/>
      <c r="C88" s="6262" t="s">
        <v>153</v>
      </c>
      <c r="D88" s="6944"/>
      <c r="E88" s="6944"/>
      <c r="F88" s="6944"/>
      <c r="G88" s="6945"/>
      <c r="H88" s="1"/>
      <c r="I88" s="4"/>
      <c r="J88" s="4"/>
      <c r="K88" s="4"/>
      <c r="L88" s="4"/>
      <c r="M88" s="4"/>
      <c r="N88" s="4"/>
      <c r="O88" s="4"/>
    </row>
    <row r="89" spans="1:18" ht="13.5" thickTop="1">
      <c r="B89" s="1"/>
      <c r="C89" s="1"/>
      <c r="D89" s="3"/>
      <c r="E89" s="3"/>
      <c r="F89" s="3"/>
      <c r="G89" s="3"/>
      <c r="H89" s="1"/>
      <c r="I89" s="4"/>
      <c r="J89" s="4"/>
      <c r="K89" s="4"/>
      <c r="L89" s="4"/>
      <c r="M89" s="4"/>
      <c r="N89" s="4"/>
      <c r="O89" s="4"/>
    </row>
  </sheetData>
  <sheetProtection algorithmName="SHA-512" hashValue="4y+XKrG0l7cx+UBcrxIkxFj/d94kLLwlcuhTggCR7frsxDwSP7rS/GoD7LCotBr0F5yVYOVNFjiqrMVAh99vkw==" saltValue="it0rg0hJV9Kz6RldzkzMZg==" spinCount="100000" sheet="1" objects="1" scenarios="1"/>
  <mergeCells count="95">
    <mergeCell ref="D47:G47"/>
    <mergeCell ref="D25:G25"/>
    <mergeCell ref="I25:O25"/>
    <mergeCell ref="B70:B74"/>
    <mergeCell ref="E45:G45"/>
    <mergeCell ref="D50:G50"/>
    <mergeCell ref="D55:G55"/>
    <mergeCell ref="D52:G52"/>
    <mergeCell ref="D54:G54"/>
    <mergeCell ref="D53:G53"/>
    <mergeCell ref="D64:G64"/>
    <mergeCell ref="D58:G58"/>
    <mergeCell ref="D60:G60"/>
    <mergeCell ref="D61:G61"/>
    <mergeCell ref="D59:G59"/>
    <mergeCell ref="D63:G63"/>
    <mergeCell ref="D62:G62"/>
    <mergeCell ref="D31:G31"/>
    <mergeCell ref="I30:O30"/>
    <mergeCell ref="I31:O31"/>
    <mergeCell ref="I32:O32"/>
    <mergeCell ref="I33:O33"/>
    <mergeCell ref="I35:O35"/>
    <mergeCell ref="I36:O36"/>
    <mergeCell ref="I38:O38"/>
    <mergeCell ref="I39:O39"/>
    <mergeCell ref="I40:O40"/>
    <mergeCell ref="D36:G36"/>
    <mergeCell ref="D37:G37"/>
    <mergeCell ref="I56:O56"/>
    <mergeCell ref="I51:O51"/>
    <mergeCell ref="I44:O44"/>
    <mergeCell ref="I14:O15"/>
    <mergeCell ref="I26:O26"/>
    <mergeCell ref="I27:O27"/>
    <mergeCell ref="I34:O34"/>
    <mergeCell ref="I16:O17"/>
    <mergeCell ref="I45:O45"/>
    <mergeCell ref="I46:O46"/>
    <mergeCell ref="I48:O48"/>
    <mergeCell ref="I47:O47"/>
    <mergeCell ref="I49:O49"/>
    <mergeCell ref="I50:O50"/>
    <mergeCell ref="I55:O55"/>
    <mergeCell ref="I53:O53"/>
    <mergeCell ref="I52:O52"/>
    <mergeCell ref="I54:O54"/>
    <mergeCell ref="I57:O57"/>
    <mergeCell ref="I58:O58"/>
    <mergeCell ref="I63:O63"/>
    <mergeCell ref="I64:O64"/>
    <mergeCell ref="I59:O59"/>
    <mergeCell ref="I60:O60"/>
    <mergeCell ref="I61:O61"/>
    <mergeCell ref="I62:O62"/>
    <mergeCell ref="J68:L69"/>
    <mergeCell ref="M68:O69"/>
    <mergeCell ref="I66:O66"/>
    <mergeCell ref="I65:O65"/>
    <mergeCell ref="C88:G88"/>
    <mergeCell ref="C80:C81"/>
    <mergeCell ref="E79:I79"/>
    <mergeCell ref="D65:G65"/>
    <mergeCell ref="D49:G49"/>
    <mergeCell ref="I24:O24"/>
    <mergeCell ref="D17:H17"/>
    <mergeCell ref="D16:H16"/>
    <mergeCell ref="D27:G27"/>
    <mergeCell ref="D33:G33"/>
    <mergeCell ref="I28:O28"/>
    <mergeCell ref="I29:O29"/>
    <mergeCell ref="D18:H18"/>
    <mergeCell ref="H20:O20"/>
    <mergeCell ref="H21:O21"/>
    <mergeCell ref="I22:O22"/>
    <mergeCell ref="I23:O23"/>
    <mergeCell ref="I43:O43"/>
    <mergeCell ref="I37:O37"/>
    <mergeCell ref="I42:O42"/>
    <mergeCell ref="B75:B81"/>
    <mergeCell ref="B33:B43"/>
    <mergeCell ref="D26:G26"/>
    <mergeCell ref="D56:G56"/>
    <mergeCell ref="D57:G57"/>
    <mergeCell ref="D51:G51"/>
    <mergeCell ref="D28:G28"/>
    <mergeCell ref="D29:G29"/>
    <mergeCell ref="D30:G30"/>
    <mergeCell ref="D32:G32"/>
    <mergeCell ref="D34:G34"/>
    <mergeCell ref="D35:G35"/>
    <mergeCell ref="D38:G38"/>
    <mergeCell ref="D39:G39"/>
    <mergeCell ref="D46:G46"/>
    <mergeCell ref="D48:G48"/>
  </mergeCells>
  <phoneticPr fontId="14" type="noConversion"/>
  <conditionalFormatting sqref="B17">
    <cfRule type="expression" dxfId="2274" priority="6">
      <formula>NOT(Draft)</formula>
    </cfRule>
  </conditionalFormatting>
  <conditionalFormatting sqref="B21:O21">
    <cfRule type="expression" dxfId="2273" priority="64">
      <formula>IF(NoColor,1,0)</formula>
    </cfRule>
  </conditionalFormatting>
  <conditionalFormatting sqref="C3">
    <cfRule type="expression" dxfId="2272" priority="4">
      <formula>Sch.B_Reqd</formula>
    </cfRule>
  </conditionalFormatting>
  <conditionalFormatting sqref="C44">
    <cfRule type="expression" dxfId="2271" priority="68" stopIfTrue="1">
      <formula>$G$44</formula>
    </cfRule>
  </conditionalFormatting>
  <conditionalFormatting sqref="C67:D67">
    <cfRule type="expression" dxfId="2270" priority="65" stopIfTrue="1">
      <formula>IF($G$67,1,0)</formula>
    </cfRule>
  </conditionalFormatting>
  <conditionalFormatting sqref="D15">
    <cfRule type="expression" dxfId="2269" priority="5">
      <formula>NOT(Draft)</formula>
    </cfRule>
  </conditionalFormatting>
  <conditionalFormatting sqref="D44">
    <cfRule type="expression" dxfId="2268" priority="67" stopIfTrue="1">
      <formula>IF($G$44,TRUE,FALSE)</formula>
    </cfRule>
  </conditionalFormatting>
  <conditionalFormatting sqref="D25:G39">
    <cfRule type="expression" dxfId="2267" priority="24">
      <formula>IF(NoColor,1,0)</formula>
    </cfRule>
  </conditionalFormatting>
  <conditionalFormatting sqref="D46:G65">
    <cfRule type="expression" dxfId="2266" priority="7">
      <formula>IF(NoColor,1,0)</formula>
    </cfRule>
  </conditionalFormatting>
  <conditionalFormatting sqref="E45:G45">
    <cfRule type="expression" dxfId="2265" priority="58">
      <formula>IF(NoColor,1,0)</formula>
    </cfRule>
  </conditionalFormatting>
  <conditionalFormatting sqref="E79:I79">
    <cfRule type="expression" dxfId="2264" priority="49">
      <formula>IF(NoColor,1,0)</formula>
    </cfRule>
  </conditionalFormatting>
  <conditionalFormatting sqref="I25:I39">
    <cfRule type="expression" dxfId="2263" priority="8">
      <formula>IF(R25&lt;&gt;0,TRUE,FALSE)</formula>
    </cfRule>
  </conditionalFormatting>
  <conditionalFormatting sqref="I45:I65">
    <cfRule type="expression" dxfId="2262" priority="1">
      <formula>IF(R45&lt;&gt;0,1,0)</formula>
    </cfRule>
  </conditionalFormatting>
  <conditionalFormatting sqref="I25:O40">
    <cfRule type="expression" dxfId="2261" priority="9">
      <formula>IF(NoColor,1,0)</formula>
    </cfRule>
  </conditionalFormatting>
  <conditionalFormatting sqref="I42:O43">
    <cfRule type="expression" dxfId="2260" priority="60">
      <formula>IF(NoColor,1,0)</formula>
    </cfRule>
  </conditionalFormatting>
  <conditionalFormatting sqref="I45:O66">
    <cfRule type="expression" dxfId="2259" priority="2">
      <formula>IF(NoColor,1,0)</formula>
    </cfRule>
  </conditionalFormatting>
  <conditionalFormatting sqref="J25:O39">
    <cfRule type="expression" dxfId="2258" priority="10">
      <formula>IF(#REF!&lt;&gt;0,TRUE,FALSE)</formula>
    </cfRule>
  </conditionalFormatting>
  <conditionalFormatting sqref="J45:O65">
    <cfRule type="expression" dxfId="2257" priority="3">
      <formula>IF(#REF!&lt;&gt;0,1,0)</formula>
    </cfRule>
  </conditionalFormatting>
  <conditionalFormatting sqref="K72">
    <cfRule type="expression" dxfId="2256" priority="55">
      <formula>IF(NoColor,1,0)</formula>
    </cfRule>
  </conditionalFormatting>
  <conditionalFormatting sqref="K76">
    <cfRule type="expression" dxfId="2255" priority="53">
      <formula>IF(NoColor,1,0)</formula>
    </cfRule>
  </conditionalFormatting>
  <conditionalFormatting sqref="K81">
    <cfRule type="expression" dxfId="2254" priority="51">
      <formula>IF(NoColor,1,0)</formula>
    </cfRule>
  </conditionalFormatting>
  <conditionalFormatting sqref="N72">
    <cfRule type="expression" dxfId="2253" priority="54">
      <formula>IF(NoColor,1,0)</formula>
    </cfRule>
  </conditionalFormatting>
  <conditionalFormatting sqref="N76">
    <cfRule type="expression" dxfId="2252" priority="52">
      <formula>IF(NoColor,1,0)</formula>
    </cfRule>
  </conditionalFormatting>
  <conditionalFormatting sqref="N81">
    <cfRule type="expression" dxfId="2251" priority="50">
      <formula>IF(NoColor,1,0)</formula>
    </cfRule>
  </conditionalFormatting>
  <hyperlinks>
    <hyperlink ref="C88:G88" r:id="rId1" display="Download Form 1040 Schedules A&amp;B" xr:uid="{00000000-0004-0000-1A00-000000000000}"/>
  </hyperlinks>
  <printOptions horizontalCentered="1"/>
  <pageMargins left="0.48" right="0.25" top="0.33" bottom="0.2" header="0.25" footer="0.2"/>
  <pageSetup scale="92"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
    <pageSetUpPr fitToPage="1"/>
  </sheetPr>
  <dimension ref="A1:AM236"/>
  <sheetViews>
    <sheetView zoomScaleNormal="100" zoomScaleSheetLayoutView="100" workbookViewId="0">
      <selection activeCell="E15" sqref="E15"/>
    </sheetView>
  </sheetViews>
  <sheetFormatPr defaultRowHeight="12.75"/>
  <cols>
    <col min="1" max="1" width="2" customWidth="1"/>
    <col min="2" max="2" width="7" customWidth="1"/>
    <col min="3" max="3" width="14" customWidth="1"/>
    <col min="4" max="4" width="9.7109375" customWidth="1"/>
    <col min="5" max="5" width="3" customWidth="1"/>
    <col min="6" max="6" width="4.85546875" customWidth="1"/>
    <col min="7" max="7" width="3.5703125" customWidth="1"/>
    <col min="8" max="8" width="4" customWidth="1"/>
    <col min="9" max="9" width="14.7109375" customWidth="1"/>
    <col min="10" max="10" width="3" customWidth="1"/>
    <col min="11" max="11" width="3.42578125" customWidth="1"/>
    <col min="12" max="12" width="10.85546875" customWidth="1"/>
    <col min="13" max="19" width="4.5703125" customWidth="1"/>
    <col min="20" max="20" width="4.42578125" customWidth="1"/>
    <col min="21" max="21" width="11" customWidth="1"/>
    <col min="22" max="22" width="2.85546875" customWidth="1"/>
    <col min="23" max="23" width="14.85546875" style="42" customWidth="1"/>
    <col min="24" max="24" width="4" style="2136" customWidth="1"/>
    <col min="25" max="25" width="9.5703125" customWidth="1"/>
    <col min="26" max="26" width="30.7109375" customWidth="1"/>
    <col min="27" max="27" width="10.7109375" customWidth="1"/>
    <col min="28" max="28" width="21.28515625" customWidth="1"/>
    <col min="29" max="39" width="10.7109375" style="2595" customWidth="1"/>
    <col min="40" max="41" width="10.7109375" customWidth="1"/>
  </cols>
  <sheetData>
    <row r="1" spans="1:29" ht="21.75" customHeight="1">
      <c r="A1" s="78"/>
      <c r="B1" s="78"/>
      <c r="C1" s="78"/>
      <c r="D1" s="78"/>
      <c r="E1" s="78"/>
      <c r="F1" s="3487" t="s">
        <v>2752</v>
      </c>
      <c r="G1" s="78"/>
      <c r="H1" s="78"/>
      <c r="I1" s="78"/>
      <c r="J1" s="78"/>
      <c r="K1" s="78"/>
      <c r="L1" s="78"/>
      <c r="M1" s="78"/>
      <c r="N1" s="78"/>
      <c r="O1" s="78"/>
      <c r="P1" s="78"/>
      <c r="Q1" s="78"/>
      <c r="R1" s="78"/>
      <c r="S1" s="78"/>
      <c r="T1" s="78"/>
      <c r="U1" s="78"/>
      <c r="V1" s="588"/>
      <c r="W1" s="385"/>
      <c r="X1" s="4808"/>
      <c r="AC1" s="2594" t="s">
        <v>2033</v>
      </c>
    </row>
    <row r="2" spans="1:29" ht="20.25" customHeight="1">
      <c r="A2" s="588"/>
      <c r="B2" s="334" t="s">
        <v>361</v>
      </c>
      <c r="C2" s="831"/>
      <c r="D2" s="3206"/>
      <c r="E2" s="161"/>
      <c r="F2" s="593"/>
      <c r="G2" s="275"/>
      <c r="H2" s="275"/>
      <c r="I2" s="4622" t="s">
        <v>362</v>
      </c>
      <c r="J2" s="135"/>
      <c r="K2" s="135"/>
      <c r="L2" s="22"/>
      <c r="M2" s="135"/>
      <c r="N2" s="275"/>
      <c r="O2" s="275"/>
      <c r="P2" s="165"/>
      <c r="Q2" s="3205"/>
      <c r="R2" s="7032" t="s">
        <v>152</v>
      </c>
      <c r="S2" s="6763"/>
      <c r="T2" s="6763"/>
      <c r="U2" s="6763"/>
      <c r="V2" s="588"/>
      <c r="W2" s="4833" t="s">
        <v>4382</v>
      </c>
      <c r="X2" s="2151" t="str">
        <f>IF(X3&lt;&gt;"","","X")</f>
        <v>X</v>
      </c>
      <c r="Y2" s="4852"/>
      <c r="Z2" s="4852"/>
      <c r="AA2" s="4852"/>
      <c r="AB2" s="4852"/>
    </row>
    <row r="3" spans="1:29" ht="18.75" customHeight="1">
      <c r="A3" s="588"/>
      <c r="B3" s="4623" t="s">
        <v>3973</v>
      </c>
      <c r="C3" s="831"/>
      <c r="D3" s="3204"/>
      <c r="E3" s="161"/>
      <c r="F3" s="161"/>
      <c r="G3" s="161"/>
      <c r="H3" s="162"/>
      <c r="I3" s="980" t="s">
        <v>363</v>
      </c>
      <c r="J3" s="163"/>
      <c r="K3" s="163"/>
      <c r="L3" s="161"/>
      <c r="M3" s="164"/>
      <c r="N3" s="162"/>
      <c r="O3" s="162"/>
      <c r="P3" s="165"/>
      <c r="Q3" s="161"/>
      <c r="R3" s="7033">
        <f>TaxYear</f>
        <v>2021</v>
      </c>
      <c r="S3" s="7034"/>
      <c r="T3" s="7035"/>
      <c r="U3" s="6720"/>
      <c r="V3" s="588"/>
      <c r="W3" s="4833" t="s">
        <v>4383</v>
      </c>
      <c r="X3" s="1245"/>
    </row>
    <row r="4" spans="1:29" ht="12" customHeight="1">
      <c r="A4" s="588"/>
      <c r="B4" s="7036" t="s">
        <v>923</v>
      </c>
      <c r="C4" s="7037"/>
      <c r="D4" s="7040" t="s">
        <v>3997</v>
      </c>
      <c r="E4" s="7041"/>
      <c r="F4" s="7041"/>
      <c r="G4" s="7041"/>
      <c r="H4" s="7041"/>
      <c r="I4" s="7041"/>
      <c r="J4" s="7041"/>
      <c r="K4" s="7041"/>
      <c r="L4" s="7041"/>
      <c r="M4" s="7041"/>
      <c r="N4" s="7041"/>
      <c r="O4" s="7041"/>
      <c r="P4" s="7041"/>
      <c r="Q4" s="7042"/>
      <c r="R4" s="7020" t="s">
        <v>2729</v>
      </c>
      <c r="S4" s="7021"/>
      <c r="T4" s="7021"/>
      <c r="U4" s="7024" t="s">
        <v>2730</v>
      </c>
      <c r="V4" s="588"/>
      <c r="W4" s="385"/>
      <c r="X4" s="4808"/>
    </row>
    <row r="5" spans="1:29" ht="11.25" customHeight="1">
      <c r="A5" s="588"/>
      <c r="B5" s="7038"/>
      <c r="C5" s="7039"/>
      <c r="D5" s="7043" t="s">
        <v>5408</v>
      </c>
      <c r="E5" s="7044"/>
      <c r="F5" s="7044"/>
      <c r="G5" s="7044"/>
      <c r="H5" s="7044"/>
      <c r="I5" s="7044"/>
      <c r="J5" s="7044"/>
      <c r="K5" s="7044"/>
      <c r="L5" s="7044"/>
      <c r="M5" s="7044"/>
      <c r="N5" s="7044"/>
      <c r="O5" s="7044"/>
      <c r="P5" s="7044"/>
      <c r="Q5" s="7045"/>
      <c r="R5" s="7022"/>
      <c r="S5" s="7023"/>
      <c r="T5" s="7023"/>
      <c r="U5" s="7025"/>
      <c r="V5" s="588"/>
      <c r="W5" s="7009" t="str">
        <f>IF(Y11,"Invalid selection.",IF(AND(NOT(Y6),NOT(Y8),NOT(Y10)),"Indicate which "&amp;CHAR(10)&amp;"Sch. SE is to be linked to this form.",IF(AND(Y6,Y8),"This Sch. C is linked to both "&amp;CHAR(10)&amp;"Sch. SEs",IF(Y6,"This Sch. C is linked to the first "&amp;CHAR(10)&amp;"Sch. SE",IF(Y8,"This Sch. C is linked to the second "&amp;CHAR(10)&amp;"Sch. SE",IF(Y10,"This Sch. C is not linked to either Sch. SE.",""))))))</f>
        <v>This Sch. C is linked to the first 
Sch. SE</v>
      </c>
      <c r="X5" s="1245" t="s">
        <v>1262</v>
      </c>
      <c r="Y5" s="1357" t="s">
        <v>4359</v>
      </c>
      <c r="Z5" s="1357"/>
      <c r="AA5" s="1357"/>
      <c r="AB5" s="1357"/>
    </row>
    <row r="6" spans="1:29" ht="12" customHeight="1">
      <c r="A6" s="588"/>
      <c r="B6" s="164" t="s">
        <v>364</v>
      </c>
      <c r="C6" s="161"/>
      <c r="D6" s="161"/>
      <c r="E6" s="161"/>
      <c r="F6" s="134"/>
      <c r="G6" s="134"/>
      <c r="H6" s="135"/>
      <c r="I6" s="144"/>
      <c r="J6" s="144"/>
      <c r="K6" s="144"/>
      <c r="L6" s="168"/>
      <c r="M6" s="170" t="s">
        <v>142</v>
      </c>
      <c r="N6" s="135"/>
      <c r="O6" s="135"/>
      <c r="P6" s="135"/>
      <c r="Q6" s="134"/>
      <c r="R6" s="134"/>
      <c r="S6" s="134"/>
      <c r="T6" s="134"/>
      <c r="U6" s="134"/>
      <c r="V6" s="588"/>
      <c r="W6" s="7009"/>
      <c r="X6" s="4808"/>
      <c r="Y6" s="1271" t="b">
        <f>(X5&lt;&gt;"")</f>
        <v>1</v>
      </c>
      <c r="Z6" s="1271"/>
      <c r="AA6" s="1271"/>
      <c r="AB6" s="1271"/>
    </row>
    <row r="7" spans="1:29" ht="14.25" customHeight="1" thickBot="1">
      <c r="A7" s="588"/>
      <c r="B7" s="7046"/>
      <c r="C7" s="7047"/>
      <c r="D7" s="7047"/>
      <c r="E7" s="7047"/>
      <c r="F7" s="7047"/>
      <c r="G7" s="7047"/>
      <c r="H7" s="7047"/>
      <c r="I7" s="7047"/>
      <c r="J7" s="7047"/>
      <c r="K7" s="7047"/>
      <c r="L7" s="7048"/>
      <c r="M7" s="6994">
        <f>IF(AND(SS_Yours&lt;&gt;"",X2&lt;&gt;""),SS_Yours,IF(SS_Spouse&lt;&gt;"",SS_Spouse,1))</f>
        <v>1010001</v>
      </c>
      <c r="N7" s="6995"/>
      <c r="O7" s="6995"/>
      <c r="P7" s="6995"/>
      <c r="Q7" s="6995"/>
      <c r="R7" s="6995"/>
      <c r="S7" s="6995"/>
      <c r="T7" s="6995"/>
      <c r="U7" s="6995"/>
      <c r="V7" s="588"/>
      <c r="W7" s="7009"/>
      <c r="X7" s="1245"/>
      <c r="Y7" s="1357" t="s">
        <v>4360</v>
      </c>
      <c r="Z7" s="1357"/>
      <c r="AA7" s="1357"/>
      <c r="AB7" s="1357"/>
    </row>
    <row r="8" spans="1:29" ht="12.75" customHeight="1" thickTop="1">
      <c r="A8" s="588"/>
      <c r="B8" s="218" t="s">
        <v>143</v>
      </c>
      <c r="C8" s="164" t="s">
        <v>1042</v>
      </c>
      <c r="D8" s="169"/>
      <c r="E8" s="161"/>
      <c r="F8" s="134"/>
      <c r="G8" s="134"/>
      <c r="H8" s="135"/>
      <c r="I8" s="144"/>
      <c r="J8" s="144"/>
      <c r="K8" s="144"/>
      <c r="L8" s="135"/>
      <c r="M8" s="991" t="s">
        <v>4003</v>
      </c>
      <c r="N8" s="57"/>
      <c r="O8" s="57"/>
      <c r="P8" s="57"/>
      <c r="Q8" s="58"/>
      <c r="R8" s="58"/>
      <c r="S8" s="58"/>
      <c r="T8" s="58"/>
      <c r="U8" s="370"/>
      <c r="V8" s="588"/>
      <c r="W8" s="7009"/>
      <c r="X8" s="4808"/>
      <c r="Y8" s="1271" t="b">
        <f>(X7&lt;&gt;"")</f>
        <v>0</v>
      </c>
      <c r="Z8" s="1271"/>
      <c r="AA8" s="1271"/>
      <c r="AB8" s="1271"/>
    </row>
    <row r="9" spans="1:29" ht="12.75" customHeight="1" thickBot="1">
      <c r="A9" s="588"/>
      <c r="B9" s="7049"/>
      <c r="C9" s="7050"/>
      <c r="D9" s="7050"/>
      <c r="E9" s="7050"/>
      <c r="F9" s="7050"/>
      <c r="G9" s="7050"/>
      <c r="H9" s="7050"/>
      <c r="I9" s="7050"/>
      <c r="J9" s="7050"/>
      <c r="K9" s="7050"/>
      <c r="L9" s="7051"/>
      <c r="M9" s="992"/>
      <c r="N9" s="909"/>
      <c r="O9" s="908"/>
      <c r="P9" s="1197"/>
      <c r="Q9" s="1197"/>
      <c r="R9" s="1197"/>
      <c r="S9" s="1197"/>
      <c r="T9" s="1197"/>
      <c r="U9" s="1198"/>
      <c r="V9" s="588"/>
      <c r="W9" s="7009"/>
      <c r="X9" s="1245"/>
      <c r="Y9" s="1357" t="s">
        <v>4361</v>
      </c>
      <c r="Z9" s="1357"/>
      <c r="AA9" s="1357"/>
      <c r="AB9" s="1357"/>
    </row>
    <row r="10" spans="1:29" ht="12" customHeight="1" thickTop="1">
      <c r="A10" s="588"/>
      <c r="B10" s="218" t="s">
        <v>144</v>
      </c>
      <c r="C10" s="164" t="s">
        <v>344</v>
      </c>
      <c r="D10" s="164"/>
      <c r="E10" s="161"/>
      <c r="F10" s="134"/>
      <c r="G10" s="134"/>
      <c r="H10" s="135"/>
      <c r="I10" s="144"/>
      <c r="J10" s="144"/>
      <c r="K10" s="144"/>
      <c r="L10" s="168"/>
      <c r="M10" s="170" t="s">
        <v>4004</v>
      </c>
      <c r="N10" s="135"/>
      <c r="O10" s="135"/>
      <c r="P10" s="135"/>
      <c r="Q10" s="134"/>
      <c r="R10" s="134"/>
      <c r="S10" s="134"/>
      <c r="T10" s="134"/>
      <c r="U10" s="134"/>
      <c r="V10" s="588"/>
      <c r="W10" s="385"/>
      <c r="X10" s="4808"/>
      <c r="Y10" s="1271" t="b">
        <f>(X9&lt;&gt;"")</f>
        <v>0</v>
      </c>
      <c r="Z10" s="1271"/>
      <c r="AA10" s="1271"/>
      <c r="AB10" s="1271"/>
    </row>
    <row r="11" spans="1:29" ht="14.25" customHeight="1">
      <c r="A11" s="588"/>
      <c r="B11" s="7049"/>
      <c r="C11" s="7050"/>
      <c r="D11" s="7050"/>
      <c r="E11" s="7050"/>
      <c r="F11" s="7050"/>
      <c r="G11" s="7050"/>
      <c r="H11" s="7050"/>
      <c r="I11" s="7050"/>
      <c r="J11" s="7050"/>
      <c r="K11" s="7050"/>
      <c r="L11" s="7050"/>
      <c r="M11" s="1199"/>
      <c r="N11" s="1200"/>
      <c r="O11" s="1201"/>
      <c r="P11" s="1199"/>
      <c r="Q11" s="1199"/>
      <c r="R11" s="1199"/>
      <c r="S11" s="1199"/>
      <c r="T11" s="1202"/>
      <c r="U11" s="1202"/>
      <c r="V11" s="588"/>
      <c r="W11" s="385"/>
      <c r="X11" s="4808"/>
      <c r="Y11" s="1271" t="b">
        <f>OR(AND(Y6,Y10),AND(Y8,Y10))</f>
        <v>0</v>
      </c>
      <c r="Z11" s="1271"/>
      <c r="AA11" s="1271"/>
      <c r="AB11" s="1271"/>
    </row>
    <row r="12" spans="1:29" ht="11.25" customHeight="1">
      <c r="A12" s="588"/>
      <c r="B12" s="218" t="s">
        <v>371</v>
      </c>
      <c r="C12" s="164" t="s">
        <v>2731</v>
      </c>
      <c r="D12" s="169"/>
      <c r="E12" s="161"/>
      <c r="F12" s="134"/>
      <c r="G12" s="134"/>
      <c r="H12" s="3482"/>
      <c r="I12" s="6992"/>
      <c r="J12" s="6993"/>
      <c r="K12" s="6993"/>
      <c r="L12" s="6993"/>
      <c r="M12" s="6993"/>
      <c r="N12" s="6993"/>
      <c r="O12" s="6993"/>
      <c r="P12" s="6993"/>
      <c r="Q12" s="6993"/>
      <c r="R12" s="6993"/>
      <c r="S12" s="6993"/>
      <c r="T12" s="6993"/>
      <c r="U12" s="6993"/>
      <c r="V12" s="588"/>
      <c r="W12" s="385"/>
      <c r="X12" s="4808"/>
    </row>
    <row r="13" spans="1:29" ht="11.25" customHeight="1">
      <c r="A13" s="588"/>
      <c r="B13" s="510"/>
      <c r="C13" s="171" t="s">
        <v>372</v>
      </c>
      <c r="D13" s="171"/>
      <c r="E13" s="148"/>
      <c r="F13" s="17"/>
      <c r="G13" s="17"/>
      <c r="H13" s="17"/>
      <c r="I13" s="7016"/>
      <c r="J13" s="7017"/>
      <c r="K13" s="7018"/>
      <c r="L13" s="7017"/>
      <c r="M13" s="7017"/>
      <c r="N13" s="7017"/>
      <c r="O13" s="7017"/>
      <c r="P13" s="7017"/>
      <c r="Q13" s="7017"/>
      <c r="R13" s="7017"/>
      <c r="S13" s="7017"/>
      <c r="T13" s="7017"/>
      <c r="U13" s="7017"/>
      <c r="V13" s="588"/>
      <c r="W13" s="385"/>
      <c r="X13" s="4808"/>
    </row>
    <row r="14" spans="1:29" ht="3" customHeight="1" thickBot="1">
      <c r="A14" s="588"/>
      <c r="B14" s="1069"/>
      <c r="C14" s="169"/>
      <c r="D14" s="169"/>
      <c r="E14" s="161"/>
      <c r="F14" s="134"/>
      <c r="G14" s="134"/>
      <c r="H14" s="134"/>
      <c r="I14" s="1070"/>
      <c r="J14" s="1071"/>
      <c r="K14" s="1073"/>
      <c r="L14" s="1074"/>
      <c r="M14" s="1074"/>
      <c r="N14" s="1074"/>
      <c r="O14" s="1074"/>
      <c r="P14" s="1074"/>
      <c r="Q14" s="1074"/>
      <c r="R14" s="1074"/>
      <c r="S14" s="1074"/>
      <c r="T14" s="1074"/>
      <c r="U14" s="1074"/>
      <c r="V14" s="588"/>
      <c r="W14" s="385"/>
      <c r="X14" s="4808"/>
    </row>
    <row r="15" spans="1:29" ht="14.25" customHeight="1" thickBot="1">
      <c r="A15" s="588"/>
      <c r="B15" s="4636" t="s">
        <v>373</v>
      </c>
      <c r="C15" s="164" t="s">
        <v>2732</v>
      </c>
      <c r="D15" s="169"/>
      <c r="E15" s="1193"/>
      <c r="F15" s="1072" t="s">
        <v>130</v>
      </c>
      <c r="G15" s="154" t="str">
        <f>"(2) "</f>
        <v xml:space="preserve">(2) </v>
      </c>
      <c r="H15" s="1203"/>
      <c r="I15" s="169" t="s">
        <v>131</v>
      </c>
      <c r="J15" s="154" t="str">
        <f>"(3) "</f>
        <v xml:space="preserve">(3) </v>
      </c>
      <c r="K15" s="1203"/>
      <c r="L15" s="164" t="s">
        <v>600</v>
      </c>
      <c r="M15" s="169"/>
      <c r="N15" s="7019"/>
      <c r="O15" s="6579"/>
      <c r="P15" s="6579"/>
      <c r="Q15" s="6579"/>
      <c r="R15" s="6579"/>
      <c r="S15" s="6579"/>
      <c r="T15" s="6579"/>
      <c r="U15" s="6579"/>
      <c r="V15" s="588"/>
      <c r="W15" s="385"/>
      <c r="X15" s="4808"/>
    </row>
    <row r="16" spans="1:29" ht="3.75" customHeight="1" thickBot="1">
      <c r="A16" s="588"/>
      <c r="B16" s="218"/>
      <c r="C16" s="169"/>
      <c r="D16" s="169"/>
      <c r="E16" s="801"/>
      <c r="F16" s="134"/>
      <c r="G16" s="154"/>
      <c r="H16" s="802"/>
      <c r="I16" s="169"/>
      <c r="J16" s="172"/>
      <c r="K16" s="802"/>
      <c r="L16" s="169"/>
      <c r="M16" s="169"/>
      <c r="N16" s="594"/>
      <c r="O16" s="803"/>
      <c r="P16" s="803"/>
      <c r="Q16" s="803"/>
      <c r="R16" s="803"/>
      <c r="S16" s="803"/>
      <c r="T16" s="803"/>
      <c r="U16" s="803"/>
      <c r="V16" s="588"/>
      <c r="W16" s="385"/>
      <c r="X16" s="4808"/>
    </row>
    <row r="17" spans="1:28" ht="12.75" customHeight="1" thickBot="1">
      <c r="A17" s="588"/>
      <c r="B17" s="218" t="s">
        <v>132</v>
      </c>
      <c r="C17" s="164" t="str">
        <f>"Did you 'materially participate' in the operation of this business during "&amp;TaxYear&amp;"? If 'No,' see instructions for loss limits."</f>
        <v>Did you 'materially participate' in the operation of this business during 2021? If 'No,' see instructions for loss limits.</v>
      </c>
      <c r="D17" s="21"/>
      <c r="E17" s="134"/>
      <c r="F17" s="134"/>
      <c r="G17" s="154"/>
      <c r="H17" s="134"/>
      <c r="I17" s="169"/>
      <c r="J17" s="172"/>
      <c r="K17" s="172"/>
      <c r="L17" s="134"/>
      <c r="M17" s="169"/>
      <c r="N17" s="134"/>
      <c r="O17" s="134"/>
      <c r="P17" s="134"/>
      <c r="Q17" s="134"/>
      <c r="R17" s="1193"/>
      <c r="S17" s="163" t="s">
        <v>271</v>
      </c>
      <c r="T17" s="1193"/>
      <c r="U17" s="163" t="s">
        <v>272</v>
      </c>
      <c r="V17" s="588"/>
      <c r="W17" s="385"/>
      <c r="X17" s="4808"/>
    </row>
    <row r="18" spans="1:28" ht="12.75" customHeight="1" thickBot="1">
      <c r="A18" s="588"/>
      <c r="B18" s="218" t="s">
        <v>59</v>
      </c>
      <c r="C18" s="169" t="str">
        <f>"If you started or acquired this business during "&amp;TaxYear&amp;", check here"</f>
        <v>If you started or acquired this business during 2021, check here</v>
      </c>
      <c r="D18" s="169"/>
      <c r="E18" s="161"/>
      <c r="F18" s="134"/>
      <c r="G18" s="134"/>
      <c r="H18" s="594"/>
      <c r="I18" s="1075"/>
      <c r="J18" s="1075"/>
      <c r="K18" s="1075"/>
      <c r="L18" s="594"/>
      <c r="M18" s="1075"/>
      <c r="N18" s="594"/>
      <c r="O18" s="594"/>
      <c r="P18" s="594"/>
      <c r="Q18" s="568" t="s">
        <v>2027</v>
      </c>
      <c r="R18" s="1203"/>
      <c r="S18" s="568"/>
      <c r="T18" s="1076"/>
      <c r="U18" s="134"/>
      <c r="V18" s="588"/>
      <c r="W18" s="385"/>
      <c r="X18" s="4808"/>
    </row>
    <row r="19" spans="1:28" ht="12.75" customHeight="1" thickBot="1">
      <c r="A19" s="588"/>
      <c r="B19" s="218" t="s">
        <v>601</v>
      </c>
      <c r="C19" s="164" t="str">
        <f>"Did you make any payments in "&amp;TaxYear&amp;" that would require you to file Form(s) 1099? (see instructions) "</f>
        <v xml:space="preserve">Did you make any payments in 2021 that would require you to file Form(s) 1099? (see instructions) </v>
      </c>
      <c r="D19" s="21"/>
      <c r="E19" s="134"/>
      <c r="F19" s="134"/>
      <c r="G19" s="154"/>
      <c r="H19" s="134"/>
      <c r="I19" s="169"/>
      <c r="J19" s="172"/>
      <c r="K19" s="172"/>
      <c r="L19" s="134"/>
      <c r="M19" s="169"/>
      <c r="N19" s="134"/>
      <c r="O19" s="134"/>
      <c r="P19" s="134"/>
      <c r="Q19" s="568" t="s">
        <v>2415</v>
      </c>
      <c r="R19" s="1193"/>
      <c r="S19" s="163" t="s">
        <v>271</v>
      </c>
      <c r="T19" s="1193"/>
      <c r="U19" s="163" t="s">
        <v>272</v>
      </c>
      <c r="V19" s="588"/>
      <c r="W19" s="385"/>
      <c r="X19" s="4808"/>
    </row>
    <row r="20" spans="1:28" ht="12.75" customHeight="1" thickBot="1">
      <c r="A20" s="588"/>
      <c r="B20" s="218" t="s">
        <v>602</v>
      </c>
      <c r="C20" s="164" t="s">
        <v>603</v>
      </c>
      <c r="D20" s="21"/>
      <c r="E20" s="134"/>
      <c r="F20" s="134"/>
      <c r="G20" s="154"/>
      <c r="H20" s="134"/>
      <c r="I20" s="169"/>
      <c r="J20" s="172"/>
      <c r="K20" s="172"/>
      <c r="L20" s="134"/>
      <c r="M20" s="169"/>
      <c r="N20" s="134"/>
      <c r="O20" s="134"/>
      <c r="P20" s="134"/>
      <c r="Q20" s="568" t="s">
        <v>2416</v>
      </c>
      <c r="R20" s="1203"/>
      <c r="S20" s="163" t="s">
        <v>271</v>
      </c>
      <c r="T20" s="1203"/>
      <c r="U20" s="163" t="s">
        <v>272</v>
      </c>
      <c r="V20" s="588"/>
      <c r="W20" s="236" t="s">
        <v>90</v>
      </c>
      <c r="X20" s="4808"/>
    </row>
    <row r="21" spans="1:28" ht="15" customHeight="1">
      <c r="A21" s="588"/>
      <c r="B21" s="2360" t="s">
        <v>51</v>
      </c>
      <c r="C21" s="173" t="s">
        <v>293</v>
      </c>
      <c r="D21" s="173"/>
      <c r="E21" s="174"/>
      <c r="F21" s="175"/>
      <c r="G21" s="175"/>
      <c r="H21" s="175"/>
      <c r="I21" s="176"/>
      <c r="J21" s="176"/>
      <c r="K21" s="176"/>
      <c r="L21" s="176"/>
      <c r="M21" s="176"/>
      <c r="N21" s="175"/>
      <c r="O21" s="175"/>
      <c r="P21" s="177"/>
      <c r="Q21" s="175"/>
      <c r="R21" s="175"/>
      <c r="S21" s="175"/>
      <c r="T21" s="175"/>
      <c r="U21" s="175"/>
      <c r="V21" s="588"/>
      <c r="W21" s="147" t="s">
        <v>411</v>
      </c>
      <c r="X21" s="4808"/>
    </row>
    <row r="22" spans="1:28" ht="13.5" customHeight="1" thickBot="1">
      <c r="A22" s="588"/>
      <c r="B22" s="246">
        <v>1</v>
      </c>
      <c r="C22" s="392" t="s">
        <v>713</v>
      </c>
      <c r="D22" s="273"/>
      <c r="E22" s="179"/>
      <c r="F22" s="179"/>
      <c r="G22" s="179"/>
      <c r="H22" s="179"/>
      <c r="I22" s="180"/>
      <c r="J22" s="180"/>
      <c r="K22" s="180"/>
      <c r="L22" s="180"/>
      <c r="M22" s="568"/>
      <c r="N22" s="179"/>
      <c r="O22" s="179"/>
      <c r="P22" s="179"/>
      <c r="Q22" s="502"/>
      <c r="R22" s="568"/>
      <c r="S22" s="928"/>
      <c r="T22" s="927"/>
      <c r="U22" s="927"/>
      <c r="V22" s="588"/>
      <c r="W22" s="385"/>
      <c r="X22" s="4808"/>
      <c r="Y22" s="1271" t="b">
        <f>(M7=SS_Spouse)</f>
        <v>0</v>
      </c>
      <c r="Z22" s="1271"/>
      <c r="AA22" s="1271"/>
      <c r="AB22" s="1271"/>
    </row>
    <row r="23" spans="1:28" ht="12" customHeight="1" thickBot="1">
      <c r="A23" s="588"/>
      <c r="B23" s="246"/>
      <c r="C23" s="392" t="s">
        <v>714</v>
      </c>
      <c r="D23" s="273"/>
      <c r="E23" s="179"/>
      <c r="F23" s="179"/>
      <c r="G23" s="179"/>
      <c r="H23" s="179"/>
      <c r="I23" s="180"/>
      <c r="J23" s="180"/>
      <c r="K23" s="180"/>
      <c r="L23" s="180"/>
      <c r="M23" s="568"/>
      <c r="N23" s="179"/>
      <c r="O23" s="568" t="s">
        <v>2419</v>
      </c>
      <c r="P23" s="179"/>
      <c r="Q23" s="1193"/>
      <c r="R23" s="568"/>
      <c r="S23" s="333">
        <v>1</v>
      </c>
      <c r="T23" s="6991"/>
      <c r="U23" s="6972"/>
      <c r="V23" s="588"/>
      <c r="W23" s="385"/>
      <c r="X23" s="4808"/>
      <c r="Y23" s="5843">
        <f>IF(AND(Y22,SchC_StatutoryEmp_1&lt;&gt;""),T23,0)</f>
        <v>0</v>
      </c>
      <c r="Z23" s="5843"/>
      <c r="AA23" s="5843"/>
      <c r="AB23" s="5843"/>
    </row>
    <row r="24" spans="1:28" ht="12.75" customHeight="1">
      <c r="A24" s="588"/>
      <c r="B24" s="246">
        <v>2</v>
      </c>
      <c r="C24" s="392" t="s">
        <v>787</v>
      </c>
      <c r="D24" s="183"/>
      <c r="E24" s="179"/>
      <c r="F24" s="179"/>
      <c r="G24" s="179"/>
      <c r="H24" s="179"/>
      <c r="I24" s="180"/>
      <c r="J24" s="180"/>
      <c r="K24" s="180"/>
      <c r="L24" s="180"/>
      <c r="M24" s="180"/>
      <c r="N24" s="179"/>
      <c r="O24" s="179"/>
      <c r="P24" s="181"/>
      <c r="Q24" s="179"/>
      <c r="R24" s="596" t="s">
        <v>2417</v>
      </c>
      <c r="S24" s="333">
        <v>2</v>
      </c>
      <c r="T24" s="6983"/>
      <c r="U24" s="6984"/>
      <c r="V24" s="588"/>
      <c r="W24" s="385"/>
      <c r="X24" s="4808"/>
      <c r="Y24" s="5843">
        <f>IF(AND(NOT(Y22),SchC_StatutoryEmp_1&lt;&gt;""),T23,0)</f>
        <v>0</v>
      </c>
      <c r="Z24" s="5843"/>
      <c r="AA24" s="5843"/>
      <c r="AB24" s="5843"/>
    </row>
    <row r="25" spans="1:28" ht="12.75" customHeight="1">
      <c r="A25" s="588"/>
      <c r="B25" s="246">
        <v>3</v>
      </c>
      <c r="C25" s="1329" t="s">
        <v>715</v>
      </c>
      <c r="D25" s="184"/>
      <c r="E25" s="184"/>
      <c r="F25" s="181"/>
      <c r="G25" s="181"/>
      <c r="H25" s="181"/>
      <c r="I25" s="184"/>
      <c r="J25" s="184"/>
      <c r="K25" s="184"/>
      <c r="L25" s="184"/>
      <c r="M25" s="184"/>
      <c r="N25" s="181"/>
      <c r="O25" s="181"/>
      <c r="P25" s="184"/>
      <c r="Q25" s="181"/>
      <c r="R25" s="596" t="s">
        <v>2975</v>
      </c>
      <c r="S25" s="332">
        <v>3</v>
      </c>
      <c r="T25" s="6981">
        <f>SUM(T23,-T24)</f>
        <v>0</v>
      </c>
      <c r="U25" s="6982"/>
      <c r="V25" s="588"/>
      <c r="W25" s="385"/>
      <c r="X25" s="4808"/>
    </row>
    <row r="26" spans="1:28" ht="12.75" customHeight="1">
      <c r="A26" s="588"/>
      <c r="B26" s="246">
        <v>4</v>
      </c>
      <c r="C26" s="1329" t="s">
        <v>605</v>
      </c>
      <c r="D26" s="184"/>
      <c r="E26" s="184"/>
      <c r="F26" s="181"/>
      <c r="G26" s="181"/>
      <c r="H26" s="181"/>
      <c r="I26" s="184"/>
      <c r="J26" s="184"/>
      <c r="K26" s="184"/>
      <c r="L26" s="184"/>
      <c r="M26" s="184"/>
      <c r="N26" s="181"/>
      <c r="O26" s="181"/>
      <c r="P26" s="184"/>
      <c r="Q26" s="181"/>
      <c r="R26" s="596" t="s">
        <v>2418</v>
      </c>
      <c r="S26" s="332">
        <v>4</v>
      </c>
      <c r="T26" s="6981">
        <f>IF(W26&lt;&gt;"",W26,T86)</f>
        <v>0</v>
      </c>
      <c r="U26" s="6982"/>
      <c r="V26" s="588"/>
      <c r="W26" s="3696"/>
      <c r="X26" s="4808"/>
    </row>
    <row r="27" spans="1:28" ht="12.75" customHeight="1">
      <c r="A27" s="588"/>
      <c r="B27" s="246">
        <v>5</v>
      </c>
      <c r="C27" s="4626" t="s">
        <v>4007</v>
      </c>
      <c r="D27" s="186"/>
      <c r="E27" s="184"/>
      <c r="F27" s="181"/>
      <c r="G27" s="181"/>
      <c r="H27" s="181"/>
      <c r="I27" s="184"/>
      <c r="J27" s="184"/>
      <c r="K27" s="184"/>
      <c r="L27" s="184"/>
      <c r="M27" s="184"/>
      <c r="N27" s="181"/>
      <c r="O27" s="181"/>
      <c r="P27" s="184"/>
      <c r="Q27" s="181"/>
      <c r="R27" s="596" t="s">
        <v>1044</v>
      </c>
      <c r="S27" s="332">
        <v>5</v>
      </c>
      <c r="T27" s="6981">
        <f>T25-T26</f>
        <v>0</v>
      </c>
      <c r="U27" s="6982"/>
      <c r="V27" s="588"/>
      <c r="W27" s="385"/>
      <c r="X27" s="4808"/>
    </row>
    <row r="28" spans="1:28" ht="12.75" customHeight="1">
      <c r="A28" s="588"/>
      <c r="B28" s="246">
        <v>6</v>
      </c>
      <c r="C28" s="1329" t="s">
        <v>2113</v>
      </c>
      <c r="D28" s="184"/>
      <c r="E28" s="184"/>
      <c r="F28" s="181"/>
      <c r="G28" s="181"/>
      <c r="H28" s="181"/>
      <c r="I28" s="184"/>
      <c r="J28" s="184"/>
      <c r="K28" s="184"/>
      <c r="L28" s="184"/>
      <c r="M28" s="184"/>
      <c r="N28" s="181"/>
      <c r="O28" s="181"/>
      <c r="P28" s="184"/>
      <c r="Q28" s="181"/>
      <c r="R28" s="596" t="s">
        <v>2419</v>
      </c>
      <c r="S28" s="332">
        <v>6</v>
      </c>
      <c r="T28" s="6991"/>
      <c r="U28" s="6972"/>
      <c r="V28" s="588"/>
      <c r="W28" s="385"/>
      <c r="X28" s="4808"/>
    </row>
    <row r="29" spans="1:28" ht="12.75" customHeight="1">
      <c r="A29" s="588"/>
      <c r="B29" s="246">
        <v>7</v>
      </c>
      <c r="C29" s="22" t="s">
        <v>4008</v>
      </c>
      <c r="D29" s="190"/>
      <c r="E29" s="169"/>
      <c r="F29" s="179"/>
      <c r="G29" s="179"/>
      <c r="H29" s="187"/>
      <c r="I29" s="184"/>
      <c r="J29" s="184"/>
      <c r="K29" s="184"/>
      <c r="L29" s="188"/>
      <c r="M29" s="184"/>
      <c r="N29" s="187"/>
      <c r="O29" s="187"/>
      <c r="P29" s="184"/>
      <c r="Q29" s="179"/>
      <c r="R29" s="1455" t="s">
        <v>2405</v>
      </c>
      <c r="S29" s="332">
        <v>7</v>
      </c>
      <c r="T29" s="6981">
        <f>SUM(T27,T28)</f>
        <v>0</v>
      </c>
      <c r="U29" s="6982"/>
      <c r="V29" s="588"/>
      <c r="W29" s="385"/>
      <c r="X29" s="4808"/>
    </row>
    <row r="30" spans="1:28" ht="15.75">
      <c r="A30" s="588"/>
      <c r="B30" s="2360" t="s">
        <v>118</v>
      </c>
      <c r="C30" s="5160" t="s">
        <v>4801</v>
      </c>
      <c r="D30" s="4625" t="s">
        <v>4802</v>
      </c>
      <c r="E30" s="175"/>
      <c r="F30" s="175"/>
      <c r="G30" s="175"/>
      <c r="H30" s="174"/>
      <c r="I30" s="175"/>
      <c r="J30" s="175"/>
      <c r="K30" s="175"/>
      <c r="L30" s="175"/>
      <c r="M30" s="175"/>
      <c r="N30" s="175"/>
      <c r="O30" s="175"/>
      <c r="P30" s="175"/>
      <c r="Q30" s="175"/>
      <c r="R30" s="175"/>
      <c r="S30" s="175"/>
      <c r="T30" s="383"/>
      <c r="U30" s="383"/>
      <c r="V30" s="588"/>
      <c r="W30" s="385"/>
      <c r="X30" s="4808"/>
    </row>
    <row r="31" spans="1:28" ht="14.25" customHeight="1">
      <c r="A31" s="588"/>
      <c r="B31" s="246">
        <v>8</v>
      </c>
      <c r="C31" s="1023" t="s">
        <v>46</v>
      </c>
      <c r="D31" s="191"/>
      <c r="E31" s="179"/>
      <c r="F31" s="179"/>
      <c r="G31" s="187"/>
      <c r="H31" s="371">
        <f>B31</f>
        <v>8</v>
      </c>
      <c r="I31" s="2924"/>
      <c r="J31" s="154">
        <v>18</v>
      </c>
      <c r="K31" s="1023"/>
      <c r="L31" s="392" t="s">
        <v>2120</v>
      </c>
      <c r="M31" s="326"/>
      <c r="N31" s="326"/>
      <c r="O31" s="326"/>
      <c r="P31" s="326"/>
      <c r="Q31" s="326"/>
      <c r="R31" s="568" t="s">
        <v>717</v>
      </c>
      <c r="S31" s="182">
        <f>J31</f>
        <v>18</v>
      </c>
      <c r="T31" s="6969"/>
      <c r="U31" s="6970"/>
      <c r="V31" s="588"/>
      <c r="W31" s="385"/>
      <c r="X31" s="4808"/>
    </row>
    <row r="32" spans="1:28" ht="14.25" customHeight="1">
      <c r="A32" s="588"/>
      <c r="B32" s="246">
        <v>9</v>
      </c>
      <c r="C32" s="1023" t="s">
        <v>313</v>
      </c>
      <c r="D32" s="191"/>
      <c r="E32" s="179"/>
      <c r="F32" s="179"/>
      <c r="G32" s="187"/>
      <c r="H32" s="372"/>
      <c r="I32" s="1136"/>
      <c r="J32" s="154">
        <v>19</v>
      </c>
      <c r="K32" s="218"/>
      <c r="L32" s="1078" t="s">
        <v>957</v>
      </c>
      <c r="M32" s="193"/>
      <c r="N32" s="191"/>
      <c r="O32" s="191"/>
      <c r="P32" s="194"/>
      <c r="Q32" s="195"/>
      <c r="R32" s="568" t="s">
        <v>717</v>
      </c>
      <c r="S32" s="182">
        <f>J32</f>
        <v>19</v>
      </c>
      <c r="T32" s="6969"/>
      <c r="U32" s="6970"/>
      <c r="V32" s="588"/>
      <c r="W32" s="385"/>
      <c r="X32" s="4808"/>
    </row>
    <row r="33" spans="1:24" ht="14.25" customHeight="1">
      <c r="A33" s="588"/>
      <c r="B33" s="246"/>
      <c r="C33" s="1023" t="s">
        <v>716</v>
      </c>
      <c r="D33" s="191"/>
      <c r="E33" s="179"/>
      <c r="F33" s="179"/>
      <c r="G33" s="187"/>
      <c r="H33" s="371">
        <f>B32</f>
        <v>9</v>
      </c>
      <c r="I33" s="2925"/>
      <c r="J33" s="154">
        <v>20</v>
      </c>
      <c r="K33" s="218"/>
      <c r="L33" s="1078" t="s">
        <v>608</v>
      </c>
      <c r="M33" s="193"/>
      <c r="N33" s="196"/>
      <c r="O33" s="196"/>
      <c r="P33" s="194"/>
      <c r="Q33" s="195"/>
      <c r="R33" s="195"/>
      <c r="S33" s="373"/>
      <c r="T33" s="1131"/>
      <c r="U33" s="1138"/>
      <c r="V33" s="588"/>
      <c r="W33" s="385"/>
      <c r="X33" s="4808"/>
    </row>
    <row r="34" spans="1:24" ht="14.25" customHeight="1">
      <c r="A34" s="588"/>
      <c r="B34" s="246">
        <v>10</v>
      </c>
      <c r="C34" s="1023" t="s">
        <v>2115</v>
      </c>
      <c r="D34" s="191"/>
      <c r="E34" s="179"/>
      <c r="F34" s="179"/>
      <c r="G34" s="568" t="s">
        <v>2116</v>
      </c>
      <c r="H34" s="503">
        <f>B34</f>
        <v>10</v>
      </c>
      <c r="I34" s="2924"/>
      <c r="J34" s="154"/>
      <c r="K34" s="218" t="s">
        <v>33</v>
      </c>
      <c r="L34" s="1078" t="s">
        <v>317</v>
      </c>
      <c r="M34" s="193"/>
      <c r="N34" s="191"/>
      <c r="O34" s="191"/>
      <c r="P34" s="194"/>
      <c r="Q34" s="195"/>
      <c r="R34" s="568" t="s">
        <v>697</v>
      </c>
      <c r="S34" s="182" t="s">
        <v>218</v>
      </c>
      <c r="T34" s="6971"/>
      <c r="U34" s="6972"/>
      <c r="V34" s="588"/>
      <c r="W34" s="385"/>
      <c r="X34" s="4808"/>
    </row>
    <row r="35" spans="1:24" ht="14.25" customHeight="1">
      <c r="A35" s="588"/>
      <c r="B35" s="246">
        <v>11</v>
      </c>
      <c r="C35" s="1023" t="s">
        <v>613</v>
      </c>
      <c r="D35" s="191"/>
      <c r="E35" s="179"/>
      <c r="F35" s="179"/>
      <c r="G35" s="568" t="s">
        <v>2114</v>
      </c>
      <c r="H35" s="371">
        <f>B35</f>
        <v>11</v>
      </c>
      <c r="I35" s="2925"/>
      <c r="J35" s="154"/>
      <c r="K35" s="218" t="s">
        <v>47</v>
      </c>
      <c r="L35" s="392" t="s">
        <v>314</v>
      </c>
      <c r="M35" s="194"/>
      <c r="N35" s="191"/>
      <c r="O35" s="191"/>
      <c r="P35" s="194"/>
      <c r="Q35" s="195"/>
      <c r="R35" s="568" t="s">
        <v>718</v>
      </c>
      <c r="S35" s="182" t="s">
        <v>219</v>
      </c>
      <c r="T35" s="6969"/>
      <c r="U35" s="6970"/>
      <c r="V35" s="588"/>
      <c r="W35" s="385"/>
      <c r="X35" s="4808"/>
    </row>
    <row r="36" spans="1:24" ht="14.25" customHeight="1">
      <c r="A36" s="588"/>
      <c r="B36" s="246">
        <v>12</v>
      </c>
      <c r="C36" s="1023" t="s">
        <v>491</v>
      </c>
      <c r="D36" s="191"/>
      <c r="E36" s="179"/>
      <c r="F36" s="179"/>
      <c r="G36" s="187"/>
      <c r="H36" s="371">
        <f>B36</f>
        <v>12</v>
      </c>
      <c r="I36" s="2924"/>
      <c r="J36" s="154">
        <v>21</v>
      </c>
      <c r="K36" s="218"/>
      <c r="L36" s="392" t="s">
        <v>23</v>
      </c>
      <c r="M36" s="178"/>
      <c r="N36" s="178"/>
      <c r="O36" s="178"/>
      <c r="P36" s="178"/>
      <c r="Q36" s="178"/>
      <c r="R36" s="568" t="s">
        <v>537</v>
      </c>
      <c r="S36" s="182">
        <f>J36</f>
        <v>21</v>
      </c>
      <c r="T36" s="6969"/>
      <c r="U36" s="6970"/>
      <c r="V36" s="588"/>
      <c r="W36" s="385"/>
      <c r="X36" s="4808"/>
    </row>
    <row r="37" spans="1:24" ht="14.25" customHeight="1">
      <c r="A37" s="588"/>
      <c r="B37" s="246">
        <v>13</v>
      </c>
      <c r="C37" s="1023" t="s">
        <v>2117</v>
      </c>
      <c r="D37" s="191"/>
      <c r="E37" s="179"/>
      <c r="F37" s="179"/>
      <c r="G37" s="187"/>
      <c r="H37" s="372"/>
      <c r="I37" s="1136"/>
      <c r="J37" s="154">
        <v>22</v>
      </c>
      <c r="K37" s="218"/>
      <c r="L37" s="392" t="s">
        <v>195</v>
      </c>
      <c r="M37" s="178"/>
      <c r="N37" s="178"/>
      <c r="O37" s="178"/>
      <c r="P37" s="178"/>
      <c r="Q37" s="178"/>
      <c r="R37" s="568" t="s">
        <v>717</v>
      </c>
      <c r="S37" s="182">
        <v>22</v>
      </c>
      <c r="T37" s="6969"/>
      <c r="U37" s="6970"/>
      <c r="V37" s="588"/>
      <c r="W37" s="385"/>
      <c r="X37" s="4808"/>
    </row>
    <row r="38" spans="1:24" ht="14.25" customHeight="1">
      <c r="A38" s="588"/>
      <c r="B38" s="246"/>
      <c r="C38" s="1023" t="s">
        <v>2118</v>
      </c>
      <c r="D38" s="191"/>
      <c r="E38" s="179"/>
      <c r="F38" s="179"/>
      <c r="G38" s="187"/>
      <c r="H38" s="372"/>
      <c r="I38" s="1137"/>
      <c r="J38" s="154">
        <v>23</v>
      </c>
      <c r="K38" s="218"/>
      <c r="L38" s="392" t="s">
        <v>492</v>
      </c>
      <c r="M38" s="178"/>
      <c r="N38" s="178"/>
      <c r="O38" s="178"/>
      <c r="P38" s="178"/>
      <c r="Q38" s="178"/>
      <c r="R38" s="568" t="s">
        <v>698</v>
      </c>
      <c r="S38" s="182">
        <v>23</v>
      </c>
      <c r="T38" s="6969"/>
      <c r="U38" s="6970"/>
      <c r="V38" s="588"/>
      <c r="W38" s="385"/>
      <c r="X38" s="4808"/>
    </row>
    <row r="39" spans="1:24" ht="14.25" customHeight="1">
      <c r="A39" s="588"/>
      <c r="B39" s="246"/>
      <c r="C39" s="1023" t="s">
        <v>1794</v>
      </c>
      <c r="D39" s="191"/>
      <c r="E39" s="179"/>
      <c r="F39" s="179"/>
      <c r="G39" s="568" t="s">
        <v>1930</v>
      </c>
      <c r="H39" s="371">
        <f>B37</f>
        <v>13</v>
      </c>
      <c r="I39" s="2925"/>
      <c r="J39" s="154">
        <v>24</v>
      </c>
      <c r="K39" s="218"/>
      <c r="L39" s="392" t="s">
        <v>2420</v>
      </c>
      <c r="M39" s="178"/>
      <c r="N39" s="178"/>
      <c r="O39" s="178"/>
      <c r="P39" s="178"/>
      <c r="Q39" s="178"/>
      <c r="R39" s="178"/>
      <c r="S39" s="373"/>
      <c r="T39" s="1131"/>
      <c r="U39" s="1138"/>
      <c r="V39" s="588"/>
      <c r="W39" s="385"/>
      <c r="X39" s="4808"/>
    </row>
    <row r="40" spans="1:24" ht="14.25" customHeight="1">
      <c r="A40" s="588"/>
      <c r="B40" s="246">
        <v>14</v>
      </c>
      <c r="C40" s="1023" t="s">
        <v>255</v>
      </c>
      <c r="D40" s="191"/>
      <c r="E40" s="179"/>
      <c r="F40" s="179"/>
      <c r="G40" s="187"/>
      <c r="H40" s="372"/>
      <c r="I40" s="1136"/>
      <c r="J40" s="154"/>
      <c r="K40" s="218" t="s">
        <v>33</v>
      </c>
      <c r="L40" s="392" t="s">
        <v>719</v>
      </c>
      <c r="M40" s="178"/>
      <c r="N40" s="178"/>
      <c r="O40" s="178"/>
      <c r="P40" s="178"/>
      <c r="Q40" s="178"/>
      <c r="R40" s="568" t="s">
        <v>374</v>
      </c>
      <c r="S40" s="182" t="s">
        <v>171</v>
      </c>
      <c r="T40" s="6971"/>
      <c r="U40" s="6972"/>
      <c r="V40" s="588"/>
      <c r="W40" s="385"/>
      <c r="X40" s="4808"/>
    </row>
    <row r="41" spans="1:24" ht="14.25" customHeight="1">
      <c r="A41" s="588"/>
      <c r="B41" s="246"/>
      <c r="C41" s="1023" t="s">
        <v>2733</v>
      </c>
      <c r="D41" s="191"/>
      <c r="E41" s="179"/>
      <c r="F41" s="179"/>
      <c r="G41" s="568" t="s">
        <v>2517</v>
      </c>
      <c r="H41" s="371">
        <f>B40</f>
        <v>14</v>
      </c>
      <c r="I41" s="2925"/>
      <c r="J41" s="154"/>
      <c r="K41" s="218" t="s">
        <v>47</v>
      </c>
      <c r="L41" s="392" t="s">
        <v>2421</v>
      </c>
      <c r="M41" s="178"/>
      <c r="N41" s="178"/>
      <c r="O41" s="178"/>
      <c r="P41" s="178"/>
      <c r="Q41" s="178"/>
      <c r="R41" s="805"/>
      <c r="S41" s="185"/>
      <c r="T41" s="1131"/>
      <c r="U41" s="1138"/>
      <c r="V41" s="588"/>
      <c r="W41" s="385"/>
      <c r="X41" s="4808"/>
    </row>
    <row r="42" spans="1:24" ht="14.25" customHeight="1">
      <c r="A42" s="588"/>
      <c r="B42" s="246">
        <v>15</v>
      </c>
      <c r="C42" s="1023" t="s">
        <v>953</v>
      </c>
      <c r="D42" s="191"/>
      <c r="E42" s="179"/>
      <c r="F42" s="179"/>
      <c r="G42" s="568" t="s">
        <v>2415</v>
      </c>
      <c r="H42" s="371">
        <f>B42</f>
        <v>15</v>
      </c>
      <c r="I42" s="2924"/>
      <c r="J42" s="154"/>
      <c r="K42" s="218"/>
      <c r="L42" s="3207" t="s">
        <v>891</v>
      </c>
      <c r="M42" s="1145"/>
      <c r="N42" s="1145"/>
      <c r="O42" s="1145"/>
      <c r="P42" s="1145"/>
      <c r="Q42" s="1145"/>
      <c r="R42" s="568" t="s">
        <v>276</v>
      </c>
      <c r="S42" s="182" t="s">
        <v>60</v>
      </c>
      <c r="T42" s="6971"/>
      <c r="U42" s="6972"/>
      <c r="V42" s="588"/>
      <c r="W42" s="385"/>
      <c r="X42" s="4808"/>
    </row>
    <row r="43" spans="1:24" ht="14.25" customHeight="1">
      <c r="A43" s="588"/>
      <c r="B43" s="246">
        <v>16</v>
      </c>
      <c r="C43" s="1023" t="s">
        <v>259</v>
      </c>
      <c r="D43" s="191"/>
      <c r="E43" s="179"/>
      <c r="F43" s="179"/>
      <c r="G43" s="187"/>
      <c r="H43" s="373"/>
      <c r="I43" s="1136"/>
      <c r="J43" s="154">
        <v>25</v>
      </c>
      <c r="K43" s="218"/>
      <c r="L43" s="392" t="s">
        <v>675</v>
      </c>
      <c r="M43" s="178"/>
      <c r="N43" s="178"/>
      <c r="O43" s="178"/>
      <c r="P43" s="178"/>
      <c r="Q43" s="178"/>
      <c r="R43" s="568" t="s">
        <v>374</v>
      </c>
      <c r="S43" s="182">
        <v>25</v>
      </c>
      <c r="T43" s="6969"/>
      <c r="U43" s="6970"/>
      <c r="V43" s="588"/>
      <c r="W43" s="385"/>
      <c r="X43" s="4808"/>
    </row>
    <row r="44" spans="1:24" ht="14.25" customHeight="1">
      <c r="A44" s="588"/>
      <c r="B44" s="154" t="s">
        <v>33</v>
      </c>
      <c r="C44" s="1023" t="s">
        <v>356</v>
      </c>
      <c r="D44" s="191"/>
      <c r="E44" s="179"/>
      <c r="F44" s="179"/>
      <c r="G44" s="187"/>
      <c r="H44" s="371" t="s">
        <v>216</v>
      </c>
      <c r="I44" s="2925"/>
      <c r="J44" s="154">
        <v>26</v>
      </c>
      <c r="K44" s="218"/>
      <c r="L44" s="392" t="s">
        <v>2748</v>
      </c>
      <c r="M44" s="178"/>
      <c r="N44" s="178"/>
      <c r="O44" s="178"/>
      <c r="P44" s="178"/>
      <c r="Q44" s="178"/>
      <c r="R44" s="568" t="s">
        <v>717</v>
      </c>
      <c r="S44" s="182">
        <v>26</v>
      </c>
      <c r="T44" s="6969"/>
      <c r="U44" s="6970"/>
      <c r="V44" s="588"/>
      <c r="W44" s="385"/>
      <c r="X44" s="4808"/>
    </row>
    <row r="45" spans="1:24" ht="14.25" customHeight="1">
      <c r="A45" s="588"/>
      <c r="B45" s="154" t="s">
        <v>47</v>
      </c>
      <c r="C45" s="1023" t="s">
        <v>50</v>
      </c>
      <c r="D45" s="191"/>
      <c r="E45" s="179"/>
      <c r="F45" s="179"/>
      <c r="G45" s="187"/>
      <c r="H45" s="371" t="s">
        <v>217</v>
      </c>
      <c r="I45" s="2926"/>
      <c r="J45" s="4630">
        <v>27</v>
      </c>
      <c r="K45" s="218" t="s">
        <v>33</v>
      </c>
      <c r="L45" s="392" t="s">
        <v>609</v>
      </c>
      <c r="M45" s="178"/>
      <c r="N45" s="178"/>
      <c r="O45" s="178"/>
      <c r="P45" s="178"/>
      <c r="Q45" s="178"/>
      <c r="R45" s="805"/>
      <c r="S45" s="1079" t="s">
        <v>611</v>
      </c>
      <c r="T45" s="7012">
        <f>IF(W45&lt;&gt;"",W45,T114)</f>
        <v>0</v>
      </c>
      <c r="U45" s="7013"/>
      <c r="V45" s="588"/>
      <c r="W45" s="3696"/>
      <c r="X45" s="4808"/>
    </row>
    <row r="46" spans="1:24" ht="14.25" customHeight="1" thickBot="1">
      <c r="A46" s="588"/>
      <c r="B46" s="3817">
        <v>17</v>
      </c>
      <c r="C46" s="1080" t="s">
        <v>606</v>
      </c>
      <c r="D46" s="600"/>
      <c r="E46" s="203"/>
      <c r="F46" s="203"/>
      <c r="G46" s="1081"/>
      <c r="H46" s="222">
        <v>17</v>
      </c>
      <c r="I46" s="2927"/>
      <c r="J46" s="4631"/>
      <c r="K46" s="4632" t="s">
        <v>47</v>
      </c>
      <c r="L46" s="156" t="s">
        <v>610</v>
      </c>
      <c r="M46" s="600"/>
      <c r="N46" s="600"/>
      <c r="O46" s="600"/>
      <c r="P46" s="600"/>
      <c r="Q46" s="600"/>
      <c r="R46" s="1204" t="s">
        <v>537</v>
      </c>
      <c r="S46" s="1084" t="s">
        <v>612</v>
      </c>
      <c r="T46" s="7014"/>
      <c r="U46" s="7015"/>
      <c r="V46" s="588"/>
      <c r="W46" s="385"/>
      <c r="X46" s="4808"/>
    </row>
    <row r="47" spans="1:24" ht="15" customHeight="1">
      <c r="A47" s="588"/>
      <c r="B47" s="246">
        <v>28</v>
      </c>
      <c r="C47" s="4626" t="s">
        <v>4000</v>
      </c>
      <c r="D47" s="186"/>
      <c r="E47" s="184"/>
      <c r="F47" s="181"/>
      <c r="G47" s="181"/>
      <c r="H47" s="181"/>
      <c r="I47" s="184"/>
      <c r="J47" s="184"/>
      <c r="K47" s="184"/>
      <c r="L47" s="184"/>
      <c r="M47" s="184"/>
      <c r="N47" s="181"/>
      <c r="O47" s="181"/>
      <c r="P47" s="184"/>
      <c r="Q47" s="181"/>
      <c r="R47" s="596" t="s">
        <v>4001</v>
      </c>
      <c r="S47" s="182">
        <v>28</v>
      </c>
      <c r="T47" s="6981">
        <f>IF(W47&lt;&gt;"",W47,ROUND(SUM(I31:I46,T31:T46),0))</f>
        <v>0</v>
      </c>
      <c r="U47" s="6982"/>
      <c r="V47" s="588"/>
      <c r="W47" s="3696"/>
      <c r="X47" s="4808"/>
    </row>
    <row r="48" spans="1:24" ht="12.75" customHeight="1">
      <c r="A48" s="588"/>
      <c r="B48" s="246">
        <v>29</v>
      </c>
      <c r="C48" s="1329" t="s">
        <v>1043</v>
      </c>
      <c r="D48" s="184"/>
      <c r="E48" s="184"/>
      <c r="F48" s="181"/>
      <c r="G48" s="181"/>
      <c r="H48" s="181"/>
      <c r="I48" s="184"/>
      <c r="J48" s="184"/>
      <c r="K48" s="184"/>
      <c r="L48" s="184"/>
      <c r="M48" s="184"/>
      <c r="N48" s="181"/>
      <c r="O48" s="181"/>
      <c r="P48" s="184"/>
      <c r="Q48" s="181"/>
      <c r="R48" s="596" t="s">
        <v>2422</v>
      </c>
      <c r="S48" s="182">
        <v>29</v>
      </c>
      <c r="T48" s="6981">
        <f>SUM(T29,-T47)</f>
        <v>0</v>
      </c>
      <c r="U48" s="6982"/>
      <c r="V48" s="588"/>
      <c r="W48" s="385"/>
      <c r="X48" s="4808"/>
    </row>
    <row r="49" spans="1:28" ht="14.25" customHeight="1">
      <c r="A49" s="588"/>
      <c r="B49" s="246">
        <v>30</v>
      </c>
      <c r="C49" s="1329" t="s">
        <v>788</v>
      </c>
      <c r="D49" s="184"/>
      <c r="E49" s="184"/>
      <c r="F49" s="181"/>
      <c r="G49" s="181"/>
      <c r="H49" s="181"/>
      <c r="I49" s="184"/>
      <c r="J49" s="184"/>
      <c r="K49" s="184"/>
      <c r="L49" s="184"/>
      <c r="M49" s="184"/>
      <c r="N49" s="181"/>
      <c r="O49" s="181"/>
      <c r="P49" s="184"/>
      <c r="Q49" s="181"/>
      <c r="R49" s="181"/>
      <c r="S49" s="1327"/>
      <c r="T49" s="6973" t="str">
        <f>IF(AND(V49="",O52),"The number in",IF(AND(V49="",Q52),"The area you use",""))</f>
        <v/>
      </c>
      <c r="U49" s="6974"/>
      <c r="V49" s="3280"/>
      <c r="W49" s="385" t="str">
        <f>IF(Y49,"Hide note.","")</f>
        <v/>
      </c>
      <c r="X49" s="4808"/>
      <c r="Y49" s="1271" t="b">
        <f>OR(O52,Q52)</f>
        <v>0</v>
      </c>
      <c r="Z49" s="1271"/>
      <c r="AA49" s="1271"/>
      <c r="AB49" s="1271"/>
    </row>
    <row r="50" spans="1:28" ht="14.25" customHeight="1">
      <c r="A50" s="588"/>
      <c r="B50" s="246"/>
      <c r="C50" s="1329" t="s">
        <v>789</v>
      </c>
      <c r="D50" s="184"/>
      <c r="E50" s="184"/>
      <c r="F50" s="181"/>
      <c r="G50" s="181"/>
      <c r="H50" s="181"/>
      <c r="I50" s="184"/>
      <c r="J50" s="184"/>
      <c r="K50" s="184"/>
      <c r="L50" s="184"/>
      <c r="M50" s="184"/>
      <c r="N50" s="181"/>
      <c r="O50" s="181"/>
      <c r="P50" s="184"/>
      <c r="Q50" s="6978">
        <v>300</v>
      </c>
      <c r="R50" s="6979"/>
      <c r="S50" s="1328"/>
      <c r="T50" s="6975" t="str">
        <f>IF(AND(V49="",O52),"line 30a must be",IF(AND(V49="",Q52),"to figure your",""))</f>
        <v/>
      </c>
      <c r="U50" s="6976"/>
      <c r="V50" s="588"/>
      <c r="W50" s="385"/>
      <c r="X50" s="4808"/>
      <c r="Y50" s="6073" t="s">
        <v>5913</v>
      </c>
      <c r="Z50" s="1687"/>
      <c r="AA50" s="1687"/>
      <c r="AB50" s="1688"/>
    </row>
    <row r="51" spans="1:28" ht="14.25" customHeight="1">
      <c r="A51" s="588"/>
      <c r="B51" s="246"/>
      <c r="C51" s="1329" t="s">
        <v>791</v>
      </c>
      <c r="D51" s="184"/>
      <c r="E51" s="184"/>
      <c r="F51" s="181"/>
      <c r="G51" s="181"/>
      <c r="H51" s="181"/>
      <c r="I51" s="184"/>
      <c r="J51" s="184"/>
      <c r="K51" s="184"/>
      <c r="L51" s="184"/>
      <c r="M51" s="6967"/>
      <c r="N51" s="6968"/>
      <c r="O51" s="6968"/>
      <c r="P51" s="6968"/>
      <c r="Q51" s="6968"/>
      <c r="R51" s="181"/>
      <c r="S51" s="1328"/>
      <c r="T51" s="6975" t="str">
        <f>IF(AND(V49="",O52),"larger than the",IF(AND(V49="",Q52),"deduction, cannot",""))</f>
        <v/>
      </c>
      <c r="U51" s="6976"/>
      <c r="V51" s="588"/>
      <c r="W51" s="385"/>
      <c r="X51" s="4808"/>
      <c r="Y51" s="6074" t="s">
        <v>294</v>
      </c>
      <c r="Z51" s="6075" t="s">
        <v>5894</v>
      </c>
      <c r="AA51" s="1145"/>
      <c r="AB51" s="1690"/>
    </row>
    <row r="52" spans="1:28" ht="14.25" customHeight="1">
      <c r="A52" s="588"/>
      <c r="B52" s="246"/>
      <c r="C52" s="1329" t="s">
        <v>790</v>
      </c>
      <c r="D52" s="184"/>
      <c r="E52" s="184"/>
      <c r="F52" s="181"/>
      <c r="G52" s="181"/>
      <c r="H52" s="184"/>
      <c r="I52" s="181"/>
      <c r="J52" s="6968"/>
      <c r="K52" s="6968"/>
      <c r="L52" s="6968"/>
      <c r="M52" s="6968"/>
      <c r="N52" s="6076"/>
      <c r="O52" s="6978" t="b">
        <f>J52&gt;M51</f>
        <v>0</v>
      </c>
      <c r="P52" s="6978"/>
      <c r="Q52" s="6978" t="b">
        <f>J52&gt;Q50</f>
        <v>0</v>
      </c>
      <c r="R52" s="6979"/>
      <c r="S52" s="1328"/>
      <c r="T52" s="6975" t="str">
        <f>IF(AND(V49="",O52),"one in line 30b.",IF(AND(V49="",Q52),"exceed "&amp;TEXT(Q50,"0")&amp;" sq. ft.",""))</f>
        <v/>
      </c>
      <c r="U52" s="6976"/>
      <c r="V52" s="588"/>
      <c r="W52" s="385"/>
      <c r="X52" s="4808"/>
      <c r="Y52" s="4264" t="s">
        <v>5481</v>
      </c>
      <c r="Z52" s="4264" t="s">
        <v>5895</v>
      </c>
      <c r="AA52" s="2045">
        <f>SchC_TentativeProfit1</f>
        <v>0</v>
      </c>
      <c r="AB52" s="1690"/>
    </row>
    <row r="53" spans="1:28" ht="14.25" customHeight="1">
      <c r="A53" s="588"/>
      <c r="B53" s="246"/>
      <c r="C53" s="1329" t="s">
        <v>792</v>
      </c>
      <c r="D53" s="184"/>
      <c r="E53" s="184"/>
      <c r="F53" s="181"/>
      <c r="G53" s="181"/>
      <c r="H53" s="181"/>
      <c r="I53" s="184"/>
      <c r="J53" s="184"/>
      <c r="K53" s="184"/>
      <c r="L53" s="184"/>
      <c r="M53" s="184"/>
      <c r="N53" s="181"/>
      <c r="O53" s="181"/>
      <c r="P53" s="184"/>
      <c r="Q53" s="181"/>
      <c r="R53" s="1493" t="s">
        <v>537</v>
      </c>
      <c r="S53" s="182">
        <v>30</v>
      </c>
      <c r="T53" s="7010">
        <f>IF(W53&lt;&gt;"",ROUND(W53,0),IF(AND(F8829_1&lt;&gt;"",F8829_Deduction&lt;&gt;"",F8829_Deduction&lt;&gt;0),F8829_Deduction,IF(Y49,"",AA63)))</f>
        <v>0</v>
      </c>
      <c r="U53" s="7011"/>
      <c r="V53" s="588"/>
      <c r="W53" s="3696"/>
      <c r="X53" s="4808"/>
      <c r="Y53" s="4264" t="s">
        <v>5480</v>
      </c>
      <c r="Z53" s="4264" t="s">
        <v>5896</v>
      </c>
      <c r="AA53" s="6072"/>
      <c r="AB53" s="1690"/>
    </row>
    <row r="54" spans="1:28" ht="12.75" customHeight="1">
      <c r="A54" s="588"/>
      <c r="B54" s="246">
        <v>31</v>
      </c>
      <c r="C54" s="22" t="s">
        <v>4006</v>
      </c>
      <c r="D54" s="190"/>
      <c r="E54" s="169"/>
      <c r="F54" s="179"/>
      <c r="G54" s="179"/>
      <c r="H54" s="187"/>
      <c r="I54" s="188"/>
      <c r="J54" s="188"/>
      <c r="K54" s="188"/>
      <c r="L54" s="188"/>
      <c r="M54" s="188"/>
      <c r="N54" s="187"/>
      <c r="O54" s="187"/>
      <c r="P54" s="184"/>
      <c r="Q54" s="179"/>
      <c r="R54" s="179"/>
      <c r="S54" s="189"/>
      <c r="T54" s="1132"/>
      <c r="U54" s="1133"/>
      <c r="V54" s="588"/>
      <c r="W54" s="385"/>
      <c r="X54" s="4808"/>
      <c r="Y54" s="4264" t="s">
        <v>5897</v>
      </c>
      <c r="Z54" s="4264" t="s">
        <v>5898</v>
      </c>
      <c r="AA54" s="6068">
        <f>SUM(AA52,AA53)</f>
        <v>0</v>
      </c>
      <c r="AB54" s="1690"/>
    </row>
    <row r="55" spans="1:28" ht="12.75" customHeight="1">
      <c r="A55" s="588"/>
      <c r="B55" s="246"/>
      <c r="C55" s="326" t="s">
        <v>4803</v>
      </c>
      <c r="D55" s="197"/>
      <c r="E55" s="169"/>
      <c r="F55" s="179"/>
      <c r="G55" s="179"/>
      <c r="H55" s="187"/>
      <c r="I55" s="184"/>
      <c r="J55" s="184"/>
      <c r="K55" s="184"/>
      <c r="L55" s="188"/>
      <c r="M55" s="184"/>
      <c r="N55" s="187"/>
      <c r="O55" s="187"/>
      <c r="P55" s="184"/>
      <c r="Q55" s="179"/>
      <c r="R55" s="179"/>
      <c r="S55" s="185"/>
      <c r="T55" s="1134"/>
      <c r="U55" s="1135"/>
      <c r="V55" s="588"/>
      <c r="W55" s="385"/>
      <c r="X55" s="4808"/>
      <c r="Y55" s="4264" t="s">
        <v>5899</v>
      </c>
      <c r="Z55" s="4264" t="s">
        <v>5900</v>
      </c>
      <c r="AA55" s="6071"/>
      <c r="AB55" s="2356" t="s">
        <v>5908</v>
      </c>
    </row>
    <row r="56" spans="1:28" ht="12.75" customHeight="1">
      <c r="A56" s="588"/>
      <c r="B56" s="154"/>
      <c r="C56" s="326" t="s">
        <v>4009</v>
      </c>
      <c r="D56" s="169"/>
      <c r="E56" s="169"/>
      <c r="F56" s="179"/>
      <c r="G56" s="179"/>
      <c r="H56" s="179"/>
      <c r="I56" s="169"/>
      <c r="J56" s="169"/>
      <c r="K56" s="169"/>
      <c r="L56" s="188"/>
      <c r="M56" s="169"/>
      <c r="N56" s="179"/>
      <c r="O56" s="179"/>
      <c r="P56" s="184"/>
      <c r="Q56" s="179"/>
      <c r="R56" s="179"/>
      <c r="S56" s="182">
        <v>31</v>
      </c>
      <c r="T56" s="6981">
        <f>IF(W56&lt;&gt;"",ROUND(W56,0),IF(AND(Y49,V49&lt;&gt;"",W53=""),SchC_TentativeProfit1,IF(T53="",T48,ROUND(SUM(T48,-T53),0))))</f>
        <v>0</v>
      </c>
      <c r="U56" s="6982"/>
      <c r="V56" s="588"/>
      <c r="W56" s="3696"/>
      <c r="X56" s="4808"/>
      <c r="Y56" s="4264" t="s">
        <v>5901</v>
      </c>
      <c r="Z56" s="4264" t="s">
        <v>5902</v>
      </c>
      <c r="AA56" s="6068">
        <f>IF(AA55="",AA54,SUM(AA54,-AA55))</f>
        <v>0</v>
      </c>
      <c r="AB56" s="1690"/>
    </row>
    <row r="57" spans="1:28" ht="12.75" customHeight="1">
      <c r="A57" s="588"/>
      <c r="B57" s="154"/>
      <c r="C57" s="326" t="s">
        <v>4010</v>
      </c>
      <c r="D57" s="197"/>
      <c r="E57" s="169"/>
      <c r="F57" s="179"/>
      <c r="G57" s="179"/>
      <c r="H57" s="179"/>
      <c r="I57" s="169"/>
      <c r="J57" s="169"/>
      <c r="K57" s="169"/>
      <c r="L57" s="188"/>
      <c r="M57" s="169"/>
      <c r="N57" s="179"/>
      <c r="O57" s="179"/>
      <c r="P57" s="184"/>
      <c r="Q57" s="179"/>
      <c r="R57" s="1330"/>
      <c r="S57" s="198"/>
      <c r="T57" s="364"/>
      <c r="U57" s="364"/>
      <c r="V57" s="588"/>
      <c r="W57" s="385"/>
      <c r="X57" s="4808"/>
      <c r="Y57" s="6074" t="s">
        <v>0</v>
      </c>
      <c r="Z57" s="6075" t="s">
        <v>5903</v>
      </c>
      <c r="AA57" s="6079">
        <f>IF(J52="",0,MIN(Q50,J52))</f>
        <v>0</v>
      </c>
      <c r="AB57" s="2356" t="str">
        <f>"(&lt;= "&amp;Q50&amp;" sq. ft.)"</f>
        <v>(&lt;= 300 sq. ft.)</v>
      </c>
    </row>
    <row r="58" spans="1:28" ht="12.75" customHeight="1" thickBot="1">
      <c r="A58" s="588"/>
      <c r="B58" s="246">
        <v>32</v>
      </c>
      <c r="C58" s="1023" t="s">
        <v>4804</v>
      </c>
      <c r="D58" s="191"/>
      <c r="E58" s="191"/>
      <c r="F58" s="195"/>
      <c r="G58" s="195"/>
      <c r="H58" s="195"/>
      <c r="I58" s="191"/>
      <c r="J58" s="191"/>
      <c r="K58" s="191"/>
      <c r="L58" s="193"/>
      <c r="M58" s="191"/>
      <c r="N58" s="195"/>
      <c r="O58" s="195"/>
      <c r="P58" s="184"/>
      <c r="Q58" s="179"/>
      <c r="R58" s="1330"/>
      <c r="S58" s="198"/>
      <c r="T58" s="364"/>
      <c r="U58" s="364"/>
      <c r="V58" s="588"/>
      <c r="W58" s="2515" t="str">
        <f>IF(Y67,"Check only",IF(Y69,"Check ONLY",""))</f>
        <v/>
      </c>
      <c r="X58" s="4808"/>
      <c r="Y58" s="6074" t="s">
        <v>1</v>
      </c>
      <c r="Z58" s="6075" t="s">
        <v>5906</v>
      </c>
      <c r="AB58" s="1690"/>
    </row>
    <row r="59" spans="1:28" ht="12.75" customHeight="1" thickBot="1">
      <c r="A59" s="588"/>
      <c r="B59" s="154"/>
      <c r="C59" s="1023" t="s">
        <v>4011</v>
      </c>
      <c r="D59" s="197"/>
      <c r="E59" s="169"/>
      <c r="F59" s="179"/>
      <c r="G59" s="179"/>
      <c r="H59" s="179"/>
      <c r="I59" s="169"/>
      <c r="J59" s="169"/>
      <c r="K59" s="169"/>
      <c r="L59" s="188"/>
      <c r="M59" s="169"/>
      <c r="N59" s="179"/>
      <c r="O59" s="179"/>
      <c r="P59" s="184"/>
      <c r="Q59" s="568" t="s">
        <v>4013</v>
      </c>
      <c r="R59" s="1193"/>
      <c r="S59" s="199" t="s">
        <v>303</v>
      </c>
      <c r="T59" s="365"/>
      <c r="U59" s="365"/>
      <c r="V59" s="588"/>
      <c r="W59" s="2515" t="str">
        <f>IF(Y67,"if Line 31",IF(Y69,"one.",""))</f>
        <v/>
      </c>
      <c r="X59" s="4808"/>
      <c r="Y59" s="4264" t="s">
        <v>591</v>
      </c>
      <c r="Z59" s="4264" t="s">
        <v>5904</v>
      </c>
      <c r="AA59" s="6078">
        <v>5</v>
      </c>
      <c r="AB59" s="1690"/>
    </row>
    <row r="60" spans="1:28" ht="12.75" customHeight="1" thickBot="1">
      <c r="A60" s="588"/>
      <c r="B60" s="154"/>
      <c r="C60" s="1023" t="s">
        <v>4017</v>
      </c>
      <c r="D60" s="169"/>
      <c r="E60" s="169"/>
      <c r="F60" s="179"/>
      <c r="G60" s="179"/>
      <c r="H60" s="179"/>
      <c r="I60" s="169"/>
      <c r="J60" s="169"/>
      <c r="K60" s="169"/>
      <c r="L60" s="188"/>
      <c r="M60" s="169"/>
      <c r="N60" s="179"/>
      <c r="O60" s="179"/>
      <c r="P60" s="184"/>
      <c r="Q60" s="568" t="s">
        <v>4014</v>
      </c>
      <c r="R60" s="1193"/>
      <c r="S60" s="200" t="s">
        <v>20</v>
      </c>
      <c r="T60" s="364"/>
      <c r="U60" s="364"/>
      <c r="V60" s="588"/>
      <c r="W60" s="2515" t="str">
        <f>IF(Y67,"is a loss.","")</f>
        <v/>
      </c>
      <c r="X60" s="4808"/>
      <c r="Y60" s="4264" t="s">
        <v>592</v>
      </c>
      <c r="Z60" s="4264" t="s">
        <v>5912</v>
      </c>
      <c r="AA60" s="6070">
        <v>1</v>
      </c>
      <c r="AB60" s="2356" t="s">
        <v>5910</v>
      </c>
    </row>
    <row r="61" spans="1:28" ht="12" customHeight="1">
      <c r="A61" s="588"/>
      <c r="B61" s="154"/>
      <c r="C61" s="1023" t="s">
        <v>4012</v>
      </c>
      <c r="D61" s="169"/>
      <c r="E61" s="169"/>
      <c r="F61" s="179"/>
      <c r="G61" s="179"/>
      <c r="H61" s="179"/>
      <c r="I61" s="169"/>
      <c r="J61" s="169"/>
      <c r="K61" s="169"/>
      <c r="L61" s="188"/>
      <c r="M61" s="169"/>
      <c r="N61" s="179"/>
      <c r="O61" s="179"/>
      <c r="P61" s="184"/>
      <c r="Q61" s="4160"/>
      <c r="R61" s="364"/>
      <c r="S61" s="4633" t="s">
        <v>21</v>
      </c>
      <c r="T61" s="364"/>
      <c r="U61" s="364"/>
      <c r="V61" s="588"/>
      <c r="W61" s="2515"/>
      <c r="X61" s="4808"/>
      <c r="Y61" s="4264" t="s">
        <v>590</v>
      </c>
      <c r="Z61" s="4264" t="s">
        <v>5905</v>
      </c>
      <c r="AA61" s="6077">
        <f>ROUND(AA59*AA60,2)</f>
        <v>5</v>
      </c>
      <c r="AB61" s="1690"/>
    </row>
    <row r="62" spans="1:28" ht="14.25" customHeight="1" thickBot="1">
      <c r="A62" s="588"/>
      <c r="B62" s="1645"/>
      <c r="C62" s="4619" t="s">
        <v>4005</v>
      </c>
      <c r="D62" s="201"/>
      <c r="E62" s="202"/>
      <c r="F62" s="203"/>
      <c r="G62" s="203"/>
      <c r="H62" s="203"/>
      <c r="I62" s="202"/>
      <c r="J62" s="202"/>
      <c r="K62" s="202"/>
      <c r="L62" s="204"/>
      <c r="M62" s="202"/>
      <c r="N62" s="203"/>
      <c r="O62" s="203"/>
      <c r="P62" s="205"/>
      <c r="Q62" s="203"/>
      <c r="R62" s="203"/>
      <c r="S62" s="206"/>
      <c r="T62" s="366"/>
      <c r="U62" s="366"/>
      <c r="V62" s="588"/>
      <c r="W62" s="385"/>
      <c r="X62" s="4808"/>
      <c r="Y62" s="6074" t="s">
        <v>399</v>
      </c>
      <c r="Z62" s="6075" t="s">
        <v>5907</v>
      </c>
      <c r="AA62" s="6077">
        <f>ROUND(AA57*AA61,2)</f>
        <v>0</v>
      </c>
      <c r="AB62" s="1690"/>
    </row>
    <row r="63" spans="1:28" ht="15.75" customHeight="1">
      <c r="A63" s="588"/>
      <c r="B63" s="1907" t="s">
        <v>1045</v>
      </c>
      <c r="C63" s="505"/>
      <c r="D63" s="505"/>
      <c r="E63" s="505"/>
      <c r="F63" s="506"/>
      <c r="G63" s="506"/>
      <c r="H63" s="506"/>
      <c r="I63" s="505"/>
      <c r="J63" s="505"/>
      <c r="K63" s="505"/>
      <c r="L63" s="1086" t="s">
        <v>616</v>
      </c>
      <c r="M63" s="1086"/>
      <c r="N63" s="1086"/>
      <c r="O63" s="506"/>
      <c r="P63" s="507"/>
      <c r="Q63" s="506"/>
      <c r="R63" s="506"/>
      <c r="S63" s="508"/>
      <c r="T63" s="509"/>
      <c r="U63" s="509" t="str">
        <f>"Schedule C (Form 1040)  "&amp;TaxYear</f>
        <v>Schedule C (Form 1040)  2021</v>
      </c>
      <c r="V63" s="588"/>
      <c r="W63" s="385"/>
      <c r="X63" s="4808"/>
      <c r="Y63" s="6074" t="s">
        <v>31</v>
      </c>
      <c r="Z63" s="4264" t="s">
        <v>5909</v>
      </c>
      <c r="AA63" s="6077">
        <f>MAX(0,MIN(AA56,AA62))</f>
        <v>0</v>
      </c>
      <c r="AB63" s="2356" t="s">
        <v>5911</v>
      </c>
    </row>
    <row r="64" spans="1:28" ht="19.5" customHeight="1" thickBot="1">
      <c r="A64" s="588"/>
      <c r="B64" s="184" t="str">
        <f>"Schedule C (Form 1040) "&amp;TaxYear</f>
        <v>Schedule C (Form 1040) 2021</v>
      </c>
      <c r="C64" s="184"/>
      <c r="D64" s="184"/>
      <c r="E64" s="184"/>
      <c r="F64" s="184"/>
      <c r="G64" s="184"/>
      <c r="H64" s="184"/>
      <c r="I64" s="184"/>
      <c r="J64" s="184"/>
      <c r="K64" s="184"/>
      <c r="L64" s="184"/>
      <c r="M64" s="184"/>
      <c r="N64" s="184"/>
      <c r="O64" s="184"/>
      <c r="P64" s="184"/>
      <c r="Q64" s="184"/>
      <c r="R64" s="208"/>
      <c r="S64" s="209"/>
      <c r="T64" s="209" t="s">
        <v>197</v>
      </c>
      <c r="U64" s="210" t="str">
        <f>"2"</f>
        <v>2</v>
      </c>
      <c r="V64" s="588"/>
      <c r="W64" s="385"/>
      <c r="X64" s="4808"/>
      <c r="Y64" s="1694"/>
      <c r="Z64" s="1694"/>
      <c r="AA64" s="1694"/>
      <c r="AB64" s="1695"/>
    </row>
    <row r="65" spans="1:28" ht="16.5" customHeight="1">
      <c r="A65" s="588"/>
      <c r="B65" s="4113" t="s">
        <v>319</v>
      </c>
      <c r="C65" s="211" t="s">
        <v>4018</v>
      </c>
      <c r="D65" s="211"/>
      <c r="E65" s="211"/>
      <c r="F65" s="211"/>
      <c r="G65" s="211"/>
      <c r="H65" s="211"/>
      <c r="I65" s="211"/>
      <c r="J65" s="211"/>
      <c r="K65" s="211"/>
      <c r="L65" s="211"/>
      <c r="M65" s="211"/>
      <c r="N65" s="211"/>
      <c r="O65" s="211"/>
      <c r="P65" s="211"/>
      <c r="Q65" s="211"/>
      <c r="R65" s="211"/>
      <c r="S65" s="211"/>
      <c r="T65" s="211"/>
      <c r="U65" s="211"/>
      <c r="V65" s="588"/>
      <c r="W65" s="385"/>
      <c r="X65" s="4808"/>
      <c r="Y65" s="1308" t="s">
        <v>4356</v>
      </c>
      <c r="Z65" s="1308"/>
      <c r="AA65" s="1308"/>
      <c r="AB65" s="1308"/>
    </row>
    <row r="66" spans="1:28" ht="9.75" customHeight="1">
      <c r="A66" s="588"/>
      <c r="B66" s="1023"/>
      <c r="C66" s="326"/>
      <c r="D66" s="326"/>
      <c r="E66" s="326"/>
      <c r="F66" s="326"/>
      <c r="G66" s="326"/>
      <c r="H66" s="326"/>
      <c r="I66" s="326"/>
      <c r="J66" s="326"/>
      <c r="K66" s="326"/>
      <c r="L66" s="326"/>
      <c r="M66" s="326"/>
      <c r="N66" s="326"/>
      <c r="O66" s="326"/>
      <c r="P66" s="326"/>
      <c r="Q66" s="326"/>
      <c r="R66" s="326"/>
      <c r="S66" s="326"/>
      <c r="T66" s="326"/>
      <c r="U66" s="326"/>
      <c r="V66" s="588"/>
      <c r="W66" s="385"/>
      <c r="X66" s="4808"/>
      <c r="Y66" s="5133">
        <f>SUM(SchC_ProfitLoss1,SchC_ProfitLoss2)</f>
        <v>0</v>
      </c>
      <c r="Z66" s="5133"/>
      <c r="AA66" s="5133"/>
      <c r="AB66" s="5133"/>
    </row>
    <row r="67" spans="1:28" ht="14.25" customHeight="1" thickBot="1">
      <c r="A67" s="588"/>
      <c r="B67" s="246">
        <v>33</v>
      </c>
      <c r="C67" s="1023" t="s">
        <v>439</v>
      </c>
      <c r="D67" s="169"/>
      <c r="E67" s="169"/>
      <c r="F67" s="169"/>
      <c r="G67" s="169"/>
      <c r="H67" s="169"/>
      <c r="I67" s="169"/>
      <c r="J67" s="169"/>
      <c r="K67" s="169"/>
      <c r="L67" s="169"/>
      <c r="M67" s="169"/>
      <c r="N67" s="169"/>
      <c r="O67" s="169"/>
      <c r="P67" s="169"/>
      <c r="Q67" s="169"/>
      <c r="R67" s="169"/>
      <c r="S67" s="169"/>
      <c r="T67" s="169"/>
      <c r="U67" s="169"/>
      <c r="V67" s="588"/>
      <c r="W67" s="385"/>
      <c r="X67" s="4808"/>
      <c r="Y67" s="1271" t="b">
        <f>IF(AND(R59&lt;&gt;"",R60&lt;&gt;""),FALSE,IF(AND(T56&gt;=0,OR(R59&lt;&gt;"",R60&lt;&gt;"")),TRUE,FALSE))</f>
        <v>0</v>
      </c>
      <c r="Z67" s="1271"/>
      <c r="AA67" s="1271"/>
      <c r="AB67" s="1271"/>
    </row>
    <row r="68" spans="1:28" ht="12" customHeight="1" thickBot="1">
      <c r="A68" s="588"/>
      <c r="B68" s="246"/>
      <c r="C68" s="1023" t="s">
        <v>4030</v>
      </c>
      <c r="D68" s="169"/>
      <c r="E68" s="1203"/>
      <c r="F68" s="164" t="s">
        <v>4031</v>
      </c>
      <c r="G68" s="154" t="s">
        <v>1436</v>
      </c>
      <c r="H68" s="1203"/>
      <c r="I68" s="164" t="s">
        <v>2734</v>
      </c>
      <c r="J68" s="172"/>
      <c r="K68" s="169"/>
      <c r="L68" s="154" t="s">
        <v>1442</v>
      </c>
      <c r="M68" s="1203"/>
      <c r="N68" s="164" t="s">
        <v>2735</v>
      </c>
      <c r="O68" s="169"/>
      <c r="P68" s="169"/>
      <c r="Q68" s="169"/>
      <c r="R68" s="169"/>
      <c r="S68" s="169"/>
      <c r="T68" s="169"/>
      <c r="U68" s="169"/>
      <c r="V68" s="588"/>
      <c r="W68" s="385"/>
      <c r="X68" s="4808"/>
      <c r="Y68" s="1271" t="b">
        <f>OR(Y67,Y69)</f>
        <v>0</v>
      </c>
      <c r="Z68" s="1271"/>
      <c r="AA68" s="1271"/>
      <c r="AB68" s="1271"/>
    </row>
    <row r="69" spans="1:28" ht="15" customHeight="1" thickBot="1">
      <c r="A69" s="588"/>
      <c r="B69" s="246">
        <v>34</v>
      </c>
      <c r="C69" s="1329" t="s">
        <v>614</v>
      </c>
      <c r="D69" s="184"/>
      <c r="E69" s="184"/>
      <c r="F69" s="184"/>
      <c r="G69" s="184"/>
      <c r="H69" s="184"/>
      <c r="I69" s="184"/>
      <c r="J69" s="184"/>
      <c r="K69" s="169"/>
      <c r="L69" s="169"/>
      <c r="M69" s="169"/>
      <c r="N69" s="169"/>
      <c r="O69" s="169"/>
      <c r="P69" s="169"/>
      <c r="Q69" s="184"/>
      <c r="R69" s="184"/>
      <c r="S69" s="184"/>
      <c r="T69" s="184"/>
      <c r="U69" s="184"/>
      <c r="V69" s="588"/>
      <c r="W69" s="385"/>
      <c r="X69" s="4808"/>
      <c r="Y69" s="1271" t="b">
        <f>AND(R59&lt;&gt;"",R60&lt;&gt;"")</f>
        <v>0</v>
      </c>
      <c r="Z69" s="1271"/>
      <c r="AA69" s="1271"/>
      <c r="AB69" s="1271"/>
    </row>
    <row r="70" spans="1:28" ht="12.75" customHeight="1" thickBot="1">
      <c r="A70" s="588"/>
      <c r="B70" s="246"/>
      <c r="C70" s="1329" t="s">
        <v>2736</v>
      </c>
      <c r="D70" s="184"/>
      <c r="E70" s="184"/>
      <c r="F70" s="184"/>
      <c r="G70" s="184"/>
      <c r="H70" s="184"/>
      <c r="I70" s="184"/>
      <c r="J70" s="184"/>
      <c r="K70" s="184"/>
      <c r="L70" s="184"/>
      <c r="M70" s="184"/>
      <c r="N70" s="184"/>
      <c r="O70" s="186"/>
      <c r="P70" s="596" t="s">
        <v>2516</v>
      </c>
      <c r="Q70" s="1193"/>
      <c r="R70" s="186" t="s">
        <v>271</v>
      </c>
      <c r="S70" s="2514"/>
      <c r="T70" s="1193"/>
      <c r="U70" s="186" t="s">
        <v>272</v>
      </c>
      <c r="V70" s="588"/>
      <c r="W70" s="385"/>
      <c r="X70" s="4808"/>
    </row>
    <row r="71" spans="1:28" ht="14.25" customHeight="1">
      <c r="A71" s="588"/>
      <c r="B71" s="246"/>
      <c r="C71" s="1329"/>
      <c r="D71" s="184"/>
      <c r="E71" s="184"/>
      <c r="F71" s="184"/>
      <c r="G71" s="184"/>
      <c r="H71" s="184"/>
      <c r="I71" s="184"/>
      <c r="J71" s="184"/>
      <c r="K71" s="184"/>
      <c r="L71" s="184"/>
      <c r="M71" s="184"/>
      <c r="N71" s="184"/>
      <c r="O71" s="184"/>
      <c r="P71" s="184"/>
      <c r="Q71" s="184"/>
      <c r="R71" s="184"/>
      <c r="S71" s="184"/>
      <c r="T71" s="184"/>
      <c r="U71" s="184"/>
      <c r="V71" s="588"/>
      <c r="W71" s="385"/>
      <c r="X71" s="4808"/>
    </row>
    <row r="72" spans="1:28" ht="12.75" customHeight="1">
      <c r="A72" s="588"/>
      <c r="B72" s="246">
        <v>35</v>
      </c>
      <c r="C72" s="1329" t="s">
        <v>2737</v>
      </c>
      <c r="D72" s="184"/>
      <c r="E72" s="184"/>
      <c r="F72" s="184"/>
      <c r="G72" s="184"/>
      <c r="H72" s="184"/>
      <c r="I72" s="184"/>
      <c r="J72" s="184"/>
      <c r="K72" s="184"/>
      <c r="L72" s="184"/>
      <c r="M72" s="184"/>
      <c r="N72" s="184"/>
      <c r="O72" s="184"/>
      <c r="P72" s="184"/>
      <c r="Q72" s="184"/>
      <c r="R72" s="596" t="s">
        <v>629</v>
      </c>
      <c r="S72" s="332">
        <v>35</v>
      </c>
      <c r="T72" s="6983"/>
      <c r="U72" s="6984"/>
      <c r="V72" s="588"/>
      <c r="W72" s="385"/>
      <c r="X72" s="4808"/>
    </row>
    <row r="73" spans="1:28" ht="14.25" customHeight="1">
      <c r="A73" s="588"/>
      <c r="B73" s="246"/>
      <c r="C73" s="1329"/>
      <c r="D73" s="184"/>
      <c r="E73" s="184"/>
      <c r="F73" s="184"/>
      <c r="G73" s="184"/>
      <c r="H73" s="184"/>
      <c r="I73" s="184"/>
      <c r="J73" s="184"/>
      <c r="K73" s="184"/>
      <c r="L73" s="184"/>
      <c r="M73" s="184"/>
      <c r="N73" s="184"/>
      <c r="O73" s="184"/>
      <c r="P73" s="184"/>
      <c r="Q73" s="184"/>
      <c r="R73" s="184"/>
      <c r="S73" s="4635"/>
      <c r="T73" s="6985"/>
      <c r="U73" s="6986"/>
      <c r="V73" s="588"/>
      <c r="W73" s="385"/>
      <c r="X73" s="4808"/>
    </row>
    <row r="74" spans="1:28">
      <c r="A74" s="588"/>
      <c r="B74" s="246">
        <v>36</v>
      </c>
      <c r="C74" s="1329" t="s">
        <v>2738</v>
      </c>
      <c r="D74" s="184"/>
      <c r="E74" s="184"/>
      <c r="F74" s="184"/>
      <c r="G74" s="184"/>
      <c r="H74" s="184"/>
      <c r="I74" s="184"/>
      <c r="J74" s="184"/>
      <c r="K74" s="184"/>
      <c r="L74" s="184"/>
      <c r="M74" s="184"/>
      <c r="N74" s="184"/>
      <c r="O74" s="184"/>
      <c r="P74" s="184"/>
      <c r="Q74" s="184"/>
      <c r="R74" s="596" t="s">
        <v>633</v>
      </c>
      <c r="S74" s="332">
        <v>36</v>
      </c>
      <c r="T74" s="6983"/>
      <c r="U74" s="6984"/>
      <c r="V74" s="588"/>
      <c r="W74" s="385"/>
      <c r="X74" s="4808"/>
    </row>
    <row r="75" spans="1:28" ht="14.25" customHeight="1">
      <c r="A75" s="588"/>
      <c r="B75" s="246"/>
      <c r="C75" s="1329"/>
      <c r="D75" s="184"/>
      <c r="E75" s="184"/>
      <c r="F75" s="184"/>
      <c r="G75" s="184"/>
      <c r="H75" s="184"/>
      <c r="I75" s="184"/>
      <c r="J75" s="184"/>
      <c r="K75" s="184"/>
      <c r="L75" s="184"/>
      <c r="M75" s="184"/>
      <c r="N75" s="184"/>
      <c r="O75" s="184"/>
      <c r="P75" s="184"/>
      <c r="Q75" s="184"/>
      <c r="R75" s="184"/>
      <c r="S75" s="4635"/>
      <c r="T75" s="6985"/>
      <c r="U75" s="6986"/>
      <c r="V75" s="588"/>
      <c r="W75" s="385"/>
      <c r="X75" s="4808"/>
    </row>
    <row r="76" spans="1:28">
      <c r="A76" s="588"/>
      <c r="B76" s="246">
        <v>37</v>
      </c>
      <c r="C76" s="1329" t="s">
        <v>2739</v>
      </c>
      <c r="D76" s="184"/>
      <c r="E76" s="184"/>
      <c r="F76" s="184"/>
      <c r="G76" s="184"/>
      <c r="H76" s="184"/>
      <c r="I76" s="184"/>
      <c r="J76" s="184"/>
      <c r="K76" s="184"/>
      <c r="L76" s="184"/>
      <c r="M76" s="184"/>
      <c r="N76" s="184"/>
      <c r="O76" s="184"/>
      <c r="P76" s="184"/>
      <c r="Q76" s="184"/>
      <c r="R76" s="596"/>
      <c r="S76" s="332">
        <v>37</v>
      </c>
      <c r="T76" s="6983"/>
      <c r="U76" s="6984"/>
      <c r="V76" s="588"/>
      <c r="W76" s="385"/>
      <c r="X76" s="4808"/>
    </row>
    <row r="77" spans="1:28" ht="14.25" customHeight="1">
      <c r="A77" s="588"/>
      <c r="B77" s="246"/>
      <c r="C77" s="1329"/>
      <c r="D77" s="184"/>
      <c r="E77" s="184"/>
      <c r="F77" s="184"/>
      <c r="G77" s="184"/>
      <c r="H77" s="184"/>
      <c r="I77" s="184"/>
      <c r="J77" s="184"/>
      <c r="K77" s="184"/>
      <c r="L77" s="184"/>
      <c r="M77" s="184"/>
      <c r="N77" s="184"/>
      <c r="O77" s="184"/>
      <c r="P77" s="184"/>
      <c r="Q77" s="184"/>
      <c r="R77" s="184"/>
      <c r="S77" s="4635"/>
      <c r="T77" s="6985"/>
      <c r="U77" s="6986"/>
      <c r="V77" s="588"/>
      <c r="W77" s="385"/>
      <c r="X77" s="4808"/>
    </row>
    <row r="78" spans="1:28">
      <c r="A78" s="588"/>
      <c r="B78" s="246">
        <v>38</v>
      </c>
      <c r="C78" s="1329" t="s">
        <v>2740</v>
      </c>
      <c r="D78" s="184"/>
      <c r="E78" s="184"/>
      <c r="F78" s="184"/>
      <c r="G78" s="184"/>
      <c r="H78" s="184"/>
      <c r="I78" s="184"/>
      <c r="J78" s="184"/>
      <c r="K78" s="184"/>
      <c r="L78" s="184"/>
      <c r="M78" s="184"/>
      <c r="N78" s="184"/>
      <c r="O78" s="184"/>
      <c r="P78" s="184"/>
      <c r="Q78" s="184"/>
      <c r="R78" s="596" t="s">
        <v>2749</v>
      </c>
      <c r="S78" s="332">
        <v>38</v>
      </c>
      <c r="T78" s="6983"/>
      <c r="U78" s="6984"/>
      <c r="V78" s="588"/>
      <c r="W78" s="385"/>
      <c r="X78" s="4808"/>
    </row>
    <row r="79" spans="1:28" ht="14.25" customHeight="1">
      <c r="A79" s="588"/>
      <c r="B79" s="246"/>
      <c r="C79" s="1329"/>
      <c r="D79" s="184"/>
      <c r="E79" s="184"/>
      <c r="F79" s="184"/>
      <c r="G79" s="184"/>
      <c r="H79" s="184"/>
      <c r="I79" s="184"/>
      <c r="J79" s="184"/>
      <c r="K79" s="184"/>
      <c r="L79" s="184"/>
      <c r="M79" s="184"/>
      <c r="N79" s="184"/>
      <c r="O79" s="184"/>
      <c r="P79" s="184"/>
      <c r="Q79" s="184"/>
      <c r="R79" s="184"/>
      <c r="S79" s="4635"/>
      <c r="T79" s="6985"/>
      <c r="U79" s="6986"/>
      <c r="V79" s="588"/>
      <c r="W79" s="385"/>
      <c r="X79" s="4808"/>
    </row>
    <row r="80" spans="1:28">
      <c r="A80" s="588"/>
      <c r="B80" s="246">
        <v>39</v>
      </c>
      <c r="C80" s="1329" t="s">
        <v>2741</v>
      </c>
      <c r="D80" s="184"/>
      <c r="E80" s="184"/>
      <c r="F80" s="184"/>
      <c r="G80" s="184"/>
      <c r="H80" s="184"/>
      <c r="I80" s="184"/>
      <c r="J80" s="184"/>
      <c r="K80" s="184"/>
      <c r="L80" s="184"/>
      <c r="M80" s="184"/>
      <c r="N80" s="184"/>
      <c r="O80" s="184"/>
      <c r="P80" s="184"/>
      <c r="Q80" s="184"/>
      <c r="R80" s="596" t="s">
        <v>2750</v>
      </c>
      <c r="S80" s="332">
        <v>39</v>
      </c>
      <c r="T80" s="6983"/>
      <c r="U80" s="6984"/>
      <c r="V80" s="588"/>
      <c r="W80" s="385"/>
      <c r="X80" s="4808"/>
    </row>
    <row r="81" spans="1:28" ht="14.25" customHeight="1">
      <c r="A81" s="588"/>
      <c r="B81" s="246"/>
      <c r="C81" s="1329"/>
      <c r="D81" s="184"/>
      <c r="E81" s="184"/>
      <c r="F81" s="184"/>
      <c r="G81" s="184"/>
      <c r="H81" s="184"/>
      <c r="I81" s="184"/>
      <c r="J81" s="184"/>
      <c r="K81" s="184"/>
      <c r="L81" s="184"/>
      <c r="M81" s="184"/>
      <c r="N81" s="184"/>
      <c r="O81" s="184"/>
      <c r="P81" s="184"/>
      <c r="Q81" s="184"/>
      <c r="R81" s="184"/>
      <c r="S81" s="4635"/>
      <c r="T81" s="6987">
        <f>ROUND(SUM(T72:U80),0)</f>
        <v>0</v>
      </c>
      <c r="U81" s="6988"/>
      <c r="V81" s="588"/>
      <c r="W81" s="385"/>
      <c r="X81" s="4808"/>
    </row>
    <row r="82" spans="1:28">
      <c r="A82" s="588"/>
      <c r="B82" s="246">
        <v>40</v>
      </c>
      <c r="C82" s="1329" t="s">
        <v>2742</v>
      </c>
      <c r="D82" s="184"/>
      <c r="E82" s="184"/>
      <c r="F82" s="184"/>
      <c r="G82" s="184"/>
      <c r="H82" s="184"/>
      <c r="I82" s="184"/>
      <c r="J82" s="184"/>
      <c r="K82" s="184"/>
      <c r="L82" s="184"/>
      <c r="M82" s="184"/>
      <c r="N82" s="184"/>
      <c r="O82" s="184"/>
      <c r="P82" s="184"/>
      <c r="Q82" s="184"/>
      <c r="R82" s="596" t="s">
        <v>1585</v>
      </c>
      <c r="S82" s="332">
        <v>40</v>
      </c>
      <c r="T82" s="6989"/>
      <c r="U82" s="6990"/>
      <c r="V82" s="588"/>
      <c r="W82" s="385"/>
      <c r="X82" s="4808"/>
    </row>
    <row r="83" spans="1:28" ht="14.25" customHeight="1">
      <c r="A83" s="588"/>
      <c r="B83" s="246"/>
      <c r="C83" s="1329"/>
      <c r="D83" s="184"/>
      <c r="E83" s="184"/>
      <c r="F83" s="184"/>
      <c r="G83" s="184"/>
      <c r="H83" s="184"/>
      <c r="I83" s="184"/>
      <c r="J83" s="184"/>
      <c r="K83" s="184"/>
      <c r="L83" s="184"/>
      <c r="M83" s="184"/>
      <c r="N83" s="184"/>
      <c r="O83" s="184"/>
      <c r="P83" s="184"/>
      <c r="Q83" s="184"/>
      <c r="R83" s="184"/>
      <c r="S83" s="4635"/>
      <c r="T83" s="6985"/>
      <c r="U83" s="6986"/>
      <c r="V83" s="588"/>
      <c r="W83" s="385"/>
      <c r="X83" s="4808"/>
    </row>
    <row r="84" spans="1:28">
      <c r="A84" s="588"/>
      <c r="B84" s="246">
        <v>41</v>
      </c>
      <c r="C84" s="1329" t="s">
        <v>2743</v>
      </c>
      <c r="D84" s="184"/>
      <c r="E84" s="184"/>
      <c r="F84" s="184"/>
      <c r="G84" s="184"/>
      <c r="H84" s="184"/>
      <c r="I84" s="184"/>
      <c r="J84" s="184"/>
      <c r="K84" s="184"/>
      <c r="L84" s="184"/>
      <c r="M84" s="184"/>
      <c r="N84" s="184"/>
      <c r="O84" s="184"/>
      <c r="P84" s="184"/>
      <c r="Q84" s="184"/>
      <c r="R84" s="596" t="s">
        <v>1585</v>
      </c>
      <c r="S84" s="332">
        <v>41</v>
      </c>
      <c r="T84" s="6983"/>
      <c r="U84" s="6984"/>
      <c r="V84" s="588"/>
      <c r="W84" s="385"/>
      <c r="X84" s="4808"/>
    </row>
    <row r="85" spans="1:28" ht="14.25" customHeight="1">
      <c r="A85" s="588"/>
      <c r="B85" s="246"/>
      <c r="C85" s="1329"/>
      <c r="D85" s="184"/>
      <c r="E85" s="184"/>
      <c r="F85" s="184"/>
      <c r="G85" s="184"/>
      <c r="H85" s="184"/>
      <c r="I85" s="184"/>
      <c r="J85" s="184"/>
      <c r="K85" s="184"/>
      <c r="L85" s="184"/>
      <c r="M85" s="184"/>
      <c r="N85" s="184"/>
      <c r="O85" s="184"/>
      <c r="P85" s="184"/>
      <c r="Q85" s="184"/>
      <c r="R85" s="184"/>
      <c r="S85" s="4635"/>
      <c r="T85" s="6987"/>
      <c r="U85" s="6988"/>
      <c r="V85" s="588"/>
      <c r="W85" s="385"/>
      <c r="X85" s="4808"/>
    </row>
    <row r="86" spans="1:28" ht="13.5" thickBot="1">
      <c r="A86" s="588"/>
      <c r="B86" s="246">
        <v>42</v>
      </c>
      <c r="C86" s="4626" t="s">
        <v>4022</v>
      </c>
      <c r="D86" s="186"/>
      <c r="E86" s="184"/>
      <c r="F86" s="184"/>
      <c r="G86" s="184"/>
      <c r="H86" s="184"/>
      <c r="I86" s="184"/>
      <c r="J86" s="184"/>
      <c r="K86" s="184"/>
      <c r="L86" s="184"/>
      <c r="M86" s="184"/>
      <c r="N86" s="184"/>
      <c r="O86" s="184"/>
      <c r="P86" s="184"/>
      <c r="Q86" s="184"/>
      <c r="R86" s="596" t="s">
        <v>698</v>
      </c>
      <c r="S86" s="332">
        <v>42</v>
      </c>
      <c r="T86" s="7007">
        <f>ROUND(SUM(T81,-T83),0)</f>
        <v>0</v>
      </c>
      <c r="U86" s="7008"/>
      <c r="V86" s="588"/>
      <c r="W86" s="385"/>
      <c r="X86" s="4808"/>
    </row>
    <row r="87" spans="1:28" ht="12.75" customHeight="1">
      <c r="A87" s="588"/>
      <c r="B87" s="2360" t="s">
        <v>470</v>
      </c>
      <c r="C87" s="213" t="s">
        <v>4389</v>
      </c>
      <c r="D87" s="213"/>
      <c r="E87" s="213"/>
      <c r="F87" s="213"/>
      <c r="G87" s="213" t="s">
        <v>4806</v>
      </c>
      <c r="H87" s="213"/>
      <c r="I87" s="213"/>
      <c r="J87" s="213"/>
      <c r="K87" s="213"/>
      <c r="L87" s="213"/>
      <c r="M87" s="213"/>
      <c r="N87" s="213"/>
      <c r="O87" s="213"/>
      <c r="P87" s="213"/>
      <c r="Q87" s="213"/>
      <c r="R87" s="213"/>
      <c r="S87" s="213"/>
      <c r="T87" s="213"/>
      <c r="U87" s="213"/>
      <c r="V87" s="588"/>
      <c r="W87" s="385"/>
      <c r="X87" s="4808"/>
    </row>
    <row r="88" spans="1:28" ht="12.75" customHeight="1">
      <c r="A88" s="588"/>
      <c r="B88" s="198"/>
      <c r="C88" s="214" t="s">
        <v>4807</v>
      </c>
      <c r="D88" s="194"/>
      <c r="E88" s="214"/>
      <c r="F88" s="214"/>
      <c r="G88" s="214"/>
      <c r="H88" s="214"/>
      <c r="I88" s="214"/>
      <c r="J88" s="214"/>
      <c r="K88" s="214"/>
      <c r="L88" s="214"/>
      <c r="M88" s="214"/>
      <c r="N88" s="214"/>
      <c r="O88" s="214"/>
      <c r="P88" s="214"/>
      <c r="Q88" s="214"/>
      <c r="R88" s="214"/>
      <c r="S88" s="214"/>
      <c r="T88" s="214"/>
      <c r="U88" s="214"/>
      <c r="V88" s="588"/>
      <c r="W88" s="385"/>
      <c r="X88" s="4808"/>
    </row>
    <row r="89" spans="1:28" ht="12.75" customHeight="1">
      <c r="A89" s="588"/>
      <c r="B89" s="368"/>
      <c r="C89" s="4836" t="s">
        <v>4808</v>
      </c>
      <c r="D89" s="215"/>
      <c r="E89" s="216"/>
      <c r="F89" s="216"/>
      <c r="G89" s="216"/>
      <c r="H89" s="216"/>
      <c r="I89" s="216"/>
      <c r="J89" s="216"/>
      <c r="K89" s="216"/>
      <c r="L89" s="216"/>
      <c r="M89" s="216"/>
      <c r="N89" s="216"/>
      <c r="O89" s="216"/>
      <c r="P89" s="216"/>
      <c r="Q89" s="216"/>
      <c r="R89" s="216"/>
      <c r="S89" s="216"/>
      <c r="T89" s="216"/>
      <c r="U89" s="216"/>
      <c r="V89" s="588"/>
      <c r="W89" s="385"/>
      <c r="X89" s="4808"/>
    </row>
    <row r="90" spans="1:28" ht="7.5" customHeight="1">
      <c r="A90" s="588"/>
      <c r="B90" s="198"/>
      <c r="C90" s="184"/>
      <c r="D90" s="184"/>
      <c r="E90" s="184"/>
      <c r="F90" s="184"/>
      <c r="G90" s="184"/>
      <c r="H90" s="184"/>
      <c r="I90" s="184"/>
      <c r="J90" s="184"/>
      <c r="K90" s="184"/>
      <c r="L90" s="184"/>
      <c r="M90" s="184"/>
      <c r="N90" s="184"/>
      <c r="O90" s="184"/>
      <c r="P90" s="184"/>
      <c r="Q90" s="184"/>
      <c r="R90" s="184"/>
      <c r="S90" s="184"/>
      <c r="T90" s="184"/>
      <c r="U90" s="184"/>
      <c r="V90" s="588"/>
      <c r="W90" s="385"/>
      <c r="X90" s="4808"/>
    </row>
    <row r="91" spans="1:28" ht="15.75" customHeight="1">
      <c r="A91" s="588"/>
      <c r="B91" s="246">
        <v>43</v>
      </c>
      <c r="C91" s="1288" t="s">
        <v>5409</v>
      </c>
      <c r="D91" s="595"/>
      <c r="E91" s="184"/>
      <c r="F91" s="184"/>
      <c r="G91" s="184"/>
      <c r="H91" s="184"/>
      <c r="I91" s="184"/>
      <c r="J91" s="184"/>
      <c r="K91" s="184"/>
      <c r="L91" s="184"/>
      <c r="M91" s="6977"/>
      <c r="N91" s="6977"/>
      <c r="O91" s="3603" t="s">
        <v>5410</v>
      </c>
      <c r="P91" s="6977"/>
      <c r="Q91" s="6977"/>
      <c r="R91" s="3603" t="s">
        <v>5410</v>
      </c>
      <c r="S91" s="6977"/>
      <c r="T91" s="6977"/>
      <c r="U91" s="186"/>
      <c r="V91" s="588"/>
      <c r="W91" s="385"/>
      <c r="X91" s="4808"/>
    </row>
    <row r="92" spans="1:28" ht="14.25" customHeight="1">
      <c r="A92" s="588"/>
      <c r="B92" s="198"/>
      <c r="C92" s="184"/>
      <c r="D92" s="184"/>
      <c r="E92" s="184"/>
      <c r="F92" s="184"/>
      <c r="G92" s="184"/>
      <c r="H92" s="184"/>
      <c r="I92" s="184"/>
      <c r="J92" s="184"/>
      <c r="K92" s="184"/>
      <c r="L92" s="184"/>
      <c r="M92" s="184"/>
      <c r="N92" s="184"/>
      <c r="O92" s="184"/>
      <c r="P92" s="184"/>
      <c r="Q92" s="184"/>
      <c r="R92" s="184"/>
      <c r="S92" s="184"/>
      <c r="T92" s="184"/>
      <c r="U92" s="184"/>
      <c r="V92" s="588"/>
      <c r="W92" s="385"/>
      <c r="X92" s="4808"/>
    </row>
    <row r="93" spans="1:28">
      <c r="A93" s="588"/>
      <c r="B93" s="246">
        <v>44</v>
      </c>
      <c r="C93" s="184" t="str">
        <f>"Of the total number of miles you drove your vehicle during "&amp;TaxYear&amp;", enter the number of miles you used your vehicle for:"</f>
        <v>Of the total number of miles you drove your vehicle during 2021, enter the number of miles you used your vehicle for:</v>
      </c>
      <c r="D93" s="184"/>
      <c r="E93" s="184"/>
      <c r="F93" s="184"/>
      <c r="G93" s="184"/>
      <c r="H93" s="184"/>
      <c r="I93" s="184"/>
      <c r="J93" s="184"/>
      <c r="K93" s="184"/>
      <c r="L93" s="184"/>
      <c r="M93" s="184"/>
      <c r="N93" s="184"/>
      <c r="O93" s="184"/>
      <c r="P93" s="184"/>
      <c r="Q93" s="184"/>
      <c r="R93" s="184"/>
      <c r="S93" s="184"/>
      <c r="T93" s="184"/>
      <c r="U93" s="184"/>
      <c r="V93" s="588"/>
      <c r="W93" s="385"/>
      <c r="X93" s="4808"/>
    </row>
    <row r="94" spans="1:28" ht="15" customHeight="1">
      <c r="A94" s="588"/>
      <c r="B94" s="172"/>
      <c r="C94" s="3483" t="s">
        <v>2745</v>
      </c>
      <c r="D94" s="6980"/>
      <c r="E94" s="6980"/>
      <c r="F94" s="832"/>
      <c r="G94" s="208"/>
      <c r="H94" s="208"/>
      <c r="I94" s="3484" t="s">
        <v>2744</v>
      </c>
      <c r="J94" s="7000"/>
      <c r="K94" s="7001"/>
      <c r="L94" s="7001"/>
      <c r="M94" s="217"/>
      <c r="N94" s="3485" t="s">
        <v>48</v>
      </c>
      <c r="O94" s="7054" t="s">
        <v>402</v>
      </c>
      <c r="P94" s="7055"/>
      <c r="Q94" s="6980"/>
      <c r="R94" s="6980"/>
      <c r="S94" s="6980"/>
      <c r="T94" s="6980"/>
      <c r="U94" s="797"/>
      <c r="V94" s="588"/>
      <c r="W94" s="2516" t="str">
        <f>IF(Y94,"Check","")</f>
        <v/>
      </c>
      <c r="X94" s="4808"/>
      <c r="Y94" s="1271" t="b">
        <f>OR(Y96,Y98,Y100,Y102)</f>
        <v>0</v>
      </c>
      <c r="Z94" s="1271"/>
      <c r="AA94" s="1271"/>
      <c r="AB94" s="1271"/>
    </row>
    <row r="95" spans="1:28" ht="14.25" customHeight="1" thickBot="1">
      <c r="A95" s="588"/>
      <c r="B95" s="198"/>
      <c r="C95" s="184"/>
      <c r="D95" s="184"/>
      <c r="E95" s="184"/>
      <c r="F95" s="184"/>
      <c r="G95" s="184"/>
      <c r="H95" s="184"/>
      <c r="I95" s="184"/>
      <c r="J95" s="184"/>
      <c r="K95" s="184"/>
      <c r="L95" s="184"/>
      <c r="M95" s="184"/>
      <c r="N95" s="184"/>
      <c r="O95" s="184"/>
      <c r="P95" s="184"/>
      <c r="Q95" s="184"/>
      <c r="R95" s="597"/>
      <c r="S95" s="184"/>
      <c r="T95" s="184"/>
      <c r="U95" s="184"/>
      <c r="V95" s="588"/>
      <c r="W95" s="2516"/>
      <c r="X95" s="4808"/>
      <c r="Y95" s="1271"/>
      <c r="Z95" s="1271"/>
      <c r="AA95" s="1271"/>
      <c r="AB95" s="1271"/>
    </row>
    <row r="96" spans="1:28" ht="12.75" customHeight="1" thickBot="1">
      <c r="A96" s="588"/>
      <c r="B96" s="246">
        <v>45</v>
      </c>
      <c r="C96" s="1329" t="s">
        <v>615</v>
      </c>
      <c r="D96" s="184"/>
      <c r="E96" s="184"/>
      <c r="F96" s="184"/>
      <c r="G96" s="184"/>
      <c r="H96" s="184"/>
      <c r="I96" s="598"/>
      <c r="J96" s="218"/>
      <c r="K96" s="184"/>
      <c r="L96" s="218"/>
      <c r="M96" s="184"/>
      <c r="N96" s="184"/>
      <c r="O96" s="184"/>
      <c r="P96" s="596" t="s">
        <v>3726</v>
      </c>
      <c r="Q96" s="1193"/>
      <c r="R96" s="218" t="s">
        <v>271</v>
      </c>
      <c r="S96" s="184"/>
      <c r="T96" s="1193"/>
      <c r="U96" s="219" t="s">
        <v>272</v>
      </c>
      <c r="V96" s="588"/>
      <c r="W96" s="2516" t="str">
        <f>IF(Y96,"ONLY one.","")</f>
        <v/>
      </c>
      <c r="X96" s="4808"/>
      <c r="Y96" s="1271" t="b">
        <f>IF(AND(Q96&lt;&gt;"",T96&lt;&gt;""),TRUE,FALSE)</f>
        <v>0</v>
      </c>
      <c r="Z96" s="1271"/>
      <c r="AA96" s="1271"/>
      <c r="AB96" s="1271"/>
    </row>
    <row r="97" spans="1:28" ht="14.25" customHeight="1" thickBot="1">
      <c r="A97" s="588"/>
      <c r="B97" s="172"/>
      <c r="C97" s="4639"/>
      <c r="D97" s="208"/>
      <c r="E97" s="208"/>
      <c r="F97" s="208"/>
      <c r="G97" s="208"/>
      <c r="H97" s="208"/>
      <c r="I97" s="208"/>
      <c r="J97" s="208"/>
      <c r="K97" s="208"/>
      <c r="L97" s="208"/>
      <c r="M97" s="208"/>
      <c r="N97" s="208"/>
      <c r="O97" s="184"/>
      <c r="P97" s="208"/>
      <c r="Q97" s="208"/>
      <c r="R97" s="208"/>
      <c r="S97" s="208"/>
      <c r="T97" s="184"/>
      <c r="U97" s="184"/>
      <c r="V97" s="588"/>
      <c r="W97" s="385"/>
      <c r="X97" s="4808"/>
      <c r="Y97" s="1271"/>
      <c r="Z97" s="1271"/>
      <c r="AA97" s="1271"/>
      <c r="AB97" s="1271"/>
    </row>
    <row r="98" spans="1:28" ht="13.5" thickBot="1">
      <c r="A98" s="588"/>
      <c r="B98" s="246">
        <v>46</v>
      </c>
      <c r="C98" s="1329" t="s">
        <v>2747</v>
      </c>
      <c r="D98" s="184"/>
      <c r="E98" s="184"/>
      <c r="F98" s="184"/>
      <c r="G98" s="184"/>
      <c r="H98" s="184"/>
      <c r="I98" s="184"/>
      <c r="J98" s="184"/>
      <c r="K98" s="598"/>
      <c r="L98" s="184"/>
      <c r="M98" s="218"/>
      <c r="N98" s="218"/>
      <c r="O98" s="184"/>
      <c r="P98" s="596" t="s">
        <v>580</v>
      </c>
      <c r="Q98" s="1193"/>
      <c r="R98" s="218" t="s">
        <v>271</v>
      </c>
      <c r="S98" s="184"/>
      <c r="T98" s="1193"/>
      <c r="U98" s="219" t="s">
        <v>272</v>
      </c>
      <c r="V98" s="588"/>
      <c r="W98" s="2516" t="str">
        <f>IF(Y98,"ONLY one.","")</f>
        <v/>
      </c>
      <c r="X98" s="4808"/>
      <c r="Y98" s="1271" t="b">
        <f>IF(AND(Q98&lt;&gt;"",T98&lt;&gt;""),TRUE,FALSE)</f>
        <v>0</v>
      </c>
      <c r="Z98" s="1271"/>
      <c r="AA98" s="1271"/>
      <c r="AB98" s="1271"/>
    </row>
    <row r="99" spans="1:28" ht="14.25" customHeight="1" thickBot="1">
      <c r="A99" s="588"/>
      <c r="B99" s="198"/>
      <c r="C99" s="1329"/>
      <c r="D99" s="184"/>
      <c r="E99" s="184"/>
      <c r="F99" s="184"/>
      <c r="G99" s="184"/>
      <c r="H99" s="184"/>
      <c r="I99" s="184"/>
      <c r="J99" s="184"/>
      <c r="K99" s="184"/>
      <c r="L99" s="184"/>
      <c r="M99" s="184"/>
      <c r="N99" s="184"/>
      <c r="O99" s="184"/>
      <c r="P99" s="184"/>
      <c r="Q99" s="184"/>
      <c r="R99" s="597"/>
      <c r="S99" s="184"/>
      <c r="T99" s="184"/>
      <c r="U99" s="184"/>
      <c r="V99" s="588"/>
      <c r="W99" s="385"/>
      <c r="X99" s="4808"/>
      <c r="Y99" s="1271"/>
      <c r="Z99" s="1271"/>
      <c r="AA99" s="1271"/>
      <c r="AB99" s="1271"/>
    </row>
    <row r="100" spans="1:28" ht="13.5" thickBot="1">
      <c r="A100" s="588"/>
      <c r="B100" s="246" t="s">
        <v>121</v>
      </c>
      <c r="C100" s="1329" t="s">
        <v>2746</v>
      </c>
      <c r="D100" s="184"/>
      <c r="E100" s="184"/>
      <c r="F100" s="184"/>
      <c r="G100" s="184"/>
      <c r="H100" s="184"/>
      <c r="I100" s="598"/>
      <c r="J100" s="184"/>
      <c r="K100" s="184"/>
      <c r="L100" s="184"/>
      <c r="M100" s="184"/>
      <c r="N100" s="184"/>
      <c r="O100" s="184"/>
      <c r="P100" s="596" t="s">
        <v>2927</v>
      </c>
      <c r="Q100" s="1193"/>
      <c r="R100" s="218" t="s">
        <v>271</v>
      </c>
      <c r="S100" s="184"/>
      <c r="T100" s="1193"/>
      <c r="U100" s="219" t="s">
        <v>272</v>
      </c>
      <c r="V100" s="588"/>
      <c r="W100" s="2516" t="str">
        <f>IF(Y100,"ONLY one.","")</f>
        <v/>
      </c>
      <c r="X100" s="4808"/>
      <c r="Y100" s="1271" t="b">
        <f>IF(AND(Q100&lt;&gt;"",T100&lt;&gt;""),TRUE,FALSE)</f>
        <v>0</v>
      </c>
      <c r="Z100" s="1271"/>
      <c r="AA100" s="1271"/>
      <c r="AB100" s="1271"/>
    </row>
    <row r="101" spans="1:28" ht="14.25" customHeight="1" thickBot="1">
      <c r="A101" s="588"/>
      <c r="B101" s="198"/>
      <c r="C101" s="1329"/>
      <c r="D101" s="184"/>
      <c r="E101" s="184"/>
      <c r="F101" s="184"/>
      <c r="G101" s="184"/>
      <c r="H101" s="184"/>
      <c r="I101" s="184"/>
      <c r="J101" s="184"/>
      <c r="K101" s="184"/>
      <c r="L101" s="184"/>
      <c r="M101" s="184"/>
      <c r="N101" s="184"/>
      <c r="O101" s="184"/>
      <c r="P101" s="184"/>
      <c r="Q101" s="184"/>
      <c r="R101" s="597"/>
      <c r="S101" s="184"/>
      <c r="T101" s="184"/>
      <c r="U101" s="184"/>
      <c r="V101" s="588"/>
      <c r="W101" s="385"/>
      <c r="X101" s="4808"/>
      <c r="Y101" s="1271"/>
      <c r="Z101" s="1271"/>
      <c r="AA101" s="1271"/>
      <c r="AB101" s="1271"/>
    </row>
    <row r="102" spans="1:28" ht="13.5" thickBot="1">
      <c r="A102" s="588"/>
      <c r="B102" s="172" t="s">
        <v>47</v>
      </c>
      <c r="C102" s="1329" t="s">
        <v>385</v>
      </c>
      <c r="D102" s="184"/>
      <c r="E102" s="184"/>
      <c r="F102" s="184"/>
      <c r="G102" s="598"/>
      <c r="H102" s="184"/>
      <c r="I102" s="184"/>
      <c r="J102" s="184"/>
      <c r="K102" s="184"/>
      <c r="L102" s="184"/>
      <c r="M102" s="184"/>
      <c r="N102" s="184"/>
      <c r="O102" s="184"/>
      <c r="P102" s="596" t="s">
        <v>4390</v>
      </c>
      <c r="Q102" s="1193"/>
      <c r="R102" s="218" t="s">
        <v>271</v>
      </c>
      <c r="S102" s="184"/>
      <c r="T102" s="1193"/>
      <c r="U102" s="219" t="s">
        <v>272</v>
      </c>
      <c r="V102" s="588"/>
      <c r="W102" s="2516" t="str">
        <f>IF(Y102,"ONLY one.","")</f>
        <v/>
      </c>
      <c r="X102" s="4808"/>
      <c r="Y102" s="1271" t="b">
        <f>IF(AND(Q102&lt;&gt;"",T102&lt;&gt;""),TRUE,FALSE)</f>
        <v>0</v>
      </c>
      <c r="Z102" s="1271"/>
      <c r="AA102" s="1271"/>
      <c r="AB102" s="1271"/>
    </row>
    <row r="103" spans="1:28" ht="3.75" customHeight="1" thickBot="1">
      <c r="A103" s="588"/>
      <c r="B103" s="198"/>
      <c r="C103" s="184"/>
      <c r="D103" s="184"/>
      <c r="E103" s="184"/>
      <c r="F103" s="184"/>
      <c r="G103" s="184"/>
      <c r="H103" s="184"/>
      <c r="I103" s="184"/>
      <c r="J103" s="184"/>
      <c r="K103" s="184"/>
      <c r="L103" s="184"/>
      <c r="M103" s="184"/>
      <c r="N103" s="184"/>
      <c r="O103" s="184"/>
      <c r="P103" s="184"/>
      <c r="Q103" s="184"/>
      <c r="R103" s="184"/>
      <c r="S103" s="184"/>
      <c r="T103" s="184"/>
      <c r="U103" s="184"/>
      <c r="V103" s="588"/>
      <c r="W103" s="385"/>
      <c r="X103" s="4808"/>
    </row>
    <row r="104" spans="1:28" ht="15.75">
      <c r="A104" s="588"/>
      <c r="B104" s="367" t="s">
        <v>123</v>
      </c>
      <c r="C104" s="211" t="s">
        <v>617</v>
      </c>
      <c r="D104" s="211"/>
      <c r="E104" s="211"/>
      <c r="F104" s="211"/>
      <c r="G104" s="211"/>
      <c r="H104" s="211"/>
      <c r="I104" s="211"/>
      <c r="J104" s="211"/>
      <c r="K104" s="211"/>
      <c r="L104" s="211"/>
      <c r="M104" s="211"/>
      <c r="N104" s="211"/>
      <c r="O104" s="211"/>
      <c r="P104" s="211"/>
      <c r="Q104" s="211"/>
      <c r="R104" s="211"/>
      <c r="S104" s="211"/>
      <c r="T104" s="211"/>
      <c r="U104" s="211"/>
      <c r="V104" s="588"/>
      <c r="W104" s="385"/>
      <c r="X104" s="4808"/>
    </row>
    <row r="105" spans="1:28" ht="27.75" customHeight="1">
      <c r="A105" s="588"/>
      <c r="B105" s="7004"/>
      <c r="C105" s="7005"/>
      <c r="D105" s="7005"/>
      <c r="E105" s="7005"/>
      <c r="F105" s="7005"/>
      <c r="G105" s="7005"/>
      <c r="H105" s="7005"/>
      <c r="I105" s="7005"/>
      <c r="J105" s="7005"/>
      <c r="K105" s="7005"/>
      <c r="L105" s="7005"/>
      <c r="M105" s="7005"/>
      <c r="N105" s="7005"/>
      <c r="O105" s="7005"/>
      <c r="P105" s="7005"/>
      <c r="Q105" s="7005"/>
      <c r="R105" s="7005"/>
      <c r="S105" s="7006"/>
      <c r="T105" s="6965"/>
      <c r="U105" s="6966"/>
      <c r="V105" s="588"/>
      <c r="W105" s="385"/>
      <c r="X105" s="4808"/>
    </row>
    <row r="106" spans="1:28" ht="27.75" customHeight="1">
      <c r="A106" s="588"/>
      <c r="B106" s="6962"/>
      <c r="C106" s="6963"/>
      <c r="D106" s="6963"/>
      <c r="E106" s="6963"/>
      <c r="F106" s="6963"/>
      <c r="G106" s="6963"/>
      <c r="H106" s="6963"/>
      <c r="I106" s="6963"/>
      <c r="J106" s="6963"/>
      <c r="K106" s="6963"/>
      <c r="L106" s="6963"/>
      <c r="M106" s="6963"/>
      <c r="N106" s="6963"/>
      <c r="O106" s="6963"/>
      <c r="P106" s="6963"/>
      <c r="Q106" s="6963"/>
      <c r="R106" s="6963"/>
      <c r="S106" s="6964"/>
      <c r="T106" s="6965"/>
      <c r="U106" s="6966"/>
      <c r="V106" s="588"/>
      <c r="W106" s="385"/>
      <c r="X106" s="4808"/>
    </row>
    <row r="107" spans="1:28" ht="27.75" customHeight="1">
      <c r="A107" s="588"/>
      <c r="B107" s="6962"/>
      <c r="C107" s="6963"/>
      <c r="D107" s="6963"/>
      <c r="E107" s="6963"/>
      <c r="F107" s="6963"/>
      <c r="G107" s="6963"/>
      <c r="H107" s="6963"/>
      <c r="I107" s="6963"/>
      <c r="J107" s="6963"/>
      <c r="K107" s="6963"/>
      <c r="L107" s="6963"/>
      <c r="M107" s="6963"/>
      <c r="N107" s="6963"/>
      <c r="O107" s="6963"/>
      <c r="P107" s="6963"/>
      <c r="Q107" s="6963"/>
      <c r="R107" s="6963"/>
      <c r="S107" s="6964"/>
      <c r="T107" s="6965"/>
      <c r="U107" s="6966"/>
      <c r="V107" s="588"/>
      <c r="W107" s="385"/>
      <c r="X107" s="4808"/>
    </row>
    <row r="108" spans="1:28" ht="27.75" customHeight="1">
      <c r="A108" s="588"/>
      <c r="B108" s="6962"/>
      <c r="C108" s="6963"/>
      <c r="D108" s="6963"/>
      <c r="E108" s="6963"/>
      <c r="F108" s="6963"/>
      <c r="G108" s="6963"/>
      <c r="H108" s="6963"/>
      <c r="I108" s="6963"/>
      <c r="J108" s="6963"/>
      <c r="K108" s="6963"/>
      <c r="L108" s="6963"/>
      <c r="M108" s="6963"/>
      <c r="N108" s="6963"/>
      <c r="O108" s="6963"/>
      <c r="P108" s="6963"/>
      <c r="Q108" s="6963"/>
      <c r="R108" s="6963"/>
      <c r="S108" s="6964"/>
      <c r="T108" s="6965"/>
      <c r="U108" s="6966"/>
      <c r="V108" s="588"/>
      <c r="W108" s="385"/>
      <c r="X108" s="4808"/>
    </row>
    <row r="109" spans="1:28" ht="27.75" customHeight="1">
      <c r="A109" s="588"/>
      <c r="B109" s="6962"/>
      <c r="C109" s="6963"/>
      <c r="D109" s="6963"/>
      <c r="E109" s="6963"/>
      <c r="F109" s="6963"/>
      <c r="G109" s="6963"/>
      <c r="H109" s="6963"/>
      <c r="I109" s="6963"/>
      <c r="J109" s="6963"/>
      <c r="K109" s="6963"/>
      <c r="L109" s="6963"/>
      <c r="M109" s="6963"/>
      <c r="N109" s="6963"/>
      <c r="O109" s="6963"/>
      <c r="P109" s="6963"/>
      <c r="Q109" s="6963"/>
      <c r="R109" s="6963"/>
      <c r="S109" s="6964"/>
      <c r="T109" s="6965"/>
      <c r="U109" s="6966"/>
      <c r="V109" s="588"/>
      <c r="W109" s="385"/>
      <c r="X109" s="4808"/>
    </row>
    <row r="110" spans="1:28" ht="27.75" customHeight="1">
      <c r="A110" s="588"/>
      <c r="B110" s="6962"/>
      <c r="C110" s="6963"/>
      <c r="D110" s="6963"/>
      <c r="E110" s="6963"/>
      <c r="F110" s="6963"/>
      <c r="G110" s="6963"/>
      <c r="H110" s="6963"/>
      <c r="I110" s="6963"/>
      <c r="J110" s="6963"/>
      <c r="K110" s="6963"/>
      <c r="L110" s="6963"/>
      <c r="M110" s="6963"/>
      <c r="N110" s="6963"/>
      <c r="O110" s="6963"/>
      <c r="P110" s="6963"/>
      <c r="Q110" s="6963"/>
      <c r="R110" s="6963"/>
      <c r="S110" s="6964"/>
      <c r="T110" s="6965"/>
      <c r="U110" s="6966"/>
      <c r="V110" s="588"/>
      <c r="W110" s="385"/>
      <c r="X110" s="4808"/>
    </row>
    <row r="111" spans="1:28" ht="27.75" customHeight="1">
      <c r="A111" s="588"/>
      <c r="B111" s="6963"/>
      <c r="C111" s="6963"/>
      <c r="D111" s="6963"/>
      <c r="E111" s="6963"/>
      <c r="F111" s="6963"/>
      <c r="G111" s="6963"/>
      <c r="H111" s="6963"/>
      <c r="I111" s="6963"/>
      <c r="J111" s="6963"/>
      <c r="K111" s="6963"/>
      <c r="L111" s="6963"/>
      <c r="M111" s="6963"/>
      <c r="N111" s="6963"/>
      <c r="O111" s="6963"/>
      <c r="P111" s="6963"/>
      <c r="Q111" s="6963"/>
      <c r="R111" s="6963"/>
      <c r="S111" s="6964"/>
      <c r="T111" s="6965"/>
      <c r="U111" s="6966"/>
      <c r="V111" s="588"/>
      <c r="W111" s="385"/>
      <c r="X111" s="4808"/>
    </row>
    <row r="112" spans="1:28" ht="27.75" customHeight="1">
      <c r="A112" s="588"/>
      <c r="B112" s="6962"/>
      <c r="C112" s="6963"/>
      <c r="D112" s="6963"/>
      <c r="E112" s="6963"/>
      <c r="F112" s="6963"/>
      <c r="G112" s="6963"/>
      <c r="H112" s="6963"/>
      <c r="I112" s="6963"/>
      <c r="J112" s="6963"/>
      <c r="K112" s="6963"/>
      <c r="L112" s="6963"/>
      <c r="M112" s="6963"/>
      <c r="N112" s="6963"/>
      <c r="O112" s="6963"/>
      <c r="P112" s="6963"/>
      <c r="Q112" s="6963"/>
      <c r="R112" s="6963"/>
      <c r="S112" s="6964"/>
      <c r="T112" s="6965"/>
      <c r="U112" s="6966"/>
      <c r="V112" s="588"/>
      <c r="W112" s="385"/>
      <c r="X112" s="4808"/>
    </row>
    <row r="113" spans="1:28" ht="27.75" customHeight="1">
      <c r="A113" s="588"/>
      <c r="B113" s="6997"/>
      <c r="C113" s="6998"/>
      <c r="D113" s="6998"/>
      <c r="E113" s="6998"/>
      <c r="F113" s="6998"/>
      <c r="G113" s="6998"/>
      <c r="H113" s="6998"/>
      <c r="I113" s="6998"/>
      <c r="J113" s="6998"/>
      <c r="K113" s="6998"/>
      <c r="L113" s="6998"/>
      <c r="M113" s="6998"/>
      <c r="N113" s="6998"/>
      <c r="O113" s="6998"/>
      <c r="P113" s="6998"/>
      <c r="Q113" s="6998"/>
      <c r="R113" s="6998"/>
      <c r="S113" s="6999"/>
      <c r="T113" s="6965"/>
      <c r="U113" s="6966"/>
      <c r="V113" s="588"/>
      <c r="W113" s="385"/>
      <c r="X113" s="4808"/>
    </row>
    <row r="114" spans="1:28" ht="16.5" customHeight="1" thickBot="1">
      <c r="A114" s="588"/>
      <c r="B114" s="3817">
        <v>48</v>
      </c>
      <c r="C114" s="4634" t="s">
        <v>4019</v>
      </c>
      <c r="D114" s="220"/>
      <c r="E114" s="205"/>
      <c r="F114" s="205"/>
      <c r="G114" s="205"/>
      <c r="H114" s="205"/>
      <c r="I114" s="205"/>
      <c r="J114" s="205"/>
      <c r="K114" s="205"/>
      <c r="L114" s="205"/>
      <c r="M114" s="205"/>
      <c r="N114" s="205"/>
      <c r="O114" s="205"/>
      <c r="P114" s="205"/>
      <c r="Q114" s="221"/>
      <c r="R114" s="2420" t="s">
        <v>4020</v>
      </c>
      <c r="S114" s="222">
        <v>48</v>
      </c>
      <c r="T114" s="7052">
        <f>ROUND(SUM(T105,T106,T107,T108,T109,T110,T111,T112,T113),0)</f>
        <v>0</v>
      </c>
      <c r="U114" s="7053"/>
      <c r="V114" s="588"/>
      <c r="W114" s="385"/>
      <c r="X114" s="4808"/>
    </row>
    <row r="115" spans="1:28" ht="20.25" customHeight="1">
      <c r="A115" s="588"/>
      <c r="B115" s="3270"/>
      <c r="C115" s="3270"/>
      <c r="D115" s="3270"/>
      <c r="E115" s="3270"/>
      <c r="F115" s="3271"/>
      <c r="G115" s="3271"/>
      <c r="H115" s="3271"/>
      <c r="I115" s="3272"/>
      <c r="J115" s="3272"/>
      <c r="K115" s="3272"/>
      <c r="L115" s="3273"/>
      <c r="M115" s="3272"/>
      <c r="N115" s="3271"/>
      <c r="O115" s="3271"/>
      <c r="P115" s="3274"/>
      <c r="Q115" s="3271"/>
      <c r="R115" s="3271"/>
      <c r="S115" s="3273"/>
      <c r="T115" s="3275"/>
      <c r="U115" s="3275" t="str">
        <f>"Schedule C   (Form 1040)  "&amp;TaxYear</f>
        <v>Schedule C   (Form 1040)  2021</v>
      </c>
      <c r="V115" s="588"/>
      <c r="W115" s="385"/>
      <c r="X115" s="4808"/>
    </row>
    <row r="116" spans="1:28" ht="20.25" customHeight="1">
      <c r="A116" s="588"/>
      <c r="B116" s="334" t="s">
        <v>361</v>
      </c>
      <c r="C116" s="831"/>
      <c r="D116" s="3206"/>
      <c r="E116" s="161"/>
      <c r="F116" s="593"/>
      <c r="G116" s="275"/>
      <c r="H116" s="275"/>
      <c r="I116" s="4622" t="s">
        <v>362</v>
      </c>
      <c r="J116" s="135"/>
      <c r="K116" s="135"/>
      <c r="L116" s="22"/>
      <c r="M116" s="135"/>
      <c r="N116" s="275"/>
      <c r="O116" s="275"/>
      <c r="P116" s="165"/>
      <c r="Q116" s="3205"/>
      <c r="R116" s="7032" t="s">
        <v>152</v>
      </c>
      <c r="S116" s="6763"/>
      <c r="T116" s="6763"/>
      <c r="U116" s="6763"/>
      <c r="V116" s="588"/>
      <c r="W116" s="4833" t="s">
        <v>4382</v>
      </c>
      <c r="X116" s="2151" t="str">
        <f>IF(X117&lt;&gt;"","","X")</f>
        <v>X</v>
      </c>
    </row>
    <row r="117" spans="1:28" ht="18.75" customHeight="1">
      <c r="A117" s="588"/>
      <c r="B117" s="4623" t="s">
        <v>3973</v>
      </c>
      <c r="C117" s="831"/>
      <c r="D117" s="3204"/>
      <c r="E117" s="161"/>
      <c r="F117" s="161"/>
      <c r="G117" s="161"/>
      <c r="H117" s="162"/>
      <c r="I117" s="4624" t="s">
        <v>363</v>
      </c>
      <c r="J117" s="163"/>
      <c r="K117" s="163"/>
      <c r="L117" s="161"/>
      <c r="M117" s="164"/>
      <c r="N117" s="162"/>
      <c r="O117" s="162"/>
      <c r="P117" s="165"/>
      <c r="Q117" s="161"/>
      <c r="R117" s="7033">
        <f>TaxYear</f>
        <v>2021</v>
      </c>
      <c r="S117" s="7034"/>
      <c r="T117" s="7035"/>
      <c r="U117" s="6720"/>
      <c r="V117" s="588"/>
      <c r="W117" s="4833" t="s">
        <v>4383</v>
      </c>
      <c r="X117" s="1245" t="str">
        <f>IF(File_Marr_Joint&lt;&gt;"","X","")</f>
        <v/>
      </c>
    </row>
    <row r="118" spans="1:28" ht="12" customHeight="1">
      <c r="A118" s="588"/>
      <c r="B118" s="7036" t="s">
        <v>923</v>
      </c>
      <c r="C118" s="7037"/>
      <c r="D118" s="7040" t="s">
        <v>3997</v>
      </c>
      <c r="E118" s="7041"/>
      <c r="F118" s="7041"/>
      <c r="G118" s="7041"/>
      <c r="H118" s="7041"/>
      <c r="I118" s="7041"/>
      <c r="J118" s="7041"/>
      <c r="K118" s="7041"/>
      <c r="L118" s="7041"/>
      <c r="M118" s="7041"/>
      <c r="N118" s="7041"/>
      <c r="O118" s="7041"/>
      <c r="P118" s="7041"/>
      <c r="Q118" s="7042"/>
      <c r="R118" s="7020" t="s">
        <v>473</v>
      </c>
      <c r="S118" s="7021"/>
      <c r="T118" s="7021"/>
      <c r="U118" s="7024" t="s">
        <v>2730</v>
      </c>
      <c r="V118" s="588"/>
      <c r="W118" s="385"/>
      <c r="X118" s="4808"/>
    </row>
    <row r="119" spans="1:28" ht="11.25" customHeight="1">
      <c r="A119" s="588"/>
      <c r="B119" s="7038"/>
      <c r="C119" s="7039"/>
      <c r="D119" s="7043" t="s">
        <v>5408</v>
      </c>
      <c r="E119" s="7044"/>
      <c r="F119" s="7044"/>
      <c r="G119" s="7044"/>
      <c r="H119" s="7044"/>
      <c r="I119" s="7044"/>
      <c r="J119" s="7044"/>
      <c r="K119" s="7044"/>
      <c r="L119" s="7044"/>
      <c r="M119" s="7044"/>
      <c r="N119" s="7044"/>
      <c r="O119" s="7044"/>
      <c r="P119" s="7044"/>
      <c r="Q119" s="7045"/>
      <c r="R119" s="7022"/>
      <c r="S119" s="7023"/>
      <c r="T119" s="7023"/>
      <c r="U119" s="7025"/>
      <c r="V119" s="588"/>
      <c r="W119" s="7009" t="str">
        <f>IF(Y125,"Invalid selection.",IF(AND(NOT(Y120),NOT(Y122),NOT(Y124)),"Indicate which "&amp;CHAR(10)&amp;"Sch. SE is to be linked to this form.",IF(AND(Y120,Y122),"This Sch. C is linked to both "&amp;CHAR(10)&amp;"Sch. SEs",IF(Y120,"This Sch. C is linked to the first "&amp;CHAR(10)&amp;"Sch. SE",IF(Y122,"This Sch. C is linked to the second "&amp;CHAR(10)&amp;"Sch. SE",IF(Y124,"This Sch. C is not linked to either Sch. SE.",""))))))</f>
        <v>This Sch. C is linked to the second 
Sch. SE</v>
      </c>
      <c r="X119" s="1245"/>
      <c r="Y119" s="1357" t="s">
        <v>4359</v>
      </c>
      <c r="Z119" s="1357"/>
      <c r="AA119" s="1357"/>
      <c r="AB119" s="1357"/>
    </row>
    <row r="120" spans="1:28" ht="12" customHeight="1">
      <c r="A120" s="588"/>
      <c r="B120" s="164" t="s">
        <v>364</v>
      </c>
      <c r="C120" s="161"/>
      <c r="D120" s="161"/>
      <c r="E120" s="161"/>
      <c r="F120" s="134"/>
      <c r="G120" s="134"/>
      <c r="H120" s="135"/>
      <c r="I120" s="144"/>
      <c r="J120" s="144"/>
      <c r="K120" s="144"/>
      <c r="L120" s="168"/>
      <c r="M120" s="170" t="s">
        <v>142</v>
      </c>
      <c r="N120" s="135"/>
      <c r="O120" s="135"/>
      <c r="P120" s="135"/>
      <c r="Q120" s="134"/>
      <c r="R120" s="134"/>
      <c r="S120" s="134"/>
      <c r="T120" s="134"/>
      <c r="U120" s="134"/>
      <c r="V120" s="588"/>
      <c r="W120" s="7009"/>
      <c r="X120" s="4808"/>
      <c r="Y120" s="1271" t="b">
        <f>(X119&lt;&gt;"")</f>
        <v>0</v>
      </c>
      <c r="Z120" s="1271"/>
      <c r="AA120" s="1271"/>
      <c r="AB120" s="1271"/>
    </row>
    <row r="121" spans="1:28" ht="14.25" customHeight="1" thickBot="1">
      <c r="A121" s="588"/>
      <c r="B121" s="7046"/>
      <c r="C121" s="7047"/>
      <c r="D121" s="7047"/>
      <c r="E121" s="7047"/>
      <c r="F121" s="7047"/>
      <c r="G121" s="7047"/>
      <c r="H121" s="7047"/>
      <c r="I121" s="7047"/>
      <c r="J121" s="7047"/>
      <c r="K121" s="7047"/>
      <c r="L121" s="7048"/>
      <c r="M121" s="6994">
        <f>IF(AND(SS_Yours&lt;&gt;"",X116&lt;&gt;""),SS_Yours,IF(SS_Spouse&lt;&gt;"",SS_Spouse,2))</f>
        <v>1010001</v>
      </c>
      <c r="N121" s="6995"/>
      <c r="O121" s="6995"/>
      <c r="P121" s="6995"/>
      <c r="Q121" s="6995"/>
      <c r="R121" s="6995"/>
      <c r="S121" s="6995"/>
      <c r="T121" s="6995"/>
      <c r="U121" s="6995"/>
      <c r="V121" s="588"/>
      <c r="W121" s="7009"/>
      <c r="X121" s="1245" t="s">
        <v>1262</v>
      </c>
      <c r="Y121" s="1357" t="s">
        <v>4360</v>
      </c>
      <c r="Z121" s="1357"/>
      <c r="AA121" s="1357"/>
      <c r="AB121" s="1357"/>
    </row>
    <row r="122" spans="1:28" ht="12.75" customHeight="1" thickTop="1">
      <c r="A122" s="588"/>
      <c r="B122" s="218" t="s">
        <v>143</v>
      </c>
      <c r="C122" s="164" t="s">
        <v>1042</v>
      </c>
      <c r="D122" s="169"/>
      <c r="E122" s="161"/>
      <c r="F122" s="134"/>
      <c r="G122" s="134"/>
      <c r="H122" s="135"/>
      <c r="I122" s="144"/>
      <c r="J122" s="144"/>
      <c r="K122" s="144"/>
      <c r="L122" s="135"/>
      <c r="M122" s="991" t="s">
        <v>4003</v>
      </c>
      <c r="N122" s="57"/>
      <c r="O122" s="57"/>
      <c r="P122" s="57"/>
      <c r="Q122" s="58"/>
      <c r="R122" s="58"/>
      <c r="S122" s="58"/>
      <c r="T122" s="58"/>
      <c r="U122" s="370"/>
      <c r="V122" s="588"/>
      <c r="W122" s="7009"/>
      <c r="X122" s="4808"/>
      <c r="Y122" s="1271" t="b">
        <f>(X121&lt;&gt;"")</f>
        <v>1</v>
      </c>
      <c r="Z122" s="1271"/>
      <c r="AA122" s="1271"/>
      <c r="AB122" s="1271"/>
    </row>
    <row r="123" spans="1:28" ht="12.75" customHeight="1" thickBot="1">
      <c r="A123" s="588"/>
      <c r="B123" s="7049"/>
      <c r="C123" s="7050"/>
      <c r="D123" s="7050"/>
      <c r="E123" s="7050"/>
      <c r="F123" s="7050"/>
      <c r="G123" s="7050"/>
      <c r="H123" s="7050"/>
      <c r="I123" s="7050"/>
      <c r="J123" s="7050"/>
      <c r="K123" s="7050"/>
      <c r="L123" s="7051"/>
      <c r="M123" s="992"/>
      <c r="N123" s="909"/>
      <c r="O123" s="908"/>
      <c r="P123" s="1197"/>
      <c r="Q123" s="1197"/>
      <c r="R123" s="1197"/>
      <c r="S123" s="1197"/>
      <c r="T123" s="1197"/>
      <c r="U123" s="1198"/>
      <c r="V123" s="588"/>
      <c r="W123" s="7009"/>
      <c r="X123" s="1245"/>
      <c r="Y123" s="1357" t="s">
        <v>4361</v>
      </c>
      <c r="Z123" s="1357"/>
      <c r="AA123" s="1357"/>
      <c r="AB123" s="1357"/>
    </row>
    <row r="124" spans="1:28" ht="12" customHeight="1" thickTop="1">
      <c r="A124" s="588"/>
      <c r="B124" s="218" t="s">
        <v>144</v>
      </c>
      <c r="C124" s="164" t="s">
        <v>344</v>
      </c>
      <c r="D124" s="164"/>
      <c r="E124" s="161"/>
      <c r="F124" s="134"/>
      <c r="G124" s="134"/>
      <c r="H124" s="135"/>
      <c r="I124" s="144"/>
      <c r="J124" s="144"/>
      <c r="K124" s="144"/>
      <c r="L124" s="168"/>
      <c r="M124" s="170" t="s">
        <v>4004</v>
      </c>
      <c r="N124" s="135"/>
      <c r="O124" s="135"/>
      <c r="P124" s="135"/>
      <c r="Q124" s="134"/>
      <c r="R124" s="134"/>
      <c r="S124" s="134"/>
      <c r="T124" s="134"/>
      <c r="U124" s="134"/>
      <c r="V124" s="588"/>
      <c r="W124" s="385"/>
      <c r="X124" s="4808"/>
      <c r="Y124" s="1271" t="b">
        <f>(X123&lt;&gt;"")</f>
        <v>0</v>
      </c>
      <c r="Z124" s="1271"/>
      <c r="AA124" s="1271"/>
      <c r="AB124" s="1271"/>
    </row>
    <row r="125" spans="1:28" ht="14.25" customHeight="1">
      <c r="A125" s="588"/>
      <c r="B125" s="7049"/>
      <c r="C125" s="7050"/>
      <c r="D125" s="7050"/>
      <c r="E125" s="7050"/>
      <c r="F125" s="7050"/>
      <c r="G125" s="7050"/>
      <c r="H125" s="7050"/>
      <c r="I125" s="7050"/>
      <c r="J125" s="7050"/>
      <c r="K125" s="7050"/>
      <c r="L125" s="7050"/>
      <c r="M125" s="1199"/>
      <c r="N125" s="1200"/>
      <c r="O125" s="1201"/>
      <c r="P125" s="1199"/>
      <c r="Q125" s="1199"/>
      <c r="R125" s="1199"/>
      <c r="S125" s="1199"/>
      <c r="T125" s="1202"/>
      <c r="U125" s="1202"/>
      <c r="V125" s="588"/>
      <c r="W125" s="385"/>
      <c r="X125" s="4808"/>
      <c r="Y125" s="1271" t="b">
        <f>OR(AND(Y120,Y124),AND(Y122,Y124))</f>
        <v>0</v>
      </c>
      <c r="Z125" s="1271"/>
      <c r="AA125" s="1271"/>
      <c r="AB125" s="1271"/>
    </row>
    <row r="126" spans="1:28" ht="11.25" customHeight="1">
      <c r="A126" s="588"/>
      <c r="B126" s="218" t="s">
        <v>371</v>
      </c>
      <c r="C126" s="164" t="s">
        <v>2731</v>
      </c>
      <c r="D126" s="169"/>
      <c r="E126" s="161"/>
      <c r="F126" s="134"/>
      <c r="G126" s="134"/>
      <c r="H126" s="166"/>
      <c r="I126" s="6992"/>
      <c r="J126" s="6993"/>
      <c r="K126" s="6993"/>
      <c r="L126" s="6993"/>
      <c r="M126" s="6993"/>
      <c r="N126" s="6993"/>
      <c r="O126" s="6993"/>
      <c r="P126" s="6993"/>
      <c r="Q126" s="6993"/>
      <c r="R126" s="6993"/>
      <c r="S126" s="6993"/>
      <c r="T126" s="6993"/>
      <c r="U126" s="6993"/>
      <c r="V126" s="588"/>
      <c r="W126" s="385"/>
      <c r="X126" s="4808"/>
    </row>
    <row r="127" spans="1:28" ht="11.25" customHeight="1">
      <c r="A127" s="588"/>
      <c r="B127" s="510"/>
      <c r="C127" s="171" t="s">
        <v>372</v>
      </c>
      <c r="D127" s="171"/>
      <c r="E127" s="148"/>
      <c r="F127" s="17"/>
      <c r="G127" s="17"/>
      <c r="H127" s="17"/>
      <c r="I127" s="7016"/>
      <c r="J127" s="7017"/>
      <c r="K127" s="7018"/>
      <c r="L127" s="7017"/>
      <c r="M127" s="7017"/>
      <c r="N127" s="7017"/>
      <c r="O127" s="7017"/>
      <c r="P127" s="7017"/>
      <c r="Q127" s="7017"/>
      <c r="R127" s="7017"/>
      <c r="S127" s="7017"/>
      <c r="T127" s="7017"/>
      <c r="U127" s="7017"/>
      <c r="V127" s="588"/>
      <c r="W127" s="385"/>
      <c r="X127" s="4808"/>
    </row>
    <row r="128" spans="1:28" ht="3" customHeight="1" thickBot="1">
      <c r="A128" s="588"/>
      <c r="B128" s="1069"/>
      <c r="C128" s="169"/>
      <c r="D128" s="169"/>
      <c r="E128" s="161"/>
      <c r="F128" s="134"/>
      <c r="G128" s="134"/>
      <c r="H128" s="134"/>
      <c r="I128" s="1070"/>
      <c r="J128" s="1071"/>
      <c r="K128" s="1073"/>
      <c r="L128" s="1074"/>
      <c r="M128" s="1074"/>
      <c r="N128" s="1074"/>
      <c r="O128" s="1074"/>
      <c r="P128" s="1074"/>
      <c r="Q128" s="1074"/>
      <c r="R128" s="1074"/>
      <c r="S128" s="1074"/>
      <c r="T128" s="1074"/>
      <c r="U128" s="1074"/>
      <c r="V128" s="588"/>
      <c r="W128" s="385"/>
      <c r="X128" s="4808"/>
    </row>
    <row r="129" spans="1:28" ht="14.25" customHeight="1" thickBot="1">
      <c r="A129" s="588"/>
      <c r="B129" s="218" t="s">
        <v>373</v>
      </c>
      <c r="C129" s="164" t="s">
        <v>2732</v>
      </c>
      <c r="D129" s="169"/>
      <c r="E129" s="1193"/>
      <c r="F129" s="1072" t="s">
        <v>130</v>
      </c>
      <c r="G129" s="154" t="str">
        <f>"(2) "</f>
        <v xml:space="preserve">(2) </v>
      </c>
      <c r="H129" s="1203"/>
      <c r="I129" s="169" t="s">
        <v>131</v>
      </c>
      <c r="J129" s="154" t="str">
        <f>"(3)"</f>
        <v>(3)</v>
      </c>
      <c r="K129" s="1203"/>
      <c r="L129" s="164" t="s">
        <v>600</v>
      </c>
      <c r="M129" s="169"/>
      <c r="N129" s="7019"/>
      <c r="O129" s="6579"/>
      <c r="P129" s="6579"/>
      <c r="Q129" s="6579"/>
      <c r="R129" s="6579"/>
      <c r="S129" s="6579"/>
      <c r="T129" s="6579"/>
      <c r="U129" s="6579"/>
      <c r="V129" s="588"/>
      <c r="W129" s="385"/>
      <c r="X129" s="4808"/>
    </row>
    <row r="130" spans="1:28" ht="3.75" customHeight="1" thickBot="1">
      <c r="A130" s="588"/>
      <c r="B130" s="218"/>
      <c r="C130" s="169"/>
      <c r="D130" s="169"/>
      <c r="E130" s="801"/>
      <c r="F130" s="134"/>
      <c r="G130" s="154"/>
      <c r="H130" s="802"/>
      <c r="I130" s="169"/>
      <c r="J130" s="172"/>
      <c r="K130" s="802"/>
      <c r="L130" s="169"/>
      <c r="M130" s="169"/>
      <c r="N130" s="594"/>
      <c r="O130" s="803"/>
      <c r="P130" s="803"/>
      <c r="Q130" s="803"/>
      <c r="R130" s="803"/>
      <c r="S130" s="803"/>
      <c r="T130" s="803"/>
      <c r="U130" s="803"/>
      <c r="V130" s="588"/>
      <c r="W130" s="385"/>
      <c r="X130" s="4808"/>
    </row>
    <row r="131" spans="1:28" ht="12.75" customHeight="1" thickBot="1">
      <c r="A131" s="588"/>
      <c r="B131" s="218" t="s">
        <v>132</v>
      </c>
      <c r="C131" s="164" t="str">
        <f>"Did you 'materially participate' in the operation of this business during "&amp;TaxYear&amp;"? If 'No,' see instructions for loss limits."</f>
        <v>Did you 'materially participate' in the operation of this business during 2021? If 'No,' see instructions for loss limits.</v>
      </c>
      <c r="D131" s="21"/>
      <c r="E131" s="134"/>
      <c r="F131" s="134"/>
      <c r="G131" s="154"/>
      <c r="H131" s="134"/>
      <c r="I131" s="169"/>
      <c r="J131" s="172"/>
      <c r="K131" s="172"/>
      <c r="L131" s="134"/>
      <c r="M131" s="169"/>
      <c r="N131" s="134"/>
      <c r="O131" s="134"/>
      <c r="P131" s="134"/>
      <c r="Q131" s="134"/>
      <c r="R131" s="1193"/>
      <c r="S131" s="163" t="s">
        <v>271</v>
      </c>
      <c r="T131" s="1193"/>
      <c r="U131" s="163" t="s">
        <v>272</v>
      </c>
      <c r="V131" s="588"/>
      <c r="W131" s="385"/>
      <c r="X131" s="4808"/>
    </row>
    <row r="132" spans="1:28" ht="12.75" customHeight="1" thickBot="1">
      <c r="A132" s="588"/>
      <c r="B132" s="218" t="s">
        <v>59</v>
      </c>
      <c r="C132" s="169" t="str">
        <f>"If you started or acquired this business during "&amp;TaxYear&amp;", check here"</f>
        <v>If you started or acquired this business during 2021, check here</v>
      </c>
      <c r="D132" s="169"/>
      <c r="E132" s="161"/>
      <c r="F132" s="134"/>
      <c r="G132" s="134"/>
      <c r="H132" s="594"/>
      <c r="I132" s="1075"/>
      <c r="J132" s="1075"/>
      <c r="K132" s="1075"/>
      <c r="L132" s="594"/>
      <c r="M132" s="1075"/>
      <c r="N132" s="594"/>
      <c r="O132" s="594"/>
      <c r="P132" s="594"/>
      <c r="Q132" s="568" t="s">
        <v>2027</v>
      </c>
      <c r="R132" s="1203"/>
      <c r="S132" s="568"/>
      <c r="T132" s="1076"/>
      <c r="U132" s="134"/>
      <c r="V132" s="588"/>
      <c r="W132" s="385"/>
      <c r="X132" s="4808"/>
    </row>
    <row r="133" spans="1:28" ht="12.75" customHeight="1" thickBot="1">
      <c r="A133" s="588"/>
      <c r="B133" s="218" t="s">
        <v>601</v>
      </c>
      <c r="C133" s="164" t="str">
        <f>"Did you make any payments in "&amp;TaxYear&amp;" that would require you to file Form(s) 1099? (see instructions) "</f>
        <v xml:space="preserve">Did you make any payments in 2021 that would require you to file Form(s) 1099? (see instructions) </v>
      </c>
      <c r="D133" s="21"/>
      <c r="E133" s="134"/>
      <c r="F133" s="134"/>
      <c r="G133" s="154"/>
      <c r="H133" s="134"/>
      <c r="I133" s="169"/>
      <c r="J133" s="172"/>
      <c r="K133" s="172"/>
      <c r="L133" s="134"/>
      <c r="M133" s="169"/>
      <c r="N133" s="134"/>
      <c r="O133" s="134"/>
      <c r="P133" s="134"/>
      <c r="Q133" s="568" t="s">
        <v>2415</v>
      </c>
      <c r="R133" s="1193"/>
      <c r="S133" s="163" t="s">
        <v>271</v>
      </c>
      <c r="T133" s="1193"/>
      <c r="U133" s="163" t="s">
        <v>272</v>
      </c>
      <c r="V133" s="588"/>
      <c r="W133" s="385"/>
      <c r="X133" s="4808"/>
    </row>
    <row r="134" spans="1:28" ht="12.75" customHeight="1" thickBot="1">
      <c r="A134" s="588"/>
      <c r="B134" s="218" t="s">
        <v>602</v>
      </c>
      <c r="C134" s="164" t="s">
        <v>603</v>
      </c>
      <c r="D134" s="21"/>
      <c r="E134" s="134"/>
      <c r="F134" s="134"/>
      <c r="G134" s="154"/>
      <c r="H134" s="134"/>
      <c r="I134" s="169"/>
      <c r="J134" s="172"/>
      <c r="K134" s="172"/>
      <c r="L134" s="134"/>
      <c r="M134" s="169"/>
      <c r="N134" s="134"/>
      <c r="O134" s="134"/>
      <c r="P134" s="134"/>
      <c r="Q134" s="568" t="s">
        <v>2416</v>
      </c>
      <c r="R134" s="1203"/>
      <c r="S134" s="163" t="s">
        <v>271</v>
      </c>
      <c r="T134" s="1203"/>
      <c r="U134" s="163" t="s">
        <v>272</v>
      </c>
      <c r="V134" s="588"/>
      <c r="W134" s="236" t="s">
        <v>90</v>
      </c>
      <c r="X134" s="4808"/>
    </row>
    <row r="135" spans="1:28" ht="15" customHeight="1">
      <c r="A135" s="588"/>
      <c r="B135" s="4113" t="s">
        <v>51</v>
      </c>
      <c r="C135" s="173" t="s">
        <v>293</v>
      </c>
      <c r="D135" s="173"/>
      <c r="E135" s="174"/>
      <c r="F135" s="175"/>
      <c r="G135" s="175"/>
      <c r="H135" s="175"/>
      <c r="I135" s="176"/>
      <c r="J135" s="176"/>
      <c r="K135" s="176"/>
      <c r="L135" s="176"/>
      <c r="M135" s="176"/>
      <c r="N135" s="175"/>
      <c r="O135" s="175"/>
      <c r="P135" s="177"/>
      <c r="Q135" s="175"/>
      <c r="R135" s="175"/>
      <c r="S135" s="175"/>
      <c r="T135" s="175"/>
      <c r="U135" s="175"/>
      <c r="V135" s="588"/>
      <c r="W135" s="147" t="s">
        <v>411</v>
      </c>
      <c r="X135" s="4808"/>
    </row>
    <row r="136" spans="1:28" ht="12.75" customHeight="1" thickBot="1">
      <c r="A136" s="588"/>
      <c r="B136" s="246">
        <v>1</v>
      </c>
      <c r="C136" s="392" t="s">
        <v>713</v>
      </c>
      <c r="D136" s="273"/>
      <c r="E136" s="179"/>
      <c r="F136" s="179"/>
      <c r="G136" s="179"/>
      <c r="H136" s="179"/>
      <c r="I136" s="180"/>
      <c r="J136" s="180"/>
      <c r="K136" s="180"/>
      <c r="L136" s="180"/>
      <c r="M136" s="568"/>
      <c r="N136" s="179"/>
      <c r="O136" s="179"/>
      <c r="P136" s="179"/>
      <c r="Q136" s="502"/>
      <c r="R136" s="568"/>
      <c r="S136" s="928"/>
      <c r="T136" s="927"/>
      <c r="U136" s="927"/>
      <c r="V136" s="588"/>
      <c r="W136" s="385"/>
      <c r="X136" s="4808"/>
      <c r="Y136" s="1271" t="b">
        <f>(M121=SS_Spouse)</f>
        <v>0</v>
      </c>
      <c r="Z136" s="1271"/>
      <c r="AA136" s="1271"/>
      <c r="AB136" s="1271"/>
    </row>
    <row r="137" spans="1:28" ht="12.75" customHeight="1" thickBot="1">
      <c r="A137" s="588"/>
      <c r="B137" s="246"/>
      <c r="C137" s="392" t="s">
        <v>714</v>
      </c>
      <c r="D137" s="273"/>
      <c r="E137" s="179"/>
      <c r="F137" s="179"/>
      <c r="G137" s="179"/>
      <c r="H137" s="179"/>
      <c r="I137" s="180"/>
      <c r="J137" s="180"/>
      <c r="K137" s="180"/>
      <c r="L137" s="180"/>
      <c r="M137" s="568"/>
      <c r="N137" s="179"/>
      <c r="O137" s="568" t="s">
        <v>786</v>
      </c>
      <c r="P137" s="179"/>
      <c r="Q137" s="1193"/>
      <c r="R137" s="568"/>
      <c r="S137" s="333">
        <v>1</v>
      </c>
      <c r="T137" s="6991"/>
      <c r="U137" s="6972"/>
      <c r="V137" s="588"/>
      <c r="W137" s="385"/>
      <c r="X137" s="4808"/>
      <c r="Y137" s="5843">
        <f>IF(AND(Y136,SchC_StatutoryEmp_2&lt;&gt;""),T137,0)</f>
        <v>0</v>
      </c>
      <c r="Z137" s="5843"/>
      <c r="AA137" s="5843"/>
      <c r="AB137" s="5843"/>
    </row>
    <row r="138" spans="1:28" ht="12.75" customHeight="1">
      <c r="A138" s="588"/>
      <c r="B138" s="246">
        <v>2</v>
      </c>
      <c r="C138" s="392" t="s">
        <v>787</v>
      </c>
      <c r="D138" s="183"/>
      <c r="E138" s="179"/>
      <c r="F138" s="179"/>
      <c r="G138" s="179"/>
      <c r="H138" s="179"/>
      <c r="I138" s="180"/>
      <c r="J138" s="180"/>
      <c r="K138" s="180"/>
      <c r="L138" s="180"/>
      <c r="M138" s="180"/>
      <c r="N138" s="179"/>
      <c r="O138" s="179"/>
      <c r="P138" s="181"/>
      <c r="Q138" s="179"/>
      <c r="R138" s="596" t="s">
        <v>2417</v>
      </c>
      <c r="S138" s="333">
        <v>2</v>
      </c>
      <c r="T138" s="6983"/>
      <c r="U138" s="6984"/>
      <c r="V138" s="588"/>
      <c r="W138" s="385"/>
      <c r="X138" s="4808"/>
      <c r="Y138" s="5843">
        <f>IF(AND(NOT(Y136),SchC_StatutoryEmp_2&lt;&gt;""),T137,0)</f>
        <v>0</v>
      </c>
      <c r="Z138" s="5843"/>
      <c r="AA138" s="5843"/>
      <c r="AB138" s="5843"/>
    </row>
    <row r="139" spans="1:28" ht="12.75" customHeight="1">
      <c r="A139" s="588"/>
      <c r="B139" s="246">
        <v>3</v>
      </c>
      <c r="C139" s="1329" t="s">
        <v>715</v>
      </c>
      <c r="D139" s="184"/>
      <c r="E139" s="184"/>
      <c r="F139" s="181"/>
      <c r="G139" s="181"/>
      <c r="H139" s="181"/>
      <c r="I139" s="184"/>
      <c r="J139" s="184"/>
      <c r="K139" s="184"/>
      <c r="L139" s="184"/>
      <c r="M139" s="184"/>
      <c r="N139" s="181"/>
      <c r="O139" s="181"/>
      <c r="P139" s="184"/>
      <c r="Q139" s="181"/>
      <c r="R139" s="596" t="s">
        <v>2975</v>
      </c>
      <c r="S139" s="332">
        <v>3</v>
      </c>
      <c r="T139" s="6981">
        <f>SUM(T137,-T138)</f>
        <v>0</v>
      </c>
      <c r="U139" s="6982"/>
      <c r="V139" s="588"/>
      <c r="W139" s="385"/>
      <c r="X139" s="4808"/>
      <c r="Y139" s="1271">
        <f>SUM(Y23,Y137)</f>
        <v>0</v>
      </c>
      <c r="Z139" s="1271"/>
      <c r="AA139" s="1271"/>
      <c r="AB139" s="1271"/>
    </row>
    <row r="140" spans="1:28" ht="12.75" customHeight="1">
      <c r="A140" s="588"/>
      <c r="B140" s="246">
        <v>4</v>
      </c>
      <c r="C140" s="1329" t="s">
        <v>605</v>
      </c>
      <c r="D140" s="184"/>
      <c r="E140" s="184"/>
      <c r="F140" s="181"/>
      <c r="G140" s="181"/>
      <c r="H140" s="181"/>
      <c r="I140" s="184"/>
      <c r="J140" s="184"/>
      <c r="K140" s="184"/>
      <c r="L140" s="184"/>
      <c r="M140" s="184"/>
      <c r="N140" s="181"/>
      <c r="O140" s="181"/>
      <c r="P140" s="184"/>
      <c r="Q140" s="181"/>
      <c r="R140" s="596" t="s">
        <v>2418</v>
      </c>
      <c r="S140" s="332">
        <v>4</v>
      </c>
      <c r="T140" s="6981">
        <f>IF(W140&lt;&gt;"",W140,T200)</f>
        <v>0</v>
      </c>
      <c r="U140" s="6982"/>
      <c r="V140" s="588"/>
      <c r="W140" s="3696"/>
      <c r="X140" s="4808"/>
      <c r="Y140" s="1271">
        <f>SUM(Y24,Y138)</f>
        <v>0</v>
      </c>
      <c r="Z140" s="1271"/>
      <c r="AA140" s="1271"/>
      <c r="AB140" s="1271"/>
    </row>
    <row r="141" spans="1:28" ht="12.75" customHeight="1">
      <c r="A141" s="588"/>
      <c r="B141" s="246">
        <v>5</v>
      </c>
      <c r="C141" s="1075" t="s">
        <v>1607</v>
      </c>
      <c r="D141" s="186"/>
      <c r="E141" s="184"/>
      <c r="F141" s="181"/>
      <c r="G141" s="181"/>
      <c r="H141" s="181"/>
      <c r="I141" s="184"/>
      <c r="J141" s="184"/>
      <c r="K141" s="184"/>
      <c r="L141" s="184"/>
      <c r="M141" s="184"/>
      <c r="N141" s="181"/>
      <c r="O141" s="181"/>
      <c r="P141" s="184"/>
      <c r="Q141" s="181"/>
      <c r="R141" s="596" t="s">
        <v>1044</v>
      </c>
      <c r="S141" s="332">
        <v>5</v>
      </c>
      <c r="T141" s="6981">
        <f>T139-T140</f>
        <v>0</v>
      </c>
      <c r="U141" s="6982"/>
      <c r="V141" s="588"/>
      <c r="W141" s="385"/>
      <c r="X141" s="4808"/>
      <c r="Y141" s="1271">
        <f>SUM(SchC_Sp_StatEmp_Inc,SchC_You_StatEmp_Inc)</f>
        <v>0</v>
      </c>
      <c r="Z141" s="1271"/>
      <c r="AA141" s="1271"/>
      <c r="AB141" s="1271"/>
    </row>
    <row r="142" spans="1:28" ht="12.75" customHeight="1">
      <c r="A142" s="588"/>
      <c r="B142" s="246">
        <v>6</v>
      </c>
      <c r="C142" s="1329" t="s">
        <v>2113</v>
      </c>
      <c r="D142" s="184"/>
      <c r="E142" s="184"/>
      <c r="F142" s="181"/>
      <c r="G142" s="181"/>
      <c r="H142" s="181"/>
      <c r="I142" s="184"/>
      <c r="J142" s="184"/>
      <c r="K142" s="184"/>
      <c r="L142" s="184"/>
      <c r="M142" s="184"/>
      <c r="N142" s="181"/>
      <c r="O142" s="181"/>
      <c r="P142" s="184"/>
      <c r="Q142" s="181"/>
      <c r="R142" s="596" t="s">
        <v>2419</v>
      </c>
      <c r="S142" s="332">
        <v>6</v>
      </c>
      <c r="T142" s="6991"/>
      <c r="U142" s="6972"/>
      <c r="V142" s="588"/>
      <c r="W142" s="385"/>
      <c r="X142" s="4808"/>
    </row>
    <row r="143" spans="1:28" ht="12.75" customHeight="1">
      <c r="A143" s="588"/>
      <c r="B143" s="246">
        <v>7</v>
      </c>
      <c r="C143" s="161" t="s">
        <v>1979</v>
      </c>
      <c r="D143" s="190"/>
      <c r="E143" s="169"/>
      <c r="F143" s="179"/>
      <c r="G143" s="179"/>
      <c r="H143" s="187"/>
      <c r="I143" s="184"/>
      <c r="J143" s="184"/>
      <c r="K143" s="184"/>
      <c r="L143" s="188"/>
      <c r="M143" s="184"/>
      <c r="N143" s="187"/>
      <c r="O143" s="187"/>
      <c r="P143" s="184"/>
      <c r="Q143" s="179"/>
      <c r="R143" s="1455" t="s">
        <v>2405</v>
      </c>
      <c r="S143" s="332">
        <v>7</v>
      </c>
      <c r="T143" s="6981">
        <f>SUM(T141,T142)</f>
        <v>0</v>
      </c>
      <c r="U143" s="6982"/>
      <c r="V143" s="588"/>
      <c r="W143" s="385"/>
      <c r="X143" s="4808"/>
    </row>
    <row r="144" spans="1:28" ht="15.75">
      <c r="A144" s="588"/>
      <c r="B144" s="4113" t="s">
        <v>118</v>
      </c>
      <c r="C144" s="4625" t="s">
        <v>3998</v>
      </c>
      <c r="D144" s="175" t="s">
        <v>3999</v>
      </c>
      <c r="E144" s="175"/>
      <c r="F144" s="175"/>
      <c r="G144" s="175"/>
      <c r="H144" s="174"/>
      <c r="I144" s="175"/>
      <c r="J144" s="175"/>
      <c r="K144" s="175"/>
      <c r="L144" s="175"/>
      <c r="M144" s="175"/>
      <c r="N144" s="175"/>
      <c r="O144" s="175"/>
      <c r="P144" s="175"/>
      <c r="Q144" s="175"/>
      <c r="R144" s="175"/>
      <c r="S144" s="175"/>
      <c r="T144" s="383"/>
      <c r="U144" s="383"/>
      <c r="V144" s="588"/>
      <c r="W144" s="385"/>
      <c r="X144" s="4808"/>
    </row>
    <row r="145" spans="1:24" ht="14.25" customHeight="1">
      <c r="A145" s="588"/>
      <c r="B145" s="246">
        <v>8</v>
      </c>
      <c r="C145" s="191" t="s">
        <v>46</v>
      </c>
      <c r="D145" s="191"/>
      <c r="E145" s="179"/>
      <c r="F145" s="179"/>
      <c r="G145" s="187"/>
      <c r="H145" s="333">
        <f>B145</f>
        <v>8</v>
      </c>
      <c r="I145" s="2924"/>
      <c r="J145" s="172">
        <v>18</v>
      </c>
      <c r="K145" s="326"/>
      <c r="L145" s="392" t="s">
        <v>2120</v>
      </c>
      <c r="M145" s="326"/>
      <c r="N145" s="326"/>
      <c r="O145" s="326"/>
      <c r="P145" s="326"/>
      <c r="Q145" s="326"/>
      <c r="R145" s="568" t="s">
        <v>717</v>
      </c>
      <c r="S145" s="332">
        <f>J145</f>
        <v>18</v>
      </c>
      <c r="T145" s="6969"/>
      <c r="U145" s="6970"/>
      <c r="V145" s="588"/>
      <c r="W145" s="385"/>
      <c r="X145" s="4808"/>
    </row>
    <row r="146" spans="1:24" ht="14.25" customHeight="1">
      <c r="A146" s="588"/>
      <c r="B146" s="246">
        <v>9</v>
      </c>
      <c r="C146" s="191" t="s">
        <v>313</v>
      </c>
      <c r="D146" s="191"/>
      <c r="E146" s="179"/>
      <c r="F146" s="179"/>
      <c r="G146" s="187"/>
      <c r="H146" s="336"/>
      <c r="I146" s="1136"/>
      <c r="J146" s="172">
        <v>19</v>
      </c>
      <c r="K146" s="139"/>
      <c r="L146" s="1078" t="s">
        <v>957</v>
      </c>
      <c r="M146" s="193"/>
      <c r="N146" s="191"/>
      <c r="O146" s="191"/>
      <c r="P146" s="194"/>
      <c r="Q146" s="195"/>
      <c r="R146" s="568" t="s">
        <v>717</v>
      </c>
      <c r="S146" s="332">
        <f>J146</f>
        <v>19</v>
      </c>
      <c r="T146" s="6969"/>
      <c r="U146" s="6970"/>
      <c r="V146" s="588"/>
      <c r="W146" s="385"/>
      <c r="X146" s="4808"/>
    </row>
    <row r="147" spans="1:24" ht="14.25" customHeight="1">
      <c r="A147" s="588"/>
      <c r="B147" s="246"/>
      <c r="C147" s="1023" t="s">
        <v>716</v>
      </c>
      <c r="D147" s="191"/>
      <c r="E147" s="179"/>
      <c r="F147" s="179"/>
      <c r="G147" s="187"/>
      <c r="H147" s="333">
        <f>B146</f>
        <v>9</v>
      </c>
      <c r="I147" s="2925"/>
      <c r="J147" s="172">
        <v>20</v>
      </c>
      <c r="K147" s="139"/>
      <c r="L147" s="1078" t="s">
        <v>608</v>
      </c>
      <c r="M147" s="193"/>
      <c r="N147" s="196"/>
      <c r="O147" s="196"/>
      <c r="P147" s="194"/>
      <c r="Q147" s="195"/>
      <c r="R147" s="195"/>
      <c r="S147" s="4627"/>
      <c r="T147" s="1131"/>
      <c r="U147" s="1138"/>
      <c r="V147" s="588"/>
      <c r="W147" s="385"/>
      <c r="X147" s="4808"/>
    </row>
    <row r="148" spans="1:24" ht="14.25" customHeight="1">
      <c r="A148" s="588"/>
      <c r="B148" s="246">
        <v>10</v>
      </c>
      <c r="C148" s="1023" t="s">
        <v>2115</v>
      </c>
      <c r="D148" s="191"/>
      <c r="E148" s="179"/>
      <c r="F148" s="179"/>
      <c r="G148" s="568" t="s">
        <v>2116</v>
      </c>
      <c r="H148" s="337">
        <f>B148</f>
        <v>10</v>
      </c>
      <c r="I148" s="2924"/>
      <c r="J148" s="172"/>
      <c r="K148" s="139" t="s">
        <v>33</v>
      </c>
      <c r="L148" s="192" t="s">
        <v>317</v>
      </c>
      <c r="M148" s="193"/>
      <c r="N148" s="191"/>
      <c r="O148" s="191"/>
      <c r="P148" s="194"/>
      <c r="Q148" s="195"/>
      <c r="R148" s="568" t="s">
        <v>697</v>
      </c>
      <c r="S148" s="332" t="s">
        <v>218</v>
      </c>
      <c r="T148" s="6971"/>
      <c r="U148" s="6972"/>
      <c r="V148" s="588"/>
      <c r="W148" s="385"/>
      <c r="X148" s="4808"/>
    </row>
    <row r="149" spans="1:24" ht="14.25" customHeight="1">
      <c r="A149" s="588"/>
      <c r="B149" s="246">
        <v>11</v>
      </c>
      <c r="C149" s="1023" t="s">
        <v>613</v>
      </c>
      <c r="D149" s="191"/>
      <c r="E149" s="179"/>
      <c r="F149" s="179"/>
      <c r="G149" s="568" t="s">
        <v>2114</v>
      </c>
      <c r="H149" s="333">
        <f>B149</f>
        <v>11</v>
      </c>
      <c r="I149" s="2925"/>
      <c r="J149" s="172"/>
      <c r="K149" s="139" t="s">
        <v>47</v>
      </c>
      <c r="L149" s="178" t="s">
        <v>314</v>
      </c>
      <c r="M149" s="194"/>
      <c r="N149" s="191"/>
      <c r="O149" s="191"/>
      <c r="P149" s="194"/>
      <c r="Q149" s="195"/>
      <c r="R149" s="568" t="s">
        <v>718</v>
      </c>
      <c r="S149" s="332" t="s">
        <v>219</v>
      </c>
      <c r="T149" s="6969"/>
      <c r="U149" s="6970"/>
      <c r="V149" s="588"/>
      <c r="W149" s="385"/>
      <c r="X149" s="4808"/>
    </row>
    <row r="150" spans="1:24" ht="14.25" customHeight="1">
      <c r="A150" s="588"/>
      <c r="B150" s="246">
        <v>12</v>
      </c>
      <c r="C150" s="191" t="s">
        <v>491</v>
      </c>
      <c r="D150" s="191"/>
      <c r="E150" s="179"/>
      <c r="F150" s="179"/>
      <c r="G150" s="187"/>
      <c r="H150" s="333">
        <f>B150</f>
        <v>12</v>
      </c>
      <c r="I150" s="2924"/>
      <c r="J150" s="172">
        <v>21</v>
      </c>
      <c r="K150" s="139"/>
      <c r="L150" s="178" t="s">
        <v>23</v>
      </c>
      <c r="M150" s="178"/>
      <c r="N150" s="178"/>
      <c r="O150" s="178"/>
      <c r="P150" s="178"/>
      <c r="Q150" s="178"/>
      <c r="R150" s="568" t="s">
        <v>537</v>
      </c>
      <c r="S150" s="332">
        <f>J150</f>
        <v>21</v>
      </c>
      <c r="T150" s="6969"/>
      <c r="U150" s="6970"/>
      <c r="V150" s="588"/>
      <c r="W150" s="385"/>
      <c r="X150" s="4808"/>
    </row>
    <row r="151" spans="1:24" ht="14.25" customHeight="1">
      <c r="A151" s="588"/>
      <c r="B151" s="246">
        <v>13</v>
      </c>
      <c r="C151" s="1023" t="s">
        <v>2117</v>
      </c>
      <c r="D151" s="191"/>
      <c r="E151" s="179"/>
      <c r="F151" s="179"/>
      <c r="G151" s="187"/>
      <c r="H151" s="336"/>
      <c r="I151" s="1136"/>
      <c r="J151" s="172">
        <v>22</v>
      </c>
      <c r="K151" s="139"/>
      <c r="L151" s="178" t="s">
        <v>195</v>
      </c>
      <c r="M151" s="178"/>
      <c r="N151" s="178"/>
      <c r="O151" s="178"/>
      <c r="P151" s="178"/>
      <c r="Q151" s="178"/>
      <c r="R151" s="568" t="s">
        <v>717</v>
      </c>
      <c r="S151" s="332">
        <v>22</v>
      </c>
      <c r="T151" s="6969"/>
      <c r="U151" s="6970"/>
      <c r="V151" s="588"/>
      <c r="W151" s="385"/>
      <c r="X151" s="4808"/>
    </row>
    <row r="152" spans="1:24" ht="14.25" customHeight="1">
      <c r="A152" s="588"/>
      <c r="B152" s="246"/>
      <c r="C152" s="1023" t="s">
        <v>2118</v>
      </c>
      <c r="D152" s="191"/>
      <c r="E152" s="179"/>
      <c r="F152" s="179"/>
      <c r="G152" s="187"/>
      <c r="H152" s="336"/>
      <c r="I152" s="1137"/>
      <c r="J152" s="172">
        <v>23</v>
      </c>
      <c r="K152" s="139"/>
      <c r="L152" s="178" t="s">
        <v>492</v>
      </c>
      <c r="M152" s="178"/>
      <c r="N152" s="178"/>
      <c r="O152" s="178"/>
      <c r="P152" s="178"/>
      <c r="Q152" s="178"/>
      <c r="R152" s="568" t="s">
        <v>698</v>
      </c>
      <c r="S152" s="332">
        <v>23</v>
      </c>
      <c r="T152" s="6969"/>
      <c r="U152" s="6970"/>
      <c r="V152" s="588"/>
      <c r="W152" s="385"/>
      <c r="X152" s="4808"/>
    </row>
    <row r="153" spans="1:24" ht="14.25" customHeight="1">
      <c r="A153" s="588"/>
      <c r="B153" s="246"/>
      <c r="C153" s="1023" t="s">
        <v>1794</v>
      </c>
      <c r="D153" s="191"/>
      <c r="E153" s="179"/>
      <c r="F153" s="179"/>
      <c r="G153" s="568" t="s">
        <v>2119</v>
      </c>
      <c r="H153" s="333">
        <f>B151</f>
        <v>13</v>
      </c>
      <c r="I153" s="2925"/>
      <c r="J153" s="172">
        <v>24</v>
      </c>
      <c r="K153" s="139"/>
      <c r="L153" s="392" t="s">
        <v>2420</v>
      </c>
      <c r="M153" s="178"/>
      <c r="N153" s="178"/>
      <c r="O153" s="178"/>
      <c r="P153" s="178"/>
      <c r="Q153" s="178"/>
      <c r="R153" s="178"/>
      <c r="S153" s="4627"/>
      <c r="T153" s="1131"/>
      <c r="U153" s="1138"/>
      <c r="V153" s="588"/>
      <c r="W153" s="385"/>
      <c r="X153" s="4808"/>
    </row>
    <row r="154" spans="1:24" ht="14.25" customHeight="1">
      <c r="A154" s="588"/>
      <c r="B154" s="246">
        <v>14</v>
      </c>
      <c r="C154" s="191" t="s">
        <v>255</v>
      </c>
      <c r="D154" s="191"/>
      <c r="E154" s="179"/>
      <c r="F154" s="179"/>
      <c r="G154" s="187"/>
      <c r="H154" s="336"/>
      <c r="I154" s="1136"/>
      <c r="J154" s="172"/>
      <c r="K154" s="139" t="s">
        <v>33</v>
      </c>
      <c r="L154" s="392" t="s">
        <v>719</v>
      </c>
      <c r="M154" s="178"/>
      <c r="N154" s="178"/>
      <c r="O154" s="178"/>
      <c r="P154" s="178"/>
      <c r="Q154" s="178"/>
      <c r="R154" s="568" t="s">
        <v>374</v>
      </c>
      <c r="S154" s="332" t="s">
        <v>171</v>
      </c>
      <c r="T154" s="6971"/>
      <c r="U154" s="6972"/>
      <c r="V154" s="588"/>
      <c r="W154" s="385"/>
      <c r="X154" s="4808"/>
    </row>
    <row r="155" spans="1:24" ht="14.25" customHeight="1">
      <c r="A155" s="588"/>
      <c r="B155" s="246"/>
      <c r="C155" s="191" t="s">
        <v>256</v>
      </c>
      <c r="D155" s="191"/>
      <c r="E155" s="179"/>
      <c r="F155" s="179"/>
      <c r="G155" s="187"/>
      <c r="H155" s="333">
        <f>B154</f>
        <v>14</v>
      </c>
      <c r="I155" s="2925"/>
      <c r="J155" s="172"/>
      <c r="K155" s="139" t="s">
        <v>47</v>
      </c>
      <c r="L155" s="392" t="s">
        <v>2421</v>
      </c>
      <c r="M155" s="178"/>
      <c r="N155" s="178"/>
      <c r="O155" s="178"/>
      <c r="P155" s="178"/>
      <c r="Q155" s="178"/>
      <c r="R155" s="805"/>
      <c r="S155" s="590"/>
      <c r="T155" s="1131"/>
      <c r="U155" s="1138"/>
      <c r="V155" s="588"/>
      <c r="W155" s="385"/>
      <c r="X155" s="4808"/>
    </row>
    <row r="156" spans="1:24" ht="14.25" customHeight="1">
      <c r="A156" s="588"/>
      <c r="B156" s="246">
        <v>15</v>
      </c>
      <c r="C156" s="191" t="s">
        <v>257</v>
      </c>
      <c r="D156" s="191"/>
      <c r="E156" s="179"/>
      <c r="F156" s="179"/>
      <c r="G156" s="187"/>
      <c r="H156" s="333">
        <f>B156</f>
        <v>15</v>
      </c>
      <c r="I156" s="2924"/>
      <c r="J156" s="172"/>
      <c r="K156" s="139"/>
      <c r="L156" s="3207" t="s">
        <v>891</v>
      </c>
      <c r="M156" s="1145"/>
      <c r="N156" s="1145"/>
      <c r="O156" s="1145"/>
      <c r="P156" s="1145"/>
      <c r="Q156" s="1145"/>
      <c r="R156" s="568" t="s">
        <v>276</v>
      </c>
      <c r="S156" s="332" t="s">
        <v>60</v>
      </c>
      <c r="T156" s="6971"/>
      <c r="U156" s="6972"/>
      <c r="V156" s="588"/>
      <c r="W156" s="385"/>
      <c r="X156" s="4808"/>
    </row>
    <row r="157" spans="1:24" ht="14.25" customHeight="1">
      <c r="A157" s="588"/>
      <c r="B157" s="246">
        <v>16</v>
      </c>
      <c r="C157" s="191" t="s">
        <v>259</v>
      </c>
      <c r="D157" s="191"/>
      <c r="E157" s="179"/>
      <c r="F157" s="179"/>
      <c r="G157" s="187"/>
      <c r="H157" s="4627"/>
      <c r="I157" s="1136"/>
      <c r="J157" s="172">
        <v>25</v>
      </c>
      <c r="K157" s="139"/>
      <c r="L157" s="392" t="s">
        <v>675</v>
      </c>
      <c r="M157" s="178"/>
      <c r="N157" s="178"/>
      <c r="O157" s="178"/>
      <c r="P157" s="178"/>
      <c r="Q157" s="178"/>
      <c r="R157" s="568" t="s">
        <v>374</v>
      </c>
      <c r="S157" s="332">
        <v>25</v>
      </c>
      <c r="T157" s="6969"/>
      <c r="U157" s="6970"/>
      <c r="V157" s="588"/>
      <c r="W157" s="385"/>
      <c r="X157" s="4808"/>
    </row>
    <row r="158" spans="1:24" ht="14.25" customHeight="1">
      <c r="A158" s="588"/>
      <c r="B158" s="154" t="s">
        <v>33</v>
      </c>
      <c r="C158" s="191" t="s">
        <v>356</v>
      </c>
      <c r="D158" s="191"/>
      <c r="E158" s="179"/>
      <c r="F158" s="179"/>
      <c r="G158" s="187"/>
      <c r="H158" s="333" t="s">
        <v>216</v>
      </c>
      <c r="I158" s="2925"/>
      <c r="J158" s="172">
        <v>26</v>
      </c>
      <c r="K158" s="139"/>
      <c r="L158" s="392" t="s">
        <v>2748</v>
      </c>
      <c r="M158" s="178"/>
      <c r="N158" s="178"/>
      <c r="O158" s="178"/>
      <c r="P158" s="178"/>
      <c r="Q158" s="178"/>
      <c r="R158" s="568" t="s">
        <v>717</v>
      </c>
      <c r="S158" s="332">
        <v>26</v>
      </c>
      <c r="T158" s="6969"/>
      <c r="U158" s="6970"/>
      <c r="V158" s="588"/>
      <c r="W158" s="385"/>
      <c r="X158" s="4808"/>
    </row>
    <row r="159" spans="1:24" ht="14.25" customHeight="1">
      <c r="A159" s="588"/>
      <c r="B159" s="154" t="s">
        <v>47</v>
      </c>
      <c r="C159" s="191" t="s">
        <v>50</v>
      </c>
      <c r="D159" s="191"/>
      <c r="E159" s="179"/>
      <c r="F159" s="179"/>
      <c r="G159" s="187"/>
      <c r="H159" s="333" t="s">
        <v>217</v>
      </c>
      <c r="I159" s="2926"/>
      <c r="J159" s="804">
        <v>27</v>
      </c>
      <c r="K159" s="163" t="s">
        <v>33</v>
      </c>
      <c r="L159" s="392" t="s">
        <v>609</v>
      </c>
      <c r="M159" s="178"/>
      <c r="N159" s="178"/>
      <c r="O159" s="178"/>
      <c r="P159" s="178"/>
      <c r="Q159" s="178"/>
      <c r="R159" s="805"/>
      <c r="S159" s="332" t="s">
        <v>611</v>
      </c>
      <c r="T159" s="7012">
        <f>IF(W159&lt;&gt;"",W159,T228)</f>
        <v>0</v>
      </c>
      <c r="U159" s="7013"/>
      <c r="V159" s="588"/>
      <c r="W159" s="3696"/>
      <c r="X159" s="4808"/>
    </row>
    <row r="160" spans="1:24" ht="14.25" customHeight="1" thickBot="1">
      <c r="A160" s="588"/>
      <c r="B160" s="3817">
        <v>17</v>
      </c>
      <c r="C160" s="1080" t="s">
        <v>606</v>
      </c>
      <c r="D160" s="600"/>
      <c r="E160" s="203"/>
      <c r="F160" s="203"/>
      <c r="G160" s="1081"/>
      <c r="H160" s="4628">
        <v>17</v>
      </c>
      <c r="I160" s="2927"/>
      <c r="J160" s="1082"/>
      <c r="K160" s="1083" t="s">
        <v>47</v>
      </c>
      <c r="L160" s="601" t="s">
        <v>610</v>
      </c>
      <c r="M160" s="600"/>
      <c r="N160" s="600"/>
      <c r="O160" s="600"/>
      <c r="P160" s="600"/>
      <c r="Q160" s="600"/>
      <c r="R160" s="1204" t="s">
        <v>537</v>
      </c>
      <c r="S160" s="4629" t="s">
        <v>612</v>
      </c>
      <c r="T160" s="7014"/>
      <c r="U160" s="7015"/>
      <c r="V160" s="588"/>
      <c r="W160" s="385"/>
      <c r="X160" s="4808"/>
    </row>
    <row r="161" spans="1:39" ht="15" customHeight="1">
      <c r="A161" s="588"/>
      <c r="B161" s="246">
        <v>28</v>
      </c>
      <c r="C161" s="4626" t="s">
        <v>4000</v>
      </c>
      <c r="D161" s="186"/>
      <c r="E161" s="184"/>
      <c r="F161" s="181"/>
      <c r="G161" s="181"/>
      <c r="H161" s="181"/>
      <c r="I161" s="184"/>
      <c r="J161" s="184"/>
      <c r="K161" s="184"/>
      <c r="L161" s="184"/>
      <c r="M161" s="184"/>
      <c r="N161" s="181"/>
      <c r="O161" s="181"/>
      <c r="P161" s="184"/>
      <c r="Q161" s="181"/>
      <c r="R161" s="596" t="s">
        <v>4002</v>
      </c>
      <c r="S161" s="332">
        <v>28</v>
      </c>
      <c r="T161" s="6981">
        <f>IF(W161&lt;&gt;"",W161,ROUND(SUM(I145:I160,T145:T160),0))</f>
        <v>0</v>
      </c>
      <c r="U161" s="6982"/>
      <c r="V161" s="588"/>
      <c r="W161" s="3696"/>
      <c r="X161" s="4808"/>
    </row>
    <row r="162" spans="1:39" ht="12.75" customHeight="1">
      <c r="A162" s="588"/>
      <c r="B162" s="246">
        <v>29</v>
      </c>
      <c r="C162" s="1329" t="s">
        <v>1043</v>
      </c>
      <c r="D162" s="184"/>
      <c r="E162" s="184"/>
      <c r="F162" s="181"/>
      <c r="G162" s="181"/>
      <c r="H162" s="181"/>
      <c r="I162" s="184"/>
      <c r="J162" s="184"/>
      <c r="K162" s="184"/>
      <c r="L162" s="184"/>
      <c r="M162" s="184"/>
      <c r="N162" s="181"/>
      <c r="O162" s="181"/>
      <c r="P162" s="184"/>
      <c r="Q162" s="181"/>
      <c r="R162" s="596" t="s">
        <v>3348</v>
      </c>
      <c r="S162" s="332">
        <v>29</v>
      </c>
      <c r="T162" s="6981">
        <f>SUM(T143,-T161)</f>
        <v>0</v>
      </c>
      <c r="U162" s="6982"/>
      <c r="V162" s="588"/>
      <c r="W162" s="385"/>
      <c r="X162" s="4808"/>
    </row>
    <row r="163" spans="1:39" ht="14.25" customHeight="1">
      <c r="A163" s="588"/>
      <c r="B163" s="246">
        <v>30</v>
      </c>
      <c r="C163" s="1329" t="s">
        <v>788</v>
      </c>
      <c r="D163" s="184"/>
      <c r="E163" s="184"/>
      <c r="F163" s="181"/>
      <c r="G163" s="181"/>
      <c r="H163" s="181"/>
      <c r="I163" s="184"/>
      <c r="J163" s="184"/>
      <c r="K163" s="184"/>
      <c r="L163" s="184"/>
      <c r="M163" s="184"/>
      <c r="N163" s="181"/>
      <c r="O163" s="181"/>
      <c r="P163" s="184"/>
      <c r="Q163" s="181"/>
      <c r="R163" s="181"/>
      <c r="S163" s="1327"/>
      <c r="T163" s="6973" t="str">
        <f>IF(AND(O166,V163=""),"The number in",IF(AND(Q166,V163=""),"The area you use",""))</f>
        <v/>
      </c>
      <c r="U163" s="6974"/>
      <c r="V163" s="3280"/>
      <c r="W163" s="385" t="str">
        <f>IF(Y163,"Hide note.","")</f>
        <v/>
      </c>
      <c r="X163" s="4808"/>
      <c r="Y163" s="1271" t="b">
        <f>OR(O166,Q166)</f>
        <v>0</v>
      </c>
      <c r="Z163" s="1271"/>
      <c r="AA163" s="1271"/>
      <c r="AB163" s="1271"/>
    </row>
    <row r="164" spans="1:39" ht="14.25" customHeight="1">
      <c r="A164" s="588"/>
      <c r="B164" s="198"/>
      <c r="C164" s="1329" t="s">
        <v>789</v>
      </c>
      <c r="D164" s="184"/>
      <c r="E164" s="184"/>
      <c r="F164" s="181"/>
      <c r="G164" s="181"/>
      <c r="H164" s="181"/>
      <c r="I164" s="184"/>
      <c r="J164" s="184"/>
      <c r="K164" s="184"/>
      <c r="L164" s="184"/>
      <c r="M164" s="184"/>
      <c r="N164" s="181"/>
      <c r="O164" s="181"/>
      <c r="P164" s="184"/>
      <c r="Q164" s="6978">
        <v>300</v>
      </c>
      <c r="R164" s="6979"/>
      <c r="S164" s="1328"/>
      <c r="T164" s="6975" t="str">
        <f>IF(AND(O166,V163=""),"line 30a must be",IF(AND(Q166,V163=""),"to figure your",""))</f>
        <v/>
      </c>
      <c r="U164" s="6976"/>
      <c r="V164" s="588"/>
      <c r="W164" s="385"/>
      <c r="X164" s="4808"/>
      <c r="Y164" s="6073" t="s">
        <v>5913</v>
      </c>
      <c r="Z164" s="1687"/>
      <c r="AA164" s="1687"/>
      <c r="AB164" s="1688"/>
    </row>
    <row r="165" spans="1:39" ht="14.25" customHeight="1">
      <c r="A165" s="588"/>
      <c r="B165" s="198"/>
      <c r="C165" s="1329" t="s">
        <v>791</v>
      </c>
      <c r="D165" s="184"/>
      <c r="E165" s="184"/>
      <c r="F165" s="181"/>
      <c r="G165" s="181"/>
      <c r="H165" s="181"/>
      <c r="I165" s="184"/>
      <c r="J165" s="184"/>
      <c r="K165" s="184"/>
      <c r="L165" s="184"/>
      <c r="M165" s="6967"/>
      <c r="N165" s="6968"/>
      <c r="O165" s="6968"/>
      <c r="P165" s="6968"/>
      <c r="Q165" s="6968"/>
      <c r="R165" s="181"/>
      <c r="S165" s="1328"/>
      <c r="T165" s="6975" t="str">
        <f>IF(AND(O166,V163=""),"larger than the",IF(AND(Q166,V163=""),"deduction, cannot",""))</f>
        <v/>
      </c>
      <c r="U165" s="6976"/>
      <c r="V165" s="588"/>
      <c r="W165" s="385"/>
      <c r="X165" s="4808"/>
      <c r="Y165" s="6074" t="s">
        <v>294</v>
      </c>
      <c r="Z165" s="6075" t="s">
        <v>5894</v>
      </c>
      <c r="AA165" s="1145"/>
      <c r="AB165" s="1690"/>
    </row>
    <row r="166" spans="1:39" ht="14.25" customHeight="1">
      <c r="A166" s="588"/>
      <c r="B166" s="198"/>
      <c r="C166" s="1329" t="s">
        <v>790</v>
      </c>
      <c r="D166" s="184"/>
      <c r="E166" s="184"/>
      <c r="F166" s="181"/>
      <c r="G166" s="181"/>
      <c r="H166" s="181"/>
      <c r="I166" s="181"/>
      <c r="J166" s="6968"/>
      <c r="K166" s="6968"/>
      <c r="L166" s="6968"/>
      <c r="M166" s="6968"/>
      <c r="N166" s="184"/>
      <c r="O166" s="6978" t="b">
        <f>J166&gt;M165</f>
        <v>0</v>
      </c>
      <c r="P166" s="6978"/>
      <c r="Q166" s="6978" t="b">
        <f>J166&gt;Q164</f>
        <v>0</v>
      </c>
      <c r="R166" s="6979"/>
      <c r="S166" s="1328"/>
      <c r="T166" s="6975" t="str">
        <f>IF(AND(O166,V163=""),"one in line 30b.",IF(AND(Q166,V163=""),"exceed "&amp;TEXT(Q164,"0")&amp;" sq. ft.",""))</f>
        <v/>
      </c>
      <c r="U166" s="6976"/>
      <c r="V166" s="588"/>
      <c r="W166" s="385"/>
      <c r="X166" s="4808"/>
      <c r="Y166" s="4264" t="s">
        <v>5481</v>
      </c>
      <c r="Z166" s="4264" t="s">
        <v>5895</v>
      </c>
      <c r="AA166" s="2045">
        <f>SchC_TentativeProfit2</f>
        <v>0</v>
      </c>
      <c r="AB166" s="1690"/>
    </row>
    <row r="167" spans="1:39" ht="14.25" customHeight="1">
      <c r="A167" s="588"/>
      <c r="B167" s="198"/>
      <c r="C167" s="1329" t="s">
        <v>792</v>
      </c>
      <c r="D167" s="184"/>
      <c r="E167" s="184"/>
      <c r="F167" s="181"/>
      <c r="G167" s="181"/>
      <c r="H167" s="181"/>
      <c r="I167" s="184"/>
      <c r="J167" s="184"/>
      <c r="K167" s="184"/>
      <c r="L167" s="184"/>
      <c r="M167" s="184"/>
      <c r="N167" s="181"/>
      <c r="O167" s="181"/>
      <c r="P167" s="184"/>
      <c r="Q167" s="181"/>
      <c r="R167" s="1493" t="s">
        <v>573</v>
      </c>
      <c r="S167" s="182">
        <v>30</v>
      </c>
      <c r="T167" s="7010">
        <f>IF(W167&lt;&gt;"",ROUND(W167,0),IF(AND(F8829_2&lt;&gt;"",F8829_Deduction&lt;&gt;"",F8829_Deduction&lt;&gt;0),F8829_Deduction,IF(Y163,"",AA177)))</f>
        <v>0</v>
      </c>
      <c r="U167" s="7011"/>
      <c r="V167" s="588"/>
      <c r="W167" s="3696"/>
      <c r="X167" s="4808"/>
      <c r="Y167" s="4264" t="s">
        <v>5480</v>
      </c>
      <c r="Z167" s="4264" t="s">
        <v>5896</v>
      </c>
      <c r="AA167" s="6072"/>
      <c r="AB167" s="1690"/>
    </row>
    <row r="168" spans="1:39" ht="12.75" customHeight="1">
      <c r="A168" s="588"/>
      <c r="B168" s="246">
        <v>31</v>
      </c>
      <c r="C168" s="22" t="s">
        <v>4006</v>
      </c>
      <c r="D168" s="190"/>
      <c r="E168" s="169"/>
      <c r="F168" s="179"/>
      <c r="G168" s="179"/>
      <c r="H168" s="187"/>
      <c r="I168" s="188"/>
      <c r="J168" s="188"/>
      <c r="K168" s="188"/>
      <c r="L168" s="188"/>
      <c r="M168" s="188"/>
      <c r="N168" s="187"/>
      <c r="O168" s="187"/>
      <c r="P168" s="184"/>
      <c r="Q168" s="179"/>
      <c r="R168" s="179"/>
      <c r="S168" s="189"/>
      <c r="T168" s="1132"/>
      <c r="U168" s="1133"/>
      <c r="V168" s="588"/>
      <c r="W168" s="385"/>
      <c r="X168" s="4808"/>
      <c r="Y168" s="4264" t="s">
        <v>5897</v>
      </c>
      <c r="Z168" s="4264" t="s">
        <v>5898</v>
      </c>
      <c r="AA168" s="6068">
        <f>SUM(AA166,AA167)</f>
        <v>0</v>
      </c>
      <c r="AB168" s="1690"/>
    </row>
    <row r="169" spans="1:39" ht="12.75" customHeight="1">
      <c r="A169" s="588"/>
      <c r="B169" s="198"/>
      <c r="C169" s="326" t="s">
        <v>4803</v>
      </c>
      <c r="D169" s="197"/>
      <c r="E169" s="169"/>
      <c r="F169" s="179"/>
      <c r="G169" s="179"/>
      <c r="H169" s="187"/>
      <c r="I169" s="184"/>
      <c r="J169" s="184"/>
      <c r="K169" s="184"/>
      <c r="L169" s="188"/>
      <c r="M169" s="184"/>
      <c r="N169" s="187"/>
      <c r="O169" s="187"/>
      <c r="P169" s="184"/>
      <c r="Q169" s="179"/>
      <c r="R169" s="179"/>
      <c r="S169" s="185"/>
      <c r="T169" s="1134"/>
      <c r="U169" s="1135"/>
      <c r="V169" s="588"/>
      <c r="W169" s="385"/>
      <c r="X169" s="4808"/>
      <c r="Y169" s="4264" t="s">
        <v>5899</v>
      </c>
      <c r="Z169" s="4264" t="s">
        <v>5900</v>
      </c>
      <c r="AA169" s="6071"/>
      <c r="AB169" s="2356" t="s">
        <v>5908</v>
      </c>
    </row>
    <row r="170" spans="1:39" ht="12.75" customHeight="1">
      <c r="A170" s="588"/>
      <c r="B170" s="172"/>
      <c r="C170" s="326" t="s">
        <v>4009</v>
      </c>
      <c r="D170" s="169"/>
      <c r="E170" s="169"/>
      <c r="F170" s="179"/>
      <c r="G170" s="179"/>
      <c r="H170" s="179"/>
      <c r="I170" s="169"/>
      <c r="J170" s="169"/>
      <c r="K170" s="169"/>
      <c r="L170" s="188"/>
      <c r="M170" s="169"/>
      <c r="N170" s="179"/>
      <c r="O170" s="179"/>
      <c r="P170" s="184"/>
      <c r="Q170" s="179"/>
      <c r="R170" s="179"/>
      <c r="S170" s="182">
        <v>31</v>
      </c>
      <c r="T170" s="6981">
        <f>IF(W170&lt;&gt;"",ROUND(W170,0),IF(AND(Y163,V163&lt;&gt;"",W167=""),SchC_TentativeProfit1,IF(T167="",T162,ROUND(SUM(T162,-T167),0))))</f>
        <v>0</v>
      </c>
      <c r="U170" s="6982"/>
      <c r="V170" s="588"/>
      <c r="W170" s="3696"/>
      <c r="X170" s="4808"/>
      <c r="Y170" s="4264" t="s">
        <v>5901</v>
      </c>
      <c r="Z170" s="4264" t="s">
        <v>5902</v>
      </c>
      <c r="AA170" s="6068">
        <f>IF(AA169="",AA168,SUM(AA168,-AA169))</f>
        <v>0</v>
      </c>
      <c r="AB170" s="1690"/>
    </row>
    <row r="171" spans="1:39" ht="12.75" customHeight="1">
      <c r="A171" s="588"/>
      <c r="B171" s="172"/>
      <c r="C171" s="326" t="s">
        <v>4010</v>
      </c>
      <c r="D171" s="197"/>
      <c r="E171" s="169"/>
      <c r="F171" s="179"/>
      <c r="G171" s="179"/>
      <c r="H171" s="179"/>
      <c r="I171" s="169"/>
      <c r="J171" s="169"/>
      <c r="K171" s="169"/>
      <c r="L171" s="188"/>
      <c r="M171" s="169"/>
      <c r="N171" s="179"/>
      <c r="O171" s="179"/>
      <c r="P171" s="184"/>
      <c r="Q171" s="179"/>
      <c r="R171" s="1330"/>
      <c r="S171" s="198"/>
      <c r="T171" s="364"/>
      <c r="U171" s="364"/>
      <c r="V171" s="588"/>
      <c r="W171" s="385"/>
      <c r="X171" s="4808"/>
      <c r="Y171" s="6074" t="s">
        <v>0</v>
      </c>
      <c r="Z171" s="6075" t="s">
        <v>5903</v>
      </c>
      <c r="AA171" s="6079">
        <f>IF(J166="",0,MIN(Q164,J166))</f>
        <v>0</v>
      </c>
      <c r="AB171" s="2356" t="str">
        <f>"(&lt;= "&amp;Q164&amp;" sq. ft.)"</f>
        <v>(&lt;= 300 sq. ft.)</v>
      </c>
    </row>
    <row r="172" spans="1:39" ht="12.75" customHeight="1" thickBot="1">
      <c r="A172" s="588"/>
      <c r="B172" s="246">
        <v>32</v>
      </c>
      <c r="C172" s="1023" t="s">
        <v>4805</v>
      </c>
      <c r="D172" s="191"/>
      <c r="E172" s="191"/>
      <c r="F172" s="195"/>
      <c r="G172" s="195"/>
      <c r="H172" s="195"/>
      <c r="I172" s="191"/>
      <c r="J172" s="191"/>
      <c r="K172" s="191"/>
      <c r="L172" s="193"/>
      <c r="M172" s="191"/>
      <c r="N172" s="195"/>
      <c r="O172" s="195"/>
      <c r="P172" s="184"/>
      <c r="Q172" s="179"/>
      <c r="R172" s="1330"/>
      <c r="S172" s="198"/>
      <c r="T172" s="364"/>
      <c r="U172" s="364"/>
      <c r="V172" s="588"/>
      <c r="W172" s="2515" t="str">
        <f>IF(Y179,"Check only",IF(Y181,"Check ONLY",""))</f>
        <v/>
      </c>
      <c r="X172" s="4808"/>
      <c r="Y172" s="6074" t="s">
        <v>1</v>
      </c>
      <c r="Z172" s="6075" t="s">
        <v>5906</v>
      </c>
      <c r="AB172" s="1690"/>
    </row>
    <row r="173" spans="1:39" ht="12.75" customHeight="1" thickBot="1">
      <c r="A173" s="588"/>
      <c r="B173" s="172"/>
      <c r="C173" s="1023" t="s">
        <v>4015</v>
      </c>
      <c r="D173" s="197"/>
      <c r="E173" s="169"/>
      <c r="F173" s="179"/>
      <c r="G173" s="179"/>
      <c r="H173" s="179"/>
      <c r="I173" s="169"/>
      <c r="J173" s="169"/>
      <c r="K173" s="169"/>
      <c r="L173" s="188"/>
      <c r="M173" s="169"/>
      <c r="N173" s="179"/>
      <c r="O173" s="179"/>
      <c r="P173" s="184"/>
      <c r="Q173" s="162" t="s">
        <v>128</v>
      </c>
      <c r="R173" s="1193"/>
      <c r="S173" s="199" t="s">
        <v>303</v>
      </c>
      <c r="T173" s="365"/>
      <c r="U173" s="365"/>
      <c r="V173" s="588"/>
      <c r="W173" s="2515" t="str">
        <f>IF(Y179,"if Line 31",IF(Y181,"one.",""))</f>
        <v/>
      </c>
      <c r="X173" s="4808"/>
      <c r="Y173" s="4264" t="s">
        <v>591</v>
      </c>
      <c r="Z173" s="4264" t="s">
        <v>5904</v>
      </c>
      <c r="AA173" s="6078">
        <v>5</v>
      </c>
      <c r="AB173" s="1690"/>
    </row>
    <row r="174" spans="1:39" s="613" customFormat="1" ht="12.75" customHeight="1" thickBot="1">
      <c r="A174" s="636"/>
      <c r="B174" s="502"/>
      <c r="C174" s="1906" t="s">
        <v>4017</v>
      </c>
      <c r="D174" s="3622"/>
      <c r="E174" s="3622"/>
      <c r="F174" s="4186"/>
      <c r="G174" s="4186"/>
      <c r="H174" s="4186"/>
      <c r="I174" s="3622"/>
      <c r="J174" s="3622"/>
      <c r="K174" s="3622"/>
      <c r="L174" s="4187"/>
      <c r="M174" s="3622"/>
      <c r="N174" s="4186"/>
      <c r="O174" s="4186"/>
      <c r="P174" s="4188"/>
      <c r="Q174" s="4610" t="s">
        <v>304</v>
      </c>
      <c r="R174" s="1193"/>
      <c r="S174" s="4189" t="s">
        <v>20</v>
      </c>
      <c r="T174" s="4190"/>
      <c r="U174" s="4190"/>
      <c r="V174" s="636"/>
      <c r="W174" s="2516" t="str">
        <f>IF(Y179,"is a loss.","")</f>
        <v/>
      </c>
      <c r="X174" s="4808"/>
      <c r="Y174" s="4264" t="s">
        <v>592</v>
      </c>
      <c r="Z174" s="4264" t="s">
        <v>5912</v>
      </c>
      <c r="AA174" s="6070">
        <v>1</v>
      </c>
      <c r="AB174" s="2356" t="s">
        <v>5910</v>
      </c>
      <c r="AC174" s="2602"/>
      <c r="AD174" s="2602"/>
      <c r="AE174" s="2602"/>
      <c r="AF174" s="2602"/>
      <c r="AG174" s="2602"/>
      <c r="AH174" s="2602"/>
      <c r="AI174" s="2602"/>
      <c r="AJ174" s="2602"/>
      <c r="AK174" s="2602"/>
      <c r="AL174" s="2602"/>
      <c r="AM174" s="2602"/>
    </row>
    <row r="175" spans="1:39" ht="12.75" customHeight="1">
      <c r="A175" s="588"/>
      <c r="B175" s="172"/>
      <c r="C175" s="22" t="s">
        <v>4016</v>
      </c>
      <c r="D175" s="169"/>
      <c r="E175" s="169"/>
      <c r="F175" s="179"/>
      <c r="G175" s="179"/>
      <c r="H175" s="179"/>
      <c r="I175" s="169"/>
      <c r="J175" s="169"/>
      <c r="K175" s="169"/>
      <c r="L175" s="188"/>
      <c r="M175" s="169"/>
      <c r="N175" s="179"/>
      <c r="O175" s="179"/>
      <c r="P175" s="184"/>
      <c r="Q175" s="364"/>
      <c r="R175" s="364"/>
      <c r="S175" s="4633" t="s">
        <v>21</v>
      </c>
      <c r="T175" s="364"/>
      <c r="U175" s="364"/>
      <c r="V175" s="588"/>
      <c r="W175" s="385"/>
      <c r="X175" s="4808"/>
      <c r="Y175" s="4264" t="s">
        <v>590</v>
      </c>
      <c r="Z175" s="4264" t="s">
        <v>5905</v>
      </c>
      <c r="AA175" s="6077">
        <f>ROUND(AA173*AA174,2)</f>
        <v>5</v>
      </c>
      <c r="AB175" s="1690"/>
    </row>
    <row r="176" spans="1:39" ht="12.75" customHeight="1" thickBot="1">
      <c r="A176" s="588"/>
      <c r="B176" s="369"/>
      <c r="C176" s="1080" t="s">
        <v>4005</v>
      </c>
      <c r="D176" s="201"/>
      <c r="E176" s="202"/>
      <c r="F176" s="203"/>
      <c r="G176" s="203"/>
      <c r="H176" s="203"/>
      <c r="I176" s="202"/>
      <c r="J176" s="202"/>
      <c r="K176" s="202"/>
      <c r="L176" s="204"/>
      <c r="M176" s="202"/>
      <c r="N176" s="203"/>
      <c r="O176" s="203"/>
      <c r="P176" s="205"/>
      <c r="Q176" s="203"/>
      <c r="R176" s="203"/>
      <c r="S176" s="206"/>
      <c r="T176" s="366"/>
      <c r="U176" s="366"/>
      <c r="V176" s="588"/>
      <c r="W176" s="385"/>
      <c r="X176" s="4808"/>
      <c r="Y176" s="6074" t="s">
        <v>399</v>
      </c>
      <c r="Z176" s="6075" t="s">
        <v>5907</v>
      </c>
      <c r="AA176" s="6077">
        <f>ROUND(AA171*AA175,2)</f>
        <v>0</v>
      </c>
      <c r="AB176" s="1690"/>
    </row>
    <row r="177" spans="1:28" ht="22.5" customHeight="1">
      <c r="A177" s="588"/>
      <c r="B177" s="1907" t="s">
        <v>1045</v>
      </c>
      <c r="C177" s="505"/>
      <c r="D177" s="505"/>
      <c r="E177" s="505"/>
      <c r="F177" s="506"/>
      <c r="G177" s="506"/>
      <c r="H177" s="506"/>
      <c r="I177" s="505"/>
      <c r="J177" s="505"/>
      <c r="K177" s="505"/>
      <c r="L177" s="1086"/>
      <c r="M177" s="1086" t="s">
        <v>616</v>
      </c>
      <c r="N177" s="1086"/>
      <c r="O177" s="506"/>
      <c r="P177" s="507"/>
      <c r="Q177" s="506"/>
      <c r="R177" s="506"/>
      <c r="S177" s="508"/>
      <c r="T177" s="509"/>
      <c r="U177" s="509" t="str">
        <f>"Schedule C (Form 1040)  "&amp;TaxYear</f>
        <v>Schedule C (Form 1040)  2021</v>
      </c>
      <c r="V177" s="588"/>
      <c r="W177" s="385"/>
      <c r="X177" s="4808"/>
      <c r="Y177" s="6074" t="s">
        <v>31</v>
      </c>
      <c r="Z177" s="4264" t="s">
        <v>5909</v>
      </c>
      <c r="AA177" s="6077">
        <f>MAX(0,MIN(AA170,AA176))</f>
        <v>0</v>
      </c>
      <c r="AB177" s="2356" t="s">
        <v>5911</v>
      </c>
    </row>
    <row r="178" spans="1:28" ht="19.5" customHeight="1" thickBot="1">
      <c r="A178" s="588"/>
      <c r="B178" s="184" t="str">
        <f>"Schedule C (Form 1040) "&amp;TaxYear</f>
        <v>Schedule C (Form 1040) 2021</v>
      </c>
      <c r="C178" s="184"/>
      <c r="D178" s="184"/>
      <c r="E178" s="184"/>
      <c r="F178" s="184"/>
      <c r="G178" s="184"/>
      <c r="H178" s="184"/>
      <c r="I178" s="184"/>
      <c r="J178" s="184"/>
      <c r="K178" s="184"/>
      <c r="L178" s="184"/>
      <c r="M178" s="184"/>
      <c r="N178" s="184"/>
      <c r="O178" s="184"/>
      <c r="P178" s="184"/>
      <c r="Q178" s="184"/>
      <c r="R178" s="208"/>
      <c r="S178" s="209"/>
      <c r="T178" s="209" t="s">
        <v>197</v>
      </c>
      <c r="U178" s="210" t="str">
        <f>"2"</f>
        <v>2</v>
      </c>
      <c r="V178" s="588"/>
      <c r="W178" s="385"/>
      <c r="X178" s="4808"/>
      <c r="Y178" s="1694"/>
      <c r="Z178" s="1694"/>
      <c r="AA178" s="1694"/>
      <c r="AB178" s="1695"/>
    </row>
    <row r="179" spans="1:28" ht="17.25" customHeight="1">
      <c r="A179" s="588"/>
      <c r="B179" s="4113" t="s">
        <v>319</v>
      </c>
      <c r="C179" s="211" t="s">
        <v>524</v>
      </c>
      <c r="D179" s="211"/>
      <c r="E179" s="211"/>
      <c r="F179" s="211"/>
      <c r="G179" s="211"/>
      <c r="H179" s="211"/>
      <c r="I179" s="211"/>
      <c r="J179" s="211"/>
      <c r="K179" s="211"/>
      <c r="L179" s="211"/>
      <c r="M179" s="211"/>
      <c r="N179" s="211"/>
      <c r="O179" s="211"/>
      <c r="P179" s="211"/>
      <c r="Q179" s="211"/>
      <c r="R179" s="211"/>
      <c r="S179" s="211"/>
      <c r="T179" s="211"/>
      <c r="U179" s="211"/>
      <c r="V179" s="588"/>
      <c r="W179" s="385"/>
      <c r="X179" s="4808"/>
      <c r="Y179" s="1271" t="b">
        <f>IF(AND(R173&lt;&gt;"",R174&lt;&gt;""),FALSE,IF(AND(T170&gt;=0,OR(R173&lt;&gt;"",R174&lt;&gt;"")),TRUE,FALSE))</f>
        <v>0</v>
      </c>
      <c r="Z179" s="1271"/>
      <c r="AA179" s="1271"/>
      <c r="AB179" s="1271"/>
    </row>
    <row r="180" spans="1:28" ht="9.75" customHeight="1">
      <c r="A180" s="588"/>
      <c r="B180" s="326"/>
      <c r="C180" s="326"/>
      <c r="D180" s="326"/>
      <c r="E180" s="326"/>
      <c r="F180" s="326"/>
      <c r="G180" s="326"/>
      <c r="H180" s="326"/>
      <c r="I180" s="326"/>
      <c r="J180" s="326"/>
      <c r="K180" s="326"/>
      <c r="L180" s="326"/>
      <c r="M180" s="326"/>
      <c r="N180" s="326"/>
      <c r="O180" s="326"/>
      <c r="P180" s="326"/>
      <c r="Q180" s="326"/>
      <c r="R180" s="326"/>
      <c r="S180" s="326"/>
      <c r="T180" s="326"/>
      <c r="U180" s="326"/>
      <c r="V180" s="588"/>
      <c r="W180" s="385"/>
      <c r="X180" s="4808"/>
      <c r="Y180" s="1271" t="b">
        <f>OR(Y179,Y181)</f>
        <v>0</v>
      </c>
      <c r="Z180" s="1271"/>
      <c r="AA180" s="1271"/>
      <c r="AB180" s="1271"/>
    </row>
    <row r="181" spans="1:28" ht="14.25" customHeight="1" thickBot="1">
      <c r="A181" s="588"/>
      <c r="B181" s="246">
        <v>33</v>
      </c>
      <c r="C181" s="1023" t="s">
        <v>439</v>
      </c>
      <c r="D181" s="169"/>
      <c r="E181" s="169"/>
      <c r="F181" s="169"/>
      <c r="G181" s="169"/>
      <c r="H181" s="169"/>
      <c r="I181" s="169"/>
      <c r="J181" s="169"/>
      <c r="K181" s="169"/>
      <c r="L181" s="169"/>
      <c r="M181" s="169"/>
      <c r="N181" s="169"/>
      <c r="O181" s="169"/>
      <c r="P181" s="169"/>
      <c r="Q181" s="169"/>
      <c r="R181" s="169"/>
      <c r="S181" s="169"/>
      <c r="T181" s="169"/>
      <c r="U181" s="169"/>
      <c r="V181" s="588"/>
      <c r="W181" s="385"/>
      <c r="X181" s="4808"/>
      <c r="Y181" s="1271" t="b">
        <f>IF(AND(R173&lt;&gt;"",R174&lt;&gt;""),TRUE,FALSE)</f>
        <v>0</v>
      </c>
      <c r="Z181" s="1271"/>
      <c r="AA181" s="1271"/>
      <c r="AB181" s="1271"/>
    </row>
    <row r="182" spans="1:28" ht="12" customHeight="1" thickBot="1">
      <c r="A182" s="588"/>
      <c r="B182" s="246"/>
      <c r="C182" s="1023" t="s">
        <v>4032</v>
      </c>
      <c r="D182" s="169"/>
      <c r="E182" s="1203"/>
      <c r="F182" s="169" t="s">
        <v>440</v>
      </c>
      <c r="G182" s="154" t="s">
        <v>47</v>
      </c>
      <c r="H182" s="1203"/>
      <c r="I182" s="169" t="s">
        <v>441</v>
      </c>
      <c r="J182" s="172"/>
      <c r="K182" s="169"/>
      <c r="L182" s="172" t="s">
        <v>48</v>
      </c>
      <c r="M182" s="1203"/>
      <c r="N182" s="169" t="s">
        <v>230</v>
      </c>
      <c r="O182" s="169"/>
      <c r="P182" s="169"/>
      <c r="Q182" s="169"/>
      <c r="R182" s="169"/>
      <c r="S182" s="169"/>
      <c r="T182" s="169"/>
      <c r="U182" s="169"/>
      <c r="V182" s="588"/>
      <c r="W182" s="385"/>
      <c r="X182" s="4808"/>
    </row>
    <row r="183" spans="1:28" ht="15" customHeight="1" thickBot="1">
      <c r="A183" s="588"/>
      <c r="B183" s="246">
        <v>34</v>
      </c>
      <c r="C183" s="1329" t="s">
        <v>614</v>
      </c>
      <c r="D183" s="184"/>
      <c r="E183" s="184"/>
      <c r="F183" s="184"/>
      <c r="G183" s="184"/>
      <c r="H183" s="184"/>
      <c r="I183" s="184"/>
      <c r="J183" s="184"/>
      <c r="K183" s="169"/>
      <c r="L183" s="169"/>
      <c r="M183" s="169"/>
      <c r="N183" s="169"/>
      <c r="O183" s="169"/>
      <c r="P183" s="169"/>
      <c r="Q183" s="184"/>
      <c r="R183" s="184"/>
      <c r="S183" s="184"/>
      <c r="T183" s="184"/>
      <c r="U183" s="184"/>
      <c r="V183" s="588"/>
      <c r="W183" s="385"/>
      <c r="X183" s="4808"/>
    </row>
    <row r="184" spans="1:28" ht="12.75" customHeight="1" thickBot="1">
      <c r="A184" s="588"/>
      <c r="B184" s="246"/>
      <c r="C184" s="1329" t="s">
        <v>2736</v>
      </c>
      <c r="D184" s="184"/>
      <c r="E184" s="184"/>
      <c r="F184" s="184"/>
      <c r="G184" s="184"/>
      <c r="H184" s="184"/>
      <c r="I184" s="184"/>
      <c r="J184" s="184"/>
      <c r="K184" s="184"/>
      <c r="L184" s="184"/>
      <c r="M184" s="184"/>
      <c r="N184" s="184"/>
      <c r="O184" s="184"/>
      <c r="P184" s="596" t="s">
        <v>2516</v>
      </c>
      <c r="Q184" s="1193"/>
      <c r="R184" s="186" t="s">
        <v>271</v>
      </c>
      <c r="S184" s="2514"/>
      <c r="T184" s="1193"/>
      <c r="U184" s="186" t="s">
        <v>272</v>
      </c>
      <c r="V184" s="588"/>
      <c r="W184" s="385"/>
      <c r="X184" s="4808"/>
    </row>
    <row r="185" spans="1:28" ht="8.25" customHeight="1">
      <c r="A185" s="588"/>
      <c r="B185" s="246"/>
      <c r="C185" s="1329"/>
      <c r="D185" s="184"/>
      <c r="E185" s="184"/>
      <c r="F185" s="184"/>
      <c r="G185" s="184"/>
      <c r="H185" s="184"/>
      <c r="I185" s="184"/>
      <c r="J185" s="184"/>
      <c r="K185" s="184"/>
      <c r="L185" s="184"/>
      <c r="M185" s="184"/>
      <c r="N185" s="184"/>
      <c r="O185" s="184"/>
      <c r="P185" s="184"/>
      <c r="Q185" s="184"/>
      <c r="R185" s="184"/>
      <c r="S185" s="184"/>
      <c r="T185" s="184"/>
      <c r="U185" s="184"/>
      <c r="V185" s="588"/>
      <c r="W185" s="385"/>
      <c r="X185" s="4808"/>
    </row>
    <row r="186" spans="1:28" ht="12.75" customHeight="1">
      <c r="A186" s="588"/>
      <c r="B186" s="246">
        <v>35</v>
      </c>
      <c r="C186" s="1329" t="s">
        <v>2737</v>
      </c>
      <c r="D186" s="184"/>
      <c r="E186" s="184"/>
      <c r="F186" s="184"/>
      <c r="G186" s="184"/>
      <c r="H186" s="184"/>
      <c r="I186" s="184"/>
      <c r="J186" s="184"/>
      <c r="K186" s="184"/>
      <c r="L186" s="184"/>
      <c r="M186" s="184"/>
      <c r="N186" s="184"/>
      <c r="O186" s="184"/>
      <c r="P186" s="184"/>
      <c r="Q186" s="184"/>
      <c r="R186" s="596" t="s">
        <v>629</v>
      </c>
      <c r="S186" s="332">
        <v>35</v>
      </c>
      <c r="T186" s="6983"/>
      <c r="U186" s="6984"/>
      <c r="V186" s="588"/>
      <c r="W186" s="385"/>
      <c r="X186" s="4808"/>
    </row>
    <row r="187" spans="1:28" ht="8.1" customHeight="1">
      <c r="A187" s="588"/>
      <c r="B187" s="246"/>
      <c r="C187" s="1329"/>
      <c r="D187" s="184"/>
      <c r="E187" s="184"/>
      <c r="F187" s="184"/>
      <c r="G187" s="184"/>
      <c r="H187" s="184"/>
      <c r="I187" s="184"/>
      <c r="J187" s="184"/>
      <c r="K187" s="184"/>
      <c r="L187" s="184"/>
      <c r="M187" s="184"/>
      <c r="N187" s="184"/>
      <c r="O187" s="184"/>
      <c r="P187" s="184"/>
      <c r="Q187" s="184"/>
      <c r="R187" s="184"/>
      <c r="S187" s="4635"/>
      <c r="T187" s="6985"/>
      <c r="U187" s="6986"/>
      <c r="V187" s="588"/>
      <c r="W187" s="385"/>
      <c r="X187" s="4808"/>
    </row>
    <row r="188" spans="1:28">
      <c r="A188" s="588"/>
      <c r="B188" s="246">
        <v>36</v>
      </c>
      <c r="C188" s="1329" t="s">
        <v>2738</v>
      </c>
      <c r="D188" s="184"/>
      <c r="E188" s="184"/>
      <c r="F188" s="184"/>
      <c r="G188" s="184"/>
      <c r="H188" s="184"/>
      <c r="I188" s="184"/>
      <c r="J188" s="184"/>
      <c r="K188" s="184"/>
      <c r="L188" s="184"/>
      <c r="M188" s="184"/>
      <c r="N188" s="184"/>
      <c r="O188" s="184"/>
      <c r="P188" s="184"/>
      <c r="Q188" s="184"/>
      <c r="R188" s="596" t="s">
        <v>633</v>
      </c>
      <c r="S188" s="332">
        <v>36</v>
      </c>
      <c r="T188" s="6983"/>
      <c r="U188" s="6984"/>
      <c r="V188" s="588"/>
      <c r="W188" s="385"/>
      <c r="X188" s="4808"/>
    </row>
    <row r="189" spans="1:28" ht="8.1" customHeight="1">
      <c r="A189" s="588"/>
      <c r="B189" s="246"/>
      <c r="C189" s="1329"/>
      <c r="D189" s="184"/>
      <c r="E189" s="184"/>
      <c r="F189" s="184"/>
      <c r="G189" s="184"/>
      <c r="H189" s="184"/>
      <c r="I189" s="184"/>
      <c r="J189" s="184"/>
      <c r="K189" s="184"/>
      <c r="L189" s="184"/>
      <c r="M189" s="184"/>
      <c r="N189" s="184"/>
      <c r="O189" s="184"/>
      <c r="P189" s="184"/>
      <c r="Q189" s="184"/>
      <c r="R189" s="184"/>
      <c r="S189" s="4635"/>
      <c r="T189" s="6985"/>
      <c r="U189" s="6986"/>
      <c r="V189" s="588"/>
      <c r="W189" s="385"/>
      <c r="X189" s="4808"/>
    </row>
    <row r="190" spans="1:28">
      <c r="A190" s="588"/>
      <c r="B190" s="246">
        <v>37</v>
      </c>
      <c r="C190" s="1329" t="s">
        <v>2739</v>
      </c>
      <c r="D190" s="184"/>
      <c r="E190" s="184"/>
      <c r="F190" s="184"/>
      <c r="G190" s="184"/>
      <c r="H190" s="184"/>
      <c r="I190" s="184"/>
      <c r="J190" s="184"/>
      <c r="K190" s="184"/>
      <c r="L190" s="184"/>
      <c r="M190" s="184"/>
      <c r="N190" s="184"/>
      <c r="O190" s="184"/>
      <c r="P190" s="184"/>
      <c r="Q190" s="184"/>
      <c r="R190" s="596" t="s">
        <v>1054</v>
      </c>
      <c r="S190" s="332">
        <v>37</v>
      </c>
      <c r="T190" s="6983"/>
      <c r="U190" s="6984"/>
      <c r="V190" s="588"/>
      <c r="W190" s="385"/>
      <c r="X190" s="4808"/>
    </row>
    <row r="191" spans="1:28" ht="14.25" customHeight="1">
      <c r="A191" s="588"/>
      <c r="B191" s="246"/>
      <c r="C191" s="1329"/>
      <c r="D191" s="184"/>
      <c r="E191" s="184"/>
      <c r="F191" s="184"/>
      <c r="G191" s="184"/>
      <c r="H191" s="184"/>
      <c r="I191" s="184"/>
      <c r="J191" s="184"/>
      <c r="K191" s="184"/>
      <c r="L191" s="184"/>
      <c r="M191" s="184"/>
      <c r="N191" s="184"/>
      <c r="O191" s="184"/>
      <c r="P191" s="184"/>
      <c r="Q191" s="184"/>
      <c r="R191" s="184"/>
      <c r="S191" s="4635"/>
      <c r="T191" s="6985"/>
      <c r="U191" s="6986"/>
      <c r="V191" s="588"/>
      <c r="W191" s="385"/>
      <c r="X191" s="4808"/>
    </row>
    <row r="192" spans="1:28">
      <c r="A192" s="588"/>
      <c r="B192" s="246">
        <v>38</v>
      </c>
      <c r="C192" s="1329" t="s">
        <v>2740</v>
      </c>
      <c r="D192" s="184"/>
      <c r="E192" s="184"/>
      <c r="F192" s="184"/>
      <c r="G192" s="184"/>
      <c r="H192" s="184"/>
      <c r="I192" s="184"/>
      <c r="J192" s="184"/>
      <c r="K192" s="184"/>
      <c r="L192" s="184"/>
      <c r="M192" s="184"/>
      <c r="N192" s="184"/>
      <c r="O192" s="184"/>
      <c r="P192" s="184"/>
      <c r="Q192" s="184"/>
      <c r="R192" s="596" t="s">
        <v>2749</v>
      </c>
      <c r="S192" s="332">
        <v>38</v>
      </c>
      <c r="T192" s="6983"/>
      <c r="U192" s="6984"/>
      <c r="V192" s="588"/>
      <c r="W192" s="385"/>
      <c r="X192" s="4808"/>
    </row>
    <row r="193" spans="1:28" ht="14.25" customHeight="1">
      <c r="A193" s="588"/>
      <c r="B193" s="246"/>
      <c r="C193" s="1329"/>
      <c r="D193" s="184"/>
      <c r="E193" s="184"/>
      <c r="F193" s="184"/>
      <c r="G193" s="184"/>
      <c r="H193" s="184"/>
      <c r="I193" s="184"/>
      <c r="J193" s="184"/>
      <c r="K193" s="184"/>
      <c r="L193" s="184"/>
      <c r="M193" s="184"/>
      <c r="N193" s="184"/>
      <c r="O193" s="184"/>
      <c r="P193" s="184"/>
      <c r="Q193" s="184"/>
      <c r="R193" s="184"/>
      <c r="S193" s="4635"/>
      <c r="T193" s="6985"/>
      <c r="U193" s="6986"/>
      <c r="V193" s="588"/>
      <c r="W193" s="385"/>
      <c r="X193" s="4808"/>
    </row>
    <row r="194" spans="1:28">
      <c r="A194" s="588"/>
      <c r="B194" s="246">
        <v>39</v>
      </c>
      <c r="C194" s="1329" t="s">
        <v>2741</v>
      </c>
      <c r="D194" s="184"/>
      <c r="E194" s="184"/>
      <c r="F194" s="184"/>
      <c r="G194" s="184"/>
      <c r="H194" s="184"/>
      <c r="I194" s="184"/>
      <c r="J194" s="184"/>
      <c r="K194" s="184"/>
      <c r="L194" s="184"/>
      <c r="M194" s="184"/>
      <c r="N194" s="184"/>
      <c r="O194" s="184"/>
      <c r="P194" s="184"/>
      <c r="Q194" s="184"/>
      <c r="R194" s="596" t="s">
        <v>2750</v>
      </c>
      <c r="S194" s="332">
        <v>39</v>
      </c>
      <c r="T194" s="6983"/>
      <c r="U194" s="6984"/>
      <c r="V194" s="588"/>
      <c r="W194" s="385"/>
      <c r="X194" s="4808"/>
    </row>
    <row r="195" spans="1:28" ht="13.5" customHeight="1">
      <c r="A195" s="588"/>
      <c r="B195" s="246"/>
      <c r="C195" s="1329"/>
      <c r="D195" s="184"/>
      <c r="E195" s="184"/>
      <c r="F195" s="184"/>
      <c r="G195" s="184"/>
      <c r="H195" s="184"/>
      <c r="I195" s="184"/>
      <c r="J195" s="184"/>
      <c r="K195" s="184"/>
      <c r="L195" s="184"/>
      <c r="M195" s="184"/>
      <c r="N195" s="184"/>
      <c r="O195" s="184"/>
      <c r="P195" s="184"/>
      <c r="Q195" s="184"/>
      <c r="R195" s="184"/>
      <c r="S195" s="4635"/>
      <c r="T195" s="6987">
        <f>ROUND(SUM(T186:U194),0)</f>
        <v>0</v>
      </c>
      <c r="U195" s="6988"/>
      <c r="V195" s="588"/>
      <c r="W195" s="385"/>
      <c r="X195" s="4808"/>
    </row>
    <row r="196" spans="1:28">
      <c r="A196" s="588"/>
      <c r="B196" s="246">
        <v>40</v>
      </c>
      <c r="C196" s="1329" t="s">
        <v>2742</v>
      </c>
      <c r="D196" s="184"/>
      <c r="E196" s="184"/>
      <c r="F196" s="184"/>
      <c r="G196" s="184"/>
      <c r="H196" s="184"/>
      <c r="I196" s="184"/>
      <c r="J196" s="184"/>
      <c r="K196" s="184"/>
      <c r="L196" s="184"/>
      <c r="M196" s="184"/>
      <c r="N196" s="184"/>
      <c r="O196" s="184"/>
      <c r="P196" s="184"/>
      <c r="Q196" s="184"/>
      <c r="R196" s="596" t="s">
        <v>1585</v>
      </c>
      <c r="S196" s="332">
        <v>40</v>
      </c>
      <c r="T196" s="6989"/>
      <c r="U196" s="6990"/>
      <c r="V196" s="588"/>
      <c r="W196" s="385"/>
      <c r="X196" s="4808"/>
    </row>
    <row r="197" spans="1:28" ht="13.5" customHeight="1">
      <c r="A197" s="588"/>
      <c r="B197" s="246"/>
      <c r="C197" s="1329"/>
      <c r="D197" s="184"/>
      <c r="E197" s="184"/>
      <c r="F197" s="184"/>
      <c r="G197" s="184"/>
      <c r="H197" s="184"/>
      <c r="I197" s="184"/>
      <c r="J197" s="184"/>
      <c r="K197" s="184"/>
      <c r="L197" s="184"/>
      <c r="M197" s="184"/>
      <c r="N197" s="184"/>
      <c r="O197" s="184"/>
      <c r="P197" s="184"/>
      <c r="Q197" s="184"/>
      <c r="R197" s="184"/>
      <c r="S197" s="4635"/>
      <c r="T197" s="6985"/>
      <c r="U197" s="6986"/>
      <c r="V197" s="588"/>
      <c r="W197" s="385"/>
      <c r="X197" s="4808"/>
    </row>
    <row r="198" spans="1:28">
      <c r="A198" s="588"/>
      <c r="B198" s="246">
        <v>41</v>
      </c>
      <c r="C198" s="1329" t="s">
        <v>2743</v>
      </c>
      <c r="D198" s="184"/>
      <c r="E198" s="184"/>
      <c r="F198" s="184"/>
      <c r="G198" s="184"/>
      <c r="H198" s="184"/>
      <c r="I198" s="184"/>
      <c r="J198" s="184"/>
      <c r="K198" s="184"/>
      <c r="L198" s="184"/>
      <c r="M198" s="184"/>
      <c r="N198" s="184"/>
      <c r="O198" s="184"/>
      <c r="P198" s="184"/>
      <c r="Q198" s="184"/>
      <c r="R198" s="596" t="s">
        <v>1585</v>
      </c>
      <c r="S198" s="332">
        <v>41</v>
      </c>
      <c r="T198" s="6983"/>
      <c r="U198" s="6984"/>
      <c r="V198" s="588"/>
      <c r="W198" s="385"/>
      <c r="X198" s="4808"/>
    </row>
    <row r="199" spans="1:28" ht="13.5" customHeight="1">
      <c r="A199" s="588"/>
      <c r="B199" s="246"/>
      <c r="C199" s="1329"/>
      <c r="D199" s="184"/>
      <c r="E199" s="184"/>
      <c r="F199" s="184"/>
      <c r="G199" s="184"/>
      <c r="H199" s="184"/>
      <c r="I199" s="184"/>
      <c r="J199" s="184"/>
      <c r="K199" s="184"/>
      <c r="L199" s="184"/>
      <c r="M199" s="184"/>
      <c r="N199" s="184"/>
      <c r="O199" s="184"/>
      <c r="P199" s="184"/>
      <c r="Q199" s="184"/>
      <c r="R199" s="184"/>
      <c r="S199" s="4635"/>
      <c r="T199" s="6987"/>
      <c r="U199" s="6988"/>
      <c r="V199" s="588"/>
      <c r="W199" s="385"/>
      <c r="X199" s="4808"/>
    </row>
    <row r="200" spans="1:28" ht="13.5" thickBot="1">
      <c r="A200" s="588"/>
      <c r="B200" s="246">
        <v>42</v>
      </c>
      <c r="C200" s="4626" t="s">
        <v>4022</v>
      </c>
      <c r="D200" s="186"/>
      <c r="E200" s="184"/>
      <c r="F200" s="184"/>
      <c r="G200" s="184"/>
      <c r="H200" s="184"/>
      <c r="I200" s="184"/>
      <c r="J200" s="184"/>
      <c r="K200" s="184"/>
      <c r="L200" s="184"/>
      <c r="M200" s="184"/>
      <c r="N200" s="184"/>
      <c r="O200" s="184"/>
      <c r="P200" s="184"/>
      <c r="Q200" s="184"/>
      <c r="R200" s="596" t="s">
        <v>698</v>
      </c>
      <c r="S200" s="332">
        <v>42</v>
      </c>
      <c r="T200" s="7007">
        <f>ROUND(SUM(T195,-T197),0)</f>
        <v>0</v>
      </c>
      <c r="U200" s="7008"/>
      <c r="V200" s="588"/>
      <c r="W200" s="385"/>
      <c r="X200" s="4808"/>
    </row>
    <row r="201" spans="1:28" ht="13.5" customHeight="1">
      <c r="A201" s="588"/>
      <c r="B201" s="4113" t="s">
        <v>470</v>
      </c>
      <c r="C201" s="213" t="s">
        <v>4389</v>
      </c>
      <c r="D201" s="213"/>
      <c r="E201" s="213"/>
      <c r="F201" s="213"/>
      <c r="G201" s="213" t="s">
        <v>4806</v>
      </c>
      <c r="H201" s="213"/>
      <c r="I201" s="213"/>
      <c r="J201" s="213"/>
      <c r="K201" s="213"/>
      <c r="L201" s="213"/>
      <c r="M201" s="213"/>
      <c r="N201" s="213"/>
      <c r="O201" s="213"/>
      <c r="P201" s="213"/>
      <c r="Q201" s="213"/>
      <c r="R201" s="213"/>
      <c r="S201" s="213"/>
      <c r="T201" s="213"/>
      <c r="U201" s="213"/>
      <c r="V201" s="588"/>
      <c r="W201" s="385"/>
      <c r="X201" s="4808"/>
    </row>
    <row r="202" spans="1:28" ht="12.75" customHeight="1">
      <c r="A202" s="588"/>
      <c r="B202" s="198"/>
      <c r="C202" s="214" t="s">
        <v>4807</v>
      </c>
      <c r="D202" s="194"/>
      <c r="E202" s="214"/>
      <c r="F202" s="214"/>
      <c r="G202" s="214"/>
      <c r="H202" s="214"/>
      <c r="I202" s="214"/>
      <c r="J202" s="214"/>
      <c r="K202" s="214"/>
      <c r="L202" s="214"/>
      <c r="M202" s="214"/>
      <c r="N202" s="214"/>
      <c r="O202" s="214"/>
      <c r="P202" s="214"/>
      <c r="Q202" s="214"/>
      <c r="R202" s="214"/>
      <c r="S202" s="214"/>
      <c r="T202" s="214"/>
      <c r="U202" s="214"/>
      <c r="V202" s="588"/>
      <c r="W202" s="385"/>
      <c r="X202" s="4808"/>
    </row>
    <row r="203" spans="1:28" ht="12.75" customHeight="1">
      <c r="A203" s="588"/>
      <c r="B203" s="368"/>
      <c r="C203" s="4836" t="s">
        <v>4808</v>
      </c>
      <c r="D203" s="215"/>
      <c r="E203" s="216"/>
      <c r="F203" s="216"/>
      <c r="G203" s="216"/>
      <c r="H203" s="216"/>
      <c r="I203" s="216"/>
      <c r="J203" s="216"/>
      <c r="K203" s="216"/>
      <c r="L203" s="216"/>
      <c r="M203" s="216"/>
      <c r="N203" s="216"/>
      <c r="O203" s="216"/>
      <c r="P203" s="216"/>
      <c r="Q203" s="216"/>
      <c r="R203" s="216"/>
      <c r="S203" s="216"/>
      <c r="T203" s="216"/>
      <c r="U203" s="216"/>
      <c r="V203" s="588"/>
      <c r="W203" s="385"/>
      <c r="X203" s="4808"/>
    </row>
    <row r="204" spans="1:28" ht="7.5" customHeight="1">
      <c r="A204" s="588"/>
      <c r="B204" s="198"/>
      <c r="C204" s="184"/>
      <c r="D204" s="184"/>
      <c r="E204" s="184"/>
      <c r="F204" s="184"/>
      <c r="G204" s="184"/>
      <c r="H204" s="184"/>
      <c r="I204" s="184"/>
      <c r="J204" s="184"/>
      <c r="K204" s="184"/>
      <c r="L204" s="184"/>
      <c r="M204" s="184"/>
      <c r="N204" s="184"/>
      <c r="O204" s="184"/>
      <c r="P204" s="184"/>
      <c r="Q204" s="184"/>
      <c r="R204" s="184"/>
      <c r="S204" s="184"/>
      <c r="T204" s="184"/>
      <c r="U204" s="184"/>
      <c r="V204" s="588"/>
      <c r="W204" s="385"/>
      <c r="X204" s="4808"/>
    </row>
    <row r="205" spans="1:28" ht="15.75" customHeight="1">
      <c r="A205" s="588"/>
      <c r="B205" s="246">
        <v>43</v>
      </c>
      <c r="C205" s="1288" t="s">
        <v>5409</v>
      </c>
      <c r="D205" s="595"/>
      <c r="E205" s="184"/>
      <c r="F205" s="184"/>
      <c r="G205" s="184"/>
      <c r="H205" s="184"/>
      <c r="I205" s="184"/>
      <c r="J205" s="184"/>
      <c r="K205" s="184"/>
      <c r="L205" s="184"/>
      <c r="M205" s="6977"/>
      <c r="N205" s="6977"/>
      <c r="O205" s="3603" t="s">
        <v>5410</v>
      </c>
      <c r="P205" s="6977"/>
      <c r="Q205" s="6977"/>
      <c r="R205" s="3603" t="s">
        <v>5410</v>
      </c>
      <c r="S205" s="6977"/>
      <c r="T205" s="6977"/>
      <c r="U205" s="186"/>
      <c r="V205" s="588"/>
      <c r="W205" s="385"/>
      <c r="X205" s="4808"/>
    </row>
    <row r="206" spans="1:28" ht="13.5" customHeight="1">
      <c r="A206" s="588"/>
      <c r="B206" s="246"/>
      <c r="C206" s="1329"/>
      <c r="D206" s="184"/>
      <c r="E206" s="184"/>
      <c r="F206" s="184"/>
      <c r="G206" s="184"/>
      <c r="H206" s="184"/>
      <c r="I206" s="184"/>
      <c r="J206" s="184"/>
      <c r="K206" s="184"/>
      <c r="L206" s="184"/>
      <c r="M206" s="184"/>
      <c r="N206" s="184"/>
      <c r="O206" s="184"/>
      <c r="P206" s="184"/>
      <c r="Q206" s="184"/>
      <c r="R206" s="184"/>
      <c r="S206" s="184"/>
      <c r="T206" s="184"/>
      <c r="U206" s="184"/>
      <c r="V206" s="588"/>
      <c r="W206" s="385"/>
      <c r="X206" s="4808"/>
    </row>
    <row r="207" spans="1:28">
      <c r="A207" s="588"/>
      <c r="B207" s="246">
        <v>44</v>
      </c>
      <c r="C207" s="1329" t="str">
        <f>"Of the total number of miles you drove your vehicle during "&amp;TaxYear&amp;", enter the number of miles you used your vehicle for:"</f>
        <v>Of the total number of miles you drove your vehicle during 2021, enter the number of miles you used your vehicle for:</v>
      </c>
      <c r="D207" s="184"/>
      <c r="E207" s="184"/>
      <c r="F207" s="184"/>
      <c r="G207" s="184"/>
      <c r="H207" s="184"/>
      <c r="I207" s="184"/>
      <c r="J207" s="184"/>
      <c r="K207" s="184"/>
      <c r="L207" s="184"/>
      <c r="M207" s="184"/>
      <c r="N207" s="184"/>
      <c r="O207" s="184"/>
      <c r="P207" s="184"/>
      <c r="Q207" s="184"/>
      <c r="R207" s="184"/>
      <c r="S207" s="184"/>
      <c r="T207" s="184"/>
      <c r="U207" s="184"/>
      <c r="V207" s="588"/>
      <c r="W207" s="385"/>
      <c r="X207" s="4808"/>
    </row>
    <row r="208" spans="1:28" ht="15" customHeight="1">
      <c r="A208" s="588"/>
      <c r="B208" s="154"/>
      <c r="C208" s="4639" t="s">
        <v>4033</v>
      </c>
      <c r="D208" s="6980"/>
      <c r="E208" s="6980"/>
      <c r="F208" s="832"/>
      <c r="G208" s="208"/>
      <c r="H208" s="208"/>
      <c r="I208" s="596" t="s">
        <v>2121</v>
      </c>
      <c r="J208" s="7000"/>
      <c r="K208" s="7001"/>
      <c r="L208" s="7001"/>
      <c r="M208" s="217"/>
      <c r="N208" s="596" t="s">
        <v>48</v>
      </c>
      <c r="O208" s="7002" t="s">
        <v>402</v>
      </c>
      <c r="P208" s="7003"/>
      <c r="Q208" s="6996"/>
      <c r="R208" s="6996"/>
      <c r="S208" s="6996"/>
      <c r="T208" s="6996"/>
      <c r="U208" s="797"/>
      <c r="V208" s="588"/>
      <c r="W208" s="2516" t="str">
        <f>IF(Y208,"Check","")</f>
        <v/>
      </c>
      <c r="X208" s="4808"/>
      <c r="Y208" s="1271" t="b">
        <f>OR(Y210,Y212,Y214,Y216)</f>
        <v>0</v>
      </c>
      <c r="Z208" s="1271"/>
      <c r="AA208" s="1271"/>
      <c r="AB208" s="1271"/>
    </row>
    <row r="209" spans="1:28" ht="13.5" customHeight="1" thickBot="1">
      <c r="A209" s="588"/>
      <c r="B209" s="246"/>
      <c r="C209" s="1329"/>
      <c r="D209" s="184"/>
      <c r="E209" s="184"/>
      <c r="F209" s="184"/>
      <c r="G209" s="184"/>
      <c r="H209" s="184"/>
      <c r="I209" s="184"/>
      <c r="J209" s="184"/>
      <c r="K209" s="184"/>
      <c r="L209" s="184"/>
      <c r="M209" s="184"/>
      <c r="N209" s="184"/>
      <c r="O209" s="184"/>
      <c r="P209" s="184"/>
      <c r="Q209" s="184"/>
      <c r="R209" s="597"/>
      <c r="S209" s="184"/>
      <c r="T209" s="184"/>
      <c r="U209" s="184"/>
      <c r="V209" s="588"/>
      <c r="W209" s="2516"/>
      <c r="X209" s="4808"/>
      <c r="Y209" s="1271"/>
      <c r="Z209" s="1271"/>
      <c r="AA209" s="1271"/>
      <c r="AB209" s="1271"/>
    </row>
    <row r="210" spans="1:28" ht="12.75" customHeight="1" thickBot="1">
      <c r="A210" s="588"/>
      <c r="B210" s="246">
        <v>45</v>
      </c>
      <c r="C210" s="1329" t="s">
        <v>615</v>
      </c>
      <c r="D210" s="184"/>
      <c r="E210" s="184"/>
      <c r="F210" s="184"/>
      <c r="G210" s="184"/>
      <c r="H210" s="184"/>
      <c r="I210" s="184"/>
      <c r="J210" s="184"/>
      <c r="K210" s="598"/>
      <c r="L210" s="184"/>
      <c r="M210" s="218"/>
      <c r="N210" s="218"/>
      <c r="O210" s="184"/>
      <c r="P210" s="596" t="s">
        <v>3726</v>
      </c>
      <c r="Q210" s="1193"/>
      <c r="R210" s="218" t="s">
        <v>271</v>
      </c>
      <c r="S210" s="184"/>
      <c r="T210" s="1193"/>
      <c r="U210" s="219" t="s">
        <v>272</v>
      </c>
      <c r="V210" s="588"/>
      <c r="W210" s="2516" t="str">
        <f>IF(Y210,"ONLY one.","")</f>
        <v/>
      </c>
      <c r="X210" s="4808"/>
      <c r="Y210" s="1271" t="b">
        <f>IF(AND(Q210&lt;&gt;"",T210&lt;&gt;""),TRUE,FALSE)</f>
        <v>0</v>
      </c>
      <c r="Z210" s="1271"/>
      <c r="AA210" s="1271"/>
      <c r="AB210" s="1271"/>
    </row>
    <row r="211" spans="1:28" ht="13.5" customHeight="1" thickBot="1">
      <c r="A211" s="588"/>
      <c r="B211" s="154"/>
      <c r="C211" s="4639"/>
      <c r="D211" s="208"/>
      <c r="E211" s="208"/>
      <c r="F211" s="208"/>
      <c r="G211" s="208"/>
      <c r="H211" s="208"/>
      <c r="I211" s="208"/>
      <c r="J211" s="208"/>
      <c r="K211" s="208"/>
      <c r="L211" s="208"/>
      <c r="M211" s="184"/>
      <c r="N211" s="184"/>
      <c r="O211" s="208"/>
      <c r="P211" s="208"/>
      <c r="Q211" s="208"/>
      <c r="R211" s="208"/>
      <c r="S211" s="184"/>
      <c r="T211" s="208"/>
      <c r="U211" s="208"/>
      <c r="V211" s="588"/>
      <c r="W211" s="385"/>
      <c r="X211" s="4808"/>
      <c r="Y211" s="1271"/>
      <c r="Z211" s="1271"/>
      <c r="AA211" s="1271"/>
      <c r="AB211" s="1271"/>
    </row>
    <row r="212" spans="1:28" ht="13.5" thickBot="1">
      <c r="A212" s="588"/>
      <c r="B212" s="246">
        <v>46</v>
      </c>
      <c r="C212" s="1329" t="s">
        <v>2747</v>
      </c>
      <c r="D212" s="184"/>
      <c r="E212" s="184"/>
      <c r="F212" s="184"/>
      <c r="G212" s="184"/>
      <c r="H212" s="184"/>
      <c r="I212" s="184"/>
      <c r="J212" s="184"/>
      <c r="K212" s="598"/>
      <c r="L212" s="184"/>
      <c r="M212" s="218"/>
      <c r="N212" s="218"/>
      <c r="O212" s="184"/>
      <c r="P212" s="596" t="s">
        <v>580</v>
      </c>
      <c r="Q212" s="1193"/>
      <c r="R212" s="218" t="s">
        <v>271</v>
      </c>
      <c r="S212" s="184"/>
      <c r="T212" s="1193"/>
      <c r="U212" s="219" t="s">
        <v>272</v>
      </c>
      <c r="V212" s="588"/>
      <c r="W212" s="2516" t="str">
        <f>IF(Y212,"ONLY one.","")</f>
        <v/>
      </c>
      <c r="X212" s="4808"/>
      <c r="Y212" s="1271" t="b">
        <f>IF(AND(Q212&lt;&gt;"",T212&lt;&gt;""),TRUE,FALSE)</f>
        <v>0</v>
      </c>
      <c r="Z212" s="1271"/>
      <c r="AA212" s="1271"/>
      <c r="AB212" s="1271"/>
    </row>
    <row r="213" spans="1:28" ht="13.5" customHeight="1" thickBot="1">
      <c r="A213" s="588"/>
      <c r="B213" s="246"/>
      <c r="C213" s="1329"/>
      <c r="D213" s="184"/>
      <c r="E213" s="184"/>
      <c r="F213" s="184"/>
      <c r="G213" s="184"/>
      <c r="H213" s="184"/>
      <c r="I213" s="184"/>
      <c r="J213" s="184"/>
      <c r="K213" s="597"/>
      <c r="L213" s="184"/>
      <c r="M213" s="184"/>
      <c r="N213" s="184"/>
      <c r="O213" s="184"/>
      <c r="P213" s="184"/>
      <c r="Q213" s="184"/>
      <c r="R213" s="184"/>
      <c r="S213" s="184"/>
      <c r="T213" s="184"/>
      <c r="U213" s="184"/>
      <c r="V213" s="588"/>
      <c r="W213" s="385"/>
      <c r="X213" s="4808"/>
      <c r="Y213" s="1271"/>
      <c r="Z213" s="1271"/>
      <c r="AA213" s="1271"/>
      <c r="AB213" s="1271"/>
    </row>
    <row r="214" spans="1:28" ht="13.5" thickBot="1">
      <c r="A214" s="588"/>
      <c r="B214" s="218" t="s">
        <v>4021</v>
      </c>
      <c r="C214" s="1329" t="s">
        <v>2746</v>
      </c>
      <c r="D214" s="184"/>
      <c r="E214" s="184"/>
      <c r="F214" s="184"/>
      <c r="G214" s="184"/>
      <c r="H214" s="184"/>
      <c r="I214" s="184"/>
      <c r="J214" s="184"/>
      <c r="K214" s="598"/>
      <c r="L214" s="184"/>
      <c r="M214" s="184"/>
      <c r="N214" s="184"/>
      <c r="O214" s="184"/>
      <c r="P214" s="596" t="s">
        <v>2927</v>
      </c>
      <c r="Q214" s="1193"/>
      <c r="R214" s="218" t="s">
        <v>271</v>
      </c>
      <c r="S214" s="184"/>
      <c r="T214" s="1193"/>
      <c r="U214" s="219" t="s">
        <v>272</v>
      </c>
      <c r="V214" s="588"/>
      <c r="W214" s="2516" t="str">
        <f>IF(Y214,"ONLY one.","")</f>
        <v/>
      </c>
      <c r="X214" s="4808"/>
      <c r="Y214" s="1271" t="b">
        <f>IF(AND(Q214&lt;&gt;"",T214&lt;&gt;""),TRUE,FALSE)</f>
        <v>0</v>
      </c>
      <c r="Z214" s="1271"/>
      <c r="AA214" s="1271"/>
      <c r="AB214" s="1271"/>
    </row>
    <row r="215" spans="1:28" ht="13.5" customHeight="1" thickBot="1">
      <c r="A215" s="588"/>
      <c r="B215" s="246"/>
      <c r="C215" s="1329"/>
      <c r="D215" s="184"/>
      <c r="E215" s="184"/>
      <c r="F215" s="184"/>
      <c r="G215" s="184"/>
      <c r="H215" s="184"/>
      <c r="I215" s="184"/>
      <c r="J215" s="184"/>
      <c r="K215" s="597"/>
      <c r="L215" s="184"/>
      <c r="M215" s="184"/>
      <c r="N215" s="184"/>
      <c r="O215" s="184"/>
      <c r="P215" s="184"/>
      <c r="Q215" s="184"/>
      <c r="R215" s="184"/>
      <c r="S215" s="184"/>
      <c r="T215" s="184"/>
      <c r="U215" s="184"/>
      <c r="V215" s="588"/>
      <c r="W215" s="385"/>
      <c r="X215" s="4808"/>
      <c r="Y215" s="1271"/>
      <c r="Z215" s="1271"/>
      <c r="AA215" s="1271"/>
      <c r="AB215" s="1271"/>
    </row>
    <row r="216" spans="1:28" ht="13.5" thickBot="1">
      <c r="A216" s="588"/>
      <c r="B216" s="154" t="s">
        <v>47</v>
      </c>
      <c r="C216" s="1329" t="s">
        <v>385</v>
      </c>
      <c r="D216" s="184"/>
      <c r="E216" s="184"/>
      <c r="F216" s="184"/>
      <c r="G216" s="184"/>
      <c r="H216" s="184"/>
      <c r="I216" s="184"/>
      <c r="J216" s="184"/>
      <c r="K216" s="598"/>
      <c r="L216" s="184"/>
      <c r="M216" s="184"/>
      <c r="N216" s="184"/>
      <c r="O216" s="184"/>
      <c r="P216" s="596" t="s">
        <v>4390</v>
      </c>
      <c r="Q216" s="1193"/>
      <c r="R216" s="218" t="s">
        <v>271</v>
      </c>
      <c r="S216" s="184"/>
      <c r="T216" s="1193"/>
      <c r="U216" s="219" t="s">
        <v>272</v>
      </c>
      <c r="V216" s="588"/>
      <c r="W216" s="2516" t="str">
        <f>IF(Y216,"ONLY one.","")</f>
        <v/>
      </c>
      <c r="X216" s="4808"/>
      <c r="Y216" s="1271" t="b">
        <f>IF(AND(Q216&lt;&gt;"",T216&lt;&gt;""),TRUE,FALSE)</f>
        <v>0</v>
      </c>
      <c r="Z216" s="1271"/>
      <c r="AA216" s="1271"/>
      <c r="AB216" s="1271"/>
    </row>
    <row r="217" spans="1:28" ht="3.75" customHeight="1" thickBot="1">
      <c r="A217" s="588"/>
      <c r="B217" s="198"/>
      <c r="C217" s="184"/>
      <c r="D217" s="184"/>
      <c r="E217" s="184"/>
      <c r="F217" s="184"/>
      <c r="G217" s="184"/>
      <c r="H217" s="184"/>
      <c r="I217" s="184"/>
      <c r="J217" s="184"/>
      <c r="K217" s="184"/>
      <c r="L217" s="184"/>
      <c r="M217" s="184"/>
      <c r="N217" s="184"/>
      <c r="O217" s="184"/>
      <c r="P217" s="184"/>
      <c r="Q217" s="184"/>
      <c r="R217" s="184"/>
      <c r="S217" s="184"/>
      <c r="T217" s="184"/>
      <c r="U217" s="184"/>
      <c r="V217" s="588"/>
      <c r="W217" s="385"/>
      <c r="X217" s="4808"/>
    </row>
    <row r="218" spans="1:28" ht="15.75">
      <c r="A218" s="588"/>
      <c r="B218" s="367" t="s">
        <v>123</v>
      </c>
      <c r="C218" s="211" t="s">
        <v>617</v>
      </c>
      <c r="D218" s="211"/>
      <c r="E218" s="211"/>
      <c r="F218" s="211"/>
      <c r="G218" s="211"/>
      <c r="H218" s="211"/>
      <c r="I218" s="211"/>
      <c r="J218" s="211"/>
      <c r="K218" s="211"/>
      <c r="L218" s="211"/>
      <c r="M218" s="211"/>
      <c r="N218" s="211"/>
      <c r="O218" s="211"/>
      <c r="P218" s="211"/>
      <c r="Q218" s="211"/>
      <c r="R218" s="211"/>
      <c r="S218" s="211"/>
      <c r="T218" s="211"/>
      <c r="U218" s="211"/>
      <c r="V218" s="588"/>
      <c r="W218" s="385"/>
      <c r="X218" s="4808"/>
    </row>
    <row r="219" spans="1:28" ht="27.75" customHeight="1">
      <c r="A219" s="588"/>
      <c r="B219" s="7004"/>
      <c r="C219" s="7005"/>
      <c r="D219" s="7005"/>
      <c r="E219" s="7005"/>
      <c r="F219" s="7005"/>
      <c r="G219" s="7005"/>
      <c r="H219" s="7005"/>
      <c r="I219" s="7005"/>
      <c r="J219" s="7005"/>
      <c r="K219" s="7005"/>
      <c r="L219" s="7005"/>
      <c r="M219" s="7005"/>
      <c r="N219" s="7005"/>
      <c r="O219" s="7005"/>
      <c r="P219" s="7005"/>
      <c r="Q219" s="7005"/>
      <c r="R219" s="7005"/>
      <c r="S219" s="7006"/>
      <c r="T219" s="6965"/>
      <c r="U219" s="6966"/>
      <c r="V219" s="588"/>
      <c r="W219" s="385"/>
      <c r="X219" s="4808"/>
    </row>
    <row r="220" spans="1:28" ht="27.75" customHeight="1">
      <c r="A220" s="588"/>
      <c r="B220" s="6962"/>
      <c r="C220" s="6963"/>
      <c r="D220" s="6963"/>
      <c r="E220" s="6963"/>
      <c r="F220" s="6963"/>
      <c r="G220" s="6963"/>
      <c r="H220" s="6963"/>
      <c r="I220" s="6963"/>
      <c r="J220" s="6963"/>
      <c r="K220" s="6963"/>
      <c r="L220" s="6963"/>
      <c r="M220" s="6963"/>
      <c r="N220" s="6963"/>
      <c r="O220" s="6963"/>
      <c r="P220" s="6963"/>
      <c r="Q220" s="6963"/>
      <c r="R220" s="6963"/>
      <c r="S220" s="6964"/>
      <c r="T220" s="6965"/>
      <c r="U220" s="6966"/>
      <c r="V220" s="588"/>
      <c r="W220" s="385"/>
      <c r="X220" s="4808"/>
    </row>
    <row r="221" spans="1:28" ht="27.75" customHeight="1">
      <c r="A221" s="588"/>
      <c r="B221" s="6962"/>
      <c r="C221" s="6963"/>
      <c r="D221" s="6963"/>
      <c r="E221" s="6963"/>
      <c r="F221" s="6963"/>
      <c r="G221" s="6963"/>
      <c r="H221" s="6963"/>
      <c r="I221" s="6963"/>
      <c r="J221" s="6963"/>
      <c r="K221" s="6963"/>
      <c r="L221" s="6963"/>
      <c r="M221" s="6963"/>
      <c r="N221" s="6963"/>
      <c r="O221" s="6963"/>
      <c r="P221" s="6963"/>
      <c r="Q221" s="6963"/>
      <c r="R221" s="6963"/>
      <c r="S221" s="6964"/>
      <c r="T221" s="6965"/>
      <c r="U221" s="6966"/>
      <c r="V221" s="588"/>
      <c r="W221" s="385"/>
      <c r="X221" s="4808"/>
    </row>
    <row r="222" spans="1:28" ht="27.75" customHeight="1">
      <c r="A222" s="588"/>
      <c r="B222" s="6962"/>
      <c r="C222" s="6963"/>
      <c r="D222" s="6963"/>
      <c r="E222" s="6963"/>
      <c r="F222" s="6963"/>
      <c r="G222" s="6963"/>
      <c r="H222" s="6963"/>
      <c r="I222" s="6963"/>
      <c r="J222" s="6963"/>
      <c r="K222" s="6963"/>
      <c r="L222" s="6963"/>
      <c r="M222" s="6963"/>
      <c r="N222" s="6963"/>
      <c r="O222" s="6963"/>
      <c r="P222" s="6963"/>
      <c r="Q222" s="6963"/>
      <c r="R222" s="6963"/>
      <c r="S222" s="6964"/>
      <c r="T222" s="6965"/>
      <c r="U222" s="6966"/>
      <c r="V222" s="588"/>
      <c r="W222" s="385"/>
      <c r="X222" s="4808"/>
    </row>
    <row r="223" spans="1:28" ht="27.75" customHeight="1">
      <c r="A223" s="588"/>
      <c r="B223" s="6962"/>
      <c r="C223" s="6963"/>
      <c r="D223" s="6963"/>
      <c r="E223" s="6963"/>
      <c r="F223" s="6963"/>
      <c r="G223" s="6963"/>
      <c r="H223" s="6963"/>
      <c r="I223" s="6963"/>
      <c r="J223" s="6963"/>
      <c r="K223" s="6963"/>
      <c r="L223" s="6963"/>
      <c r="M223" s="6963"/>
      <c r="N223" s="6963"/>
      <c r="O223" s="6963"/>
      <c r="P223" s="6963"/>
      <c r="Q223" s="6963"/>
      <c r="R223" s="6963"/>
      <c r="S223" s="6964"/>
      <c r="T223" s="6965"/>
      <c r="U223" s="6966"/>
      <c r="V223" s="588"/>
      <c r="W223" s="385"/>
      <c r="X223" s="4808"/>
    </row>
    <row r="224" spans="1:28" ht="27.75" customHeight="1">
      <c r="A224" s="588"/>
      <c r="B224" s="6962"/>
      <c r="C224" s="6963"/>
      <c r="D224" s="6963"/>
      <c r="E224" s="6963"/>
      <c r="F224" s="6963"/>
      <c r="G224" s="6963"/>
      <c r="H224" s="6963"/>
      <c r="I224" s="6963"/>
      <c r="J224" s="6963"/>
      <c r="K224" s="6963"/>
      <c r="L224" s="6963"/>
      <c r="M224" s="6963"/>
      <c r="N224" s="6963"/>
      <c r="O224" s="6963"/>
      <c r="P224" s="6963"/>
      <c r="Q224" s="6963"/>
      <c r="R224" s="6963"/>
      <c r="S224" s="6964"/>
      <c r="T224" s="6965"/>
      <c r="U224" s="6966"/>
      <c r="V224" s="588"/>
      <c r="W224" s="385"/>
      <c r="X224" s="4808"/>
    </row>
    <row r="225" spans="1:24" ht="27.75" customHeight="1">
      <c r="A225" s="588"/>
      <c r="B225" s="6963"/>
      <c r="C225" s="6963"/>
      <c r="D225" s="6963"/>
      <c r="E225" s="6963"/>
      <c r="F225" s="6963"/>
      <c r="G225" s="6963"/>
      <c r="H225" s="6963"/>
      <c r="I225" s="6963"/>
      <c r="J225" s="6963"/>
      <c r="K225" s="6963"/>
      <c r="L225" s="6963"/>
      <c r="M225" s="6963"/>
      <c r="N225" s="6963"/>
      <c r="O225" s="6963"/>
      <c r="P225" s="6963"/>
      <c r="Q225" s="6963"/>
      <c r="R225" s="6963"/>
      <c r="S225" s="6964"/>
      <c r="T225" s="6965"/>
      <c r="U225" s="6966"/>
      <c r="V225" s="588"/>
      <c r="W225" s="385"/>
      <c r="X225" s="4808"/>
    </row>
    <row r="226" spans="1:24" ht="27.75" customHeight="1">
      <c r="A226" s="588"/>
      <c r="B226" s="6962"/>
      <c r="C226" s="6963"/>
      <c r="D226" s="6963"/>
      <c r="E226" s="6963"/>
      <c r="F226" s="6963"/>
      <c r="G226" s="6963"/>
      <c r="H226" s="6963"/>
      <c r="I226" s="6963"/>
      <c r="J226" s="6963"/>
      <c r="K226" s="6963"/>
      <c r="L226" s="6963"/>
      <c r="M226" s="6963"/>
      <c r="N226" s="6963"/>
      <c r="O226" s="6963"/>
      <c r="P226" s="6963"/>
      <c r="Q226" s="6963"/>
      <c r="R226" s="6963"/>
      <c r="S226" s="6964"/>
      <c r="T226" s="6965"/>
      <c r="U226" s="6966"/>
      <c r="V226" s="588"/>
      <c r="W226" s="385"/>
      <c r="X226" s="4808"/>
    </row>
    <row r="227" spans="1:24" ht="27.75" customHeight="1">
      <c r="A227" s="588"/>
      <c r="B227" s="6997"/>
      <c r="C227" s="6998"/>
      <c r="D227" s="6998"/>
      <c r="E227" s="6998"/>
      <c r="F227" s="6998"/>
      <c r="G227" s="6998"/>
      <c r="H227" s="6998"/>
      <c r="I227" s="6998"/>
      <c r="J227" s="6998"/>
      <c r="K227" s="6998"/>
      <c r="L227" s="6998"/>
      <c r="M227" s="6998"/>
      <c r="N227" s="6998"/>
      <c r="O227" s="6998"/>
      <c r="P227" s="6998"/>
      <c r="Q227" s="6998"/>
      <c r="R227" s="6998"/>
      <c r="S227" s="6999"/>
      <c r="T227" s="6965"/>
      <c r="U227" s="6966"/>
      <c r="V227" s="588"/>
      <c r="W227" s="385"/>
      <c r="X227" s="4808"/>
    </row>
    <row r="228" spans="1:24" ht="16.5" customHeight="1" thickBot="1">
      <c r="A228" s="588"/>
      <c r="B228" s="3817">
        <v>48</v>
      </c>
      <c r="C228" s="4634" t="s">
        <v>4019</v>
      </c>
      <c r="D228" s="220"/>
      <c r="E228" s="205"/>
      <c r="F228" s="205"/>
      <c r="G228" s="205"/>
      <c r="H228" s="205"/>
      <c r="I228" s="205"/>
      <c r="J228" s="205"/>
      <c r="K228" s="205"/>
      <c r="L228" s="205"/>
      <c r="M228" s="205"/>
      <c r="N228" s="205"/>
      <c r="O228" s="205"/>
      <c r="P228" s="205"/>
      <c r="Q228" s="221"/>
      <c r="R228" s="2420" t="s">
        <v>4020</v>
      </c>
      <c r="S228" s="222">
        <v>48</v>
      </c>
      <c r="T228" s="7052">
        <f>ROUND(SUM(T219,T220,T221,T222,T223,T224,T225,T226,T227),0)</f>
        <v>0</v>
      </c>
      <c r="U228" s="7053"/>
      <c r="V228" s="588"/>
      <c r="W228" s="385"/>
      <c r="X228" s="4808"/>
    </row>
    <row r="229" spans="1:24" ht="20.25" customHeight="1">
      <c r="A229" s="588"/>
      <c r="B229" s="374"/>
      <c r="C229" s="374"/>
      <c r="D229" s="374"/>
      <c r="E229" s="374"/>
      <c r="F229" s="375"/>
      <c r="G229" s="375"/>
      <c r="H229" s="375"/>
      <c r="I229" s="376"/>
      <c r="J229" s="376"/>
      <c r="K229" s="376"/>
      <c r="L229" s="377"/>
      <c r="M229" s="376"/>
      <c r="N229" s="375"/>
      <c r="O229" s="375"/>
      <c r="P229" s="378"/>
      <c r="Q229" s="375"/>
      <c r="R229" s="375"/>
      <c r="S229" s="377"/>
      <c r="T229" s="379"/>
      <c r="U229" s="379" t="str">
        <f>"Schedule C   (Form 1040)  "&amp;TaxYear</f>
        <v>Schedule C   (Form 1040)  2021</v>
      </c>
      <c r="V229" s="588"/>
      <c r="W229" s="385"/>
      <c r="X229" s="4808"/>
    </row>
    <row r="230" spans="1:24" ht="8.25" customHeight="1">
      <c r="A230" s="588"/>
      <c r="B230" s="638"/>
      <c r="C230" s="638"/>
      <c r="D230" s="638"/>
      <c r="E230" s="638"/>
      <c r="F230" s="567"/>
      <c r="G230" s="567"/>
      <c r="H230" s="567"/>
      <c r="I230" s="639"/>
      <c r="J230" s="639"/>
      <c r="K230" s="639"/>
      <c r="L230" s="639"/>
      <c r="M230" s="639"/>
      <c r="N230" s="567"/>
      <c r="O230" s="567"/>
      <c r="P230" s="640"/>
      <c r="Q230" s="567"/>
      <c r="R230" s="567"/>
      <c r="S230" s="567"/>
      <c r="T230" s="567"/>
      <c r="U230" s="567"/>
      <c r="V230" s="588"/>
      <c r="W230" s="385"/>
      <c r="X230" s="4808"/>
    </row>
    <row r="231" spans="1:24">
      <c r="B231" s="9"/>
      <c r="C231" s="10"/>
      <c r="D231" s="10"/>
      <c r="E231" s="10"/>
      <c r="F231" s="10"/>
      <c r="G231" s="10"/>
      <c r="H231" s="10"/>
      <c r="I231" s="11"/>
      <c r="J231" s="11"/>
      <c r="K231" s="11"/>
      <c r="L231" s="11"/>
      <c r="M231" s="12"/>
      <c r="N231" s="10"/>
      <c r="O231" s="10"/>
      <c r="P231" s="8"/>
      <c r="Q231" s="10"/>
      <c r="R231" s="10"/>
      <c r="S231" s="10"/>
      <c r="T231" s="10"/>
      <c r="U231" s="10"/>
    </row>
    <row r="232" spans="1:24" ht="13.5" thickBot="1">
      <c r="B232" s="9"/>
      <c r="C232" s="10"/>
      <c r="D232" s="10"/>
      <c r="E232" s="10"/>
      <c r="F232" s="10"/>
      <c r="G232" s="10"/>
      <c r="H232" s="10"/>
      <c r="I232" s="11"/>
      <c r="J232" s="11"/>
      <c r="K232" s="11"/>
      <c r="L232" s="9"/>
      <c r="M232" s="13"/>
      <c r="N232" s="10"/>
      <c r="O232" s="10"/>
      <c r="P232" s="8"/>
      <c r="Q232" s="10"/>
      <c r="R232" s="10"/>
      <c r="S232" s="10"/>
      <c r="T232" s="10"/>
      <c r="U232" s="10"/>
    </row>
    <row r="233" spans="1:24" ht="14.25" thickTop="1" thickBot="1">
      <c r="B233" s="549"/>
      <c r="C233" s="7029" t="s">
        <v>63</v>
      </c>
      <c r="D233" s="7030"/>
      <c r="E233" s="7030"/>
      <c r="F233" s="7030"/>
      <c r="G233" s="7031"/>
      <c r="H233" s="550"/>
      <c r="I233" s="551"/>
      <c r="J233" s="551"/>
      <c r="K233" s="551"/>
      <c r="L233" s="549"/>
      <c r="M233" s="552"/>
      <c r="N233" s="550"/>
      <c r="O233" s="550"/>
      <c r="P233" s="553"/>
      <c r="Q233" s="550"/>
      <c r="R233" s="550"/>
      <c r="S233" s="550"/>
      <c r="T233" s="550"/>
      <c r="U233" s="550"/>
    </row>
    <row r="234" spans="1:24" ht="14.25" thickTop="1" thickBot="1">
      <c r="B234" s="549"/>
      <c r="C234" s="550"/>
      <c r="D234" s="550"/>
      <c r="E234" s="550"/>
      <c r="F234" s="550"/>
      <c r="G234" s="550"/>
      <c r="H234" s="550"/>
      <c r="I234" s="551"/>
      <c r="J234" s="551"/>
      <c r="K234" s="551"/>
      <c r="L234" s="549"/>
      <c r="M234" s="554"/>
      <c r="N234" s="550"/>
      <c r="O234" s="550"/>
      <c r="P234" s="553"/>
      <c r="Q234" s="550"/>
      <c r="R234" s="550"/>
      <c r="S234" s="550"/>
      <c r="T234" s="550"/>
      <c r="U234" s="550"/>
    </row>
    <row r="235" spans="1:24" ht="27.75" customHeight="1" thickTop="1" thickBot="1">
      <c r="B235" s="549"/>
      <c r="C235" s="7026" t="s">
        <v>574</v>
      </c>
      <c r="D235" s="7027"/>
      <c r="E235" s="7027"/>
      <c r="F235" s="7027"/>
      <c r="G235" s="7028"/>
      <c r="H235" s="550"/>
      <c r="I235" s="551"/>
      <c r="J235" s="551"/>
      <c r="K235" s="551"/>
      <c r="L235" s="549"/>
      <c r="M235" s="554"/>
      <c r="N235" s="550"/>
      <c r="O235" s="550"/>
      <c r="P235" s="553"/>
      <c r="Q235" s="550"/>
      <c r="R235" s="550"/>
      <c r="S235" s="550"/>
      <c r="T235" s="550"/>
      <c r="U235" s="550"/>
    </row>
    <row r="236" spans="1:24" ht="13.5" thickTop="1"/>
  </sheetData>
  <sheetProtection algorithmName="SHA-512" hashValue="96L+MyfaUZnq7lM8ji6Y8Lv8xavefkmzCDySpjr5fFvWk0u9O4n3hwIyvWWcMTeKckfzOjCVhJRAqiwcm216rg==" saltValue="j/Y57OJ/k4zytBPuYWPf6w==" spinCount="100000" sheet="1" objects="1" scenarios="1"/>
  <mergeCells count="168">
    <mergeCell ref="T31:U31"/>
    <mergeCell ref="T114:U114"/>
    <mergeCell ref="T81:U82"/>
    <mergeCell ref="T73:U74"/>
    <mergeCell ref="T47:U47"/>
    <mergeCell ref="B4:C5"/>
    <mergeCell ref="D4:Q4"/>
    <mergeCell ref="T28:U28"/>
    <mergeCell ref="R4:T5"/>
    <mergeCell ref="U4:U5"/>
    <mergeCell ref="M7:U7"/>
    <mergeCell ref="N15:U15"/>
    <mergeCell ref="D5:Q5"/>
    <mergeCell ref="T27:U27"/>
    <mergeCell ref="T29:U29"/>
    <mergeCell ref="B7:L7"/>
    <mergeCell ref="B9:L9"/>
    <mergeCell ref="B11:L11"/>
    <mergeCell ref="I12:U12"/>
    <mergeCell ref="T23:U23"/>
    <mergeCell ref="T35:U35"/>
    <mergeCell ref="T36:U36"/>
    <mergeCell ref="M91:N91"/>
    <mergeCell ref="P91:Q91"/>
    <mergeCell ref="R2:U2"/>
    <mergeCell ref="R3:U3"/>
    <mergeCell ref="T26:U26"/>
    <mergeCell ref="T106:U106"/>
    <mergeCell ref="T107:U107"/>
    <mergeCell ref="I13:U13"/>
    <mergeCell ref="T86:U86"/>
    <mergeCell ref="O94:P94"/>
    <mergeCell ref="T44:U44"/>
    <mergeCell ref="T24:U24"/>
    <mergeCell ref="T25:U25"/>
    <mergeCell ref="T75:U76"/>
    <mergeCell ref="T48:U48"/>
    <mergeCell ref="T46:U46"/>
    <mergeCell ref="T83:U84"/>
    <mergeCell ref="J94:L94"/>
    <mergeCell ref="B105:S105"/>
    <mergeCell ref="J52:M52"/>
    <mergeCell ref="T49:U49"/>
    <mergeCell ref="T50:U50"/>
    <mergeCell ref="M51:Q51"/>
    <mergeCell ref="T32:U32"/>
    <mergeCell ref="T72:U72"/>
    <mergeCell ref="T37:U37"/>
    <mergeCell ref="C235:G235"/>
    <mergeCell ref="B106:S106"/>
    <mergeCell ref="B111:S111"/>
    <mergeCell ref="B112:S112"/>
    <mergeCell ref="B113:S113"/>
    <mergeCell ref="C233:G233"/>
    <mergeCell ref="B109:S109"/>
    <mergeCell ref="B110:S110"/>
    <mergeCell ref="B107:S107"/>
    <mergeCell ref="B108:S108"/>
    <mergeCell ref="R116:U116"/>
    <mergeCell ref="R117:U117"/>
    <mergeCell ref="B118:C119"/>
    <mergeCell ref="D118:Q118"/>
    <mergeCell ref="D119:Q119"/>
    <mergeCell ref="T110:U110"/>
    <mergeCell ref="B121:L121"/>
    <mergeCell ref="B123:L123"/>
    <mergeCell ref="B125:L125"/>
    <mergeCell ref="T151:U151"/>
    <mergeCell ref="T152:U152"/>
    <mergeCell ref="T154:U154"/>
    <mergeCell ref="T228:U228"/>
    <mergeCell ref="T112:U112"/>
    <mergeCell ref="W5:W9"/>
    <mergeCell ref="W119:W123"/>
    <mergeCell ref="T167:U167"/>
    <mergeCell ref="T158:U158"/>
    <mergeCell ref="T159:U159"/>
    <mergeCell ref="T160:U160"/>
    <mergeCell ref="T161:U161"/>
    <mergeCell ref="T162:U162"/>
    <mergeCell ref="T45:U45"/>
    <mergeCell ref="T43:U43"/>
    <mergeCell ref="T38:U38"/>
    <mergeCell ref="S91:T91"/>
    <mergeCell ref="I127:U127"/>
    <mergeCell ref="N129:U129"/>
    <mergeCell ref="T137:U137"/>
    <mergeCell ref="T138:U138"/>
    <mergeCell ref="R118:T119"/>
    <mergeCell ref="U118:U119"/>
    <mergeCell ref="T34:U34"/>
    <mergeCell ref="T53:U53"/>
    <mergeCell ref="T40:U40"/>
    <mergeCell ref="T42:U42"/>
    <mergeCell ref="T139:U139"/>
    <mergeCell ref="T140:U140"/>
    <mergeCell ref="T77:U78"/>
    <mergeCell ref="T56:U56"/>
    <mergeCell ref="T79:U80"/>
    <mergeCell ref="T85:U85"/>
    <mergeCell ref="T108:U108"/>
    <mergeCell ref="T105:U105"/>
    <mergeCell ref="T113:U113"/>
    <mergeCell ref="T109:U109"/>
    <mergeCell ref="T111:U111"/>
    <mergeCell ref="T52:U52"/>
    <mergeCell ref="Q52:R52"/>
    <mergeCell ref="Q50:R50"/>
    <mergeCell ref="T51:U51"/>
    <mergeCell ref="O52:P52"/>
    <mergeCell ref="T225:U225"/>
    <mergeCell ref="B226:S226"/>
    <mergeCell ref="T226:U226"/>
    <mergeCell ref="B227:S227"/>
    <mergeCell ref="T227:U227"/>
    <mergeCell ref="B222:S222"/>
    <mergeCell ref="T222:U222"/>
    <mergeCell ref="B223:S223"/>
    <mergeCell ref="T223:U223"/>
    <mergeCell ref="B224:S224"/>
    <mergeCell ref="T224:U224"/>
    <mergeCell ref="B225:S225"/>
    <mergeCell ref="B221:S221"/>
    <mergeCell ref="T221:U221"/>
    <mergeCell ref="J208:L208"/>
    <mergeCell ref="O208:P208"/>
    <mergeCell ref="B219:S219"/>
    <mergeCell ref="T199:U199"/>
    <mergeCell ref="T200:U200"/>
    <mergeCell ref="D94:E94"/>
    <mergeCell ref="Q94:T94"/>
    <mergeCell ref="T170:U170"/>
    <mergeCell ref="T186:U186"/>
    <mergeCell ref="T187:U188"/>
    <mergeCell ref="T189:U190"/>
    <mergeCell ref="T191:U192"/>
    <mergeCell ref="T219:U219"/>
    <mergeCell ref="T195:U196"/>
    <mergeCell ref="T197:U198"/>
    <mergeCell ref="T193:U194"/>
    <mergeCell ref="T141:U141"/>
    <mergeCell ref="T142:U142"/>
    <mergeCell ref="T143:U143"/>
    <mergeCell ref="I126:U126"/>
    <mergeCell ref="M121:U121"/>
    <mergeCell ref="D208:E208"/>
    <mergeCell ref="Q208:T208"/>
    <mergeCell ref="B220:S220"/>
    <mergeCell ref="T220:U220"/>
    <mergeCell ref="M165:Q165"/>
    <mergeCell ref="J166:M166"/>
    <mergeCell ref="T145:U145"/>
    <mergeCell ref="T146:U146"/>
    <mergeCell ref="T148:U148"/>
    <mergeCell ref="T149:U149"/>
    <mergeCell ref="T150:U150"/>
    <mergeCell ref="T163:U163"/>
    <mergeCell ref="T164:U164"/>
    <mergeCell ref="T156:U156"/>
    <mergeCell ref="T157:U157"/>
    <mergeCell ref="T166:U166"/>
    <mergeCell ref="M205:N205"/>
    <mergeCell ref="P205:Q205"/>
    <mergeCell ref="S205:T205"/>
    <mergeCell ref="O166:P166"/>
    <mergeCell ref="Q166:R166"/>
    <mergeCell ref="Q164:R164"/>
    <mergeCell ref="T165:U165"/>
  </mergeCells>
  <phoneticPr fontId="14" type="noConversion"/>
  <conditionalFormatting sqref="B9:L9">
    <cfRule type="expression" dxfId="2250" priority="210">
      <formula>IF(NoColor,1,0)</formula>
    </cfRule>
  </conditionalFormatting>
  <conditionalFormatting sqref="B121:L121">
    <cfRule type="expression" dxfId="2249" priority="143">
      <formula>IF(NoColor,1,0)</formula>
    </cfRule>
  </conditionalFormatting>
  <conditionalFormatting sqref="B123:L123">
    <cfRule type="expression" dxfId="2248" priority="142">
      <formula>IF(NoColor,1,0)</formula>
    </cfRule>
  </conditionalFormatting>
  <conditionalFormatting sqref="B7:M7">
    <cfRule type="expression" dxfId="2247" priority="211">
      <formula>NoColor</formula>
    </cfRule>
  </conditionalFormatting>
  <conditionalFormatting sqref="B11:U11">
    <cfRule type="expression" dxfId="2246" priority="207">
      <formula>IF(NoColor,1,0)</formula>
    </cfRule>
  </conditionalFormatting>
  <conditionalFormatting sqref="B105:U113">
    <cfRule type="expression" dxfId="2245" priority="173">
      <formula>IF(NoColor,1,0)</formula>
    </cfRule>
  </conditionalFormatting>
  <conditionalFormatting sqref="B125:U125">
    <cfRule type="expression" dxfId="2244" priority="139">
      <formula>IF(NoColor,1,0)</formula>
    </cfRule>
  </conditionalFormatting>
  <conditionalFormatting sqref="B219:U227">
    <cfRule type="expression" dxfId="2243" priority="105">
      <formula>IF(NoColor,1,0)</formula>
    </cfRule>
  </conditionalFormatting>
  <conditionalFormatting sqref="C57">
    <cfRule type="expression" dxfId="2242" priority="63">
      <formula>AND(T56&lt;0,R59="",R60="")</formula>
    </cfRule>
  </conditionalFormatting>
  <conditionalFormatting sqref="C171">
    <cfRule type="expression" dxfId="2241" priority="64">
      <formula>AND(T170&lt;0,R173="",R174="")</formula>
    </cfRule>
  </conditionalFormatting>
  <conditionalFormatting sqref="D2:D3">
    <cfRule type="expression" dxfId="2240" priority="145">
      <formula>NOT(Draft)</formula>
    </cfRule>
  </conditionalFormatting>
  <conditionalFormatting sqref="D94">
    <cfRule type="expression" dxfId="2239" priority="177">
      <formula>IF(NoColor,1,0)</formula>
    </cfRule>
  </conditionalFormatting>
  <conditionalFormatting sqref="D116:D117">
    <cfRule type="expression" dxfId="2238" priority="86">
      <formula>NOT(Draft)</formula>
    </cfRule>
  </conditionalFormatting>
  <conditionalFormatting sqref="D208">
    <cfRule type="expression" dxfId="2237" priority="109">
      <formula>IF(NoColor,1,0)</formula>
    </cfRule>
  </conditionalFormatting>
  <conditionalFormatting sqref="E15">
    <cfRule type="expression" dxfId="2236" priority="205">
      <formula>IF(NoColor,1,0)</formula>
    </cfRule>
  </conditionalFormatting>
  <conditionalFormatting sqref="E68">
    <cfRule type="expression" dxfId="2235" priority="192">
      <formula>IF(NoColor,1,0)</formula>
    </cfRule>
  </conditionalFormatting>
  <conditionalFormatting sqref="E129">
    <cfRule type="expression" dxfId="2234" priority="83">
      <formula>IF(NoColor,1,0)</formula>
    </cfRule>
  </conditionalFormatting>
  <conditionalFormatting sqref="E182">
    <cfRule type="expression" dxfId="2233" priority="124">
      <formula>IF(NoColor,1,0)</formula>
    </cfRule>
  </conditionalFormatting>
  <conditionalFormatting sqref="H15">
    <cfRule type="expression" dxfId="2232" priority="204">
      <formula>IF(NoColor,1,0)</formula>
    </cfRule>
  </conditionalFormatting>
  <conditionalFormatting sqref="H68">
    <cfRule type="expression" dxfId="2231" priority="191">
      <formula>IF(NoColor,1,0)</formula>
    </cfRule>
  </conditionalFormatting>
  <conditionalFormatting sqref="H129">
    <cfRule type="expression" dxfId="2230" priority="82">
      <formula>IF(NoColor,1,0)</formula>
    </cfRule>
  </conditionalFormatting>
  <conditionalFormatting sqref="H182">
    <cfRule type="expression" dxfId="2229" priority="123">
      <formula>IF(NoColor,1,0)</formula>
    </cfRule>
  </conditionalFormatting>
  <conditionalFormatting sqref="I31:I46">
    <cfRule type="expression" dxfId="2228" priority="196">
      <formula>IF(NoColor,1,0)</formula>
    </cfRule>
  </conditionalFormatting>
  <conditionalFormatting sqref="I145:I160">
    <cfRule type="expression" dxfId="2227" priority="128">
      <formula>IF(NoColor,1,0)</formula>
    </cfRule>
  </conditionalFormatting>
  <conditionalFormatting sqref="I12:U13">
    <cfRule type="expression" dxfId="2226" priority="206">
      <formula>IF(NoColor,1,0)</formula>
    </cfRule>
  </conditionalFormatting>
  <conditionalFormatting sqref="I126:U127">
    <cfRule type="expression" dxfId="2225" priority="138">
      <formula>IF(NoColor,1,0)</formula>
    </cfRule>
  </conditionalFormatting>
  <conditionalFormatting sqref="J52">
    <cfRule type="expression" dxfId="2224" priority="16">
      <formula>IF(NoColor,1,0)</formula>
    </cfRule>
  </conditionalFormatting>
  <conditionalFormatting sqref="J166">
    <cfRule type="expression" dxfId="2223" priority="18">
      <formula>IF(NoColor,1,0)</formula>
    </cfRule>
  </conditionalFormatting>
  <conditionalFormatting sqref="J94:L94">
    <cfRule type="expression" dxfId="2222" priority="175">
      <formula>IF(NoColor,1,0)</formula>
    </cfRule>
  </conditionalFormatting>
  <conditionalFormatting sqref="J208:L208">
    <cfRule type="expression" dxfId="2221" priority="107">
      <formula>IF(NoColor,1,0)</formula>
    </cfRule>
  </conditionalFormatting>
  <conditionalFormatting sqref="K15">
    <cfRule type="expression" dxfId="2220" priority="203">
      <formula>IF(NoColor,1,0)</formula>
    </cfRule>
  </conditionalFormatting>
  <conditionalFormatting sqref="K129">
    <cfRule type="expression" dxfId="2219" priority="81">
      <formula>IF(NoColor,1,0)</formula>
    </cfRule>
  </conditionalFormatting>
  <conditionalFormatting sqref="M7">
    <cfRule type="expression" dxfId="2218" priority="77">
      <formula>NoSSN</formula>
    </cfRule>
    <cfRule type="expression" dxfId="2217" priority="76">
      <formula>AND(NoSSN,NoColor)</formula>
    </cfRule>
  </conditionalFormatting>
  <conditionalFormatting sqref="M68">
    <cfRule type="expression" dxfId="2216" priority="190">
      <formula>IF(NoColor,1,0)</formula>
    </cfRule>
  </conditionalFormatting>
  <conditionalFormatting sqref="M91">
    <cfRule type="expression" dxfId="2215" priority="52">
      <formula>IF(NoColor,1,0)</formula>
    </cfRule>
  </conditionalFormatting>
  <conditionalFormatting sqref="M121">
    <cfRule type="expression" dxfId="2214" priority="55">
      <formula>AND(NoSSN,NoColor)</formula>
    </cfRule>
    <cfRule type="expression" dxfId="2213" priority="56">
      <formula>NoSSN</formula>
    </cfRule>
    <cfRule type="expression" dxfId="2212" priority="57">
      <formula>NoColor</formula>
    </cfRule>
  </conditionalFormatting>
  <conditionalFormatting sqref="M182">
    <cfRule type="expression" dxfId="2211" priority="122">
      <formula>IF(NoColor,1,0)</formula>
    </cfRule>
  </conditionalFormatting>
  <conditionalFormatting sqref="M205">
    <cfRule type="expression" dxfId="2210" priority="48">
      <formula>IF(NoColor,1,0)</formula>
    </cfRule>
  </conditionalFormatting>
  <conditionalFormatting sqref="M51:Q51">
    <cfRule type="expression" dxfId="2209" priority="17">
      <formula>IF(NoColor,1,0)</formula>
    </cfRule>
  </conditionalFormatting>
  <conditionalFormatting sqref="M165:Q165">
    <cfRule type="expression" dxfId="2208" priority="19">
      <formula>IF(NoColor,1,0)</formula>
    </cfRule>
  </conditionalFormatting>
  <conditionalFormatting sqref="N15:U15">
    <cfRule type="expression" dxfId="2207" priority="199">
      <formula>IF(NoColor,1,0)</formula>
    </cfRule>
  </conditionalFormatting>
  <conditionalFormatting sqref="N129:U129">
    <cfRule type="expression" dxfId="2206" priority="131">
      <formula>IF(NoColor,1,0)</formula>
    </cfRule>
  </conditionalFormatting>
  <conditionalFormatting sqref="P91">
    <cfRule type="expression" dxfId="2205" priority="50">
      <formula>IF(NoColor,1,0)</formula>
    </cfRule>
  </conditionalFormatting>
  <conditionalFormatting sqref="P205">
    <cfRule type="expression" dxfId="2204" priority="47">
      <formula>IF(NoColor,1,0)</formula>
    </cfRule>
  </conditionalFormatting>
  <conditionalFormatting sqref="P9:U9">
    <cfRule type="expression" dxfId="2203" priority="208">
      <formula>IF(NoColor,1,0)</formula>
    </cfRule>
  </conditionalFormatting>
  <conditionalFormatting sqref="P123:U123">
    <cfRule type="expression" dxfId="2202" priority="140">
      <formula>IF(NoColor,1,0)</formula>
    </cfRule>
  </conditionalFormatting>
  <conditionalFormatting sqref="Q2">
    <cfRule type="expression" dxfId="2201" priority="144">
      <formula>NOT(Draft)</formula>
    </cfRule>
  </conditionalFormatting>
  <conditionalFormatting sqref="Q23">
    <cfRule type="expression" dxfId="2200" priority="198">
      <formula>IF(NoColor,1,0)</formula>
    </cfRule>
  </conditionalFormatting>
  <conditionalFormatting sqref="Q70">
    <cfRule type="expression" dxfId="2199" priority="188">
      <formula>IF(NoColor,1,0)</formula>
    </cfRule>
  </conditionalFormatting>
  <conditionalFormatting sqref="Q94">
    <cfRule type="expression" dxfId="2198" priority="174">
      <formula>IF(NoColor,1,0)</formula>
    </cfRule>
  </conditionalFormatting>
  <conditionalFormatting sqref="Q96">
    <cfRule type="expression" dxfId="2197" priority="185">
      <formula>IF(NoColor,1,0)</formula>
    </cfRule>
  </conditionalFormatting>
  <conditionalFormatting sqref="Q98">
    <cfRule type="expression" dxfId="2196" priority="186">
      <formula>IF(NoColor,1,0)</formula>
    </cfRule>
  </conditionalFormatting>
  <conditionalFormatting sqref="Q100">
    <cfRule type="expression" dxfId="2195" priority="184">
      <formula>IF(NoColor,1,0)</formula>
    </cfRule>
  </conditionalFormatting>
  <conditionalFormatting sqref="Q102">
    <cfRule type="expression" dxfId="2194" priority="183">
      <formula>IF(NoColor,1,0)</formula>
    </cfRule>
  </conditionalFormatting>
  <conditionalFormatting sqref="Q116">
    <cfRule type="expression" dxfId="2193" priority="85">
      <formula>NOT(Draft)</formula>
    </cfRule>
  </conditionalFormatting>
  <conditionalFormatting sqref="Q137">
    <cfRule type="expression" dxfId="2192" priority="130">
      <formula>IF(NoColor,1,0)</formula>
    </cfRule>
  </conditionalFormatting>
  <conditionalFormatting sqref="Q184">
    <cfRule type="expression" dxfId="2191" priority="78">
      <formula>IF(NoColor,1,0)</formula>
    </cfRule>
  </conditionalFormatting>
  <conditionalFormatting sqref="Q208">
    <cfRule type="expression" dxfId="2190" priority="106">
      <formula>IF(NoColor,1,0)</formula>
    </cfRule>
  </conditionalFormatting>
  <conditionalFormatting sqref="Q210">
    <cfRule type="expression" dxfId="2189" priority="117">
      <formula>IF(NoColor,1,0)</formula>
    </cfRule>
  </conditionalFormatting>
  <conditionalFormatting sqref="Q212">
    <cfRule type="expression" dxfId="2188" priority="118">
      <formula>IF(NoColor,1,0)</formula>
    </cfRule>
  </conditionalFormatting>
  <conditionalFormatting sqref="Q214">
    <cfRule type="expression" dxfId="2187" priority="116">
      <formula>IF(NoColor,1,0)</formula>
    </cfRule>
  </conditionalFormatting>
  <conditionalFormatting sqref="Q216">
    <cfRule type="expression" dxfId="2186" priority="115">
      <formula>IF(NoColor,1,0)</formula>
    </cfRule>
  </conditionalFormatting>
  <conditionalFormatting sqref="R17:R20">
    <cfRule type="expression" dxfId="2185" priority="202">
      <formula>IF(NoColor,1,0)</formula>
    </cfRule>
  </conditionalFormatting>
  <conditionalFormatting sqref="R59:R60">
    <cfRule type="expression" dxfId="2184" priority="193">
      <formula>IF(NoColor,1,0)</formula>
    </cfRule>
  </conditionalFormatting>
  <conditionalFormatting sqref="R131:R134">
    <cfRule type="expression" dxfId="2183" priority="134">
      <formula>IF(NoColor,1,0)</formula>
    </cfRule>
  </conditionalFormatting>
  <conditionalFormatting sqref="R173:R174">
    <cfRule type="expression" dxfId="2182" priority="125">
      <formula>IF(NoColor,1,0)</formula>
    </cfRule>
  </conditionalFormatting>
  <conditionalFormatting sqref="S91">
    <cfRule type="expression" dxfId="2181" priority="49">
      <formula>IF(NoColor,1,0)</formula>
    </cfRule>
  </conditionalFormatting>
  <conditionalFormatting sqref="S205">
    <cfRule type="expression" dxfId="2180" priority="46">
      <formula>IF(NoColor,1,0)</formula>
    </cfRule>
  </conditionalFormatting>
  <conditionalFormatting sqref="T17">
    <cfRule type="expression" dxfId="2179" priority="200">
      <formula>IF(NoColor,1,0)</formula>
    </cfRule>
  </conditionalFormatting>
  <conditionalFormatting sqref="T19:T20">
    <cfRule type="expression" dxfId="2178" priority="201">
      <formula>IF(NoColor,1,0)</formula>
    </cfRule>
  </conditionalFormatting>
  <conditionalFormatting sqref="T70">
    <cfRule type="expression" dxfId="2177" priority="84">
      <formula>IF(NoColor,1,0)</formula>
    </cfRule>
  </conditionalFormatting>
  <conditionalFormatting sqref="T96">
    <cfRule type="expression" dxfId="2176" priority="181">
      <formula>IF(NoColor,1,0)</formula>
    </cfRule>
  </conditionalFormatting>
  <conditionalFormatting sqref="T98">
    <cfRule type="expression" dxfId="2175" priority="182">
      <formula>IF(NoColor,1,0)</formula>
    </cfRule>
  </conditionalFormatting>
  <conditionalFormatting sqref="T100">
    <cfRule type="expression" dxfId="2174" priority="180">
      <formula>IF(NoColor,1,0)</formula>
    </cfRule>
  </conditionalFormatting>
  <conditionalFormatting sqref="T102">
    <cfRule type="expression" dxfId="2173" priority="179">
      <formula>IF(NoColor,1,0)</formula>
    </cfRule>
  </conditionalFormatting>
  <conditionalFormatting sqref="T131">
    <cfRule type="expression" dxfId="2172" priority="132">
      <formula>IF(NoColor,1,0)</formula>
    </cfRule>
  </conditionalFormatting>
  <conditionalFormatting sqref="T133:T134">
    <cfRule type="expression" dxfId="2171" priority="133">
      <formula>IF(NoColor,1,0)</formula>
    </cfRule>
  </conditionalFormatting>
  <conditionalFormatting sqref="T184">
    <cfRule type="expression" dxfId="2170" priority="79">
      <formula>IF(NoColor,1,0)</formula>
    </cfRule>
  </conditionalFormatting>
  <conditionalFormatting sqref="T210">
    <cfRule type="expression" dxfId="2169" priority="113">
      <formula>IF(NoColor,1,0)</formula>
    </cfRule>
  </conditionalFormatting>
  <conditionalFormatting sqref="T212">
    <cfRule type="expression" dxfId="2168" priority="114">
      <formula>IF(NoColor,1,0)</formula>
    </cfRule>
  </conditionalFormatting>
  <conditionalFormatting sqref="T214">
    <cfRule type="expression" dxfId="2167" priority="112">
      <formula>IF(NoColor,1,0)</formula>
    </cfRule>
  </conditionalFormatting>
  <conditionalFormatting sqref="T216">
    <cfRule type="expression" dxfId="2166" priority="111">
      <formula>IF(NoColor,1,0)</formula>
    </cfRule>
  </conditionalFormatting>
  <conditionalFormatting sqref="T23:U29">
    <cfRule type="expression" dxfId="2165" priority="166">
      <formula>IF(NoColor,1,0)</formula>
    </cfRule>
  </conditionalFormatting>
  <conditionalFormatting sqref="T31:U52">
    <cfRule type="expression" dxfId="2164" priority="25">
      <formula>IF(NoColor,1,0)</formula>
    </cfRule>
  </conditionalFormatting>
  <conditionalFormatting sqref="T53:U55">
    <cfRule type="expression" dxfId="2163" priority="23">
      <formula>NoColor</formula>
    </cfRule>
  </conditionalFormatting>
  <conditionalFormatting sqref="T56:U56">
    <cfRule type="expression" dxfId="2162" priority="22">
      <formula>IF(NoColor,1,0)</formula>
    </cfRule>
  </conditionalFormatting>
  <conditionalFormatting sqref="T72:U86">
    <cfRule type="expression" dxfId="2161" priority="187">
      <formula>IF(NoColor,1,0)</formula>
    </cfRule>
  </conditionalFormatting>
  <conditionalFormatting sqref="T114:U114">
    <cfRule type="expression" dxfId="2160" priority="172">
      <formula>IF(NoColor,1,0)</formula>
    </cfRule>
  </conditionalFormatting>
  <conditionalFormatting sqref="T137:U143">
    <cfRule type="expression" dxfId="2159" priority="100">
      <formula>IF(NoColor,1,0)</formula>
    </cfRule>
  </conditionalFormatting>
  <conditionalFormatting sqref="T145:U166">
    <cfRule type="expression" dxfId="2158" priority="37">
      <formula>IF(NoColor,1,0)</formula>
    </cfRule>
  </conditionalFormatting>
  <conditionalFormatting sqref="T167:U167">
    <cfRule type="expression" dxfId="2157" priority="1">
      <formula>NoColor</formula>
    </cfRule>
  </conditionalFormatting>
  <conditionalFormatting sqref="T168:U170">
    <cfRule type="expression" dxfId="2156" priority="2">
      <formula>IF(NoColor,1,0)</formula>
    </cfRule>
  </conditionalFormatting>
  <conditionalFormatting sqref="T186:U200">
    <cfRule type="expression" dxfId="2155" priority="119">
      <formula>IF(NoColor,1,0)</formula>
    </cfRule>
  </conditionalFormatting>
  <conditionalFormatting sqref="T228:U228">
    <cfRule type="expression" dxfId="2154" priority="104">
      <formula>IF(NoColor,1,0)</formula>
    </cfRule>
  </conditionalFormatting>
  <conditionalFormatting sqref="V49">
    <cfRule type="expression" dxfId="2153" priority="35">
      <formula>$Y$49</formula>
    </cfRule>
  </conditionalFormatting>
  <conditionalFormatting sqref="V163">
    <cfRule type="expression" dxfId="2152" priority="33">
      <formula>$Y$163</formula>
    </cfRule>
  </conditionalFormatting>
  <conditionalFormatting sqref="W49">
    <cfRule type="expression" dxfId="2151" priority="34">
      <formula>$Y$49</formula>
    </cfRule>
  </conditionalFormatting>
  <conditionalFormatting sqref="W58">
    <cfRule type="expression" dxfId="2150" priority="162">
      <formula>(Y68)</formula>
    </cfRule>
  </conditionalFormatting>
  <conditionalFormatting sqref="W59">
    <cfRule type="expression" dxfId="2149" priority="157">
      <formula>IF($Y$68,1,0)</formula>
    </cfRule>
  </conditionalFormatting>
  <conditionalFormatting sqref="W60:W61">
    <cfRule type="expression" dxfId="2148" priority="156">
      <formula>IF($Y$67,1,0)</formula>
    </cfRule>
  </conditionalFormatting>
  <conditionalFormatting sqref="W94:W95">
    <cfRule type="expression" dxfId="2147" priority="147">
      <formula>IF($Y$94,1,0)</formula>
    </cfRule>
  </conditionalFormatting>
  <conditionalFormatting sqref="W96">
    <cfRule type="expression" dxfId="2146" priority="155">
      <formula>IF(Y96,1,0)</formula>
    </cfRule>
  </conditionalFormatting>
  <conditionalFormatting sqref="W98">
    <cfRule type="expression" dxfId="2145" priority="151">
      <formula>IF(Y98,1,0)</formula>
    </cfRule>
  </conditionalFormatting>
  <conditionalFormatting sqref="W100">
    <cfRule type="expression" dxfId="2144" priority="150">
      <formula>IF(Y100,1,0)</formula>
    </cfRule>
  </conditionalFormatting>
  <conditionalFormatting sqref="W102">
    <cfRule type="expression" dxfId="2143" priority="149">
      <formula>IF(Y102,1,0)</formula>
    </cfRule>
  </conditionalFormatting>
  <conditionalFormatting sqref="W163">
    <cfRule type="expression" dxfId="2142" priority="32">
      <formula>$Y$163</formula>
    </cfRule>
  </conditionalFormatting>
  <conditionalFormatting sqref="W172">
    <cfRule type="expression" dxfId="2141" priority="62">
      <formula>(Y180)</formula>
    </cfRule>
  </conditionalFormatting>
  <conditionalFormatting sqref="W173">
    <cfRule type="expression" dxfId="2140" priority="95">
      <formula>(Y180)</formula>
    </cfRule>
  </conditionalFormatting>
  <conditionalFormatting sqref="W174">
    <cfRule type="expression" dxfId="2139" priority="94">
      <formula>(Y179)</formula>
    </cfRule>
  </conditionalFormatting>
  <conditionalFormatting sqref="W208:W209">
    <cfRule type="expression" dxfId="2138" priority="88">
      <formula>IF($Y$94,1,0)</formula>
    </cfRule>
  </conditionalFormatting>
  <conditionalFormatting sqref="W210">
    <cfRule type="expression" dxfId="2137" priority="93">
      <formula>IF(Y210,1,0)</formula>
    </cfRule>
  </conditionalFormatting>
  <conditionalFormatting sqref="W212">
    <cfRule type="expression" dxfId="2136" priority="92">
      <formula>IF(Y212,1,0)</formula>
    </cfRule>
  </conditionalFormatting>
  <conditionalFormatting sqref="W214">
    <cfRule type="expression" dxfId="2135" priority="91">
      <formula>IF(Y214,1,0)</formula>
    </cfRule>
  </conditionalFormatting>
  <conditionalFormatting sqref="W216">
    <cfRule type="expression" dxfId="2134" priority="90">
      <formula>IF(Y216,1,0)</formula>
    </cfRule>
  </conditionalFormatting>
  <conditionalFormatting sqref="X49">
    <cfRule type="expression" priority="36">
      <formula>$Y$48</formula>
    </cfRule>
  </conditionalFormatting>
  <conditionalFormatting sqref="AA52:AA57">
    <cfRule type="expression" dxfId="2133" priority="8">
      <formula>NoColor</formula>
    </cfRule>
  </conditionalFormatting>
  <conditionalFormatting sqref="AA59:AA63">
    <cfRule type="expression" dxfId="2132" priority="13">
      <formula>NoColor</formula>
    </cfRule>
  </conditionalFormatting>
  <conditionalFormatting sqref="AA166:AA171">
    <cfRule type="expression" dxfId="2131" priority="4">
      <formula>NoColor</formula>
    </cfRule>
  </conditionalFormatting>
  <conditionalFormatting sqref="AA173:AA177">
    <cfRule type="expression" dxfId="2130" priority="6">
      <formula>NoColor</formula>
    </cfRule>
  </conditionalFormatting>
  <conditionalFormatting sqref="AB57">
    <cfRule type="expression" dxfId="2129" priority="9">
      <formula>J52&gt;Q50</formula>
    </cfRule>
  </conditionalFormatting>
  <conditionalFormatting sqref="AB171">
    <cfRule type="expression" dxfId="2128" priority="5">
      <formula>J166&gt;Q164</formula>
    </cfRule>
  </conditionalFormatting>
  <hyperlinks>
    <hyperlink ref="C233:G233" r:id="rId1" display="Download Form 1040 Schedule C" xr:uid="{00000000-0004-0000-1B00-000000000000}"/>
    <hyperlink ref="C235:G235" r:id="rId2" display="Download Form 1040 Schedule C Instructions" xr:uid="{00000000-0004-0000-1B00-000001000000}"/>
  </hyperlinks>
  <printOptions horizontalCentered="1"/>
  <pageMargins left="0.25" right="0.2" top="0.6" bottom="0.27" header="0" footer="0"/>
  <pageSetup scale="83" fitToHeight="0" orientation="portrait" r:id="rId3"/>
  <headerFooter alignWithMargins="0"/>
  <rowBreaks count="3" manualBreakCount="3">
    <brk id="63" min="1" max="20" man="1"/>
    <brk id="115" min="1" max="20" man="1"/>
    <brk id="177" min="1" max="20" man="1"/>
  </rowBreaks>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8">
    <pageSetUpPr fitToPage="1"/>
  </sheetPr>
  <dimension ref="A1:BI114"/>
  <sheetViews>
    <sheetView zoomScale="110" zoomScaleNormal="110" zoomScaleSheetLayoutView="100" workbookViewId="0">
      <selection activeCell="K10" sqref="K10"/>
    </sheetView>
  </sheetViews>
  <sheetFormatPr defaultRowHeight="12.75"/>
  <cols>
    <col min="1" max="1" width="8" style="6108" customWidth="1"/>
    <col min="2" max="2" width="3.5703125" customWidth="1"/>
    <col min="3" max="3" width="2.5703125" customWidth="1"/>
    <col min="4" max="4" width="3" customWidth="1"/>
    <col min="5" max="5" width="13.42578125" customWidth="1"/>
    <col min="6" max="6" width="10.42578125" customWidth="1"/>
    <col min="7" max="7" width="15.5703125" customWidth="1"/>
    <col min="8" max="8" width="10" customWidth="1"/>
    <col min="9" max="9" width="5.140625" customWidth="1"/>
    <col min="10" max="10" width="16" customWidth="1"/>
    <col min="11" max="11" width="2.42578125" customWidth="1"/>
    <col min="12" max="12" width="10.5703125" customWidth="1"/>
    <col min="13" max="13" width="4.140625" customWidth="1"/>
    <col min="14" max="14" width="3" customWidth="1"/>
    <col min="15" max="15" width="13.28515625" customWidth="1"/>
    <col min="16" max="16" width="3.28515625" customWidth="1"/>
    <col min="17" max="17" width="1.42578125" customWidth="1"/>
    <col min="18" max="18" width="3.140625" customWidth="1"/>
    <col min="19" max="19" width="13.28515625" customWidth="1"/>
    <col min="20" max="20" width="1.5703125" customWidth="1"/>
    <col min="21" max="23" width="15.140625" customWidth="1"/>
    <col min="24" max="25" width="4.28515625" customWidth="1"/>
    <col min="26" max="30" width="7.7109375" style="3" hidden="1" customWidth="1"/>
    <col min="31" max="31" width="4.28515625" hidden="1" customWidth="1"/>
    <col min="32" max="35" width="7.7109375" style="3" hidden="1" customWidth="1"/>
    <col min="36" max="36" width="4.28515625" hidden="1" customWidth="1"/>
    <col min="37" max="40" width="7.7109375" style="3" hidden="1" customWidth="1"/>
    <col min="41" max="41" width="4.28515625" hidden="1" customWidth="1"/>
    <col min="42" max="45" width="7.7109375" style="3" hidden="1" customWidth="1"/>
    <col min="46" max="46" width="4.28515625" hidden="1" customWidth="1"/>
    <col min="47" max="50" width="7.7109375" style="3" hidden="1" customWidth="1"/>
    <col min="51" max="51" width="4.28515625" customWidth="1"/>
    <col min="52" max="61" width="10.7109375" style="2595" customWidth="1"/>
  </cols>
  <sheetData>
    <row r="1" spans="1:61" ht="16.5" customHeight="1">
      <c r="A1" s="1232"/>
      <c r="B1" s="78"/>
      <c r="C1" s="78"/>
      <c r="D1" s="78"/>
      <c r="E1" s="78"/>
      <c r="F1" s="78"/>
      <c r="G1" s="78"/>
      <c r="H1" s="78"/>
      <c r="I1" s="78"/>
      <c r="J1" s="78"/>
      <c r="K1" s="78"/>
      <c r="L1" s="78"/>
      <c r="M1" s="78"/>
      <c r="N1" s="78"/>
      <c r="O1" s="78"/>
      <c r="P1" s="78"/>
      <c r="Q1" s="78"/>
      <c r="R1" s="1210"/>
      <c r="S1" s="78"/>
      <c r="T1" s="78"/>
      <c r="AZ1" s="2594" t="s">
        <v>2033</v>
      </c>
    </row>
    <row r="2" spans="1:61" s="613" customFormat="1" ht="12.75" customHeight="1">
      <c r="A2" s="6107"/>
      <c r="B2" s="591" t="s">
        <v>400</v>
      </c>
      <c r="C2" s="693"/>
      <c r="D2" s="3548"/>
      <c r="E2" s="374"/>
      <c r="F2" s="3269"/>
      <c r="G2" s="7178" t="s">
        <v>401</v>
      </c>
      <c r="H2" s="7178"/>
      <c r="I2" s="7178"/>
      <c r="J2" s="7178"/>
      <c r="K2" s="7178"/>
      <c r="L2" s="3320"/>
      <c r="M2" s="7170" t="s">
        <v>85</v>
      </c>
      <c r="N2" s="7171"/>
      <c r="O2" s="7171"/>
      <c r="P2" s="7171"/>
      <c r="Q2" s="3549"/>
      <c r="R2" s="3550"/>
      <c r="S2" s="3551" t="s">
        <v>90</v>
      </c>
      <c r="T2" s="655"/>
      <c r="U2" s="575"/>
      <c r="V2" s="575"/>
      <c r="W2" s="575"/>
      <c r="X2" s="3552"/>
      <c r="Z2" s="1260"/>
      <c r="AA2" s="1259"/>
      <c r="AB2" s="1259"/>
      <c r="AC2" s="1259"/>
      <c r="AD2" s="1264"/>
      <c r="AF2" s="1260"/>
      <c r="AG2" s="1259"/>
      <c r="AH2" s="1259"/>
      <c r="AI2" s="1259"/>
      <c r="AK2" s="1260"/>
      <c r="AL2" s="1259"/>
      <c r="AM2" s="1259"/>
      <c r="AN2" s="1259"/>
      <c r="AP2" s="1260"/>
      <c r="AQ2" s="1259"/>
      <c r="AR2" s="1259"/>
      <c r="AS2" s="1259"/>
      <c r="AU2" s="1260"/>
      <c r="AV2" s="1259"/>
      <c r="AW2" s="1259"/>
      <c r="AX2" s="1259"/>
      <c r="AZ2" s="2602"/>
      <c r="BA2" s="2602"/>
      <c r="BB2" s="2602"/>
      <c r="BC2" s="2602"/>
      <c r="BD2" s="2602"/>
      <c r="BE2" s="2602"/>
      <c r="BF2" s="2602"/>
      <c r="BG2" s="2602"/>
      <c r="BH2" s="2602"/>
      <c r="BI2" s="2602"/>
    </row>
    <row r="3" spans="1:61" ht="14.25" customHeight="1">
      <c r="A3" s="1232"/>
      <c r="B3" s="4181" t="s">
        <v>3973</v>
      </c>
      <c r="C3" s="599"/>
      <c r="D3" s="167"/>
      <c r="E3" s="161"/>
      <c r="F3" s="3266"/>
      <c r="G3" s="7178"/>
      <c r="H3" s="7178"/>
      <c r="I3" s="7178"/>
      <c r="J3" s="7178"/>
      <c r="K3" s="7178"/>
      <c r="L3" s="3265"/>
      <c r="M3" s="7122">
        <f>TaxYear</f>
        <v>2021</v>
      </c>
      <c r="N3" s="7123"/>
      <c r="O3" s="7123"/>
      <c r="P3" s="7123"/>
      <c r="Q3" s="56"/>
      <c r="R3" s="1211"/>
      <c r="S3" s="1126" t="s">
        <v>411</v>
      </c>
      <c r="T3" s="78"/>
      <c r="U3" s="235"/>
      <c r="V3" s="261"/>
      <c r="W3" s="261"/>
      <c r="X3" s="260"/>
      <c r="Z3" s="519"/>
      <c r="AA3" s="235"/>
      <c r="AB3" s="235"/>
      <c r="AC3" s="235"/>
      <c r="AF3" s="519"/>
      <c r="AG3" s="235"/>
      <c r="AH3" s="235"/>
      <c r="AI3" s="235"/>
      <c r="AK3" s="519"/>
      <c r="AL3" s="235"/>
      <c r="AM3" s="235"/>
      <c r="AN3" s="235"/>
      <c r="AP3" s="519"/>
      <c r="AQ3" s="235"/>
      <c r="AR3" s="235"/>
      <c r="AS3" s="235"/>
      <c r="AU3" s="519"/>
      <c r="AV3" s="235"/>
      <c r="AW3" s="235"/>
      <c r="AX3" s="235"/>
    </row>
    <row r="4" spans="1:61" ht="14.25" customHeight="1">
      <c r="A4" s="1232"/>
      <c r="B4" s="3319"/>
      <c r="C4" s="599"/>
      <c r="D4" s="161"/>
      <c r="E4" s="167"/>
      <c r="F4" s="6920" t="s">
        <v>3463</v>
      </c>
      <c r="G4" s="7003"/>
      <c r="H4" s="7003"/>
      <c r="I4" s="7003"/>
      <c r="J4" s="7003"/>
      <c r="K4" s="7003"/>
      <c r="L4" s="7097"/>
      <c r="M4" s="7122"/>
      <c r="N4" s="7123"/>
      <c r="O4" s="7123"/>
      <c r="P4" s="7123"/>
      <c r="Q4" s="56"/>
      <c r="R4" s="1211"/>
      <c r="S4" s="78"/>
      <c r="T4" s="78"/>
      <c r="U4" s="261"/>
      <c r="V4" s="261"/>
      <c r="W4" s="261"/>
      <c r="X4" s="260"/>
      <c r="Z4" s="519"/>
      <c r="AA4" s="235"/>
      <c r="AB4" s="235"/>
      <c r="AC4" s="235"/>
      <c r="AF4" s="519"/>
      <c r="AG4" s="235"/>
      <c r="AH4" s="235"/>
      <c r="AI4" s="235"/>
      <c r="AK4" s="519"/>
      <c r="AL4" s="235"/>
      <c r="AM4" s="235"/>
      <c r="AN4" s="235"/>
      <c r="AP4" s="519"/>
      <c r="AQ4" s="235"/>
      <c r="AR4" s="235"/>
      <c r="AS4" s="235"/>
      <c r="AU4" s="519"/>
      <c r="AV4" s="235"/>
      <c r="AW4" s="235"/>
      <c r="AX4" s="235"/>
    </row>
    <row r="5" spans="1:61" ht="12.75" customHeight="1">
      <c r="A5" s="1232"/>
      <c r="B5" s="21" t="s">
        <v>176</v>
      </c>
      <c r="C5" s="21"/>
      <c r="D5" s="167"/>
      <c r="E5" s="161"/>
      <c r="F5" s="6870" t="s">
        <v>4401</v>
      </c>
      <c r="G5" s="7179"/>
      <c r="H5" s="7179"/>
      <c r="I5" s="7179"/>
      <c r="J5" s="7179"/>
      <c r="K5" s="7179"/>
      <c r="L5" s="7180"/>
      <c r="M5" s="4191"/>
      <c r="N5" s="4640"/>
      <c r="O5" s="4641" t="s">
        <v>2790</v>
      </c>
      <c r="P5" s="7134">
        <v>12</v>
      </c>
      <c r="Q5" s="1185"/>
      <c r="R5" s="1212"/>
      <c r="S5" s="78"/>
      <c r="T5" s="78"/>
      <c r="U5" s="261"/>
      <c r="V5" s="261"/>
      <c r="W5" s="261"/>
      <c r="X5" s="260"/>
      <c r="Z5" s="519"/>
      <c r="AA5" s="235"/>
      <c r="AB5" s="235"/>
      <c r="AC5" s="235"/>
      <c r="AF5" s="519"/>
      <c r="AG5" s="235"/>
      <c r="AH5" s="235"/>
      <c r="AI5" s="235"/>
      <c r="AK5" s="519"/>
      <c r="AL5" s="235"/>
      <c r="AM5" s="235"/>
      <c r="AN5" s="235"/>
      <c r="AP5" s="519"/>
      <c r="AQ5" s="235"/>
      <c r="AR5" s="235"/>
      <c r="AS5" s="235"/>
      <c r="AU5" s="519"/>
      <c r="AV5" s="235"/>
      <c r="AW5" s="235"/>
      <c r="AX5" s="235"/>
    </row>
    <row r="6" spans="1:61" ht="13.5" customHeight="1" thickBot="1">
      <c r="A6" s="1232"/>
      <c r="B6" s="1061" t="s">
        <v>229</v>
      </c>
      <c r="C6" s="21"/>
      <c r="D6" s="167"/>
      <c r="E6" s="161"/>
      <c r="F6" s="4838" t="s">
        <v>784</v>
      </c>
      <c r="G6" s="4839"/>
      <c r="H6" s="4840"/>
      <c r="I6" s="4840"/>
      <c r="J6" s="4841"/>
      <c r="K6" s="4842"/>
      <c r="L6" s="4842"/>
      <c r="M6" s="4199"/>
      <c r="N6" s="5681"/>
      <c r="O6" s="5682" t="s">
        <v>3462</v>
      </c>
      <c r="P6" s="7134"/>
      <c r="Q6" s="4192"/>
      <c r="R6" s="1213"/>
      <c r="S6" s="78"/>
      <c r="T6" s="78"/>
      <c r="U6" s="5"/>
      <c r="V6" s="5"/>
      <c r="W6" s="5"/>
      <c r="X6" s="260"/>
      <c r="Z6" s="519"/>
      <c r="AA6" s="235"/>
      <c r="AB6" s="235"/>
      <c r="AC6" s="235"/>
      <c r="AF6" s="519"/>
      <c r="AG6" s="235"/>
      <c r="AH6" s="235"/>
      <c r="AI6" s="235"/>
      <c r="AK6" s="519"/>
      <c r="AL6" s="235"/>
      <c r="AM6" s="235"/>
      <c r="AN6" s="235"/>
      <c r="AP6" s="519"/>
      <c r="AQ6" s="235"/>
      <c r="AR6" s="235"/>
      <c r="AS6" s="235"/>
      <c r="AU6" s="519"/>
      <c r="AV6" s="235"/>
      <c r="AW6" s="235"/>
      <c r="AX6" s="235"/>
    </row>
    <row r="7" spans="1:61" ht="11.25" customHeight="1" thickTop="1">
      <c r="A7" s="1232"/>
      <c r="B7" s="3780" t="s">
        <v>55</v>
      </c>
      <c r="C7" s="3780"/>
      <c r="D7" s="3781"/>
      <c r="E7" s="3781"/>
      <c r="F7" s="3781"/>
      <c r="G7" s="58"/>
      <c r="H7" s="57"/>
      <c r="I7" s="57"/>
      <c r="J7" s="4221"/>
      <c r="K7" s="57"/>
      <c r="L7" s="7118" t="s">
        <v>89</v>
      </c>
      <c r="M7" s="7119"/>
      <c r="N7" s="7119"/>
      <c r="O7" s="7119"/>
      <c r="P7" s="7119"/>
      <c r="Q7" s="35"/>
      <c r="R7" s="1214"/>
      <c r="S7" s="78"/>
      <c r="T7" s="78"/>
      <c r="U7" s="5"/>
      <c r="V7" s="5"/>
      <c r="W7" s="236"/>
      <c r="X7" s="236"/>
      <c r="Z7" s="235"/>
      <c r="AA7" s="235"/>
      <c r="AB7" s="235"/>
      <c r="AC7" s="235"/>
      <c r="AF7" s="235"/>
      <c r="AG7" s="235"/>
      <c r="AH7" s="235"/>
      <c r="AI7" s="235"/>
      <c r="AK7" s="235"/>
      <c r="AL7" s="235"/>
      <c r="AM7" s="235"/>
      <c r="AN7" s="235"/>
      <c r="AP7" s="235"/>
      <c r="AQ7" s="235"/>
      <c r="AR7" s="235"/>
      <c r="AS7" s="235"/>
      <c r="AU7" s="235"/>
      <c r="AV7" s="235"/>
      <c r="AW7" s="235"/>
      <c r="AX7" s="235"/>
    </row>
    <row r="8" spans="1:61" ht="14.25" customHeight="1" thickBot="1">
      <c r="A8" s="1232"/>
      <c r="B8" s="1321" t="str">
        <f>Names</f>
        <v/>
      </c>
      <c r="C8" s="1322"/>
      <c r="D8" s="1323"/>
      <c r="E8" s="1323"/>
      <c r="F8" s="1323"/>
      <c r="G8" s="1324"/>
      <c r="H8" s="1325"/>
      <c r="I8" s="1325"/>
      <c r="J8" s="1326"/>
      <c r="K8" s="1325"/>
      <c r="L8" s="7120">
        <f>IF(NoSSN,"",SS_Yours)</f>
        <v>1010001</v>
      </c>
      <c r="M8" s="7121"/>
      <c r="N8" s="7121"/>
      <c r="O8" s="7121"/>
      <c r="P8" s="7121"/>
      <c r="Q8" s="282"/>
      <c r="R8" s="1215"/>
      <c r="S8" s="78"/>
      <c r="T8" s="78"/>
      <c r="U8" s="5"/>
      <c r="V8" s="5"/>
      <c r="W8" s="236"/>
      <c r="X8" s="236"/>
      <c r="Z8" s="7135" t="s">
        <v>767</v>
      </c>
      <c r="AA8" s="7135"/>
      <c r="AB8" s="7135"/>
      <c r="AC8" s="7135"/>
      <c r="AD8" s="6290"/>
      <c r="AF8" s="7135" t="s">
        <v>763</v>
      </c>
      <c r="AG8" s="7135"/>
      <c r="AH8" s="7135"/>
      <c r="AI8" s="7135"/>
      <c r="AK8" s="7135" t="s">
        <v>764</v>
      </c>
      <c r="AL8" s="7135"/>
      <c r="AM8" s="7135"/>
      <c r="AN8" s="7135"/>
      <c r="AP8" s="7135" t="s">
        <v>765</v>
      </c>
      <c r="AQ8" s="7135"/>
      <c r="AR8" s="7135"/>
      <c r="AS8" s="7135"/>
      <c r="AU8" s="7135" t="s">
        <v>766</v>
      </c>
      <c r="AV8" s="7135"/>
      <c r="AW8" s="7135"/>
      <c r="AX8" s="7135"/>
    </row>
    <row r="9" spans="1:61" ht="4.5" customHeight="1" thickBot="1">
      <c r="A9" s="1232"/>
      <c r="B9" s="4200"/>
      <c r="C9" s="325"/>
      <c r="D9" s="159"/>
      <c r="E9" s="159"/>
      <c r="F9" s="4201"/>
      <c r="G9" s="4202"/>
      <c r="H9" s="4203"/>
      <c r="I9" s="4203"/>
      <c r="J9" s="4204"/>
      <c r="K9" s="4205"/>
      <c r="L9" s="4205"/>
      <c r="M9" s="4206"/>
      <c r="N9" s="4206"/>
      <c r="O9" s="4207"/>
      <c r="P9" s="4208"/>
      <c r="Q9" s="4192"/>
      <c r="R9" s="1213"/>
      <c r="S9" s="78"/>
      <c r="T9" s="78"/>
      <c r="U9" s="5"/>
      <c r="V9" s="5"/>
      <c r="W9" s="5"/>
      <c r="X9" s="260"/>
      <c r="Z9" s="519"/>
      <c r="AA9" s="235"/>
      <c r="AB9" s="235"/>
      <c r="AC9" s="235"/>
      <c r="AF9" s="519"/>
      <c r="AG9" s="235"/>
      <c r="AH9" s="235"/>
      <c r="AI9" s="235"/>
      <c r="AK9" s="519"/>
      <c r="AL9" s="235"/>
      <c r="AM9" s="235"/>
      <c r="AN9" s="235"/>
      <c r="AP9" s="519"/>
      <c r="AQ9" s="235"/>
      <c r="AR9" s="235"/>
      <c r="AS9" s="235"/>
      <c r="AU9" s="519"/>
      <c r="AV9" s="235"/>
      <c r="AW9" s="235"/>
      <c r="AX9" s="235"/>
    </row>
    <row r="10" spans="1:61" ht="13.5" customHeight="1" thickBot="1">
      <c r="A10" s="1232"/>
      <c r="B10" s="3716" t="s">
        <v>3464</v>
      </c>
      <c r="C10" s="21"/>
      <c r="D10" s="161"/>
      <c r="E10" s="161"/>
      <c r="F10" s="4193"/>
      <c r="G10" s="4194"/>
      <c r="H10" s="4195"/>
      <c r="I10" s="4195"/>
      <c r="J10" s="4196"/>
      <c r="K10" s="4218"/>
      <c r="L10" s="4217" t="s">
        <v>271</v>
      </c>
      <c r="M10" s="4197"/>
      <c r="N10" s="4218"/>
      <c r="O10" s="4217" t="s">
        <v>272</v>
      </c>
      <c r="P10" s="4198"/>
      <c r="Q10" s="4192"/>
      <c r="R10" s="1213"/>
      <c r="S10" s="78"/>
      <c r="T10" s="78"/>
      <c r="U10" s="5"/>
      <c r="V10" s="5"/>
      <c r="W10" s="5"/>
      <c r="X10" s="260"/>
      <c r="Z10" s="519"/>
      <c r="AA10" s="235"/>
      <c r="AB10" s="235"/>
      <c r="AC10" s="235"/>
      <c r="AF10" s="519"/>
      <c r="AG10" s="235"/>
      <c r="AH10" s="235"/>
      <c r="AI10" s="235"/>
      <c r="AK10" s="519"/>
      <c r="AL10" s="235"/>
      <c r="AM10" s="235"/>
      <c r="AN10" s="235"/>
      <c r="AP10" s="519"/>
      <c r="AQ10" s="235"/>
      <c r="AR10" s="235"/>
      <c r="AS10" s="235"/>
      <c r="AU10" s="519"/>
      <c r="AV10" s="235"/>
      <c r="AW10" s="235"/>
      <c r="AX10" s="235"/>
    </row>
    <row r="11" spans="1:61" ht="13.5" customHeight="1">
      <c r="A11" s="1232"/>
      <c r="B11" s="4220" t="s">
        <v>3465</v>
      </c>
      <c r="C11" s="143"/>
      <c r="D11" s="148"/>
      <c r="E11" s="148"/>
      <c r="F11" s="4209"/>
      <c r="G11" s="4210"/>
      <c r="H11" s="4211"/>
      <c r="I11" s="4211"/>
      <c r="J11" s="4212"/>
      <c r="K11" s="4213"/>
      <c r="L11" s="4213"/>
      <c r="M11" s="4214"/>
      <c r="N11" s="4214"/>
      <c r="O11" s="4215"/>
      <c r="P11" s="4216"/>
      <c r="Q11" s="4192"/>
      <c r="R11" s="1213"/>
      <c r="S11" s="78"/>
      <c r="T11" s="78"/>
      <c r="U11" s="5"/>
      <c r="V11" s="5"/>
      <c r="W11" s="5"/>
      <c r="X11" s="260"/>
      <c r="Z11" s="519"/>
      <c r="AA11" s="235"/>
      <c r="AB11" s="235"/>
      <c r="AC11" s="235"/>
      <c r="AF11" s="519"/>
      <c r="AG11" s="235"/>
      <c r="AH11" s="235"/>
      <c r="AI11" s="235"/>
      <c r="AK11" s="519"/>
      <c r="AL11" s="235"/>
      <c r="AM11" s="235"/>
      <c r="AN11" s="235"/>
      <c r="AP11" s="519"/>
      <c r="AQ11" s="235"/>
      <c r="AR11" s="235"/>
      <c r="AS11" s="235"/>
      <c r="AU11" s="519"/>
      <c r="AV11" s="235"/>
      <c r="AW11" s="235"/>
      <c r="AX11" s="235"/>
    </row>
    <row r="12" spans="1:61" ht="19.5" customHeight="1">
      <c r="A12" s="1232"/>
      <c r="B12" s="7145" t="s">
        <v>324</v>
      </c>
      <c r="C12" s="7145"/>
      <c r="D12" s="223"/>
      <c r="E12" s="4219" t="s">
        <v>447</v>
      </c>
      <c r="F12" s="223"/>
      <c r="G12" s="175"/>
      <c r="H12" s="4219" t="s">
        <v>2480</v>
      </c>
      <c r="I12" s="524"/>
      <c r="J12" s="223"/>
      <c r="K12" s="176"/>
      <c r="L12" s="689"/>
      <c r="M12" s="3527"/>
      <c r="N12" s="685"/>
      <c r="O12" s="4843" t="s">
        <v>1794</v>
      </c>
      <c r="P12" s="4843"/>
      <c r="Q12" s="1108"/>
      <c r="R12" s="1216"/>
      <c r="S12" s="78"/>
      <c r="T12" s="78"/>
      <c r="U12" s="78"/>
      <c r="V12" s="78"/>
      <c r="W12" s="78"/>
      <c r="X12" s="1126"/>
      <c r="Z12" s="235"/>
      <c r="AA12" s="235"/>
      <c r="AB12" s="235"/>
      <c r="AC12" s="235"/>
      <c r="AF12" s="235"/>
      <c r="AG12" s="235"/>
      <c r="AH12" s="235"/>
      <c r="AI12" s="235"/>
      <c r="AK12" s="235"/>
      <c r="AL12" s="235"/>
      <c r="AM12" s="235"/>
      <c r="AN12" s="235"/>
      <c r="AP12" s="235"/>
      <c r="AQ12" s="235"/>
      <c r="AR12" s="235"/>
      <c r="AS12" s="235"/>
      <c r="AU12" s="235"/>
      <c r="AV12" s="235"/>
      <c r="AW12" s="235"/>
      <c r="AX12" s="235"/>
    </row>
    <row r="13" spans="1:61" ht="16.5" customHeight="1">
      <c r="A13" s="1232"/>
      <c r="B13" s="7098" t="s">
        <v>2476</v>
      </c>
      <c r="C13" s="7099"/>
      <c r="D13" s="7099"/>
      <c r="E13" s="7099"/>
      <c r="F13" s="7099"/>
      <c r="G13" s="7100"/>
      <c r="H13" s="7172" t="s">
        <v>1980</v>
      </c>
      <c r="I13" s="7173"/>
      <c r="J13" s="7124" t="s">
        <v>1669</v>
      </c>
      <c r="K13" s="7112" t="s">
        <v>2477</v>
      </c>
      <c r="L13" s="7113"/>
      <c r="M13" s="7127"/>
      <c r="N13" s="7112" t="s">
        <v>2478</v>
      </c>
      <c r="O13" s="7113"/>
      <c r="P13" s="7113"/>
      <c r="Q13" s="1109"/>
      <c r="R13" s="1217"/>
      <c r="S13" s="78"/>
      <c r="T13" s="78"/>
      <c r="U13" s="7056" t="s">
        <v>2252</v>
      </c>
      <c r="V13" s="7136" t="s">
        <v>1669</v>
      </c>
      <c r="W13" s="7124" t="s">
        <v>1670</v>
      </c>
      <c r="X13" s="1126"/>
      <c r="Z13" s="235"/>
      <c r="AA13" s="235"/>
      <c r="AB13" s="235"/>
      <c r="AC13" s="235"/>
      <c r="AF13" s="235"/>
      <c r="AG13" s="235"/>
      <c r="AH13" s="235"/>
      <c r="AI13" s="235"/>
      <c r="AK13" s="235"/>
      <c r="AL13" s="235"/>
      <c r="AM13" s="235"/>
      <c r="AN13" s="235"/>
      <c r="AP13" s="235"/>
      <c r="AQ13" s="235"/>
      <c r="AR13" s="235"/>
      <c r="AS13" s="235"/>
      <c r="AU13" s="235"/>
      <c r="AV13" s="235"/>
      <c r="AW13" s="235"/>
      <c r="AX13" s="235"/>
    </row>
    <row r="14" spans="1:61" ht="16.5" customHeight="1">
      <c r="A14" s="1232"/>
      <c r="B14" s="7101"/>
      <c r="C14" s="7102"/>
      <c r="D14" s="7102"/>
      <c r="E14" s="7102"/>
      <c r="F14" s="7102"/>
      <c r="G14" s="7103"/>
      <c r="H14" s="7174"/>
      <c r="I14" s="7175"/>
      <c r="J14" s="7125"/>
      <c r="K14" s="7128"/>
      <c r="L14" s="7129"/>
      <c r="M14" s="7130"/>
      <c r="N14" s="7114"/>
      <c r="O14" s="7115"/>
      <c r="P14" s="7115"/>
      <c r="Q14" s="1110"/>
      <c r="R14" s="1218"/>
      <c r="S14" s="1126" t="s">
        <v>631</v>
      </c>
      <c r="T14" s="78"/>
      <c r="U14" s="7057"/>
      <c r="V14" s="7137"/>
      <c r="W14" s="7139"/>
      <c r="X14" s="1126"/>
      <c r="Z14" s="235"/>
      <c r="AA14" s="235"/>
      <c r="AB14" s="235"/>
      <c r="AC14" s="235"/>
      <c r="AF14" s="235"/>
      <c r="AG14" s="235"/>
      <c r="AH14" s="235"/>
      <c r="AI14" s="235"/>
      <c r="AK14" s="235"/>
      <c r="AL14" s="235"/>
      <c r="AM14" s="235"/>
      <c r="AN14" s="235"/>
      <c r="AP14" s="235"/>
      <c r="AQ14" s="235"/>
      <c r="AR14" s="235"/>
      <c r="AS14" s="235"/>
      <c r="AU14" s="235"/>
      <c r="AV14" s="235"/>
      <c r="AW14" s="235"/>
      <c r="AX14" s="235"/>
    </row>
    <row r="15" spans="1:61" ht="16.5" customHeight="1">
      <c r="A15" s="1232"/>
      <c r="B15" s="7104"/>
      <c r="C15" s="7105"/>
      <c r="D15" s="7105"/>
      <c r="E15" s="7105"/>
      <c r="F15" s="7105"/>
      <c r="G15" s="7106"/>
      <c r="H15" s="7176"/>
      <c r="I15" s="7177"/>
      <c r="J15" s="7126"/>
      <c r="K15" s="7131"/>
      <c r="L15" s="7132"/>
      <c r="M15" s="7133"/>
      <c r="N15" s="7116"/>
      <c r="O15" s="7117"/>
      <c r="P15" s="7117"/>
      <c r="Q15" s="1111"/>
      <c r="R15" s="1219"/>
      <c r="S15" s="78"/>
      <c r="T15" s="78"/>
      <c r="U15" s="7058"/>
      <c r="V15" s="7138"/>
      <c r="W15" s="7140"/>
      <c r="X15" s="1126"/>
      <c r="Z15" s="263" t="s">
        <v>760</v>
      </c>
      <c r="AA15" s="263" t="s">
        <v>761</v>
      </c>
      <c r="AB15" s="263" t="s">
        <v>762</v>
      </c>
      <c r="AC15" s="263" t="s">
        <v>3183</v>
      </c>
      <c r="AF15" s="263" t="s">
        <v>760</v>
      </c>
      <c r="AG15" s="263" t="s">
        <v>761</v>
      </c>
      <c r="AH15" s="263" t="s">
        <v>762</v>
      </c>
      <c r="AI15" s="263" t="s">
        <v>3183</v>
      </c>
      <c r="AK15" s="263" t="s">
        <v>760</v>
      </c>
      <c r="AL15" s="263" t="s">
        <v>761</v>
      </c>
      <c r="AM15" s="263" t="s">
        <v>762</v>
      </c>
      <c r="AN15" s="263" t="s">
        <v>3183</v>
      </c>
      <c r="AP15" s="263" t="s">
        <v>760</v>
      </c>
      <c r="AQ15" s="263" t="s">
        <v>761</v>
      </c>
      <c r="AR15" s="263" t="s">
        <v>762</v>
      </c>
      <c r="AS15" s="263" t="s">
        <v>3183</v>
      </c>
      <c r="AU15" s="263" t="s">
        <v>760</v>
      </c>
      <c r="AV15" s="263" t="s">
        <v>761</v>
      </c>
      <c r="AW15" s="263" t="s">
        <v>762</v>
      </c>
      <c r="AX15" s="263" t="s">
        <v>3183</v>
      </c>
    </row>
    <row r="16" spans="1:61" ht="46.5" customHeight="1">
      <c r="A16" s="1232"/>
      <c r="B16" s="1205" t="s">
        <v>12</v>
      </c>
      <c r="C16" s="7085" t="s">
        <v>2791</v>
      </c>
      <c r="D16" s="7086"/>
      <c r="E16" s="7086"/>
      <c r="F16" s="7086"/>
      <c r="G16" s="7087"/>
      <c r="H16" s="1310"/>
      <c r="I16" s="1311"/>
      <c r="J16" s="1312"/>
      <c r="K16" s="1317"/>
      <c r="L16" s="1318"/>
      <c r="M16" s="1319"/>
      <c r="N16" s="1313"/>
      <c r="O16" s="1314"/>
      <c r="P16" s="1314"/>
      <c r="Q16" s="1111"/>
      <c r="R16" s="1219"/>
      <c r="S16" s="78"/>
      <c r="T16" s="78"/>
      <c r="U16" s="1302"/>
      <c r="V16" s="1301"/>
      <c r="W16" s="1315"/>
      <c r="X16" s="1126"/>
      <c r="Z16" s="263"/>
      <c r="AA16" s="263"/>
      <c r="AB16" s="263"/>
      <c r="AC16" s="263"/>
      <c r="AF16" s="263"/>
      <c r="AG16" s="263"/>
      <c r="AH16" s="263"/>
      <c r="AI16" s="263"/>
      <c r="AK16" s="263"/>
      <c r="AL16" s="263"/>
      <c r="AM16" s="263"/>
      <c r="AN16" s="263"/>
      <c r="AP16" s="263"/>
      <c r="AQ16" s="263"/>
      <c r="AR16" s="263"/>
      <c r="AS16" s="263"/>
      <c r="AU16" s="263"/>
      <c r="AV16" s="263"/>
      <c r="AW16" s="263"/>
      <c r="AX16" s="263"/>
    </row>
    <row r="17" spans="1:50" ht="15.75" customHeight="1">
      <c r="A17" s="1232"/>
      <c r="B17" s="1309"/>
      <c r="C17" s="7088"/>
      <c r="D17" s="7088"/>
      <c r="E17" s="7088"/>
      <c r="F17" s="7088"/>
      <c r="G17" s="7089"/>
      <c r="H17" s="6991"/>
      <c r="I17" s="7153"/>
      <c r="J17" s="1208"/>
      <c r="K17" s="7082"/>
      <c r="L17" s="7083"/>
      <c r="M17" s="7084"/>
      <c r="N17" s="6981" t="str">
        <f>IF(OR(H17&lt;&gt;"",J17&lt;&gt;""),ROUND(SUM(H17,-J17),0),"")</f>
        <v/>
      </c>
      <c r="O17" s="6982"/>
      <c r="P17" s="7142"/>
      <c r="Q17" s="1111"/>
      <c r="R17" s="1219"/>
      <c r="S17" s="78"/>
      <c r="T17" s="78"/>
      <c r="U17" s="1302" t="str">
        <f>"---"</f>
        <v>---</v>
      </c>
      <c r="V17" s="1302" t="str">
        <f>"---"</f>
        <v>---</v>
      </c>
      <c r="W17" s="1316"/>
      <c r="X17" s="1126"/>
      <c r="Z17" s="263"/>
      <c r="AA17" s="263"/>
      <c r="AB17" s="263"/>
      <c r="AC17" s="263"/>
      <c r="AF17" s="263"/>
      <c r="AG17" s="263"/>
      <c r="AH17" s="263"/>
      <c r="AI17" s="263"/>
      <c r="AK17" s="263"/>
      <c r="AL17" s="263"/>
      <c r="AM17" s="263"/>
      <c r="AN17" s="263"/>
      <c r="AP17" s="263"/>
      <c r="AQ17" s="263"/>
      <c r="AR17" s="263"/>
      <c r="AS17" s="263"/>
      <c r="AU17" s="263"/>
      <c r="AV17" s="263"/>
      <c r="AW17" s="263"/>
      <c r="AX17" s="263"/>
    </row>
    <row r="18" spans="1:50" ht="12.75" customHeight="1">
      <c r="A18" s="1232"/>
      <c r="B18" s="1205" t="s">
        <v>15</v>
      </c>
      <c r="C18" s="7107" t="s">
        <v>4403</v>
      </c>
      <c r="D18" s="7108"/>
      <c r="E18" s="7108"/>
      <c r="F18" s="7108"/>
      <c r="G18" s="7109"/>
      <c r="H18" s="7068">
        <f>SUM(AF19:AI19)</f>
        <v>0</v>
      </c>
      <c r="I18" s="7080"/>
      <c r="J18" s="1261">
        <f>SUM(AK19:AN19)</f>
        <v>0</v>
      </c>
      <c r="K18" s="7068">
        <f>SUM(AP19:AS19)</f>
        <v>0</v>
      </c>
      <c r="L18" s="7069"/>
      <c r="M18" s="7081"/>
      <c r="N18" s="7062">
        <f>SUM(AU19:AX19)</f>
        <v>0</v>
      </c>
      <c r="O18" s="7063"/>
      <c r="P18" s="3525"/>
      <c r="Q18" s="1112"/>
      <c r="R18" s="1220"/>
      <c r="S18" s="78"/>
      <c r="T18" s="78"/>
      <c r="U18" s="1266"/>
      <c r="V18" s="1267"/>
      <c r="W18" s="1268"/>
      <c r="X18" s="1126"/>
      <c r="Z18" s="235"/>
      <c r="AA18" s="235"/>
      <c r="AB18" s="235"/>
      <c r="AC18" s="235"/>
      <c r="AF18" s="235"/>
      <c r="AG18" s="235"/>
      <c r="AH18" s="235"/>
      <c r="AI18" s="235"/>
      <c r="AK18" s="235"/>
      <c r="AL18" s="235"/>
      <c r="AM18" s="235"/>
      <c r="AN18" s="235"/>
      <c r="AP18" s="235"/>
      <c r="AQ18" s="235"/>
      <c r="AR18" s="235"/>
      <c r="AS18" s="235"/>
      <c r="AU18" s="235"/>
      <c r="AV18" s="235"/>
      <c r="AW18" s="235"/>
      <c r="AX18" s="235"/>
    </row>
    <row r="19" spans="1:50" ht="13.5" customHeight="1">
      <c r="A19" s="1232"/>
      <c r="B19" s="1206"/>
      <c r="C19" s="7110"/>
      <c r="D19" s="7110"/>
      <c r="E19" s="7110"/>
      <c r="F19" s="7110"/>
      <c r="G19" s="7111"/>
      <c r="H19" s="6981" t="str">
        <f>IF(U19&lt;&gt;"",ROUND(U19,0),IF($AD19,ROUND(H18,0),""))</f>
        <v/>
      </c>
      <c r="I19" s="7061"/>
      <c r="J19" s="1320" t="str">
        <f>IF(V19&lt;&gt;"",ROUND(V19,0),IF($AD19,ROUND(J18,0),""))</f>
        <v/>
      </c>
      <c r="K19" s="6981" t="str">
        <f>IF(W19&lt;&gt;"",ROUND(W19,0),IF($AD19,ROUND(K18,0),""))</f>
        <v/>
      </c>
      <c r="L19" s="6982"/>
      <c r="M19" s="7061"/>
      <c r="N19" s="6981" t="str">
        <f>IF(AND(H19="",J19="",K19=""),"",IF(AND(V19="",OR(U19&lt;&gt;"",W19&lt;&gt;"")),SUM(H19,K19),IF(OR(U19&lt;&gt;"",V19&lt;&gt;"",W19&lt;&gt;""),SUM(H19,-J19,K19),N18)))</f>
        <v/>
      </c>
      <c r="O19" s="6982"/>
      <c r="P19" s="7142"/>
      <c r="Q19" s="1112"/>
      <c r="R19" s="1220"/>
      <c r="S19" s="78"/>
      <c r="T19" s="78"/>
      <c r="U19" s="1207"/>
      <c r="V19" s="1208"/>
      <c r="W19" s="1209"/>
      <c r="X19" s="1126"/>
      <c r="Z19" s="235">
        <f>IF(F8949ASBOXA&lt;&gt;"",F8949AST,0)</f>
        <v>0</v>
      </c>
      <c r="AA19" s="235">
        <f>IF(F8949BSBOXA&lt;&gt;"",F8949BST,0)</f>
        <v>0</v>
      </c>
      <c r="AB19" s="235">
        <f>IF(F8949CSBOXA&lt;&gt;"",F8949CST,0)</f>
        <v>0</v>
      </c>
      <c r="AC19" s="235">
        <f>IF(F8949DSBOXA&lt;&gt;"",F8949DST,0)</f>
        <v>0</v>
      </c>
      <c r="AD19" s="3" t="b">
        <f>IF(SUM(Z19:AC19)&gt;0,TRUE,FALSE)</f>
        <v>0</v>
      </c>
      <c r="AF19" s="235">
        <f>IF(F8949ASBOXA&lt;&gt;"",F8949ASTD,0)</f>
        <v>0</v>
      </c>
      <c r="AG19" s="235">
        <f>IF(F8949BSBOXA&lt;&gt;"",F8949BSTD,0)</f>
        <v>0</v>
      </c>
      <c r="AH19" s="235">
        <f>IF(F8949CSBOXA&lt;&gt;"",F8949CSTD,0)</f>
        <v>0</v>
      </c>
      <c r="AI19" s="235">
        <f>IF(F8949DSBOXA&lt;&gt;"",F8949DSTD,0)</f>
        <v>0</v>
      </c>
      <c r="AK19" s="235">
        <f>IF(F8949ASBOXA&lt;&gt;"",F8949ASTE,0)</f>
        <v>0</v>
      </c>
      <c r="AL19" s="235">
        <f>IF(F8949BSBOXA&lt;&gt;"",F8949BSTE,0)</f>
        <v>0</v>
      </c>
      <c r="AM19" s="235">
        <f>IF(F8949CSBOXA&lt;&gt;"",F8949CSTE,0)</f>
        <v>0</v>
      </c>
      <c r="AN19" s="235">
        <f>IF(F8949DSBOXA&lt;&gt;"",F8949DSTE,0)</f>
        <v>0</v>
      </c>
      <c r="AP19" s="235">
        <f>IF(F8949ASBOXA&lt;&gt;"",F8949ASTG,0)</f>
        <v>0</v>
      </c>
      <c r="AQ19" s="235">
        <f>IF(F8949BSBOXA&lt;&gt;"",F8949BSTG,0)</f>
        <v>0</v>
      </c>
      <c r="AR19" s="235">
        <f>IF(F8949CSBOXA&lt;&gt;"",F8949CSTG,0)</f>
        <v>0</v>
      </c>
      <c r="AS19" s="235">
        <f>IF(F8949DSBOXA&lt;&gt;"",F8949DSTG,0)</f>
        <v>0</v>
      </c>
      <c r="AU19" s="235">
        <f>IF(F8949ASBOXA&lt;&gt;"",F8949ASTH,0)</f>
        <v>0</v>
      </c>
      <c r="AV19" s="235">
        <f>IF(F8949BSBOXA&lt;&gt;"",F8949BSTH,0)</f>
        <v>0</v>
      </c>
      <c r="AW19" s="235">
        <f>IF(F8949CSBOXA&lt;&gt;"",F8949CSTH,0)</f>
        <v>0</v>
      </c>
      <c r="AX19" s="235">
        <f>IF(F8949DSBOXA&lt;&gt;"",F8949DSTH,0)</f>
        <v>0</v>
      </c>
    </row>
    <row r="20" spans="1:50" ht="15.75" customHeight="1">
      <c r="A20" s="1232"/>
      <c r="B20" s="1205">
        <v>2</v>
      </c>
      <c r="C20" s="7107" t="s">
        <v>4402</v>
      </c>
      <c r="D20" s="7108"/>
      <c r="E20" s="7108"/>
      <c r="F20" s="7108"/>
      <c r="G20" s="7109"/>
      <c r="H20" s="7068">
        <f>SUM(AF21:AI21)</f>
        <v>0</v>
      </c>
      <c r="I20" s="7080"/>
      <c r="J20" s="1261">
        <f>SUM(AK21:AN21)</f>
        <v>0</v>
      </c>
      <c r="K20" s="7068">
        <f>SUM(AP21:AS21)</f>
        <v>0</v>
      </c>
      <c r="L20" s="7069"/>
      <c r="M20" s="7081"/>
      <c r="N20" s="7068">
        <f>SUM(AU21:AX21)</f>
        <v>0</v>
      </c>
      <c r="O20" s="7069"/>
      <c r="P20" s="3525"/>
      <c r="Q20" s="1112"/>
      <c r="R20" s="1220"/>
      <c r="S20" s="78"/>
      <c r="T20" s="78"/>
      <c r="U20" s="1266"/>
      <c r="V20" s="1267"/>
      <c r="W20" s="1268"/>
      <c r="X20" s="1126"/>
      <c r="Z20" s="235"/>
      <c r="AA20" s="235"/>
      <c r="AB20" s="235"/>
      <c r="AC20" s="235"/>
      <c r="AF20" s="235"/>
      <c r="AG20" s="235"/>
      <c r="AH20" s="235"/>
      <c r="AI20" s="235"/>
      <c r="AK20" s="235"/>
      <c r="AL20" s="235"/>
      <c r="AM20" s="235"/>
      <c r="AN20" s="235"/>
      <c r="AP20" s="235"/>
      <c r="AQ20" s="235"/>
      <c r="AR20" s="235"/>
      <c r="AS20" s="235"/>
      <c r="AU20" s="235"/>
      <c r="AV20" s="235"/>
      <c r="AW20" s="235"/>
      <c r="AX20" s="235"/>
    </row>
    <row r="21" spans="1:50" ht="13.5" customHeight="1">
      <c r="A21" s="1232"/>
      <c r="B21" s="1206"/>
      <c r="C21" s="7110"/>
      <c r="D21" s="7110"/>
      <c r="E21" s="7110"/>
      <c r="F21" s="7110"/>
      <c r="G21" s="7111"/>
      <c r="H21" s="6981" t="str">
        <f>IF(U21&lt;&gt;"",ROUND(U21,0),IF($AD21,ROUND(H20,0),""))</f>
        <v/>
      </c>
      <c r="I21" s="7061"/>
      <c r="J21" s="1320" t="str">
        <f>IF(V21&lt;&gt;"",ROUND(V21,0),IF($AD21,ROUND(J20,0),""))</f>
        <v/>
      </c>
      <c r="K21" s="6981" t="str">
        <f>IF(W21&lt;&gt;"",ROUND(W21,0),IF($AD21,ROUND(K20,0),""))</f>
        <v/>
      </c>
      <c r="L21" s="6982"/>
      <c r="M21" s="7061"/>
      <c r="N21" s="6981" t="str">
        <f>IF(AND(H21="",J21="",K21=""),"",IF(AND(V21="",OR(U21&lt;&gt;"",W21&lt;&gt;"")),SUM(H21,K21),IF(OR(U21&lt;&gt;"",V21&lt;&gt;"",W21&lt;&gt;""),SUM(H21,-J21,K21),N20)))</f>
        <v/>
      </c>
      <c r="O21" s="6982"/>
      <c r="P21" s="7142"/>
      <c r="Q21" s="1112"/>
      <c r="R21" s="1220"/>
      <c r="S21" s="78"/>
      <c r="T21" s="78"/>
      <c r="U21" s="1207"/>
      <c r="V21" s="1208"/>
      <c r="W21" s="1209"/>
      <c r="X21" s="1126"/>
      <c r="Z21" s="235">
        <f>IF(F8949ASBOXB&lt;&gt;"",F8949AST,0)</f>
        <v>0</v>
      </c>
      <c r="AA21" s="235">
        <f>IF(F8949BSBOXB&lt;&gt;"",F8949BST,0)</f>
        <v>0</v>
      </c>
      <c r="AB21" s="235">
        <f>IF(F8949CSBOXB&lt;&gt;"",F8949CST,0)</f>
        <v>0</v>
      </c>
      <c r="AC21" s="235">
        <f>IF(F8949DSBOXB&lt;&gt;"",F8949DST,0)</f>
        <v>0</v>
      </c>
      <c r="AD21" s="3" t="b">
        <f>IF(SUM(Z21:AC21)&gt;0,TRUE,FALSE)</f>
        <v>0</v>
      </c>
      <c r="AF21" s="235">
        <f>IF(F8949ASBOXB&lt;&gt;"",F8949ASTD,0)</f>
        <v>0</v>
      </c>
      <c r="AG21" s="235">
        <f>IF(F8949BSBOXB&lt;&gt;"",F8949BSTD,0)</f>
        <v>0</v>
      </c>
      <c r="AH21" s="235">
        <f>IF(F8949CSBOXB&lt;&gt;"",F8949CSTD,0)</f>
        <v>0</v>
      </c>
      <c r="AI21" s="235">
        <f>IF(F8949DSBOXB&lt;&gt;"",F8949DSTD,0)</f>
        <v>0</v>
      </c>
      <c r="AK21" s="235">
        <f>IF(F8949ASBOXB&lt;&gt;"",F8949ASTE,0)</f>
        <v>0</v>
      </c>
      <c r="AL21" s="235">
        <f>IF(F8949BSBOXB&lt;&gt;"",F8949BSTE,0)</f>
        <v>0</v>
      </c>
      <c r="AM21" s="235">
        <f>IF(F8949CSBOXB&lt;&gt;"",F8949CSTE,0)</f>
        <v>0</v>
      </c>
      <c r="AN21" s="235">
        <f>IF(F8949DSBOXB&lt;&gt;"",F8949DSTE,0)</f>
        <v>0</v>
      </c>
      <c r="AP21" s="235">
        <f>IF(F8949ASBOXB&lt;&gt;"",F8949ASTG,0)</f>
        <v>0</v>
      </c>
      <c r="AQ21" s="235">
        <f>IF(F8949BSBOXB&lt;&gt;"",F8949BSTG,0)</f>
        <v>0</v>
      </c>
      <c r="AR21" s="235">
        <f>IF(F8949CSBOXB&lt;&gt;"",F8949CSTG,0)</f>
        <v>0</v>
      </c>
      <c r="AS21" s="235">
        <f>IF(F8949DSBOXB&lt;&gt;"",F8949DSTG,0)</f>
        <v>0</v>
      </c>
      <c r="AU21" s="235">
        <f>IF(F8949ASBOXB&lt;&gt;"",F8949ASTH,0)</f>
        <v>0</v>
      </c>
      <c r="AV21" s="235">
        <f>IF(F8949BSBOXB&lt;&gt;"",F8949BSTH,0)</f>
        <v>0</v>
      </c>
      <c r="AW21" s="235">
        <f>IF(F8949CSBOXB&lt;&gt;"",F8949CSTH,0)</f>
        <v>0</v>
      </c>
      <c r="AX21" s="235">
        <f>IF(F8949DSBOXB&lt;&gt;"",F8949DSTH,0)</f>
        <v>0</v>
      </c>
    </row>
    <row r="22" spans="1:50" ht="13.5" customHeight="1">
      <c r="A22" s="1232"/>
      <c r="B22" s="1205">
        <v>3</v>
      </c>
      <c r="C22" s="7107" t="s">
        <v>4404</v>
      </c>
      <c r="D22" s="7108"/>
      <c r="E22" s="7108"/>
      <c r="F22" s="7108"/>
      <c r="G22" s="7109"/>
      <c r="H22" s="7068">
        <f>SUM(AF23:AI23)</f>
        <v>0</v>
      </c>
      <c r="I22" s="7080"/>
      <c r="J22" s="1261">
        <f>SUM(AK23:AN23)</f>
        <v>0</v>
      </c>
      <c r="K22" s="7068">
        <f>SUM(AP23:AS23)</f>
        <v>0</v>
      </c>
      <c r="L22" s="7069"/>
      <c r="M22" s="7081"/>
      <c r="N22" s="7068">
        <f>SUM(AU23:AX23)</f>
        <v>0</v>
      </c>
      <c r="O22" s="7069"/>
      <c r="P22" s="3525"/>
      <c r="Q22" s="1112"/>
      <c r="R22" s="1220"/>
      <c r="S22" s="78"/>
      <c r="T22" s="78"/>
      <c r="U22" s="1266"/>
      <c r="V22" s="1267"/>
      <c r="W22" s="1268"/>
      <c r="X22" s="1126"/>
      <c r="Z22" s="235"/>
      <c r="AA22" s="235"/>
      <c r="AB22" s="235"/>
      <c r="AC22" s="235"/>
      <c r="AF22" s="235"/>
      <c r="AG22" s="235"/>
      <c r="AH22" s="235"/>
      <c r="AI22" s="235"/>
      <c r="AK22" s="235"/>
      <c r="AL22" s="235"/>
      <c r="AM22" s="235"/>
      <c r="AN22" s="235"/>
      <c r="AP22" s="235"/>
      <c r="AQ22" s="235"/>
      <c r="AR22" s="235"/>
      <c r="AS22" s="235"/>
      <c r="AU22" s="235"/>
      <c r="AV22" s="235"/>
      <c r="AW22" s="235"/>
      <c r="AX22" s="235"/>
    </row>
    <row r="23" spans="1:50" ht="12.75" customHeight="1">
      <c r="A23" s="1232"/>
      <c r="B23" s="1206"/>
      <c r="C23" s="7110"/>
      <c r="D23" s="7110"/>
      <c r="E23" s="7110"/>
      <c r="F23" s="7110"/>
      <c r="G23" s="7111"/>
      <c r="H23" s="6981" t="str">
        <f>IF(U23&lt;&gt;"",ROUND(U23,0),IF($AD23,ROUND(H22,0),""))</f>
        <v/>
      </c>
      <c r="I23" s="7061"/>
      <c r="J23" s="1320" t="str">
        <f>IF(V23&lt;&gt;"",ROUND(V23,0),IF($AD23,ROUND(J22,0),""))</f>
        <v/>
      </c>
      <c r="K23" s="6981" t="str">
        <f>IF(W23&lt;&gt;"",ROUND(W23,0),IF($AD23,ROUND(K22,0),""))</f>
        <v/>
      </c>
      <c r="L23" s="6982"/>
      <c r="M23" s="7061"/>
      <c r="N23" s="6981" t="str">
        <f>IF(AND(H23="",J23="",K23=""),"",IF(AND(V23="",OR(U23&lt;&gt;"",W23&lt;&gt;"")),SUM(H23,K23),IF(OR(U23&lt;&gt;"",V23&lt;&gt;"",W23&lt;&gt;""),SUM(H23,-J23,K23),N22)))</f>
        <v/>
      </c>
      <c r="O23" s="6982"/>
      <c r="P23" s="7142"/>
      <c r="Q23" s="1112"/>
      <c r="R23" s="1220"/>
      <c r="S23" s="78"/>
      <c r="T23" s="78"/>
      <c r="U23" s="1207"/>
      <c r="V23" s="1208"/>
      <c r="W23" s="1209"/>
      <c r="X23" s="1126"/>
      <c r="Z23" s="235">
        <f>IF(F8949ASBOXC&lt;&gt;"",F8949AST,0)</f>
        <v>0</v>
      </c>
      <c r="AA23" s="235">
        <f>IF(F8949BSBOXC&lt;&gt;"",F8949BST,0)</f>
        <v>0</v>
      </c>
      <c r="AB23" s="235">
        <f>IF(F8949CSBOXC&lt;&gt;"",F8949CST,0)</f>
        <v>0</v>
      </c>
      <c r="AC23" s="235">
        <f>IF(F8949DSBOXC&lt;&gt;"",F8949DST,0)</f>
        <v>0</v>
      </c>
      <c r="AD23" s="3" t="b">
        <f>IF(SUM(Z23:AC23)&gt;0,TRUE,FALSE)</f>
        <v>0</v>
      </c>
      <c r="AF23" s="235">
        <f>IF(F8949ASBOXC&lt;&gt;"",F8949ASTD,0)</f>
        <v>0</v>
      </c>
      <c r="AG23" s="235">
        <f>IF(F8949BSBOXC&lt;&gt;"",F8949BSTD,0)</f>
        <v>0</v>
      </c>
      <c r="AH23" s="235">
        <f>IF(F8949CSBOXC&lt;&gt;"",F8949CSTD,0)</f>
        <v>0</v>
      </c>
      <c r="AI23" s="235">
        <f>IF(F8949DSBOXC&lt;&gt;"",F8949DSTD,0)</f>
        <v>0</v>
      </c>
      <c r="AK23" s="235">
        <f>IF(F8949ASBOXC&lt;&gt;"",F8949ASTE,0)</f>
        <v>0</v>
      </c>
      <c r="AL23" s="235">
        <f>IF(F8949BSBOXC&lt;&gt;"",F8949BSTE,0)</f>
        <v>0</v>
      </c>
      <c r="AM23" s="235">
        <f>IF(F8949CSBOXC&lt;&gt;"",F8949CSTE,0)</f>
        <v>0</v>
      </c>
      <c r="AN23" s="235">
        <f>IF(F8949DSBOXC&lt;&gt;"",F8949DSTE,0)</f>
        <v>0</v>
      </c>
      <c r="AP23" s="235">
        <f>IF(F8949ASBOXC&lt;&gt;"",F8949ASTG,0)</f>
        <v>0</v>
      </c>
      <c r="AQ23" s="235">
        <f>IF(F8949BSBOXC&lt;&gt;"",F8949BSTG,0)</f>
        <v>0</v>
      </c>
      <c r="AR23" s="235">
        <f>IF(F8949CSBOXC&lt;&gt;"",F8949CSTG,0)</f>
        <v>0</v>
      </c>
      <c r="AS23" s="235">
        <f>IF(F8949DSBOXC&lt;&gt;"",F8949DSTG,0)</f>
        <v>0</v>
      </c>
      <c r="AU23" s="235">
        <f>IF(F8949ASBOXC&lt;&gt;"",F8949ASTH,0)</f>
        <v>0</v>
      </c>
      <c r="AV23" s="235">
        <f>IF(F8949BSBOXC&lt;&gt;"",F8949BSTH,0)</f>
        <v>0</v>
      </c>
      <c r="AW23" s="235">
        <f>IF(F8949CSBOXC&lt;&gt;"",F8949CSTH,0)</f>
        <v>0</v>
      </c>
      <c r="AX23" s="235">
        <f>IF(F8949DSBOXC&lt;&gt;"",F8949DSTH,0)</f>
        <v>0</v>
      </c>
    </row>
    <row r="24" spans="1:50" ht="12" customHeight="1">
      <c r="A24" s="1232"/>
      <c r="B24" s="154"/>
      <c r="C24" s="164"/>
      <c r="D24" s="164"/>
      <c r="E24" s="164"/>
      <c r="F24" s="164"/>
      <c r="G24" s="224"/>
      <c r="H24" s="134"/>
      <c r="I24" s="134"/>
      <c r="J24" s="134"/>
      <c r="K24" s="154"/>
      <c r="L24" s="155"/>
      <c r="M24" s="696"/>
      <c r="N24" s="7143"/>
      <c r="O24" s="7067"/>
      <c r="P24" s="1732"/>
      <c r="Q24" s="1112"/>
      <c r="R24" s="1220"/>
      <c r="S24" s="78"/>
      <c r="T24" s="78"/>
      <c r="U24" s="78"/>
      <c r="V24" s="78"/>
      <c r="W24" s="78"/>
      <c r="X24" s="1126"/>
      <c r="Z24" s="235"/>
      <c r="AA24" s="235"/>
      <c r="AB24" s="235"/>
      <c r="AC24" s="235"/>
      <c r="AF24" s="235"/>
      <c r="AG24" s="235"/>
      <c r="AH24" s="235"/>
      <c r="AI24" s="235"/>
      <c r="AK24" s="235"/>
      <c r="AL24" s="235"/>
      <c r="AM24" s="235"/>
      <c r="AN24" s="235"/>
      <c r="AP24" s="235"/>
      <c r="AQ24" s="235"/>
      <c r="AR24" s="235"/>
      <c r="AS24" s="235"/>
      <c r="AU24" s="235"/>
      <c r="AV24" s="235"/>
      <c r="AW24" s="235"/>
      <c r="AX24" s="235"/>
    </row>
    <row r="25" spans="1:50" ht="12" customHeight="1">
      <c r="A25" s="1232"/>
      <c r="B25" s="154" t="str">
        <f>"4"</f>
        <v>4</v>
      </c>
      <c r="C25" s="1023" t="s">
        <v>2792</v>
      </c>
      <c r="D25" s="164"/>
      <c r="E25" s="164"/>
      <c r="F25" s="164"/>
      <c r="G25" s="224"/>
      <c r="H25" s="134"/>
      <c r="I25" s="134"/>
      <c r="J25" s="134"/>
      <c r="K25" s="154"/>
      <c r="L25" s="154"/>
      <c r="M25" s="249" t="str">
        <f>B25</f>
        <v>4</v>
      </c>
      <c r="N25" s="6991"/>
      <c r="O25" s="6822"/>
      <c r="P25" s="7142"/>
      <c r="Q25" s="1112"/>
      <c r="R25" s="1220"/>
      <c r="S25" s="78"/>
      <c r="T25" s="78"/>
      <c r="U25" s="78"/>
      <c r="V25" s="78"/>
      <c r="W25" s="78"/>
      <c r="X25" s="1126"/>
      <c r="Z25" s="235"/>
      <c r="AA25" s="235"/>
      <c r="AB25" s="235"/>
      <c r="AC25" s="235"/>
      <c r="AF25" s="235"/>
      <c r="AG25" s="235"/>
      <c r="AH25" s="235"/>
      <c r="AI25" s="235"/>
      <c r="AK25" s="235"/>
      <c r="AL25" s="235"/>
      <c r="AM25" s="235"/>
      <c r="AN25" s="235"/>
      <c r="AP25" s="235"/>
      <c r="AQ25" s="235"/>
      <c r="AR25" s="235"/>
      <c r="AS25" s="235"/>
      <c r="AU25" s="235"/>
      <c r="AV25" s="235"/>
      <c r="AW25" s="235"/>
      <c r="AX25" s="235"/>
    </row>
    <row r="26" spans="1:50" ht="14.25">
      <c r="A26" s="1232"/>
      <c r="B26" s="154" t="str">
        <f>"5"</f>
        <v>5</v>
      </c>
      <c r="C26" s="326" t="s">
        <v>178</v>
      </c>
      <c r="D26" s="164"/>
      <c r="E26" s="164"/>
      <c r="F26" s="164"/>
      <c r="G26" s="224"/>
      <c r="H26" s="134"/>
      <c r="I26" s="134"/>
      <c r="J26" s="134"/>
      <c r="K26" s="154"/>
      <c r="L26" s="154"/>
      <c r="M26" s="696"/>
      <c r="N26" s="7144"/>
      <c r="O26" s="6406"/>
      <c r="P26" s="1732"/>
      <c r="Q26" s="1112"/>
      <c r="R26" s="1220"/>
      <c r="S26" s="1293"/>
      <c r="T26" s="78"/>
      <c r="U26" s="7149" t="str">
        <f>IF(AND(S29&lt;&gt;"",S29&gt;0),"This positive amount is being used as a negative amount.","")</f>
        <v/>
      </c>
      <c r="V26" s="5"/>
      <c r="W26" s="5"/>
      <c r="X26" s="5"/>
      <c r="Z26" s="235"/>
      <c r="AA26" s="235"/>
      <c r="AB26" s="235"/>
      <c r="AC26" s="235"/>
      <c r="AF26" s="235"/>
      <c r="AG26" s="235"/>
      <c r="AH26" s="235"/>
      <c r="AI26" s="235"/>
      <c r="AK26" s="235"/>
      <c r="AL26" s="235"/>
      <c r="AM26" s="235"/>
      <c r="AN26" s="235"/>
      <c r="AP26" s="235"/>
      <c r="AQ26" s="235"/>
      <c r="AR26" s="235"/>
      <c r="AS26" s="235"/>
      <c r="AU26" s="235"/>
      <c r="AV26" s="235"/>
      <c r="AW26" s="235"/>
      <c r="AX26" s="235"/>
    </row>
    <row r="27" spans="1:50" ht="12.75" customHeight="1">
      <c r="A27" s="1232"/>
      <c r="B27" s="22"/>
      <c r="C27" s="326" t="s">
        <v>493</v>
      </c>
      <c r="D27" s="164"/>
      <c r="E27" s="164"/>
      <c r="F27" s="164"/>
      <c r="G27" s="224"/>
      <c r="H27" s="134"/>
      <c r="I27" s="134"/>
      <c r="J27" s="134"/>
      <c r="K27" s="154"/>
      <c r="L27" s="154" t="s">
        <v>536</v>
      </c>
      <c r="M27" s="249" t="str">
        <f>B26</f>
        <v>5</v>
      </c>
      <c r="N27" s="6991"/>
      <c r="O27" s="6822"/>
      <c r="P27" s="7150"/>
      <c r="Q27" s="1113"/>
      <c r="R27" s="1221"/>
      <c r="S27" s="1293"/>
      <c r="T27" s="78"/>
      <c r="U27" s="7149"/>
      <c r="V27" s="5"/>
      <c r="W27" s="5"/>
      <c r="X27" s="5"/>
      <c r="Z27" s="235"/>
      <c r="AA27" s="235"/>
      <c r="AB27" s="235"/>
      <c r="AC27" s="235"/>
      <c r="AF27" s="235"/>
      <c r="AG27" s="235"/>
      <c r="AH27" s="235"/>
      <c r="AI27" s="235"/>
      <c r="AK27" s="235"/>
      <c r="AL27" s="235"/>
      <c r="AM27" s="235"/>
      <c r="AN27" s="235"/>
      <c r="AP27" s="235"/>
      <c r="AQ27" s="235"/>
      <c r="AR27" s="235"/>
      <c r="AS27" s="235"/>
      <c r="AU27" s="235"/>
      <c r="AV27" s="235"/>
      <c r="AW27" s="235"/>
      <c r="AX27" s="235"/>
    </row>
    <row r="28" spans="1:50">
      <c r="A28" s="1232"/>
      <c r="B28" s="154" t="str">
        <f>"6"</f>
        <v>6</v>
      </c>
      <c r="C28" s="1023" t="s">
        <v>2793</v>
      </c>
      <c r="D28" s="164"/>
      <c r="E28" s="164"/>
      <c r="F28" s="164"/>
      <c r="G28" s="224"/>
      <c r="H28" s="224"/>
      <c r="I28" s="224"/>
      <c r="J28" s="134"/>
      <c r="K28" s="135"/>
      <c r="L28" s="135"/>
      <c r="M28" s="1095"/>
      <c r="N28" s="3529"/>
      <c r="O28" s="3922">
        <f>IF(O29="",0,-O29)</f>
        <v>0</v>
      </c>
      <c r="P28" s="2487"/>
      <c r="Q28" s="1114"/>
      <c r="R28" s="1222"/>
      <c r="S28" s="1293"/>
      <c r="T28" s="78"/>
      <c r="U28" s="7149"/>
      <c r="V28" s="5"/>
      <c r="W28" s="5"/>
      <c r="X28" s="5"/>
      <c r="Z28" s="235"/>
      <c r="AA28" s="235"/>
      <c r="AB28" s="235"/>
      <c r="AC28" s="235"/>
      <c r="AF28" s="235"/>
      <c r="AG28" s="235"/>
      <c r="AH28" s="235"/>
      <c r="AI28" s="235"/>
      <c r="AK28" s="235"/>
      <c r="AL28" s="235"/>
      <c r="AM28" s="235"/>
      <c r="AN28" s="235"/>
      <c r="AP28" s="235"/>
      <c r="AQ28" s="235"/>
      <c r="AR28" s="235"/>
      <c r="AS28" s="235"/>
      <c r="AU28" s="235"/>
      <c r="AV28" s="235"/>
      <c r="AW28" s="235"/>
      <c r="AX28" s="235"/>
    </row>
    <row r="29" spans="1:50" ht="13.5" customHeight="1">
      <c r="A29" s="1232"/>
      <c r="B29" s="22"/>
      <c r="C29" s="22" t="s">
        <v>2794</v>
      </c>
      <c r="D29" s="276"/>
      <c r="E29" s="276"/>
      <c r="F29" s="191"/>
      <c r="G29" s="224"/>
      <c r="H29" s="224"/>
      <c r="I29" s="224"/>
      <c r="J29" s="134"/>
      <c r="K29" s="154"/>
      <c r="L29" s="154" t="s">
        <v>299</v>
      </c>
      <c r="M29" s="249" t="str">
        <f>B28</f>
        <v>6</v>
      </c>
      <c r="N29" s="5679" t="s">
        <v>916</v>
      </c>
      <c r="O29" s="1500" t="str">
        <f>IF(AND(S29&lt;&gt;"",S29&gt;=0),ROUND(S29,0),IF(S29&lt;&gt;"",-ROUND(S29,0),IF('Sch. D WS'!P26="","",'Sch. D WS'!P26)))</f>
        <v/>
      </c>
      <c r="P29" s="5680" t="s">
        <v>917</v>
      </c>
      <c r="Q29" s="1114"/>
      <c r="R29" s="1222"/>
      <c r="S29" s="3267"/>
      <c r="T29" s="78"/>
      <c r="U29" s="7149"/>
      <c r="V29" s="5"/>
      <c r="W29" s="5"/>
      <c r="X29" s="5"/>
      <c r="Z29" s="235"/>
      <c r="AA29" s="235"/>
      <c r="AB29" s="235"/>
      <c r="AC29" s="235"/>
      <c r="AF29" s="235"/>
      <c r="AG29" s="235"/>
      <c r="AH29" s="235"/>
      <c r="AI29" s="235"/>
      <c r="AK29" s="235"/>
      <c r="AL29" s="235"/>
      <c r="AM29" s="235"/>
      <c r="AN29" s="235"/>
      <c r="AP29" s="235"/>
      <c r="AQ29" s="235"/>
      <c r="AR29" s="235"/>
      <c r="AS29" s="235"/>
      <c r="AU29" s="235"/>
      <c r="AV29" s="235"/>
      <c r="AW29" s="235"/>
      <c r="AX29" s="235"/>
    </row>
    <row r="30" spans="1:50" ht="13.5" customHeight="1">
      <c r="A30" s="1232"/>
      <c r="B30" s="1094">
        <v>7</v>
      </c>
      <c r="C30" s="7075" t="s">
        <v>2795</v>
      </c>
      <c r="D30" s="7147"/>
      <c r="E30" s="7147"/>
      <c r="F30" s="7147"/>
      <c r="G30" s="7147"/>
      <c r="H30" s="7147"/>
      <c r="I30" s="7147"/>
      <c r="J30" s="7147"/>
      <c r="K30" s="7147"/>
      <c r="L30" s="7077"/>
      <c r="M30" s="696"/>
      <c r="N30" s="7066"/>
      <c r="O30" s="7141"/>
      <c r="P30" s="866"/>
      <c r="Q30" s="1115"/>
      <c r="R30" s="1223"/>
      <c r="S30" s="1232"/>
      <c r="T30" s="78"/>
      <c r="U30" s="5"/>
      <c r="V30" s="5"/>
      <c r="W30" s="5"/>
      <c r="X30" s="5"/>
      <c r="Z30" s="235"/>
      <c r="AA30" s="235"/>
      <c r="AB30" s="235"/>
      <c r="AC30" s="235"/>
      <c r="AF30" s="235"/>
      <c r="AG30" s="235"/>
      <c r="AH30" s="235"/>
      <c r="AI30" s="235"/>
      <c r="AK30" s="235"/>
      <c r="AL30" s="235"/>
      <c r="AM30" s="235"/>
      <c r="AN30" s="235"/>
      <c r="AP30" s="235"/>
      <c r="AQ30" s="235"/>
      <c r="AR30" s="235"/>
      <c r="AS30" s="235"/>
      <c r="AU30" s="235"/>
      <c r="AV30" s="235"/>
      <c r="AW30" s="235"/>
      <c r="AX30" s="235"/>
    </row>
    <row r="31" spans="1:50" ht="13.5" customHeight="1" thickBot="1">
      <c r="A31" s="1232"/>
      <c r="B31" s="1096"/>
      <c r="C31" s="7148"/>
      <c r="D31" s="7148"/>
      <c r="E31" s="7148"/>
      <c r="F31" s="7148"/>
      <c r="G31" s="7148"/>
      <c r="H31" s="7148"/>
      <c r="I31" s="7148"/>
      <c r="J31" s="7148"/>
      <c r="K31" s="7148"/>
      <c r="L31" s="7079"/>
      <c r="M31" s="1231">
        <f>B30</f>
        <v>7</v>
      </c>
      <c r="N31" s="7007" t="str">
        <f>IF(S31&lt;&gt;"",S31,IF(AND(N17="",N19="",N21="",N23="",N25="",N27="",OR(O28=0,O28="")),"",SUM(N17,N19,N21,N23,N25,N27,O28)))</f>
        <v/>
      </c>
      <c r="O31" s="7151"/>
      <c r="P31" s="7152"/>
      <c r="Q31" s="1115"/>
      <c r="R31" s="1223"/>
      <c r="S31" s="3267"/>
      <c r="T31" s="78"/>
      <c r="U31" s="5"/>
      <c r="V31" s="5"/>
      <c r="W31" s="5"/>
      <c r="X31" s="5"/>
      <c r="Z31" s="235"/>
      <c r="AA31" s="235"/>
      <c r="AB31" s="235"/>
      <c r="AC31" s="235"/>
      <c r="AF31" s="235"/>
      <c r="AG31" s="235"/>
      <c r="AH31" s="235"/>
      <c r="AI31" s="235"/>
      <c r="AK31" s="235"/>
      <c r="AL31" s="235"/>
      <c r="AM31" s="235"/>
      <c r="AN31" s="235"/>
      <c r="AP31" s="235"/>
      <c r="AQ31" s="235"/>
      <c r="AR31" s="235"/>
      <c r="AS31" s="235"/>
      <c r="AU31" s="235"/>
      <c r="AV31" s="235"/>
      <c r="AW31" s="235"/>
      <c r="AX31" s="235"/>
    </row>
    <row r="32" spans="1:50" ht="19.5" customHeight="1">
      <c r="A32" s="1232"/>
      <c r="B32" s="7146" t="s">
        <v>118</v>
      </c>
      <c r="C32" s="7146"/>
      <c r="D32" s="223"/>
      <c r="E32" s="4219" t="s">
        <v>248</v>
      </c>
      <c r="F32" s="223"/>
      <c r="G32" s="17"/>
      <c r="H32" s="4219" t="s">
        <v>2479</v>
      </c>
      <c r="I32" s="524"/>
      <c r="J32" s="223"/>
      <c r="K32" s="18"/>
      <c r="L32" s="18"/>
      <c r="M32" s="18"/>
      <c r="N32" s="3527"/>
      <c r="O32" s="4843" t="s">
        <v>1794</v>
      </c>
      <c r="P32" s="4843"/>
      <c r="Q32" s="128"/>
      <c r="R32" s="1224"/>
      <c r="S32" s="78"/>
      <c r="T32" s="78"/>
      <c r="U32" s="78"/>
      <c r="V32" s="78"/>
      <c r="W32" s="78"/>
      <c r="X32" s="78"/>
      <c r="Z32" s="235"/>
      <c r="AA32" s="235"/>
      <c r="AB32" s="235"/>
      <c r="AC32" s="235"/>
      <c r="AF32" s="235"/>
      <c r="AG32" s="235"/>
      <c r="AH32" s="235"/>
      <c r="AI32" s="235"/>
      <c r="AK32" s="235"/>
      <c r="AL32" s="235"/>
      <c r="AM32" s="235"/>
      <c r="AN32" s="235"/>
      <c r="AP32" s="235"/>
      <c r="AQ32" s="235"/>
      <c r="AR32" s="235"/>
      <c r="AS32" s="235"/>
      <c r="AU32" s="235"/>
      <c r="AV32" s="235"/>
      <c r="AW32" s="235"/>
      <c r="AX32" s="235"/>
    </row>
    <row r="33" spans="1:50" ht="16.5" customHeight="1">
      <c r="A33" s="1232"/>
      <c r="B33" s="7098" t="s">
        <v>2481</v>
      </c>
      <c r="C33" s="7099"/>
      <c r="D33" s="7099"/>
      <c r="E33" s="7099"/>
      <c r="F33" s="7099"/>
      <c r="G33" s="7100"/>
      <c r="H33" s="7154" t="s">
        <v>2796</v>
      </c>
      <c r="I33" s="7155"/>
      <c r="J33" s="7160" t="s">
        <v>2797</v>
      </c>
      <c r="K33" s="7112" t="s">
        <v>2798</v>
      </c>
      <c r="L33" s="7113"/>
      <c r="M33" s="7163"/>
      <c r="N33" s="7112" t="s">
        <v>2478</v>
      </c>
      <c r="O33" s="7113"/>
      <c r="P33" s="7113"/>
      <c r="Q33" s="1109"/>
      <c r="R33" s="1217"/>
      <c r="S33" s="78"/>
      <c r="T33" s="78"/>
      <c r="U33" s="7056" t="s">
        <v>2252</v>
      </c>
      <c r="V33" s="7136" t="s">
        <v>1669</v>
      </c>
      <c r="W33" s="7124" t="s">
        <v>2253</v>
      </c>
      <c r="X33" s="1126"/>
      <c r="Z33" s="235"/>
      <c r="AA33" s="235"/>
      <c r="AB33" s="235"/>
      <c r="AC33" s="235"/>
      <c r="AF33" s="235"/>
      <c r="AG33" s="235"/>
      <c r="AH33" s="235"/>
      <c r="AI33" s="235"/>
      <c r="AK33" s="235"/>
      <c r="AL33" s="235"/>
      <c r="AM33" s="235"/>
      <c r="AN33" s="235"/>
      <c r="AP33" s="235"/>
      <c r="AQ33" s="235"/>
      <c r="AR33" s="235"/>
      <c r="AS33" s="235"/>
      <c r="AU33" s="235"/>
      <c r="AV33" s="235"/>
      <c r="AW33" s="235"/>
      <c r="AX33" s="235"/>
    </row>
    <row r="34" spans="1:50" ht="16.5" customHeight="1">
      <c r="A34" s="1232"/>
      <c r="B34" s="7101"/>
      <c r="C34" s="7102"/>
      <c r="D34" s="7102"/>
      <c r="E34" s="7102"/>
      <c r="F34" s="7102"/>
      <c r="G34" s="7103"/>
      <c r="H34" s="7156"/>
      <c r="I34" s="7157"/>
      <c r="J34" s="7161"/>
      <c r="K34" s="7114"/>
      <c r="L34" s="7115"/>
      <c r="M34" s="7164"/>
      <c r="N34" s="7114"/>
      <c r="O34" s="7115"/>
      <c r="P34" s="7115"/>
      <c r="Q34" s="1110"/>
      <c r="R34" s="1218"/>
      <c r="S34" s="1126" t="s">
        <v>631</v>
      </c>
      <c r="T34" s="78"/>
      <c r="U34" s="7057"/>
      <c r="V34" s="7137"/>
      <c r="W34" s="7139"/>
      <c r="X34" s="1126"/>
      <c r="Z34" s="235"/>
      <c r="AA34" s="235"/>
      <c r="AB34" s="235"/>
      <c r="AC34" s="235"/>
      <c r="AF34" s="235"/>
      <c r="AG34" s="235"/>
      <c r="AH34" s="235"/>
      <c r="AI34" s="235"/>
      <c r="AK34" s="235"/>
      <c r="AL34" s="235"/>
      <c r="AM34" s="235"/>
      <c r="AN34" s="235"/>
      <c r="AP34" s="235"/>
      <c r="AQ34" s="235"/>
      <c r="AR34" s="235"/>
      <c r="AS34" s="235"/>
      <c r="AU34" s="235"/>
      <c r="AV34" s="235"/>
      <c r="AW34" s="235"/>
      <c r="AX34" s="235"/>
    </row>
    <row r="35" spans="1:50" ht="16.5" customHeight="1">
      <c r="A35" s="1232"/>
      <c r="B35" s="7104"/>
      <c r="C35" s="7105"/>
      <c r="D35" s="7105"/>
      <c r="E35" s="7105"/>
      <c r="F35" s="7105"/>
      <c r="G35" s="7106"/>
      <c r="H35" s="7158"/>
      <c r="I35" s="7159"/>
      <c r="J35" s="7162"/>
      <c r="K35" s="7116"/>
      <c r="L35" s="7117"/>
      <c r="M35" s="7165"/>
      <c r="N35" s="7116"/>
      <c r="O35" s="7117"/>
      <c r="P35" s="7117"/>
      <c r="Q35" s="1111"/>
      <c r="R35" s="1219"/>
      <c r="S35" s="78"/>
      <c r="T35" s="78"/>
      <c r="U35" s="7058"/>
      <c r="V35" s="7138"/>
      <c r="W35" s="7140"/>
      <c r="X35" s="1126"/>
      <c r="Z35" s="263" t="s">
        <v>760</v>
      </c>
      <c r="AA35" s="263" t="s">
        <v>761</v>
      </c>
      <c r="AB35" s="263" t="s">
        <v>762</v>
      </c>
      <c r="AC35" s="263" t="s">
        <v>3183</v>
      </c>
      <c r="AF35" s="263" t="s">
        <v>760</v>
      </c>
      <c r="AG35" s="263" t="s">
        <v>761</v>
      </c>
      <c r="AH35" s="263" t="s">
        <v>762</v>
      </c>
      <c r="AI35" s="263" t="s">
        <v>3183</v>
      </c>
      <c r="AK35" s="263" t="s">
        <v>760</v>
      </c>
      <c r="AL35" s="263" t="s">
        <v>761</v>
      </c>
      <c r="AM35" s="263" t="s">
        <v>762</v>
      </c>
      <c r="AN35" s="263" t="s">
        <v>3183</v>
      </c>
      <c r="AP35" s="263" t="s">
        <v>760</v>
      </c>
      <c r="AQ35" s="263" t="s">
        <v>761</v>
      </c>
      <c r="AR35" s="263" t="s">
        <v>762</v>
      </c>
      <c r="AS35" s="263" t="s">
        <v>3183</v>
      </c>
      <c r="AU35" s="263" t="s">
        <v>760</v>
      </c>
      <c r="AV35" s="263" t="s">
        <v>761</v>
      </c>
      <c r="AW35" s="263" t="s">
        <v>762</v>
      </c>
      <c r="AX35" s="263" t="s">
        <v>3183</v>
      </c>
    </row>
    <row r="36" spans="1:50" ht="46.5" customHeight="1">
      <c r="A36" s="1232"/>
      <c r="B36" s="1205" t="s">
        <v>34</v>
      </c>
      <c r="C36" s="7085" t="s">
        <v>2799</v>
      </c>
      <c r="D36" s="7086"/>
      <c r="E36" s="7086"/>
      <c r="F36" s="7086"/>
      <c r="G36" s="7087"/>
      <c r="H36" s="1310"/>
      <c r="I36" s="1311"/>
      <c r="J36" s="1312"/>
      <c r="K36" s="1317"/>
      <c r="L36" s="1318"/>
      <c r="M36" s="1319"/>
      <c r="N36" s="1313"/>
      <c r="O36" s="1314"/>
      <c r="P36" s="1314"/>
      <c r="Q36" s="1111"/>
      <c r="R36" s="1219"/>
      <c r="S36" s="78"/>
      <c r="T36" s="78"/>
      <c r="U36" s="1302"/>
      <c r="V36" s="1301"/>
      <c r="W36" s="1315"/>
      <c r="X36" s="1126"/>
      <c r="Z36" s="263"/>
      <c r="AA36" s="263"/>
      <c r="AB36" s="263"/>
      <c r="AC36" s="263"/>
      <c r="AF36" s="263"/>
      <c r="AG36" s="263"/>
      <c r="AH36" s="263"/>
      <c r="AI36" s="263"/>
      <c r="AK36" s="263"/>
      <c r="AL36" s="263"/>
      <c r="AM36" s="263"/>
      <c r="AN36" s="263"/>
      <c r="AP36" s="263"/>
      <c r="AQ36" s="263"/>
      <c r="AR36" s="263"/>
      <c r="AS36" s="263"/>
      <c r="AU36" s="263"/>
      <c r="AV36" s="263"/>
      <c r="AW36" s="263"/>
      <c r="AX36" s="263"/>
    </row>
    <row r="37" spans="1:50" ht="15.75" customHeight="1">
      <c r="A37" s="1232"/>
      <c r="B37" s="1309"/>
      <c r="C37" s="7088"/>
      <c r="D37" s="7088"/>
      <c r="E37" s="7088"/>
      <c r="F37" s="7088"/>
      <c r="G37" s="7089"/>
      <c r="H37" s="6991"/>
      <c r="I37" s="7153"/>
      <c r="J37" s="1209"/>
      <c r="K37" s="7082"/>
      <c r="L37" s="7083"/>
      <c r="M37" s="7084"/>
      <c r="N37" s="6981" t="str">
        <f>IF(OR(H37&lt;&gt;"",J37&lt;&gt;""),ROUND(SUM(H37,-J37),0),"")</f>
        <v/>
      </c>
      <c r="O37" s="6982"/>
      <c r="P37" s="7142"/>
      <c r="Q37" s="1111"/>
      <c r="R37" s="1219"/>
      <c r="S37" s="78"/>
      <c r="T37" s="78"/>
      <c r="U37" s="1302" t="str">
        <f>"---"</f>
        <v>---</v>
      </c>
      <c r="V37" s="1302" t="str">
        <f>"---"</f>
        <v>---</v>
      </c>
      <c r="W37" s="1316"/>
      <c r="X37" s="1126"/>
      <c r="Z37" s="263"/>
      <c r="AA37" s="263"/>
      <c r="AB37" s="263"/>
      <c r="AC37" s="263"/>
      <c r="AF37" s="263"/>
      <c r="AG37" s="263"/>
      <c r="AH37" s="263"/>
      <c r="AI37" s="263"/>
      <c r="AK37" s="263"/>
      <c r="AL37" s="263"/>
      <c r="AM37" s="263"/>
      <c r="AN37" s="263"/>
      <c r="AP37" s="263"/>
      <c r="AQ37" s="263"/>
      <c r="AR37" s="263"/>
      <c r="AS37" s="263"/>
      <c r="AU37" s="263"/>
      <c r="AV37" s="263"/>
      <c r="AW37" s="263"/>
      <c r="AX37" s="263"/>
    </row>
    <row r="38" spans="1:50" ht="13.5" customHeight="1">
      <c r="A38" s="1232"/>
      <c r="B38" s="1205" t="s">
        <v>35</v>
      </c>
      <c r="C38" s="7070" t="s">
        <v>4405</v>
      </c>
      <c r="D38" s="7071"/>
      <c r="E38" s="7071"/>
      <c r="F38" s="7071"/>
      <c r="G38" s="7072"/>
      <c r="H38" s="7068">
        <f>SUM(AF39:AI39)</f>
        <v>0</v>
      </c>
      <c r="I38" s="7080"/>
      <c r="J38" s="1261">
        <f>SUM(AK39:AN39)</f>
        <v>0</v>
      </c>
      <c r="K38" s="7068">
        <f>SUM(AP39:AS39)</f>
        <v>0</v>
      </c>
      <c r="L38" s="7069"/>
      <c r="M38" s="7081"/>
      <c r="N38" s="7062">
        <f>SUM(AU39:AX39)</f>
        <v>0</v>
      </c>
      <c r="O38" s="7063"/>
      <c r="P38" s="3525"/>
      <c r="Q38" s="1112"/>
      <c r="R38" s="1220"/>
      <c r="S38" s="78"/>
      <c r="T38" s="78"/>
      <c r="U38" s="1266"/>
      <c r="V38" s="1269"/>
      <c r="W38" s="1268"/>
      <c r="X38" s="1126"/>
      <c r="Z38" s="235"/>
      <c r="AA38" s="235"/>
      <c r="AB38" s="235"/>
      <c r="AC38" s="235"/>
      <c r="AF38" s="235"/>
      <c r="AG38" s="235"/>
      <c r="AH38" s="235"/>
      <c r="AI38" s="235"/>
      <c r="AK38" s="235"/>
      <c r="AL38" s="235"/>
      <c r="AM38" s="235"/>
      <c r="AN38" s="235"/>
      <c r="AP38" s="235"/>
      <c r="AQ38" s="235"/>
      <c r="AR38" s="235"/>
      <c r="AS38" s="235"/>
      <c r="AU38" s="235"/>
      <c r="AV38" s="235"/>
      <c r="AW38" s="235"/>
      <c r="AX38" s="235"/>
    </row>
    <row r="39" spans="1:50" ht="13.5" customHeight="1">
      <c r="A39" s="1232"/>
      <c r="B39" s="1206"/>
      <c r="C39" s="7073"/>
      <c r="D39" s="7073"/>
      <c r="E39" s="7073"/>
      <c r="F39" s="7073"/>
      <c r="G39" s="7074"/>
      <c r="H39" s="6981" t="str">
        <f>IF(U39&lt;&gt;"",ROUND(U39,0),IF($AD39,ROUND(H38,0),""))</f>
        <v/>
      </c>
      <c r="I39" s="7061"/>
      <c r="J39" s="1320" t="str">
        <f>IF(V39&lt;&gt;"",ROUND(V39,0),IF($AD39,ROUND(J38,0),""))</f>
        <v/>
      </c>
      <c r="K39" s="6981" t="str">
        <f>IF(W39&lt;&gt;"",ROUND(W39,0),IF($AD39,ROUND(K38,0),""))</f>
        <v/>
      </c>
      <c r="L39" s="6982"/>
      <c r="M39" s="7061"/>
      <c r="N39" s="6981" t="str">
        <f>IF(AND(H39="",J39="",K39=""),"",IF(AND(V39="",OR(U39&lt;&gt;"",W39&lt;&gt;"")),SUM(H39,K39),IF(OR(U39&lt;&gt;"",V39&lt;&gt;"",W39&lt;&gt;""),SUM(H39,-J39,K39),N38)))</f>
        <v/>
      </c>
      <c r="O39" s="6982"/>
      <c r="P39" s="7142"/>
      <c r="Q39" s="1112"/>
      <c r="R39" s="1220"/>
      <c r="S39" s="78"/>
      <c r="T39" s="78"/>
      <c r="U39" s="1207"/>
      <c r="V39" s="1208"/>
      <c r="W39" s="1209"/>
      <c r="X39" s="1126"/>
      <c r="Z39" s="235">
        <f>IF(F8949ALBOXA&lt;&gt;"",F8949ALT,0)</f>
        <v>0</v>
      </c>
      <c r="AA39" s="235">
        <f>IF(F8949BLBOXA&lt;&gt;"",F8949BLT,0)</f>
        <v>0</v>
      </c>
      <c r="AB39" s="235">
        <f>IF(F8949CLBOXA&lt;&gt;"",F8949CLT,0)</f>
        <v>0</v>
      </c>
      <c r="AC39" s="235">
        <f>IF(F8949DLBOXA&lt;&gt;"",F8949DLT,0)</f>
        <v>0</v>
      </c>
      <c r="AD39" s="3" t="b">
        <f>IF(SUM(Z39:AC39)&gt;0,TRUE,FALSE)</f>
        <v>0</v>
      </c>
      <c r="AF39" s="235">
        <f>IF(F8949ALBOXA&lt;&gt;"",F8949ALTD,0)</f>
        <v>0</v>
      </c>
      <c r="AG39" s="235">
        <f>IF(F8949BLBOXA&lt;&gt;"",F8949BLTD,0)</f>
        <v>0</v>
      </c>
      <c r="AH39" s="235">
        <f>IF(F8949CLBOXA&lt;&gt;"",F8949CLTD,0)</f>
        <v>0</v>
      </c>
      <c r="AI39" s="235">
        <f>IF(F8949DLBOXA&lt;&gt;"",F8949DLTD,0)</f>
        <v>0</v>
      </c>
      <c r="AK39" s="235">
        <f>IF(F8949ALBOXA&lt;&gt;"",F8949ALTE,0)</f>
        <v>0</v>
      </c>
      <c r="AL39" s="235">
        <f>IF(F8949BLBOXA&lt;&gt;"",F8949BLTE,0)</f>
        <v>0</v>
      </c>
      <c r="AM39" s="235">
        <f>IF(F8949CLBOXA&lt;&gt;"",F8949CLTE,0)</f>
        <v>0</v>
      </c>
      <c r="AN39" s="235">
        <f>IF(F8949DLBOXA&lt;&gt;"",F8949DLTE,0)</f>
        <v>0</v>
      </c>
      <c r="AP39" s="235">
        <f>IF(F8949ALBOXA&lt;&gt;"",F8949ALTG,0)</f>
        <v>0</v>
      </c>
      <c r="AQ39" s="235">
        <f>IF(F8949BLBOXA&lt;&gt;"",F8949BLTG,0)</f>
        <v>0</v>
      </c>
      <c r="AR39" s="235">
        <f>IF(F8949CLBOXA&lt;&gt;"",F8949CLTG,0)</f>
        <v>0</v>
      </c>
      <c r="AS39" s="235">
        <f>IF(F8949DLBOXA&lt;&gt;"",F8949DLTG,0)</f>
        <v>0</v>
      </c>
      <c r="AU39" s="235">
        <f>IF(F8949ALBOXA&lt;&gt;"",F8949ALTH,0)</f>
        <v>0</v>
      </c>
      <c r="AV39" s="235">
        <f>IF(F8949BLBOXA&lt;&gt;"",F8949BLTH,0)</f>
        <v>0</v>
      </c>
      <c r="AW39" s="235">
        <f>IF(F8949CLBOXA&lt;&gt;"",F8949CLTH,0)</f>
        <v>0</v>
      </c>
      <c r="AX39" s="235">
        <f>IF(F8949DLBOXA&lt;&gt;"",F8949DLTH,0)</f>
        <v>0</v>
      </c>
    </row>
    <row r="40" spans="1:50" ht="13.5" customHeight="1">
      <c r="A40" s="1232"/>
      <c r="B40" s="1205">
        <v>9</v>
      </c>
      <c r="C40" s="7070" t="s">
        <v>4406</v>
      </c>
      <c r="D40" s="7071"/>
      <c r="E40" s="7071"/>
      <c r="F40" s="7071"/>
      <c r="G40" s="7072"/>
      <c r="H40" s="7068">
        <f>SUM(AF41:AI41)</f>
        <v>0</v>
      </c>
      <c r="I40" s="7080"/>
      <c r="J40" s="1261">
        <f>SUM(AK41:AN41)</f>
        <v>0</v>
      </c>
      <c r="K40" s="7068">
        <f>SUM(AP41:AS41)</f>
        <v>0</v>
      </c>
      <c r="L40" s="7069"/>
      <c r="M40" s="7081"/>
      <c r="N40" s="7068">
        <f>SUM(AU41:AX41)</f>
        <v>0</v>
      </c>
      <c r="O40" s="7069"/>
      <c r="P40" s="3525"/>
      <c r="Q40" s="1112"/>
      <c r="R40" s="1220"/>
      <c r="S40" s="78"/>
      <c r="T40" s="78"/>
      <c r="U40" s="1266"/>
      <c r="V40" s="1269"/>
      <c r="W40" s="1268"/>
      <c r="X40" s="1126"/>
      <c r="Z40" s="235"/>
      <c r="AA40" s="235"/>
      <c r="AB40" s="235"/>
      <c r="AC40" s="235"/>
      <c r="AF40" s="235"/>
      <c r="AG40" s="235"/>
      <c r="AH40" s="235"/>
      <c r="AI40" s="235"/>
      <c r="AK40" s="235"/>
      <c r="AL40" s="235"/>
      <c r="AM40" s="235"/>
      <c r="AN40" s="235"/>
      <c r="AP40" s="235"/>
      <c r="AQ40" s="235"/>
      <c r="AR40" s="235"/>
      <c r="AS40" s="235"/>
      <c r="AU40" s="235"/>
      <c r="AV40" s="235"/>
      <c r="AW40" s="235"/>
      <c r="AX40" s="235"/>
    </row>
    <row r="41" spans="1:50" ht="12.75" customHeight="1">
      <c r="A41" s="1232"/>
      <c r="B41" s="1206"/>
      <c r="C41" s="7073"/>
      <c r="D41" s="7073"/>
      <c r="E41" s="7073"/>
      <c r="F41" s="7073"/>
      <c r="G41" s="7074"/>
      <c r="H41" s="6981" t="str">
        <f>IF(U41&lt;&gt;"",ROUND(U41,0),IF($AD41,ROUND(H40,0),""))</f>
        <v/>
      </c>
      <c r="I41" s="7061"/>
      <c r="J41" s="1320" t="str">
        <f>IF(V41&lt;&gt;"",ROUND(V41,0),IF($AD41,ROUND(J40,0),""))</f>
        <v/>
      </c>
      <c r="K41" s="6981" t="str">
        <f>IF(W41&lt;&gt;"",ROUND(W41,0),IF($AD41,ROUND(K40,0),""))</f>
        <v/>
      </c>
      <c r="L41" s="6982"/>
      <c r="M41" s="7061"/>
      <c r="N41" s="6981" t="str">
        <f>IF(AND(H41="",J41="",K41=""),"",IF(AND(V41="",OR(U41&lt;&gt;"",W41&lt;&gt;"")),SUM(H41,K41),IF(OR(U41&lt;&gt;"",V41&lt;&gt;"",W41&lt;&gt;""),SUM(H41,-J41,K41),N40)))</f>
        <v/>
      </c>
      <c r="O41" s="6982"/>
      <c r="P41" s="7142"/>
      <c r="Q41" s="1112"/>
      <c r="R41" s="1220"/>
      <c r="S41" s="78"/>
      <c r="T41" s="78"/>
      <c r="U41" s="1207"/>
      <c r="V41" s="1208"/>
      <c r="W41" s="1209"/>
      <c r="X41" s="1126"/>
      <c r="Z41" s="235">
        <f>IF(F8949ALBOXB&lt;&gt;"",F8949ALT,0)</f>
        <v>0</v>
      </c>
      <c r="AA41" s="235">
        <f>IF(F8949BLBOXB&lt;&gt;"",F8949BLT,0)</f>
        <v>0</v>
      </c>
      <c r="AB41" s="235">
        <f>IF(F8949CLBOXB&lt;&gt;"",F8949CLT,0)</f>
        <v>0</v>
      </c>
      <c r="AC41" s="235">
        <f>IF(F8949DLBOXB&lt;&gt;"",F8949DLT,0)</f>
        <v>0</v>
      </c>
      <c r="AD41" s="3" t="b">
        <f>IF(SUM(Z41:AC41)&gt;0,TRUE,FALSE)</f>
        <v>0</v>
      </c>
      <c r="AF41" s="235">
        <f>IF(F8949ALBOXB&lt;&gt;"",F8949ALTD,0)</f>
        <v>0</v>
      </c>
      <c r="AG41" s="235">
        <f>IF(F8949BLBOXB&lt;&gt;"",F8949BLTD,0)</f>
        <v>0</v>
      </c>
      <c r="AH41" s="235">
        <f>IF(F8949CLBOXB&lt;&gt;"",F8949CLTD,0)</f>
        <v>0</v>
      </c>
      <c r="AI41" s="235">
        <f>IF(F8949DLBOXB&lt;&gt;"",F8949DLTD,0)</f>
        <v>0</v>
      </c>
      <c r="AK41" s="235">
        <f>IF(F8949ALBOXB&lt;&gt;"",F8949ALTE,0)</f>
        <v>0</v>
      </c>
      <c r="AL41" s="235">
        <f>IF(F8949BLBOXB&lt;&gt;"",F8949BLTE,0)</f>
        <v>0</v>
      </c>
      <c r="AM41" s="235">
        <f>IF(F8949CLBOXB&lt;&gt;"",F8949CLTE,0)</f>
        <v>0</v>
      </c>
      <c r="AN41" s="235">
        <f>IF(F8949DLBOXB&lt;&gt;"",F8949DLTE,0)</f>
        <v>0</v>
      </c>
      <c r="AP41" s="235">
        <f>IF(F8949ALBOXB&lt;&gt;"",F8949ALTG,0)</f>
        <v>0</v>
      </c>
      <c r="AQ41" s="235">
        <f>IF(F8949BLBOXB&lt;&gt;"",F8949BLTG,0)</f>
        <v>0</v>
      </c>
      <c r="AR41" s="235">
        <f>IF(F8949CLBOXB&lt;&gt;"",F8949CLTG,0)</f>
        <v>0</v>
      </c>
      <c r="AS41" s="235">
        <f>IF(F8949DLBOXB&lt;&gt;"",F8949DLTG,0)</f>
        <v>0</v>
      </c>
      <c r="AU41" s="235">
        <f>IF(F8949ALBOXB&lt;&gt;"",F8949ALTH,0)</f>
        <v>0</v>
      </c>
      <c r="AV41" s="235">
        <f>IF(F8949BLBOXB&lt;&gt;"",F8949BLTH,0)</f>
        <v>0</v>
      </c>
      <c r="AW41" s="235">
        <f>IF(F8949CLBOXB&lt;&gt;"",F8949CLTH,0)</f>
        <v>0</v>
      </c>
      <c r="AX41" s="235">
        <f>IF(F8949DLBOXB&lt;&gt;"",F8949DLTH,0)</f>
        <v>0</v>
      </c>
    </row>
    <row r="42" spans="1:50" ht="12.75" customHeight="1">
      <c r="A42" s="1232"/>
      <c r="B42" s="1205">
        <v>10</v>
      </c>
      <c r="C42" s="7070" t="s">
        <v>4407</v>
      </c>
      <c r="D42" s="7071"/>
      <c r="E42" s="7071"/>
      <c r="F42" s="7071"/>
      <c r="G42" s="7072"/>
      <c r="H42" s="7068">
        <f>SUM(AF43:AI43)</f>
        <v>0</v>
      </c>
      <c r="I42" s="7080"/>
      <c r="J42" s="1261">
        <f>SUM(AK43:AN43)</f>
        <v>0</v>
      </c>
      <c r="K42" s="7068">
        <f>SUM(AP43:AS43)</f>
        <v>0</v>
      </c>
      <c r="L42" s="7069"/>
      <c r="M42" s="7081"/>
      <c r="N42" s="7068">
        <f>SUM(AU43:AX43)</f>
        <v>0</v>
      </c>
      <c r="O42" s="7069"/>
      <c r="P42" s="3525"/>
      <c r="Q42" s="1112"/>
      <c r="R42" s="1220"/>
      <c r="S42" s="78"/>
      <c r="T42" s="78"/>
      <c r="U42" s="1266"/>
      <c r="V42" s="1269"/>
      <c r="W42" s="1268"/>
      <c r="X42" s="1126"/>
      <c r="Z42" s="235"/>
      <c r="AA42" s="235"/>
      <c r="AB42" s="235"/>
      <c r="AC42" s="235"/>
      <c r="AF42" s="235"/>
      <c r="AG42" s="235"/>
      <c r="AH42" s="235"/>
      <c r="AI42" s="235"/>
      <c r="AK42" s="235"/>
      <c r="AL42" s="235"/>
      <c r="AM42" s="235"/>
      <c r="AN42" s="235"/>
      <c r="AP42" s="235"/>
      <c r="AQ42" s="235"/>
      <c r="AR42" s="235"/>
      <c r="AS42" s="235"/>
      <c r="AU42" s="235"/>
      <c r="AV42" s="235"/>
      <c r="AW42" s="235"/>
      <c r="AX42" s="235"/>
    </row>
    <row r="43" spans="1:50" ht="12.75" customHeight="1">
      <c r="A43" s="1232"/>
      <c r="B43" s="1206"/>
      <c r="C43" s="7073"/>
      <c r="D43" s="7073"/>
      <c r="E43" s="7073"/>
      <c r="F43" s="7073"/>
      <c r="G43" s="7074"/>
      <c r="H43" s="6981" t="str">
        <f>IF(U43&lt;&gt;"",ROUND(U43,0),IF($AD43,ROUND(H42,0),""))</f>
        <v/>
      </c>
      <c r="I43" s="7061"/>
      <c r="J43" s="1320" t="str">
        <f>IF(V43&lt;&gt;"",ROUND(V43,0),IF($AD43,ROUND(J42,0),""))</f>
        <v/>
      </c>
      <c r="K43" s="6981" t="str">
        <f>IF(W43&lt;&gt;"",ROUND(W43,0),IF($AD43,ROUND(K42,0),""))</f>
        <v/>
      </c>
      <c r="L43" s="6982"/>
      <c r="M43" s="7061"/>
      <c r="N43" s="6981" t="str">
        <f>IF(AND(H43="",J43="",K43=""),"",IF(AND(V43="",OR(U43&lt;&gt;"",W43&lt;&gt;"")),SUM(H43,K43),IF(OR(U43&lt;&gt;"",V43&lt;&gt;"",W43&lt;&gt;""),SUM(H43,-J43,K43),N42)))</f>
        <v/>
      </c>
      <c r="O43" s="6982"/>
      <c r="P43" s="7142"/>
      <c r="Q43" s="1112"/>
      <c r="R43" s="1220"/>
      <c r="S43" s="78"/>
      <c r="T43" s="78"/>
      <c r="U43" s="1207"/>
      <c r="V43" s="1208"/>
      <c r="W43" s="1209"/>
      <c r="X43" s="1126"/>
      <c r="Z43" s="235">
        <f>IF(F8949ALBOXC&lt;&gt;"",F8949ALT,0)</f>
        <v>0</v>
      </c>
      <c r="AA43" s="235">
        <f>IF(F8949BLBOXC&lt;&gt;"",F8949BLT,0)</f>
        <v>0</v>
      </c>
      <c r="AB43" s="235">
        <f>IF(F8949CLBOXC&lt;&gt;"",F8949CLT,0)</f>
        <v>0</v>
      </c>
      <c r="AC43" s="235">
        <f>IF(F8949DLBOXC&lt;&gt;"",F8949DLT,0)</f>
        <v>0</v>
      </c>
      <c r="AD43" s="3" t="b">
        <f>IF(SUM(Z43:AC43)&gt;0,TRUE,FALSE)</f>
        <v>0</v>
      </c>
      <c r="AF43" s="235">
        <f>IF(F8949ALBOXC&lt;&gt;"",F8949ALTD,0)</f>
        <v>0</v>
      </c>
      <c r="AG43" s="235">
        <f>IF(F8949BLBOXC&lt;&gt;"",F8949BLTD,0)</f>
        <v>0</v>
      </c>
      <c r="AH43" s="235">
        <f>IF(F8949CLBOXC&lt;&gt;"",F8949CLTD,0)</f>
        <v>0</v>
      </c>
      <c r="AI43" s="235">
        <f>IF(F8949DLBOXC&lt;&gt;"",F8949DLTD,0)</f>
        <v>0</v>
      </c>
      <c r="AK43" s="235">
        <f>IF(F8949ALBOXC&lt;&gt;"",F8949ALTE,0)</f>
        <v>0</v>
      </c>
      <c r="AL43" s="235">
        <f>IF(F8949BLBOXC&lt;&gt;"",F8949BLTE,0)</f>
        <v>0</v>
      </c>
      <c r="AM43" s="235">
        <f>IF(F8949CLBOXC&lt;&gt;"",F8949CLTE,0)</f>
        <v>0</v>
      </c>
      <c r="AN43" s="235">
        <f>IF(F8949DLBOXC&lt;&gt;"",F8949DLTE,0)</f>
        <v>0</v>
      </c>
      <c r="AP43" s="235">
        <f>IF(F8949ALBOXC&lt;&gt;"",F8949ALTG,0)</f>
        <v>0</v>
      </c>
      <c r="AQ43" s="235">
        <f>IF(F8949BLBOXC&lt;&gt;"",F8949BLTG,0)</f>
        <v>0</v>
      </c>
      <c r="AR43" s="235">
        <f>IF(F8949CLBOXC&lt;&gt;"",F8949CLTG,0)</f>
        <v>0</v>
      </c>
      <c r="AS43" s="235">
        <f>IF(F8949DLBOXC&lt;&gt;"",F8949DLTG,0)</f>
        <v>0</v>
      </c>
      <c r="AU43" s="235">
        <f>IF(F8949ALBOXC&lt;&gt;"",F8949ALTH,0)</f>
        <v>0</v>
      </c>
      <c r="AV43" s="235">
        <f>IF(F8949BLBOXC&lt;&gt;"",F8949BLTH,0)</f>
        <v>0</v>
      </c>
      <c r="AW43" s="235">
        <f>IF(F8949CLBOXC&lt;&gt;"",F8949CLTH,0)</f>
        <v>0</v>
      </c>
      <c r="AX43" s="235">
        <f>IF(F8949DLBOXC&lt;&gt;"",F8949DLTH,0)</f>
        <v>0</v>
      </c>
    </row>
    <row r="44" spans="1:50" ht="12.75" customHeight="1">
      <c r="A44" s="1232"/>
      <c r="B44" s="1094">
        <v>11</v>
      </c>
      <c r="C44" s="7090" t="s">
        <v>2800</v>
      </c>
      <c r="D44" s="7091"/>
      <c r="E44" s="7091"/>
      <c r="F44" s="7091"/>
      <c r="G44" s="7091"/>
      <c r="H44" s="7091"/>
      <c r="I44" s="7091"/>
      <c r="J44" s="7091"/>
      <c r="K44" s="7091"/>
      <c r="L44" s="7092"/>
      <c r="M44" s="696"/>
      <c r="N44" s="7167"/>
      <c r="O44" s="7168"/>
      <c r="P44" s="3526"/>
      <c r="Q44" s="1112"/>
      <c r="R44" s="1220"/>
      <c r="S44" s="78"/>
      <c r="T44" s="78"/>
      <c r="U44" s="78"/>
      <c r="V44" s="78"/>
      <c r="W44" s="78"/>
      <c r="X44" s="78"/>
      <c r="Z44" s="235"/>
      <c r="AA44" s="235"/>
      <c r="AB44" s="235"/>
      <c r="AC44" s="235"/>
      <c r="AF44" s="235"/>
      <c r="AG44" s="235"/>
      <c r="AH44" s="235"/>
      <c r="AI44" s="235"/>
      <c r="AK44" s="235"/>
      <c r="AL44" s="235"/>
      <c r="AM44" s="235"/>
      <c r="AN44" s="235"/>
      <c r="AP44" s="235"/>
      <c r="AQ44" s="235"/>
      <c r="AR44" s="235"/>
      <c r="AS44" s="235"/>
      <c r="AU44" s="235"/>
      <c r="AV44" s="235"/>
      <c r="AW44" s="235"/>
      <c r="AX44" s="235"/>
    </row>
    <row r="45" spans="1:50" ht="13.5" customHeight="1">
      <c r="A45" s="1232"/>
      <c r="B45" s="1094"/>
      <c r="C45" s="7093"/>
      <c r="D45" s="7093"/>
      <c r="E45" s="7093"/>
      <c r="F45" s="7093"/>
      <c r="G45" s="7093"/>
      <c r="H45" s="7093"/>
      <c r="I45" s="7093"/>
      <c r="J45" s="7093"/>
      <c r="K45" s="7093"/>
      <c r="L45" s="7094"/>
      <c r="M45" s="249">
        <f>B44</f>
        <v>11</v>
      </c>
      <c r="N45" s="6991"/>
      <c r="O45" s="6801"/>
      <c r="P45" s="7169"/>
      <c r="Q45" s="1112"/>
      <c r="R45" s="1220"/>
      <c r="S45" s="78"/>
      <c r="T45" s="78"/>
      <c r="U45" s="78"/>
      <c r="V45" s="78"/>
      <c r="W45" s="78"/>
      <c r="X45" s="78"/>
      <c r="Z45" s="235"/>
      <c r="AA45" s="235"/>
      <c r="AB45" s="235"/>
      <c r="AC45" s="235"/>
      <c r="AF45" s="235"/>
      <c r="AG45" s="235"/>
      <c r="AH45" s="235"/>
      <c r="AI45" s="235"/>
      <c r="AK45" s="235"/>
      <c r="AL45" s="235"/>
      <c r="AM45" s="235"/>
      <c r="AN45" s="235"/>
      <c r="AP45" s="235"/>
      <c r="AQ45" s="235"/>
      <c r="AR45" s="235"/>
      <c r="AS45" s="235"/>
      <c r="AU45" s="235"/>
      <c r="AV45" s="235"/>
      <c r="AW45" s="235"/>
      <c r="AX45" s="235"/>
    </row>
    <row r="46" spans="1:50" ht="12.75" customHeight="1">
      <c r="A46" s="1232"/>
      <c r="B46" s="154">
        <v>12</v>
      </c>
      <c r="C46" s="1023" t="s">
        <v>4409</v>
      </c>
      <c r="D46" s="164"/>
      <c r="E46" s="164"/>
      <c r="F46" s="164"/>
      <c r="G46" s="224"/>
      <c r="H46" s="134"/>
      <c r="I46" s="134"/>
      <c r="J46" s="134"/>
      <c r="K46" s="154"/>
      <c r="L46" s="155"/>
      <c r="M46" s="249">
        <f>B46</f>
        <v>12</v>
      </c>
      <c r="N46" s="6991"/>
      <c r="O46" s="6801"/>
      <c r="P46" s="7169"/>
      <c r="Q46" s="1113"/>
      <c r="R46" s="1221"/>
      <c r="S46" s="78"/>
      <c r="T46" s="78"/>
      <c r="U46" s="7149" t="str">
        <f>IF(AND(S49&lt;&gt;"",S49&gt;0),"This positive amount is being used as a negative amount.","")</f>
        <v/>
      </c>
      <c r="V46" s="5"/>
      <c r="W46" s="5"/>
      <c r="X46" s="5"/>
      <c r="Z46" s="235"/>
      <c r="AA46" s="235"/>
      <c r="AB46" s="235"/>
      <c r="AC46" s="235"/>
      <c r="AF46" s="235"/>
      <c r="AG46" s="235"/>
      <c r="AH46" s="235"/>
      <c r="AI46" s="235"/>
      <c r="AK46" s="235"/>
      <c r="AL46" s="235"/>
      <c r="AM46" s="235"/>
      <c r="AN46" s="235"/>
      <c r="AP46" s="235"/>
      <c r="AQ46" s="235"/>
      <c r="AR46" s="235"/>
      <c r="AS46" s="235"/>
      <c r="AU46" s="235"/>
      <c r="AV46" s="235"/>
      <c r="AW46" s="235"/>
      <c r="AX46" s="235"/>
    </row>
    <row r="47" spans="1:50" ht="13.5" customHeight="1">
      <c r="A47" s="1232"/>
      <c r="B47" s="22">
        <v>13</v>
      </c>
      <c r="C47" s="1023" t="s">
        <v>625</v>
      </c>
      <c r="D47" s="276"/>
      <c r="E47" s="276"/>
      <c r="F47" s="191"/>
      <c r="G47" s="224"/>
      <c r="H47" s="224"/>
      <c r="I47" s="224"/>
      <c r="J47" s="134"/>
      <c r="K47" s="154"/>
      <c r="L47" s="154" t="s">
        <v>2576</v>
      </c>
      <c r="M47" s="249">
        <f>B47</f>
        <v>13</v>
      </c>
      <c r="N47" s="6981" t="str">
        <f>IF(S47&lt;&gt;"",ROUND(S47,0),IF('1099-DIV'!H92=0,"",'1099-DIV'!H92))</f>
        <v/>
      </c>
      <c r="O47" s="6982"/>
      <c r="P47" s="7142"/>
      <c r="Q47" s="1114"/>
      <c r="R47" s="1222"/>
      <c r="S47" s="3267"/>
      <c r="T47" s="78"/>
      <c r="U47" s="7149"/>
      <c r="V47" s="5"/>
      <c r="W47" s="5"/>
      <c r="X47" s="5"/>
      <c r="Z47" s="235"/>
      <c r="AA47" s="235"/>
      <c r="AB47" s="235"/>
      <c r="AC47" s="235"/>
      <c r="AF47" s="235"/>
      <c r="AG47" s="235"/>
      <c r="AH47" s="235"/>
      <c r="AI47" s="235"/>
      <c r="AK47" s="235"/>
      <c r="AL47" s="235"/>
      <c r="AM47" s="235"/>
      <c r="AN47" s="235"/>
      <c r="AP47" s="235"/>
      <c r="AQ47" s="235"/>
      <c r="AR47" s="235"/>
      <c r="AS47" s="235"/>
      <c r="AU47" s="235"/>
      <c r="AV47" s="235"/>
      <c r="AW47" s="235"/>
      <c r="AX47" s="235"/>
    </row>
    <row r="48" spans="1:50">
      <c r="A48" s="1232"/>
      <c r="B48" s="154">
        <v>14</v>
      </c>
      <c r="C48" s="1023" t="s">
        <v>2801</v>
      </c>
      <c r="D48" s="164"/>
      <c r="E48" s="164"/>
      <c r="F48" s="164"/>
      <c r="G48" s="224"/>
      <c r="H48" s="224"/>
      <c r="I48" s="224"/>
      <c r="J48" s="134"/>
      <c r="K48" s="135"/>
      <c r="L48" s="135"/>
      <c r="M48" s="1095"/>
      <c r="N48" s="3523"/>
      <c r="O48" s="3530">
        <f>IF(O49="",0,-O49)</f>
        <v>0</v>
      </c>
      <c r="P48" s="1732"/>
      <c r="Q48" s="1114"/>
      <c r="R48" s="1222"/>
      <c r="S48" s="1232"/>
      <c r="T48" s="78"/>
      <c r="U48" s="7149"/>
      <c r="V48" s="5"/>
      <c r="W48" s="5"/>
      <c r="X48" s="5"/>
      <c r="Z48" s="235"/>
      <c r="AA48" s="235"/>
      <c r="AB48" s="235"/>
      <c r="AC48" s="235"/>
      <c r="AF48" s="235"/>
      <c r="AG48" s="235"/>
      <c r="AH48" s="235"/>
      <c r="AI48" s="235"/>
      <c r="AK48" s="235"/>
      <c r="AL48" s="235"/>
      <c r="AM48" s="235"/>
      <c r="AN48" s="235"/>
      <c r="AP48" s="235"/>
      <c r="AQ48" s="235"/>
      <c r="AR48" s="235"/>
      <c r="AS48" s="235"/>
      <c r="AU48" s="235"/>
      <c r="AV48" s="235"/>
      <c r="AW48" s="235"/>
      <c r="AX48" s="235"/>
    </row>
    <row r="49" spans="1:61" ht="13.5" customHeight="1">
      <c r="A49" s="1232"/>
      <c r="B49" s="22"/>
      <c r="C49" s="22" t="s">
        <v>2794</v>
      </c>
      <c r="D49" s="276"/>
      <c r="E49" s="276"/>
      <c r="F49" s="191"/>
      <c r="G49" s="224"/>
      <c r="H49" s="224"/>
      <c r="I49" s="224"/>
      <c r="J49" s="134"/>
      <c r="K49" s="154"/>
      <c r="L49" s="154" t="s">
        <v>3192</v>
      </c>
      <c r="M49" s="249">
        <f>B48</f>
        <v>14</v>
      </c>
      <c r="N49" s="5679" t="s">
        <v>916</v>
      </c>
      <c r="O49" s="1500" t="str">
        <f>IF(AND(S49&lt;&gt;"",S49&gt;=0),ROUND(S49,0),IF(S49&lt;&gt;0,-ROUND(S49,0),IF('Sch. D WS'!P33="","",'Sch. D WS'!P33)))</f>
        <v/>
      </c>
      <c r="P49" s="5680" t="s">
        <v>917</v>
      </c>
      <c r="Q49" s="1114"/>
      <c r="R49" s="1222"/>
      <c r="S49" s="3267"/>
      <c r="T49" s="78"/>
      <c r="U49" s="7149"/>
      <c r="V49" s="5"/>
      <c r="W49" s="5"/>
      <c r="X49" s="5"/>
      <c r="Z49" s="235"/>
      <c r="AA49" s="235"/>
      <c r="AB49" s="235"/>
      <c r="AC49" s="235"/>
      <c r="AF49" s="235"/>
      <c r="AG49" s="235"/>
      <c r="AH49" s="235"/>
      <c r="AI49" s="235"/>
      <c r="AK49" s="235"/>
      <c r="AL49" s="235"/>
      <c r="AM49" s="235"/>
      <c r="AN49" s="235"/>
      <c r="AP49" s="235"/>
      <c r="AQ49" s="235"/>
      <c r="AR49" s="235"/>
      <c r="AS49" s="235"/>
      <c r="AU49" s="235"/>
      <c r="AV49" s="235"/>
      <c r="AW49" s="235"/>
      <c r="AX49" s="235"/>
    </row>
    <row r="50" spans="1:61" ht="12.75" customHeight="1">
      <c r="A50" s="1232"/>
      <c r="B50" s="1094">
        <v>15</v>
      </c>
      <c r="C50" s="7075" t="s">
        <v>4408</v>
      </c>
      <c r="D50" s="7076"/>
      <c r="E50" s="7076"/>
      <c r="F50" s="7076"/>
      <c r="G50" s="7076"/>
      <c r="H50" s="7076"/>
      <c r="I50" s="7076"/>
      <c r="J50" s="7076"/>
      <c r="K50" s="7076"/>
      <c r="L50" s="7077"/>
      <c r="M50" s="696"/>
      <c r="N50" s="7066"/>
      <c r="O50" s="7067"/>
      <c r="P50" s="1732"/>
      <c r="Q50" s="1115"/>
      <c r="R50" s="1223"/>
      <c r="S50" s="1232"/>
      <c r="T50" s="78"/>
      <c r="U50" s="5"/>
      <c r="V50" s="5"/>
      <c r="W50" s="5"/>
      <c r="X50" s="5"/>
      <c r="Z50" s="235"/>
      <c r="AA50" s="235"/>
      <c r="AB50" s="235"/>
      <c r="AC50" s="235"/>
      <c r="AF50" s="235"/>
      <c r="AG50" s="235"/>
      <c r="AH50" s="235"/>
      <c r="AI50" s="235"/>
      <c r="AK50" s="235"/>
      <c r="AL50" s="235"/>
      <c r="AM50" s="235"/>
      <c r="AN50" s="235"/>
      <c r="AP50" s="235"/>
      <c r="AQ50" s="235"/>
      <c r="AR50" s="235"/>
      <c r="AS50" s="235"/>
      <c r="AU50" s="235"/>
      <c r="AV50" s="235"/>
      <c r="AW50" s="235"/>
      <c r="AX50" s="235"/>
    </row>
    <row r="51" spans="1:61" ht="12.75" customHeight="1" thickBot="1">
      <c r="A51" s="1232"/>
      <c r="B51" s="1096"/>
      <c r="C51" s="7078"/>
      <c r="D51" s="7078"/>
      <c r="E51" s="7078"/>
      <c r="F51" s="7078"/>
      <c r="G51" s="7078"/>
      <c r="H51" s="7078"/>
      <c r="I51" s="7078"/>
      <c r="J51" s="7078"/>
      <c r="K51" s="7078"/>
      <c r="L51" s="7079"/>
      <c r="M51" s="1231">
        <f>B50</f>
        <v>15</v>
      </c>
      <c r="N51" s="7007" t="str">
        <f>IF(S51&lt;&gt;"",ROUND(S51,0),IF(AND(N37="",N39="",N41="",N43="",N45="",N46="",N47="",OR(O48=0,O48="")),"",SUM(N37,N39,N41,N43,N45,N46,N47,O48)))</f>
        <v/>
      </c>
      <c r="O51" s="7151"/>
      <c r="P51" s="7152"/>
      <c r="Q51" s="1115"/>
      <c r="R51" s="1223"/>
      <c r="S51" s="3267"/>
      <c r="T51" s="78"/>
      <c r="U51" s="5"/>
      <c r="V51" s="5"/>
      <c r="W51" s="5"/>
      <c r="X51" s="5"/>
      <c r="Z51" s="235"/>
      <c r="AA51" s="235"/>
      <c r="AB51" s="235"/>
      <c r="AC51" s="235"/>
      <c r="AF51" s="235"/>
      <c r="AG51" s="235"/>
      <c r="AH51" s="235"/>
      <c r="AI51" s="235"/>
      <c r="AK51" s="235"/>
      <c r="AL51" s="235"/>
      <c r="AM51" s="235"/>
      <c r="AN51" s="235"/>
      <c r="AP51" s="235"/>
      <c r="AQ51" s="235"/>
      <c r="AR51" s="235"/>
      <c r="AS51" s="235"/>
      <c r="AU51" s="235"/>
      <c r="AV51" s="235"/>
      <c r="AW51" s="235"/>
      <c r="AX51" s="235"/>
    </row>
    <row r="52" spans="1:61" ht="12" customHeight="1">
      <c r="A52" s="1232"/>
      <c r="B52" s="140" t="s">
        <v>484</v>
      </c>
      <c r="C52" s="161"/>
      <c r="D52" s="140"/>
      <c r="E52" s="140"/>
      <c r="F52" s="140"/>
      <c r="G52" s="140"/>
      <c r="H52" s="140"/>
      <c r="I52" s="140"/>
      <c r="J52" s="440" t="s">
        <v>526</v>
      </c>
      <c r="K52" s="440"/>
      <c r="L52" s="227"/>
      <c r="M52" s="227"/>
      <c r="N52" s="227"/>
      <c r="O52" s="255"/>
      <c r="P52" s="255" t="str">
        <f>"Schedule D (Form 1040)   "&amp;TaxYear</f>
        <v>Schedule D (Form 1040)   2021</v>
      </c>
      <c r="Q52" s="1116"/>
      <c r="R52" s="1225"/>
      <c r="S52" s="78"/>
      <c r="T52" s="78"/>
      <c r="U52" s="264"/>
      <c r="V52" s="264"/>
      <c r="W52" s="264"/>
      <c r="X52" s="264"/>
      <c r="Z52" s="519"/>
      <c r="AA52" s="519"/>
      <c r="AB52" s="519"/>
      <c r="AC52" s="519"/>
      <c r="AF52" s="519"/>
      <c r="AG52" s="519"/>
      <c r="AH52" s="519"/>
      <c r="AI52" s="519"/>
      <c r="AK52" s="519"/>
      <c r="AL52" s="519"/>
      <c r="AM52" s="519"/>
      <c r="AN52" s="519"/>
      <c r="AP52" s="519"/>
      <c r="AQ52" s="519"/>
      <c r="AR52" s="519"/>
      <c r="AS52" s="519"/>
      <c r="AU52" s="519"/>
      <c r="AV52" s="519"/>
      <c r="AW52" s="519"/>
      <c r="AX52" s="519"/>
    </row>
    <row r="53" spans="1:61" ht="7.5" customHeight="1">
      <c r="A53" s="1232"/>
      <c r="B53" s="161"/>
      <c r="C53" s="161"/>
      <c r="D53" s="140"/>
      <c r="E53" s="140"/>
      <c r="F53" s="140"/>
      <c r="G53" s="140"/>
      <c r="H53" s="140"/>
      <c r="I53" s="140"/>
      <c r="J53" s="228"/>
      <c r="K53" s="228"/>
      <c r="L53" s="227"/>
      <c r="M53" s="227"/>
      <c r="N53" s="227"/>
      <c r="O53" s="602"/>
      <c r="P53" s="602"/>
      <c r="Q53" s="1117"/>
      <c r="R53" s="1226"/>
      <c r="S53" s="78"/>
      <c r="T53" s="78"/>
      <c r="U53" s="264"/>
      <c r="V53" s="264"/>
      <c r="W53" s="264"/>
      <c r="X53" s="264"/>
      <c r="Z53" s="519"/>
      <c r="AA53" s="519"/>
      <c r="AB53" s="519"/>
      <c r="AC53" s="519"/>
      <c r="AF53" s="519"/>
      <c r="AG53" s="519"/>
      <c r="AH53" s="519"/>
      <c r="AI53" s="519"/>
      <c r="AK53" s="519"/>
      <c r="AL53" s="519"/>
      <c r="AM53" s="519"/>
      <c r="AN53" s="519"/>
      <c r="AP53" s="519"/>
      <c r="AQ53" s="519"/>
      <c r="AR53" s="519"/>
      <c r="AS53" s="519"/>
      <c r="AU53" s="519"/>
      <c r="AV53" s="519"/>
      <c r="AW53" s="519"/>
      <c r="AX53" s="519"/>
    </row>
    <row r="54" spans="1:61" ht="18" customHeight="1" thickBot="1">
      <c r="A54" s="1232"/>
      <c r="B54" s="21" t="str">
        <f>"Schedule D ( Form 1040)  "&amp;TaxYear</f>
        <v>Schedule D ( Form 1040)  2021</v>
      </c>
      <c r="C54" s="21"/>
      <c r="D54" s="140"/>
      <c r="E54" s="140"/>
      <c r="F54" s="140"/>
      <c r="G54" s="140"/>
      <c r="H54" s="140"/>
      <c r="I54" s="140"/>
      <c r="J54" s="227"/>
      <c r="K54" s="227"/>
      <c r="L54" s="227"/>
      <c r="M54" s="227"/>
      <c r="N54" s="227"/>
      <c r="O54" s="251"/>
      <c r="P54" s="687" t="s">
        <v>446</v>
      </c>
      <c r="Q54" s="1116"/>
      <c r="R54" s="1225"/>
      <c r="S54" s="78"/>
      <c r="T54" s="78"/>
      <c r="U54" s="264"/>
      <c r="V54" s="264"/>
      <c r="W54" s="264"/>
      <c r="X54" s="264"/>
      <c r="Z54" s="519"/>
      <c r="AA54" s="519"/>
      <c r="AB54" s="519"/>
      <c r="AC54" s="519"/>
      <c r="AF54" s="519"/>
      <c r="AG54" s="519"/>
      <c r="AH54" s="519"/>
      <c r="AI54" s="519"/>
      <c r="AK54" s="519"/>
      <c r="AL54" s="519"/>
      <c r="AM54" s="519"/>
      <c r="AN54" s="519"/>
      <c r="AP54" s="519"/>
      <c r="AQ54" s="519"/>
      <c r="AR54" s="519"/>
      <c r="AS54" s="519"/>
      <c r="AU54" s="519"/>
      <c r="AV54" s="519"/>
      <c r="AW54" s="519"/>
      <c r="AX54" s="519"/>
    </row>
    <row r="55" spans="1:61" ht="3" customHeight="1">
      <c r="A55" s="1232"/>
      <c r="B55" s="325"/>
      <c r="C55" s="325"/>
      <c r="D55" s="265"/>
      <c r="E55" s="265"/>
      <c r="F55" s="265"/>
      <c r="G55" s="265"/>
      <c r="H55" s="265"/>
      <c r="I55" s="265"/>
      <c r="J55" s="560"/>
      <c r="K55" s="560"/>
      <c r="L55" s="560"/>
      <c r="M55" s="560"/>
      <c r="N55" s="560"/>
      <c r="O55" s="562"/>
      <c r="P55" s="562"/>
      <c r="Q55" s="1117"/>
      <c r="R55" s="1226"/>
      <c r="S55" s="78"/>
      <c r="T55" s="78"/>
      <c r="U55" s="264"/>
      <c r="V55" s="264"/>
      <c r="W55" s="264"/>
      <c r="X55" s="264"/>
      <c r="Z55" s="519"/>
      <c r="AA55" s="519"/>
      <c r="AB55" s="519"/>
      <c r="AC55" s="519"/>
      <c r="AF55" s="519"/>
      <c r="AG55" s="519"/>
      <c r="AH55" s="519"/>
      <c r="AI55" s="519"/>
      <c r="AK55" s="519"/>
      <c r="AL55" s="519"/>
      <c r="AM55" s="519"/>
      <c r="AN55" s="519"/>
      <c r="AP55" s="519"/>
      <c r="AQ55" s="519"/>
      <c r="AR55" s="519"/>
      <c r="AS55" s="519"/>
      <c r="AU55" s="519"/>
      <c r="AV55" s="519"/>
      <c r="AW55" s="519"/>
      <c r="AX55" s="519"/>
    </row>
    <row r="56" spans="1:61" s="613" customFormat="1" ht="20.25" customHeight="1">
      <c r="A56" s="1232"/>
      <c r="B56" s="7059" t="s">
        <v>312</v>
      </c>
      <c r="C56" s="7059"/>
      <c r="D56" s="7060"/>
      <c r="E56" s="591" t="s">
        <v>254</v>
      </c>
      <c r="F56" s="3268"/>
      <c r="G56" s="610"/>
      <c r="H56" s="610"/>
      <c r="I56" s="610"/>
      <c r="J56" s="611"/>
      <c r="K56" s="611"/>
      <c r="L56" s="3268"/>
      <c r="M56" s="611"/>
      <c r="N56" s="611"/>
      <c r="O56" s="611"/>
      <c r="P56" s="611"/>
      <c r="Q56" s="1116"/>
      <c r="R56" s="1225"/>
      <c r="S56" s="78"/>
      <c r="T56" s="78"/>
      <c r="U56" s="612"/>
      <c r="V56" s="612"/>
      <c r="W56" s="612"/>
      <c r="X56" s="612"/>
      <c r="Z56" s="1259"/>
      <c r="AA56" s="1259"/>
      <c r="AB56" s="1259"/>
      <c r="AC56" s="1259"/>
      <c r="AD56" s="1264"/>
      <c r="AF56" s="1259"/>
      <c r="AG56" s="1259"/>
      <c r="AH56" s="1259"/>
      <c r="AI56" s="1259"/>
      <c r="AK56" s="1259"/>
      <c r="AL56" s="1259"/>
      <c r="AM56" s="1259"/>
      <c r="AN56" s="1259"/>
      <c r="AP56" s="1259"/>
      <c r="AQ56" s="1259"/>
      <c r="AR56" s="1259"/>
      <c r="AS56" s="1259"/>
      <c r="AU56" s="1259"/>
      <c r="AV56" s="1259"/>
      <c r="AW56" s="1259"/>
      <c r="AX56" s="1259"/>
      <c r="AZ56" s="2602"/>
      <c r="BA56" s="2602"/>
      <c r="BB56" s="2602"/>
      <c r="BC56" s="2602"/>
      <c r="BD56" s="2602"/>
      <c r="BE56" s="2602"/>
      <c r="BF56" s="2602"/>
      <c r="BG56" s="2602"/>
      <c r="BH56" s="2602"/>
      <c r="BI56" s="2602"/>
    </row>
    <row r="57" spans="1:61" ht="3.75" customHeight="1">
      <c r="A57" s="1232"/>
      <c r="B57" s="148"/>
      <c r="C57" s="148"/>
      <c r="D57" s="146"/>
      <c r="E57" s="146"/>
      <c r="F57" s="146"/>
      <c r="G57" s="146"/>
      <c r="H57" s="146"/>
      <c r="I57" s="146"/>
      <c r="J57" s="603"/>
      <c r="K57" s="603"/>
      <c r="L57" s="229"/>
      <c r="M57" s="229"/>
      <c r="N57" s="229"/>
      <c r="O57" s="557"/>
      <c r="P57" s="557"/>
      <c r="Q57" s="1117"/>
      <c r="R57" s="1226"/>
      <c r="S57" s="78"/>
      <c r="T57" s="78"/>
      <c r="U57" s="264"/>
      <c r="V57" s="264"/>
      <c r="W57" s="264"/>
      <c r="X57" s="264"/>
      <c r="Z57" s="519"/>
      <c r="AA57" s="519"/>
      <c r="AB57" s="519"/>
      <c r="AC57" s="519"/>
      <c r="AF57" s="519"/>
      <c r="AG57" s="519"/>
      <c r="AH57" s="519"/>
      <c r="AI57" s="519"/>
      <c r="AK57" s="519"/>
      <c r="AL57" s="519"/>
      <c r="AM57" s="519"/>
      <c r="AN57" s="519"/>
      <c r="AP57" s="519"/>
      <c r="AQ57" s="519"/>
      <c r="AR57" s="519"/>
      <c r="AS57" s="519"/>
      <c r="AU57" s="519"/>
      <c r="AV57" s="519"/>
      <c r="AW57" s="519"/>
      <c r="AX57" s="519"/>
    </row>
    <row r="58" spans="1:61" ht="12.75" customHeight="1">
      <c r="A58" s="1232"/>
      <c r="B58" s="246"/>
      <c r="C58" s="191"/>
      <c r="D58" s="605"/>
      <c r="E58" s="605"/>
      <c r="F58" s="191"/>
      <c r="G58" s="224"/>
      <c r="H58" s="134"/>
      <c r="I58" s="134"/>
      <c r="J58" s="134"/>
      <c r="K58" s="154"/>
      <c r="L58" s="154"/>
      <c r="M58" s="696"/>
      <c r="N58" s="7064"/>
      <c r="O58" s="7065"/>
      <c r="P58" s="3545"/>
      <c r="Q58" s="1117"/>
      <c r="R58" s="1226"/>
      <c r="S58" s="78"/>
      <c r="T58" s="78"/>
      <c r="U58" s="5"/>
      <c r="V58" s="5"/>
      <c r="W58" s="5"/>
      <c r="X58" s="5"/>
      <c r="Z58" s="235"/>
      <c r="AA58" s="235"/>
      <c r="AB58" s="235"/>
      <c r="AC58" s="235"/>
      <c r="AF58" s="235"/>
      <c r="AG58" s="235"/>
      <c r="AH58" s="235"/>
      <c r="AI58" s="235"/>
      <c r="AK58" s="235"/>
      <c r="AL58" s="235"/>
      <c r="AM58" s="235"/>
      <c r="AN58" s="235"/>
      <c r="AP58" s="235"/>
      <c r="AQ58" s="235"/>
      <c r="AR58" s="235"/>
      <c r="AS58" s="235"/>
      <c r="AU58" s="235"/>
      <c r="AV58" s="235"/>
      <c r="AW58" s="235"/>
      <c r="AX58" s="235"/>
    </row>
    <row r="59" spans="1:61" ht="12.75" customHeight="1">
      <c r="A59" s="1232"/>
      <c r="B59" s="246">
        <v>16</v>
      </c>
      <c r="C59" s="191" t="s">
        <v>65</v>
      </c>
      <c r="D59" s="605"/>
      <c r="E59" s="605"/>
      <c r="F59" s="191"/>
      <c r="G59" s="224"/>
      <c r="H59" s="134"/>
      <c r="I59" s="134"/>
      <c r="J59" s="134"/>
      <c r="K59" s="154"/>
      <c r="L59" s="154" t="s">
        <v>628</v>
      </c>
      <c r="M59" s="249">
        <f>B59</f>
        <v>16</v>
      </c>
      <c r="N59" s="6981" t="str">
        <f>IF(S59&lt;&gt;"",ROUND(S59,0),IF(AND(N31="",N51=""),"",SUM(N31,N51)))</f>
        <v/>
      </c>
      <c r="O59" s="7095"/>
      <c r="P59" s="7096"/>
      <c r="Q59" s="1117"/>
      <c r="R59" s="1226"/>
      <c r="S59" s="3267"/>
      <c r="T59" s="78"/>
      <c r="U59" s="5"/>
      <c r="V59" s="5"/>
      <c r="W59" s="5"/>
      <c r="X59" s="5"/>
      <c r="Z59" s="235"/>
      <c r="AA59" s="235"/>
      <c r="AB59" s="235"/>
      <c r="AC59" s="235"/>
      <c r="AF59" s="235"/>
      <c r="AG59" s="235"/>
      <c r="AH59" s="235"/>
      <c r="AI59" s="235"/>
      <c r="AK59" s="235"/>
      <c r="AL59" s="235"/>
      <c r="AM59" s="235"/>
      <c r="AN59" s="235"/>
      <c r="AP59" s="235"/>
      <c r="AQ59" s="235"/>
      <c r="AR59" s="235"/>
      <c r="AS59" s="235"/>
      <c r="AU59" s="235"/>
      <c r="AV59" s="235"/>
      <c r="AW59" s="235"/>
      <c r="AX59" s="235"/>
    </row>
    <row r="60" spans="1:61" ht="9" customHeight="1">
      <c r="A60" s="1232"/>
      <c r="B60" s="246"/>
      <c r="C60" s="191"/>
      <c r="D60" s="605"/>
      <c r="E60" s="605"/>
      <c r="F60" s="191"/>
      <c r="G60" s="224"/>
      <c r="H60" s="134"/>
      <c r="I60" s="134"/>
      <c r="J60" s="134"/>
      <c r="K60" s="154"/>
      <c r="L60" s="154"/>
      <c r="M60" s="1233"/>
      <c r="N60" s="618"/>
      <c r="O60" s="1097"/>
      <c r="P60" s="1097"/>
      <c r="Q60" s="1117"/>
      <c r="R60" s="1226"/>
      <c r="S60" s="78"/>
      <c r="T60" s="78"/>
      <c r="U60" s="5"/>
      <c r="V60" s="5"/>
      <c r="W60" s="5"/>
      <c r="X60" s="5"/>
      <c r="Z60" s="235"/>
      <c r="AA60" s="235"/>
      <c r="AB60" s="235"/>
      <c r="AC60" s="235"/>
      <c r="AF60" s="235"/>
      <c r="AG60" s="235"/>
      <c r="AH60" s="235"/>
      <c r="AI60" s="235"/>
      <c r="AK60" s="235"/>
      <c r="AL60" s="235"/>
      <c r="AM60" s="235"/>
      <c r="AN60" s="235"/>
      <c r="AP60" s="235"/>
      <c r="AQ60" s="235"/>
      <c r="AR60" s="235"/>
      <c r="AS60" s="235"/>
      <c r="AU60" s="235"/>
      <c r="AV60" s="235"/>
      <c r="AW60" s="235"/>
      <c r="AX60" s="235"/>
    </row>
    <row r="61" spans="1:61" s="237" customFormat="1" ht="11.25" customHeight="1">
      <c r="A61" s="3252" t="b">
        <f>AND(SchDLine16&lt;&gt;"",SchDLine16&gt;0)</f>
        <v>0</v>
      </c>
      <c r="B61" s="1000" t="s">
        <v>120</v>
      </c>
      <c r="C61" s="392" t="s">
        <v>4023</v>
      </c>
      <c r="D61" s="273"/>
      <c r="E61" s="276"/>
      <c r="F61" s="276"/>
      <c r="G61" s="276"/>
      <c r="H61" s="276"/>
      <c r="I61" s="276"/>
      <c r="J61" s="193"/>
      <c r="K61" s="193"/>
      <c r="L61" s="604"/>
      <c r="M61" s="1233"/>
      <c r="N61" s="618"/>
      <c r="O61" s="1097"/>
      <c r="P61" s="1097"/>
      <c r="Q61" s="1116"/>
      <c r="R61" s="1225"/>
      <c r="S61" s="78"/>
      <c r="T61" s="78"/>
      <c r="U61" s="236"/>
      <c r="V61" s="236"/>
      <c r="W61" s="236"/>
      <c r="X61" s="236"/>
      <c r="Z61" s="519"/>
      <c r="AA61" s="519"/>
      <c r="AB61" s="519"/>
      <c r="AC61" s="519"/>
      <c r="AD61" s="3"/>
      <c r="AF61" s="519"/>
      <c r="AG61" s="519"/>
      <c r="AH61" s="519"/>
      <c r="AI61" s="519"/>
      <c r="AK61" s="519"/>
      <c r="AL61" s="519"/>
      <c r="AM61" s="519"/>
      <c r="AN61" s="519"/>
      <c r="AP61" s="519"/>
      <c r="AQ61" s="519"/>
      <c r="AR61" s="519"/>
      <c r="AS61" s="519"/>
      <c r="AU61" s="519"/>
      <c r="AV61" s="519"/>
      <c r="AW61" s="519"/>
      <c r="AX61" s="519"/>
      <c r="AZ61" s="2603"/>
      <c r="BA61" s="2603"/>
      <c r="BB61" s="2603"/>
      <c r="BC61" s="2603"/>
      <c r="BD61" s="2603"/>
      <c r="BE61" s="2603"/>
      <c r="BF61" s="2603"/>
      <c r="BG61" s="2603"/>
      <c r="BH61" s="2603"/>
      <c r="BI61" s="2603"/>
    </row>
    <row r="62" spans="1:61" s="237" customFormat="1" ht="11.25" customHeight="1">
      <c r="A62" s="3252"/>
      <c r="B62" s="876"/>
      <c r="C62" s="392" t="s">
        <v>4024</v>
      </c>
      <c r="D62" s="273"/>
      <c r="E62" s="276"/>
      <c r="F62" s="276"/>
      <c r="G62" s="276"/>
      <c r="H62" s="276"/>
      <c r="I62" s="276"/>
      <c r="J62" s="193"/>
      <c r="K62" s="193"/>
      <c r="L62" s="604"/>
      <c r="M62" s="1233"/>
      <c r="N62" s="618"/>
      <c r="O62" s="1097"/>
      <c r="P62" s="1097"/>
      <c r="Q62" s="1116"/>
      <c r="R62" s="1225"/>
      <c r="S62" s="78"/>
      <c r="T62" s="78"/>
      <c r="U62" s="236"/>
      <c r="V62" s="236"/>
      <c r="W62" s="236"/>
      <c r="X62" s="236"/>
      <c r="Z62" s="519"/>
      <c r="AA62" s="519"/>
      <c r="AB62" s="519"/>
      <c r="AC62" s="519"/>
      <c r="AD62" s="3"/>
      <c r="AF62" s="519"/>
      <c r="AG62" s="519"/>
      <c r="AH62" s="519"/>
      <c r="AI62" s="519"/>
      <c r="AK62" s="519"/>
      <c r="AL62" s="519"/>
      <c r="AM62" s="519"/>
      <c r="AN62" s="519"/>
      <c r="AP62" s="519"/>
      <c r="AQ62" s="519"/>
      <c r="AR62" s="519"/>
      <c r="AS62" s="519"/>
      <c r="AU62" s="519"/>
      <c r="AV62" s="519"/>
      <c r="AW62" s="519"/>
      <c r="AX62" s="519"/>
      <c r="AZ62" s="2603"/>
      <c r="BA62" s="2603"/>
      <c r="BB62" s="2603"/>
      <c r="BC62" s="2603"/>
      <c r="BD62" s="2603"/>
      <c r="BE62" s="2603"/>
      <c r="BF62" s="2603"/>
      <c r="BG62" s="2603"/>
      <c r="BH62" s="2603"/>
      <c r="BI62" s="2603"/>
    </row>
    <row r="63" spans="1:61" s="237" customFormat="1" ht="15" customHeight="1">
      <c r="A63" s="3252" t="b">
        <f>AND(SchDLine16&lt;&gt;"",SchDLine16&lt;0)</f>
        <v>0</v>
      </c>
      <c r="B63" s="1000" t="s">
        <v>120</v>
      </c>
      <c r="C63" s="392" t="s">
        <v>2802</v>
      </c>
      <c r="D63" s="273"/>
      <c r="E63" s="276"/>
      <c r="F63" s="276"/>
      <c r="G63" s="276"/>
      <c r="H63" s="276"/>
      <c r="I63" s="276"/>
      <c r="J63" s="193"/>
      <c r="K63" s="193"/>
      <c r="L63" s="604"/>
      <c r="M63" s="1233"/>
      <c r="N63" s="618"/>
      <c r="O63" s="1097"/>
      <c r="P63" s="1097"/>
      <c r="Q63" s="1116"/>
      <c r="R63" s="1225"/>
      <c r="S63" s="78"/>
      <c r="T63" s="78"/>
      <c r="U63" s="236"/>
      <c r="V63" s="236"/>
      <c r="W63" s="236"/>
      <c r="X63" s="236"/>
      <c r="Z63" s="519"/>
      <c r="AA63" s="519"/>
      <c r="AB63" s="519"/>
      <c r="AC63" s="519"/>
      <c r="AD63" s="3"/>
      <c r="AF63" s="519"/>
      <c r="AG63" s="519"/>
      <c r="AH63" s="519"/>
      <c r="AI63" s="519"/>
      <c r="AK63" s="519"/>
      <c r="AL63" s="519"/>
      <c r="AM63" s="519"/>
      <c r="AN63" s="519"/>
      <c r="AP63" s="519"/>
      <c r="AQ63" s="519"/>
      <c r="AR63" s="519"/>
      <c r="AS63" s="519"/>
      <c r="AU63" s="519"/>
      <c r="AV63" s="519"/>
      <c r="AW63" s="519"/>
      <c r="AX63" s="519"/>
      <c r="AZ63" s="2603"/>
      <c r="BA63" s="2603"/>
      <c r="BB63" s="2603"/>
      <c r="BC63" s="2603"/>
      <c r="BD63" s="2603"/>
      <c r="BE63" s="2603"/>
      <c r="BF63" s="2603"/>
      <c r="BG63" s="2603"/>
      <c r="BH63" s="2603"/>
      <c r="BI63" s="2603"/>
    </row>
    <row r="64" spans="1:61" s="237" customFormat="1" ht="13.5" customHeight="1">
      <c r="A64" s="3252"/>
      <c r="B64" s="876"/>
      <c r="C64" s="392" t="s">
        <v>527</v>
      </c>
      <c r="D64" s="273"/>
      <c r="E64" s="276"/>
      <c r="F64" s="276"/>
      <c r="G64" s="276"/>
      <c r="H64" s="276"/>
      <c r="I64" s="276"/>
      <c r="J64" s="193"/>
      <c r="K64" s="193"/>
      <c r="L64" s="604"/>
      <c r="M64" s="1233"/>
      <c r="N64" s="618"/>
      <c r="O64" s="1097"/>
      <c r="P64" s="1097"/>
      <c r="Q64" s="1116"/>
      <c r="R64" s="1225"/>
      <c r="S64" s="78"/>
      <c r="T64" s="78"/>
      <c r="U64" s="236"/>
      <c r="V64" s="236"/>
      <c r="W64" s="236"/>
      <c r="X64" s="236"/>
      <c r="Z64" s="519"/>
      <c r="AA64" s="519"/>
      <c r="AB64" s="519"/>
      <c r="AC64" s="519"/>
      <c r="AD64" s="3"/>
      <c r="AF64" s="519"/>
      <c r="AG64" s="519"/>
      <c r="AH64" s="519"/>
      <c r="AI64" s="519"/>
      <c r="AK64" s="519"/>
      <c r="AL64" s="519"/>
      <c r="AM64" s="519"/>
      <c r="AN64" s="519"/>
      <c r="AP64" s="519"/>
      <c r="AQ64" s="519"/>
      <c r="AR64" s="519"/>
      <c r="AS64" s="519"/>
      <c r="AU64" s="519"/>
      <c r="AV64" s="519"/>
      <c r="AW64" s="519"/>
      <c r="AX64" s="519"/>
      <c r="AZ64" s="2603"/>
      <c r="BA64" s="2603"/>
      <c r="BB64" s="2603"/>
      <c r="BC64" s="2603"/>
      <c r="BD64" s="2603"/>
      <c r="BE64" s="2603"/>
      <c r="BF64" s="2603"/>
      <c r="BG64" s="2603"/>
      <c r="BH64" s="2603"/>
      <c r="BI64" s="2603"/>
    </row>
    <row r="65" spans="1:61" s="237" customFormat="1" ht="15" customHeight="1">
      <c r="A65" s="3252" t="b">
        <f>AND(SchDLine16&lt;&gt;"",SchDLine16=0)</f>
        <v>0</v>
      </c>
      <c r="B65" s="1000" t="s">
        <v>120</v>
      </c>
      <c r="C65" s="392" t="s">
        <v>4410</v>
      </c>
      <c r="D65" s="273"/>
      <c r="E65" s="276"/>
      <c r="F65" s="276"/>
      <c r="G65" s="276"/>
      <c r="H65" s="276"/>
      <c r="I65" s="276"/>
      <c r="J65" s="193"/>
      <c r="K65" s="193"/>
      <c r="L65" s="604"/>
      <c r="M65" s="1233"/>
      <c r="N65" s="618"/>
      <c r="O65" s="1097"/>
      <c r="P65" s="1097"/>
      <c r="Q65" s="1116"/>
      <c r="R65" s="1225"/>
      <c r="S65" s="78"/>
      <c r="T65" s="78"/>
      <c r="U65" s="236"/>
      <c r="V65" s="236"/>
      <c r="W65" s="236"/>
      <c r="X65" s="236"/>
      <c r="Z65" s="519"/>
      <c r="AA65" s="519"/>
      <c r="AB65" s="519"/>
      <c r="AC65" s="519"/>
      <c r="AD65" s="3"/>
      <c r="AF65" s="519"/>
      <c r="AG65" s="519"/>
      <c r="AH65" s="519"/>
      <c r="AI65" s="519"/>
      <c r="AK65" s="519"/>
      <c r="AL65" s="519"/>
      <c r="AM65" s="519"/>
      <c r="AN65" s="519"/>
      <c r="AP65" s="519"/>
      <c r="AQ65" s="519"/>
      <c r="AR65" s="519"/>
      <c r="AS65" s="519"/>
      <c r="AU65" s="519"/>
      <c r="AV65" s="519"/>
      <c r="AW65" s="519"/>
      <c r="AX65" s="519"/>
      <c r="AZ65" s="2603"/>
      <c r="BA65" s="2603"/>
      <c r="BB65" s="2603"/>
      <c r="BC65" s="2603"/>
      <c r="BD65" s="2603"/>
      <c r="BE65" s="2603"/>
      <c r="BF65" s="2603"/>
      <c r="BG65" s="2603"/>
      <c r="BH65" s="2603"/>
      <c r="BI65" s="2603"/>
    </row>
    <row r="66" spans="1:61" s="237" customFormat="1" ht="11.25" customHeight="1">
      <c r="A66" s="3252"/>
      <c r="B66" s="876"/>
      <c r="C66" s="392" t="s">
        <v>4025</v>
      </c>
      <c r="D66" s="273"/>
      <c r="E66" s="276"/>
      <c r="F66" s="276"/>
      <c r="G66" s="276"/>
      <c r="H66" s="276"/>
      <c r="I66" s="276"/>
      <c r="J66" s="193"/>
      <c r="K66" s="193"/>
      <c r="L66" s="604"/>
      <c r="M66" s="1233"/>
      <c r="N66" s="618"/>
      <c r="O66" s="1097"/>
      <c r="P66" s="1097"/>
      <c r="Q66" s="1116"/>
      <c r="R66" s="1225"/>
      <c r="S66" s="78"/>
      <c r="T66" s="78"/>
      <c r="U66" s="236"/>
      <c r="V66" s="236"/>
      <c r="W66" s="236"/>
      <c r="X66" s="236"/>
      <c r="Z66" s="519"/>
      <c r="AA66" s="519"/>
      <c r="AB66" s="519"/>
      <c r="AC66" s="519"/>
      <c r="AD66" s="3"/>
      <c r="AF66" s="519"/>
      <c r="AG66" s="519"/>
      <c r="AH66" s="519"/>
      <c r="AI66" s="519"/>
      <c r="AK66" s="519"/>
      <c r="AL66" s="519"/>
      <c r="AM66" s="519"/>
      <c r="AN66" s="519"/>
      <c r="AP66" s="519"/>
      <c r="AQ66" s="519"/>
      <c r="AR66" s="519"/>
      <c r="AS66" s="519"/>
      <c r="AU66" s="519"/>
      <c r="AV66" s="519"/>
      <c r="AW66" s="519"/>
      <c r="AX66" s="519"/>
      <c r="AZ66" s="2603"/>
      <c r="BA66" s="2603"/>
      <c r="BB66" s="2603"/>
      <c r="BC66" s="2603"/>
      <c r="BD66" s="2603"/>
      <c r="BE66" s="2603"/>
      <c r="BF66" s="2603"/>
      <c r="BG66" s="2603"/>
      <c r="BH66" s="2603"/>
      <c r="BI66" s="2603"/>
    </row>
    <row r="67" spans="1:61" s="237" customFormat="1" ht="8.25" customHeight="1">
      <c r="A67" s="3252"/>
      <c r="B67" s="323"/>
      <c r="C67" s="276"/>
      <c r="D67" s="276"/>
      <c r="E67" s="276"/>
      <c r="F67" s="276"/>
      <c r="G67" s="276"/>
      <c r="H67" s="276"/>
      <c r="I67" s="276"/>
      <c r="J67" s="193"/>
      <c r="K67" s="193"/>
      <c r="L67" s="604"/>
      <c r="M67" s="1233"/>
      <c r="N67" s="618"/>
      <c r="O67" s="1097"/>
      <c r="P67" s="1097"/>
      <c r="Q67" s="1116"/>
      <c r="R67" s="1225"/>
      <c r="S67" s="78"/>
      <c r="T67" s="78"/>
      <c r="U67" s="236"/>
      <c r="V67" s="236"/>
      <c r="W67" s="236"/>
      <c r="X67" s="236"/>
      <c r="Z67" s="519"/>
      <c r="AA67" s="519"/>
      <c r="AB67" s="519"/>
      <c r="AC67" s="519"/>
      <c r="AD67" s="3"/>
      <c r="AF67" s="519"/>
      <c r="AG67" s="519"/>
      <c r="AH67" s="519"/>
      <c r="AI67" s="519"/>
      <c r="AK67" s="519"/>
      <c r="AL67" s="519"/>
      <c r="AM67" s="519"/>
      <c r="AN67" s="519"/>
      <c r="AP67" s="519"/>
      <c r="AQ67" s="519"/>
      <c r="AR67" s="519"/>
      <c r="AS67" s="519"/>
      <c r="AU67" s="519"/>
      <c r="AV67" s="519"/>
      <c r="AW67" s="519"/>
      <c r="AX67" s="519"/>
      <c r="AZ67" s="2603"/>
      <c r="BA67" s="2603"/>
      <c r="BB67" s="2603"/>
      <c r="BC67" s="2603"/>
      <c r="BD67" s="2603"/>
      <c r="BE67" s="2603"/>
      <c r="BF67" s="2603"/>
      <c r="BG67" s="2603"/>
      <c r="BH67" s="2603"/>
      <c r="BI67" s="2603"/>
    </row>
    <row r="68" spans="1:61" s="609" customFormat="1" ht="13.5" customHeight="1">
      <c r="A68" s="3252"/>
      <c r="B68" s="4222">
        <v>17</v>
      </c>
      <c r="C68" s="326" t="s">
        <v>2803</v>
      </c>
      <c r="D68" s="605"/>
      <c r="E68" s="605"/>
      <c r="F68" s="592"/>
      <c r="G68" s="592"/>
      <c r="H68" s="592"/>
      <c r="I68" s="592"/>
      <c r="J68" s="606"/>
      <c r="K68" s="606"/>
      <c r="L68" s="607"/>
      <c r="M68" s="1233"/>
      <c r="N68" s="618"/>
      <c r="O68" s="1097"/>
      <c r="P68" s="1097"/>
      <c r="Q68" s="1117"/>
      <c r="R68" s="1226"/>
      <c r="S68" s="78"/>
      <c r="T68" s="78"/>
      <c r="U68" s="608"/>
      <c r="V68" s="608"/>
      <c r="W68" s="608"/>
      <c r="X68" s="608"/>
      <c r="Z68" s="1260"/>
      <c r="AA68" s="1260"/>
      <c r="AB68" s="1260"/>
      <c r="AC68" s="1260"/>
      <c r="AD68" s="1264"/>
      <c r="AF68" s="1260"/>
      <c r="AG68" s="1260"/>
      <c r="AH68" s="1260"/>
      <c r="AI68" s="1260"/>
      <c r="AK68" s="1260"/>
      <c r="AL68" s="1260"/>
      <c r="AM68" s="1260"/>
      <c r="AN68" s="1260"/>
      <c r="AP68" s="1260"/>
      <c r="AQ68" s="1260"/>
      <c r="AR68" s="1260"/>
      <c r="AS68" s="1260"/>
      <c r="AU68" s="1260"/>
      <c r="AV68" s="1260"/>
      <c r="AW68" s="1260"/>
      <c r="AX68" s="1260"/>
      <c r="AZ68" s="2626"/>
      <c r="BA68" s="2626"/>
      <c r="BB68" s="2626"/>
      <c r="BC68" s="2626"/>
      <c r="BD68" s="2626"/>
      <c r="BE68" s="2626"/>
      <c r="BF68" s="2626"/>
      <c r="BG68" s="2626"/>
      <c r="BH68" s="2626"/>
      <c r="BI68" s="2626"/>
    </row>
    <row r="69" spans="1:61" s="237" customFormat="1" ht="11.25" customHeight="1">
      <c r="A69" s="3252" t="b">
        <f>AND(A61,SchDLine15&lt;&gt;"",SchDLine15&gt;0,SchDLine16&lt;&gt;"",SchDLine16&gt;0)</f>
        <v>0</v>
      </c>
      <c r="B69" s="323"/>
      <c r="C69" s="996" t="str">
        <f>IF(A69,"X","")</f>
        <v/>
      </c>
      <c r="D69" s="617"/>
      <c r="E69" s="276" t="s">
        <v>181</v>
      </c>
      <c r="F69" s="276"/>
      <c r="G69" s="276"/>
      <c r="H69" s="276"/>
      <c r="I69" s="276"/>
      <c r="J69" s="193"/>
      <c r="K69" s="193"/>
      <c r="L69" s="604"/>
      <c r="M69" s="1233"/>
      <c r="N69" s="618"/>
      <c r="O69" s="1097"/>
      <c r="P69" s="1097"/>
      <c r="Q69" s="400"/>
      <c r="R69" s="1227"/>
      <c r="S69" s="78"/>
      <c r="T69" s="78"/>
      <c r="U69" s="236"/>
      <c r="V69" s="236"/>
      <c r="W69" s="236"/>
      <c r="X69" s="236"/>
      <c r="Z69" s="519"/>
      <c r="AA69" s="519"/>
      <c r="AB69" s="519"/>
      <c r="AC69" s="519"/>
      <c r="AD69" s="3"/>
      <c r="AF69" s="519"/>
      <c r="AG69" s="519"/>
      <c r="AH69" s="519"/>
      <c r="AI69" s="519"/>
      <c r="AK69" s="519"/>
      <c r="AL69" s="519"/>
      <c r="AM69" s="519"/>
      <c r="AN69" s="519"/>
      <c r="AP69" s="519"/>
      <c r="AQ69" s="519"/>
      <c r="AR69" s="519"/>
      <c r="AS69" s="519"/>
      <c r="AU69" s="519"/>
      <c r="AV69" s="519"/>
      <c r="AW69" s="519"/>
      <c r="AX69" s="519"/>
      <c r="AZ69" s="2603"/>
      <c r="BA69" s="2603"/>
      <c r="BB69" s="2603"/>
      <c r="BC69" s="2603"/>
      <c r="BD69" s="2603"/>
      <c r="BE69" s="2603"/>
      <c r="BF69" s="2603"/>
      <c r="BG69" s="2603"/>
      <c r="BH69" s="2603"/>
      <c r="BI69" s="2603"/>
    </row>
    <row r="70" spans="1:61" s="237" customFormat="1" ht="3" customHeight="1">
      <c r="A70" s="3252"/>
      <c r="B70" s="323"/>
      <c r="C70" s="276"/>
      <c r="D70" s="276"/>
      <c r="E70" s="276"/>
      <c r="F70" s="276"/>
      <c r="G70" s="276"/>
      <c r="H70" s="276"/>
      <c r="I70" s="276"/>
      <c r="J70" s="193"/>
      <c r="K70" s="193"/>
      <c r="L70" s="604"/>
      <c r="M70" s="1233"/>
      <c r="N70" s="618"/>
      <c r="O70" s="1097"/>
      <c r="P70" s="1097"/>
      <c r="Q70" s="400"/>
      <c r="R70" s="1227"/>
      <c r="S70" s="78"/>
      <c r="T70" s="78"/>
      <c r="U70" s="236"/>
      <c r="V70" s="236"/>
      <c r="W70" s="236"/>
      <c r="X70" s="236"/>
      <c r="Z70" s="519"/>
      <c r="AA70" s="519"/>
      <c r="AB70" s="519"/>
      <c r="AC70" s="519"/>
      <c r="AD70" s="3"/>
      <c r="AF70" s="519"/>
      <c r="AG70" s="519"/>
      <c r="AH70" s="519"/>
      <c r="AI70" s="519"/>
      <c r="AK70" s="519"/>
      <c r="AL70" s="519"/>
      <c r="AM70" s="519"/>
      <c r="AN70" s="519"/>
      <c r="AP70" s="519"/>
      <c r="AQ70" s="519"/>
      <c r="AR70" s="519"/>
      <c r="AS70" s="519"/>
      <c r="AU70" s="519"/>
      <c r="AV70" s="519"/>
      <c r="AW70" s="519"/>
      <c r="AX70" s="519"/>
      <c r="AZ70" s="2603"/>
      <c r="BA70" s="2603"/>
      <c r="BB70" s="2603"/>
      <c r="BC70" s="2603"/>
      <c r="BD70" s="2603"/>
      <c r="BE70" s="2603"/>
      <c r="BF70" s="2603"/>
      <c r="BG70" s="2603"/>
      <c r="BH70" s="2603"/>
      <c r="BI70" s="2603"/>
    </row>
    <row r="71" spans="1:61" s="237" customFormat="1" ht="11.25" customHeight="1">
      <c r="A71" s="3252" t="b">
        <f>AND(A61,NOT(A69))</f>
        <v>0</v>
      </c>
      <c r="B71" s="323"/>
      <c r="C71" s="996" t="str">
        <f>IF(A71,"X","")</f>
        <v/>
      </c>
      <c r="D71" s="617"/>
      <c r="E71" s="276" t="s">
        <v>19</v>
      </c>
      <c r="F71" s="276"/>
      <c r="G71" s="276"/>
      <c r="H71" s="276"/>
      <c r="I71" s="276"/>
      <c r="J71" s="193"/>
      <c r="K71" s="193"/>
      <c r="L71" s="604"/>
      <c r="M71" s="1233"/>
      <c r="N71" s="618"/>
      <c r="O71" s="1097"/>
      <c r="P71" s="1097"/>
      <c r="Q71" s="400"/>
      <c r="R71" s="1227"/>
      <c r="S71" s="1126"/>
      <c r="T71" s="78"/>
      <c r="U71" s="236"/>
      <c r="V71" s="236"/>
      <c r="W71" s="236"/>
      <c r="X71" s="236"/>
      <c r="Z71" s="519"/>
      <c r="AA71" s="519"/>
      <c r="AB71" s="519"/>
      <c r="AC71" s="519"/>
      <c r="AD71" s="3"/>
      <c r="AF71" s="519"/>
      <c r="AG71" s="519"/>
      <c r="AH71" s="519"/>
      <c r="AI71" s="519"/>
      <c r="AK71" s="519"/>
      <c r="AL71" s="519"/>
      <c r="AM71" s="519"/>
      <c r="AN71" s="519"/>
      <c r="AP71" s="519"/>
      <c r="AQ71" s="519"/>
      <c r="AR71" s="519"/>
      <c r="AS71" s="519"/>
      <c r="AU71" s="519"/>
      <c r="AV71" s="519"/>
      <c r="AW71" s="519"/>
      <c r="AX71" s="519"/>
      <c r="AZ71" s="2603"/>
      <c r="BA71" s="2603"/>
      <c r="BB71" s="2603"/>
      <c r="BC71" s="2603"/>
      <c r="BD71" s="2603"/>
      <c r="BE71" s="2603"/>
      <c r="BF71" s="2603"/>
      <c r="BG71" s="2603"/>
      <c r="BH71" s="2603"/>
      <c r="BI71" s="2603"/>
    </row>
    <row r="72" spans="1:61" s="237" customFormat="1" ht="15" customHeight="1">
      <c r="A72" s="3252"/>
      <c r="B72" s="323"/>
      <c r="C72" s="276"/>
      <c r="D72" s="276"/>
      <c r="E72" s="276"/>
      <c r="F72" s="276"/>
      <c r="G72" s="276"/>
      <c r="H72" s="276"/>
      <c r="I72" s="276"/>
      <c r="J72" s="193"/>
      <c r="K72" s="193"/>
      <c r="L72" s="604"/>
      <c r="M72" s="1233"/>
      <c r="N72" s="618"/>
      <c r="O72" s="1097"/>
      <c r="P72" s="1097"/>
      <c r="Q72" s="400"/>
      <c r="R72" s="1227"/>
      <c r="S72" s="1126" t="s">
        <v>90</v>
      </c>
      <c r="T72" s="78"/>
      <c r="U72" s="236"/>
      <c r="V72" s="236"/>
      <c r="W72" s="236"/>
      <c r="X72" s="236"/>
      <c r="Z72" s="519"/>
      <c r="AA72" s="519"/>
      <c r="AB72" s="519"/>
      <c r="AC72" s="519"/>
      <c r="AD72" s="3"/>
      <c r="AF72" s="519"/>
      <c r="AG72" s="519"/>
      <c r="AH72" s="519"/>
      <c r="AI72" s="519"/>
      <c r="AK72" s="519"/>
      <c r="AL72" s="519"/>
      <c r="AM72" s="519"/>
      <c r="AN72" s="519"/>
      <c r="AP72" s="519"/>
      <c r="AQ72" s="519"/>
      <c r="AR72" s="519"/>
      <c r="AS72" s="519"/>
      <c r="AU72" s="519"/>
      <c r="AV72" s="519"/>
      <c r="AW72" s="519"/>
      <c r="AX72" s="519"/>
      <c r="AZ72" s="2603"/>
      <c r="BA72" s="2603"/>
      <c r="BB72" s="2603"/>
      <c r="BC72" s="2603"/>
      <c r="BD72" s="2603"/>
      <c r="BE72" s="2603"/>
      <c r="BF72" s="2603"/>
      <c r="BG72" s="2603"/>
      <c r="BH72" s="2603"/>
      <c r="BI72" s="2603"/>
    </row>
    <row r="73" spans="1:61" s="237" customFormat="1" ht="15" customHeight="1">
      <c r="A73" s="3252"/>
      <c r="B73" s="323">
        <v>18</v>
      </c>
      <c r="C73" s="326" t="s">
        <v>4035</v>
      </c>
      <c r="D73" s="276"/>
      <c r="E73" s="276"/>
      <c r="F73" s="276"/>
      <c r="G73" s="276"/>
      <c r="H73" s="276"/>
      <c r="I73" s="276"/>
      <c r="J73" s="193"/>
      <c r="K73" s="193"/>
      <c r="L73" s="604"/>
      <c r="M73" s="1233"/>
      <c r="N73" s="618"/>
      <c r="O73" s="1097"/>
      <c r="P73" s="1097"/>
      <c r="Q73" s="400"/>
      <c r="R73" s="1227"/>
      <c r="S73" s="1126" t="s">
        <v>411</v>
      </c>
      <c r="T73" s="78"/>
      <c r="U73" s="236"/>
      <c r="V73" s="236"/>
      <c r="W73" s="236"/>
      <c r="X73" s="236"/>
      <c r="Z73" s="519"/>
      <c r="AA73" s="519"/>
      <c r="AB73" s="519"/>
      <c r="AC73" s="519"/>
      <c r="AD73" s="3"/>
      <c r="AF73" s="519"/>
      <c r="AG73" s="519"/>
      <c r="AH73" s="519"/>
      <c r="AI73" s="519"/>
      <c r="AK73" s="519"/>
      <c r="AL73" s="519"/>
      <c r="AM73" s="519"/>
      <c r="AN73" s="519"/>
      <c r="AP73" s="519"/>
      <c r="AQ73" s="519"/>
      <c r="AR73" s="519"/>
      <c r="AS73" s="519"/>
      <c r="AU73" s="519"/>
      <c r="AV73" s="519"/>
      <c r="AW73" s="519"/>
      <c r="AX73" s="519"/>
      <c r="AZ73" s="2603"/>
      <c r="BA73" s="2603"/>
      <c r="BB73" s="2603"/>
      <c r="BC73" s="2603"/>
      <c r="BD73" s="2603"/>
      <c r="BE73" s="2603"/>
      <c r="BF73" s="2603"/>
      <c r="BG73" s="2603"/>
      <c r="BH73" s="2603"/>
      <c r="BI73" s="2603"/>
    </row>
    <row r="74" spans="1:61" s="237" customFormat="1" ht="12.75" customHeight="1">
      <c r="A74" s="3252"/>
      <c r="B74" s="323"/>
      <c r="C74" s="326" t="s">
        <v>4034</v>
      </c>
      <c r="D74" s="191"/>
      <c r="E74" s="276"/>
      <c r="F74" s="276"/>
      <c r="G74" s="276"/>
      <c r="H74" s="276"/>
      <c r="I74" s="276"/>
      <c r="J74" s="193"/>
      <c r="K74" s="193"/>
      <c r="L74" s="154" t="s">
        <v>567</v>
      </c>
      <c r="M74" s="249">
        <f>B73</f>
        <v>18</v>
      </c>
      <c r="N74" s="6981" t="str">
        <f>IF(S74&lt;&gt;"",S74,IF(AND(A61,C69="X"),'Sch. D WS'!N56,""))</f>
        <v/>
      </c>
      <c r="O74" s="6982"/>
      <c r="P74" s="6982"/>
      <c r="Q74" s="400"/>
      <c r="R74" s="1227"/>
      <c r="S74" s="1139"/>
      <c r="T74" s="78"/>
      <c r="U74" s="236"/>
      <c r="V74" s="236"/>
      <c r="W74" s="236"/>
      <c r="X74" s="236"/>
      <c r="Z74" s="519"/>
      <c r="AA74" s="519"/>
      <c r="AB74" s="519"/>
      <c r="AC74" s="519"/>
      <c r="AD74" s="3"/>
      <c r="AF74" s="519"/>
      <c r="AG74" s="519"/>
      <c r="AH74" s="519"/>
      <c r="AI74" s="519"/>
      <c r="AK74" s="519"/>
      <c r="AL74" s="519"/>
      <c r="AM74" s="519"/>
      <c r="AN74" s="519"/>
      <c r="AP74" s="519"/>
      <c r="AQ74" s="519"/>
      <c r="AR74" s="519"/>
      <c r="AS74" s="519"/>
      <c r="AU74" s="519"/>
      <c r="AV74" s="519"/>
      <c r="AW74" s="519"/>
      <c r="AX74" s="519"/>
      <c r="AZ74" s="2603"/>
      <c r="BA74" s="2603"/>
      <c r="BB74" s="2603"/>
      <c r="BC74" s="2603"/>
      <c r="BD74" s="2603"/>
      <c r="BE74" s="2603"/>
      <c r="BF74" s="2603"/>
      <c r="BG74" s="2603"/>
      <c r="BH74" s="2603"/>
      <c r="BI74" s="2603"/>
    </row>
    <row r="75" spans="1:61" s="237" customFormat="1" ht="9" customHeight="1">
      <c r="A75" s="3252"/>
      <c r="B75" s="195"/>
      <c r="C75" s="191"/>
      <c r="D75" s="191"/>
      <c r="E75" s="191"/>
      <c r="F75" s="191"/>
      <c r="G75" s="191"/>
      <c r="H75" s="191"/>
      <c r="I75" s="191"/>
      <c r="J75" s="193"/>
      <c r="K75" s="193"/>
      <c r="L75" s="193"/>
      <c r="M75" s="1233"/>
      <c r="N75" s="618"/>
      <c r="O75" s="1097"/>
      <c r="P75" s="1097"/>
      <c r="Q75" s="1107"/>
      <c r="R75" s="1228"/>
      <c r="S75" s="78"/>
      <c r="T75" s="78"/>
      <c r="U75" s="5"/>
      <c r="V75" s="5"/>
      <c r="W75" s="5"/>
      <c r="X75" s="5"/>
      <c r="Z75" s="235"/>
      <c r="AA75" s="235"/>
      <c r="AB75" s="235"/>
      <c r="AC75" s="235"/>
      <c r="AD75" s="3"/>
      <c r="AF75" s="235"/>
      <c r="AG75" s="235"/>
      <c r="AH75" s="235"/>
      <c r="AI75" s="235"/>
      <c r="AK75" s="235"/>
      <c r="AL75" s="235"/>
      <c r="AM75" s="235"/>
      <c r="AN75" s="235"/>
      <c r="AP75" s="235"/>
      <c r="AQ75" s="235"/>
      <c r="AR75" s="235"/>
      <c r="AS75" s="235"/>
      <c r="AU75" s="235"/>
      <c r="AV75" s="235"/>
      <c r="AW75" s="235"/>
      <c r="AX75" s="235"/>
      <c r="AZ75" s="2603"/>
      <c r="BA75" s="2603"/>
      <c r="BB75" s="2603"/>
      <c r="BC75" s="2603"/>
      <c r="BD75" s="2603"/>
      <c r="BE75" s="2603"/>
      <c r="BF75" s="2603"/>
      <c r="BG75" s="2603"/>
      <c r="BH75" s="2603"/>
      <c r="BI75" s="2603"/>
    </row>
    <row r="76" spans="1:61" s="237" customFormat="1" ht="15">
      <c r="A76" s="3252"/>
      <c r="B76" s="323">
        <v>19</v>
      </c>
      <c r="C76" s="326" t="s">
        <v>2804</v>
      </c>
      <c r="D76" s="191"/>
      <c r="E76" s="276"/>
      <c r="F76" s="276"/>
      <c r="G76" s="276"/>
      <c r="H76" s="276"/>
      <c r="I76" s="276"/>
      <c r="J76" s="193"/>
      <c r="K76" s="193"/>
      <c r="L76" s="604"/>
      <c r="M76" s="1233"/>
      <c r="N76" s="618"/>
      <c r="O76" s="1097"/>
      <c r="P76" s="1097"/>
      <c r="Q76" s="400"/>
      <c r="R76" s="1227"/>
      <c r="S76" s="78"/>
      <c r="T76" s="78"/>
      <c r="U76" s="236"/>
      <c r="V76" s="236"/>
      <c r="W76" s="236"/>
      <c r="X76" s="236"/>
      <c r="Z76" s="519"/>
      <c r="AA76" s="519"/>
      <c r="AB76" s="519"/>
      <c r="AC76" s="519"/>
      <c r="AD76" s="3"/>
      <c r="AF76" s="519"/>
      <c r="AG76" s="519"/>
      <c r="AH76" s="519"/>
      <c r="AI76" s="519"/>
      <c r="AK76" s="519"/>
      <c r="AL76" s="519"/>
      <c r="AM76" s="519"/>
      <c r="AN76" s="519"/>
      <c r="AP76" s="519"/>
      <c r="AQ76" s="519"/>
      <c r="AR76" s="519"/>
      <c r="AS76" s="519"/>
      <c r="AU76" s="519"/>
      <c r="AV76" s="519"/>
      <c r="AW76" s="519"/>
      <c r="AX76" s="519"/>
      <c r="AZ76" s="2603"/>
      <c r="BA76" s="2603"/>
      <c r="BB76" s="2603"/>
      <c r="BC76" s="2603"/>
      <c r="BD76" s="2603"/>
      <c r="BE76" s="2603"/>
      <c r="BF76" s="2603"/>
      <c r="BG76" s="2603"/>
      <c r="BH76" s="2603"/>
      <c r="BI76" s="2603"/>
    </row>
    <row r="77" spans="1:61" s="237" customFormat="1" ht="13.5" customHeight="1">
      <c r="A77" s="3252"/>
      <c r="B77" s="323"/>
      <c r="C77" s="326" t="s">
        <v>1981</v>
      </c>
      <c r="D77" s="191"/>
      <c r="E77" s="276"/>
      <c r="F77" s="276"/>
      <c r="G77" s="276"/>
      <c r="H77" s="276"/>
      <c r="I77" s="276"/>
      <c r="J77" s="193"/>
      <c r="K77" s="193"/>
      <c r="L77" s="154" t="s">
        <v>560</v>
      </c>
      <c r="M77" s="249">
        <f>B76</f>
        <v>19</v>
      </c>
      <c r="N77" s="6991"/>
      <c r="O77" s="7166"/>
      <c r="P77" s="7166"/>
      <c r="Q77" s="400"/>
      <c r="R77" s="1227"/>
      <c r="S77" s="78"/>
      <c r="T77" s="78"/>
      <c r="U77" s="236"/>
      <c r="V77" s="236"/>
      <c r="W77" s="236"/>
      <c r="X77" s="236"/>
      <c r="Z77" s="519"/>
      <c r="AA77" s="519"/>
      <c r="AB77" s="519"/>
      <c r="AC77" s="519"/>
      <c r="AD77" s="3"/>
      <c r="AF77" s="519"/>
      <c r="AG77" s="519"/>
      <c r="AH77" s="519"/>
      <c r="AI77" s="519"/>
      <c r="AK77" s="519"/>
      <c r="AL77" s="519"/>
      <c r="AM77" s="519"/>
      <c r="AN77" s="519"/>
      <c r="AP77" s="519"/>
      <c r="AQ77" s="519"/>
      <c r="AR77" s="519"/>
      <c r="AS77" s="519"/>
      <c r="AU77" s="519"/>
      <c r="AV77" s="519"/>
      <c r="AW77" s="519"/>
      <c r="AX77" s="519"/>
      <c r="AZ77" s="2603"/>
      <c r="BA77" s="2603"/>
      <c r="BB77" s="2603"/>
      <c r="BC77" s="2603"/>
      <c r="BD77" s="2603"/>
      <c r="BE77" s="2603"/>
      <c r="BF77" s="2603"/>
      <c r="BG77" s="2603"/>
      <c r="BH77" s="2603"/>
      <c r="BI77" s="2603"/>
    </row>
    <row r="78" spans="1:61" s="237" customFormat="1" ht="11.25" customHeight="1">
      <c r="A78" s="3252"/>
      <c r="B78" s="195"/>
      <c r="C78" s="191"/>
      <c r="D78" s="191"/>
      <c r="E78" s="191"/>
      <c r="F78" s="191"/>
      <c r="G78" s="191"/>
      <c r="H78" s="191"/>
      <c r="I78" s="191"/>
      <c r="J78" s="193"/>
      <c r="K78" s="193"/>
      <c r="L78" s="193"/>
      <c r="M78" s="1233"/>
      <c r="N78" s="4637"/>
      <c r="O78" s="4638"/>
      <c r="P78" s="3524"/>
      <c r="Q78" s="1107"/>
      <c r="R78" s="1228"/>
      <c r="S78" s="78"/>
      <c r="T78" s="78"/>
      <c r="U78" s="5"/>
      <c r="V78" s="5"/>
      <c r="W78" s="5"/>
      <c r="X78" s="5"/>
      <c r="Z78" s="235"/>
      <c r="AA78" s="235"/>
      <c r="AB78" s="235"/>
      <c r="AC78" s="235"/>
      <c r="AD78" s="3"/>
      <c r="AF78" s="235"/>
      <c r="AG78" s="235"/>
      <c r="AH78" s="235"/>
      <c r="AI78" s="235"/>
      <c r="AK78" s="235"/>
      <c r="AL78" s="235"/>
      <c r="AM78" s="235"/>
      <c r="AN78" s="235"/>
      <c r="AP78" s="235"/>
      <c r="AQ78" s="235"/>
      <c r="AR78" s="235"/>
      <c r="AS78" s="235"/>
      <c r="AU78" s="235"/>
      <c r="AV78" s="235"/>
      <c r="AW78" s="235"/>
      <c r="AX78" s="235"/>
      <c r="AZ78" s="2603"/>
      <c r="BA78" s="2603"/>
      <c r="BB78" s="2603"/>
      <c r="BC78" s="2603"/>
      <c r="BD78" s="2603"/>
      <c r="BE78" s="2603"/>
      <c r="BF78" s="2603"/>
      <c r="BG78" s="2603"/>
      <c r="BH78" s="2603"/>
      <c r="BI78" s="2603"/>
    </row>
    <row r="79" spans="1:61" s="609" customFormat="1" ht="21" customHeight="1" thickBot="1">
      <c r="A79" s="3252"/>
      <c r="B79" s="615">
        <v>20</v>
      </c>
      <c r="C79" s="1906" t="s">
        <v>4686</v>
      </c>
      <c r="D79" s="605"/>
      <c r="E79" s="605"/>
      <c r="F79" s="605"/>
      <c r="G79" s="605"/>
      <c r="H79" s="605"/>
      <c r="I79" s="605"/>
      <c r="J79" s="606"/>
      <c r="K79" s="606"/>
      <c r="L79" s="606"/>
      <c r="M79" s="1233"/>
      <c r="N79" s="4611"/>
      <c r="O79" s="5101" t="b">
        <f>AND(C69="X",NOT(File4952_SchD),AND(OR(SchDLine18="",SchDLine18=0),OR(SchDLine19="",SchDLine19=0)))</f>
        <v>0</v>
      </c>
      <c r="P79" s="3524"/>
      <c r="Q79" s="1118"/>
      <c r="R79" s="1229"/>
      <c r="S79" s="78"/>
      <c r="T79" s="78"/>
      <c r="U79" s="575"/>
      <c r="V79" s="575"/>
      <c r="W79" s="575"/>
      <c r="X79" s="575"/>
      <c r="Z79" s="1259"/>
      <c r="AA79" s="1259"/>
      <c r="AB79" s="1259"/>
      <c r="AC79" s="1259"/>
      <c r="AD79" s="1264"/>
      <c r="AF79" s="1259"/>
      <c r="AG79" s="1259"/>
      <c r="AH79" s="1259"/>
      <c r="AI79" s="1259"/>
      <c r="AK79" s="1259"/>
      <c r="AL79" s="1259"/>
      <c r="AM79" s="1259"/>
      <c r="AN79" s="1259"/>
      <c r="AP79" s="1259"/>
      <c r="AQ79" s="1259"/>
      <c r="AR79" s="1259"/>
      <c r="AS79" s="1259"/>
      <c r="AU79" s="1259"/>
      <c r="AV79" s="1259"/>
      <c r="AW79" s="1259"/>
      <c r="AX79" s="1259"/>
      <c r="AZ79" s="2626"/>
      <c r="BA79" s="2626"/>
      <c r="BB79" s="2626"/>
      <c r="BC79" s="2626"/>
      <c r="BD79" s="2626"/>
      <c r="BE79" s="2626"/>
      <c r="BF79" s="2626"/>
      <c r="BG79" s="2626"/>
      <c r="BH79" s="2626"/>
      <c r="BI79" s="2626"/>
    </row>
    <row r="80" spans="1:61" s="237" customFormat="1" ht="12" customHeight="1" thickBot="1">
      <c r="A80" s="3252" t="b">
        <f>AND(SchDLine16&lt;&gt;"",A69,OR(SchDLine18="",SchDLine18=0),OR(SchDLine19="",SchDLine19=0),NOT(Form4952_Filed))</f>
        <v>0</v>
      </c>
      <c r="B80" s="323"/>
      <c r="C80" s="996" t="str">
        <f>IF(A80,"X","")</f>
        <v/>
      </c>
      <c r="D80" s="617"/>
      <c r="E80" s="3187" t="s">
        <v>1657</v>
      </c>
      <c r="F80" s="276"/>
      <c r="G80" s="276"/>
      <c r="H80" s="276"/>
      <c r="I80" s="276"/>
      <c r="J80" s="193"/>
      <c r="K80" s="193"/>
      <c r="L80" s="604"/>
      <c r="M80" s="1233"/>
      <c r="N80" s="4611"/>
      <c r="O80" s="5101" t="b">
        <f>R80&lt;&gt;""</f>
        <v>0</v>
      </c>
      <c r="P80" s="3524"/>
      <c r="Q80" s="400"/>
      <c r="R80" s="4888"/>
      <c r="S80" s="5090" t="s">
        <v>4687</v>
      </c>
      <c r="T80" s="78"/>
      <c r="U80" s="236"/>
      <c r="V80" s="236"/>
      <c r="W80" s="236"/>
      <c r="X80" s="236"/>
      <c r="Z80" s="519"/>
      <c r="AA80" s="519"/>
      <c r="AB80" s="519"/>
      <c r="AC80" s="519"/>
      <c r="AD80" s="3"/>
      <c r="AF80" s="519"/>
      <c r="AG80" s="519"/>
      <c r="AH80" s="519"/>
      <c r="AI80" s="519"/>
      <c r="AK80" s="519"/>
      <c r="AL80" s="519"/>
      <c r="AM80" s="519"/>
      <c r="AN80" s="519"/>
      <c r="AP80" s="519"/>
      <c r="AQ80" s="519"/>
      <c r="AR80" s="519"/>
      <c r="AS80" s="519"/>
      <c r="AU80" s="519"/>
      <c r="AV80" s="519"/>
      <c r="AW80" s="519"/>
      <c r="AX80" s="519"/>
      <c r="AZ80" s="2603"/>
      <c r="BA80" s="2603"/>
      <c r="BB80" s="2603"/>
      <c r="BC80" s="2603"/>
      <c r="BD80" s="2603"/>
      <c r="BE80" s="2603"/>
      <c r="BF80" s="2603"/>
      <c r="BG80" s="2603"/>
      <c r="BH80" s="2603"/>
      <c r="BI80" s="2603"/>
    </row>
    <row r="81" spans="1:61" s="237" customFormat="1" ht="15" customHeight="1">
      <c r="A81" s="3252"/>
      <c r="B81" s="195"/>
      <c r="C81" s="191"/>
      <c r="D81" s="191"/>
      <c r="E81" s="1906" t="s">
        <v>4411</v>
      </c>
      <c r="F81" s="191"/>
      <c r="G81" s="191"/>
      <c r="H81" s="191"/>
      <c r="I81" s="191"/>
      <c r="J81" s="193"/>
      <c r="K81" s="193"/>
      <c r="L81" s="193"/>
      <c r="M81" s="1233"/>
      <c r="N81" s="4611"/>
      <c r="O81" s="3524"/>
      <c r="P81" s="3524"/>
      <c r="Q81" s="1107"/>
      <c r="R81" s="1228"/>
      <c r="S81" s="5091" t="s">
        <v>4688</v>
      </c>
      <c r="T81" s="78"/>
      <c r="U81" s="5"/>
      <c r="V81" s="5"/>
      <c r="W81" s="5"/>
      <c r="X81" s="5"/>
      <c r="Z81" s="235"/>
      <c r="AA81" s="235"/>
      <c r="AB81" s="235"/>
      <c r="AC81" s="235"/>
      <c r="AD81" s="3"/>
      <c r="AF81" s="235"/>
      <c r="AG81" s="235"/>
      <c r="AH81" s="235"/>
      <c r="AI81" s="235"/>
      <c r="AK81" s="235"/>
      <c r="AL81" s="235"/>
      <c r="AM81" s="235"/>
      <c r="AN81" s="235"/>
      <c r="AP81" s="235"/>
      <c r="AQ81" s="235"/>
      <c r="AR81" s="235"/>
      <c r="AS81" s="235"/>
      <c r="AU81" s="235"/>
      <c r="AV81" s="235"/>
      <c r="AW81" s="235"/>
      <c r="AX81" s="235"/>
      <c r="AZ81" s="2603"/>
      <c r="BA81" s="2603"/>
      <c r="BB81" s="2603"/>
      <c r="BC81" s="2603"/>
      <c r="BD81" s="2603"/>
      <c r="BE81" s="2603"/>
      <c r="BF81" s="2603"/>
      <c r="BG81" s="2603"/>
      <c r="BH81" s="2603"/>
      <c r="BI81" s="2603"/>
    </row>
    <row r="82" spans="1:61" s="237" customFormat="1" ht="8.25" customHeight="1">
      <c r="A82" s="3252"/>
      <c r="B82" s="195"/>
      <c r="C82" s="191"/>
      <c r="D82" s="191"/>
      <c r="E82" s="191"/>
      <c r="F82" s="191"/>
      <c r="G82" s="191"/>
      <c r="H82" s="191"/>
      <c r="I82" s="191"/>
      <c r="J82" s="193"/>
      <c r="K82" s="193"/>
      <c r="L82" s="193"/>
      <c r="M82" s="1233"/>
      <c r="N82" s="4611"/>
      <c r="O82" s="3524"/>
      <c r="P82" s="3524"/>
      <c r="Q82" s="1107"/>
      <c r="R82" s="1228"/>
      <c r="S82" s="78"/>
      <c r="T82" s="78"/>
      <c r="U82" s="5"/>
      <c r="V82" s="5"/>
      <c r="W82" s="5"/>
      <c r="X82" s="5"/>
      <c r="Z82" s="235"/>
      <c r="AA82" s="235"/>
      <c r="AB82" s="235"/>
      <c r="AC82" s="235"/>
      <c r="AD82" s="3"/>
      <c r="AF82" s="235"/>
      <c r="AG82" s="235"/>
      <c r="AH82" s="235"/>
      <c r="AI82" s="235"/>
      <c r="AK82" s="235"/>
      <c r="AL82" s="235"/>
      <c r="AM82" s="235"/>
      <c r="AN82" s="235"/>
      <c r="AP82" s="235"/>
      <c r="AQ82" s="235"/>
      <c r="AR82" s="235"/>
      <c r="AS82" s="235"/>
      <c r="AU82" s="235"/>
      <c r="AV82" s="235"/>
      <c r="AW82" s="235"/>
      <c r="AX82" s="235"/>
      <c r="AZ82" s="2603"/>
      <c r="BA82" s="2603"/>
      <c r="BB82" s="2603"/>
      <c r="BC82" s="2603"/>
      <c r="BD82" s="2603"/>
      <c r="BE82" s="2603"/>
      <c r="BF82" s="2603"/>
      <c r="BG82" s="2603"/>
      <c r="BH82" s="2603"/>
      <c r="BI82" s="2603"/>
    </row>
    <row r="83" spans="1:61" s="237" customFormat="1" ht="11.25" customHeight="1">
      <c r="A83" s="3252" t="b">
        <f>AND(SchDLine16&lt;&gt;"",A69,NOT(A80))</f>
        <v>0</v>
      </c>
      <c r="B83" s="323"/>
      <c r="C83" s="996" t="str">
        <f>IF(A83,"X","")</f>
        <v/>
      </c>
      <c r="D83" s="617"/>
      <c r="E83" s="22" t="s">
        <v>2482</v>
      </c>
      <c r="F83" s="276"/>
      <c r="G83" s="276"/>
      <c r="H83" s="276"/>
      <c r="I83" s="276"/>
      <c r="J83" s="193"/>
      <c r="K83" s="193"/>
      <c r="L83" s="604"/>
      <c r="M83" s="1233"/>
      <c r="N83" s="4611"/>
      <c r="O83" s="3524"/>
      <c r="P83" s="3524"/>
      <c r="Q83" s="400"/>
      <c r="R83" s="1227"/>
      <c r="S83" s="78"/>
      <c r="T83" s="78"/>
      <c r="U83" s="236"/>
      <c r="V83" s="236"/>
      <c r="W83" s="236"/>
      <c r="X83" s="236"/>
      <c r="Z83" s="519"/>
      <c r="AA83" s="519"/>
      <c r="AB83" s="519"/>
      <c r="AC83" s="519"/>
      <c r="AD83" s="3"/>
      <c r="AF83" s="519"/>
      <c r="AG83" s="519"/>
      <c r="AH83" s="519"/>
      <c r="AI83" s="519"/>
      <c r="AK83" s="519"/>
      <c r="AL83" s="519"/>
      <c r="AM83" s="519"/>
      <c r="AN83" s="519"/>
      <c r="AP83" s="519"/>
      <c r="AQ83" s="519"/>
      <c r="AR83" s="519"/>
      <c r="AS83" s="519"/>
      <c r="AU83" s="519"/>
      <c r="AV83" s="519"/>
      <c r="AW83" s="519"/>
      <c r="AX83" s="519"/>
      <c r="AZ83" s="2603"/>
      <c r="BA83" s="2603"/>
      <c r="BB83" s="2603"/>
      <c r="BC83" s="2603"/>
      <c r="BD83" s="2603"/>
      <c r="BE83" s="2603"/>
      <c r="BF83" s="2603"/>
      <c r="BG83" s="2603"/>
      <c r="BH83" s="2603"/>
      <c r="BI83" s="2603"/>
    </row>
    <row r="84" spans="1:61" s="237" customFormat="1" ht="15" customHeight="1">
      <c r="A84" s="3252"/>
      <c r="B84" s="195"/>
      <c r="C84" s="191"/>
      <c r="D84" s="191"/>
      <c r="E84" s="1023" t="s">
        <v>720</v>
      </c>
      <c r="F84" s="191"/>
      <c r="G84" s="191"/>
      <c r="H84" s="191"/>
      <c r="I84" s="191"/>
      <c r="J84" s="193"/>
      <c r="K84" s="193"/>
      <c r="L84" s="193"/>
      <c r="M84" s="1233"/>
      <c r="N84" s="4611"/>
      <c r="O84" s="3524"/>
      <c r="P84" s="3524"/>
      <c r="Q84" s="1107"/>
      <c r="R84" s="1228"/>
      <c r="S84" s="78"/>
      <c r="T84" s="78"/>
      <c r="U84" s="5"/>
      <c r="V84" s="5"/>
      <c r="W84" s="5"/>
      <c r="X84" s="5"/>
      <c r="Z84" s="235"/>
      <c r="AA84" s="235"/>
      <c r="AB84" s="235"/>
      <c r="AC84" s="235"/>
      <c r="AD84" s="3"/>
      <c r="AF84" s="235"/>
      <c r="AG84" s="235"/>
      <c r="AH84" s="235"/>
      <c r="AI84" s="235"/>
      <c r="AK84" s="235"/>
      <c r="AL84" s="235"/>
      <c r="AM84" s="235"/>
      <c r="AN84" s="235"/>
      <c r="AP84" s="235"/>
      <c r="AQ84" s="235"/>
      <c r="AR84" s="235"/>
      <c r="AS84" s="235"/>
      <c r="AU84" s="235"/>
      <c r="AV84" s="235"/>
      <c r="AW84" s="235"/>
      <c r="AX84" s="235"/>
      <c r="AZ84" s="2603"/>
      <c r="BA84" s="2603"/>
      <c r="BB84" s="2603"/>
      <c r="BC84" s="2603"/>
      <c r="BD84" s="2603"/>
      <c r="BE84" s="2603"/>
      <c r="BF84" s="2603"/>
      <c r="BG84" s="2603"/>
      <c r="BH84" s="2603"/>
      <c r="BI84" s="2603"/>
    </row>
    <row r="85" spans="1:61" s="237" customFormat="1" ht="15.75" customHeight="1">
      <c r="A85" s="3252"/>
      <c r="B85" s="195"/>
      <c r="C85" s="191"/>
      <c r="D85" s="191"/>
      <c r="E85" s="191"/>
      <c r="F85" s="191"/>
      <c r="G85" s="191"/>
      <c r="H85" s="191"/>
      <c r="I85" s="191"/>
      <c r="J85" s="193"/>
      <c r="K85" s="193"/>
      <c r="L85" s="193"/>
      <c r="M85" s="1233"/>
      <c r="N85" s="4611"/>
      <c r="O85" s="3524"/>
      <c r="P85" s="3524"/>
      <c r="Q85" s="1107"/>
      <c r="R85" s="1228"/>
      <c r="S85" s="1126"/>
      <c r="T85" s="78"/>
      <c r="U85" s="7149" t="str">
        <f>IF(AND(S88&lt;&gt;"",S88&gt;0),"This positive amount is being used as a negative amount.","")</f>
        <v/>
      </c>
      <c r="V85" s="5"/>
      <c r="W85" s="5"/>
      <c r="X85" s="5"/>
      <c r="Z85" s="235"/>
      <c r="AA85" s="235"/>
      <c r="AB85" s="235"/>
      <c r="AC85" s="235"/>
      <c r="AD85" s="3"/>
      <c r="AF85" s="235"/>
      <c r="AG85" s="235"/>
      <c r="AH85" s="235"/>
      <c r="AI85" s="235"/>
      <c r="AK85" s="235"/>
      <c r="AL85" s="235"/>
      <c r="AM85" s="235"/>
      <c r="AN85" s="235"/>
      <c r="AP85" s="235"/>
      <c r="AQ85" s="235"/>
      <c r="AR85" s="235"/>
      <c r="AS85" s="235"/>
      <c r="AU85" s="235"/>
      <c r="AV85" s="235"/>
      <c r="AW85" s="235"/>
      <c r="AX85" s="235"/>
      <c r="AZ85" s="2603"/>
      <c r="BA85" s="2603"/>
      <c r="BB85" s="2603"/>
      <c r="BC85" s="2603"/>
      <c r="BD85" s="2603"/>
      <c r="BE85" s="2603"/>
      <c r="BF85" s="2603"/>
      <c r="BG85" s="2603"/>
      <c r="BH85" s="2603"/>
      <c r="BI85" s="2603"/>
    </row>
    <row r="86" spans="1:61" s="237" customFormat="1" ht="14.25" customHeight="1">
      <c r="A86" s="3252"/>
      <c r="B86" s="615">
        <v>21</v>
      </c>
      <c r="C86" s="1023" t="s">
        <v>4026</v>
      </c>
      <c r="D86" s="191"/>
      <c r="E86" s="191"/>
      <c r="F86" s="191"/>
      <c r="G86" s="191"/>
      <c r="H86" s="191"/>
      <c r="I86" s="191"/>
      <c r="J86" s="193"/>
      <c r="K86" s="193"/>
      <c r="L86" s="193"/>
      <c r="M86" s="1233"/>
      <c r="N86" s="4611"/>
      <c r="O86" s="3524"/>
      <c r="P86" s="3524"/>
      <c r="Q86" s="1107"/>
      <c r="R86" s="1228"/>
      <c r="S86" s="1126" t="s">
        <v>90</v>
      </c>
      <c r="T86" s="78"/>
      <c r="U86" s="7149"/>
      <c r="V86" s="5"/>
      <c r="W86" s="5"/>
      <c r="X86" s="5"/>
      <c r="Z86" s="235"/>
      <c r="AA86" s="235"/>
      <c r="AB86" s="235"/>
      <c r="AC86" s="235"/>
      <c r="AD86" s="3"/>
      <c r="AF86" s="235"/>
      <c r="AG86" s="235"/>
      <c r="AH86" s="235"/>
      <c r="AI86" s="235"/>
      <c r="AK86" s="235"/>
      <c r="AL86" s="235"/>
      <c r="AM86" s="235"/>
      <c r="AN86" s="235"/>
      <c r="AP86" s="235"/>
      <c r="AQ86" s="235"/>
      <c r="AR86" s="235"/>
      <c r="AS86" s="235"/>
      <c r="AU86" s="235"/>
      <c r="AV86" s="235"/>
      <c r="AW86" s="235"/>
      <c r="AX86" s="235"/>
      <c r="AZ86" s="2603"/>
      <c r="BA86" s="2603"/>
      <c r="BB86" s="2603"/>
      <c r="BC86" s="2603"/>
      <c r="BD86" s="2603"/>
      <c r="BE86" s="2603"/>
      <c r="BF86" s="2603"/>
      <c r="BG86" s="2603"/>
      <c r="BH86" s="2603"/>
      <c r="BI86" s="2603"/>
    </row>
    <row r="87" spans="1:61" s="237" customFormat="1" ht="12.75" customHeight="1">
      <c r="A87" s="3252"/>
      <c r="B87" s="195"/>
      <c r="C87" s="391"/>
      <c r="D87" s="178"/>
      <c r="E87" s="191"/>
      <c r="F87" s="191"/>
      <c r="G87" s="191"/>
      <c r="H87" s="191"/>
      <c r="I87" s="191"/>
      <c r="J87" s="193"/>
      <c r="K87" s="193"/>
      <c r="L87" s="155"/>
      <c r="M87" s="1233"/>
      <c r="N87" s="4611"/>
      <c r="O87" s="3524"/>
      <c r="P87" s="3524"/>
      <c r="Q87" s="1107"/>
      <c r="R87" s="1228"/>
      <c r="S87" s="1126" t="s">
        <v>411</v>
      </c>
      <c r="T87" s="78"/>
      <c r="U87" s="7149"/>
      <c r="V87" s="5"/>
      <c r="W87" s="5"/>
      <c r="X87" s="5"/>
      <c r="Z87" s="235"/>
      <c r="AA87" s="235"/>
      <c r="AB87" s="235"/>
      <c r="AC87" s="235"/>
      <c r="AD87" s="3"/>
      <c r="AF87" s="235"/>
      <c r="AG87" s="235"/>
      <c r="AH87" s="235"/>
      <c r="AI87" s="235"/>
      <c r="AK87" s="235"/>
      <c r="AL87" s="235"/>
      <c r="AM87" s="235"/>
      <c r="AN87" s="235"/>
      <c r="AP87" s="235"/>
      <c r="AQ87" s="235"/>
      <c r="AR87" s="235"/>
      <c r="AS87" s="235"/>
      <c r="AU87" s="235"/>
      <c r="AV87" s="235"/>
      <c r="AW87" s="235"/>
      <c r="AX87" s="235"/>
      <c r="AZ87" s="2603"/>
      <c r="BA87" s="2603"/>
      <c r="BB87" s="2603"/>
      <c r="BC87" s="2603"/>
      <c r="BD87" s="2603"/>
      <c r="BE87" s="2603"/>
      <c r="BF87" s="2603"/>
      <c r="BG87" s="2603"/>
      <c r="BH87" s="2603"/>
      <c r="BI87" s="2603"/>
    </row>
    <row r="88" spans="1:61" s="237" customFormat="1" ht="12.75" customHeight="1">
      <c r="A88" s="3252"/>
      <c r="B88" s="195"/>
      <c r="C88" s="391" t="s">
        <v>86</v>
      </c>
      <c r="D88" s="178" t="s">
        <v>78</v>
      </c>
      <c r="E88" s="191"/>
      <c r="F88" s="191"/>
      <c r="G88" s="191"/>
      <c r="H88" s="191"/>
      <c r="I88" s="191"/>
      <c r="J88" s="193"/>
      <c r="K88" s="193"/>
      <c r="L88" s="155" t="s">
        <v>374</v>
      </c>
      <c r="M88" s="249">
        <f>B86</f>
        <v>21</v>
      </c>
      <c r="N88" s="3528" t="s">
        <v>916</v>
      </c>
      <c r="O88" s="3926" t="str">
        <f>IF(AND(S88&lt;&gt;"",S88&gt;=0),ROUND(S88,0),IF(A65,"",IF(S88&lt;&gt;"",-ROUND(S88,0),IF(O89="","",-O89))))</f>
        <v/>
      </c>
      <c r="P88" s="4851" t="s">
        <v>917</v>
      </c>
      <c r="Q88" s="1107"/>
      <c r="R88" s="1228"/>
      <c r="S88" s="4850"/>
      <c r="T88" s="78"/>
      <c r="U88" s="7149"/>
      <c r="V88" s="5"/>
      <c r="W88" s="5"/>
      <c r="X88" s="5"/>
      <c r="Z88" s="235"/>
      <c r="AA88" s="235"/>
      <c r="AB88" s="235"/>
      <c r="AC88" s="235"/>
      <c r="AD88" s="3"/>
      <c r="AF88" s="235"/>
      <c r="AG88" s="235"/>
      <c r="AH88" s="235"/>
      <c r="AI88" s="235"/>
      <c r="AK88" s="235"/>
      <c r="AL88" s="235"/>
      <c r="AM88" s="235"/>
      <c r="AN88" s="235"/>
      <c r="AP88" s="235"/>
      <c r="AQ88" s="235"/>
      <c r="AR88" s="235"/>
      <c r="AS88" s="235"/>
      <c r="AU88" s="235"/>
      <c r="AV88" s="235"/>
      <c r="AW88" s="235"/>
      <c r="AX88" s="235"/>
      <c r="AZ88" s="2603"/>
      <c r="BA88" s="2603"/>
      <c r="BB88" s="2603"/>
      <c r="BC88" s="2603"/>
      <c r="BD88" s="2603"/>
      <c r="BE88" s="2603"/>
      <c r="BF88" s="2603"/>
      <c r="BG88" s="2603"/>
      <c r="BH88" s="2603"/>
      <c r="BI88" s="2603"/>
    </row>
    <row r="89" spans="1:61" s="237" customFormat="1" ht="12.75" customHeight="1">
      <c r="A89" s="3252"/>
      <c r="B89" s="195"/>
      <c r="C89" s="391" t="s">
        <v>87</v>
      </c>
      <c r="D89" s="791" t="str">
        <f>TEXT(S90,"($0,000)")&amp;", or if married filing separately, "&amp;TEXT(S91,"($0,000)")</f>
        <v>($3,000), or if married filing separately, ($1,500)</v>
      </c>
      <c r="E89" s="191"/>
      <c r="F89" s="191"/>
      <c r="G89" s="191"/>
      <c r="H89" s="191"/>
      <c r="I89" s="191"/>
      <c r="J89" s="790"/>
      <c r="K89" s="193"/>
      <c r="L89" s="193"/>
      <c r="M89" s="1099"/>
      <c r="N89" s="193"/>
      <c r="O89" s="3531" t="str">
        <f>IF(N59&lt;0,-MIN(-N59,-S92),"")</f>
        <v/>
      </c>
      <c r="P89" s="193"/>
      <c r="Q89" s="1107"/>
      <c r="R89" s="1228"/>
      <c r="S89" s="78"/>
      <c r="T89" s="78"/>
      <c r="U89" s="5"/>
      <c r="V89" s="5"/>
      <c r="W89" s="5"/>
      <c r="X89" s="5"/>
      <c r="Z89" s="235"/>
      <c r="AA89" s="235"/>
      <c r="AB89" s="235"/>
      <c r="AC89" s="235"/>
      <c r="AD89" s="3"/>
      <c r="AF89" s="235"/>
      <c r="AG89" s="235"/>
      <c r="AH89" s="235"/>
      <c r="AI89" s="235"/>
      <c r="AK89" s="235"/>
      <c r="AL89" s="235"/>
      <c r="AM89" s="235"/>
      <c r="AN89" s="235"/>
      <c r="AP89" s="235"/>
      <c r="AQ89" s="235"/>
      <c r="AR89" s="235"/>
      <c r="AS89" s="235"/>
      <c r="AU89" s="235"/>
      <c r="AV89" s="235"/>
      <c r="AW89" s="235"/>
      <c r="AX89" s="235"/>
      <c r="AZ89" s="2603"/>
      <c r="BA89" s="2603"/>
      <c r="BB89" s="2603"/>
      <c r="BC89" s="2603"/>
      <c r="BD89" s="2603"/>
      <c r="BE89" s="2603"/>
      <c r="BF89" s="2603"/>
      <c r="BG89" s="2603"/>
      <c r="BH89" s="2603"/>
      <c r="BI89" s="2603"/>
    </row>
    <row r="90" spans="1:61" s="237" customFormat="1" ht="6.75" customHeight="1">
      <c r="A90" s="3252"/>
      <c r="B90" s="195"/>
      <c r="C90" s="391"/>
      <c r="D90" s="391"/>
      <c r="E90" s="191"/>
      <c r="F90" s="191"/>
      <c r="G90" s="191"/>
      <c r="H90" s="191"/>
      <c r="I90" s="191"/>
      <c r="J90" s="193"/>
      <c r="K90" s="193"/>
      <c r="L90" s="193"/>
      <c r="M90" s="1100"/>
      <c r="N90" s="606"/>
      <c r="O90" s="1101"/>
      <c r="P90" s="1101"/>
      <c r="Q90" s="1107"/>
      <c r="R90" s="1228"/>
      <c r="S90" s="1125">
        <v>3000</v>
      </c>
      <c r="T90" s="78"/>
      <c r="U90" s="5"/>
      <c r="V90" s="5"/>
      <c r="W90" s="5"/>
      <c r="X90" s="5"/>
      <c r="Z90" s="235"/>
      <c r="AA90" s="235"/>
      <c r="AB90" s="235"/>
      <c r="AC90" s="235"/>
      <c r="AD90" s="3"/>
      <c r="AF90" s="235"/>
      <c r="AG90" s="235"/>
      <c r="AH90" s="235"/>
      <c r="AI90" s="235"/>
      <c r="AK90" s="235"/>
      <c r="AL90" s="235"/>
      <c r="AM90" s="235"/>
      <c r="AN90" s="235"/>
      <c r="AP90" s="235"/>
      <c r="AQ90" s="235"/>
      <c r="AR90" s="235"/>
      <c r="AS90" s="235"/>
      <c r="AU90" s="235"/>
      <c r="AV90" s="235"/>
      <c r="AW90" s="235"/>
      <c r="AX90" s="235"/>
      <c r="AZ90" s="2603"/>
      <c r="BA90" s="2603"/>
      <c r="BB90" s="2603"/>
      <c r="BC90" s="2603"/>
      <c r="BD90" s="2603"/>
      <c r="BE90" s="2603"/>
      <c r="BF90" s="2603"/>
      <c r="BG90" s="2603"/>
      <c r="BH90" s="2603"/>
      <c r="BI90" s="2603"/>
    </row>
    <row r="91" spans="1:61" s="237" customFormat="1" ht="12.75" customHeight="1">
      <c r="A91" s="3252"/>
      <c r="B91" s="195"/>
      <c r="C91" s="218" t="s">
        <v>4027</v>
      </c>
      <c r="D91" s="380"/>
      <c r="E91" s="191"/>
      <c r="F91" s="191"/>
      <c r="G91" s="191"/>
      <c r="H91" s="191"/>
      <c r="I91" s="191"/>
      <c r="J91" s="193"/>
      <c r="K91" s="193"/>
      <c r="L91" s="193"/>
      <c r="M91" s="1102"/>
      <c r="N91" s="604"/>
      <c r="O91" s="602"/>
      <c r="P91" s="602"/>
      <c r="Q91" s="1107"/>
      <c r="R91" s="1228"/>
      <c r="S91" s="1125">
        <v>1500</v>
      </c>
      <c r="T91" s="78"/>
      <c r="U91" s="5"/>
      <c r="V91" s="5"/>
      <c r="W91" s="5"/>
      <c r="X91" s="5"/>
      <c r="Z91" s="235"/>
      <c r="AA91" s="235"/>
      <c r="AB91" s="235"/>
      <c r="AC91" s="235"/>
      <c r="AD91" s="3"/>
      <c r="AF91" s="235"/>
      <c r="AG91" s="235"/>
      <c r="AH91" s="235"/>
      <c r="AI91" s="235"/>
      <c r="AK91" s="235"/>
      <c r="AL91" s="235"/>
      <c r="AM91" s="235"/>
      <c r="AN91" s="235"/>
      <c r="AP91" s="235"/>
      <c r="AQ91" s="235"/>
      <c r="AR91" s="235"/>
      <c r="AS91" s="235"/>
      <c r="AU91" s="235"/>
      <c r="AV91" s="235"/>
      <c r="AW91" s="235"/>
      <c r="AX91" s="235"/>
      <c r="AZ91" s="2603"/>
      <c r="BA91" s="2603"/>
      <c r="BB91" s="2603"/>
      <c r="BC91" s="2603"/>
      <c r="BD91" s="2603"/>
      <c r="BE91" s="2603"/>
      <c r="BF91" s="2603"/>
      <c r="BG91" s="2603"/>
      <c r="BH91" s="2603"/>
      <c r="BI91" s="2603"/>
    </row>
    <row r="92" spans="1:61" s="237" customFormat="1" ht="12.75" customHeight="1">
      <c r="A92" s="3252"/>
      <c r="B92" s="195"/>
      <c r="C92" s="391"/>
      <c r="D92" s="391"/>
      <c r="E92" s="191"/>
      <c r="F92" s="191"/>
      <c r="G92" s="191"/>
      <c r="H92" s="191"/>
      <c r="I92" s="191"/>
      <c r="J92" s="193"/>
      <c r="K92" s="193"/>
      <c r="L92" s="193"/>
      <c r="M92" s="1102"/>
      <c r="N92" s="604"/>
      <c r="O92" s="602"/>
      <c r="P92" s="602"/>
      <c r="Q92" s="1107"/>
      <c r="R92" s="1228"/>
      <c r="S92" s="1295">
        <f>IF(File_Marr_Sep="",-S90,-S91)</f>
        <v>-3000</v>
      </c>
      <c r="T92" s="78"/>
      <c r="U92" s="5"/>
      <c r="V92" s="5"/>
      <c r="W92" s="5"/>
      <c r="X92" s="5"/>
      <c r="Z92" s="235"/>
      <c r="AA92" s="235"/>
      <c r="AB92" s="235"/>
      <c r="AC92" s="235"/>
      <c r="AD92" s="3"/>
      <c r="AF92" s="235"/>
      <c r="AG92" s="235"/>
      <c r="AH92" s="235"/>
      <c r="AI92" s="235"/>
      <c r="AK92" s="235"/>
      <c r="AL92" s="235"/>
      <c r="AM92" s="235"/>
      <c r="AN92" s="235"/>
      <c r="AP92" s="235"/>
      <c r="AQ92" s="235"/>
      <c r="AR92" s="235"/>
      <c r="AS92" s="235"/>
      <c r="AU92" s="235"/>
      <c r="AV92" s="235"/>
      <c r="AW92" s="235"/>
      <c r="AX92" s="235"/>
      <c r="AZ92" s="2603"/>
      <c r="BA92" s="2603"/>
      <c r="BB92" s="2603"/>
      <c r="BC92" s="2603"/>
      <c r="BD92" s="2603"/>
      <c r="BE92" s="2603"/>
      <c r="BF92" s="2603"/>
      <c r="BG92" s="2603"/>
      <c r="BH92" s="2603"/>
      <c r="BI92" s="2603"/>
    </row>
    <row r="93" spans="1:61" s="609" customFormat="1" ht="19.5" customHeight="1">
      <c r="A93" s="3252"/>
      <c r="B93" s="615">
        <v>22</v>
      </c>
      <c r="C93" s="1906" t="s">
        <v>4028</v>
      </c>
      <c r="D93" s="605"/>
      <c r="E93" s="605"/>
      <c r="F93" s="605"/>
      <c r="G93" s="605"/>
      <c r="H93" s="605"/>
      <c r="I93" s="605"/>
      <c r="J93" s="606"/>
      <c r="K93" s="606"/>
      <c r="L93" s="606"/>
      <c r="M93" s="1103"/>
      <c r="N93" s="193"/>
      <c r="O93" s="1104"/>
      <c r="P93" s="1104"/>
      <c r="Q93" s="1118"/>
      <c r="R93" s="1229"/>
      <c r="S93" s="1125" t="str">
        <f>IF(N59&gt;=0,N59,O89)</f>
        <v/>
      </c>
      <c r="T93" s="78"/>
      <c r="U93" s="575"/>
      <c r="V93" s="575"/>
      <c r="W93" s="575"/>
      <c r="X93" s="575"/>
      <c r="Z93" s="1259"/>
      <c r="AA93" s="1259"/>
      <c r="AB93" s="1259"/>
      <c r="AC93" s="1259"/>
      <c r="AD93" s="1264"/>
      <c r="AF93" s="1259"/>
      <c r="AG93" s="1259"/>
      <c r="AH93" s="1259"/>
      <c r="AI93" s="1259"/>
      <c r="AK93" s="1259"/>
      <c r="AL93" s="1259"/>
      <c r="AM93" s="1259"/>
      <c r="AN93" s="1259"/>
      <c r="AP93" s="1259"/>
      <c r="AQ93" s="1259"/>
      <c r="AR93" s="1259"/>
      <c r="AS93" s="1259"/>
      <c r="AU93" s="1259"/>
      <c r="AV93" s="1259"/>
      <c r="AW93" s="1259"/>
      <c r="AX93" s="1259"/>
      <c r="AZ93" s="2626"/>
      <c r="BA93" s="2626"/>
      <c r="BB93" s="2626"/>
      <c r="BC93" s="2626"/>
      <c r="BD93" s="2626"/>
      <c r="BE93" s="2626"/>
      <c r="BF93" s="2626"/>
      <c r="BG93" s="2626"/>
      <c r="BH93" s="2626"/>
      <c r="BI93" s="2626"/>
    </row>
    <row r="94" spans="1:61" s="609" customFormat="1" ht="11.25" customHeight="1">
      <c r="A94" s="3252"/>
      <c r="B94" s="615"/>
      <c r="C94" s="605"/>
      <c r="D94" s="605"/>
      <c r="E94" s="605"/>
      <c r="F94" s="605"/>
      <c r="G94" s="605"/>
      <c r="H94" s="605"/>
      <c r="I94" s="605"/>
      <c r="J94" s="606"/>
      <c r="K94" s="606"/>
      <c r="L94" s="606"/>
      <c r="M94" s="1103"/>
      <c r="N94" s="193"/>
      <c r="O94" s="1104"/>
      <c r="P94" s="1104"/>
      <c r="Q94" s="1118"/>
      <c r="R94" s="1229"/>
      <c r="S94" s="1125"/>
      <c r="T94" s="78"/>
      <c r="U94" s="575"/>
      <c r="V94" s="575"/>
      <c r="W94" s="575"/>
      <c r="X94" s="575"/>
      <c r="Z94" s="1259"/>
      <c r="AA94" s="1259"/>
      <c r="AB94" s="1259"/>
      <c r="AC94" s="1259"/>
      <c r="AD94" s="1264"/>
      <c r="AF94" s="1259"/>
      <c r="AG94" s="1259"/>
      <c r="AH94" s="1259"/>
      <c r="AI94" s="1259"/>
      <c r="AK94" s="1259"/>
      <c r="AL94" s="1259"/>
      <c r="AM94" s="1259"/>
      <c r="AN94" s="1259"/>
      <c r="AP94" s="1259"/>
      <c r="AQ94" s="1259"/>
      <c r="AR94" s="1259"/>
      <c r="AS94" s="1259"/>
      <c r="AU94" s="1259"/>
      <c r="AV94" s="1259"/>
      <c r="AW94" s="1259"/>
      <c r="AX94" s="1259"/>
      <c r="AZ94" s="2626"/>
      <c r="BA94" s="2626"/>
      <c r="BB94" s="2626"/>
      <c r="BC94" s="2626"/>
      <c r="BD94" s="2626"/>
      <c r="BE94" s="2626"/>
      <c r="BF94" s="2626"/>
      <c r="BG94" s="2626"/>
      <c r="BH94" s="2626"/>
      <c r="BI94" s="2626"/>
    </row>
    <row r="95" spans="1:61" s="237" customFormat="1" ht="12" customHeight="1">
      <c r="A95" s="3252" t="b">
        <f>AND(SchDLine16&lt;&gt;"",OR(A63,A65,A71),AND(Qualified_Dividends&gt;0,Qualified_Dividends&lt;&gt;""))</f>
        <v>0</v>
      </c>
      <c r="B95" s="323"/>
      <c r="C95" s="6109" t="str">
        <f>IF(A95,"X","")</f>
        <v/>
      </c>
      <c r="D95" s="617"/>
      <c r="E95" s="22" t="s">
        <v>2805</v>
      </c>
      <c r="F95" s="276"/>
      <c r="G95" s="276"/>
      <c r="H95" s="276"/>
      <c r="I95" s="276"/>
      <c r="J95" s="193"/>
      <c r="K95" s="193"/>
      <c r="L95" s="604"/>
      <c r="M95" s="1103"/>
      <c r="N95" s="193"/>
      <c r="O95" s="1104"/>
      <c r="P95" s="1104"/>
      <c r="Q95" s="400"/>
      <c r="R95" s="1227"/>
      <c r="S95" s="78"/>
      <c r="T95" s="78"/>
      <c r="U95" s="236"/>
      <c r="V95" s="236"/>
      <c r="W95" s="236"/>
      <c r="X95" s="236"/>
      <c r="Z95" s="519"/>
      <c r="AA95" s="519"/>
      <c r="AB95" s="519"/>
      <c r="AC95" s="519"/>
      <c r="AD95" s="3"/>
      <c r="AF95" s="519"/>
      <c r="AG95" s="519"/>
      <c r="AH95" s="519"/>
      <c r="AI95" s="519"/>
      <c r="AK95" s="519"/>
      <c r="AL95" s="519"/>
      <c r="AM95" s="519"/>
      <c r="AN95" s="519"/>
      <c r="AP95" s="519"/>
      <c r="AQ95" s="519"/>
      <c r="AR95" s="519"/>
      <c r="AS95" s="519"/>
      <c r="AU95" s="519"/>
      <c r="AV95" s="519"/>
      <c r="AW95" s="519"/>
      <c r="AX95" s="519"/>
      <c r="AZ95" s="2603"/>
      <c r="BA95" s="2603"/>
      <c r="BB95" s="2603"/>
      <c r="BC95" s="2603"/>
      <c r="BD95" s="2603"/>
      <c r="BE95" s="2603"/>
      <c r="BF95" s="2603"/>
      <c r="BG95" s="2603"/>
      <c r="BH95" s="2603"/>
      <c r="BI95" s="2603"/>
    </row>
    <row r="96" spans="1:61" s="237" customFormat="1" ht="15" customHeight="1">
      <c r="A96" s="3252"/>
      <c r="B96" s="195"/>
      <c r="C96" s="191"/>
      <c r="D96" s="191"/>
      <c r="E96" s="1023" t="s">
        <v>4029</v>
      </c>
      <c r="F96" s="191"/>
      <c r="G96" s="191"/>
      <c r="H96" s="191"/>
      <c r="I96" s="191"/>
      <c r="J96" s="193"/>
      <c r="K96" s="193"/>
      <c r="L96" s="193"/>
      <c r="M96" s="1103"/>
      <c r="N96" s="193"/>
      <c r="O96" s="1104"/>
      <c r="P96" s="1104"/>
      <c r="Q96" s="1107"/>
      <c r="R96" s="1228"/>
      <c r="S96" s="78"/>
      <c r="T96" s="78"/>
      <c r="U96" s="5"/>
      <c r="V96" s="5"/>
      <c r="W96" s="5"/>
      <c r="X96" s="5"/>
      <c r="Z96" s="235"/>
      <c r="AA96" s="235"/>
      <c r="AB96" s="235"/>
      <c r="AC96" s="235"/>
      <c r="AD96" s="3"/>
      <c r="AF96" s="235"/>
      <c r="AG96" s="235"/>
      <c r="AH96" s="235"/>
      <c r="AI96" s="235"/>
      <c r="AK96" s="235"/>
      <c r="AL96" s="235"/>
      <c r="AM96" s="235"/>
      <c r="AN96" s="235"/>
      <c r="AP96" s="235"/>
      <c r="AQ96" s="235"/>
      <c r="AR96" s="235"/>
      <c r="AS96" s="235"/>
      <c r="AU96" s="235"/>
      <c r="AV96" s="235"/>
      <c r="AW96" s="235"/>
      <c r="AX96" s="235"/>
      <c r="AZ96" s="2603"/>
      <c r="BA96" s="2603"/>
      <c r="BB96" s="2603"/>
      <c r="BC96" s="2603"/>
      <c r="BD96" s="2603"/>
      <c r="BE96" s="2603"/>
      <c r="BF96" s="2603"/>
      <c r="BG96" s="2603"/>
      <c r="BH96" s="2603"/>
      <c r="BI96" s="2603"/>
    </row>
    <row r="97" spans="1:61" s="237" customFormat="1" ht="19.5" customHeight="1">
      <c r="A97" s="3252"/>
      <c r="B97" s="195"/>
      <c r="C97" s="191"/>
      <c r="D97" s="191"/>
      <c r="E97" s="997"/>
      <c r="F97" s="191"/>
      <c r="G97" s="191"/>
      <c r="H97" s="191"/>
      <c r="I97" s="191"/>
      <c r="J97" s="193"/>
      <c r="K97" s="193"/>
      <c r="L97" s="193"/>
      <c r="M97" s="1103"/>
      <c r="N97" s="193"/>
      <c r="O97" s="1104"/>
      <c r="P97" s="1104"/>
      <c r="Q97" s="1107"/>
      <c r="R97" s="1228"/>
      <c r="S97" s="78"/>
      <c r="T97" s="78"/>
      <c r="U97" s="5"/>
      <c r="V97" s="5"/>
      <c r="W97" s="5"/>
      <c r="X97" s="5"/>
      <c r="Z97" s="235"/>
      <c r="AA97" s="235"/>
      <c r="AB97" s="235"/>
      <c r="AC97" s="235"/>
      <c r="AD97" s="3"/>
      <c r="AF97" s="235"/>
      <c r="AG97" s="235"/>
      <c r="AH97" s="235"/>
      <c r="AI97" s="235"/>
      <c r="AK97" s="235"/>
      <c r="AL97" s="235"/>
      <c r="AM97" s="235"/>
      <c r="AN97" s="235"/>
      <c r="AP97" s="235"/>
      <c r="AQ97" s="235"/>
      <c r="AR97" s="235"/>
      <c r="AS97" s="235"/>
      <c r="AU97" s="235"/>
      <c r="AV97" s="235"/>
      <c r="AW97" s="235"/>
      <c r="AX97" s="235"/>
      <c r="AZ97" s="2603"/>
      <c r="BA97" s="2603"/>
      <c r="BB97" s="2603"/>
      <c r="BC97" s="2603"/>
      <c r="BD97" s="2603"/>
      <c r="BE97" s="2603"/>
      <c r="BF97" s="2603"/>
      <c r="BG97" s="2603"/>
      <c r="BH97" s="2603"/>
      <c r="BI97" s="2603"/>
    </row>
    <row r="98" spans="1:61" s="237" customFormat="1" ht="11.25" customHeight="1">
      <c r="A98" s="3252" t="b">
        <f>AND(SchDLine16&lt;&gt;"",OR(A63,A65,A71),NOT(A95))</f>
        <v>0</v>
      </c>
      <c r="B98" s="195"/>
      <c r="C98" s="6109" t="str">
        <f>IF(A98,"X","")</f>
        <v/>
      </c>
      <c r="D98" s="617"/>
      <c r="E98" s="22" t="s">
        <v>3466</v>
      </c>
      <c r="F98" s="191"/>
      <c r="G98" s="191"/>
      <c r="H98" s="191"/>
      <c r="I98" s="191"/>
      <c r="J98" s="193"/>
      <c r="K98" s="193"/>
      <c r="L98" s="193"/>
      <c r="M98" s="1103"/>
      <c r="N98" s="193"/>
      <c r="O98" s="1104"/>
      <c r="P98" s="1104"/>
      <c r="Q98" s="1107"/>
      <c r="R98" s="1228"/>
      <c r="S98" s="78"/>
      <c r="T98" s="78"/>
      <c r="U98" s="5"/>
      <c r="V98" s="5"/>
      <c r="W98" s="5"/>
      <c r="X98" s="5"/>
      <c r="Z98" s="235"/>
      <c r="AA98" s="235"/>
      <c r="AB98" s="235"/>
      <c r="AC98" s="235"/>
      <c r="AD98" s="3"/>
      <c r="AF98" s="235"/>
      <c r="AG98" s="235"/>
      <c r="AH98" s="235"/>
      <c r="AI98" s="235"/>
      <c r="AK98" s="235"/>
      <c r="AL98" s="235"/>
      <c r="AM98" s="235"/>
      <c r="AN98" s="235"/>
      <c r="AP98" s="235"/>
      <c r="AQ98" s="235"/>
      <c r="AR98" s="235"/>
      <c r="AS98" s="235"/>
      <c r="AU98" s="235"/>
      <c r="AV98" s="235"/>
      <c r="AW98" s="235"/>
      <c r="AX98" s="235"/>
      <c r="AZ98" s="2603"/>
      <c r="BA98" s="2603"/>
      <c r="BB98" s="2603"/>
      <c r="BC98" s="2603"/>
      <c r="BD98" s="2603"/>
      <c r="BE98" s="2603"/>
      <c r="BF98" s="2603"/>
      <c r="BG98" s="2603"/>
      <c r="BH98" s="2603"/>
      <c r="BI98" s="2603"/>
    </row>
    <row r="99" spans="1:61" s="237" customFormat="1" ht="15" customHeight="1" thickBot="1">
      <c r="A99" s="1232"/>
      <c r="B99" s="616"/>
      <c r="C99" s="600"/>
      <c r="D99" s="600"/>
      <c r="E99" s="601"/>
      <c r="F99" s="600"/>
      <c r="G99" s="600"/>
      <c r="H99" s="600"/>
      <c r="I99" s="600"/>
      <c r="J99" s="614"/>
      <c r="K99" s="614"/>
      <c r="L99" s="614"/>
      <c r="M99" s="1105"/>
      <c r="N99" s="614"/>
      <c r="O99" s="1106"/>
      <c r="P99" s="1106"/>
      <c r="Q99" s="1107"/>
      <c r="R99" s="1228"/>
      <c r="S99" s="78"/>
      <c r="T99" s="78"/>
      <c r="U99" s="5"/>
      <c r="V99" s="5"/>
      <c r="W99" s="5"/>
      <c r="X99" s="5"/>
      <c r="Z99" s="235"/>
      <c r="AA99" s="235"/>
      <c r="AB99" s="235"/>
      <c r="AC99" s="235"/>
      <c r="AD99" s="3"/>
      <c r="AF99" s="235"/>
      <c r="AG99" s="235"/>
      <c r="AH99" s="235"/>
      <c r="AI99" s="235"/>
      <c r="AK99" s="235"/>
      <c r="AL99" s="235"/>
      <c r="AM99" s="235"/>
      <c r="AN99" s="235"/>
      <c r="AP99" s="235"/>
      <c r="AQ99" s="235"/>
      <c r="AR99" s="235"/>
      <c r="AS99" s="235"/>
      <c r="AU99" s="235"/>
      <c r="AV99" s="235"/>
      <c r="AW99" s="235"/>
      <c r="AX99" s="235"/>
      <c r="AZ99" s="2603"/>
      <c r="BA99" s="2603"/>
      <c r="BB99" s="2603"/>
      <c r="BC99" s="2603"/>
      <c r="BD99" s="2603"/>
      <c r="BE99" s="2603"/>
      <c r="BF99" s="2603"/>
      <c r="BG99" s="2603"/>
      <c r="BH99" s="2603"/>
      <c r="BI99" s="2603"/>
    </row>
    <row r="100" spans="1:61" s="237" customFormat="1" ht="15" customHeight="1">
      <c r="A100" s="1232"/>
      <c r="B100" s="191"/>
      <c r="C100" s="191"/>
      <c r="D100" s="191"/>
      <c r="E100" s="276"/>
      <c r="F100" s="191"/>
      <c r="G100" s="191"/>
      <c r="H100" s="191"/>
      <c r="I100" s="191"/>
      <c r="J100" s="193"/>
      <c r="K100" s="193"/>
      <c r="L100" s="193"/>
      <c r="M100" s="193"/>
      <c r="N100" s="193"/>
      <c r="O100" s="3547"/>
      <c r="P100" s="3547" t="str">
        <f>"Schedule D (Form 1040)   "&amp;TaxYear</f>
        <v>Schedule D (Form 1040)   2021</v>
      </c>
      <c r="Q100" s="1107"/>
      <c r="R100" s="1228"/>
      <c r="S100" s="78"/>
      <c r="T100" s="78"/>
      <c r="U100" s="5"/>
      <c r="V100" s="5"/>
      <c r="W100" s="5"/>
      <c r="X100" s="5"/>
      <c r="Z100" s="235"/>
      <c r="AA100" s="235"/>
      <c r="AB100" s="235"/>
      <c r="AC100" s="235"/>
      <c r="AD100" s="3"/>
      <c r="AF100" s="235"/>
      <c r="AG100" s="235"/>
      <c r="AH100" s="235"/>
      <c r="AI100" s="235"/>
      <c r="AK100" s="235"/>
      <c r="AL100" s="235"/>
      <c r="AM100" s="235"/>
      <c r="AN100" s="235"/>
      <c r="AP100" s="235"/>
      <c r="AQ100" s="235"/>
      <c r="AR100" s="235"/>
      <c r="AS100" s="235"/>
      <c r="AU100" s="235"/>
      <c r="AV100" s="235"/>
      <c r="AW100" s="235"/>
      <c r="AX100" s="235"/>
      <c r="AZ100" s="2603"/>
      <c r="BA100" s="2603"/>
      <c r="BB100" s="2603"/>
      <c r="BC100" s="2603"/>
      <c r="BD100" s="2603"/>
      <c r="BE100" s="2603"/>
      <c r="BF100" s="2603"/>
      <c r="BG100" s="2603"/>
      <c r="BH100" s="2603"/>
      <c r="BI100" s="2603"/>
    </row>
    <row r="101" spans="1:61" s="237" customFormat="1" ht="9" customHeight="1">
      <c r="A101" s="1232"/>
      <c r="B101" s="78"/>
      <c r="C101" s="78"/>
      <c r="D101" s="78"/>
      <c r="E101" s="78"/>
      <c r="F101" s="78"/>
      <c r="G101" s="78"/>
      <c r="H101" s="78"/>
      <c r="I101" s="78"/>
      <c r="J101" s="78"/>
      <c r="K101" s="78"/>
      <c r="L101" s="78"/>
      <c r="M101" s="78"/>
      <c r="N101" s="78"/>
      <c r="O101" s="78"/>
      <c r="P101" s="78"/>
      <c r="Q101" s="78"/>
      <c r="R101" s="1210"/>
      <c r="S101" s="78"/>
      <c r="T101" s="78"/>
      <c r="U101" s="5"/>
      <c r="V101" s="5"/>
      <c r="W101" s="5"/>
      <c r="X101" s="5"/>
      <c r="Z101" s="235"/>
      <c r="AA101" s="235"/>
      <c r="AB101" s="235"/>
      <c r="AC101" s="235"/>
      <c r="AD101" s="3"/>
      <c r="AF101" s="235"/>
      <c r="AG101" s="235"/>
      <c r="AH101" s="235"/>
      <c r="AI101" s="235"/>
      <c r="AK101" s="235"/>
      <c r="AL101" s="235"/>
      <c r="AM101" s="235"/>
      <c r="AN101" s="235"/>
      <c r="AP101" s="235"/>
      <c r="AQ101" s="235"/>
      <c r="AR101" s="235"/>
      <c r="AS101" s="235"/>
      <c r="AU101" s="235"/>
      <c r="AV101" s="235"/>
      <c r="AW101" s="235"/>
      <c r="AX101" s="235"/>
      <c r="AZ101" s="2603"/>
      <c r="BA101" s="2603"/>
      <c r="BB101" s="2603"/>
      <c r="BC101" s="2603"/>
      <c r="BD101" s="2603"/>
      <c r="BE101" s="2603"/>
      <c r="BF101" s="2603"/>
      <c r="BG101" s="2603"/>
      <c r="BH101" s="2603"/>
      <c r="BI101" s="2603"/>
    </row>
    <row r="102" spans="1:61" s="237" customFormat="1" ht="12.75" customHeight="1">
      <c r="A102" s="1232"/>
      <c r="B102" s="78"/>
      <c r="C102" s="78"/>
      <c r="D102" s="78"/>
      <c r="E102" s="78"/>
      <c r="F102" s="78"/>
      <c r="G102" s="78"/>
      <c r="H102" s="78"/>
      <c r="I102" s="78"/>
      <c r="J102" s="78"/>
      <c r="K102" s="78"/>
      <c r="L102" s="78"/>
      <c r="M102" s="78"/>
      <c r="N102" s="78"/>
      <c r="O102" s="78"/>
      <c r="P102" s="78"/>
      <c r="Q102" s="78"/>
      <c r="R102" s="1210"/>
      <c r="S102" s="78"/>
      <c r="T102" s="78"/>
      <c r="U102" s="5"/>
      <c r="V102" s="5"/>
      <c r="W102" s="5"/>
      <c r="X102" s="5"/>
      <c r="Z102" s="235"/>
      <c r="AA102" s="235"/>
      <c r="AB102" s="235"/>
      <c r="AC102" s="235"/>
      <c r="AD102" s="3"/>
      <c r="AF102" s="235"/>
      <c r="AG102" s="235"/>
      <c r="AH102" s="235"/>
      <c r="AI102" s="235"/>
      <c r="AK102" s="235"/>
      <c r="AL102" s="235"/>
      <c r="AM102" s="235"/>
      <c r="AN102" s="235"/>
      <c r="AP102" s="235"/>
      <c r="AQ102" s="235"/>
      <c r="AR102" s="235"/>
      <c r="AS102" s="235"/>
      <c r="AU102" s="235"/>
      <c r="AV102" s="235"/>
      <c r="AW102" s="235"/>
      <c r="AX102" s="235"/>
      <c r="AZ102" s="2603"/>
      <c r="BA102" s="2603"/>
      <c r="BB102" s="2603"/>
      <c r="BC102" s="2603"/>
      <c r="BD102" s="2603"/>
      <c r="BE102" s="2603"/>
      <c r="BF102" s="2603"/>
      <c r="BG102" s="2603"/>
      <c r="BH102" s="2603"/>
      <c r="BI102" s="2603"/>
    </row>
    <row r="103" spans="1:61" ht="13.5" customHeight="1">
      <c r="A103" s="1232"/>
      <c r="B103" s="78"/>
      <c r="C103" s="78"/>
      <c r="D103" s="78"/>
      <c r="E103" s="78"/>
      <c r="F103" s="78"/>
      <c r="G103" s="78"/>
      <c r="H103" s="78"/>
      <c r="I103" s="78"/>
      <c r="J103" s="78"/>
      <c r="K103" s="78"/>
      <c r="L103" s="78"/>
      <c r="M103" s="78"/>
      <c r="N103" s="78"/>
      <c r="O103" s="78"/>
      <c r="P103" s="78"/>
      <c r="Q103" s="78"/>
      <c r="R103" s="1210"/>
      <c r="S103" s="78"/>
      <c r="T103" s="78"/>
      <c r="U103" s="5"/>
      <c r="V103" s="5"/>
      <c r="W103" s="5"/>
      <c r="X103" s="5"/>
      <c r="Z103" s="235"/>
      <c r="AA103" s="235"/>
      <c r="AB103" s="235"/>
      <c r="AC103" s="235"/>
      <c r="AF103" s="235"/>
      <c r="AG103" s="235"/>
      <c r="AH103" s="235"/>
      <c r="AI103" s="235"/>
      <c r="AK103" s="235"/>
      <c r="AL103" s="235"/>
      <c r="AM103" s="235"/>
      <c r="AN103" s="235"/>
      <c r="AP103" s="235"/>
      <c r="AQ103" s="235"/>
      <c r="AR103" s="235"/>
      <c r="AS103" s="235"/>
      <c r="AU103" s="235"/>
      <c r="AV103" s="235"/>
      <c r="AW103" s="235"/>
      <c r="AX103" s="235"/>
    </row>
    <row r="104" spans="1:61" ht="13.5" customHeight="1">
      <c r="A104" s="1232"/>
      <c r="B104" s="78"/>
      <c r="C104" s="78"/>
      <c r="D104" s="78"/>
      <c r="E104" s="78"/>
      <c r="F104" s="78"/>
      <c r="G104" s="78"/>
      <c r="H104" s="78"/>
      <c r="I104" s="78"/>
      <c r="J104" s="78"/>
      <c r="K104" s="78"/>
      <c r="L104" s="78"/>
      <c r="M104" s="78"/>
      <c r="N104" s="78"/>
      <c r="O104" s="78"/>
      <c r="P104" s="78"/>
      <c r="Q104" s="78"/>
      <c r="R104" s="1210"/>
      <c r="S104" s="78"/>
      <c r="T104" s="78"/>
      <c r="U104" s="5"/>
      <c r="V104" s="5"/>
      <c r="W104" s="5"/>
      <c r="X104" s="5"/>
      <c r="Z104" s="235"/>
      <c r="AA104" s="235"/>
      <c r="AB104" s="235"/>
      <c r="AC104" s="235"/>
      <c r="AF104" s="235"/>
      <c r="AG104" s="235"/>
      <c r="AH104" s="235"/>
      <c r="AI104" s="235"/>
      <c r="AK104" s="235"/>
      <c r="AL104" s="235"/>
      <c r="AM104" s="235"/>
      <c r="AN104" s="235"/>
      <c r="AP104" s="235"/>
      <c r="AQ104" s="235"/>
      <c r="AR104" s="235"/>
      <c r="AS104" s="235"/>
      <c r="AU104" s="235"/>
      <c r="AV104" s="235"/>
      <c r="AW104" s="235"/>
      <c r="AX104" s="235"/>
    </row>
    <row r="105" spans="1:61">
      <c r="B105" s="237"/>
      <c r="C105" s="237"/>
      <c r="D105" s="237"/>
      <c r="E105" s="237"/>
      <c r="F105" s="237"/>
      <c r="G105" s="237"/>
      <c r="H105" s="237"/>
      <c r="I105" s="237"/>
      <c r="J105" s="237"/>
      <c r="K105" s="237"/>
      <c r="L105" s="237"/>
      <c r="M105" s="237"/>
      <c r="N105" s="237"/>
      <c r="O105" s="237"/>
      <c r="P105" s="237"/>
      <c r="Q105" s="237"/>
      <c r="R105" s="237"/>
      <c r="S105" s="237"/>
      <c r="T105" s="237"/>
      <c r="U105" s="5"/>
      <c r="V105" s="5"/>
      <c r="W105" s="5"/>
      <c r="X105" s="5"/>
      <c r="Z105" s="235"/>
      <c r="AA105" s="235"/>
      <c r="AB105" s="235"/>
      <c r="AC105" s="235"/>
      <c r="AF105" s="235"/>
      <c r="AG105" s="235"/>
      <c r="AH105" s="235"/>
      <c r="AI105" s="235"/>
      <c r="AK105" s="235"/>
      <c r="AL105" s="235"/>
      <c r="AM105" s="235"/>
      <c r="AN105" s="235"/>
      <c r="AP105" s="235"/>
      <c r="AQ105" s="235"/>
      <c r="AR105" s="235"/>
      <c r="AS105" s="235"/>
      <c r="AU105" s="235"/>
      <c r="AV105" s="235"/>
      <c r="AW105" s="235"/>
      <c r="AX105" s="235"/>
    </row>
    <row r="106" spans="1:61" s="42" customFormat="1" ht="13.5" thickBot="1">
      <c r="A106" s="5840"/>
      <c r="B106" s="147"/>
      <c r="C106" s="147"/>
      <c r="D106" s="261"/>
      <c r="E106" s="261"/>
      <c r="F106" s="261"/>
      <c r="J106" s="266"/>
      <c r="K106" s="266"/>
      <c r="L106" s="266"/>
      <c r="M106" s="266"/>
      <c r="N106" s="266"/>
      <c r="O106" s="266"/>
      <c r="P106" s="266"/>
      <c r="Q106" s="266"/>
      <c r="R106" s="266"/>
      <c r="S106" s="266"/>
      <c r="T106" s="266"/>
      <c r="U106" s="5"/>
      <c r="V106" s="5"/>
      <c r="W106" s="5"/>
      <c r="X106" s="5"/>
      <c r="Z106" s="235"/>
      <c r="AA106" s="235"/>
      <c r="AB106" s="235"/>
      <c r="AC106" s="235"/>
      <c r="AD106" s="235"/>
      <c r="AF106" s="235"/>
      <c r="AG106" s="235"/>
      <c r="AH106" s="235"/>
      <c r="AI106" s="235"/>
      <c r="AK106" s="235"/>
      <c r="AL106" s="235"/>
      <c r="AM106" s="235"/>
      <c r="AN106" s="235"/>
      <c r="AP106" s="235"/>
      <c r="AQ106" s="235"/>
      <c r="AR106" s="235"/>
      <c r="AS106" s="235"/>
      <c r="AU106" s="235"/>
      <c r="AV106" s="235"/>
      <c r="AW106" s="235"/>
      <c r="AX106" s="235"/>
      <c r="AZ106" s="2595"/>
      <c r="BA106" s="2595"/>
      <c r="BB106" s="2595"/>
      <c r="BC106" s="2595"/>
      <c r="BD106" s="2595"/>
      <c r="BE106" s="2595"/>
      <c r="BF106" s="2595"/>
      <c r="BG106" s="2595"/>
      <c r="BH106" s="2595"/>
      <c r="BI106" s="2595"/>
    </row>
    <row r="107" spans="1:61" s="42" customFormat="1" ht="14.25" thickTop="1" thickBot="1">
      <c r="A107" s="5840"/>
      <c r="D107" s="6262" t="s">
        <v>320</v>
      </c>
      <c r="E107" s="6944"/>
      <c r="F107" s="6944"/>
      <c r="G107" s="6944"/>
      <c r="H107" s="6945"/>
      <c r="I107" s="635"/>
      <c r="J107" s="266"/>
      <c r="K107" s="266"/>
      <c r="L107" s="266"/>
      <c r="M107" s="266"/>
      <c r="N107" s="266"/>
      <c r="O107" s="266"/>
      <c r="P107" s="266"/>
      <c r="Q107" s="266"/>
      <c r="R107" s="266"/>
      <c r="S107" s="266"/>
      <c r="T107" s="266"/>
      <c r="U107" s="5"/>
      <c r="V107" s="5"/>
      <c r="W107" s="5"/>
      <c r="X107" s="5"/>
      <c r="Z107" s="235"/>
      <c r="AA107" s="235"/>
      <c r="AB107" s="235"/>
      <c r="AC107" s="235"/>
      <c r="AD107" s="235"/>
      <c r="AF107" s="235"/>
      <c r="AG107" s="235"/>
      <c r="AH107" s="235"/>
      <c r="AI107" s="235"/>
      <c r="AK107" s="235"/>
      <c r="AL107" s="235"/>
      <c r="AM107" s="235"/>
      <c r="AN107" s="235"/>
      <c r="AP107" s="235"/>
      <c r="AQ107" s="235"/>
      <c r="AR107" s="235"/>
      <c r="AS107" s="235"/>
      <c r="AU107" s="235"/>
      <c r="AV107" s="235"/>
      <c r="AW107" s="235"/>
      <c r="AX107" s="235"/>
      <c r="AZ107" s="2595"/>
      <c r="BA107" s="2595"/>
      <c r="BB107" s="2595"/>
      <c r="BC107" s="2595"/>
      <c r="BD107" s="2595"/>
      <c r="BE107" s="2595"/>
      <c r="BF107" s="2595"/>
      <c r="BG107" s="2595"/>
      <c r="BH107" s="2595"/>
      <c r="BI107" s="2595"/>
    </row>
    <row r="108" spans="1:61" s="42" customFormat="1" ht="14.25" thickTop="1" thickBot="1">
      <c r="A108" s="5840"/>
      <c r="D108" s="261"/>
      <c r="E108" s="261"/>
      <c r="H108" s="266"/>
      <c r="I108" s="266"/>
      <c r="J108" s="266"/>
      <c r="K108" s="266"/>
      <c r="L108" s="266"/>
      <c r="M108" s="266"/>
      <c r="N108" s="266"/>
      <c r="O108" s="266"/>
      <c r="P108" s="266"/>
      <c r="Q108" s="266"/>
      <c r="R108" s="266"/>
      <c r="T108" s="266"/>
      <c r="U108" s="5"/>
      <c r="V108" s="5"/>
      <c r="W108" s="5"/>
      <c r="X108" s="5"/>
      <c r="Z108" s="235"/>
      <c r="AA108" s="235"/>
      <c r="AB108" s="235"/>
      <c r="AC108" s="235"/>
      <c r="AD108" s="235"/>
      <c r="AF108" s="235"/>
      <c r="AG108" s="235"/>
      <c r="AH108" s="235"/>
      <c r="AI108" s="235"/>
      <c r="AK108" s="235"/>
      <c r="AL108" s="235"/>
      <c r="AM108" s="235"/>
      <c r="AN108" s="235"/>
      <c r="AP108" s="235"/>
      <c r="AQ108" s="235"/>
      <c r="AR108" s="235"/>
      <c r="AS108" s="235"/>
      <c r="AU108" s="235"/>
      <c r="AV108" s="235"/>
      <c r="AW108" s="235"/>
      <c r="AX108" s="235"/>
      <c r="AZ108" s="2595"/>
      <c r="BA108" s="2595"/>
      <c r="BB108" s="2595"/>
      <c r="BC108" s="2595"/>
      <c r="BD108" s="2595"/>
      <c r="BE108" s="2595"/>
      <c r="BF108" s="2595"/>
      <c r="BG108" s="2595"/>
      <c r="BH108" s="2595"/>
      <c r="BI108" s="2595"/>
    </row>
    <row r="109" spans="1:61" s="42" customFormat="1" ht="14.25" thickTop="1" thickBot="1">
      <c r="A109" s="5840"/>
      <c r="D109" s="6262" t="s">
        <v>62</v>
      </c>
      <c r="E109" s="6944"/>
      <c r="F109" s="6944"/>
      <c r="G109" s="6944"/>
      <c r="H109" s="6945"/>
      <c r="I109" s="635"/>
      <c r="J109" s="266"/>
      <c r="K109" s="266"/>
      <c r="L109" s="266"/>
      <c r="M109" s="266"/>
      <c r="N109" s="266"/>
      <c r="O109" s="266"/>
      <c r="P109" s="266"/>
      <c r="Q109" s="266"/>
      <c r="R109" s="266"/>
      <c r="T109" s="266"/>
      <c r="U109" s="5"/>
      <c r="V109" s="5"/>
      <c r="W109" s="5"/>
      <c r="X109" s="5"/>
      <c r="Z109" s="235"/>
      <c r="AA109" s="235"/>
      <c r="AB109" s="235"/>
      <c r="AC109" s="235"/>
      <c r="AD109" s="235"/>
      <c r="AF109" s="235"/>
      <c r="AG109" s="235"/>
      <c r="AH109" s="235"/>
      <c r="AI109" s="235"/>
      <c r="AK109" s="235"/>
      <c r="AL109" s="235"/>
      <c r="AM109" s="235"/>
      <c r="AN109" s="235"/>
      <c r="AP109" s="235"/>
      <c r="AQ109" s="235"/>
      <c r="AR109" s="235"/>
      <c r="AS109" s="235"/>
      <c r="AU109" s="235"/>
      <c r="AV109" s="235"/>
      <c r="AW109" s="235"/>
      <c r="AX109" s="235"/>
      <c r="AZ109" s="2595"/>
      <c r="BA109" s="2595"/>
      <c r="BB109" s="2595"/>
      <c r="BC109" s="2595"/>
      <c r="BD109" s="2595"/>
      <c r="BE109" s="2595"/>
      <c r="BF109" s="2595"/>
      <c r="BG109" s="2595"/>
      <c r="BH109" s="2595"/>
      <c r="BI109" s="2595"/>
    </row>
    <row r="110" spans="1:61" s="42" customFormat="1" ht="13.5" thickTop="1">
      <c r="A110" s="5840"/>
      <c r="Q110" s="266"/>
      <c r="R110" s="266"/>
      <c r="S110"/>
      <c r="T110" s="266"/>
      <c r="Z110" s="235"/>
      <c r="AA110" s="235"/>
      <c r="AB110" s="235"/>
      <c r="AC110" s="235"/>
      <c r="AD110" s="235"/>
      <c r="AF110" s="235"/>
      <c r="AG110" s="235"/>
      <c r="AH110" s="235"/>
      <c r="AI110" s="235"/>
      <c r="AK110" s="235"/>
      <c r="AL110" s="235"/>
      <c r="AM110" s="235"/>
      <c r="AN110" s="235"/>
      <c r="AP110" s="235"/>
      <c r="AQ110" s="235"/>
      <c r="AR110" s="235"/>
      <c r="AS110" s="235"/>
      <c r="AU110" s="235"/>
      <c r="AV110" s="235"/>
      <c r="AW110" s="235"/>
      <c r="AX110" s="235"/>
      <c r="AZ110" s="2595"/>
      <c r="BA110" s="2595"/>
      <c r="BB110" s="2595"/>
      <c r="BC110" s="2595"/>
      <c r="BD110" s="2595"/>
      <c r="BE110" s="2595"/>
      <c r="BF110" s="2595"/>
      <c r="BG110" s="2595"/>
      <c r="BH110" s="2595"/>
      <c r="BI110" s="2595"/>
    </row>
    <row r="111" spans="1:61" s="42" customFormat="1">
      <c r="A111" s="5840"/>
      <c r="Q111" s="266"/>
      <c r="R111" s="266"/>
      <c r="S111"/>
      <c r="Z111" s="235"/>
      <c r="AA111" s="235"/>
      <c r="AB111" s="235"/>
      <c r="AC111" s="235"/>
      <c r="AD111" s="235"/>
      <c r="AF111" s="235"/>
      <c r="AG111" s="235"/>
      <c r="AH111" s="235"/>
      <c r="AI111" s="235"/>
      <c r="AK111" s="235"/>
      <c r="AL111" s="235"/>
      <c r="AM111" s="235"/>
      <c r="AN111" s="235"/>
      <c r="AP111" s="235"/>
      <c r="AQ111" s="235"/>
      <c r="AR111" s="235"/>
      <c r="AS111" s="235"/>
      <c r="AU111" s="235"/>
      <c r="AV111" s="235"/>
      <c r="AW111" s="235"/>
      <c r="AX111" s="235"/>
      <c r="AZ111" s="2595"/>
      <c r="BA111" s="2595"/>
      <c r="BB111" s="2595"/>
      <c r="BC111" s="2595"/>
      <c r="BD111" s="2595"/>
      <c r="BE111" s="2595"/>
      <c r="BF111" s="2595"/>
      <c r="BG111" s="2595"/>
      <c r="BH111" s="2595"/>
      <c r="BI111" s="2595"/>
    </row>
    <row r="112" spans="1:61" s="42" customFormat="1">
      <c r="A112" s="5840"/>
      <c r="S112"/>
      <c r="Z112" s="235"/>
      <c r="AA112" s="235"/>
      <c r="AB112" s="235"/>
      <c r="AC112" s="235"/>
      <c r="AD112" s="235"/>
      <c r="AF112" s="235"/>
      <c r="AG112" s="235"/>
      <c r="AH112" s="235"/>
      <c r="AI112" s="235"/>
      <c r="AK112" s="235"/>
      <c r="AL112" s="235"/>
      <c r="AM112" s="235"/>
      <c r="AN112" s="235"/>
      <c r="AP112" s="235"/>
      <c r="AQ112" s="235"/>
      <c r="AR112" s="235"/>
      <c r="AS112" s="235"/>
      <c r="AU112" s="235"/>
      <c r="AV112" s="235"/>
      <c r="AW112" s="235"/>
      <c r="AX112" s="235"/>
      <c r="AZ112" s="2595"/>
      <c r="BA112" s="2595"/>
      <c r="BB112" s="2595"/>
      <c r="BC112" s="2595"/>
      <c r="BD112" s="2595"/>
      <c r="BE112" s="2595"/>
      <c r="BF112" s="2595"/>
      <c r="BG112" s="2595"/>
      <c r="BH112" s="2595"/>
      <c r="BI112" s="2595"/>
    </row>
    <row r="113" spans="17:20">
      <c r="Q113" s="42"/>
      <c r="R113" s="42"/>
      <c r="T113" s="42"/>
    </row>
    <row r="114" spans="17:20">
      <c r="Q114" s="42"/>
      <c r="R114" s="42"/>
    </row>
  </sheetData>
  <sheetProtection algorithmName="SHA-512" hashValue="5kU3PYMbYx+i4+D3d7jJV9Le/tllK+/45PNaqgIOUHbvZTKiZsCLqx8Wqs2DiIBy3u1t8mxnQnJm34kLeS6jkA==" saltValue="xs+ekDNYuQpiVdiFYtx17g==" spinCount="100000" sheet="1" objects="1" scenarios="1"/>
  <mergeCells count="106">
    <mergeCell ref="AK8:AN8"/>
    <mergeCell ref="AP8:AS8"/>
    <mergeCell ref="AU8:AX8"/>
    <mergeCell ref="M2:P2"/>
    <mergeCell ref="Z8:AD8"/>
    <mergeCell ref="H42:I42"/>
    <mergeCell ref="K42:M42"/>
    <mergeCell ref="V13:V15"/>
    <mergeCell ref="U13:U15"/>
    <mergeCell ref="W13:W15"/>
    <mergeCell ref="H23:I23"/>
    <mergeCell ref="H22:I22"/>
    <mergeCell ref="K22:M22"/>
    <mergeCell ref="K23:M23"/>
    <mergeCell ref="K19:M19"/>
    <mergeCell ref="N18:O18"/>
    <mergeCell ref="H13:I15"/>
    <mergeCell ref="K18:M18"/>
    <mergeCell ref="K21:M21"/>
    <mergeCell ref="H18:I18"/>
    <mergeCell ref="H21:I21"/>
    <mergeCell ref="H39:I39"/>
    <mergeCell ref="G2:K3"/>
    <mergeCell ref="F5:L5"/>
    <mergeCell ref="C38:G39"/>
    <mergeCell ref="B33:G35"/>
    <mergeCell ref="H33:I35"/>
    <mergeCell ref="J33:J35"/>
    <mergeCell ref="K33:M35"/>
    <mergeCell ref="H37:I37"/>
    <mergeCell ref="C42:G43"/>
    <mergeCell ref="U85:U88"/>
    <mergeCell ref="U46:U49"/>
    <mergeCell ref="N77:P77"/>
    <mergeCell ref="N44:O44"/>
    <mergeCell ref="N47:P47"/>
    <mergeCell ref="N51:P51"/>
    <mergeCell ref="N37:P37"/>
    <mergeCell ref="N39:P39"/>
    <mergeCell ref="N41:P41"/>
    <mergeCell ref="N43:P43"/>
    <mergeCell ref="N45:P45"/>
    <mergeCell ref="N46:P46"/>
    <mergeCell ref="N42:O42"/>
    <mergeCell ref="C22:G23"/>
    <mergeCell ref="AF8:AI8"/>
    <mergeCell ref="V33:V35"/>
    <mergeCell ref="W33:W35"/>
    <mergeCell ref="N30:O30"/>
    <mergeCell ref="N23:P23"/>
    <mergeCell ref="N25:P25"/>
    <mergeCell ref="N24:O24"/>
    <mergeCell ref="N26:O26"/>
    <mergeCell ref="N22:O22"/>
    <mergeCell ref="B12:C12"/>
    <mergeCell ref="B32:C32"/>
    <mergeCell ref="C30:L31"/>
    <mergeCell ref="U26:U29"/>
    <mergeCell ref="N27:P27"/>
    <mergeCell ref="N31:P31"/>
    <mergeCell ref="N33:P35"/>
    <mergeCell ref="N17:P17"/>
    <mergeCell ref="N19:P19"/>
    <mergeCell ref="N21:P21"/>
    <mergeCell ref="H17:I17"/>
    <mergeCell ref="K17:M17"/>
    <mergeCell ref="F4:L4"/>
    <mergeCell ref="B13:G15"/>
    <mergeCell ref="H20:I20"/>
    <mergeCell ref="H19:I19"/>
    <mergeCell ref="C16:G17"/>
    <mergeCell ref="C18:G19"/>
    <mergeCell ref="C20:G21"/>
    <mergeCell ref="N13:P15"/>
    <mergeCell ref="L7:P7"/>
    <mergeCell ref="L8:P8"/>
    <mergeCell ref="M3:P4"/>
    <mergeCell ref="J13:J15"/>
    <mergeCell ref="K20:M20"/>
    <mergeCell ref="N20:O20"/>
    <mergeCell ref="K13:M15"/>
    <mergeCell ref="P5:P6"/>
    <mergeCell ref="D109:H109"/>
    <mergeCell ref="U33:U35"/>
    <mergeCell ref="D107:H107"/>
    <mergeCell ref="B56:D56"/>
    <mergeCell ref="K39:M39"/>
    <mergeCell ref="K43:M43"/>
    <mergeCell ref="H43:I43"/>
    <mergeCell ref="H41:I41"/>
    <mergeCell ref="K41:M41"/>
    <mergeCell ref="N38:O38"/>
    <mergeCell ref="N58:O58"/>
    <mergeCell ref="N50:O50"/>
    <mergeCell ref="N40:O40"/>
    <mergeCell ref="C40:G41"/>
    <mergeCell ref="C50:L51"/>
    <mergeCell ref="H38:I38"/>
    <mergeCell ref="K38:M38"/>
    <mergeCell ref="H40:I40"/>
    <mergeCell ref="K37:M37"/>
    <mergeCell ref="C36:G37"/>
    <mergeCell ref="C44:L45"/>
    <mergeCell ref="K40:M40"/>
    <mergeCell ref="N59:P59"/>
    <mergeCell ref="N74:P74"/>
  </mergeCells>
  <phoneticPr fontId="14" type="noConversion"/>
  <conditionalFormatting sqref="B8:L8">
    <cfRule type="expression" dxfId="2127" priority="130">
      <formula>IF(NoColor,1,0)</formula>
    </cfRule>
  </conditionalFormatting>
  <conditionalFormatting sqref="H12 J12">
    <cfRule type="expression" dxfId="2126" priority="552" stopIfTrue="1">
      <formula>IF(SUM(#REF!)&gt;0,1,0)</formula>
    </cfRule>
  </conditionalFormatting>
  <conditionalFormatting sqref="H32">
    <cfRule type="expression" dxfId="2125" priority="36" stopIfTrue="1">
      <formula>IF(SUM(#REF!)&gt;0,1,0)</formula>
    </cfRule>
  </conditionalFormatting>
  <conditionalFormatting sqref="H17:O17">
    <cfRule type="expression" dxfId="2124" priority="60">
      <formula>IF(NoColor,1,0)</formula>
    </cfRule>
  </conditionalFormatting>
  <conditionalFormatting sqref="H19:O19">
    <cfRule type="expression" dxfId="2123" priority="23">
      <formula>IF(NoColor,1,0)</formula>
    </cfRule>
  </conditionalFormatting>
  <conditionalFormatting sqref="H21:O21">
    <cfRule type="expression" dxfId="2122" priority="22">
      <formula>IF(NoColor,1,0)</formula>
    </cfRule>
  </conditionalFormatting>
  <conditionalFormatting sqref="H23:O23">
    <cfRule type="expression" dxfId="2121" priority="21">
      <formula>IF(NoColor,1,0)</formula>
    </cfRule>
  </conditionalFormatting>
  <conditionalFormatting sqref="H37:O37">
    <cfRule type="expression" dxfId="2120" priority="82">
      <formula>IF(NoColor,1,0)</formula>
    </cfRule>
  </conditionalFormatting>
  <conditionalFormatting sqref="H39:O39">
    <cfRule type="expression" dxfId="2119" priority="17">
      <formula>IF(NoColor,1,0)</formula>
    </cfRule>
  </conditionalFormatting>
  <conditionalFormatting sqref="H41:O41">
    <cfRule type="expression" dxfId="2118" priority="16">
      <formula>IF(NoColor,1,0)</formula>
    </cfRule>
  </conditionalFormatting>
  <conditionalFormatting sqref="H43:O43">
    <cfRule type="expression" dxfId="2117" priority="15">
      <formula>IF(NoColor,1,0)</formula>
    </cfRule>
  </conditionalFormatting>
  <conditionalFormatting sqref="J32">
    <cfRule type="expression" dxfId="2116" priority="205" stopIfTrue="1">
      <formula>IF(SUM(#REF!)&gt;0,1,0)</formula>
    </cfRule>
  </conditionalFormatting>
  <conditionalFormatting sqref="K10">
    <cfRule type="expression" dxfId="2115" priority="4">
      <formula>NoColor</formula>
    </cfRule>
  </conditionalFormatting>
  <conditionalFormatting sqref="N10">
    <cfRule type="expression" dxfId="2114" priority="3">
      <formula>NoColor</formula>
    </cfRule>
  </conditionalFormatting>
  <conditionalFormatting sqref="N74">
    <cfRule type="expression" dxfId="2113" priority="112">
      <formula>IF(NoColor,1,0)</formula>
    </cfRule>
  </conditionalFormatting>
  <conditionalFormatting sqref="N77">
    <cfRule type="expression" dxfId="2112" priority="111">
      <formula>IF(NoColor,1,0)</formula>
    </cfRule>
  </conditionalFormatting>
  <conditionalFormatting sqref="N25:O25">
    <cfRule type="expression" dxfId="2111" priority="126">
      <formula>IF(NoColor,1,0)</formula>
    </cfRule>
  </conditionalFormatting>
  <conditionalFormatting sqref="N27:O27">
    <cfRule type="expression" dxfId="2110" priority="20">
      <formula>IF(NoColor,1,0)</formula>
    </cfRule>
  </conditionalFormatting>
  <conditionalFormatting sqref="N31:O31">
    <cfRule type="expression" dxfId="2109" priority="18">
      <formula>IF(NoColor,1,0)</formula>
    </cfRule>
  </conditionalFormatting>
  <conditionalFormatting sqref="N45:O47">
    <cfRule type="expression" dxfId="2108" priority="13">
      <formula>IF(NoColor,1,0)</formula>
    </cfRule>
  </conditionalFormatting>
  <conditionalFormatting sqref="N51:O51">
    <cfRule type="expression" dxfId="2107" priority="11">
      <formula>IF(NoColor,1,0)</formula>
    </cfRule>
  </conditionalFormatting>
  <conditionalFormatting sqref="N59:O59">
    <cfRule type="expression" dxfId="2106" priority="113">
      <formula>IF(NoColor,1,0)</formula>
    </cfRule>
  </conditionalFormatting>
  <conditionalFormatting sqref="N29:P29">
    <cfRule type="expression" dxfId="2105" priority="10">
      <formula>IF(NoColor,1,0)</formula>
    </cfRule>
  </conditionalFormatting>
  <conditionalFormatting sqref="N49:P49">
    <cfRule type="expression" dxfId="2104" priority="1">
      <formula>IF(NoColor,1,0)</formula>
    </cfRule>
  </conditionalFormatting>
  <conditionalFormatting sqref="N88:P88">
    <cfRule type="expression" dxfId="2103" priority="5">
      <formula>IF(NoColor,1,0)</formula>
    </cfRule>
  </conditionalFormatting>
  <conditionalFormatting sqref="U19:W19">
    <cfRule type="expression" dxfId="2102" priority="79">
      <formula>IF(NoColor,1,0)</formula>
    </cfRule>
  </conditionalFormatting>
  <conditionalFormatting sqref="U21:W21">
    <cfRule type="expression" dxfId="2101" priority="53">
      <formula>IF(NoColor,1,0)</formula>
    </cfRule>
  </conditionalFormatting>
  <conditionalFormatting sqref="U23:W23">
    <cfRule type="expression" dxfId="2100" priority="77">
      <formula>IF(NoColor,1,0)</formula>
    </cfRule>
  </conditionalFormatting>
  <conditionalFormatting sqref="U39:W39">
    <cfRule type="expression" dxfId="2099" priority="67">
      <formula>IF(NoColor,1,0)</formula>
    </cfRule>
  </conditionalFormatting>
  <conditionalFormatting sqref="U41:W41">
    <cfRule type="expression" dxfId="2098" priority="63">
      <formula>IF(NoColor,1,0)</formula>
    </cfRule>
  </conditionalFormatting>
  <conditionalFormatting sqref="U43:W43">
    <cfRule type="expression" dxfId="2097" priority="62">
      <formula>IF(NoColor,1,0)</formula>
    </cfRule>
  </conditionalFormatting>
  <hyperlinks>
    <hyperlink ref="D107:H107" r:id="rId1" display="Download Form 1040 Schedule D" xr:uid="{00000000-0004-0000-1C00-000000000000}"/>
    <hyperlink ref="D109:H109" r:id="rId2" display="Download Form 1040 Schedule D Instructions" xr:uid="{00000000-0004-0000-1C00-000001000000}"/>
  </hyperlinks>
  <printOptions horizontalCentered="1"/>
  <pageMargins left="0.44" right="0.25" top="0.59" bottom="0.25" header="0.28000000000000003" footer="0.25"/>
  <pageSetup scale="85" fitToHeight="0" orientation="portrait" r:id="rId3"/>
  <headerFooter alignWithMargins="0"/>
  <rowBreaks count="2" manualBreakCount="2">
    <brk id="52" min="1" max="15" man="1"/>
    <brk id="102" min="1" max="12" man="1"/>
  </rowBreaks>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9">
    <pageSetUpPr fitToPage="1"/>
  </sheetPr>
  <dimension ref="A1:AT153"/>
  <sheetViews>
    <sheetView zoomScale="115" zoomScaleNormal="115" zoomScaleSheetLayoutView="100" workbookViewId="0"/>
  </sheetViews>
  <sheetFormatPr defaultRowHeight="12.75"/>
  <cols>
    <col min="1" max="1" width="4" customWidth="1"/>
    <col min="2" max="2" width="4.5703125" customWidth="1"/>
    <col min="3" max="3" width="1.5703125" customWidth="1"/>
    <col min="4" max="4" width="3" customWidth="1"/>
    <col min="5" max="5" width="16.42578125" customWidth="1"/>
    <col min="6" max="6" width="11.42578125" customWidth="1"/>
    <col min="7" max="7" width="12.7109375" customWidth="1"/>
    <col min="8" max="8" width="6.85546875" customWidth="1"/>
    <col min="9" max="9" width="3.85546875" customWidth="1"/>
    <col min="10" max="10" width="14.42578125" customWidth="1"/>
    <col min="11" max="11" width="5" customWidth="1"/>
    <col min="12" max="12" width="16.85546875" customWidth="1"/>
    <col min="13" max="13" width="3.5703125" customWidth="1"/>
    <col min="14" max="14" width="13.140625" customWidth="1"/>
    <col min="15" max="15" width="3.7109375" customWidth="1"/>
    <col min="16" max="16" width="11.7109375" customWidth="1"/>
    <col min="17" max="17" width="1.5703125" style="42" customWidth="1"/>
    <col min="18" max="18" width="7.28515625" style="42" customWidth="1"/>
    <col min="19" max="19" width="23.85546875" style="42" customWidth="1"/>
    <col min="20" max="20" width="6.7109375" style="42" customWidth="1"/>
    <col min="21" max="21" width="3.28515625" style="42" customWidth="1"/>
    <col min="22" max="22" width="9.5703125" style="42" customWidth="1"/>
    <col min="23" max="23" width="12.28515625" style="42" hidden="1" customWidth="1"/>
    <col min="24" max="31" width="12.28515625" hidden="1" customWidth="1"/>
    <col min="32" max="32" width="9.140625" customWidth="1"/>
    <col min="35" max="35" width="9.85546875" customWidth="1"/>
    <col min="36" max="37" width="9.140625" customWidth="1"/>
    <col min="38" max="38" width="3.28515625" customWidth="1"/>
    <col min="39" max="45" width="10.7109375" style="3402" customWidth="1"/>
  </cols>
  <sheetData>
    <row r="1" spans="1:45" ht="18.75" customHeight="1">
      <c r="A1" s="282"/>
      <c r="B1" s="155"/>
      <c r="C1" s="155"/>
      <c r="D1" s="178"/>
      <c r="E1" s="178"/>
      <c r="F1" s="178"/>
      <c r="G1" s="230"/>
      <c r="H1" s="155"/>
      <c r="I1" s="155"/>
      <c r="J1" s="230"/>
      <c r="K1" s="230"/>
      <c r="L1" s="230"/>
      <c r="M1" s="230"/>
      <c r="N1" s="230"/>
      <c r="O1" s="394"/>
      <c r="P1" s="471"/>
      <c r="Q1" s="257"/>
      <c r="R1" s="861"/>
      <c r="S1" s="257"/>
      <c r="T1" s="257"/>
      <c r="U1" s="1179"/>
      <c r="V1" s="1179"/>
      <c r="W1" s="1179"/>
      <c r="X1" s="1145"/>
      <c r="Y1" s="1145"/>
      <c r="Z1" s="1145"/>
      <c r="AA1" s="1145"/>
      <c r="AB1" s="1145"/>
      <c r="AC1" s="1145"/>
      <c r="AD1" s="1145"/>
      <c r="AE1" s="1145"/>
      <c r="AF1" s="1145"/>
      <c r="AG1" s="1145"/>
      <c r="AH1" s="1145"/>
      <c r="AI1" s="1145"/>
      <c r="AJ1" s="1145"/>
      <c r="AK1" s="1145"/>
      <c r="AL1" s="1145"/>
      <c r="AM1" s="3443" t="s">
        <v>2033</v>
      </c>
      <c r="AN1" s="2595"/>
      <c r="AO1" s="2595"/>
      <c r="AP1" s="2595"/>
      <c r="AQ1" s="2595"/>
      <c r="AR1" s="2595"/>
      <c r="AS1" s="2595"/>
    </row>
    <row r="2" spans="1:45" ht="18" customHeight="1" thickBot="1">
      <c r="A2" s="282"/>
      <c r="B2" s="243"/>
      <c r="C2" s="243"/>
      <c r="D2" s="1935" t="s">
        <v>1698</v>
      </c>
      <c r="E2" s="243"/>
      <c r="F2" s="243"/>
      <c r="G2" s="230"/>
      <c r="H2" s="155"/>
      <c r="I2" s="155"/>
      <c r="J2" s="230"/>
      <c r="K2" s="230"/>
      <c r="L2" s="230"/>
      <c r="M2" s="381" t="s">
        <v>175</v>
      </c>
      <c r="N2" s="381"/>
      <c r="O2" s="257"/>
      <c r="P2" s="257"/>
      <c r="Q2" s="257"/>
      <c r="R2" s="862"/>
      <c r="S2" s="257"/>
      <c r="T2" s="257"/>
      <c r="U2" s="1179"/>
      <c r="V2" s="1179"/>
      <c r="W2" s="1179"/>
      <c r="X2" s="1145"/>
      <c r="Y2" s="1145"/>
      <c r="Z2" s="1145"/>
      <c r="AA2" s="1145"/>
      <c r="AB2" s="1145"/>
      <c r="AC2" s="1145"/>
      <c r="AD2" s="1145"/>
      <c r="AE2" s="1145"/>
      <c r="AF2" s="1145"/>
      <c r="AG2" s="1145"/>
      <c r="AH2" s="1145"/>
      <c r="AI2" s="1145"/>
      <c r="AJ2" s="1145"/>
      <c r="AK2" s="1145"/>
      <c r="AL2" s="1145"/>
      <c r="AM2" s="3444" t="s">
        <v>111</v>
      </c>
      <c r="AN2" s="2595"/>
      <c r="AO2" s="2595"/>
      <c r="AP2" s="2595"/>
      <c r="AQ2" s="2595"/>
      <c r="AR2" s="2595"/>
      <c r="AS2" s="2595"/>
    </row>
    <row r="3" spans="1:45" ht="17.25" customHeight="1">
      <c r="A3" s="282"/>
      <c r="B3" s="1936"/>
      <c r="C3" s="1937"/>
      <c r="D3" s="1938"/>
      <c r="E3" s="1938"/>
      <c r="F3" s="1938"/>
      <c r="G3" s="1939"/>
      <c r="H3" s="1937"/>
      <c r="I3" s="1937"/>
      <c r="J3" s="1939"/>
      <c r="K3" s="1939"/>
      <c r="L3" s="1939"/>
      <c r="M3" s="1939"/>
      <c r="N3" s="1973"/>
      <c r="O3" s="1939"/>
      <c r="P3" s="1975"/>
      <c r="Q3" s="1959"/>
      <c r="R3" s="861"/>
      <c r="S3" s="434"/>
      <c r="T3" s="30"/>
      <c r="U3" s="1179"/>
      <c r="V3" s="2258" t="b">
        <f>IF(SUM(U4:U8)&gt;0,TRUE,FALSE)</f>
        <v>0</v>
      </c>
      <c r="W3" s="1284"/>
      <c r="X3" s="2243"/>
      <c r="Y3" s="2243"/>
      <c r="Z3" s="2243"/>
      <c r="AA3" s="2243"/>
      <c r="AB3" s="2243"/>
      <c r="AC3" s="2243"/>
      <c r="AD3" s="2243"/>
      <c r="AE3" s="2243"/>
      <c r="AF3" s="2917" t="s">
        <v>1709</v>
      </c>
      <c r="AG3" s="1145"/>
      <c r="AH3" s="1145"/>
      <c r="AI3" s="1145"/>
      <c r="AJ3" s="1145"/>
      <c r="AK3" s="1145"/>
      <c r="AL3" s="1145"/>
      <c r="AM3" s="3445"/>
      <c r="AN3" s="2595"/>
      <c r="AO3" s="2595"/>
      <c r="AP3" s="2595"/>
      <c r="AQ3" s="2595"/>
      <c r="AR3" s="2595"/>
      <c r="AS3" s="2595"/>
    </row>
    <row r="4" spans="1:45" ht="17.25" customHeight="1">
      <c r="A4" s="282"/>
      <c r="B4" s="1945"/>
      <c r="C4" s="1942" t="str">
        <f>"Use this worksheet to figure your capital loss carryovers from "&amp;TaxYear-1&amp;" to "&amp;TaxYear&amp;" if your "&amp;TaxYear-1&amp;" Schedule D, line 21, is a loss and"</f>
        <v>Use this worksheet to figure your capital loss carryovers from 2020 to 2021 if your 2020 Schedule D, line 21, is a loss and</v>
      </c>
      <c r="D4" s="1943"/>
      <c r="E4" s="1943"/>
      <c r="F4" s="1943"/>
      <c r="G4" s="1944"/>
      <c r="H4" s="1941"/>
      <c r="I4" s="1941"/>
      <c r="J4" s="1944"/>
      <c r="K4" s="1944"/>
      <c r="L4" s="1944"/>
      <c r="M4" s="1944"/>
      <c r="N4" s="1944"/>
      <c r="O4" s="1944"/>
      <c r="P4" s="1420"/>
      <c r="Q4" s="1965"/>
      <c r="R4" s="861"/>
      <c r="S4" s="1362" t="str">
        <f>TaxYear-1&amp;" Sch. D, Line 21"</f>
        <v>2020 Sch. D, Line 21</v>
      </c>
      <c r="T4" s="30"/>
      <c r="U4" s="2523">
        <f>IF(P5="",0,1)</f>
        <v>0</v>
      </c>
      <c r="V4" s="2907" t="b">
        <f>IF(P4&lt;0,TRUE,FALSE)</f>
        <v>0</v>
      </c>
      <c r="W4" s="2908"/>
      <c r="X4" s="2909"/>
      <c r="Y4" s="2909"/>
      <c r="Z4" s="2909"/>
      <c r="AA4" s="2909"/>
      <c r="AB4" s="2909"/>
      <c r="AC4" s="2909"/>
      <c r="AD4" s="2909"/>
      <c r="AE4" s="2909"/>
      <c r="AF4" s="2910" t="s">
        <v>5860</v>
      </c>
      <c r="AG4" s="2909"/>
      <c r="AH4" s="2909"/>
      <c r="AI4" s="2911"/>
      <c r="AJ4" s="1145"/>
      <c r="AK4" s="1145"/>
      <c r="AL4" s="1145"/>
      <c r="AM4" s="3445"/>
      <c r="AN4" s="2595"/>
      <c r="AO4" s="2595"/>
      <c r="AP4" s="2595"/>
      <c r="AQ4" s="2595"/>
      <c r="AR4" s="2595"/>
      <c r="AS4" s="2595"/>
    </row>
    <row r="5" spans="1:45" ht="13.5" customHeight="1">
      <c r="A5" s="282"/>
      <c r="B5" s="1945"/>
      <c r="C5" s="1942"/>
      <c r="D5" s="1943"/>
      <c r="E5" s="1943"/>
      <c r="F5" s="1943"/>
      <c r="G5" s="1944"/>
      <c r="H5" s="1941"/>
      <c r="I5" s="1941"/>
      <c r="J5" s="1944"/>
      <c r="K5" s="1944"/>
      <c r="L5" s="1944"/>
      <c r="M5" s="1944"/>
      <c r="N5" s="1944"/>
      <c r="O5" s="1944"/>
      <c r="P5" s="1420"/>
      <c r="Q5" s="1965"/>
      <c r="R5" s="861"/>
      <c r="S5" s="33" t="str">
        <f>TaxYear-1&amp;" Sch. D, Line 7"</f>
        <v>2020 Sch. D, Line 7</v>
      </c>
      <c r="T5" s="30"/>
      <c r="U5" s="2523">
        <f>IF(P6="",0,1)</f>
        <v>0</v>
      </c>
      <c r="V5" s="1303"/>
      <c r="W5" s="1179"/>
      <c r="X5" s="1145"/>
      <c r="Y5" s="1145"/>
      <c r="Z5" s="1145"/>
      <c r="AA5" s="1145"/>
      <c r="AB5" s="1145"/>
      <c r="AC5" s="1145"/>
      <c r="AD5" s="1145"/>
      <c r="AE5" s="1145"/>
      <c r="AF5" s="1977"/>
      <c r="AG5" s="1145"/>
      <c r="AH5" s="1145"/>
      <c r="AI5" s="1690"/>
      <c r="AJ5" s="1145"/>
      <c r="AK5" s="1145"/>
      <c r="AL5" s="1145"/>
      <c r="AM5" s="3445"/>
      <c r="AN5" s="2595"/>
      <c r="AO5" s="2595"/>
      <c r="AP5" s="2595"/>
      <c r="AQ5" s="2595"/>
      <c r="AR5" s="2595"/>
      <c r="AS5" s="2595"/>
    </row>
    <row r="6" spans="1:45" ht="13.5" customHeight="1">
      <c r="A6" s="282"/>
      <c r="B6" s="1945"/>
      <c r="C6" s="1942"/>
      <c r="D6" s="1943"/>
      <c r="E6" s="1943"/>
      <c r="F6" s="1943"/>
      <c r="G6" s="1944"/>
      <c r="H6" s="1941"/>
      <c r="I6" s="1941"/>
      <c r="J6" s="1944"/>
      <c r="K6" s="1944"/>
      <c r="L6" s="1944"/>
      <c r="M6" s="1944"/>
      <c r="N6" s="1944"/>
      <c r="O6" s="1944"/>
      <c r="P6" s="1420"/>
      <c r="Q6" s="1965"/>
      <c r="R6" s="861"/>
      <c r="S6" s="33" t="str">
        <f>TaxYear-1&amp;" Sch. D, Line 15"</f>
        <v>2020 Sch. D, Line 15</v>
      </c>
      <c r="T6" s="30"/>
      <c r="U6" s="2523"/>
      <c r="V6" s="1303"/>
      <c r="W6" s="1179"/>
      <c r="X6" s="1145"/>
      <c r="Y6" s="1145"/>
      <c r="Z6" s="1145"/>
      <c r="AA6" s="1145"/>
      <c r="AB6" s="1145"/>
      <c r="AC6" s="1145"/>
      <c r="AD6" s="1145"/>
      <c r="AE6" s="1145"/>
      <c r="AF6" s="1977"/>
      <c r="AG6" s="1145"/>
      <c r="AH6" s="1145"/>
      <c r="AI6" s="1690"/>
      <c r="AJ6" s="1145"/>
      <c r="AK6" s="1145"/>
      <c r="AL6" s="1145"/>
      <c r="AM6" s="3445"/>
      <c r="AN6" s="2595"/>
      <c r="AO6" s="2595"/>
      <c r="AP6" s="2595"/>
      <c r="AQ6" s="2595"/>
      <c r="AR6" s="2595"/>
      <c r="AS6" s="2595"/>
    </row>
    <row r="7" spans="1:45" ht="13.5" customHeight="1">
      <c r="A7" s="282"/>
      <c r="B7" s="1945"/>
      <c r="C7" s="1942"/>
      <c r="D7" s="3822" t="s">
        <v>906</v>
      </c>
      <c r="E7" s="1942" t="str">
        <f>" that loss is a smaller loss than the loss on your "&amp;TaxYear-1&amp;" Schedule D, line 16,"</f>
        <v xml:space="preserve"> that loss is a smaller loss than the loss on your 2020 Schedule D, line 16,</v>
      </c>
      <c r="F7" s="1943"/>
      <c r="G7" s="1944"/>
      <c r="H7" s="1941"/>
      <c r="I7" s="1941"/>
      <c r="J7" s="1944"/>
      <c r="K7" s="1966" t="s">
        <v>243</v>
      </c>
      <c r="L7" s="1944"/>
      <c r="M7" s="1944"/>
      <c r="N7" s="1972"/>
      <c r="O7" s="1944"/>
      <c r="P7" s="5867" t="str">
        <f>IF(AND(P5="",P6=""),"",ROUND(SUM(P5,P6),0))</f>
        <v/>
      </c>
      <c r="Q7" s="1965"/>
      <c r="R7" s="861"/>
      <c r="S7" s="33" t="str">
        <f>TaxYear-1&amp;" Sch. D, Line 16"</f>
        <v>2020 Sch. D, Line 16</v>
      </c>
      <c r="T7" s="30"/>
      <c r="U7" s="2523">
        <f>IF(P4="",0,1)</f>
        <v>0</v>
      </c>
      <c r="V7" s="1303" t="b">
        <f>IF(P7="",FALSE,IF(AND(V4,P7&lt;0,ABS(P4)&lt;ABS(P7)),TRUE,FALSE))</f>
        <v>0</v>
      </c>
      <c r="W7" s="1179"/>
      <c r="X7" s="1145"/>
      <c r="Y7" s="1145"/>
      <c r="Z7" s="1145"/>
      <c r="AA7" s="1145"/>
      <c r="AB7" s="1145"/>
      <c r="AC7" s="1145"/>
      <c r="AD7" s="1145"/>
      <c r="AE7" s="1145"/>
      <c r="AF7" s="1977" t="s">
        <v>5861</v>
      </c>
      <c r="AG7" s="1145"/>
      <c r="AH7" s="1145"/>
      <c r="AI7" s="1690"/>
      <c r="AJ7" s="1145"/>
      <c r="AK7" s="1145"/>
      <c r="AL7" s="1145"/>
      <c r="AM7" s="3445"/>
      <c r="AN7" s="2595"/>
      <c r="AO7" s="2595"/>
      <c r="AP7" s="2595"/>
      <c r="AQ7" s="2595"/>
      <c r="AR7" s="2595"/>
      <c r="AS7" s="2595"/>
    </row>
    <row r="8" spans="1:45" ht="13.5" customHeight="1">
      <c r="A8" s="282"/>
      <c r="B8" s="1945"/>
      <c r="C8" s="1942"/>
      <c r="D8" s="1966" t="s">
        <v>908</v>
      </c>
      <c r="E8" s="1943" t="str">
        <f>" if the amount on your "&amp;TaxYear-1&amp;" Form 1040 or 1040-SR, line 15 (or your "&amp;TaxYear-1&amp;" Form 1040-NR, line 15, if applicable) would be"</f>
        <v xml:space="preserve"> if the amount on your 2020 Form 1040 or 1040-SR, line 15 (or your 2020 Form 1040-NR, line 15, if applicable) would be</v>
      </c>
      <c r="F8" s="1943"/>
      <c r="G8" s="1944"/>
      <c r="H8" s="1942"/>
      <c r="I8" s="1941"/>
      <c r="J8" s="1944"/>
      <c r="K8" s="1944"/>
      <c r="L8" s="1944"/>
      <c r="M8" s="1944"/>
      <c r="N8" s="1944"/>
      <c r="O8" s="1944"/>
      <c r="P8" s="1420"/>
      <c r="Q8" s="1965"/>
      <c r="R8" s="861"/>
      <c r="S8" s="33" t="str">
        <f>TaxYear-1&amp;" Form 1040, Line 15 (Taxable Income)"</f>
        <v>2020 Form 1040, Line 15 (Taxable Income)</v>
      </c>
      <c r="T8" s="30"/>
      <c r="U8" s="2523">
        <f>IF(P8="",0,1)</f>
        <v>0</v>
      </c>
      <c r="V8" s="2912" t="b">
        <f>AND(P8&lt;&gt;"",P8&lt;&gt;0)</f>
        <v>0</v>
      </c>
      <c r="W8" s="2913"/>
      <c r="X8" s="2914"/>
      <c r="Y8" s="2914"/>
      <c r="Z8" s="2914"/>
      <c r="AA8" s="2914"/>
      <c r="AB8" s="2914"/>
      <c r="AC8" s="2914"/>
      <c r="AD8" s="2914"/>
      <c r="AE8" s="2914"/>
      <c r="AF8" s="4642" t="s">
        <v>5862</v>
      </c>
      <c r="AG8" s="2914"/>
      <c r="AH8" s="2914"/>
      <c r="AI8" s="2915"/>
      <c r="AJ8" s="1145"/>
      <c r="AK8" s="1145"/>
      <c r="AL8" s="1145"/>
      <c r="AM8" s="3445"/>
      <c r="AN8" s="2595"/>
      <c r="AO8" s="2595"/>
      <c r="AP8" s="2595"/>
      <c r="AQ8" s="2595"/>
      <c r="AR8" s="2595"/>
      <c r="AS8" s="2595"/>
    </row>
    <row r="9" spans="1:45" ht="13.5" customHeight="1">
      <c r="A9" s="282"/>
      <c r="B9" s="1945"/>
      <c r="C9" s="1967"/>
      <c r="D9" s="1967"/>
      <c r="E9" s="1942" t="s">
        <v>5411</v>
      </c>
      <c r="F9" s="1942"/>
      <c r="G9" s="1942"/>
      <c r="H9" s="1971"/>
      <c r="I9" s="1942"/>
      <c r="J9" s="1944"/>
      <c r="K9" s="1944"/>
      <c r="L9" s="1944"/>
      <c r="M9" s="1944"/>
      <c r="N9" s="1972"/>
      <c r="O9" s="1944"/>
      <c r="P9" s="7181"/>
      <c r="Q9" s="1965"/>
      <c r="R9" s="861"/>
      <c r="S9" s="1976" t="str">
        <f>IF(OR(AND(File_Marr_Sep&lt;&gt;"",$P$4&lt;-1500),$P$4&lt;-3000),"The amount of loss on Sch. D, Line 21,","")</f>
        <v/>
      </c>
      <c r="T9" s="30"/>
      <c r="U9" s="2770"/>
      <c r="V9" s="2916" t="b">
        <f>OR(U9&lt;&gt;"",AND(V3,V4,OR(V7,V8)))</f>
        <v>0</v>
      </c>
      <c r="W9" s="1553"/>
      <c r="X9" s="1694"/>
      <c r="Y9" s="1694"/>
      <c r="Z9" s="1694"/>
      <c r="AA9" s="1694"/>
      <c r="AB9" s="1694"/>
      <c r="AC9" s="1694"/>
      <c r="AD9" s="1694"/>
      <c r="AE9" s="1694"/>
      <c r="AF9" s="1978" t="str">
        <f>IF(V9,"&lt;---  If true, then this WS is applicable.","&lt;---  If false, you don't have any carryovers.")</f>
        <v>&lt;---  If false, you don't have any carryovers.</v>
      </c>
      <c r="AG9" s="1694"/>
      <c r="AH9" s="1694"/>
      <c r="AI9" s="1695"/>
      <c r="AJ9" s="1145"/>
      <c r="AK9" s="1145"/>
      <c r="AL9" s="1145"/>
      <c r="AM9" s="3445"/>
      <c r="AN9" s="2595"/>
      <c r="AO9" s="2595"/>
      <c r="AP9" s="2595"/>
      <c r="AQ9" s="2595"/>
      <c r="AR9" s="2595"/>
      <c r="AS9" s="2595"/>
    </row>
    <row r="10" spans="1:45" ht="13.5" customHeight="1">
      <c r="A10" s="282"/>
      <c r="B10" s="1945"/>
      <c r="C10" s="1942"/>
      <c r="D10" s="1943"/>
      <c r="E10" s="1943"/>
      <c r="F10" s="1943"/>
      <c r="G10" s="1944"/>
      <c r="H10" s="1941"/>
      <c r="I10" s="1941"/>
      <c r="J10" s="1944"/>
      <c r="K10" s="1944"/>
      <c r="L10" s="1944"/>
      <c r="M10" s="1944"/>
      <c r="N10" s="1944"/>
      <c r="O10" s="1944"/>
      <c r="P10" s="7182"/>
      <c r="Q10" s="1965"/>
      <c r="R10" s="861"/>
      <c r="S10" s="1976" t="str">
        <f>IF(OR(AND(File_Marr_Sep&lt;&gt;"",$P$4&lt;-1500),$P$4&lt;-3000),"should not have been more than $3,000","")</f>
        <v/>
      </c>
      <c r="T10" s="30"/>
      <c r="U10" s="2918" t="str">
        <f>IF(OR(U9&lt;&gt;"",AND(V3,NOT(V9))),"Check box if you wish to use the worksheet anyway.","")</f>
        <v/>
      </c>
      <c r="V10" s="1185"/>
      <c r="W10" s="1179"/>
      <c r="X10" s="1179"/>
      <c r="Y10" s="1179"/>
      <c r="Z10" s="1179"/>
      <c r="AA10" s="1179"/>
      <c r="AB10" s="1179"/>
      <c r="AC10" s="1179"/>
      <c r="AD10" s="1179"/>
      <c r="AE10" s="1179"/>
      <c r="AF10" s="1179"/>
      <c r="AG10" s="1179"/>
      <c r="AH10" s="1179"/>
      <c r="AI10" s="1179"/>
      <c r="AJ10" s="1145"/>
      <c r="AK10" s="1145"/>
      <c r="AL10" s="1145"/>
      <c r="AM10" s="3445"/>
      <c r="AN10" s="2595"/>
      <c r="AO10" s="2595"/>
      <c r="AP10" s="2595"/>
      <c r="AQ10" s="2595"/>
      <c r="AR10" s="2595"/>
      <c r="AS10" s="2595"/>
    </row>
    <row r="11" spans="1:45" ht="13.5" customHeight="1">
      <c r="A11" s="282"/>
      <c r="B11" s="1945"/>
      <c r="C11" s="1942" t="str">
        <f>"If you and your spouse once filed a joint return and are filing separate returns for "&amp;TaxYear&amp;","</f>
        <v>If you and your spouse once filed a joint return and are filing separate returns for 2021,</v>
      </c>
      <c r="D11" s="1943"/>
      <c r="E11" s="1943"/>
      <c r="F11" s="1943"/>
      <c r="G11" s="1944"/>
      <c r="H11" s="1941"/>
      <c r="I11" s="1941"/>
      <c r="J11" s="1944"/>
      <c r="K11" s="1944"/>
      <c r="L11" s="1944"/>
      <c r="M11" s="1944"/>
      <c r="N11" s="1944"/>
      <c r="O11" s="1944"/>
      <c r="P11" s="7182"/>
      <c r="Q11" s="1965"/>
      <c r="R11" s="861"/>
      <c r="S11" s="1976" t="str">
        <f>IF(OR(AND(File_Marr_Sep&lt;&gt;"",$P$4&lt;-1500),$P$4&lt;-3000),"(or $1,500, if Married Filing Separately)","")</f>
        <v/>
      </c>
      <c r="T11" s="30"/>
      <c r="U11" s="1179"/>
      <c r="V11" s="1185"/>
      <c r="W11" s="1179"/>
      <c r="X11" s="1179"/>
      <c r="Y11" s="1179"/>
      <c r="Z11" s="1179"/>
      <c r="AA11" s="1179"/>
      <c r="AB11" s="1179"/>
      <c r="AC11" s="1179"/>
      <c r="AD11" s="1179"/>
      <c r="AE11" s="1179"/>
      <c r="AF11" s="1179"/>
      <c r="AG11" s="1179"/>
      <c r="AH11" s="1179"/>
      <c r="AI11" s="1179"/>
      <c r="AJ11" s="1145"/>
      <c r="AK11" s="1145"/>
      <c r="AL11" s="1145"/>
      <c r="AM11" s="3445"/>
      <c r="AN11" s="2595"/>
      <c r="AO11" s="2595"/>
      <c r="AP11" s="2595"/>
      <c r="AQ11" s="2595"/>
      <c r="AR11" s="2595"/>
      <c r="AS11" s="2595"/>
    </row>
    <row r="12" spans="1:45" ht="13.5" customHeight="1">
      <c r="A12" s="282"/>
      <c r="B12" s="1945"/>
      <c r="C12" s="1942" t="s">
        <v>1707</v>
      </c>
      <c r="D12" s="1943"/>
      <c r="E12" s="1943"/>
      <c r="F12" s="1943"/>
      <c r="G12" s="1944"/>
      <c r="H12" s="1941"/>
      <c r="I12" s="1941"/>
      <c r="J12" s="1944"/>
      <c r="K12" s="1944"/>
      <c r="L12" s="1944"/>
      <c r="M12" s="1944"/>
      <c r="N12" s="1944"/>
      <c r="O12" s="1944"/>
      <c r="P12" s="7182"/>
      <c r="Q12" s="1965"/>
      <c r="R12" s="861"/>
      <c r="S12" s="30"/>
      <c r="T12" s="30"/>
      <c r="U12" s="1179"/>
      <c r="V12" s="1185"/>
      <c r="W12" s="1179"/>
      <c r="X12" s="1145"/>
      <c r="Y12" s="1145"/>
      <c r="Z12" s="1145"/>
      <c r="AA12" s="1145"/>
      <c r="AB12" s="1145"/>
      <c r="AC12" s="1145"/>
      <c r="AD12" s="1145"/>
      <c r="AE12" s="1145"/>
      <c r="AF12" s="1145"/>
      <c r="AG12" s="1145"/>
      <c r="AH12" s="1145"/>
      <c r="AI12" s="1145"/>
      <c r="AJ12" s="1145"/>
      <c r="AK12" s="1145"/>
      <c r="AL12" s="1145"/>
      <c r="AM12" s="3445"/>
      <c r="AN12" s="2595"/>
      <c r="AO12" s="2595"/>
      <c r="AP12" s="2595"/>
      <c r="AQ12" s="2595"/>
      <c r="AR12" s="2595"/>
      <c r="AS12" s="2595"/>
    </row>
    <row r="13" spans="1:45" ht="9" customHeight="1">
      <c r="A13" s="282"/>
      <c r="B13" s="1945"/>
      <c r="C13" s="1942"/>
      <c r="D13" s="1943"/>
      <c r="E13" s="1943"/>
      <c r="F13" s="1943"/>
      <c r="G13" s="1944"/>
      <c r="H13" s="1941"/>
      <c r="I13" s="1941"/>
      <c r="J13" s="1944"/>
      <c r="K13" s="1944"/>
      <c r="L13" s="1944"/>
      <c r="M13" s="1944"/>
      <c r="N13" s="1944"/>
      <c r="O13" s="1944"/>
      <c r="P13" s="4643"/>
      <c r="Q13" s="1965"/>
      <c r="R13" s="861"/>
      <c r="S13" s="434"/>
      <c r="T13" s="48"/>
      <c r="U13" s="1179"/>
      <c r="V13" s="1185"/>
      <c r="W13" s="1179"/>
      <c r="X13" s="1145"/>
      <c r="Y13" s="1145"/>
      <c r="Z13" s="1145"/>
      <c r="AA13" s="1145"/>
      <c r="AB13" s="1145"/>
      <c r="AC13" s="1145"/>
      <c r="AD13" s="1145"/>
      <c r="AE13" s="1145"/>
      <c r="AF13" s="1145"/>
      <c r="AG13" s="1145"/>
      <c r="AH13" s="1145"/>
      <c r="AI13" s="1145"/>
      <c r="AJ13" s="1145"/>
      <c r="AK13" s="1145"/>
      <c r="AL13" s="1145"/>
      <c r="AM13" s="3445"/>
      <c r="AN13" s="2595"/>
      <c r="AO13" s="2595"/>
      <c r="AP13" s="2595"/>
      <c r="AQ13" s="2595"/>
      <c r="AR13" s="2595"/>
      <c r="AS13" s="2595"/>
    </row>
    <row r="14" spans="1:45" s="613" customFormat="1" ht="21" customHeight="1">
      <c r="A14" s="768"/>
      <c r="B14" s="5683"/>
      <c r="C14" s="1968" t="str">
        <f>"If you excluded canceled debt from income in "&amp;TaxYear&amp;", see Pub. 4681."</f>
        <v>If you excluded canceled debt from income in 2021, see Pub. 4681.</v>
      </c>
      <c r="D14" s="5684"/>
      <c r="E14" s="5684"/>
      <c r="F14" s="5684"/>
      <c r="G14" s="5685"/>
      <c r="H14" s="5686"/>
      <c r="I14" s="5686"/>
      <c r="J14" s="5685"/>
      <c r="K14" s="5685"/>
      <c r="L14" s="5685"/>
      <c r="M14" s="5685"/>
      <c r="N14" s="5685"/>
      <c r="O14" s="5685"/>
      <c r="P14" s="5685"/>
      <c r="Q14" s="5687"/>
      <c r="R14" s="5688"/>
      <c r="S14" s="2137"/>
      <c r="T14" s="5689"/>
      <c r="U14" s="2528"/>
      <c r="V14" s="1259"/>
      <c r="W14" s="2528"/>
      <c r="AM14" s="5690"/>
      <c r="AN14" s="2602"/>
      <c r="AO14" s="2602"/>
      <c r="AP14" s="2602"/>
      <c r="AQ14" s="2602"/>
      <c r="AR14" s="2602"/>
      <c r="AS14" s="2602"/>
    </row>
    <row r="15" spans="1:45">
      <c r="A15" s="282"/>
      <c r="B15" s="1940"/>
      <c r="C15" s="1948"/>
      <c r="D15" s="1946"/>
      <c r="E15" s="1946"/>
      <c r="F15" s="1943"/>
      <c r="G15" s="1944"/>
      <c r="H15" s="1941"/>
      <c r="I15" s="1941"/>
      <c r="J15" s="1944"/>
      <c r="K15" s="1944"/>
      <c r="L15" s="1944"/>
      <c r="M15" s="1951"/>
      <c r="N15" s="1962"/>
      <c r="O15" s="1963"/>
      <c r="P15" s="1944"/>
      <c r="Q15" s="1960"/>
      <c r="R15" s="861"/>
      <c r="S15" s="30"/>
      <c r="T15" s="30"/>
      <c r="V15" s="235"/>
      <c r="AM15" s="3445"/>
      <c r="AN15" s="2595"/>
      <c r="AO15" s="2595"/>
      <c r="AP15" s="2595"/>
      <c r="AQ15" s="2595"/>
      <c r="AR15" s="2595"/>
      <c r="AS15" s="2595"/>
    </row>
    <row r="16" spans="1:45" ht="14.25" customHeight="1">
      <c r="A16" s="282"/>
      <c r="B16" s="1940" t="s">
        <v>294</v>
      </c>
      <c r="C16" s="1941"/>
      <c r="D16" s="1966" t="str">
        <f>"Enter the amount from your "&amp;TaxYear-1&amp;" Form 1040, line 15 (Taxable Income), or your "&amp;TaxYear-1&amp;" Form 1040NR, line 15."</f>
        <v>Enter the amount from your 2020 Form 1040, line 15 (Taxable Income), or your 2020 Form 1040NR, line 15.</v>
      </c>
      <c r="E16" s="1943"/>
      <c r="F16" s="1943"/>
      <c r="G16" s="1944"/>
      <c r="H16" s="1941"/>
      <c r="I16" s="1941"/>
      <c r="J16" s="1944"/>
      <c r="K16" s="1944"/>
      <c r="L16" s="1944"/>
      <c r="M16" s="1944"/>
      <c r="N16" s="1944"/>
      <c r="O16" s="1944"/>
      <c r="P16" s="1944"/>
      <c r="Q16" s="1960"/>
      <c r="R16" s="861"/>
      <c r="S16" s="619"/>
      <c r="T16" s="45"/>
      <c r="V16" s="235"/>
      <c r="AM16" s="3445"/>
      <c r="AN16" s="2595"/>
      <c r="AO16" s="2595"/>
      <c r="AP16" s="2595"/>
      <c r="AQ16" s="2595"/>
      <c r="AR16" s="2595"/>
      <c r="AS16" s="2595"/>
    </row>
    <row r="17" spans="1:45" ht="13.5" customHeight="1">
      <c r="A17" s="282"/>
      <c r="B17" s="1945"/>
      <c r="C17" s="1941"/>
      <c r="D17" s="1942" t="s">
        <v>4036</v>
      </c>
      <c r="E17" s="1943"/>
      <c r="F17" s="1943"/>
      <c r="G17" s="1944"/>
      <c r="H17" s="1941"/>
      <c r="I17" s="1941"/>
      <c r="J17" s="1944"/>
      <c r="K17" s="1944"/>
      <c r="L17" s="1944"/>
      <c r="M17" s="1944"/>
      <c r="N17" s="1957"/>
      <c r="O17" s="1948" t="s">
        <v>294</v>
      </c>
      <c r="P17" s="1331" t="str">
        <f>IF(NOT($V$9),"",ROUND(P8,0))</f>
        <v/>
      </c>
      <c r="Q17" s="1960"/>
      <c r="R17" s="861"/>
      <c r="S17" s="619"/>
      <c r="T17" s="45"/>
      <c r="V17" s="235"/>
      <c r="AM17" s="3445"/>
      <c r="AN17" s="2595"/>
      <c r="AO17" s="2595"/>
      <c r="AP17" s="2595"/>
      <c r="AQ17" s="2595"/>
      <c r="AR17" s="2595"/>
      <c r="AS17" s="2595"/>
    </row>
    <row r="18" spans="1:45">
      <c r="A18" s="282"/>
      <c r="B18" s="1947" t="s">
        <v>0</v>
      </c>
      <c r="C18" s="1948"/>
      <c r="D18" s="1943" t="str">
        <f>"Enter the loss from your "&amp;TaxYear-1&amp;" Schedule D, line 21, as a positive amount"</f>
        <v>Enter the loss from your 2020 Schedule D, line 21, as a positive amount</v>
      </c>
      <c r="E18" s="1943"/>
      <c r="F18" s="1943"/>
      <c r="G18" s="1944"/>
      <c r="H18" s="1941"/>
      <c r="I18" s="1941"/>
      <c r="J18" s="1944"/>
      <c r="K18" s="1944"/>
      <c r="L18" s="1944"/>
      <c r="M18" s="1944"/>
      <c r="N18" s="1957" t="str">
        <f>IF(P18&lt;0,"Enter as a positive amount."," .   .   .   .   .   .   .   .   .   .   .   .   .   .   .   .   .   .   .   .   .   .   .   .   .   .   ")</f>
        <v xml:space="preserve"> .   .   .   .   .   .   .   .   .   .   .   .   .   .   .   .   .   .   .   .   .   .   .   .   .   .   </v>
      </c>
      <c r="O18" s="1958" t="s">
        <v>0</v>
      </c>
      <c r="P18" s="1331" t="str">
        <f>IF(NOT($V$9),"",IF(ROUND(P4,0)&gt;0,0,-ROUND(P4,0)))</f>
        <v/>
      </c>
      <c r="Q18" s="1960"/>
      <c r="R18" s="861"/>
      <c r="S18" s="619"/>
      <c r="T18" s="45"/>
      <c r="V18" s="235"/>
      <c r="AM18" s="3445"/>
      <c r="AN18" s="2595"/>
      <c r="AO18" s="2595"/>
      <c r="AP18" s="2595"/>
      <c r="AQ18" s="2595"/>
      <c r="AR18" s="2595"/>
      <c r="AS18" s="2595"/>
    </row>
    <row r="19" spans="1:45">
      <c r="A19" s="282"/>
      <c r="B19" s="1947" t="s">
        <v>1</v>
      </c>
      <c r="C19" s="1948"/>
      <c r="D19" s="1942" t="s">
        <v>1699</v>
      </c>
      <c r="E19" s="1943"/>
      <c r="F19" s="1943"/>
      <c r="G19" s="1944"/>
      <c r="H19" s="1941"/>
      <c r="I19" s="1941"/>
      <c r="J19" s="1944"/>
      <c r="K19" s="1944"/>
      <c r="L19" s="1944"/>
      <c r="M19" s="1944"/>
      <c r="N19" s="1957" t="s">
        <v>4107</v>
      </c>
      <c r="O19" s="1958" t="s">
        <v>1</v>
      </c>
      <c r="P19" s="1331" t="str">
        <f>IF(NOT($V$9),"",IF(ROUND(SUM(P17,P18),0)&lt;0,0,ROUND(SUM(P17,P18),0)))</f>
        <v/>
      </c>
      <c r="Q19" s="1960"/>
      <c r="R19" s="861"/>
      <c r="S19" s="619"/>
      <c r="T19" s="48"/>
      <c r="AM19" s="3445"/>
      <c r="AN19" s="2595"/>
      <c r="AO19" s="2595"/>
      <c r="AP19" s="2595"/>
      <c r="AQ19" s="2595"/>
      <c r="AR19" s="2595"/>
      <c r="AS19" s="2595"/>
    </row>
    <row r="20" spans="1:45">
      <c r="A20" s="282"/>
      <c r="B20" s="1947" t="s">
        <v>399</v>
      </c>
      <c r="C20" s="1948"/>
      <c r="D20" s="1942" t="s">
        <v>2777</v>
      </c>
      <c r="E20" s="1943"/>
      <c r="F20" s="1943"/>
      <c r="G20" s="1944"/>
      <c r="H20" s="1941"/>
      <c r="I20" s="1941"/>
      <c r="J20" s="1944"/>
      <c r="K20" s="1944"/>
      <c r="L20" s="1957" t="s">
        <v>536</v>
      </c>
      <c r="M20" s="1949" t="s">
        <v>399</v>
      </c>
      <c r="N20" s="1331" t="str">
        <f>IF(NOT($V$9),"",MIN(P18,P19))</f>
        <v/>
      </c>
      <c r="O20" s="1963"/>
      <c r="P20" s="1963"/>
      <c r="Q20" s="1960"/>
      <c r="R20" s="861"/>
      <c r="S20" s="619"/>
      <c r="T20" s="45"/>
      <c r="AM20" s="3445"/>
      <c r="AN20" s="2595"/>
      <c r="AO20" s="2595"/>
      <c r="AP20" s="2595"/>
      <c r="AQ20" s="2595"/>
      <c r="AR20" s="2595"/>
      <c r="AS20" s="2595"/>
    </row>
    <row r="21" spans="1:45">
      <c r="A21" s="282"/>
      <c r="B21" s="1940"/>
      <c r="C21" s="1948"/>
      <c r="D21" s="1966" t="str">
        <f>"If line 7 of your "&amp;TaxYear-1&amp;" Schedule D is a loss, go to line 5; otherwise, enter -0- on line 5 and go to line 9."</f>
        <v>If line 7 of your 2020 Schedule D is a loss, go to line 5; otherwise, enter -0- on line 5 and go to line 9.</v>
      </c>
      <c r="E21" s="1946"/>
      <c r="F21" s="1943"/>
      <c r="G21" s="1944"/>
      <c r="H21" s="1941"/>
      <c r="I21" s="1941"/>
      <c r="J21" s="1944"/>
      <c r="K21" s="1944"/>
      <c r="L21" s="1944"/>
      <c r="M21" s="1951"/>
      <c r="N21" s="1969" t="str">
        <f>IF(OR(NOT($V$9),P21),"","Go to Line 9.")</f>
        <v/>
      </c>
      <c r="O21" s="1963"/>
      <c r="P21" s="1970" t="b">
        <f>IF(P5&lt;0,TRUE,FALSE)</f>
        <v>0</v>
      </c>
      <c r="Q21" s="1960"/>
      <c r="R21" s="861"/>
      <c r="S21" s="434"/>
      <c r="T21" s="30"/>
      <c r="AM21" s="3445"/>
      <c r="AN21" s="2595"/>
      <c r="AO21" s="2595"/>
      <c r="AP21" s="2595"/>
      <c r="AQ21" s="2595"/>
      <c r="AR21" s="2595"/>
      <c r="AS21" s="2595"/>
    </row>
    <row r="22" spans="1:45">
      <c r="A22" s="282"/>
      <c r="B22" s="1947" t="s">
        <v>31</v>
      </c>
      <c r="C22" s="1948"/>
      <c r="D22" s="1942" t="str">
        <f>"Enter the loss from your "&amp;TaxYear-1&amp;" Schedule D, line 7, as a positive amount"</f>
        <v>Enter the loss from your 2020 Schedule D, line 7, as a positive amount</v>
      </c>
      <c r="E22" s="1943"/>
      <c r="F22" s="1943"/>
      <c r="G22" s="1944"/>
      <c r="H22" s="1941"/>
      <c r="I22" s="1941"/>
      <c r="J22" s="1944"/>
      <c r="K22" s="1944"/>
      <c r="L22" s="1944"/>
      <c r="M22" s="1944"/>
      <c r="N22" s="1957" t="s">
        <v>2017</v>
      </c>
      <c r="O22" s="1958" t="s">
        <v>31</v>
      </c>
      <c r="P22" s="1331" t="str">
        <f>IF(NOT(V9),"",IF(NOT(P21),0,IF(ROUND(P5,0)&lt;0,-ROUND(P5,0),0)))</f>
        <v/>
      </c>
      <c r="Q22" s="1960"/>
      <c r="R22" s="861"/>
      <c r="S22" s="619"/>
      <c r="T22" s="45"/>
      <c r="AM22" s="3445"/>
      <c r="AN22" s="2595"/>
      <c r="AO22" s="2595"/>
      <c r="AP22" s="2595"/>
      <c r="AQ22" s="2595"/>
      <c r="AR22" s="2595"/>
      <c r="AS22" s="2595"/>
    </row>
    <row r="23" spans="1:45" ht="13.5" customHeight="1">
      <c r="A23" s="282"/>
      <c r="B23" s="1947" t="s">
        <v>67</v>
      </c>
      <c r="C23" s="1941"/>
      <c r="D23" s="1942" t="str">
        <f>"Enter any gain from your "&amp;TaxYear-1&amp;" Schedule D, line 15. If a loss, enter -0-"</f>
        <v>Enter any gain from your 2020 Schedule D, line 15. If a loss, enter -0-</v>
      </c>
      <c r="E23" s="1943"/>
      <c r="F23" s="1943"/>
      <c r="G23" s="1944"/>
      <c r="H23" s="1941"/>
      <c r="I23" s="1941"/>
      <c r="J23" s="1944"/>
      <c r="K23" s="1944"/>
      <c r="L23" s="1957" t="s">
        <v>534</v>
      </c>
      <c r="M23" s="1949" t="s">
        <v>67</v>
      </c>
      <c r="N23" s="1331" t="str">
        <f>IF(OR(NOT(V9),NOT(P21)),"",MAX(0,ROUND(P6,0),0))</f>
        <v/>
      </c>
      <c r="O23" s="1963"/>
      <c r="P23" s="1944"/>
      <c r="Q23" s="1960"/>
      <c r="R23" s="861"/>
      <c r="S23" s="30"/>
      <c r="T23" s="30"/>
      <c r="AM23" s="3445"/>
      <c r="AN23" s="2595"/>
      <c r="AO23" s="2595"/>
      <c r="AP23" s="2595"/>
      <c r="AQ23" s="2595"/>
      <c r="AR23" s="2595"/>
      <c r="AS23" s="2595"/>
    </row>
    <row r="24" spans="1:45">
      <c r="A24" s="282"/>
      <c r="B24" s="1947" t="s">
        <v>68</v>
      </c>
      <c r="C24" s="1948"/>
      <c r="D24" s="1942" t="s">
        <v>1700</v>
      </c>
      <c r="E24" s="1943"/>
      <c r="F24" s="1943"/>
      <c r="G24" s="1944"/>
      <c r="H24" s="1941"/>
      <c r="I24" s="1941"/>
      <c r="J24" s="1944"/>
      <c r="K24" s="1944"/>
      <c r="L24" s="1944"/>
      <c r="M24" s="1944"/>
      <c r="N24" s="1957" t="s">
        <v>4391</v>
      </c>
      <c r="O24" s="1958" t="s">
        <v>68</v>
      </c>
      <c r="P24" s="1331" t="str">
        <f>IF(OR(NOT(V9),NOT(P21)),"",SUM(N20,N23))</f>
        <v/>
      </c>
      <c r="Q24" s="1960"/>
      <c r="R24" s="861"/>
      <c r="S24" s="619"/>
      <c r="T24" s="30"/>
      <c r="AM24" s="3445"/>
      <c r="AN24" s="2595"/>
      <c r="AO24" s="2595"/>
      <c r="AP24" s="2595"/>
      <c r="AQ24" s="2595"/>
      <c r="AR24" s="2595"/>
      <c r="AS24" s="2595"/>
    </row>
    <row r="25" spans="1:45" ht="14.25" customHeight="1">
      <c r="A25" s="282"/>
      <c r="B25" s="1947" t="s">
        <v>204</v>
      </c>
      <c r="C25" s="1941"/>
      <c r="D25" s="1966" t="str">
        <f>"Short-term capital loss carryover for "&amp;TaxYear&amp;". "</f>
        <v xml:space="preserve">Short-term capital loss carryover for 2021. </v>
      </c>
      <c r="E25" s="1943"/>
      <c r="F25" s="1943"/>
      <c r="G25" s="1944"/>
      <c r="H25" s="1942" t="s">
        <v>1705</v>
      </c>
      <c r="I25" s="1941"/>
      <c r="J25" s="1944"/>
      <c r="K25" s="1944"/>
      <c r="L25" s="1944"/>
      <c r="M25" s="1944"/>
      <c r="N25" s="1944"/>
      <c r="O25" s="1944"/>
      <c r="P25" s="1944"/>
      <c r="Q25" s="1960"/>
      <c r="R25" s="861"/>
      <c r="S25" s="434"/>
      <c r="T25" s="48"/>
      <c r="AM25" s="3445"/>
      <c r="AN25" s="2595"/>
      <c r="AO25" s="2595"/>
      <c r="AP25" s="2595"/>
      <c r="AQ25" s="2595"/>
      <c r="AR25" s="2595"/>
      <c r="AS25" s="2595"/>
    </row>
    <row r="26" spans="1:45" ht="13.5" customHeight="1">
      <c r="A26" s="282"/>
      <c r="B26" s="1945"/>
      <c r="C26" s="1941"/>
      <c r="D26" s="1942" t="s">
        <v>1702</v>
      </c>
      <c r="E26" s="1943"/>
      <c r="F26" s="1943"/>
      <c r="G26" s="1944"/>
      <c r="H26" s="1941"/>
      <c r="I26" s="1941"/>
      <c r="J26" s="1944"/>
      <c r="K26" s="1944"/>
      <c r="L26" s="1944"/>
      <c r="M26" s="1944"/>
      <c r="N26" s="1957" t="s">
        <v>4037</v>
      </c>
      <c r="O26" s="1958" t="s">
        <v>204</v>
      </c>
      <c r="P26" s="1331" t="str">
        <f>IF(OR(NOT(V9),NOT(P21)),"",MAX(0,SUM(P22,-P24)))</f>
        <v/>
      </c>
      <c r="Q26" s="1960"/>
      <c r="R26" s="861"/>
      <c r="S26" s="30"/>
      <c r="T26" s="45"/>
      <c r="AM26" s="3445"/>
      <c r="AN26" s="2595"/>
      <c r="AO26" s="2595"/>
      <c r="AP26" s="2595"/>
      <c r="AQ26" s="2595"/>
      <c r="AR26" s="2595"/>
      <c r="AS26" s="2595"/>
    </row>
    <row r="27" spans="1:45">
      <c r="A27" s="282"/>
      <c r="B27" s="1940"/>
      <c r="C27" s="1948"/>
      <c r="D27" s="1966" t="str">
        <f>"If line 15 of your "&amp;TaxYear-1&amp;" Schedule D is a loss, go to line 9; otherwise, skip lines 9 through 13."</f>
        <v>If line 15 of your 2020 Schedule D is a loss, go to line 9; otherwise, skip lines 9 through 13.</v>
      </c>
      <c r="E27" s="1946"/>
      <c r="F27" s="1943"/>
      <c r="G27" s="1944"/>
      <c r="H27" s="1941"/>
      <c r="I27" s="1941"/>
      <c r="J27" s="1944"/>
      <c r="K27" s="1944"/>
      <c r="L27" s="1944"/>
      <c r="M27" s="1951"/>
      <c r="N27" s="1969" t="str">
        <f>IF(OR(NOT($V$9),P27),"","Skip lines 9 thru 13.")</f>
        <v/>
      </c>
      <c r="O27" s="1963"/>
      <c r="P27" s="1970" t="b">
        <f>IF(P6&lt;0,TRUE,FALSE)</f>
        <v>0</v>
      </c>
      <c r="Q27" s="1960"/>
      <c r="R27" s="861"/>
      <c r="S27" s="434"/>
      <c r="T27" s="30"/>
      <c r="AM27" s="3445"/>
      <c r="AN27" s="2595"/>
      <c r="AO27" s="2595"/>
      <c r="AP27" s="2595"/>
      <c r="AQ27" s="2595"/>
      <c r="AR27" s="2595"/>
      <c r="AS27" s="2595"/>
    </row>
    <row r="28" spans="1:45">
      <c r="A28" s="282"/>
      <c r="B28" s="1947" t="s">
        <v>205</v>
      </c>
      <c r="C28" s="1948"/>
      <c r="D28" s="1942" t="str">
        <f>"Enter the loss from your "&amp;TaxYear-1&amp;" Schedule D, line 15, as a positive amount"</f>
        <v>Enter the loss from your 2020 Schedule D, line 15, as a positive amount</v>
      </c>
      <c r="E28" s="1943"/>
      <c r="F28" s="1943"/>
      <c r="G28" s="1944"/>
      <c r="H28" s="1941"/>
      <c r="I28" s="1941"/>
      <c r="J28" s="1944"/>
      <c r="K28" s="1944"/>
      <c r="L28" s="1944"/>
      <c r="M28" s="1944"/>
      <c r="N28" s="1957" t="s">
        <v>2017</v>
      </c>
      <c r="O28" s="1958" t="s">
        <v>205</v>
      </c>
      <c r="P28" s="1331" t="str">
        <f>IF(OR(NOT(V9),NOT(P27)),"",IF(ROUND(P6,0)&lt;0,-ROUND(P6,0),0))</f>
        <v/>
      </c>
      <c r="Q28" s="1960"/>
      <c r="R28" s="861"/>
      <c r="S28" s="619"/>
      <c r="T28" s="30"/>
      <c r="AM28" s="3445"/>
      <c r="AN28" s="2595"/>
      <c r="AO28" s="2595"/>
      <c r="AP28" s="2595"/>
      <c r="AQ28" s="2595"/>
      <c r="AR28" s="2595"/>
      <c r="AS28" s="2595"/>
    </row>
    <row r="29" spans="1:45" ht="13.5" customHeight="1">
      <c r="A29" s="282"/>
      <c r="B29" s="1947" t="s">
        <v>295</v>
      </c>
      <c r="C29" s="1941"/>
      <c r="D29" s="1942" t="str">
        <f>"Enter any gain from your "&amp;TaxYear-1&amp;" Schedule D, line 7. If a loss, enter -0-"</f>
        <v>Enter any gain from your 2020 Schedule D, line 7. If a loss, enter -0-</v>
      </c>
      <c r="E29" s="1943"/>
      <c r="F29" s="1943"/>
      <c r="G29" s="1944"/>
      <c r="H29" s="1941"/>
      <c r="I29" s="1941"/>
      <c r="J29" s="1944"/>
      <c r="K29" s="1944"/>
      <c r="L29" s="1957" t="s">
        <v>534</v>
      </c>
      <c r="M29" s="1949" t="s">
        <v>295</v>
      </c>
      <c r="N29" s="1331" t="str">
        <f>IF(OR(NOT(V9),NOT(P27)),"",MAX(0,ROUND(P5,0)))</f>
        <v/>
      </c>
      <c r="O29" s="1963"/>
      <c r="P29" s="1944"/>
      <c r="Q29" s="1960"/>
      <c r="R29" s="861"/>
      <c r="S29" s="30"/>
      <c r="T29" s="45"/>
      <c r="AM29" s="3445"/>
      <c r="AN29" s="2595"/>
      <c r="AO29" s="2595"/>
      <c r="AP29" s="2595"/>
      <c r="AQ29" s="2595"/>
      <c r="AR29" s="2595"/>
      <c r="AS29" s="2595"/>
    </row>
    <row r="30" spans="1:45" ht="13.5" customHeight="1">
      <c r="A30" s="282"/>
      <c r="B30" s="1947" t="s">
        <v>296</v>
      </c>
      <c r="C30" s="1941"/>
      <c r="D30" s="1942" t="s">
        <v>1703</v>
      </c>
      <c r="E30" s="1943"/>
      <c r="F30" s="1943"/>
      <c r="G30" s="1944"/>
      <c r="H30" s="1941"/>
      <c r="I30" s="1941"/>
      <c r="J30" s="1944"/>
      <c r="K30" s="1944"/>
      <c r="L30" s="1957" t="s">
        <v>633</v>
      </c>
      <c r="M30" s="1949" t="s">
        <v>296</v>
      </c>
      <c r="N30" s="1331" t="str">
        <f>IF(OR(NOT(V9),NOT(P27)),"",MAX(0,SUM(N20,-P22)))</f>
        <v/>
      </c>
      <c r="O30" s="1963"/>
      <c r="P30" s="1944"/>
      <c r="Q30" s="1960"/>
      <c r="R30" s="861"/>
      <c r="S30" s="30"/>
      <c r="T30" s="30"/>
      <c r="AM30" s="3445"/>
      <c r="AN30" s="2595"/>
      <c r="AO30" s="2595"/>
      <c r="AP30" s="2595"/>
      <c r="AQ30" s="2595"/>
      <c r="AR30" s="2595"/>
      <c r="AS30" s="2595"/>
    </row>
    <row r="31" spans="1:45">
      <c r="A31" s="282"/>
      <c r="B31" s="1947" t="s">
        <v>297</v>
      </c>
      <c r="C31" s="1948"/>
      <c r="D31" s="1942" t="s">
        <v>1704</v>
      </c>
      <c r="E31" s="1943"/>
      <c r="F31" s="1943"/>
      <c r="G31" s="1944"/>
      <c r="H31" s="1941"/>
      <c r="I31" s="1941"/>
      <c r="J31" s="1944"/>
      <c r="K31" s="1944"/>
      <c r="L31" s="1944"/>
      <c r="M31" s="1944"/>
      <c r="N31" s="1957" t="s">
        <v>4392</v>
      </c>
      <c r="O31" s="1958" t="s">
        <v>297</v>
      </c>
      <c r="P31" s="1331" t="str">
        <f>IF(OR(NOT(V9),NOT(P27)),"",SUM(N29,N30))</f>
        <v/>
      </c>
      <c r="Q31" s="1960"/>
      <c r="R31" s="861"/>
      <c r="S31" s="619"/>
      <c r="T31" s="30"/>
      <c r="AM31" s="3445"/>
      <c r="AN31" s="2595"/>
      <c r="AO31" s="2595"/>
      <c r="AP31" s="2595"/>
      <c r="AQ31" s="2595"/>
      <c r="AR31" s="2595"/>
      <c r="AS31" s="2595"/>
    </row>
    <row r="32" spans="1:45" ht="14.25" customHeight="1">
      <c r="A32" s="282"/>
      <c r="B32" s="1947" t="s">
        <v>431</v>
      </c>
      <c r="C32" s="1941"/>
      <c r="D32" s="1966" t="str">
        <f>"Long-term capital loss carryover for "&amp;TaxYear&amp;". "</f>
        <v xml:space="preserve">Long-term capital loss carryover for 2021. </v>
      </c>
      <c r="E32" s="1943"/>
      <c r="F32" s="1943"/>
      <c r="G32" s="1944"/>
      <c r="H32" s="1942" t="s">
        <v>1708</v>
      </c>
      <c r="I32" s="1941"/>
      <c r="J32" s="1944"/>
      <c r="K32" s="1944"/>
      <c r="L32" s="1944"/>
      <c r="M32" s="1944"/>
      <c r="N32" s="1944"/>
      <c r="O32" s="1944"/>
      <c r="P32" s="1944"/>
      <c r="Q32" s="1960"/>
      <c r="R32" s="861"/>
      <c r="S32" s="434"/>
      <c r="T32" s="48"/>
      <c r="AM32" s="3445"/>
      <c r="AN32" s="2595"/>
      <c r="AO32" s="2595"/>
      <c r="AP32" s="2595"/>
      <c r="AQ32" s="2595"/>
      <c r="AR32" s="2595"/>
      <c r="AS32" s="2595"/>
    </row>
    <row r="33" spans="1:45" ht="13.5" customHeight="1">
      <c r="A33" s="282"/>
      <c r="B33" s="1945"/>
      <c r="C33" s="1941"/>
      <c r="D33" s="1942" t="s">
        <v>1706</v>
      </c>
      <c r="E33" s="1943"/>
      <c r="F33" s="1943"/>
      <c r="G33" s="1944"/>
      <c r="H33" s="1941"/>
      <c r="I33" s="1941"/>
      <c r="J33" s="1944"/>
      <c r="K33" s="1944"/>
      <c r="L33" s="1944"/>
      <c r="M33" s="1944"/>
      <c r="N33" s="1957" t="s">
        <v>4038</v>
      </c>
      <c r="O33" s="1958" t="s">
        <v>431</v>
      </c>
      <c r="P33" s="1331" t="str">
        <f>IF(OR(NOT(V9),NOT(P27)),"",MAX(0,SUM(P28,-P31)))</f>
        <v/>
      </c>
      <c r="Q33" s="1960"/>
      <c r="R33" s="861"/>
      <c r="S33" s="30"/>
      <c r="T33" s="45"/>
      <c r="AM33" s="3445"/>
      <c r="AN33" s="2595"/>
      <c r="AO33" s="2595"/>
      <c r="AP33" s="2595"/>
      <c r="AQ33" s="2595"/>
      <c r="AR33" s="2595"/>
      <c r="AS33" s="2595"/>
    </row>
    <row r="34" spans="1:45">
      <c r="A34" s="282"/>
      <c r="B34" s="3827"/>
      <c r="C34" s="3828"/>
      <c r="D34" s="3828"/>
      <c r="E34" s="3828"/>
      <c r="F34" s="3828"/>
      <c r="G34" s="3828"/>
      <c r="H34" s="3828"/>
      <c r="I34" s="3828"/>
      <c r="J34" s="3828"/>
      <c r="K34" s="3828"/>
      <c r="L34" s="3828"/>
      <c r="M34" s="3828"/>
      <c r="N34" s="3828"/>
      <c r="O34" s="3828"/>
      <c r="P34" s="3828"/>
      <c r="Q34" s="3829"/>
      <c r="R34" s="861"/>
      <c r="S34" s="30"/>
      <c r="T34" s="30"/>
      <c r="AM34" s="3445"/>
      <c r="AN34" s="2595"/>
      <c r="AO34" s="2595"/>
      <c r="AP34" s="2595"/>
      <c r="AQ34" s="2595"/>
      <c r="AR34" s="2595"/>
      <c r="AS34" s="2595"/>
    </row>
    <row r="35" spans="1:45" ht="50.25" customHeight="1">
      <c r="A35" s="282"/>
      <c r="B35" s="439"/>
      <c r="C35" s="439"/>
      <c r="D35" s="439" t="s">
        <v>423</v>
      </c>
      <c r="E35" s="439"/>
      <c r="F35" s="439"/>
      <c r="G35" s="331"/>
      <c r="H35" s="520"/>
      <c r="I35" s="520"/>
      <c r="J35" s="331"/>
      <c r="K35" s="331"/>
      <c r="L35" s="331"/>
      <c r="M35" s="3825"/>
      <c r="N35" s="3825"/>
      <c r="O35" s="3826"/>
      <c r="P35" s="523" t="s">
        <v>64</v>
      </c>
      <c r="Q35" s="3826"/>
      <c r="R35" s="862"/>
      <c r="S35" s="257"/>
      <c r="T35" s="30"/>
      <c r="AM35" s="3445"/>
      <c r="AN35" s="2595"/>
      <c r="AO35" s="2595"/>
      <c r="AP35" s="2595"/>
      <c r="AQ35" s="2595"/>
      <c r="AR35" s="2595"/>
      <c r="AS35" s="2595"/>
    </row>
    <row r="36" spans="1:45" ht="13.5" customHeight="1">
      <c r="A36" s="282"/>
      <c r="B36" s="1945"/>
      <c r="C36" s="1941"/>
      <c r="D36" s="1943"/>
      <c r="E36" s="1943"/>
      <c r="F36" s="1943"/>
      <c r="G36" s="1944"/>
      <c r="H36" s="1941"/>
      <c r="I36" s="1941"/>
      <c r="J36" s="1944"/>
      <c r="K36" s="1944"/>
      <c r="L36" s="1944"/>
      <c r="M36" s="1944"/>
      <c r="N36" s="1944"/>
      <c r="O36" s="1944"/>
      <c r="P36" s="1944"/>
      <c r="Q36" s="1965"/>
      <c r="R36" s="861"/>
      <c r="S36" s="30"/>
      <c r="T36" s="48"/>
      <c r="AM36" s="3445"/>
      <c r="AN36" s="2595"/>
      <c r="AO36" s="2595"/>
      <c r="AP36" s="2595"/>
      <c r="AQ36" s="2595"/>
      <c r="AR36" s="2595"/>
      <c r="AS36" s="2595"/>
    </row>
    <row r="37" spans="1:45" ht="14.25" customHeight="1">
      <c r="A37" s="282"/>
      <c r="B37" s="1940" t="s">
        <v>294</v>
      </c>
      <c r="C37" s="1941"/>
      <c r="D37" s="1942" t="s">
        <v>1206</v>
      </c>
      <c r="E37" s="1943"/>
      <c r="F37" s="1943"/>
      <c r="G37" s="1944"/>
      <c r="H37" s="1941"/>
      <c r="I37" s="1941"/>
      <c r="J37" s="1944"/>
      <c r="K37" s="1944"/>
      <c r="L37" s="1944"/>
      <c r="M37" s="1948" t="s">
        <v>294</v>
      </c>
      <c r="N37" s="1420"/>
      <c r="O37" s="1963"/>
      <c r="P37" s="1944"/>
      <c r="Q37" s="1960"/>
      <c r="R37" s="861"/>
      <c r="S37" s="434"/>
      <c r="T37" s="48"/>
      <c r="AM37" s="3445"/>
      <c r="AN37" s="2595"/>
      <c r="AO37" s="2595"/>
      <c r="AP37" s="2595"/>
      <c r="AQ37" s="2595"/>
      <c r="AR37" s="2595"/>
      <c r="AS37" s="2595"/>
    </row>
    <row r="38" spans="1:45">
      <c r="A38" s="282"/>
      <c r="B38" s="1940" t="s">
        <v>0</v>
      </c>
      <c r="C38" s="1948"/>
      <c r="D38" s="1946" t="s">
        <v>1058</v>
      </c>
      <c r="E38" s="1943"/>
      <c r="F38" s="1943"/>
      <c r="G38" s="1944"/>
      <c r="H38" s="1941"/>
      <c r="I38" s="1941"/>
      <c r="J38" s="1944"/>
      <c r="K38" s="1944"/>
      <c r="L38" s="1944"/>
      <c r="M38" s="1951"/>
      <c r="N38" s="1962"/>
      <c r="O38" s="1963"/>
      <c r="P38" s="1944"/>
      <c r="Q38" s="1960"/>
      <c r="R38" s="861"/>
      <c r="S38" s="434"/>
      <c r="T38" s="48"/>
      <c r="AM38" s="3445"/>
      <c r="AN38" s="2595"/>
      <c r="AO38" s="2595"/>
      <c r="AP38" s="2595"/>
      <c r="AQ38" s="2595"/>
      <c r="AR38" s="2595"/>
      <c r="AS38" s="2595"/>
    </row>
    <row r="39" spans="1:45">
      <c r="A39" s="282"/>
      <c r="B39" s="1940"/>
      <c r="C39" s="1948"/>
      <c r="D39" s="1950" t="s">
        <v>1701</v>
      </c>
      <c r="E39" s="1946" t="s">
        <v>1059</v>
      </c>
      <c r="F39" s="1943"/>
      <c r="G39" s="1944"/>
      <c r="H39" s="1941"/>
      <c r="I39" s="1941"/>
      <c r="J39" s="1944"/>
      <c r="K39" s="1944"/>
      <c r="L39" s="1944"/>
      <c r="M39" s="1951"/>
      <c r="N39" s="1962"/>
      <c r="O39" s="1963"/>
      <c r="P39" s="1944"/>
      <c r="Q39" s="1960"/>
      <c r="R39" s="861"/>
      <c r="S39" s="434"/>
      <c r="T39" s="48"/>
      <c r="AM39" s="3445"/>
      <c r="AN39" s="2595"/>
      <c r="AO39" s="2595"/>
      <c r="AP39" s="2595"/>
      <c r="AQ39" s="2595"/>
      <c r="AR39" s="2595"/>
      <c r="AS39" s="2595"/>
    </row>
    <row r="40" spans="1:45">
      <c r="A40" s="282"/>
      <c r="B40" s="1940"/>
      <c r="C40" s="1948"/>
      <c r="D40" s="1946"/>
      <c r="E40" s="1946" t="s">
        <v>1060</v>
      </c>
      <c r="F40" s="1943"/>
      <c r="G40" s="1944"/>
      <c r="H40" s="1941"/>
      <c r="I40" s="1941"/>
      <c r="J40" s="1944"/>
      <c r="K40" s="1944"/>
      <c r="L40" s="1944"/>
      <c r="M40" s="1951"/>
      <c r="N40" s="1962"/>
      <c r="O40" s="1963"/>
      <c r="P40" s="1944"/>
      <c r="Q40" s="1960"/>
      <c r="R40" s="861"/>
      <c r="S40" s="434"/>
      <c r="T40" s="48"/>
      <c r="AM40" s="3445"/>
      <c r="AN40" s="2595"/>
      <c r="AO40" s="2595"/>
      <c r="AP40" s="2595"/>
      <c r="AQ40" s="2595"/>
      <c r="AR40" s="2595"/>
      <c r="AS40" s="2595"/>
    </row>
    <row r="41" spans="1:45">
      <c r="A41" s="282"/>
      <c r="B41" s="1940"/>
      <c r="C41" s="1948"/>
      <c r="D41" s="1950" t="s">
        <v>1701</v>
      </c>
      <c r="E41" s="1946" t="s">
        <v>1061</v>
      </c>
      <c r="F41" s="1943"/>
      <c r="G41" s="1944"/>
      <c r="H41" s="1941"/>
      <c r="I41" s="1941"/>
      <c r="J41" s="1944"/>
      <c r="K41" s="1944"/>
      <c r="L41" s="1952" t="s">
        <v>328</v>
      </c>
      <c r="M41" s="1951" t="str">
        <f>B38</f>
        <v>2.</v>
      </c>
      <c r="N41" s="1420"/>
      <c r="O41" s="1963"/>
      <c r="P41" s="1944"/>
      <c r="Q41" s="1960"/>
      <c r="R41" s="861"/>
      <c r="S41" s="434"/>
      <c r="T41" s="48"/>
      <c r="AM41" s="3445"/>
      <c r="AN41" s="2595"/>
      <c r="AO41" s="2595"/>
      <c r="AP41" s="2595"/>
      <c r="AQ41" s="2595"/>
      <c r="AR41" s="2595"/>
      <c r="AS41" s="2595"/>
    </row>
    <row r="42" spans="1:45">
      <c r="A42" s="282"/>
      <c r="B42" s="1940"/>
      <c r="C42" s="1948"/>
      <c r="D42" s="1946"/>
      <c r="E42" s="1946" t="s">
        <v>1062</v>
      </c>
      <c r="F42" s="1943"/>
      <c r="G42" s="1944"/>
      <c r="H42" s="1941"/>
      <c r="I42" s="1941"/>
      <c r="J42" s="1944"/>
      <c r="K42" s="1944"/>
      <c r="L42" s="1944"/>
      <c r="M42" s="1951"/>
      <c r="N42" s="1962"/>
      <c r="O42" s="1963"/>
      <c r="P42" s="1944"/>
      <c r="Q42" s="1960"/>
      <c r="R42" s="861"/>
      <c r="S42" s="434"/>
      <c r="T42" s="48"/>
      <c r="AM42" s="3445"/>
      <c r="AN42" s="2595"/>
      <c r="AO42" s="2595"/>
      <c r="AP42" s="2595"/>
      <c r="AQ42" s="2595"/>
      <c r="AR42" s="2595"/>
      <c r="AS42" s="2595"/>
    </row>
    <row r="43" spans="1:45">
      <c r="A43" s="282"/>
      <c r="B43" s="1940"/>
      <c r="C43" s="1948"/>
      <c r="D43" s="1950" t="s">
        <v>1701</v>
      </c>
      <c r="E43" s="1946" t="s">
        <v>1063</v>
      </c>
      <c r="F43" s="1943"/>
      <c r="G43" s="1944"/>
      <c r="H43" s="1941"/>
      <c r="I43" s="1941"/>
      <c r="J43" s="1944"/>
      <c r="K43" s="1944"/>
      <c r="L43" s="1944"/>
      <c r="M43" s="1951"/>
      <c r="N43" s="1962"/>
      <c r="O43" s="1963"/>
      <c r="P43" s="1944"/>
      <c r="Q43" s="1960"/>
      <c r="R43" s="861"/>
      <c r="S43" s="619"/>
      <c r="T43" s="48"/>
      <c r="AM43" s="3445"/>
      <c r="AN43" s="2595"/>
      <c r="AO43" s="2595"/>
      <c r="AP43" s="2595"/>
      <c r="AQ43" s="2595"/>
      <c r="AR43" s="2595"/>
      <c r="AS43" s="2595"/>
    </row>
    <row r="44" spans="1:45">
      <c r="A44" s="282"/>
      <c r="B44" s="1945"/>
      <c r="C44" s="1941"/>
      <c r="D44" s="1941"/>
      <c r="E44" s="1946" t="s">
        <v>1064</v>
      </c>
      <c r="F44" s="1943"/>
      <c r="G44" s="1944"/>
      <c r="H44" s="1941"/>
      <c r="I44" s="1941"/>
      <c r="J44" s="1944"/>
      <c r="K44" s="1944"/>
      <c r="L44" s="1944"/>
      <c r="M44" s="1951"/>
      <c r="N44" s="1964"/>
      <c r="O44" s="1963"/>
      <c r="P44" s="1944"/>
      <c r="Q44" s="1960"/>
      <c r="R44" s="861"/>
      <c r="S44" s="619"/>
      <c r="T44" s="411"/>
      <c r="AM44" s="3445"/>
      <c r="AN44" s="2595"/>
      <c r="AO44" s="2595"/>
      <c r="AP44" s="2595"/>
      <c r="AQ44" s="2595"/>
      <c r="AR44" s="2595"/>
      <c r="AS44" s="2595"/>
    </row>
    <row r="45" spans="1:45">
      <c r="A45" s="282"/>
      <c r="B45" s="1945"/>
      <c r="C45" s="1941"/>
      <c r="D45" s="1941"/>
      <c r="E45" s="1946" t="s">
        <v>1697</v>
      </c>
      <c r="F45" s="1943"/>
      <c r="G45" s="1944"/>
      <c r="H45" s="1941"/>
      <c r="I45" s="1941"/>
      <c r="J45" s="1944"/>
      <c r="K45" s="1944"/>
      <c r="L45" s="1944"/>
      <c r="M45" s="1951"/>
      <c r="N45" s="1964"/>
      <c r="O45" s="1963"/>
      <c r="P45" s="1944"/>
      <c r="Q45" s="1960"/>
      <c r="R45" s="861"/>
      <c r="S45" s="619"/>
      <c r="T45" s="30"/>
      <c r="AM45" s="3445"/>
      <c r="AN45" s="2595"/>
      <c r="AO45" s="2595"/>
      <c r="AP45" s="2595"/>
      <c r="AQ45" s="2595"/>
      <c r="AR45" s="2595"/>
      <c r="AS45" s="2595"/>
    </row>
    <row r="46" spans="1:45">
      <c r="A46" s="282"/>
      <c r="B46" s="1940" t="s">
        <v>1</v>
      </c>
      <c r="C46" s="1948"/>
      <c r="D46" s="1946" t="s">
        <v>4108</v>
      </c>
      <c r="E46" s="1943"/>
      <c r="F46" s="1943"/>
      <c r="G46" s="1944"/>
      <c r="H46" s="1941"/>
      <c r="I46" s="1941"/>
      <c r="J46" s="1944"/>
      <c r="K46" s="1944"/>
      <c r="L46" s="1944"/>
      <c r="M46" s="1951"/>
      <c r="N46" s="1962"/>
      <c r="O46" s="1963"/>
      <c r="P46" s="1420">
        <f>'1099-DIV'!H95</f>
        <v>0</v>
      </c>
      <c r="Q46" s="1960"/>
      <c r="R46" s="861"/>
      <c r="S46" s="33" t="str">
        <f>E49</f>
        <v>Form 1099-DIV, box 2d;</v>
      </c>
      <c r="T46" s="30"/>
      <c r="AM46" s="3445"/>
      <c r="AN46" s="2595"/>
      <c r="AO46" s="2595"/>
      <c r="AP46" s="2595"/>
      <c r="AQ46" s="2595"/>
      <c r="AR46" s="2595"/>
      <c r="AS46" s="2595"/>
    </row>
    <row r="47" spans="1:45" ht="13.5" customHeight="1">
      <c r="A47" s="282"/>
      <c r="B47" s="1945"/>
      <c r="C47" s="1941"/>
      <c r="D47" s="1946" t="s">
        <v>4109</v>
      </c>
      <c r="E47" s="1943"/>
      <c r="F47" s="1943"/>
      <c r="G47" s="1944"/>
      <c r="H47" s="1941"/>
      <c r="I47" s="1941"/>
      <c r="J47" s="1944"/>
      <c r="K47" s="1944"/>
      <c r="L47" s="1944"/>
      <c r="M47" s="1951" t="str">
        <f>B46</f>
        <v>3.</v>
      </c>
      <c r="N47" s="1420"/>
      <c r="O47" s="1963"/>
      <c r="P47" s="1963"/>
      <c r="Q47" s="1960"/>
      <c r="R47" s="861"/>
      <c r="S47" s="30"/>
      <c r="T47" s="30"/>
      <c r="AM47" s="3445"/>
      <c r="AN47" s="2595"/>
      <c r="AO47" s="2595"/>
      <c r="AP47" s="2595"/>
      <c r="AQ47" s="2595"/>
      <c r="AR47" s="2595"/>
      <c r="AS47" s="2595"/>
    </row>
    <row r="48" spans="1:45">
      <c r="A48" s="282"/>
      <c r="B48" s="1940" t="s">
        <v>399</v>
      </c>
      <c r="C48" s="1948"/>
      <c r="D48" s="1943" t="s">
        <v>26</v>
      </c>
      <c r="E48" s="1943"/>
      <c r="F48" s="1943"/>
      <c r="G48" s="1944"/>
      <c r="H48" s="1941"/>
      <c r="I48" s="1941"/>
      <c r="J48" s="1944"/>
      <c r="K48" s="1944"/>
      <c r="L48" s="1944"/>
      <c r="M48" s="1951"/>
      <c r="N48" s="1962"/>
      <c r="O48" s="1963"/>
      <c r="P48" s="1420"/>
      <c r="Q48" s="1960"/>
      <c r="R48" s="861"/>
      <c r="S48" s="434" t="str">
        <f>E50</f>
        <v>Form 2439, box 1d; and</v>
      </c>
      <c r="T48" s="30"/>
      <c r="AM48" s="3445"/>
      <c r="AN48" s="2595"/>
      <c r="AO48" s="2595"/>
      <c r="AP48" s="2595"/>
      <c r="AQ48" s="2595"/>
      <c r="AR48" s="2595"/>
      <c r="AS48" s="2595"/>
    </row>
    <row r="49" spans="1:46" ht="13.5" customHeight="1">
      <c r="A49" s="282"/>
      <c r="B49" s="1953"/>
      <c r="C49" s="1954"/>
      <c r="D49" s="1950" t="s">
        <v>1701</v>
      </c>
      <c r="E49" s="1946" t="s">
        <v>126</v>
      </c>
      <c r="F49" s="1950"/>
      <c r="G49" s="1943"/>
      <c r="H49" s="1941"/>
      <c r="I49" s="1941"/>
      <c r="J49" s="1944"/>
      <c r="K49" s="1944"/>
      <c r="L49" s="1944"/>
      <c r="M49" s="1951"/>
      <c r="N49" s="1962"/>
      <c r="O49" s="1963"/>
      <c r="P49" s="1963"/>
      <c r="Q49" s="1960"/>
      <c r="R49" s="861"/>
      <c r="S49" s="619"/>
      <c r="T49" s="30"/>
      <c r="AM49" s="3445"/>
      <c r="AN49" s="2595"/>
      <c r="AO49" s="2595"/>
      <c r="AP49" s="2595"/>
      <c r="AQ49" s="2595"/>
      <c r="AR49" s="2595"/>
      <c r="AS49" s="2595"/>
    </row>
    <row r="50" spans="1:46" ht="13.5" customHeight="1">
      <c r="A50" s="282"/>
      <c r="B50" s="1953"/>
      <c r="C50" s="1954"/>
      <c r="D50" s="1950" t="s">
        <v>1701</v>
      </c>
      <c r="E50" s="1946" t="s">
        <v>127</v>
      </c>
      <c r="F50" s="1950"/>
      <c r="G50" s="1943"/>
      <c r="H50" s="1941"/>
      <c r="I50" s="1941"/>
      <c r="J50" s="1944"/>
      <c r="K50" s="1944"/>
      <c r="L50" s="1952" t="s">
        <v>445</v>
      </c>
      <c r="M50" s="1951" t="str">
        <f>B48</f>
        <v>4.</v>
      </c>
      <c r="N50" s="1331">
        <f>SUM(P46,P48,P51)</f>
        <v>0</v>
      </c>
      <c r="O50" s="1963"/>
      <c r="P50" s="1963"/>
      <c r="Q50" s="1960"/>
      <c r="R50" s="861"/>
      <c r="S50" s="33" t="str">
        <f>LEFT(E51,19)</f>
        <v>Schedule K-1 from a</v>
      </c>
      <c r="T50" s="30"/>
      <c r="AM50" s="3445"/>
      <c r="AN50" s="2595"/>
      <c r="AO50" s="2595"/>
      <c r="AP50" s="2595"/>
      <c r="AQ50" s="2595"/>
      <c r="AR50" s="2595"/>
      <c r="AS50" s="2595"/>
    </row>
    <row r="51" spans="1:46" ht="13.5" customHeight="1">
      <c r="A51" s="282"/>
      <c r="B51" s="1953"/>
      <c r="C51" s="1954"/>
      <c r="D51" s="1950" t="s">
        <v>1701</v>
      </c>
      <c r="E51" s="1946" t="s">
        <v>321</v>
      </c>
      <c r="F51" s="1950"/>
      <c r="G51" s="1943"/>
      <c r="H51" s="1941"/>
      <c r="I51" s="1941"/>
      <c r="J51" s="1944"/>
      <c r="K51" s="1944"/>
      <c r="L51" s="1944"/>
      <c r="M51" s="1951"/>
      <c r="N51" s="1962"/>
      <c r="O51" s="1963"/>
      <c r="P51" s="1420"/>
      <c r="Q51" s="1960"/>
      <c r="R51" s="861"/>
      <c r="S51" s="33" t="str">
        <f>MID(E51,21,27)</f>
        <v>partnership, S corporation,</v>
      </c>
      <c r="T51" s="45"/>
      <c r="AM51" s="3445"/>
      <c r="AN51" s="2595"/>
      <c r="AO51" s="2595"/>
      <c r="AP51" s="2595"/>
      <c r="AQ51" s="2595"/>
      <c r="AR51" s="2595"/>
      <c r="AS51" s="2595"/>
    </row>
    <row r="52" spans="1:46" ht="13.5" customHeight="1">
      <c r="A52" s="282"/>
      <c r="B52" s="1940" t="s">
        <v>31</v>
      </c>
      <c r="C52" s="1948"/>
      <c r="D52" s="1943" t="s">
        <v>95</v>
      </c>
      <c r="E52" s="1943"/>
      <c r="F52" s="1943"/>
      <c r="G52" s="1944"/>
      <c r="H52" s="1941"/>
      <c r="I52" s="1941"/>
      <c r="J52" s="1944"/>
      <c r="K52" s="1944"/>
      <c r="L52" s="1944"/>
      <c r="M52" s="1951"/>
      <c r="N52" s="1962"/>
      <c r="O52" s="1963"/>
      <c r="P52" s="1963"/>
      <c r="Q52" s="1960"/>
      <c r="R52" s="861"/>
      <c r="S52" s="33" t="str">
        <f>RIGHT(E51,16)</f>
        <v>state, or trust.</v>
      </c>
      <c r="T52" s="45"/>
      <c r="AM52" s="3445"/>
      <c r="AN52" s="2595"/>
      <c r="AO52" s="2595"/>
      <c r="AP52" s="2595"/>
      <c r="AQ52" s="2595"/>
      <c r="AR52" s="2595"/>
      <c r="AS52" s="2595"/>
    </row>
    <row r="53" spans="1:46" ht="12.75" customHeight="1">
      <c r="A53" s="282"/>
      <c r="B53" s="1945"/>
      <c r="C53" s="1941"/>
      <c r="D53" s="1942" t="s">
        <v>4393</v>
      </c>
      <c r="E53" s="1943"/>
      <c r="F53" s="1943"/>
      <c r="G53" s="1944"/>
      <c r="H53" s="1941"/>
      <c r="I53" s="1941"/>
      <c r="J53" s="1944"/>
      <c r="K53" s="1944"/>
      <c r="L53" s="1957" t="s">
        <v>4394</v>
      </c>
      <c r="M53" s="1951" t="str">
        <f>B52</f>
        <v>5.</v>
      </c>
      <c r="N53" s="1331">
        <f>SUM('Sch. D'!N49,P53)</f>
        <v>0</v>
      </c>
      <c r="O53" s="1963"/>
      <c r="P53" s="1420"/>
      <c r="Q53" s="1960"/>
      <c r="R53" s="861"/>
      <c r="S53" s="434" t="s">
        <v>41</v>
      </c>
      <c r="T53" s="45"/>
      <c r="AM53" s="3445"/>
      <c r="AN53" s="2595"/>
      <c r="AO53" s="2595"/>
      <c r="AP53" s="2595"/>
      <c r="AQ53" s="2595"/>
      <c r="AR53" s="2595"/>
      <c r="AS53" s="2595"/>
    </row>
    <row r="54" spans="1:46">
      <c r="A54" s="282"/>
      <c r="B54" s="1940" t="s">
        <v>67</v>
      </c>
      <c r="C54" s="1948"/>
      <c r="D54" s="1943" t="s">
        <v>260</v>
      </c>
      <c r="E54" s="1943"/>
      <c r="F54" s="1943"/>
      <c r="G54" s="1944"/>
      <c r="H54" s="1941"/>
      <c r="I54" s="1941"/>
      <c r="J54" s="1944"/>
      <c r="K54" s="1944"/>
      <c r="L54" s="1952" t="s">
        <v>2942</v>
      </c>
      <c r="M54" s="1951" t="str">
        <f>B54</f>
        <v>6.</v>
      </c>
      <c r="N54" s="1331">
        <f>IF('Sch. D'!N31&lt;0,'Sch. D'!N31,0)</f>
        <v>0</v>
      </c>
      <c r="O54" s="1963"/>
      <c r="P54" s="1963"/>
      <c r="Q54" s="1960"/>
      <c r="R54" s="861"/>
      <c r="S54" s="619"/>
      <c r="T54" s="45"/>
      <c r="AM54" s="3445"/>
      <c r="AN54" s="2595"/>
      <c r="AO54" s="2595"/>
      <c r="AP54" s="2595"/>
      <c r="AQ54" s="2595"/>
      <c r="AR54" s="2595"/>
      <c r="AS54" s="2595"/>
    </row>
    <row r="55" spans="1:46">
      <c r="A55" s="282"/>
      <c r="B55" s="1940" t="s">
        <v>68</v>
      </c>
      <c r="C55" s="1948"/>
      <c r="D55" s="1943" t="s">
        <v>261</v>
      </c>
      <c r="E55" s="1943"/>
      <c r="F55" s="1943"/>
      <c r="G55" s="1944"/>
      <c r="H55" s="1941"/>
      <c r="I55" s="1941"/>
      <c r="J55" s="1944"/>
      <c r="K55" s="1944"/>
      <c r="L55" s="1944"/>
      <c r="M55" s="1951"/>
      <c r="N55" s="1962"/>
      <c r="O55" s="1963"/>
      <c r="P55" s="1963"/>
      <c r="Q55" s="1960"/>
      <c r="R55" s="861"/>
      <c r="S55" s="30"/>
      <c r="T55" s="45"/>
      <c r="AM55" s="3445"/>
      <c r="AN55" s="2595"/>
      <c r="AO55" s="2595"/>
      <c r="AP55" s="2595"/>
      <c r="AQ55" s="2595"/>
      <c r="AR55" s="2595"/>
      <c r="AS55" s="2595"/>
    </row>
    <row r="56" spans="1:46">
      <c r="A56" s="282"/>
      <c r="B56" s="1945"/>
      <c r="C56" s="1941"/>
      <c r="D56" s="1943" t="s">
        <v>262</v>
      </c>
      <c r="E56" s="1943"/>
      <c r="F56" s="1943"/>
      <c r="G56" s="1944"/>
      <c r="H56" s="1941"/>
      <c r="I56" s="1941"/>
      <c r="J56" s="1944"/>
      <c r="K56" s="1944"/>
      <c r="L56" s="1957" t="s">
        <v>2949</v>
      </c>
      <c r="M56" s="1951" t="str">
        <f>B55</f>
        <v>7.</v>
      </c>
      <c r="N56" s="1331">
        <f>IF(SUM(N37:N54)&lt;=0,0,SUM(N37:N54))</f>
        <v>0</v>
      </c>
      <c r="O56" s="1963"/>
      <c r="P56" s="1963"/>
      <c r="Q56" s="1960"/>
      <c r="R56" s="861"/>
      <c r="S56" s="30"/>
      <c r="T56" s="45"/>
      <c r="AM56" s="3445"/>
      <c r="AN56" s="2595"/>
      <c r="AO56" s="2595"/>
      <c r="AP56" s="2595"/>
      <c r="AQ56" s="2595"/>
      <c r="AR56" s="2595"/>
      <c r="AS56" s="2595"/>
    </row>
    <row r="57" spans="1:46" ht="13.5" thickBot="1">
      <c r="A57" s="282"/>
      <c r="B57" s="1955"/>
      <c r="C57" s="1956"/>
      <c r="D57" s="1956"/>
      <c r="E57" s="1956"/>
      <c r="F57" s="1956"/>
      <c r="G57" s="1956"/>
      <c r="H57" s="1956"/>
      <c r="I57" s="1956"/>
      <c r="J57" s="1956"/>
      <c r="K57" s="1956"/>
      <c r="L57" s="1956"/>
      <c r="M57" s="1956"/>
      <c r="N57" s="1956"/>
      <c r="O57" s="1956"/>
      <c r="P57" s="1956"/>
      <c r="Q57" s="1961"/>
      <c r="R57" s="861"/>
      <c r="S57" s="30"/>
      <c r="T57" s="45"/>
      <c r="AM57" s="3445"/>
      <c r="AN57" s="2595"/>
      <c r="AO57" s="2595"/>
      <c r="AP57" s="2595"/>
      <c r="AQ57" s="2595"/>
      <c r="AR57" s="2595"/>
      <c r="AS57" s="2595"/>
    </row>
    <row r="58" spans="1:46">
      <c r="A58" s="282"/>
      <c r="B58" s="56"/>
      <c r="C58" s="56"/>
      <c r="D58" s="56"/>
      <c r="E58" s="56"/>
      <c r="F58" s="56"/>
      <c r="G58" s="23"/>
      <c r="H58" s="23"/>
      <c r="I58" s="23"/>
      <c r="J58" s="128"/>
      <c r="K58" s="128"/>
      <c r="L58" s="128"/>
      <c r="M58" s="128"/>
      <c r="N58" s="128"/>
      <c r="O58" s="128"/>
      <c r="P58" s="128"/>
      <c r="Q58" s="128"/>
      <c r="R58" s="863"/>
      <c r="S58" s="255"/>
      <c r="T58" s="30"/>
      <c r="Z58" s="1291" t="s">
        <v>772</v>
      </c>
      <c r="AM58" s="3445"/>
      <c r="AN58" s="2595"/>
      <c r="AO58" s="2595"/>
      <c r="AP58" s="2595"/>
      <c r="AQ58" s="2595"/>
      <c r="AR58" s="2595"/>
      <c r="AS58" s="2595"/>
    </row>
    <row r="59" spans="1:46" ht="18.75" customHeight="1">
      <c r="A59" s="282"/>
      <c r="B59" s="439" t="s">
        <v>472</v>
      </c>
      <c r="C59" s="439"/>
      <c r="D59" s="522"/>
      <c r="E59" s="522"/>
      <c r="F59" s="522"/>
      <c r="G59" s="331"/>
      <c r="H59" s="331"/>
      <c r="I59" s="331"/>
      <c r="J59" s="331"/>
      <c r="K59" s="331"/>
      <c r="L59" s="331"/>
      <c r="M59" s="331"/>
      <c r="N59" s="331"/>
      <c r="O59" s="331"/>
      <c r="P59" s="523" t="s">
        <v>64</v>
      </c>
      <c r="Q59" s="255"/>
      <c r="R59" s="259"/>
      <c r="S59" s="634"/>
      <c r="T59" s="30"/>
      <c r="U59" s="1286"/>
      <c r="V59"/>
      <c r="W59" s="42" t="b">
        <f>OR(X61,Y61,Z61)</f>
        <v>0</v>
      </c>
      <c r="X59" s="1289" t="s">
        <v>772</v>
      </c>
      <c r="Y59" s="1289" t="s">
        <v>772</v>
      </c>
      <c r="Z59" s="1291" t="s">
        <v>1886</v>
      </c>
      <c r="AA59" s="1291" t="s">
        <v>768</v>
      </c>
      <c r="AB59" s="1291" t="s">
        <v>772</v>
      </c>
      <c r="AC59" s="1291" t="s">
        <v>772</v>
      </c>
      <c r="AD59" s="1291" t="s">
        <v>768</v>
      </c>
      <c r="AE59" s="1291" t="s">
        <v>768</v>
      </c>
      <c r="AM59"/>
      <c r="AN59" s="3445"/>
      <c r="AO59" s="2595"/>
      <c r="AP59" s="2595"/>
      <c r="AQ59" s="2595"/>
      <c r="AR59" s="2595"/>
      <c r="AS59" s="2595"/>
      <c r="AT59" s="2595"/>
    </row>
    <row r="60" spans="1:46" ht="14.25" customHeight="1">
      <c r="A60" s="282"/>
      <c r="B60" s="1294" t="s">
        <v>778</v>
      </c>
      <c r="C60" s="163" t="s">
        <v>4395</v>
      </c>
      <c r="D60" s="178"/>
      <c r="E60" s="178"/>
      <c r="F60" s="178"/>
      <c r="G60" s="230"/>
      <c r="H60" s="230"/>
      <c r="I60" s="230"/>
      <c r="J60" s="230"/>
      <c r="K60" s="163"/>
      <c r="L60" s="163"/>
      <c r="M60" s="230"/>
      <c r="N60" s="230"/>
      <c r="O60" s="230"/>
      <c r="P60" s="623"/>
      <c r="Q60" s="517"/>
      <c r="R60" s="864"/>
      <c r="S60" s="1685"/>
      <c r="T60" s="30"/>
      <c r="U60" s="1286"/>
      <c r="V60"/>
      <c r="W60" s="42" t="b">
        <f>AND(NOT(AB61),NOT(AC61))</f>
        <v>0</v>
      </c>
      <c r="X60" s="1290" t="s">
        <v>773</v>
      </c>
      <c r="Y60" s="1290" t="s">
        <v>774</v>
      </c>
      <c r="Z60" s="1292" t="s">
        <v>5992</v>
      </c>
      <c r="AA60" s="1292" t="s">
        <v>2631</v>
      </c>
      <c r="AB60" s="1292" t="s">
        <v>775</v>
      </c>
      <c r="AC60" s="1292" t="s">
        <v>777</v>
      </c>
      <c r="AD60" s="1292" t="s">
        <v>776</v>
      </c>
      <c r="AE60" s="1292" t="s">
        <v>2632</v>
      </c>
      <c r="AM60"/>
      <c r="AN60" s="3445"/>
      <c r="AO60" s="2595"/>
      <c r="AP60" s="2595"/>
      <c r="AQ60" s="2595"/>
      <c r="AR60" s="2595"/>
      <c r="AS60" s="2595"/>
      <c r="AT60" s="2595"/>
    </row>
    <row r="61" spans="1:46" ht="14.25" customHeight="1" thickBot="1">
      <c r="A61" s="282"/>
      <c r="B61" s="4837"/>
      <c r="C61" s="163" t="s">
        <v>5412</v>
      </c>
      <c r="D61" s="178"/>
      <c r="E61" s="178"/>
      <c r="F61" s="178"/>
      <c r="G61" s="230"/>
      <c r="H61" s="230"/>
      <c r="I61" s="230"/>
      <c r="J61" s="230"/>
      <c r="K61" s="163"/>
      <c r="L61" s="163"/>
      <c r="M61" s="230"/>
      <c r="N61" s="230"/>
      <c r="O61" s="230"/>
      <c r="P61" s="623"/>
      <c r="Q61" s="255"/>
      <c r="R61" s="864"/>
      <c r="S61" s="1685" t="s">
        <v>1205</v>
      </c>
      <c r="T61" s="30"/>
      <c r="U61" s="1286"/>
      <c r="V61"/>
      <c r="W61" s="3442" t="b">
        <f>OR(W73,AND(W59,W60,NOT(W72)))</f>
        <v>0</v>
      </c>
      <c r="X61" s="42" t="b">
        <f>AND(SchDLine18&lt;&gt;"",SchDLine18&gt;0)</f>
        <v>0</v>
      </c>
      <c r="Y61" s="42" t="b">
        <f>AND(SchDLine19&lt;&gt;"",SchDLine19&gt;0)</f>
        <v>0</v>
      </c>
      <c r="Z61" t="b">
        <f>Form4952_Filed</f>
        <v>0</v>
      </c>
      <c r="AA61" t="b">
        <f>OR(Qualified_Dividends="",Qualified_Dividends=0)</f>
        <v>1</v>
      </c>
      <c r="AB61" t="b">
        <f>IF(OR(SchDLine15="",SchDLine15&lt;=0),TRUE,FALSE)</f>
        <v>1</v>
      </c>
      <c r="AC61" t="b">
        <f>IF(OR(SchDLine16="",SchDLine16&lt;=0),TRUE,FALSE)</f>
        <v>1</v>
      </c>
      <c r="AD61" t="b">
        <f>IF(OR(Qualified_Dividends="",Qualified_Dividends=0),TRUE,FALSE)</f>
        <v>1</v>
      </c>
      <c r="AE61" t="b">
        <f>OR(Taxable_Inc="",Taxable_Inc&lt;=0)</f>
        <v>1</v>
      </c>
      <c r="AM61"/>
      <c r="AN61" s="3445"/>
      <c r="AO61" s="2595"/>
      <c r="AP61" s="2595"/>
      <c r="AQ61" s="2595"/>
      <c r="AR61" s="2595"/>
      <c r="AS61" s="2595"/>
      <c r="AT61" s="2595"/>
    </row>
    <row r="62" spans="1:46" ht="18" customHeight="1" thickBot="1">
      <c r="A62" s="282"/>
      <c r="B62" s="622"/>
      <c r="C62" s="4223" t="s">
        <v>5994</v>
      </c>
      <c r="D62" s="178"/>
      <c r="E62" s="178"/>
      <c r="F62" s="178"/>
      <c r="G62" s="230"/>
      <c r="H62" s="230"/>
      <c r="I62" s="230"/>
      <c r="J62" s="230"/>
      <c r="K62" s="230"/>
      <c r="L62" s="230"/>
      <c r="M62" s="230"/>
      <c r="N62" s="230"/>
      <c r="O62" s="230"/>
      <c r="P62" s="623"/>
      <c r="Q62" s="255"/>
      <c r="R62" s="1162"/>
      <c r="S62" s="827" t="str">
        <f>IF(U72&lt;&gt;"","Yes",IF(W61,"Yes","No"))</f>
        <v>No</v>
      </c>
      <c r="T62" s="30"/>
      <c r="U62" s="1286"/>
      <c r="V62"/>
      <c r="X62" s="1289"/>
      <c r="Y62" s="1289"/>
      <c r="AA62" s="1291"/>
      <c r="AB62" s="1291"/>
      <c r="AC62" s="1291"/>
      <c r="AD62" s="1291"/>
      <c r="AE62" s="1291"/>
      <c r="AM62"/>
      <c r="AN62" s="3445"/>
      <c r="AO62" s="2595"/>
      <c r="AP62" s="2595"/>
      <c r="AQ62" s="2595"/>
      <c r="AR62" s="2595"/>
      <c r="AS62" s="2595"/>
      <c r="AT62" s="2595"/>
    </row>
    <row r="63" spans="1:46" ht="12.75" customHeight="1">
      <c r="A63" s="282"/>
      <c r="B63" s="622"/>
      <c r="C63" s="4224" t="s">
        <v>5991</v>
      </c>
      <c r="D63" s="178"/>
      <c r="E63" s="178"/>
      <c r="F63" s="178"/>
      <c r="G63" s="230"/>
      <c r="H63" s="230"/>
      <c r="I63" s="230"/>
      <c r="J63" s="230"/>
      <c r="K63" s="230"/>
      <c r="L63" s="230"/>
      <c r="M63" s="230"/>
      <c r="N63" s="230"/>
      <c r="O63" s="230"/>
      <c r="P63" s="623"/>
      <c r="Q63" s="255"/>
      <c r="R63" s="1162"/>
      <c r="S63" s="7183" t="str">
        <f>IF(W73,"Override used.",IF(Z61,"Form 4952 is used",IF(OR(X61,Y61),"","Neither Sch. D, Line 18"&amp;CHAR(10)&amp;"nor Line 19 are &gt;0")))</f>
        <v>Neither Sch. D, Line 18
nor Line 19 are &gt;0</v>
      </c>
      <c r="T63" s="30"/>
      <c r="U63" s="1286"/>
      <c r="V63"/>
      <c r="X63" s="42"/>
      <c r="AM63" s="3445"/>
      <c r="AN63" s="2595"/>
      <c r="AO63" s="2595"/>
      <c r="AP63" s="2595"/>
      <c r="AQ63" s="2595"/>
      <c r="AR63" s="2595"/>
      <c r="AS63" s="2595"/>
    </row>
    <row r="64" spans="1:46">
      <c r="A64" s="282"/>
      <c r="B64" s="6105"/>
      <c r="C64" s="4224" t="s">
        <v>4396</v>
      </c>
      <c r="D64" s="392"/>
      <c r="E64" s="392"/>
      <c r="F64" s="392"/>
      <c r="G64" s="230"/>
      <c r="H64" s="230"/>
      <c r="I64" s="230"/>
      <c r="J64" s="230"/>
      <c r="K64" s="230"/>
      <c r="L64" s="230"/>
      <c r="M64" s="230"/>
      <c r="N64" s="4224"/>
      <c r="O64" s="230"/>
      <c r="P64" s="623"/>
      <c r="Q64" s="255"/>
      <c r="R64" s="1162"/>
      <c r="S64" s="7184"/>
      <c r="T64" s="30"/>
      <c r="U64" s="1286"/>
      <c r="V64"/>
      <c r="X64" s="42"/>
      <c r="AM64" s="3445"/>
      <c r="AN64" s="2595"/>
      <c r="AO64" s="2595"/>
      <c r="AP64" s="2595"/>
      <c r="AQ64" s="2595"/>
      <c r="AR64" s="2595"/>
      <c r="AS64" s="2595"/>
    </row>
    <row r="65" spans="1:45">
      <c r="A65" s="282"/>
      <c r="B65" s="622"/>
      <c r="C65" s="163" t="s">
        <v>2779</v>
      </c>
      <c r="D65" s="178"/>
      <c r="E65" s="178"/>
      <c r="F65" s="178"/>
      <c r="G65" s="230"/>
      <c r="H65" s="163"/>
      <c r="I65" s="230"/>
      <c r="J65" s="230"/>
      <c r="K65" s="230"/>
      <c r="L65" s="230"/>
      <c r="M65" s="230"/>
      <c r="N65" s="230"/>
      <c r="O65" s="230"/>
      <c r="P65" s="623"/>
      <c r="Q65" s="255"/>
      <c r="R65" s="1163"/>
      <c r="S65" s="7185"/>
      <c r="T65" s="30"/>
      <c r="U65" s="1286"/>
      <c r="V65"/>
      <c r="X65" s="42"/>
      <c r="AM65" s="3445"/>
      <c r="AN65" s="2595"/>
      <c r="AO65" s="2595"/>
      <c r="AP65" s="2595"/>
      <c r="AQ65" s="2595"/>
      <c r="AR65" s="2595"/>
      <c r="AS65" s="2595"/>
    </row>
    <row r="66" spans="1:45" ht="12" customHeight="1">
      <c r="A66" s="282"/>
      <c r="B66" s="7186" t="s">
        <v>778</v>
      </c>
      <c r="C66" s="7187"/>
      <c r="D66" s="391" t="s">
        <v>340</v>
      </c>
      <c r="E66" s="273" t="s">
        <v>3467</v>
      </c>
      <c r="F66" s="178"/>
      <c r="G66" s="230"/>
      <c r="H66" s="163"/>
      <c r="I66" s="273"/>
      <c r="J66" s="230"/>
      <c r="K66" s="230"/>
      <c r="L66" s="230"/>
      <c r="M66" s="230"/>
      <c r="N66" s="828"/>
      <c r="O66" s="829"/>
      <c r="P66" s="828"/>
      <c r="Q66" s="255"/>
      <c r="R66" s="1162"/>
      <c r="S66" s="7184" t="str">
        <f>IF(NOT(W60),"Sch. D, Lines 15 and 16 are not both gains.","")</f>
        <v>Sch. D, Lines 15 and 16 are not both gains.</v>
      </c>
      <c r="T66" s="30"/>
      <c r="U66" s="1286"/>
      <c r="V66"/>
      <c r="X66" s="42"/>
      <c r="AM66" s="3445"/>
      <c r="AN66" s="2595"/>
      <c r="AO66" s="2595"/>
      <c r="AP66" s="2595"/>
      <c r="AQ66" s="2595"/>
      <c r="AR66" s="2595"/>
      <c r="AS66" s="2595"/>
    </row>
    <row r="67" spans="1:45" ht="12" customHeight="1">
      <c r="A67" s="282"/>
      <c r="B67" s="871"/>
      <c r="C67" s="877" t="s">
        <v>243</v>
      </c>
      <c r="D67" s="391"/>
      <c r="E67" s="273"/>
      <c r="F67" s="178"/>
      <c r="G67" s="230"/>
      <c r="H67" s="163"/>
      <c r="I67" s="273"/>
      <c r="J67" s="230"/>
      <c r="K67" s="230"/>
      <c r="L67" s="230"/>
      <c r="M67" s="230"/>
      <c r="N67" s="828"/>
      <c r="O67" s="829"/>
      <c r="P67" s="828"/>
      <c r="Q67" s="255"/>
      <c r="R67" s="1164"/>
      <c r="S67" s="7184"/>
      <c r="T67" s="30"/>
      <c r="V67"/>
      <c r="X67" s="42"/>
      <c r="AM67" s="3445"/>
      <c r="AN67" s="2595"/>
      <c r="AO67" s="2595"/>
      <c r="AP67" s="2595"/>
      <c r="AQ67" s="2595"/>
      <c r="AR67" s="2595"/>
      <c r="AS67" s="2595"/>
    </row>
    <row r="68" spans="1:45" ht="12" customHeight="1">
      <c r="A68" s="282"/>
      <c r="B68" s="7186" t="s">
        <v>778</v>
      </c>
      <c r="C68" s="7187"/>
      <c r="D68" s="391" t="s">
        <v>340</v>
      </c>
      <c r="E68" s="273" t="s">
        <v>4397</v>
      </c>
      <c r="F68" s="178"/>
      <c r="G68" s="230"/>
      <c r="H68" s="230"/>
      <c r="I68" s="230"/>
      <c r="J68" s="230"/>
      <c r="K68" s="230"/>
      <c r="L68" s="230"/>
      <c r="M68" s="230"/>
      <c r="N68" s="828"/>
      <c r="O68" s="829"/>
      <c r="P68" s="623"/>
      <c r="Q68" s="255"/>
      <c r="R68" s="1164"/>
      <c r="S68" s="6106" t="str">
        <f>IF(W68,"Line 15 is &lt;= 0 &amp; no Qual Divds","")</f>
        <v>Line 15 is &lt;= 0 &amp; no Qual Divds</v>
      </c>
      <c r="T68" s="30"/>
      <c r="V68"/>
      <c r="W68" s="42" t="b">
        <f>AND(AA61,AB61)</f>
        <v>1</v>
      </c>
      <c r="X68" s="42"/>
      <c r="AM68" s="3445"/>
      <c r="AN68" s="2595"/>
      <c r="AO68" s="2595"/>
      <c r="AP68" s="2595"/>
      <c r="AQ68" s="2595"/>
      <c r="AR68" s="2595"/>
      <c r="AS68" s="2595"/>
    </row>
    <row r="69" spans="1:45" ht="12" customHeight="1">
      <c r="A69" s="282"/>
      <c r="B69" s="625"/>
      <c r="C69" s="273" t="s">
        <v>4398</v>
      </c>
      <c r="D69" s="273"/>
      <c r="E69" s="273"/>
      <c r="F69" s="273"/>
      <c r="G69" s="273"/>
      <c r="H69" s="273"/>
      <c r="I69" s="273"/>
      <c r="J69" s="273"/>
      <c r="K69" s="273"/>
      <c r="L69" s="273"/>
      <c r="M69" s="273"/>
      <c r="N69" s="828"/>
      <c r="O69" s="273"/>
      <c r="P69" s="624"/>
      <c r="Q69" s="19"/>
      <c r="R69" s="864"/>
      <c r="S69" s="6106" t="str">
        <f>IF(W69,"Line 16 is &lt;= 0 &amp; no Qual Divds","")</f>
        <v>Line 16 is &lt;= 0 &amp; no Qual Divds</v>
      </c>
      <c r="T69" s="30"/>
      <c r="V69"/>
      <c r="W69" s="42" t="b">
        <f>AND(AA61,AC61)</f>
        <v>1</v>
      </c>
      <c r="X69" s="42"/>
      <c r="AM69" s="3445"/>
      <c r="AN69" s="2595"/>
      <c r="AO69" s="2595"/>
      <c r="AP69" s="2595"/>
      <c r="AQ69" s="2595"/>
      <c r="AR69" s="2595"/>
      <c r="AS69" s="2595"/>
    </row>
    <row r="70" spans="1:45" ht="7.5" customHeight="1">
      <c r="A70" s="282"/>
      <c r="B70" s="626"/>
      <c r="C70" s="627"/>
      <c r="D70" s="627"/>
      <c r="E70" s="627"/>
      <c r="F70" s="627"/>
      <c r="G70" s="627"/>
      <c r="H70" s="627"/>
      <c r="I70" s="627"/>
      <c r="J70" s="627"/>
      <c r="K70" s="627"/>
      <c r="L70" s="627"/>
      <c r="M70" s="627"/>
      <c r="N70" s="627"/>
      <c r="O70" s="627"/>
      <c r="P70" s="628"/>
      <c r="Q70" s="629"/>
      <c r="R70" s="864"/>
      <c r="S70" s="7190" t="str">
        <f>IF(W71,"Form 1040, Line 10 is &lt;= 0","")</f>
        <v>Form 1040, Line 10 is &lt;= 0</v>
      </c>
      <c r="T70" s="30"/>
      <c r="AM70" s="3445"/>
      <c r="AN70" s="2595"/>
      <c r="AO70" s="2595"/>
      <c r="AP70" s="2595"/>
      <c r="AQ70" s="2595"/>
      <c r="AR70" s="2595"/>
      <c r="AS70" s="2595"/>
    </row>
    <row r="71" spans="1:45" ht="14.25" customHeight="1" thickBot="1">
      <c r="A71" s="282"/>
      <c r="B71" s="625"/>
      <c r="C71" s="273"/>
      <c r="D71" s="273"/>
      <c r="E71" s="273"/>
      <c r="F71" s="273"/>
      <c r="G71" s="273"/>
      <c r="H71" s="273"/>
      <c r="I71" s="273"/>
      <c r="J71" s="273"/>
      <c r="K71" s="273"/>
      <c r="L71" s="273"/>
      <c r="M71" s="273"/>
      <c r="N71" s="273"/>
      <c r="O71" s="273"/>
      <c r="P71" s="630"/>
      <c r="Q71" s="19"/>
      <c r="R71" s="864"/>
      <c r="S71" s="7190"/>
      <c r="T71" s="30"/>
      <c r="W71" s="42" t="b">
        <f>AE61</f>
        <v>1</v>
      </c>
      <c r="X71" s="3453" t="s">
        <v>472</v>
      </c>
      <c r="Y71" s="3454"/>
      <c r="Z71" s="3454"/>
      <c r="AA71" s="3454" t="b">
        <f>SchDTW_Used</f>
        <v>0</v>
      </c>
      <c r="AB71" s="3477" t="s">
        <v>2688</v>
      </c>
      <c r="AM71" s="3445"/>
      <c r="AN71" s="2595"/>
      <c r="AO71" s="2595"/>
      <c r="AP71" s="2595"/>
      <c r="AQ71" s="2595"/>
      <c r="AR71" s="2595"/>
      <c r="AS71" s="2595"/>
    </row>
    <row r="72" spans="1:45" ht="12" customHeight="1" thickBot="1">
      <c r="A72" s="282"/>
      <c r="B72" s="806">
        <v>1</v>
      </c>
      <c r="C72" s="273"/>
      <c r="D72" s="392" t="s">
        <v>4040</v>
      </c>
      <c r="E72" s="273"/>
      <c r="F72" s="273"/>
      <c r="G72" s="273"/>
      <c r="H72" s="273"/>
      <c r="I72" s="273"/>
      <c r="J72" s="273"/>
      <c r="K72" s="273"/>
      <c r="L72" s="273"/>
      <c r="M72" s="273"/>
      <c r="N72" s="273"/>
      <c r="O72" s="273"/>
      <c r="P72" s="624"/>
      <c r="Q72" s="19"/>
      <c r="R72" s="864"/>
      <c r="S72" s="675" t="s">
        <v>90</v>
      </c>
      <c r="T72" s="30"/>
      <c r="U72" s="1296"/>
      <c r="V72" s="235" t="s">
        <v>327</v>
      </c>
      <c r="W72" s="42" t="b">
        <f>OR(W68,W69,W71)</f>
        <v>1</v>
      </c>
      <c r="X72" s="3455" t="s">
        <v>294</v>
      </c>
      <c r="Y72" s="1357" t="s">
        <v>4105</v>
      </c>
      <c r="AA72" s="1331">
        <v>0</v>
      </c>
      <c r="AB72" s="3456"/>
      <c r="AM72" s="3445"/>
      <c r="AN72" s="2595"/>
      <c r="AO72" s="2595"/>
      <c r="AP72" s="2595"/>
      <c r="AQ72" s="2595"/>
      <c r="AR72" s="2595"/>
      <c r="AS72" s="2595"/>
    </row>
    <row r="73" spans="1:45" ht="12.75" customHeight="1">
      <c r="A73" s="282"/>
      <c r="B73" s="625"/>
      <c r="C73" s="273"/>
      <c r="D73" s="4260" t="s">
        <v>3468</v>
      </c>
      <c r="E73" s="273"/>
      <c r="F73" s="273"/>
      <c r="G73" s="273"/>
      <c r="H73" s="273"/>
      <c r="I73" s="273"/>
      <c r="J73" s="273"/>
      <c r="K73" s="273"/>
      <c r="L73" s="273"/>
      <c r="M73" s="273"/>
      <c r="N73" s="273"/>
      <c r="O73" s="273"/>
      <c r="P73" s="624"/>
      <c r="Q73" s="19"/>
      <c r="R73" s="864"/>
      <c r="S73" s="675" t="s">
        <v>411</v>
      </c>
      <c r="T73" s="30"/>
      <c r="V73" s="235" t="s">
        <v>325</v>
      </c>
      <c r="W73" s="42" t="b">
        <f>U72&lt;&gt;""</f>
        <v>0</v>
      </c>
      <c r="X73" s="3457" t="s">
        <v>0</v>
      </c>
      <c r="Y73" s="1357" t="s">
        <v>2667</v>
      </c>
      <c r="AA73" s="1331">
        <f>Qualified_Dividends</f>
        <v>0</v>
      </c>
      <c r="AB73" s="3456"/>
      <c r="AM73" s="3445"/>
      <c r="AN73" s="2595"/>
      <c r="AO73" s="2595"/>
      <c r="AP73" s="2595"/>
      <c r="AQ73" s="2595"/>
      <c r="AR73" s="2595"/>
      <c r="AS73" s="2595"/>
    </row>
    <row r="74" spans="1:45" ht="12.75" customHeight="1">
      <c r="A74" s="282"/>
      <c r="B74" s="625"/>
      <c r="C74" s="155"/>
      <c r="D74" s="392" t="s">
        <v>4041</v>
      </c>
      <c r="E74" s="178"/>
      <c r="F74" s="178"/>
      <c r="G74" s="230"/>
      <c r="H74" s="230"/>
      <c r="I74" s="230"/>
      <c r="J74" s="231"/>
      <c r="K74" s="231"/>
      <c r="L74" s="231"/>
      <c r="M74" s="231"/>
      <c r="N74" s="255" t="s">
        <v>802</v>
      </c>
      <c r="O74" s="807">
        <f>B72</f>
        <v>1</v>
      </c>
      <c r="P74" s="1331" t="str">
        <f>IF(S74&lt;&gt;"",ROUND(S74,0),IF(NOT(SchDTW_Used),"",IF(Form2555_Used,FEI_TW_Line3,IF(Taxable_Inc&lt;&gt;"",Taxable_Inc,0))))</f>
        <v/>
      </c>
      <c r="Q74" s="257"/>
      <c r="R74" s="621"/>
      <c r="S74" s="1332"/>
      <c r="T74" s="30"/>
      <c r="V74" s="235" t="s">
        <v>326</v>
      </c>
      <c r="X74" s="3458" t="s">
        <v>1</v>
      </c>
      <c r="Y74" s="1357" t="s">
        <v>2668</v>
      </c>
      <c r="AA74" s="1331">
        <f>Form4952_Line4g</f>
        <v>0</v>
      </c>
      <c r="AB74" s="3456"/>
      <c r="AM74" s="3445"/>
      <c r="AN74" s="2595"/>
      <c r="AO74" s="2595"/>
      <c r="AP74" s="2595"/>
      <c r="AQ74" s="2595"/>
      <c r="AR74" s="2595"/>
      <c r="AS74" s="2595"/>
    </row>
    <row r="75" spans="1:45" ht="12.75" customHeight="1">
      <c r="A75" s="282"/>
      <c r="B75" s="806">
        <v>2</v>
      </c>
      <c r="C75" s="155"/>
      <c r="D75" s="392" t="s">
        <v>4399</v>
      </c>
      <c r="E75" s="178"/>
      <c r="F75" s="178"/>
      <c r="G75" s="230"/>
      <c r="H75" s="230"/>
      <c r="I75" s="230"/>
      <c r="J75" s="231"/>
      <c r="K75" s="231"/>
      <c r="L75" s="231"/>
      <c r="M75" s="231"/>
      <c r="N75" s="324"/>
      <c r="O75" s="324"/>
      <c r="P75" s="258"/>
      <c r="Q75" s="257"/>
      <c r="R75" s="621"/>
      <c r="S75" s="47"/>
      <c r="T75" s="30"/>
      <c r="X75" s="3458" t="s">
        <v>399</v>
      </c>
      <c r="Y75" s="1357" t="s">
        <v>2669</v>
      </c>
      <c r="AA75" s="1331">
        <f>Form4952_Line4e</f>
        <v>0</v>
      </c>
      <c r="AB75" s="3456"/>
      <c r="AM75" s="3445"/>
      <c r="AN75" s="2595"/>
      <c r="AO75" s="2595"/>
      <c r="AP75" s="2595"/>
      <c r="AQ75" s="2595"/>
      <c r="AR75" s="2595"/>
      <c r="AS75" s="2595"/>
    </row>
    <row r="76" spans="1:45" ht="13.5" customHeight="1">
      <c r="A76" s="282"/>
      <c r="B76" s="806"/>
      <c r="C76" s="155"/>
      <c r="D76" s="3546" t="s">
        <v>4400</v>
      </c>
      <c r="E76" s="178"/>
      <c r="F76" s="178"/>
      <c r="G76" s="230"/>
      <c r="H76" s="230"/>
      <c r="I76" s="230"/>
      <c r="J76" s="255" t="s">
        <v>428</v>
      </c>
      <c r="K76" s="807">
        <f>B75</f>
        <v>2</v>
      </c>
      <c r="L76" s="1331" t="str">
        <f>IF(S76&lt;&gt;"",S76,IF(NOT(SchDTW_Used),"",Qualified_Dividends))</f>
        <v/>
      </c>
      <c r="M76" s="446"/>
      <c r="N76" s="446"/>
      <c r="O76" s="226"/>
      <c r="P76" s="258"/>
      <c r="Q76" s="258"/>
      <c r="R76" s="865"/>
      <c r="S76" s="1332"/>
      <c r="T76" s="30"/>
      <c r="V76" s="989"/>
      <c r="X76" s="3457" t="s">
        <v>31</v>
      </c>
      <c r="Y76" s="1357" t="s">
        <v>2670</v>
      </c>
      <c r="AA76" s="1331">
        <f>MAX(0,SUM(AA74-AA75))</f>
        <v>0</v>
      </c>
      <c r="AB76" s="3456"/>
      <c r="AM76" s="3445"/>
      <c r="AN76" s="2595"/>
      <c r="AO76" s="2595"/>
      <c r="AP76" s="2595"/>
      <c r="AQ76" s="2595"/>
      <c r="AR76" s="2595"/>
      <c r="AS76" s="2595"/>
    </row>
    <row r="77" spans="1:45" ht="12.75" customHeight="1">
      <c r="A77" s="282"/>
      <c r="B77" s="1119" t="s">
        <v>1</v>
      </c>
      <c r="C77" s="155"/>
      <c r="D77" s="7188" t="s">
        <v>4042</v>
      </c>
      <c r="E77" s="7189"/>
      <c r="F77" s="7189"/>
      <c r="G77" s="6792"/>
      <c r="H77" s="6792"/>
      <c r="I77" s="568"/>
      <c r="J77" s="230"/>
      <c r="K77" s="230"/>
      <c r="L77" s="230"/>
      <c r="M77" s="155"/>
      <c r="N77" s="446"/>
      <c r="O77" s="226"/>
      <c r="P77" s="258"/>
      <c r="Q77" s="258"/>
      <c r="R77" s="865"/>
      <c r="S77" s="47"/>
      <c r="T77" s="30"/>
      <c r="X77" s="3459" t="s">
        <v>67</v>
      </c>
      <c r="Y77" s="1357" t="s">
        <v>2671</v>
      </c>
      <c r="AA77" s="1331">
        <f>MAX(0,SUM(AA73,-AA76))</f>
        <v>0</v>
      </c>
      <c r="AB77" s="3456"/>
      <c r="AM77" s="3445"/>
      <c r="AN77" s="2595"/>
      <c r="AO77" s="2595"/>
      <c r="AP77" s="2595"/>
      <c r="AQ77" s="2595"/>
      <c r="AR77" s="2595"/>
      <c r="AS77" s="2595"/>
    </row>
    <row r="78" spans="1:45" ht="14.25" customHeight="1">
      <c r="A78" s="282"/>
      <c r="B78" s="1119"/>
      <c r="C78" s="155"/>
      <c r="D78" s="7188" t="s">
        <v>5413</v>
      </c>
      <c r="E78" s="7189"/>
      <c r="F78" s="7189"/>
      <c r="G78" s="6792"/>
      <c r="H78" s="6792"/>
      <c r="I78" s="3447" t="str">
        <f>B77</f>
        <v>3.</v>
      </c>
      <c r="J78" s="1420"/>
      <c r="K78" s="230" t="s">
        <v>444</v>
      </c>
      <c r="L78" s="230"/>
      <c r="M78" s="155"/>
      <c r="N78" s="446"/>
      <c r="O78" s="226"/>
      <c r="P78" s="258"/>
      <c r="Q78" s="258"/>
      <c r="R78" s="865"/>
      <c r="S78" s="47"/>
      <c r="T78" s="30"/>
      <c r="X78" s="3457" t="s">
        <v>68</v>
      </c>
      <c r="Y78" s="1357" t="s">
        <v>2660</v>
      </c>
      <c r="AA78" s="1331">
        <f>MIN(SchDLine15,SchDLine16)</f>
        <v>0</v>
      </c>
      <c r="AB78" s="3456"/>
      <c r="AM78" s="3445"/>
      <c r="AN78" s="2595"/>
      <c r="AO78" s="2595"/>
      <c r="AP78" s="2595"/>
      <c r="AQ78" s="2595"/>
      <c r="AR78" s="2595"/>
      <c r="AS78" s="2595"/>
    </row>
    <row r="79" spans="1:45" ht="13.5" customHeight="1">
      <c r="A79" s="282"/>
      <c r="B79" s="808" t="s">
        <v>399</v>
      </c>
      <c r="C79" s="155"/>
      <c r="D79" s="178" t="s">
        <v>404</v>
      </c>
      <c r="E79" s="178"/>
      <c r="F79" s="178"/>
      <c r="G79" s="230"/>
      <c r="H79" s="230"/>
      <c r="I79" s="568" t="str">
        <f>B79</f>
        <v>4.</v>
      </c>
      <c r="J79" s="1420"/>
      <c r="K79" s="155"/>
      <c r="L79" s="155"/>
      <c r="M79" s="155"/>
      <c r="N79" s="446"/>
      <c r="O79" s="226"/>
      <c r="P79" s="2858" t="b">
        <f>OR(File4952_SchD,AND(Form4952_Line4g&lt;&gt;"",Form4952_Line4g&gt;0),AND(Form4952_Line4e&lt;&gt;"",Form4952_Line4e&gt;0))</f>
        <v>0</v>
      </c>
      <c r="Q79" s="258"/>
      <c r="R79" s="865"/>
      <c r="S79" s="47"/>
      <c r="T79" s="30"/>
      <c r="X79" s="3457" t="s">
        <v>204</v>
      </c>
      <c r="Y79" s="1357" t="s">
        <v>2672</v>
      </c>
      <c r="AA79" s="1331">
        <f>MIN(AA74,AA75)</f>
        <v>0</v>
      </c>
      <c r="AB79" s="3456"/>
      <c r="AM79" s="3445"/>
      <c r="AN79" s="2595"/>
      <c r="AO79" s="2595"/>
      <c r="AP79" s="2595"/>
      <c r="AQ79" s="2595"/>
      <c r="AR79" s="2595"/>
      <c r="AS79" s="2595"/>
    </row>
    <row r="80" spans="1:45" ht="14.25" customHeight="1">
      <c r="A80" s="282"/>
      <c r="B80" s="808" t="s">
        <v>31</v>
      </c>
      <c r="C80" s="155"/>
      <c r="D80" s="178" t="s">
        <v>495</v>
      </c>
      <c r="E80" s="178"/>
      <c r="F80" s="178"/>
      <c r="G80" s="230"/>
      <c r="H80" s="230"/>
      <c r="I80" s="230"/>
      <c r="J80" s="602" t="s">
        <v>445</v>
      </c>
      <c r="K80" s="155" t="str">
        <f>B80</f>
        <v>5.</v>
      </c>
      <c r="L80" s="1331" t="str">
        <f>IF(NOT(SchDTW_Used),"",MAX(0,J78-J79))</f>
        <v/>
      </c>
      <c r="M80" s="446"/>
      <c r="N80" s="446"/>
      <c r="O80" s="226"/>
      <c r="P80" s="258"/>
      <c r="Q80" s="258"/>
      <c r="R80" s="865"/>
      <c r="S80" s="47"/>
      <c r="T80" s="30"/>
      <c r="X80" s="3459" t="s">
        <v>205</v>
      </c>
      <c r="Y80" s="1357" t="s">
        <v>2673</v>
      </c>
      <c r="AA80" s="1331">
        <f>MAX(0,SUM(AA78,-AA79))</f>
        <v>0</v>
      </c>
      <c r="AB80" s="3456"/>
      <c r="AM80" s="3445"/>
      <c r="AN80" s="2595"/>
      <c r="AO80" s="2595"/>
      <c r="AP80" s="2595"/>
      <c r="AQ80" s="2595"/>
      <c r="AR80" s="2595"/>
      <c r="AS80" s="2595"/>
    </row>
    <row r="81" spans="1:45">
      <c r="A81" s="282"/>
      <c r="B81" s="808" t="s">
        <v>67</v>
      </c>
      <c r="C81" s="155"/>
      <c r="D81" s="178" t="s">
        <v>405</v>
      </c>
      <c r="E81" s="178"/>
      <c r="F81" s="178"/>
      <c r="G81" s="230"/>
      <c r="H81" s="230"/>
      <c r="I81" s="230"/>
      <c r="J81" s="231"/>
      <c r="K81" s="155"/>
      <c r="L81" s="394" t="s">
        <v>228</v>
      </c>
      <c r="M81" s="155" t="str">
        <f>B81</f>
        <v>6.</v>
      </c>
      <c r="N81" s="1331" t="str">
        <f>IF(NOT(SchDTW_Used),"",MAX(0,L76-L80))</f>
        <v/>
      </c>
      <c r="O81" s="226"/>
      <c r="P81" s="258"/>
      <c r="Q81" s="258"/>
      <c r="R81" s="865"/>
      <c r="S81" s="47"/>
      <c r="T81" s="30"/>
      <c r="X81" s="3457" t="s">
        <v>295</v>
      </c>
      <c r="Y81" s="1357" t="s">
        <v>80</v>
      </c>
      <c r="AA81" s="1331">
        <f>SUM(AA77,AA80)</f>
        <v>0</v>
      </c>
      <c r="AB81" s="3456"/>
      <c r="AM81" s="3445"/>
      <c r="AN81" s="2595"/>
      <c r="AO81" s="2595"/>
      <c r="AP81" s="2595"/>
      <c r="AQ81" s="2595"/>
      <c r="AR81" s="2595"/>
      <c r="AS81" s="2595"/>
    </row>
    <row r="82" spans="1:45">
      <c r="A82" s="282"/>
      <c r="B82" s="808" t="s">
        <v>68</v>
      </c>
      <c r="C82" s="155"/>
      <c r="D82" s="178" t="s">
        <v>71</v>
      </c>
      <c r="E82" s="178"/>
      <c r="F82" s="178"/>
      <c r="G82" s="230"/>
      <c r="H82" s="230"/>
      <c r="I82" s="230"/>
      <c r="J82" s="602" t="s">
        <v>445</v>
      </c>
      <c r="K82" s="155" t="str">
        <f>B82</f>
        <v>7.</v>
      </c>
      <c r="L82" s="1331" t="str">
        <f>IF(NOT(SchDTW_Used),"",MIN(SchDLine15,SchDLine16))</f>
        <v/>
      </c>
      <c r="M82" s="446"/>
      <c r="N82" s="441"/>
      <c r="O82" s="226"/>
      <c r="P82" s="258"/>
      <c r="Q82" s="258"/>
      <c r="R82" s="865"/>
      <c r="S82" s="47"/>
      <c r="T82" s="30"/>
      <c r="V82" s="990"/>
      <c r="X82" s="3459" t="s">
        <v>296</v>
      </c>
      <c r="Y82" s="1357" t="s">
        <v>2661</v>
      </c>
      <c r="AA82" s="1331">
        <f>SUM(SchDLine18,SchDLine19)</f>
        <v>0</v>
      </c>
      <c r="AB82" s="3456"/>
      <c r="AM82" s="3445"/>
      <c r="AN82" s="2595"/>
      <c r="AO82" s="2595"/>
      <c r="AP82" s="2595"/>
      <c r="AQ82" s="2595"/>
      <c r="AR82" s="2595"/>
      <c r="AS82" s="2595"/>
    </row>
    <row r="83" spans="1:45">
      <c r="A83" s="282"/>
      <c r="B83" s="808" t="s">
        <v>204</v>
      </c>
      <c r="C83" s="155"/>
      <c r="D83" s="178" t="s">
        <v>483</v>
      </c>
      <c r="E83" s="178"/>
      <c r="F83" s="178"/>
      <c r="G83" s="230"/>
      <c r="H83" s="230"/>
      <c r="I83" s="230"/>
      <c r="J83" s="602" t="s">
        <v>247</v>
      </c>
      <c r="K83" s="155" t="str">
        <f>B83</f>
        <v>8.</v>
      </c>
      <c r="L83" s="1331" t="str">
        <f>IF(NOT(SchDTW_Used),"",MIN(J78,J79))</f>
        <v/>
      </c>
      <c r="M83" s="446"/>
      <c r="N83" s="395"/>
      <c r="O83" s="226"/>
      <c r="P83" s="258"/>
      <c r="Q83" s="258"/>
      <c r="R83" s="865"/>
      <c r="S83" s="47"/>
      <c r="T83" s="30"/>
      <c r="X83" s="3457" t="s">
        <v>297</v>
      </c>
      <c r="Y83" s="1357" t="s">
        <v>2674</v>
      </c>
      <c r="AA83" s="1331">
        <f>MIN(AA80,AA82)</f>
        <v>0</v>
      </c>
      <c r="AB83" s="3456"/>
      <c r="AM83" s="3445"/>
      <c r="AN83" s="2595"/>
      <c r="AO83" s="2595"/>
      <c r="AP83" s="2595"/>
      <c r="AQ83" s="2595"/>
      <c r="AR83" s="2595"/>
      <c r="AS83" s="2595"/>
    </row>
    <row r="84" spans="1:45">
      <c r="A84" s="282"/>
      <c r="B84" s="808" t="s">
        <v>205</v>
      </c>
      <c r="C84" s="155"/>
      <c r="D84" s="178" t="s">
        <v>406</v>
      </c>
      <c r="E84" s="178"/>
      <c r="F84" s="178"/>
      <c r="G84" s="230"/>
      <c r="H84" s="230"/>
      <c r="I84" s="230"/>
      <c r="J84" s="231"/>
      <c r="K84" s="155"/>
      <c r="L84" s="394" t="s">
        <v>228</v>
      </c>
      <c r="M84" s="155" t="str">
        <f>B84</f>
        <v>9.</v>
      </c>
      <c r="N84" s="1331" t="str">
        <f>IF(NOT(SchDTW_Used),"",MAX(0,L82-L83))</f>
        <v/>
      </c>
      <c r="O84" s="226"/>
      <c r="P84" s="258"/>
      <c r="Q84" s="258"/>
      <c r="R84" s="865"/>
      <c r="S84" s="675" t="s">
        <v>90</v>
      </c>
      <c r="T84" s="30"/>
      <c r="X84" s="3455" t="s">
        <v>431</v>
      </c>
      <c r="Y84" s="1357" t="s">
        <v>2675</v>
      </c>
      <c r="AA84" s="1331">
        <f>SUM(AA81,-AA83)</f>
        <v>0</v>
      </c>
      <c r="AB84" s="3456"/>
      <c r="AM84" s="3445"/>
      <c r="AN84" s="2595"/>
      <c r="AO84" s="2595"/>
      <c r="AP84" s="2595"/>
      <c r="AQ84" s="2595"/>
      <c r="AR84" s="2595"/>
      <c r="AS84" s="2595"/>
    </row>
    <row r="85" spans="1:45" ht="13.5" customHeight="1">
      <c r="A85" s="282"/>
      <c r="B85" s="808" t="s">
        <v>295</v>
      </c>
      <c r="C85" s="155"/>
      <c r="D85" s="178" t="s">
        <v>80</v>
      </c>
      <c r="E85" s="178"/>
      <c r="F85" s="178"/>
      <c r="G85" s="230"/>
      <c r="H85" s="230"/>
      <c r="I85" s="230"/>
      <c r="J85" s="602" t="s">
        <v>318</v>
      </c>
      <c r="K85" s="155" t="str">
        <f>B85</f>
        <v>10.</v>
      </c>
      <c r="L85" s="1331" t="str">
        <f>IF(NOT(SchDTW_Used),"",N81+N84)</f>
        <v/>
      </c>
      <c r="M85" s="258"/>
      <c r="N85" s="442"/>
      <c r="O85" s="258"/>
      <c r="P85" s="258"/>
      <c r="Q85" s="258"/>
      <c r="R85" s="865"/>
      <c r="S85" s="675" t="s">
        <v>411</v>
      </c>
      <c r="T85" s="30"/>
      <c r="V85" s="989"/>
      <c r="X85" s="3455" t="s">
        <v>432</v>
      </c>
      <c r="Y85" s="1357" t="s">
        <v>4082</v>
      </c>
      <c r="AA85" s="1331">
        <f>MAX(0,SUM(AA72,-AA84))</f>
        <v>0</v>
      </c>
      <c r="AB85" s="3456"/>
      <c r="AM85" s="3445"/>
      <c r="AN85" s="2595"/>
      <c r="AO85" s="2595"/>
      <c r="AP85" s="2595"/>
      <c r="AQ85" s="2595"/>
      <c r="AR85" s="2595"/>
      <c r="AS85" s="2595"/>
    </row>
    <row r="86" spans="1:45">
      <c r="A86" s="282"/>
      <c r="B86" s="808" t="s">
        <v>296</v>
      </c>
      <c r="C86" s="155"/>
      <c r="D86" s="178" t="s">
        <v>407</v>
      </c>
      <c r="E86" s="178"/>
      <c r="F86" s="178"/>
      <c r="G86" s="230"/>
      <c r="H86" s="230"/>
      <c r="I86" s="230"/>
      <c r="J86" s="231"/>
      <c r="K86" s="231"/>
      <c r="L86" s="394" t="s">
        <v>210</v>
      </c>
      <c r="M86" s="155" t="str">
        <f>B86</f>
        <v>11.</v>
      </c>
      <c r="N86" s="1331" t="str">
        <f>IF(S86&lt;&gt;"",S86,IF(NOT(SchDTW_Used),"",SUM('Sch. D'!N74,'Sch. D'!N77)))</f>
        <v/>
      </c>
      <c r="O86" s="226"/>
      <c r="P86" s="258"/>
      <c r="Q86" s="258"/>
      <c r="R86" s="865"/>
      <c r="S86" s="1332"/>
      <c r="T86" s="30"/>
      <c r="X86" s="3457" t="s">
        <v>433</v>
      </c>
      <c r="Y86" s="1357" t="s">
        <v>2676</v>
      </c>
      <c r="AA86" s="1331" t="str">
        <f>SchDTW_Line15</f>
        <v>Filing status?</v>
      </c>
      <c r="AB86" s="3456"/>
      <c r="AM86" s="3445"/>
      <c r="AN86" s="2595"/>
      <c r="AO86" s="2595"/>
      <c r="AP86" s="2595"/>
      <c r="AQ86" s="2595"/>
      <c r="AR86" s="2595"/>
      <c r="AS86" s="2595"/>
    </row>
    <row r="87" spans="1:45">
      <c r="A87" s="282"/>
      <c r="B87" s="808" t="s">
        <v>297</v>
      </c>
      <c r="C87" s="155"/>
      <c r="D87" s="178" t="s">
        <v>180</v>
      </c>
      <c r="E87" s="178"/>
      <c r="F87" s="178"/>
      <c r="G87" s="230"/>
      <c r="H87" s="230"/>
      <c r="I87" s="230"/>
      <c r="J87" s="231"/>
      <c r="K87" s="155" t="str">
        <f>B87</f>
        <v>12.</v>
      </c>
      <c r="L87" s="1331" t="str">
        <f>IF(NOT(SchDTW_Used),"",MIN(N84,N86))</f>
        <v/>
      </c>
      <c r="M87" s="155"/>
      <c r="N87" s="440"/>
      <c r="O87" s="226"/>
      <c r="P87" s="258"/>
      <c r="Q87" s="258"/>
      <c r="R87" s="865"/>
      <c r="S87" s="47"/>
      <c r="T87" s="30"/>
      <c r="X87" s="3459" t="s">
        <v>189</v>
      </c>
      <c r="Y87" s="1357" t="s">
        <v>2677</v>
      </c>
      <c r="AA87" s="1331">
        <f>MIN(AA72,AA86)</f>
        <v>0</v>
      </c>
      <c r="AB87" s="3456"/>
      <c r="AM87" s="3445"/>
      <c r="AN87" s="2595"/>
      <c r="AO87" s="2595"/>
      <c r="AP87" s="2595"/>
      <c r="AQ87" s="2595"/>
      <c r="AR87" s="2595"/>
      <c r="AS87" s="2595"/>
    </row>
    <row r="88" spans="1:45">
      <c r="A88" s="282"/>
      <c r="B88" s="808" t="s">
        <v>431</v>
      </c>
      <c r="C88" s="155"/>
      <c r="D88" s="392" t="s">
        <v>226</v>
      </c>
      <c r="E88" s="273"/>
      <c r="F88" s="273"/>
      <c r="G88" s="230"/>
      <c r="H88" s="230"/>
      <c r="I88" s="230"/>
      <c r="J88" s="231"/>
      <c r="K88" s="155"/>
      <c r="L88" s="155"/>
      <c r="M88" s="155"/>
      <c r="N88" s="394" t="s">
        <v>466</v>
      </c>
      <c r="O88" s="394" t="str">
        <f>B88</f>
        <v>13.</v>
      </c>
      <c r="P88" s="1331" t="str">
        <f>IF(NOT(SchDTW_Used),"",L85-L87)</f>
        <v/>
      </c>
      <c r="Q88" s="258"/>
      <c r="R88" s="865"/>
      <c r="S88" s="525"/>
      <c r="T88" s="30"/>
      <c r="X88" s="3457" t="s">
        <v>479</v>
      </c>
      <c r="Y88" s="1357" t="s">
        <v>2678</v>
      </c>
      <c r="AA88" s="1331">
        <f>MIN(AA85,AA87)</f>
        <v>0</v>
      </c>
      <c r="AB88" s="3456"/>
      <c r="AM88" s="3445"/>
      <c r="AN88" s="2595"/>
      <c r="AO88" s="2595"/>
      <c r="AP88" s="2595"/>
      <c r="AQ88" s="2595"/>
      <c r="AR88" s="2595"/>
      <c r="AS88" s="2595"/>
    </row>
    <row r="89" spans="1:45" ht="12.75" customHeight="1">
      <c r="A89" s="282"/>
      <c r="B89" s="808" t="s">
        <v>432</v>
      </c>
      <c r="C89" s="155"/>
      <c r="D89" s="392" t="s">
        <v>227</v>
      </c>
      <c r="E89" s="273"/>
      <c r="F89" s="273"/>
      <c r="G89" s="230"/>
      <c r="H89" s="230"/>
      <c r="I89" s="230"/>
      <c r="J89" s="231"/>
      <c r="K89" s="155"/>
      <c r="L89" s="155"/>
      <c r="M89" s="155"/>
      <c r="N89" s="1333" t="s">
        <v>624</v>
      </c>
      <c r="O89" s="394" t="str">
        <f>B89</f>
        <v>14.</v>
      </c>
      <c r="P89" s="1331" t="str">
        <f>IF(S89&lt;&gt;"",ROUND(S89,0),IF(NOT(SchDTW_Used),"",IF(SchDTW_Line1-P88&lt;0,0,SchDTW_Line1-P88)))</f>
        <v/>
      </c>
      <c r="Q89" s="258"/>
      <c r="R89" s="865"/>
      <c r="S89" s="1332"/>
      <c r="T89" s="30"/>
      <c r="X89" s="3457" t="s">
        <v>480</v>
      </c>
      <c r="Y89" s="1357" t="s">
        <v>2679</v>
      </c>
      <c r="AA89" s="1331">
        <f>MAX(0,SUM(AA72,-AA81))</f>
        <v>0</v>
      </c>
      <c r="AB89" s="3456"/>
      <c r="AM89" s="3445"/>
      <c r="AN89" s="2595"/>
      <c r="AO89" s="2595"/>
      <c r="AP89" s="2595"/>
      <c r="AQ89" s="2595"/>
      <c r="AR89" s="2595"/>
      <c r="AS89" s="2595"/>
    </row>
    <row r="90" spans="1:45" ht="14.25" customHeight="1">
      <c r="A90" s="282"/>
      <c r="B90" s="808" t="s">
        <v>433</v>
      </c>
      <c r="C90" s="155"/>
      <c r="D90" s="392" t="s">
        <v>819</v>
      </c>
      <c r="E90" s="178"/>
      <c r="F90" s="178"/>
      <c r="G90" s="230"/>
      <c r="H90" s="230"/>
      <c r="I90" s="230"/>
      <c r="J90" s="231"/>
      <c r="K90" s="231"/>
      <c r="L90" s="231"/>
      <c r="M90" s="231"/>
      <c r="N90" s="440"/>
      <c r="O90" s="440"/>
      <c r="P90" s="440"/>
      <c r="Q90" s="259"/>
      <c r="R90" s="621"/>
      <c r="S90" s="556"/>
      <c r="T90" s="30"/>
      <c r="X90" s="3459" t="s">
        <v>481</v>
      </c>
      <c r="Y90" s="1357" t="s">
        <v>4083</v>
      </c>
      <c r="AA90" s="1331">
        <f>IF(AA72="",0,MIN(AA72,SchDTW_Line19))</f>
        <v>0</v>
      </c>
      <c r="AB90" s="3456"/>
      <c r="AM90" s="3445"/>
      <c r="AN90" s="2595"/>
      <c r="AO90" s="2595"/>
      <c r="AP90" s="2595"/>
      <c r="AQ90" s="2595"/>
      <c r="AR90" s="2595"/>
      <c r="AS90" s="2595"/>
    </row>
    <row r="91" spans="1:45">
      <c r="A91" s="282"/>
      <c r="B91" s="1347" t="b">
        <f>IF(OR(File_Single&lt;&gt;"",File_Marr_Sep&lt;&gt;""),TRUE,FALSE)</f>
        <v>0</v>
      </c>
      <c r="C91" s="155"/>
      <c r="D91" s="391" t="s">
        <v>340</v>
      </c>
      <c r="E91" s="178" t="str">
        <f>TEXT(N91,"$0,000")&amp;" if single or married filing separately;"</f>
        <v>$40,400 if single or married filing separately;</v>
      </c>
      <c r="F91" s="391"/>
      <c r="G91" s="230"/>
      <c r="H91" s="230"/>
      <c r="I91" s="230"/>
      <c r="J91" s="231"/>
      <c r="K91" s="231"/>
      <c r="L91" s="632" t="str">
        <f>IF(OR(File_Single&lt;&gt;"",File_Marr_Sep&lt;&gt;""),N91,IF(OR(File_Marr_Joint&lt;&gt;"",File_Qual_Widow&lt;&gt;""),N92,IF(File_Head&lt;&gt;"",N93,"Filing status?")))</f>
        <v>Filing status?</v>
      </c>
      <c r="M91" s="445"/>
      <c r="N91" s="632">
        <v>40400</v>
      </c>
      <c r="O91" s="440"/>
      <c r="P91" s="440"/>
      <c r="Q91" s="259"/>
      <c r="R91" s="621"/>
      <c r="S91" s="47"/>
      <c r="T91" s="30"/>
      <c r="X91" s="3459" t="s">
        <v>345</v>
      </c>
      <c r="Y91" s="1357" t="s">
        <v>4084</v>
      </c>
      <c r="AA91" s="1331">
        <f>MIN(AA85,AA90)</f>
        <v>0</v>
      </c>
      <c r="AB91" s="3456"/>
      <c r="AM91" s="3445"/>
      <c r="AN91" s="2595"/>
      <c r="AO91" s="2595"/>
      <c r="AP91" s="2595"/>
      <c r="AQ91" s="2595"/>
      <c r="AR91" s="2595"/>
      <c r="AS91" s="2595"/>
    </row>
    <row r="92" spans="1:45" ht="13.5" customHeight="1">
      <c r="A92" s="282"/>
      <c r="B92" s="1347" t="b">
        <f>IF(OR(File_Marr_Joint&lt;&gt;"",File_Qual_Widow&lt;&gt;""),TRUE,FALSE)</f>
        <v>0</v>
      </c>
      <c r="C92" s="155"/>
      <c r="D92" s="391" t="s">
        <v>340</v>
      </c>
      <c r="E92" s="178" t="str">
        <f>TEXT(N92,"$0,000")&amp;" if married filing jointly or qualifying widow(er); or"</f>
        <v>$80,800 if married filing jointly or qualifying widow(er); or</v>
      </c>
      <c r="F92" s="391"/>
      <c r="G92" s="230"/>
      <c r="H92" s="230"/>
      <c r="I92" s="230"/>
      <c r="J92" s="324" t="s">
        <v>133</v>
      </c>
      <c r="K92" s="807" t="str">
        <f>B90</f>
        <v>15.</v>
      </c>
      <c r="L92" s="1331" t="str">
        <f>IF(NOT(SchDTW_Used),"",L91)</f>
        <v/>
      </c>
      <c r="M92" s="446"/>
      <c r="N92" s="632">
        <v>80800</v>
      </c>
      <c r="O92" s="440"/>
      <c r="P92" s="440"/>
      <c r="Q92" s="259"/>
      <c r="R92" s="621"/>
      <c r="S92" s="525"/>
      <c r="T92" s="30"/>
      <c r="X92" s="3457" t="s">
        <v>346</v>
      </c>
      <c r="Y92" s="1357" t="s">
        <v>4085</v>
      </c>
      <c r="AA92" s="1331">
        <f>MAX(AA89,AA91)</f>
        <v>0</v>
      </c>
      <c r="AB92" s="3456"/>
      <c r="AM92" s="3445"/>
      <c r="AN92" s="2595"/>
      <c r="AO92" s="2595"/>
      <c r="AP92" s="2595"/>
      <c r="AQ92" s="2595"/>
      <c r="AR92" s="2595"/>
      <c r="AS92" s="2595"/>
    </row>
    <row r="93" spans="1:45" ht="13.5" customHeight="1">
      <c r="A93" s="282"/>
      <c r="B93" s="1347" t="b">
        <f>IF(File_Head&lt;&gt;"",TRUE,FALSE)</f>
        <v>0</v>
      </c>
      <c r="C93" s="155"/>
      <c r="D93" s="391" t="s">
        <v>340</v>
      </c>
      <c r="E93" s="178" t="str">
        <f>TEXT(N93,"$0,000")&amp;" if head of household."</f>
        <v>$54,100 if head of household.</v>
      </c>
      <c r="F93" s="391"/>
      <c r="G93" s="230"/>
      <c r="H93" s="230"/>
      <c r="I93" s="230"/>
      <c r="J93" s="231"/>
      <c r="K93" s="231"/>
      <c r="L93" s="231"/>
      <c r="M93" s="231"/>
      <c r="N93" s="632">
        <v>54100</v>
      </c>
      <c r="O93" s="440"/>
      <c r="P93" s="440"/>
      <c r="Q93" s="259"/>
      <c r="R93" s="621"/>
      <c r="S93" s="525"/>
      <c r="T93" s="30"/>
      <c r="X93" s="3459">
        <v>22</v>
      </c>
      <c r="Y93" s="1357" t="s">
        <v>2680</v>
      </c>
      <c r="AA93" s="1331">
        <f>SUM(AA87,-AA88)</f>
        <v>0</v>
      </c>
      <c r="AB93" s="3456"/>
      <c r="AM93" s="3445"/>
      <c r="AN93" s="2595"/>
      <c r="AO93" s="2595"/>
      <c r="AP93" s="2595"/>
      <c r="AQ93" s="2595"/>
      <c r="AR93" s="2595"/>
      <c r="AS93" s="2595"/>
    </row>
    <row r="94" spans="1:45" ht="12.75" customHeight="1">
      <c r="A94" s="282"/>
      <c r="B94" s="809" t="s">
        <v>189</v>
      </c>
      <c r="C94" s="155"/>
      <c r="D94" s="392" t="s">
        <v>554</v>
      </c>
      <c r="E94" s="392"/>
      <c r="F94" s="392"/>
      <c r="G94" s="230"/>
      <c r="H94" s="230"/>
      <c r="I94" s="230"/>
      <c r="J94" s="231"/>
      <c r="K94" s="231"/>
      <c r="L94" s="394" t="s">
        <v>210</v>
      </c>
      <c r="M94" s="155" t="str">
        <f>B94</f>
        <v>16.</v>
      </c>
      <c r="N94" s="1331" t="str">
        <f>IF(NOT(SchDTW_Used),"",MIN(SchDTW_Line1,L92))</f>
        <v/>
      </c>
      <c r="O94" s="394"/>
      <c r="P94" s="440"/>
      <c r="Q94" s="258"/>
      <c r="R94" s="865"/>
      <c r="S94" s="47"/>
      <c r="T94" s="30"/>
      <c r="X94" s="3457" t="s">
        <v>348</v>
      </c>
      <c r="Y94" s="1357" t="s">
        <v>4086</v>
      </c>
      <c r="AA94" s="1331" t="str">
        <f>IF(AB94,"",MIN(AA72,AA84))</f>
        <v/>
      </c>
      <c r="AB94" s="4649" t="b">
        <f>IF(AA72="",AA87=0,AA72=AA87)</f>
        <v>1</v>
      </c>
      <c r="AM94" s="3445"/>
      <c r="AN94" s="2595"/>
      <c r="AO94" s="2595"/>
      <c r="AP94" s="2595"/>
      <c r="AQ94" s="2595"/>
      <c r="AR94" s="2595"/>
      <c r="AS94" s="2595"/>
    </row>
    <row r="95" spans="1:45" ht="12.75" customHeight="1">
      <c r="A95" s="282"/>
      <c r="B95" s="810" t="s">
        <v>479</v>
      </c>
      <c r="C95" s="155"/>
      <c r="D95" s="392" t="s">
        <v>555</v>
      </c>
      <c r="E95" s="178"/>
      <c r="F95" s="178"/>
      <c r="G95" s="230"/>
      <c r="H95" s="230"/>
      <c r="I95" s="230"/>
      <c r="J95" s="394" t="s">
        <v>276</v>
      </c>
      <c r="K95" s="155" t="str">
        <f>B95</f>
        <v>17.</v>
      </c>
      <c r="L95" s="1331" t="str">
        <f>IF(NOT(SchDTW_Used),"",MIN(P89,N94))</f>
        <v/>
      </c>
      <c r="M95" s="446"/>
      <c r="N95" s="631"/>
      <c r="O95" s="440"/>
      <c r="P95" s="440"/>
      <c r="Q95" s="257"/>
      <c r="R95" s="621"/>
      <c r="S95" s="525"/>
      <c r="T95" s="30"/>
      <c r="X95" s="3457" t="s">
        <v>349</v>
      </c>
      <c r="Y95" s="1357" t="s">
        <v>4087</v>
      </c>
      <c r="AA95" s="1331" t="str">
        <f>IF(AB94,"",IF(AA93="",0,AA93))</f>
        <v/>
      </c>
      <c r="AB95" s="3456"/>
      <c r="AM95" s="3445"/>
      <c r="AN95" s="2595"/>
      <c r="AO95" s="2595"/>
      <c r="AP95" s="2595"/>
      <c r="AQ95" s="2595"/>
      <c r="AR95" s="2595"/>
      <c r="AS95" s="2595"/>
    </row>
    <row r="96" spans="1:45" ht="12.75" customHeight="1">
      <c r="A96" s="282"/>
      <c r="B96" s="809" t="s">
        <v>480</v>
      </c>
      <c r="C96" s="154"/>
      <c r="D96" s="392" t="s">
        <v>28</v>
      </c>
      <c r="E96" s="392"/>
      <c r="F96" s="392"/>
      <c r="G96" s="230"/>
      <c r="H96" s="230"/>
      <c r="I96" s="230"/>
      <c r="J96" s="394" t="s">
        <v>560</v>
      </c>
      <c r="K96" s="155" t="str">
        <f>B96</f>
        <v>18.</v>
      </c>
      <c r="L96" s="1331" t="str">
        <f>IF(NOT(SchDTW_Used),"",MAX(0,SUM(SchDTW_Line1,-L85)))</f>
        <v/>
      </c>
      <c r="M96" s="446"/>
      <c r="N96" s="440"/>
      <c r="O96" s="440"/>
      <c r="P96" s="440"/>
      <c r="Q96" s="258"/>
      <c r="R96" s="865"/>
      <c r="S96" s="525"/>
      <c r="T96" s="30"/>
      <c r="X96" s="3457" t="s">
        <v>350</v>
      </c>
      <c r="Y96" s="1357" t="s">
        <v>4088</v>
      </c>
      <c r="AA96" s="1331" t="str">
        <f>IF(AB94,"",MAX(0,SUM(AA94,-AA95)))</f>
        <v/>
      </c>
      <c r="AB96" s="3456"/>
      <c r="AM96" s="3445"/>
      <c r="AN96" s="2595"/>
      <c r="AO96" s="2595"/>
      <c r="AP96" s="2595"/>
      <c r="AQ96" s="2595"/>
      <c r="AR96" s="2595"/>
      <c r="AS96" s="2595"/>
    </row>
    <row r="97" spans="1:45" ht="14.25" customHeight="1">
      <c r="A97" s="282"/>
      <c r="B97" s="4225" t="s">
        <v>481</v>
      </c>
      <c r="C97" s="155"/>
      <c r="D97" s="392" t="s">
        <v>3469</v>
      </c>
      <c r="E97" s="178"/>
      <c r="F97" s="178"/>
      <c r="G97" s="230"/>
      <c r="H97" s="230"/>
      <c r="I97" s="230"/>
      <c r="J97" s="231"/>
      <c r="K97" s="231"/>
      <c r="L97" s="231"/>
      <c r="M97" s="231"/>
      <c r="N97" s="440"/>
      <c r="O97" s="440"/>
      <c r="P97" s="440"/>
      <c r="Q97" s="259"/>
      <c r="R97" s="621"/>
      <c r="S97" s="47"/>
      <c r="T97" s="30"/>
      <c r="X97" s="3459">
        <v>26</v>
      </c>
      <c r="Y97" s="1357" t="s">
        <v>4089</v>
      </c>
      <c r="AA97" s="1331" t="str">
        <f>IF(AB94,"",SchDTW_Line26)</f>
        <v/>
      </c>
      <c r="AB97" s="3456"/>
      <c r="AM97" s="3445"/>
      <c r="AN97" s="2595"/>
      <c r="AO97" s="2595"/>
      <c r="AP97" s="2595"/>
      <c r="AQ97" s="2595"/>
      <c r="AR97" s="2595"/>
      <c r="AS97" s="2595"/>
    </row>
    <row r="98" spans="1:45">
      <c r="A98" s="282"/>
      <c r="B98" s="1347" t="b">
        <f>IF(OR(File_Single&lt;&gt;"",File_Marr_Sep&lt;&gt;""),TRUE,FALSE)</f>
        <v>0</v>
      </c>
      <c r="C98" s="155"/>
      <c r="D98" s="391" t="s">
        <v>340</v>
      </c>
      <c r="E98" s="178" t="str">
        <f>TEXT(N98,"$0,000")&amp;" if single or married filing separately;"</f>
        <v>$164,925 if single or married filing separately;</v>
      </c>
      <c r="F98" s="391"/>
      <c r="G98" s="230"/>
      <c r="H98" s="230"/>
      <c r="I98" s="230"/>
      <c r="J98" s="231"/>
      <c r="K98" s="231"/>
      <c r="L98" s="632" t="str">
        <f>IF(OR(File_Single&lt;&gt;"",File_Marr_Sep&lt;&gt;""),N98,IF(OR(File_Marr_Joint&lt;&gt;"",File_Qual_Widow&lt;&gt;""),N99,IF(File_Head&lt;&gt;"",N100,"Filing status?")))</f>
        <v>Filing status?</v>
      </c>
      <c r="M98" s="445"/>
      <c r="N98" s="632">
        <f>BOTT_A5</f>
        <v>164925</v>
      </c>
      <c r="O98" s="440"/>
      <c r="P98" s="440"/>
      <c r="Q98" s="259"/>
      <c r="R98" s="621"/>
      <c r="S98" s="556"/>
      <c r="T98" s="30"/>
      <c r="X98" s="3459" t="s">
        <v>352</v>
      </c>
      <c r="Y98" s="1357" t="s">
        <v>4090</v>
      </c>
      <c r="AA98" s="1331" t="str">
        <f>IF(AB94,"",IF(AA72="",MIN(0,AA97),MIN(AA72,AA97)))</f>
        <v/>
      </c>
      <c r="AB98" s="3456"/>
      <c r="AM98" s="3445"/>
      <c r="AN98" s="2595"/>
      <c r="AO98" s="2595"/>
      <c r="AP98" s="2595"/>
      <c r="AQ98" s="2595"/>
      <c r="AR98" s="2595"/>
      <c r="AS98" s="2595"/>
    </row>
    <row r="99" spans="1:45" ht="13.5" customHeight="1">
      <c r="A99" s="282"/>
      <c r="B99" s="1347" t="b">
        <f>IF(OR(File_Marr_Joint&lt;&gt;"",File_Qual_Widow&lt;&gt;""),TRUE,FALSE)</f>
        <v>0</v>
      </c>
      <c r="C99" s="155"/>
      <c r="D99" s="391" t="s">
        <v>340</v>
      </c>
      <c r="E99" s="178" t="str">
        <f>TEXT(N99,"$0,000")&amp;" if married filing jointly or qualifying widow(er); or"</f>
        <v>$329,850 if married filing jointly or qualifying widow(er); or</v>
      </c>
      <c r="F99" s="391"/>
      <c r="G99" s="230"/>
      <c r="H99" s="230"/>
      <c r="I99" s="230"/>
      <c r="J99" s="324" t="s">
        <v>133</v>
      </c>
      <c r="K99" s="807" t="str">
        <f>B97</f>
        <v>19.</v>
      </c>
      <c r="L99" s="1331" t="str">
        <f>IF(NOT(SchDTW_Used),"",MIN(SchDTW_Line1,L98))</f>
        <v/>
      </c>
      <c r="M99" s="446"/>
      <c r="N99" s="632">
        <f>BOTT_B5</f>
        <v>329850</v>
      </c>
      <c r="O99" s="440"/>
      <c r="P99" s="440"/>
      <c r="Q99" s="259"/>
      <c r="R99" s="621"/>
      <c r="S99" s="47"/>
      <c r="T99" s="30"/>
      <c r="X99" s="3459" t="s">
        <v>2662</v>
      </c>
      <c r="Y99" s="1357" t="s">
        <v>3476</v>
      </c>
      <c r="AA99" s="1331" t="str">
        <f>IF(AB94,"",SUM(AA92,AA93))</f>
        <v/>
      </c>
      <c r="AB99" s="3456"/>
      <c r="AM99" s="3445"/>
      <c r="AN99" s="2595"/>
      <c r="AO99" s="2595"/>
      <c r="AP99" s="2595"/>
      <c r="AQ99" s="2595"/>
      <c r="AR99" s="2595"/>
      <c r="AS99" s="2595"/>
    </row>
    <row r="100" spans="1:45" ht="13.5" customHeight="1">
      <c r="A100" s="282"/>
      <c r="B100" s="1347" t="b">
        <f>IF(File_Head&lt;&gt;"",TRUE,FALSE)</f>
        <v>0</v>
      </c>
      <c r="C100" s="155"/>
      <c r="D100" s="391" t="s">
        <v>340</v>
      </c>
      <c r="E100" s="178" t="str">
        <f>TEXT(N100,"$0,000")&amp;" if head of household."</f>
        <v>$164,900 if head of household.</v>
      </c>
      <c r="F100" s="391"/>
      <c r="G100" s="230"/>
      <c r="H100" s="230"/>
      <c r="I100" s="230"/>
      <c r="J100" s="231"/>
      <c r="K100" s="231"/>
      <c r="L100" s="231"/>
      <c r="M100" s="231"/>
      <c r="N100" s="632">
        <f>BOTT_D5</f>
        <v>164900</v>
      </c>
      <c r="O100" s="440"/>
      <c r="P100" s="440"/>
      <c r="Q100" s="259"/>
      <c r="R100" s="621"/>
      <c r="S100" s="525"/>
      <c r="T100" s="30"/>
      <c r="X100" s="3459" t="s">
        <v>2663</v>
      </c>
      <c r="Y100" s="1357" t="s">
        <v>4091</v>
      </c>
      <c r="AA100" s="1331" t="str">
        <f>IF(AB94,"",MAX(0,SUM(AA98,-AA99)))</f>
        <v/>
      </c>
      <c r="AB100" s="3456"/>
      <c r="AM100" s="3445"/>
      <c r="AN100" s="2595"/>
      <c r="AO100" s="2595"/>
      <c r="AP100" s="2595"/>
      <c r="AQ100" s="2595"/>
      <c r="AR100" s="2595"/>
      <c r="AS100" s="2595"/>
    </row>
    <row r="101" spans="1:45" ht="12.75" customHeight="1">
      <c r="A101" s="282"/>
      <c r="B101" s="810" t="s">
        <v>345</v>
      </c>
      <c r="C101" s="155"/>
      <c r="D101" s="392" t="s">
        <v>3470</v>
      </c>
      <c r="E101" s="392"/>
      <c r="F101" s="392"/>
      <c r="G101" s="230"/>
      <c r="H101" s="230"/>
      <c r="I101" s="230"/>
      <c r="J101" s="1333" t="s">
        <v>802</v>
      </c>
      <c r="K101" s="155" t="str">
        <f>B101</f>
        <v>20.</v>
      </c>
      <c r="L101" s="1331" t="str">
        <f>IF(NOT(SchDTW_Used),"",MIN(P89,L99))</f>
        <v/>
      </c>
      <c r="M101" s="155"/>
      <c r="N101" s="440"/>
      <c r="O101" s="394"/>
      <c r="P101" s="440"/>
      <c r="Q101" s="258"/>
      <c r="R101" s="865"/>
      <c r="S101" s="47"/>
      <c r="T101" s="30"/>
      <c r="U101" s="931"/>
      <c r="X101" s="4648" t="s">
        <v>4092</v>
      </c>
      <c r="Y101" s="1357" t="s">
        <v>2681</v>
      </c>
      <c r="AA101" s="1331" t="str">
        <f>IF(AB94,"",MIN(AA94,AA100))</f>
        <v/>
      </c>
      <c r="AB101" s="3456"/>
      <c r="AM101" s="3445"/>
      <c r="AN101" s="2595"/>
      <c r="AO101" s="2595"/>
      <c r="AP101" s="2595"/>
      <c r="AQ101" s="2595"/>
      <c r="AR101" s="2595"/>
      <c r="AS101" s="2595"/>
    </row>
    <row r="102" spans="1:45" ht="12.75" customHeight="1">
      <c r="A102" s="282"/>
      <c r="B102" s="810" t="s">
        <v>346</v>
      </c>
      <c r="C102" s="155"/>
      <c r="D102" s="392" t="s">
        <v>3471</v>
      </c>
      <c r="E102" s="392"/>
      <c r="F102" s="392"/>
      <c r="G102" s="230"/>
      <c r="H102" s="230"/>
      <c r="I102" s="230"/>
      <c r="J102" s="231"/>
      <c r="K102" s="231"/>
      <c r="L102" s="1333" t="s">
        <v>633</v>
      </c>
      <c r="M102" s="155" t="str">
        <f>B102</f>
        <v>21.</v>
      </c>
      <c r="N102" s="1331" t="str">
        <f>IF(NOT(SchDTW_Used),"",MAX(L96,L101))</f>
        <v/>
      </c>
      <c r="O102" s="394"/>
      <c r="P102" s="440"/>
      <c r="Q102" s="258"/>
      <c r="R102" s="865"/>
      <c r="S102" s="47"/>
      <c r="T102" s="30"/>
      <c r="U102" s="931"/>
      <c r="X102" s="3455" t="s">
        <v>2664</v>
      </c>
      <c r="Y102" s="1357" t="str">
        <f>"Multiply line 30 by "&amp;TEXT(AB102,"0%")</f>
        <v>Multiply line 30 by 15%</v>
      </c>
      <c r="AA102" s="1331" t="str">
        <f>IF(AB94,"",ROUND(AA101*AB102,0))</f>
        <v/>
      </c>
      <c r="AB102" s="3460">
        <f>SchDTW_Line29Rate</f>
        <v>0.15</v>
      </c>
      <c r="AM102" s="3445"/>
      <c r="AN102" s="2595"/>
      <c r="AO102" s="2595"/>
      <c r="AP102" s="2595"/>
      <c r="AQ102" s="2595"/>
      <c r="AR102" s="2595"/>
      <c r="AS102" s="2595"/>
    </row>
    <row r="103" spans="1:45" ht="12.75" customHeight="1">
      <c r="A103" s="282"/>
      <c r="B103" s="810" t="s">
        <v>347</v>
      </c>
      <c r="C103" s="155"/>
      <c r="D103" s="392" t="s">
        <v>557</v>
      </c>
      <c r="E103" s="392"/>
      <c r="F103" s="392"/>
      <c r="G103" s="230"/>
      <c r="H103" s="230"/>
      <c r="I103" s="230"/>
      <c r="J103" s="231"/>
      <c r="K103" s="231"/>
      <c r="L103" s="394" t="s">
        <v>374</v>
      </c>
      <c r="M103" s="155" t="str">
        <f>B103</f>
        <v>22.</v>
      </c>
      <c r="N103" s="1331" t="str">
        <f>IF(NOT(SchDTW_Used),"",SUM(N94,-L95))</f>
        <v/>
      </c>
      <c r="O103" s="394"/>
      <c r="P103" s="587">
        <f>IF(N103&lt;&gt;"",N103,0)</f>
        <v>0</v>
      </c>
      <c r="Q103" s="257"/>
      <c r="R103" s="621"/>
      <c r="S103" s="47"/>
      <c r="T103" s="30"/>
      <c r="X103" s="3457" t="s">
        <v>353</v>
      </c>
      <c r="Y103" s="1357" t="s">
        <v>3480</v>
      </c>
      <c r="AA103" s="1331" t="str">
        <f>IF(AB94,"",SUM(AA95,AA101))</f>
        <v/>
      </c>
      <c r="AB103" s="4649" t="b">
        <f>IF(AA72="",AA103=0,AA72=AA103)</f>
        <v>0</v>
      </c>
      <c r="AM103" s="3445"/>
      <c r="AN103" s="2595"/>
      <c r="AO103" s="2595"/>
      <c r="AP103" s="2595"/>
      <c r="AQ103" s="2595"/>
      <c r="AR103" s="2595"/>
      <c r="AS103" s="2595"/>
    </row>
    <row r="104" spans="1:45" s="932" customFormat="1" ht="12.75" customHeight="1">
      <c r="A104" s="282"/>
      <c r="B104" s="233"/>
      <c r="C104" s="155"/>
      <c r="D104" s="218" t="s">
        <v>3472</v>
      </c>
      <c r="E104" s="218"/>
      <c r="F104" s="218"/>
      <c r="G104" s="230"/>
      <c r="H104" s="230"/>
      <c r="I104" s="230"/>
      <c r="J104" s="231"/>
      <c r="K104" s="231"/>
      <c r="L104" s="231"/>
      <c r="M104" s="231"/>
      <c r="N104" s="443"/>
      <c r="O104" s="394"/>
      <c r="P104" s="929"/>
      <c r="Q104" s="257"/>
      <c r="R104" s="930"/>
      <c r="S104" s="1022" t="b">
        <f>(SchDTW_Line1=N94)</f>
        <v>1</v>
      </c>
      <c r="T104" s="30"/>
      <c r="U104" s="42"/>
      <c r="V104" s="4226"/>
      <c r="W104" s="42"/>
      <c r="X104" s="3459" t="s">
        <v>354</v>
      </c>
      <c r="Y104" s="1357" t="s">
        <v>4093</v>
      </c>
      <c r="Z104"/>
      <c r="AA104" s="1331" t="str">
        <f>IF(OR(AB94,AB103),"",SUM(AA94,-AA103))</f>
        <v/>
      </c>
      <c r="AB104" s="4649"/>
      <c r="AM104" s="3446"/>
      <c r="AN104" s="2627"/>
      <c r="AO104" s="2627"/>
      <c r="AP104" s="2627"/>
      <c r="AQ104" s="2627"/>
      <c r="AR104" s="2627"/>
      <c r="AS104" s="2627"/>
    </row>
    <row r="105" spans="1:45" ht="12.75" customHeight="1">
      <c r="A105" s="282"/>
      <c r="B105" s="810" t="s">
        <v>348</v>
      </c>
      <c r="C105" s="155"/>
      <c r="D105" s="392" t="s">
        <v>558</v>
      </c>
      <c r="E105" s="178"/>
      <c r="F105" s="178"/>
      <c r="G105" s="230"/>
      <c r="H105" s="230"/>
      <c r="I105" s="230"/>
      <c r="J105" s="394" t="s">
        <v>234</v>
      </c>
      <c r="K105" s="155" t="str">
        <f>B105</f>
        <v>23.</v>
      </c>
      <c r="L105" s="1331" t="str">
        <f>IF(NOT(SchDTW_Used),"",IF(Skip2343,"",MIN(SchDTW_Line1,P88)))</f>
        <v/>
      </c>
      <c r="M105" s="446"/>
      <c r="N105" s="631"/>
      <c r="O105" s="440"/>
      <c r="P105" s="440"/>
      <c r="Q105" s="257"/>
      <c r="R105" s="621"/>
      <c r="S105" s="1265" t="str">
        <f>IF(NOT(SchDTW_Used),"",IF(Skip2343,"Skip lines 23 through 43.","Go to Line 23."))</f>
        <v/>
      </c>
      <c r="T105" s="30"/>
      <c r="X105" s="3455" t="s">
        <v>2666</v>
      </c>
      <c r="Y105" s="1357" t="str">
        <f>"Multiply line 33 by "&amp;TEXT(AB105,"0%")</f>
        <v>Multiply line 33 by 20%</v>
      </c>
      <c r="AA105" s="1331" t="str">
        <f>IF(OR(AB94,AB103),"",ROUND(AA104*AB105,0))</f>
        <v/>
      </c>
      <c r="AB105" s="3460">
        <f>SchDTW_Line32Rate</f>
        <v>0.2</v>
      </c>
      <c r="AM105" s="3445"/>
      <c r="AN105" s="2595"/>
      <c r="AO105" s="2595"/>
      <c r="AP105" s="2595"/>
      <c r="AQ105" s="2595"/>
      <c r="AR105" s="2595"/>
      <c r="AS105" s="2595"/>
    </row>
    <row r="106" spans="1:45" ht="12.75" customHeight="1">
      <c r="A106" s="282"/>
      <c r="B106" s="810" t="s">
        <v>349</v>
      </c>
      <c r="C106" s="154"/>
      <c r="D106" s="392" t="s">
        <v>3473</v>
      </c>
      <c r="E106" s="392"/>
      <c r="F106" s="392"/>
      <c r="G106" s="230"/>
      <c r="H106" s="230"/>
      <c r="I106" s="230"/>
      <c r="J106" s="602" t="s">
        <v>328</v>
      </c>
      <c r="K106" s="155" t="str">
        <f>B106</f>
        <v>24.</v>
      </c>
      <c r="L106" s="1331" t="str">
        <f>IF(NOT(SchDTW_Used),"",IF(Skip2343,"",IF(N103="",0,N103)))</f>
        <v/>
      </c>
      <c r="M106" s="446"/>
      <c r="N106" s="440"/>
      <c r="O106" s="440"/>
      <c r="P106" s="440"/>
      <c r="Q106" s="258"/>
      <c r="R106" s="865"/>
      <c r="S106" s="47"/>
      <c r="T106" s="30"/>
      <c r="X106" s="3457" t="s">
        <v>2682</v>
      </c>
      <c r="Y106" s="1357" t="s">
        <v>2665</v>
      </c>
      <c r="AA106" s="1331" t="str">
        <f>IF(OR(AB94,AB103,AB106),"",MIN(AA80,SchDLine19))</f>
        <v/>
      </c>
      <c r="AB106" s="4649" t="b">
        <f>OR(SchDLine19=0,SchDLine19="")</f>
        <v>1</v>
      </c>
      <c r="AM106" s="3445"/>
      <c r="AN106" s="2595"/>
      <c r="AO106" s="2595"/>
      <c r="AP106" s="2595"/>
      <c r="AQ106" s="2595"/>
      <c r="AR106" s="2595"/>
      <c r="AS106" s="2595"/>
    </row>
    <row r="107" spans="1:45" ht="12.75" customHeight="1">
      <c r="A107" s="282"/>
      <c r="B107" s="810" t="s">
        <v>350</v>
      </c>
      <c r="C107" s="155"/>
      <c r="D107" s="392" t="s">
        <v>3474</v>
      </c>
      <c r="E107" s="392"/>
      <c r="F107" s="392"/>
      <c r="G107" s="230"/>
      <c r="H107" s="230"/>
      <c r="I107" s="230"/>
      <c r="J107" s="231"/>
      <c r="K107" s="231"/>
      <c r="L107" s="394" t="s">
        <v>141</v>
      </c>
      <c r="M107" s="155" t="str">
        <f>B107</f>
        <v>25.</v>
      </c>
      <c r="N107" s="1331" t="str">
        <f>IF(OR(NOT(SchDTW_Used),Skip2343),"",MAX(0,SUM(L105,-L106)))</f>
        <v/>
      </c>
      <c r="O107" s="394"/>
      <c r="P107" s="448"/>
      <c r="Q107" s="258"/>
      <c r="R107" s="865"/>
      <c r="S107" s="675"/>
      <c r="T107" s="30"/>
      <c r="X107" s="3461" t="s">
        <v>2684</v>
      </c>
      <c r="Y107" s="1357" t="s">
        <v>3484</v>
      </c>
      <c r="AA107" s="1331" t="str">
        <f>IF(OR(AB94,AB103,AB106),"",SUM(AA81,AA92))</f>
        <v/>
      </c>
      <c r="AB107" s="3456"/>
      <c r="AM107" s="3445"/>
      <c r="AN107" s="2595"/>
      <c r="AO107" s="2595"/>
      <c r="AP107" s="2595"/>
      <c r="AQ107" s="2595"/>
      <c r="AR107" s="2595"/>
      <c r="AS107" s="2595"/>
    </row>
    <row r="108" spans="1:45" ht="14.25" customHeight="1">
      <c r="A108" s="282"/>
      <c r="B108" s="808">
        <v>26</v>
      </c>
      <c r="C108" s="155"/>
      <c r="D108" s="392" t="s">
        <v>819</v>
      </c>
      <c r="E108" s="178"/>
      <c r="F108" s="178"/>
      <c r="G108" s="230"/>
      <c r="H108" s="230"/>
      <c r="I108" s="230"/>
      <c r="J108" s="231"/>
      <c r="K108" s="231"/>
      <c r="L108" s="231"/>
      <c r="M108" s="231"/>
      <c r="N108" s="440"/>
      <c r="O108" s="440"/>
      <c r="P108" s="440"/>
      <c r="Q108" s="259"/>
      <c r="R108" s="621"/>
      <c r="S108" s="675"/>
      <c r="T108" s="30"/>
      <c r="X108" s="3461" t="s">
        <v>2685</v>
      </c>
      <c r="Y108" s="1357" t="s">
        <v>2683</v>
      </c>
      <c r="AA108" s="1331" t="str">
        <f>IF(OR(AB94,AB103,AB106),"",IF(AA72="",0,AA72))</f>
        <v/>
      </c>
      <c r="AB108" s="3456"/>
      <c r="AM108" s="3445"/>
      <c r="AN108" s="2595"/>
      <c r="AO108" s="2595"/>
      <c r="AP108" s="2595"/>
      <c r="AQ108" s="2595"/>
      <c r="AR108" s="2595"/>
      <c r="AS108" s="2595"/>
    </row>
    <row r="109" spans="1:45" ht="14.25" customHeight="1">
      <c r="A109" s="282"/>
      <c r="B109" s="1347" t="b">
        <f>IF(File_Single&lt;&gt;"",TRUE,FALSE)</f>
        <v>0</v>
      </c>
      <c r="C109" s="155"/>
      <c r="D109" s="391" t="s">
        <v>340</v>
      </c>
      <c r="E109" s="178" t="str">
        <f>TEXT(N109,"$0,000")&amp;" if single;"</f>
        <v>$445,850 if single;</v>
      </c>
      <c r="F109" s="178"/>
      <c r="G109" s="178"/>
      <c r="H109" s="230"/>
      <c r="I109" s="230"/>
      <c r="J109" s="231"/>
      <c r="K109" s="231"/>
      <c r="L109" s="231"/>
      <c r="M109" s="231"/>
      <c r="N109" s="632">
        <v>445850</v>
      </c>
      <c r="O109" s="440"/>
      <c r="P109" s="440"/>
      <c r="Q109" s="259"/>
      <c r="R109" s="621"/>
      <c r="S109" s="556"/>
      <c r="T109" s="30"/>
      <c r="X109" s="3457" t="s">
        <v>2686</v>
      </c>
      <c r="Y109" s="1357" t="s">
        <v>4094</v>
      </c>
      <c r="AA109" s="1331" t="str">
        <f>IF(OR(AB94,AB103,AB106),"",MAX(0,SUM(AA107,-AA108)))</f>
        <v/>
      </c>
      <c r="AB109" s="3456"/>
      <c r="AM109" s="3445"/>
      <c r="AN109" s="2595"/>
      <c r="AO109" s="2595"/>
      <c r="AP109" s="2595"/>
      <c r="AQ109" s="2595"/>
      <c r="AR109" s="2595"/>
      <c r="AS109" s="2595"/>
    </row>
    <row r="110" spans="1:45">
      <c r="A110" s="282"/>
      <c r="B110" s="1347" t="b">
        <f>IF(File_Marr_Sep&lt;&gt;"",TRUE,FALSE)</f>
        <v>0</v>
      </c>
      <c r="C110" s="155"/>
      <c r="D110" s="391" t="s">
        <v>340</v>
      </c>
      <c r="E110" s="178" t="str">
        <f>TEXT(N110,"$0,000")&amp;" if married filing separately;"</f>
        <v>$250,800 if married filing separately;</v>
      </c>
      <c r="F110" s="391"/>
      <c r="G110" s="230"/>
      <c r="H110" s="230"/>
      <c r="I110" s="230"/>
      <c r="J110" s="231"/>
      <c r="K110" s="231"/>
      <c r="L110" s="632" t="str">
        <f>IF(File_Single&lt;&gt;"",N109,IF(File_Marr_Sep&lt;&gt;"",N110,IF(OR(File_Marr_Joint&lt;&gt;"",File_Qual_Widow),N111,IF(File_Head&lt;&gt;"",N112,"Filing status?"))))</f>
        <v>Filing status?</v>
      </c>
      <c r="M110" s="445"/>
      <c r="N110" s="632">
        <v>250800</v>
      </c>
      <c r="O110" s="440"/>
      <c r="P110" s="440"/>
      <c r="Q110" s="259"/>
      <c r="R110" s="621"/>
      <c r="S110" s="47"/>
      <c r="T110" s="30"/>
      <c r="X110" s="3459" t="s">
        <v>821</v>
      </c>
      <c r="Y110" s="1357" t="s">
        <v>4095</v>
      </c>
      <c r="AA110" s="1331" t="str">
        <f>IF(OR(AB94,AB103,AB106),"",MAX(0,SUM(AA106,-AA109)))</f>
        <v/>
      </c>
      <c r="AB110" s="3456"/>
      <c r="AM110" s="3445"/>
      <c r="AN110" s="2595"/>
      <c r="AO110" s="2595"/>
      <c r="AP110" s="2595"/>
      <c r="AQ110" s="2595"/>
      <c r="AR110" s="2595"/>
      <c r="AS110" s="2595"/>
    </row>
    <row r="111" spans="1:45" ht="13.5" customHeight="1">
      <c r="A111" s="282"/>
      <c r="B111" s="1347" t="b">
        <f>IF(OR(File_Marr_Joint&lt;&gt;"",File_Qual_Widow&lt;&gt;""),TRUE,FALSE)</f>
        <v>0</v>
      </c>
      <c r="C111" s="155"/>
      <c r="D111" s="391" t="s">
        <v>340</v>
      </c>
      <c r="E111" s="178" t="str">
        <f>TEXT(N111,"$0,000")&amp;" if married filing jointly or qualifying widow(er); or"</f>
        <v>$501,600 if married filing jointly or qualifying widow(er); or</v>
      </c>
      <c r="F111" s="391"/>
      <c r="G111" s="230"/>
      <c r="H111" s="230"/>
      <c r="I111" s="230"/>
      <c r="J111" s="324" t="s">
        <v>133</v>
      </c>
      <c r="K111" s="807">
        <f>B108</f>
        <v>26</v>
      </c>
      <c r="L111" s="1331" t="str">
        <f>IF(OR(NOT(SchDTW_Used),Skip2343),"",L110)</f>
        <v/>
      </c>
      <c r="M111" s="446"/>
      <c r="N111" s="632">
        <v>501600</v>
      </c>
      <c r="O111" s="440"/>
      <c r="P111" s="440"/>
      <c r="Q111" s="259"/>
      <c r="R111" s="621"/>
      <c r="S111" s="47"/>
      <c r="T111" s="30"/>
      <c r="X111" s="3455" t="s">
        <v>822</v>
      </c>
      <c r="Y111" s="1357" t="str">
        <f>"Multiply line 39 by "&amp;TEXT(AB111,"0%")</f>
        <v>Multiply line 39 by 25%</v>
      </c>
      <c r="AA111" s="1331" t="str">
        <f>IF(OR(AB94,AB103,AB106),"",ROUND(AA110*AB111,0))</f>
        <v/>
      </c>
      <c r="AB111" s="3460">
        <f>SchDTW_Line38Rate</f>
        <v>0.25</v>
      </c>
      <c r="AM111" s="3445"/>
      <c r="AN111" s="2595"/>
      <c r="AO111" s="2595"/>
      <c r="AP111" s="2595"/>
      <c r="AQ111" s="2595"/>
      <c r="AR111" s="2595"/>
      <c r="AS111" s="2595"/>
    </row>
    <row r="112" spans="1:45" ht="13.5" customHeight="1">
      <c r="A112" s="282"/>
      <c r="B112" s="1347" t="b">
        <f>IF(File_Head&lt;&gt;"",TRUE,FALSE)</f>
        <v>0</v>
      </c>
      <c r="C112" s="155"/>
      <c r="D112" s="391" t="s">
        <v>340</v>
      </c>
      <c r="E112" s="178" t="str">
        <f>TEXT(N112,"$0,000")&amp;" if head of household."</f>
        <v>$473,750 if head of household.</v>
      </c>
      <c r="F112" s="391"/>
      <c r="G112" s="230"/>
      <c r="H112" s="230"/>
      <c r="I112" s="230"/>
      <c r="J112" s="231"/>
      <c r="K112" s="231"/>
      <c r="L112" s="231"/>
      <c r="M112" s="231"/>
      <c r="N112" s="632">
        <v>473750</v>
      </c>
      <c r="O112" s="440"/>
      <c r="P112" s="440"/>
      <c r="Q112" s="259"/>
      <c r="R112" s="621"/>
      <c r="S112" s="525"/>
      <c r="T112" s="30"/>
      <c r="X112" s="3459" t="s">
        <v>823</v>
      </c>
      <c r="Y112" s="1357" t="s">
        <v>4096</v>
      </c>
      <c r="AA112" s="1331" t="str">
        <f>IF(OR(AB94,AB103,AB112),"",SUM(AA92,AA93,AA101,AA104,AA110))</f>
        <v/>
      </c>
      <c r="AB112" s="3456" t="b">
        <f>OR(SchDLine18=0,SchDLine18="")</f>
        <v>1</v>
      </c>
      <c r="AM112" s="3445"/>
      <c r="AN112" s="2595"/>
      <c r="AO112" s="2595"/>
      <c r="AP112" s="2595"/>
      <c r="AQ112" s="2595"/>
      <c r="AR112" s="2595"/>
      <c r="AS112" s="2595"/>
    </row>
    <row r="113" spans="1:45" ht="13.5" customHeight="1">
      <c r="A113" s="282"/>
      <c r="B113" s="808">
        <v>27</v>
      </c>
      <c r="C113" s="155"/>
      <c r="D113" s="392" t="s">
        <v>3475</v>
      </c>
      <c r="E113" s="178"/>
      <c r="F113" s="391"/>
      <c r="G113" s="230"/>
      <c r="H113" s="230"/>
      <c r="I113" s="230"/>
      <c r="J113" s="231"/>
      <c r="K113" s="807">
        <f>B113</f>
        <v>27</v>
      </c>
      <c r="L113" s="1331" t="str">
        <f>IF(OR(NOT(SchDTW_Used),Skip2343),"",MIN(SchDTW_Line1,L111))</f>
        <v/>
      </c>
      <c r="M113" s="231"/>
      <c r="N113" s="632"/>
      <c r="O113" s="440"/>
      <c r="P113" s="440"/>
      <c r="Q113" s="259"/>
      <c r="R113" s="621"/>
      <c r="S113" s="47"/>
      <c r="T113" s="30"/>
      <c r="X113" s="3459" t="s">
        <v>824</v>
      </c>
      <c r="Y113" s="1357" t="s">
        <v>4097</v>
      </c>
      <c r="AA113" s="1331" t="str">
        <f>IF(OR(AB94,AB103,AB112),"",SUM(AA72,-AA112))</f>
        <v/>
      </c>
      <c r="AB113" s="3456"/>
      <c r="AM113" s="3445"/>
      <c r="AN113" s="2595"/>
      <c r="AO113" s="2595"/>
      <c r="AP113" s="2595"/>
      <c r="AQ113" s="2595"/>
      <c r="AR113" s="2595"/>
      <c r="AS113" s="2595"/>
    </row>
    <row r="114" spans="1:45" ht="13.5" customHeight="1">
      <c r="A114" s="282"/>
      <c r="B114" s="808">
        <v>28</v>
      </c>
      <c r="C114" s="155"/>
      <c r="D114" s="392" t="s">
        <v>3476</v>
      </c>
      <c r="E114" s="178"/>
      <c r="F114" s="391"/>
      <c r="G114" s="230"/>
      <c r="H114" s="230"/>
      <c r="I114" s="230"/>
      <c r="J114" s="231"/>
      <c r="K114" s="807">
        <f>B114</f>
        <v>28</v>
      </c>
      <c r="L114" s="1331" t="str">
        <f>IF(OR(NOT(SchDTW_Used),Skip2343),"",SUM(SchDTW_Line21,N103))</f>
        <v/>
      </c>
      <c r="M114" s="231"/>
      <c r="N114" s="632"/>
      <c r="O114" s="440"/>
      <c r="P114" s="440"/>
      <c r="Q114" s="259"/>
      <c r="R114" s="621"/>
      <c r="S114" s="47"/>
      <c r="T114" s="30"/>
      <c r="X114" s="3455" t="s">
        <v>825</v>
      </c>
      <c r="Y114" s="1357" t="str">
        <f>"Multiply line 42 by "&amp;TEXT(AB114,"0%")</f>
        <v>Multiply line 42 by 28%</v>
      </c>
      <c r="AA114" s="1331" t="str">
        <f>IF(OR(AB94,AB103,AB112),"",ROUND(AA113*AB114,0))</f>
        <v/>
      </c>
      <c r="AB114" s="3460">
        <f>SchDTW_Line41Rate</f>
        <v>0.28000000000000003</v>
      </c>
      <c r="AM114" s="3445"/>
      <c r="AN114" s="2595"/>
      <c r="AO114" s="2595"/>
      <c r="AP114" s="2595"/>
      <c r="AQ114" s="2595"/>
      <c r="AR114" s="2595"/>
      <c r="AS114" s="2595"/>
    </row>
    <row r="115" spans="1:45" ht="13.5" customHeight="1">
      <c r="A115" s="282"/>
      <c r="B115" s="808">
        <v>29</v>
      </c>
      <c r="C115" s="155"/>
      <c r="D115" s="392" t="s">
        <v>3477</v>
      </c>
      <c r="E115" s="178"/>
      <c r="F115" s="391"/>
      <c r="G115" s="230"/>
      <c r="H115" s="230"/>
      <c r="I115" s="230"/>
      <c r="J115" s="231"/>
      <c r="K115" s="807">
        <f>B115</f>
        <v>29</v>
      </c>
      <c r="L115" s="1331" t="str">
        <f>IF(OR(NOT(SchDTW_Used),Skip2343),"",MAX(0,SUM(L113,-L114)))</f>
        <v/>
      </c>
      <c r="M115" s="231"/>
      <c r="N115" s="632"/>
      <c r="O115" s="440"/>
      <c r="P115" s="440"/>
      <c r="Q115" s="259"/>
      <c r="R115" s="621"/>
      <c r="S115" s="47"/>
      <c r="T115" s="30"/>
      <c r="X115" s="3455" t="s">
        <v>826</v>
      </c>
      <c r="Y115" s="1357" t="s">
        <v>4098</v>
      </c>
      <c r="AA115" s="1331" t="str">
        <f>AB120</f>
        <v>Filing status?</v>
      </c>
      <c r="AB115" s="3456"/>
      <c r="AM115" s="3445"/>
      <c r="AN115" s="2595"/>
      <c r="AO115" s="2595"/>
      <c r="AP115" s="2595"/>
      <c r="AQ115" s="2595"/>
      <c r="AR115" s="2595"/>
      <c r="AS115" s="2595"/>
    </row>
    <row r="116" spans="1:45" ht="13.5" customHeight="1" thickBot="1">
      <c r="A116" s="282"/>
      <c r="B116" s="808">
        <v>30</v>
      </c>
      <c r="C116" s="155"/>
      <c r="D116" s="392" t="s">
        <v>3478</v>
      </c>
      <c r="E116" s="178"/>
      <c r="F116" s="391"/>
      <c r="G116" s="230"/>
      <c r="H116" s="230"/>
      <c r="I116" s="230"/>
      <c r="J116" s="231"/>
      <c r="K116" s="807"/>
      <c r="L116" s="1333" t="s">
        <v>805</v>
      </c>
      <c r="M116" s="807">
        <f>B116</f>
        <v>30</v>
      </c>
      <c r="N116" s="1331" t="str">
        <f>IF(OR(NOT(SchDTW_Used),Skip2343),"",MIN(N107,L115))</f>
        <v/>
      </c>
      <c r="O116" s="440"/>
      <c r="P116" s="440"/>
      <c r="Q116" s="259"/>
      <c r="R116" s="621"/>
      <c r="S116" s="47"/>
      <c r="T116" s="30"/>
      <c r="X116" s="3462" t="s">
        <v>4099</v>
      </c>
      <c r="Y116" s="270" t="s">
        <v>69</v>
      </c>
      <c r="Z116" s="270" t="s">
        <v>2552</v>
      </c>
      <c r="AA116" s="270" t="s">
        <v>458</v>
      </c>
      <c r="AB116" s="3463" t="s">
        <v>2000</v>
      </c>
      <c r="AM116" s="3445"/>
      <c r="AN116" s="2595"/>
      <c r="AO116" s="2595"/>
      <c r="AP116" s="2595"/>
      <c r="AQ116" s="2595"/>
      <c r="AR116" s="2595"/>
      <c r="AS116" s="2595"/>
    </row>
    <row r="117" spans="1:45" ht="13.5" customHeight="1" thickTop="1" thickBot="1">
      <c r="A117" s="282"/>
      <c r="B117" s="808">
        <v>31</v>
      </c>
      <c r="C117" s="155"/>
      <c r="D117" s="392" t="str">
        <f>"Multiply line 30 by "&amp;TEXT(R117,"0%")&amp;" ("&amp;TEXT(R117,"0.00")&amp;")"</f>
        <v>Multiply line 30 by 15% (0.15)</v>
      </c>
      <c r="E117" s="178"/>
      <c r="F117" s="391"/>
      <c r="G117" s="230"/>
      <c r="H117" s="230"/>
      <c r="I117" s="230"/>
      <c r="J117" s="231"/>
      <c r="K117" s="231"/>
      <c r="L117" s="231"/>
      <c r="M117" s="231"/>
      <c r="N117" s="1333" t="s">
        <v>4107</v>
      </c>
      <c r="O117" s="807">
        <f>B117</f>
        <v>31</v>
      </c>
      <c r="P117" s="1331" t="str">
        <f>IF(OR(NOT(SchDTW_Used),Skip2343),"",ROUND($N$116*R117,0))</f>
        <v/>
      </c>
      <c r="Q117" s="259"/>
      <c r="R117" s="621">
        <v>0.15</v>
      </c>
      <c r="S117" s="47"/>
      <c r="T117" s="30"/>
      <c r="X117" s="3464">
        <f>AA92</f>
        <v>0</v>
      </c>
      <c r="Y117" s="3346">
        <f>LOOKUP(X117,'Tax Table'!$B$2:$B$2063,'Tax Table'!$D$2:$D$2063)</f>
        <v>0</v>
      </c>
      <c r="Z117" s="3346">
        <f>LOOKUP(X117,'Tax Table'!$B$2:$B$2063,'Tax Table'!$E$2:$E$2063)</f>
        <v>0</v>
      </c>
      <c r="AA117" s="3346">
        <f>LOOKUP(X117,'Tax Table'!$B$2:$B$2063,'Tax Table'!$F$2:$F$2063)</f>
        <v>0</v>
      </c>
      <c r="AB117" s="3465">
        <f>LOOKUP(X117,'Tax Table'!$B$2:$B$2063,'Tax Table'!$G$2:$G$2063)</f>
        <v>0</v>
      </c>
      <c r="AM117" s="3445"/>
      <c r="AN117" s="2595"/>
      <c r="AO117" s="2595"/>
      <c r="AP117" s="2595"/>
      <c r="AQ117" s="2595"/>
      <c r="AR117" s="2595"/>
      <c r="AS117" s="2595"/>
    </row>
    <row r="118" spans="1:45" ht="13.5" customHeight="1" thickBot="1">
      <c r="A118" s="282"/>
      <c r="B118" s="808">
        <v>32</v>
      </c>
      <c r="C118" s="155"/>
      <c r="D118" s="392" t="s">
        <v>3480</v>
      </c>
      <c r="E118" s="178"/>
      <c r="F118" s="391"/>
      <c r="G118" s="230"/>
      <c r="H118" s="230"/>
      <c r="I118" s="230"/>
      <c r="J118" s="1333" t="s">
        <v>919</v>
      </c>
      <c r="K118" s="807">
        <f>B118</f>
        <v>32</v>
      </c>
      <c r="L118" s="1331" t="str">
        <f>IF(OR(NOT(SchDTW_Used),Skip2343),"",SUM(L106,N116))</f>
        <v/>
      </c>
      <c r="M118" s="231"/>
      <c r="N118" s="632"/>
      <c r="O118" s="440"/>
      <c r="P118" s="440"/>
      <c r="Q118" s="259"/>
      <c r="R118" s="621"/>
      <c r="S118" s="47"/>
      <c r="T118" s="30"/>
      <c r="X118" s="3466"/>
      <c r="Y118" s="3348" t="str">
        <f>IF(X117&lt;SectA_a3,"---",IF(X117&lt;=SectA_a4,ROUND((X117*(SectA_b4/100)-SectA_d4),0),IF(X117&lt;=SectA_a5,ROUND((X117*(SectA_b5/100)-SectA_d5),0),IF(X117&lt;=SectA_a6,ROUND((X117*(SectA_b6/100)-SectA_d6),0),ROUND((X117*(SectA_b7/100)-SectA_d7),0)))))</f>
        <v>---</v>
      </c>
      <c r="Z118" s="3348" t="str">
        <f>IF(X117&lt;SectB_a2,"---",IF(X117&lt;=SectB_a3,ROUND((X117*(SectB_b3/100)-SectB_d3),0),IF(X117&lt;=SectB_a4,ROUND((X117*(SectB_b4/100)-SectB_d4),0),IF(X117&lt;=SectB_a5,ROUND((X117*(SectB_b5/100)-SectB_d5),0),IF(X117&lt;=SectB_a6,ROUND((X117*(SectB_b6/100)-SectB_d6),0),ROUND((X117*(SectB_b7/100)-SectB_d7),0))))))</f>
        <v>---</v>
      </c>
      <c r="AA118" s="3348" t="str">
        <f>IF(X117&lt;SectC_a2,"---",IF(X117&lt;=SectC_a3,ROUND((X117*(SectC_b3/100)-SectC_d3),0),IF(X117&lt;=SectC_a4,ROUND((X117*(SectC_b4/100)-SectC_d4),0),IF(X117&lt;=SectC_a5,ROUND((X117*(SectC_b5/100)-SectC_d5),0),ROUND((X117*(SectC_b6/100)-SectC_d6),0)))))</f>
        <v>---</v>
      </c>
      <c r="AB118" s="3467" t="str">
        <f>IF(X117&lt;SectD_a2,"---",IF(X117&lt;=SectD_a3,ROUND((X117*(SectD_b3/100)-SectD_d3),0),IF(X117&lt;=SectD_a4,ROUND((X117*(SectD_b4/100)-SectD_d4),0),IF(X117&lt;=SectD_a5,ROUND((X117*(SectD_b5/100)-SectD_d5),0),IF(X117&lt;=SectD_a6,ROUND((X117*(SectD_b6/100)-SectD_d6),0),ROUND((X117*(SectD_b7/100)-SectD_d7),0))))))</f>
        <v>---</v>
      </c>
      <c r="AM118" s="3445"/>
      <c r="AN118" s="2595"/>
      <c r="AO118" s="2595"/>
      <c r="AP118" s="2595"/>
      <c r="AQ118" s="2595"/>
      <c r="AR118" s="2595"/>
      <c r="AS118" s="2595"/>
    </row>
    <row r="119" spans="1:45" ht="13.5" customHeight="1" thickBot="1">
      <c r="A119" s="282"/>
      <c r="B119" s="233"/>
      <c r="C119" s="155"/>
      <c r="D119" s="218" t="s">
        <v>3481</v>
      </c>
      <c r="E119" s="178"/>
      <c r="F119" s="391"/>
      <c r="G119" s="230"/>
      <c r="H119" s="230"/>
      <c r="I119" s="230"/>
      <c r="J119" s="231"/>
      <c r="K119" s="231"/>
      <c r="L119" s="231"/>
      <c r="M119" s="231"/>
      <c r="N119" s="632"/>
      <c r="O119" s="440"/>
      <c r="P119" s="440"/>
      <c r="Q119" s="259"/>
      <c r="R119" s="621"/>
      <c r="S119" s="1022" t="b">
        <f>IF(OR(NOT(SchDTW_Used),Skip2343),FALSE,IF(SchDTW_Line1=L118,TRUE,FALSE))</f>
        <v>0</v>
      </c>
      <c r="T119" s="30"/>
      <c r="X119" s="3468" t="str">
        <f>IF(File_Single&lt;&gt;"",Y117,IF(File_Marr_Joint&lt;&gt;"",Z117,IF(File_Marr_Sep&lt;&gt;"", AA117,IF(File_Head&lt;&gt;"",AB117,IF(File_Qual_Widow&lt;&gt;"",Z117,"Filing status?")))))</f>
        <v>Filing status?</v>
      </c>
      <c r="Y119" s="2087" t="str">
        <f>"&lt;100k"</f>
        <v>&lt;100k</v>
      </c>
      <c r="Z119" s="2087"/>
      <c r="AA119" s="2087"/>
      <c r="AB119" s="3469"/>
      <c r="AM119" s="3445"/>
      <c r="AN119" s="2595"/>
      <c r="AO119" s="2595"/>
      <c r="AP119" s="2595"/>
      <c r="AQ119" s="2595"/>
      <c r="AR119" s="2595"/>
      <c r="AS119" s="2595"/>
    </row>
    <row r="120" spans="1:45" ht="13.5" customHeight="1" thickBot="1">
      <c r="A120" s="282"/>
      <c r="B120" s="808">
        <v>33</v>
      </c>
      <c r="C120" s="155"/>
      <c r="D120" s="392" t="s">
        <v>3482</v>
      </c>
      <c r="E120" s="178"/>
      <c r="F120" s="391"/>
      <c r="G120" s="230"/>
      <c r="H120" s="230"/>
      <c r="I120" s="230"/>
      <c r="J120" s="231"/>
      <c r="K120" s="231"/>
      <c r="L120" s="1333" t="s">
        <v>1075</v>
      </c>
      <c r="M120" s="807">
        <f>B120</f>
        <v>33</v>
      </c>
      <c r="N120" s="1331" t="str">
        <f>IF(OR(NOT(SchDTW_Used),Skip2343,Skip3343),"",SUM(L105,-L118))</f>
        <v/>
      </c>
      <c r="O120" s="440"/>
      <c r="P120" s="440"/>
      <c r="Q120" s="259"/>
      <c r="R120" s="621"/>
      <c r="S120" s="1265" t="str">
        <f>IF(OR(NOT(SchDTW_Used),Skip2343),"",IF(Skip3343,"Skip lines 33 through 42.","Go to Line 33."))</f>
        <v/>
      </c>
      <c r="T120" s="30"/>
      <c r="X120" s="3470" t="str">
        <f>IF(File_Single&lt;&gt;"",Y118,IF(OR(File_Marr_Joint&lt;&gt;"",File_Qual_Widow&lt;&gt;""),Z118,IF(File_Marr_Sep&lt;&gt;"", AA118,IF(File_Head&lt;&gt;"",AB118,"Filing status?"))))</f>
        <v>Filing status?</v>
      </c>
      <c r="Y120" s="3344" t="str">
        <f>"&gt;=100k"</f>
        <v>&gt;=100k</v>
      </c>
      <c r="Z120" s="3344"/>
      <c r="AA120" s="3350" t="s">
        <v>2553</v>
      </c>
      <c r="AB120" s="3471" t="str">
        <f>IF(X117&gt;100000,X120,X119)</f>
        <v>Filing status?</v>
      </c>
      <c r="AM120" s="3445"/>
      <c r="AN120" s="2595"/>
      <c r="AO120" s="2595"/>
      <c r="AP120" s="2595"/>
      <c r="AQ120" s="2595"/>
      <c r="AR120" s="2595"/>
      <c r="AS120" s="2595"/>
    </row>
    <row r="121" spans="1:45" ht="12.75" customHeight="1" thickTop="1">
      <c r="A121" s="282"/>
      <c r="B121" s="810" t="s">
        <v>2666</v>
      </c>
      <c r="C121" s="155"/>
      <c r="D121" s="178" t="str">
        <f>"Multiply line 33 by "&amp;TEXT(R121,"0%")&amp;" ("&amp;TEXT(R121,"0.00")&amp;")"</f>
        <v>Multiply line 33 by 20% (0.20)</v>
      </c>
      <c r="E121" s="178"/>
      <c r="F121" s="178"/>
      <c r="G121" s="230"/>
      <c r="H121" s="230"/>
      <c r="I121" s="230"/>
      <c r="J121" s="231"/>
      <c r="K121" s="155"/>
      <c r="L121" s="155"/>
      <c r="M121" s="155"/>
      <c r="N121" s="1333" t="s">
        <v>4107</v>
      </c>
      <c r="O121" s="394" t="str">
        <f>B121</f>
        <v>34.</v>
      </c>
      <c r="P121" s="1331" t="str">
        <f>IF(OR(NOT(SchDTW_Used),Skip2343,Skip3343),"",ROUND((N120*R121),0))</f>
        <v/>
      </c>
      <c r="Q121" s="258"/>
      <c r="R121" s="621">
        <v>0.2</v>
      </c>
      <c r="S121" s="47"/>
      <c r="T121" s="30"/>
      <c r="X121" s="3455" t="s">
        <v>827</v>
      </c>
      <c r="Y121" s="1357" t="s">
        <v>4101</v>
      </c>
      <c r="AA121" s="1331">
        <f>SUM(AA102,AA105,AA111,AA114,AA115)</f>
        <v>0</v>
      </c>
      <c r="AB121" s="3456"/>
      <c r="AM121" s="3445"/>
      <c r="AN121" s="2595"/>
      <c r="AO121" s="2595"/>
      <c r="AP121" s="2595"/>
      <c r="AQ121" s="2595"/>
      <c r="AR121" s="2595"/>
      <c r="AS121" s="2595"/>
    </row>
    <row r="122" spans="1:45" ht="12.75" customHeight="1">
      <c r="A122" s="282"/>
      <c r="B122" s="233"/>
      <c r="C122" s="155"/>
      <c r="D122" s="218" t="s">
        <v>3483</v>
      </c>
      <c r="E122" s="218"/>
      <c r="F122" s="218"/>
      <c r="G122" s="230"/>
      <c r="H122" s="230"/>
      <c r="I122" s="230"/>
      <c r="J122" s="231"/>
      <c r="K122" s="231"/>
      <c r="L122" s="231"/>
      <c r="M122" s="231"/>
      <c r="N122" s="443"/>
      <c r="O122" s="394"/>
      <c r="P122" s="447"/>
      <c r="Q122" s="257"/>
      <c r="R122" s="621"/>
      <c r="S122" s="1022" t="b">
        <f>OR(SchDLine19=0,SchDLine19="")</f>
        <v>1</v>
      </c>
      <c r="T122" s="30"/>
      <c r="X122" s="3455" t="s">
        <v>4100</v>
      </c>
      <c r="Y122" s="1357" t="s">
        <v>2687</v>
      </c>
      <c r="AA122" s="1331" t="str">
        <f>AB127</f>
        <v>Filing status?</v>
      </c>
      <c r="AB122" s="3456"/>
      <c r="AM122" s="3445"/>
      <c r="AN122" s="2595"/>
      <c r="AO122" s="2595"/>
      <c r="AP122" s="2595"/>
      <c r="AQ122" s="2595"/>
      <c r="AR122" s="2595"/>
      <c r="AS122" s="2595"/>
    </row>
    <row r="123" spans="1:45" ht="12.75" customHeight="1" thickBot="1">
      <c r="A123" s="282"/>
      <c r="B123" s="810" t="s">
        <v>2682</v>
      </c>
      <c r="C123" s="155"/>
      <c r="D123" s="178" t="s">
        <v>237</v>
      </c>
      <c r="E123" s="178"/>
      <c r="F123" s="178"/>
      <c r="G123" s="230"/>
      <c r="H123" s="230"/>
      <c r="I123" s="230"/>
      <c r="J123" s="602" t="s">
        <v>529</v>
      </c>
      <c r="K123" s="155" t="str">
        <f>B123</f>
        <v>35.</v>
      </c>
      <c r="L123" s="1331" t="str">
        <f>IF(OR(NOT(SchDTW_Used),Skip2343,Skip3343,Skip3540),"",MIN(N84,'Sch. D'!N77))</f>
        <v/>
      </c>
      <c r="M123" s="446"/>
      <c r="N123" s="446"/>
      <c r="O123" s="394"/>
      <c r="P123" s="395"/>
      <c r="Q123" s="257"/>
      <c r="R123" s="621"/>
      <c r="S123" s="525" t="str">
        <f>IF(OR(NOT(SchDTW_Used),Skip2343,Skip3343),"",IF(Skip3540,"Skip lines 33 through 38.","Go to line 33."))</f>
        <v/>
      </c>
      <c r="T123" s="30"/>
      <c r="X123" s="3462" t="s">
        <v>4102</v>
      </c>
      <c r="Y123" s="270" t="s">
        <v>69</v>
      </c>
      <c r="Z123" s="270" t="s">
        <v>2552</v>
      </c>
      <c r="AA123" s="270" t="s">
        <v>458</v>
      </c>
      <c r="AB123" s="3463" t="s">
        <v>2000</v>
      </c>
      <c r="AM123" s="3445"/>
      <c r="AN123" s="2595"/>
      <c r="AO123" s="2595"/>
      <c r="AP123" s="2595"/>
      <c r="AQ123" s="2595"/>
      <c r="AR123" s="2595"/>
      <c r="AS123" s="2595"/>
    </row>
    <row r="124" spans="1:45" ht="12.75" customHeight="1" thickTop="1" thickBot="1">
      <c r="A124" s="282"/>
      <c r="B124" s="808">
        <v>36</v>
      </c>
      <c r="C124" s="155"/>
      <c r="D124" s="392" t="s">
        <v>3484</v>
      </c>
      <c r="E124" s="178"/>
      <c r="F124" s="178"/>
      <c r="G124" s="230"/>
      <c r="H124" s="155" t="s">
        <v>572</v>
      </c>
      <c r="I124" s="4227">
        <f>B124</f>
        <v>36</v>
      </c>
      <c r="J124" s="1331" t="str">
        <f>IF(OR(NOT(SchDTW_Used),Skip2343,Skip3343,Skip3540),"",SUM(L85,SchDTW_Line21))</f>
        <v/>
      </c>
      <c r="K124" s="155"/>
      <c r="L124" s="443"/>
      <c r="M124" s="443"/>
      <c r="N124" s="443"/>
      <c r="O124" s="394"/>
      <c r="P124" s="395"/>
      <c r="Q124" s="257"/>
      <c r="R124" s="621"/>
      <c r="S124" s="525"/>
      <c r="T124" s="30"/>
      <c r="X124" s="3464">
        <f>AA72</f>
        <v>0</v>
      </c>
      <c r="Y124" s="3346">
        <f>LOOKUP(X124,'Tax Table'!$B$2:$B$2063,'Tax Table'!$D$2:$D$2063)</f>
        <v>0</v>
      </c>
      <c r="Z124" s="3346">
        <f>LOOKUP(X124,'Tax Table'!$B$2:$B$2063,'Tax Table'!$E$2:$E$2063)</f>
        <v>0</v>
      </c>
      <c r="AA124" s="3346">
        <f>LOOKUP(X124,'Tax Table'!$B$2:$B$2063,'Tax Table'!$F$2:$F$2063)</f>
        <v>0</v>
      </c>
      <c r="AB124" s="3465">
        <f>LOOKUP(X124,'Tax Table'!$B$2:$B$2063,'Tax Table'!$G$2:$G$2063)</f>
        <v>0</v>
      </c>
      <c r="AM124" s="3445"/>
      <c r="AN124" s="2595"/>
      <c r="AO124" s="2595"/>
      <c r="AP124" s="2595"/>
      <c r="AQ124" s="2595"/>
      <c r="AR124" s="2595"/>
      <c r="AS124" s="2595"/>
    </row>
    <row r="125" spans="1:45" ht="12.75" customHeight="1" thickBot="1">
      <c r="B125" s="808">
        <v>37</v>
      </c>
      <c r="C125" s="155"/>
      <c r="D125" s="392" t="s">
        <v>561</v>
      </c>
      <c r="E125" s="178"/>
      <c r="F125" s="178"/>
      <c r="G125" s="230"/>
      <c r="H125" s="155" t="s">
        <v>533</v>
      </c>
      <c r="I125" s="4227">
        <f>B125</f>
        <v>37</v>
      </c>
      <c r="J125" s="1331" t="str">
        <f>IF(OR(NOT(SchDTW_Used),Skip2343,Skip3343,Skip3540),"",SchDTW_Line1)</f>
        <v/>
      </c>
      <c r="K125" s="155"/>
      <c r="L125" s="443"/>
      <c r="M125" s="443"/>
      <c r="N125" s="443"/>
      <c r="O125" s="394"/>
      <c r="P125" s="395"/>
      <c r="Q125" s="257"/>
      <c r="R125" s="621"/>
      <c r="S125" s="525"/>
      <c r="T125" s="30"/>
      <c r="X125" s="3466"/>
      <c r="Y125" s="3348" t="str">
        <f>IF(X124&lt;SectA_a3,"---",IF(X124&lt;=SectA_a4,ROUND((X124*(SectA_b4/100)-SectA_d4),0),IF(X124&lt;=SectA_a5,ROUND((X124*(SectA_b5/100)-SectA_d5),0),IF(X124&lt;=SectA_a6,ROUND((X124*(SectA_b6/100)-SectA_d6),0),ROUND((X124*(SectA_b7/100)-SectA_d7),0)))))</f>
        <v>---</v>
      </c>
      <c r="Z125" s="3348" t="str">
        <f>IF(X124&lt;SectB_a2,"---",IF(X124&lt;=SectB_a3,ROUND((X124*(SectB_b3/100)-SectB_d3),0),IF(X124&lt;=SectB_a4,ROUND((X124*(SectB_b4/100)-SectB_d4),0),IF(X124&lt;=SectB_a5,ROUND((X124*(SectB_b5/100)-SectB_d5),0),IF(X124&lt;=SectB_a6,ROUND((X124*(SectB_b6/100)-SectB_d6),0),ROUND((X124*(SectB_b7/100)-SectB_d7),0))))))</f>
        <v>---</v>
      </c>
      <c r="AA125" s="3348" t="str">
        <f>IF(X124&lt;SectC_a2,"---",IF(X124&lt;=SectC_a3,ROUND((X124*(SectC_b3/100)-SectC_d3),0),IF(X124&lt;=SectC_a4,ROUND((X124*(SectC_b4/100)-SectC_d4),0),IF(X124&lt;=SectC_a5,ROUND((X124*(SectC_b5/100)-SectC_d5),0),ROUND((X124*(SectC_b6/100)-SectC_d6),0)))))</f>
        <v>---</v>
      </c>
      <c r="AB125" s="3467" t="str">
        <f>IF(X124&lt;SectD_a2,"---",IF(X124&lt;=SectD_a3,ROUND((X124*(SectD_b3/100)-SectD_d3),0),IF(X124&lt;=SectD_a4,ROUND((X124*(SectD_b4/100)-SectD_d4),0),IF(X124&lt;=SectD_a5,ROUND((X124*(SectD_b5/100)-SectD_d5),0),IF(X124&lt;=SectD_a6,ROUND((X124*(SectD_b6/100)-SectD_d6),0),ROUND((X124*(SectD_b7/100)-SectD_d7),0))))))</f>
        <v>---</v>
      </c>
      <c r="AM125" s="3445"/>
      <c r="AN125" s="2595"/>
      <c r="AO125" s="2595"/>
      <c r="AP125" s="2595"/>
      <c r="AQ125" s="2595"/>
      <c r="AR125" s="2595"/>
      <c r="AS125" s="2595"/>
    </row>
    <row r="126" spans="1:45" ht="12.75" customHeight="1" thickBot="1">
      <c r="A126" s="1019"/>
      <c r="B126" s="808">
        <v>38</v>
      </c>
      <c r="C126" s="155"/>
      <c r="D126" s="392" t="s">
        <v>3485</v>
      </c>
      <c r="E126" s="178"/>
      <c r="F126" s="178"/>
      <c r="G126" s="230"/>
      <c r="H126" s="230"/>
      <c r="I126" s="230"/>
      <c r="J126" s="394" t="s">
        <v>394</v>
      </c>
      <c r="K126" s="4227">
        <f>B126</f>
        <v>38</v>
      </c>
      <c r="L126" s="1331" t="str">
        <f>IF(OR(NOT(SchDTW_Used),Skip2343,Skip3343,Skip3540),"",MAX(0,SUM(J124,-J125)))</f>
        <v/>
      </c>
      <c r="M126" s="446"/>
      <c r="N126" s="446"/>
      <c r="O126" s="394"/>
      <c r="P126" s="395"/>
      <c r="Q126" s="257"/>
      <c r="R126" s="621"/>
      <c r="S126" s="525"/>
      <c r="T126" s="30"/>
      <c r="X126" s="3468" t="str">
        <f>IF(File_Single&lt;&gt;"",Y124,IF(File_Marr_Joint&lt;&gt;"",Z124,IF(File_Marr_Sep&lt;&gt;"", AA124,IF(File_Head&lt;&gt;"",AB124,IF(File_Qual_Widow&lt;&gt;"",Z124,"Filing status?")))))</f>
        <v>Filing status?</v>
      </c>
      <c r="Y126" s="2087" t="str">
        <f>"&lt;100k"</f>
        <v>&lt;100k</v>
      </c>
      <c r="Z126" s="2087"/>
      <c r="AA126" s="2087"/>
      <c r="AB126" s="3469"/>
      <c r="AM126" s="3445"/>
      <c r="AN126" s="2595"/>
      <c r="AO126" s="2595"/>
      <c r="AP126" s="2595"/>
      <c r="AQ126" s="2595"/>
      <c r="AR126" s="2595"/>
      <c r="AS126" s="2595"/>
    </row>
    <row r="127" spans="1:45" ht="12.75" customHeight="1" thickBot="1">
      <c r="A127" s="1019"/>
      <c r="B127" s="808">
        <v>39</v>
      </c>
      <c r="C127" s="155"/>
      <c r="D127" s="392" t="s">
        <v>3486</v>
      </c>
      <c r="E127" s="178"/>
      <c r="F127" s="178"/>
      <c r="G127" s="230"/>
      <c r="H127" s="230"/>
      <c r="I127" s="230"/>
      <c r="J127" s="231"/>
      <c r="K127" s="231"/>
      <c r="L127" s="394" t="s">
        <v>453</v>
      </c>
      <c r="M127" s="4227">
        <f>B127</f>
        <v>39</v>
      </c>
      <c r="N127" s="1331" t="str">
        <f>IF(OR(NOT(SchDTW_Used),Skip2343,Skip3343,Skip3540),"",MAX(0,SUM(L123,-L126)))</f>
        <v/>
      </c>
      <c r="O127" s="394"/>
      <c r="P127" s="395"/>
      <c r="Q127" s="257"/>
      <c r="R127" s="621"/>
      <c r="S127" s="525"/>
      <c r="T127" s="30"/>
      <c r="X127" s="3470" t="str">
        <f>IF(File_Single&lt;&gt;"",Y125,IF(OR(File_Marr_Joint&lt;&gt;"",File_Qual_Widow&lt;&gt;""),Z125,IF(File_Marr_Sep&lt;&gt;"", AA125,IF(File_Head&lt;&gt;"",AB125,"Filing status?"))))</f>
        <v>Filing status?</v>
      </c>
      <c r="Y127" s="3344" t="str">
        <f>"&gt;=100k"</f>
        <v>&gt;=100k</v>
      </c>
      <c r="Z127" s="3344"/>
      <c r="AA127" s="3350" t="s">
        <v>2553</v>
      </c>
      <c r="AB127" s="3471" t="str">
        <f>IF(X124&gt;100000,X127,X126)</f>
        <v>Filing status?</v>
      </c>
      <c r="AM127" s="3445"/>
      <c r="AN127" s="2595"/>
      <c r="AO127" s="2595"/>
      <c r="AP127" s="2595"/>
      <c r="AQ127" s="2595"/>
      <c r="AR127" s="2595"/>
      <c r="AS127" s="2595"/>
    </row>
    <row r="128" spans="1:45" ht="12.75" customHeight="1" thickTop="1">
      <c r="A128" s="1019"/>
      <c r="B128" s="808">
        <v>40</v>
      </c>
      <c r="C128" s="155"/>
      <c r="D128" s="178" t="str">
        <f>"Multiply line 39 by "&amp;TEXT(R128,"0%")&amp;" ("&amp;TEXT(R128,"0.00")&amp;")"</f>
        <v>Multiply line 39 by 25% (0.25)</v>
      </c>
      <c r="E128" s="178"/>
      <c r="F128" s="178"/>
      <c r="G128" s="230"/>
      <c r="H128" s="230"/>
      <c r="I128" s="230"/>
      <c r="J128" s="231"/>
      <c r="K128" s="231"/>
      <c r="L128" s="231"/>
      <c r="M128" s="231"/>
      <c r="N128" s="394" t="s">
        <v>562</v>
      </c>
      <c r="O128" s="4227">
        <f>B128</f>
        <v>40</v>
      </c>
      <c r="P128" s="1331" t="str">
        <f>IF(OR(NOT(SchDTW_Used),Skip2343,Skip3343,Skip3540),"",ROUND((N127*R128),0))</f>
        <v/>
      </c>
      <c r="Q128" s="257"/>
      <c r="R128" s="621">
        <v>0.25</v>
      </c>
      <c r="S128" s="525"/>
      <c r="T128" s="30"/>
      <c r="X128" s="3472" t="s">
        <v>4103</v>
      </c>
      <c r="Y128" s="3473" t="s">
        <v>4104</v>
      </c>
      <c r="Z128" s="3474"/>
      <c r="AA128" s="3475">
        <f>IF(NOT(AA71),MIN(AA121,AA122))</f>
        <v>0</v>
      </c>
      <c r="AB128" s="3476"/>
      <c r="AM128" s="3445"/>
      <c r="AN128" s="2595"/>
      <c r="AO128" s="2595"/>
      <c r="AP128" s="2595"/>
      <c r="AQ128" s="2595"/>
      <c r="AR128" s="2595"/>
      <c r="AS128" s="2595"/>
    </row>
    <row r="129" spans="1:45" ht="12.75" customHeight="1">
      <c r="A129" s="1019"/>
      <c r="B129" s="233"/>
      <c r="C129" s="155"/>
      <c r="D129" s="218" t="s">
        <v>3487</v>
      </c>
      <c r="E129" s="218"/>
      <c r="F129" s="218"/>
      <c r="G129" s="230"/>
      <c r="H129" s="230"/>
      <c r="I129" s="230"/>
      <c r="J129" s="231"/>
      <c r="K129" s="231"/>
      <c r="L129" s="231"/>
      <c r="M129" s="231"/>
      <c r="N129" s="443"/>
      <c r="O129" s="394"/>
      <c r="P129" s="447"/>
      <c r="Q129" s="257"/>
      <c r="R129" s="621"/>
      <c r="S129" s="1022" t="b">
        <f>IF(OR(SchDLine18=0,SchDLine18=""),TRUE,FALSE)</f>
        <v>1</v>
      </c>
      <c r="T129" s="30"/>
      <c r="AM129" s="3445"/>
      <c r="AN129" s="2595"/>
      <c r="AO129" s="2595"/>
      <c r="AP129" s="2595"/>
      <c r="AQ129" s="2595"/>
      <c r="AR129" s="2595"/>
      <c r="AS129" s="2595"/>
    </row>
    <row r="130" spans="1:45" ht="12.75" customHeight="1">
      <c r="A130" s="1019"/>
      <c r="B130" s="808">
        <v>41</v>
      </c>
      <c r="C130" s="155"/>
      <c r="D130" s="392" t="s">
        <v>3488</v>
      </c>
      <c r="E130" s="178"/>
      <c r="F130" s="178"/>
      <c r="G130" s="230"/>
      <c r="H130" s="230"/>
      <c r="I130" s="230"/>
      <c r="J130" s="231"/>
      <c r="K130" s="231"/>
      <c r="L130" s="1333" t="s">
        <v>299</v>
      </c>
      <c r="M130" s="4227">
        <f>B130</f>
        <v>41</v>
      </c>
      <c r="N130" s="1331" t="str">
        <f>IF(OR(NOT(SchDTW_Used),Skip2343,Skip3343,Skip4143),"",SUM(SchDTW_Line21,N103,$N$116,N120,N127))</f>
        <v/>
      </c>
      <c r="O130" s="394"/>
      <c r="P130" s="448"/>
      <c r="Q130" s="257"/>
      <c r="R130" s="621"/>
      <c r="S130" s="525" t="str">
        <f>IF(OR(NOT(SchDTW_Used),Skip2343,Skip3343,Skip3540),"",IF(Skip4143,"Skip lines 39 through 41.","Go to line 39."))</f>
        <v/>
      </c>
      <c r="T130" s="30"/>
      <c r="AM130" s="3445"/>
      <c r="AN130" s="2595"/>
      <c r="AO130" s="2595"/>
      <c r="AP130" s="2595"/>
      <c r="AQ130" s="2595"/>
      <c r="AR130" s="2595"/>
      <c r="AS130" s="2595"/>
    </row>
    <row r="131" spans="1:45" ht="12.75" customHeight="1" thickBot="1">
      <c r="A131" s="1019"/>
      <c r="B131" s="808">
        <v>42</v>
      </c>
      <c r="C131" s="155"/>
      <c r="D131" s="392" t="s">
        <v>3489</v>
      </c>
      <c r="E131" s="178"/>
      <c r="F131" s="178"/>
      <c r="G131" s="230"/>
      <c r="H131" s="230"/>
      <c r="I131" s="230"/>
      <c r="J131" s="231"/>
      <c r="K131" s="231"/>
      <c r="L131" s="1333" t="s">
        <v>634</v>
      </c>
      <c r="M131" s="4227">
        <f>B131</f>
        <v>42</v>
      </c>
      <c r="N131" s="1331" t="str">
        <f>IF(OR(NOT(SchDTW_Used),Skip2343,Skip3343,Skip4143),"",SUM(SchDTW_Line1,-N130))</f>
        <v/>
      </c>
      <c r="O131" s="394"/>
      <c r="P131" s="521"/>
      <c r="Q131" s="257"/>
      <c r="R131" s="621"/>
      <c r="S131" s="525"/>
      <c r="T131" s="30"/>
      <c r="W131"/>
      <c r="X131" s="263" t="s">
        <v>3490</v>
      </c>
      <c r="Y131" s="270" t="s">
        <v>69</v>
      </c>
      <c r="Z131" s="270" t="s">
        <v>2552</v>
      </c>
      <c r="AA131" s="270" t="s">
        <v>458</v>
      </c>
      <c r="AB131" s="270" t="s">
        <v>2000</v>
      </c>
      <c r="AM131" s="3445"/>
      <c r="AN131" s="2595"/>
      <c r="AO131" s="2595"/>
      <c r="AP131" s="2595"/>
      <c r="AQ131" s="2595"/>
      <c r="AR131" s="2595"/>
      <c r="AS131" s="2595"/>
    </row>
    <row r="132" spans="1:45" ht="12.75" customHeight="1" thickTop="1" thickBot="1">
      <c r="A132" s="1019"/>
      <c r="B132" s="808">
        <v>43</v>
      </c>
      <c r="C132" s="155"/>
      <c r="D132" s="178" t="str">
        <f>"Multiply line 42 by "&amp;TEXT(R132,"0%")&amp;" ("&amp;TEXT(R132,"0.00")&amp;")"</f>
        <v>Multiply line 42 by 28% (0.28)</v>
      </c>
      <c r="E132" s="178"/>
      <c r="F132" s="178"/>
      <c r="G132" s="230"/>
      <c r="H132" s="230"/>
      <c r="I132" s="230"/>
      <c r="J132" s="231"/>
      <c r="K132" s="231"/>
      <c r="L132" s="231"/>
      <c r="M132" s="231"/>
      <c r="N132" s="394" t="s">
        <v>575</v>
      </c>
      <c r="O132" s="4227">
        <f>B132</f>
        <v>43</v>
      </c>
      <c r="P132" s="1331" t="str">
        <f>IF(OR(NOT(SchDTW_Used),Skip2343,Skip3343,Skip4143),"",ROUND(N131*R132,0))</f>
        <v/>
      </c>
      <c r="Q132" s="257"/>
      <c r="R132" s="621">
        <v>0.28000000000000003</v>
      </c>
      <c r="S132" s="675" t="s">
        <v>90</v>
      </c>
      <c r="T132" s="30"/>
      <c r="W132"/>
      <c r="X132" s="3352" t="str">
        <f>SchDTW_Line21</f>
        <v/>
      </c>
      <c r="Y132" s="3346" t="e">
        <f>LOOKUP(X132,'Tax Table'!$B$2:$B$2063,'Tax Table'!$D$2:$D$2063)</f>
        <v>#N/A</v>
      </c>
      <c r="Z132" s="3346" t="e">
        <f>LOOKUP(X132,'Tax Table'!$B$2:$B$2063,'Tax Table'!$E$2:$E$2063)</f>
        <v>#N/A</v>
      </c>
      <c r="AA132" s="3346" t="e">
        <f>LOOKUP(X132,'Tax Table'!$B$2:$B$2063,'Tax Table'!$F$2:$F$2063)</f>
        <v>#N/A</v>
      </c>
      <c r="AB132" s="3347" t="e">
        <f>LOOKUP(X132,'Tax Table'!$B$2:$B$2063,'Tax Table'!$G$2:$G$2063)</f>
        <v>#N/A</v>
      </c>
      <c r="AM132" s="3445"/>
      <c r="AN132" s="2595"/>
      <c r="AO132" s="2595"/>
      <c r="AP132" s="2595"/>
      <c r="AQ132" s="2595"/>
      <c r="AR132" s="2595"/>
      <c r="AS132" s="2595"/>
    </row>
    <row r="133" spans="1:45" ht="12.75" customHeight="1" thickBot="1">
      <c r="A133" s="1019"/>
      <c r="B133" s="808">
        <v>44</v>
      </c>
      <c r="C133" s="155"/>
      <c r="D133" s="392" t="s">
        <v>3491</v>
      </c>
      <c r="E133" s="178"/>
      <c r="F133" s="178"/>
      <c r="G133" s="230"/>
      <c r="H133" s="230"/>
      <c r="I133" s="230"/>
      <c r="J133" s="231"/>
      <c r="K133" s="231"/>
      <c r="L133" s="231"/>
      <c r="M133" s="231"/>
      <c r="N133" s="394"/>
      <c r="O133" s="4227"/>
      <c r="P133" s="441"/>
      <c r="Q133" s="257"/>
      <c r="R133" s="621"/>
      <c r="S133" s="675" t="s">
        <v>411</v>
      </c>
      <c r="T133" s="30"/>
      <c r="W133"/>
      <c r="X133" s="3341"/>
      <c r="Y133" s="3348" t="e">
        <f>IF(X132&lt;SectA_a3,"---",IF(X132&lt;=SectA_a4,ROUND((X132*(SectA_b4/100)-SectA_d4),0),IF(X132&lt;=SectA_a5,ROUND((X132*(SectA_b5/100)-SectA_d5),0),IF(X132&lt;=SectA_a6,ROUND((X132*(SectA_b6/100)-SectA_d6),0),ROUND((X132*(SectA_b7/100)-SectA_d7),0)))))</f>
        <v>#VALUE!</v>
      </c>
      <c r="Z133" s="3348" t="e">
        <f>IF(X132&lt;SectB_a2,"---",IF(X132&lt;=SectB_a3,ROUND((X132*(SectB_b3/100)-SectB_d3),0),IF(X132&lt;=SectB_a4,ROUND((X132*(SectB_b4/100)-SectB_d4),0),IF(X132&lt;=SectB_a5,ROUND((X132*(SectB_b5/100)-SectB_d5),0),IF(X132&lt;=SectB_a6,ROUND((X132*(SectB_b6/100)-SectB_d6),0),ROUND((X132*(SectB_b7/100)-SectB_d7),0))))))</f>
        <v>#VALUE!</v>
      </c>
      <c r="AA133" s="3348" t="e">
        <f>IF(X132&lt;SectC_a2,"---",IF(X132&lt;=SectC_a3,ROUND((X132*(SectC_b3/100)-SectC_d3),0),IF(X132&lt;=SectC_a4,ROUND((X132*(SectC_b4/100)-SectC_d4),0),IF(X132&lt;=SectC_a5,ROUND((X132*(SectC_b5/100)-SectC_d5),0),ROUND((X132*(SectC_b6/100)-SectC_d6),0)))))</f>
        <v>#VALUE!</v>
      </c>
      <c r="AB133" s="3349" t="e">
        <f>IF(X132&lt;SectD_a2,"---",IF(X132&lt;=SectD_a3,ROUND((X132*(SectD_b3/100)-SectD_d3),0),IF(X132&lt;=SectD_a4,ROUND((X132*(SectD_b4/100)-SectD_d4),0),IF(X132&lt;=SectD_a5,ROUND((X132*(SectD_b5/100)-SectD_d5),0),IF(X132&lt;=SectD_a6,ROUND((X132*(SectD_b6/100)-SectD_d6),0),ROUND((X132*(SectD_b7/100)-SectD_d7),0))))))</f>
        <v>#VALUE!</v>
      </c>
      <c r="AM133" s="3445"/>
      <c r="AN133" s="2595"/>
      <c r="AO133" s="2595"/>
      <c r="AP133" s="2595"/>
      <c r="AQ133" s="2595"/>
      <c r="AR133" s="2595"/>
      <c r="AS133" s="2595"/>
    </row>
    <row r="134" spans="1:45" ht="12.75" customHeight="1" thickBot="1">
      <c r="A134" s="1019"/>
      <c r="B134" s="808"/>
      <c r="C134" s="155"/>
      <c r="D134" s="392" t="s">
        <v>3492</v>
      </c>
      <c r="E134" s="178"/>
      <c r="F134" s="178"/>
      <c r="G134" s="230"/>
      <c r="H134" s="230"/>
      <c r="I134" s="230"/>
      <c r="J134" s="231"/>
      <c r="K134" s="231"/>
      <c r="L134" s="155"/>
      <c r="M134" s="155"/>
      <c r="N134" s="1333" t="s">
        <v>568</v>
      </c>
      <c r="O134" s="4227">
        <f>B133</f>
        <v>44</v>
      </c>
      <c r="P134" s="1331" t="str">
        <f>IF(S134&lt;&gt;"",S134,IF(NOT(SchDTW_Used),"",AB135))</f>
        <v/>
      </c>
      <c r="Q134" s="257"/>
      <c r="R134" s="621"/>
      <c r="S134" s="1332"/>
      <c r="T134" s="30"/>
      <c r="W134"/>
      <c r="X134" s="3342" t="str">
        <f>IF(File_Single&lt;&gt;"",Y132,IF(File_Marr_Joint&lt;&gt;"",Z132,IF(File_Marr_Sep&lt;&gt;"", AA132,IF(File_Head&lt;&gt;"",AB132,IF(File_Qual_Widow&lt;&gt;"",Z132,"Filing status?")))))</f>
        <v>Filing status?</v>
      </c>
      <c r="Y134" s="2087" t="str">
        <f>"&lt;100k"</f>
        <v>&lt;100k</v>
      </c>
      <c r="Z134" s="2087"/>
      <c r="AA134" s="2087"/>
      <c r="AB134" s="3345"/>
      <c r="AM134" s="3445"/>
      <c r="AN134" s="2595"/>
      <c r="AO134" s="2595"/>
      <c r="AP134" s="2595"/>
      <c r="AQ134" s="2595"/>
      <c r="AR134" s="2595"/>
      <c r="AS134" s="2595"/>
    </row>
    <row r="135" spans="1:45" ht="12.75" customHeight="1" thickBot="1">
      <c r="A135" s="282"/>
      <c r="B135" s="808">
        <v>45</v>
      </c>
      <c r="C135" s="155"/>
      <c r="D135" s="392" t="s">
        <v>3493</v>
      </c>
      <c r="E135" s="178"/>
      <c r="F135" s="178"/>
      <c r="G135" s="230"/>
      <c r="H135" s="155"/>
      <c r="I135" s="155"/>
      <c r="J135" s="230"/>
      <c r="K135" s="230"/>
      <c r="L135" s="230"/>
      <c r="M135" s="230"/>
      <c r="N135" s="394" t="s">
        <v>575</v>
      </c>
      <c r="O135" s="4227">
        <f>B135</f>
        <v>45</v>
      </c>
      <c r="P135" s="1331" t="str">
        <f>IF(NOT(SchDTW_Used),"",SUM(P117,P121,P128,P132,P134))</f>
        <v/>
      </c>
      <c r="Q135" s="257"/>
      <c r="R135" s="621"/>
      <c r="S135" s="47"/>
      <c r="T135" s="30"/>
      <c r="W135"/>
      <c r="X135" s="3343" t="str">
        <f>IF(File_Single&lt;&gt;"",Y133,IF(OR(File_Marr_Joint&lt;&gt;"",File_Qual_Widow&lt;&gt;""),Z133,IF(File_Marr_Sep&lt;&gt;"", AA133,IF(File_Head&lt;&gt;"",AB133,"Filing status?"))))</f>
        <v>Filing status?</v>
      </c>
      <c r="Y135" s="3344" t="str">
        <f>"&gt;=100k"</f>
        <v>&gt;=100k</v>
      </c>
      <c r="Z135" s="3344"/>
      <c r="AA135" s="3350" t="s">
        <v>2553</v>
      </c>
      <c r="AB135" s="3351" t="str">
        <f>IF(X132&gt;100000,X135,X134)</f>
        <v>Filing status?</v>
      </c>
      <c r="AM135" s="3445"/>
      <c r="AN135" s="2595"/>
      <c r="AO135" s="2595"/>
      <c r="AP135" s="2595"/>
      <c r="AQ135" s="2595"/>
      <c r="AR135" s="2595"/>
      <c r="AS135" s="2595"/>
    </row>
    <row r="136" spans="1:45" ht="12.75" customHeight="1" thickTop="1">
      <c r="A136" s="282"/>
      <c r="B136" s="808">
        <v>46</v>
      </c>
      <c r="C136" s="155"/>
      <c r="D136" s="392" t="s">
        <v>2633</v>
      </c>
      <c r="E136" s="178"/>
      <c r="F136" s="178"/>
      <c r="G136" s="230"/>
      <c r="H136" s="155"/>
      <c r="I136" s="155"/>
      <c r="J136" s="230"/>
      <c r="K136" s="230"/>
      <c r="L136" s="230"/>
      <c r="M136" s="230"/>
      <c r="N136" s="394"/>
      <c r="O136" s="394"/>
      <c r="P136" s="441"/>
      <c r="Q136" s="257"/>
      <c r="R136" s="621"/>
      <c r="S136" s="47"/>
      <c r="T136" s="30"/>
      <c r="W136"/>
      <c r="X136" s="42"/>
      <c r="AM136" s="3445"/>
      <c r="AN136" s="2595"/>
      <c r="AO136" s="2595"/>
      <c r="AP136" s="2595"/>
      <c r="AQ136" s="2595"/>
      <c r="AR136" s="2595"/>
      <c r="AS136" s="2595"/>
    </row>
    <row r="137" spans="1:45" ht="12.75" customHeight="1">
      <c r="A137" s="1019"/>
      <c r="B137" s="808"/>
      <c r="C137" s="155"/>
      <c r="D137" s="392" t="s">
        <v>1696</v>
      </c>
      <c r="E137" s="178"/>
      <c r="F137" s="178"/>
      <c r="G137" s="230"/>
      <c r="H137" s="230"/>
      <c r="I137" s="230"/>
      <c r="J137" s="231"/>
      <c r="K137" s="231"/>
      <c r="L137" s="155"/>
      <c r="M137" s="155"/>
      <c r="N137" s="394" t="s">
        <v>374</v>
      </c>
      <c r="O137" s="4227">
        <f>B136</f>
        <v>46</v>
      </c>
      <c r="P137" s="1331" t="str">
        <f>IF(S137&lt;&gt;"",S137,IF(NOT(SchDTW_Used),"",AB144))</f>
        <v/>
      </c>
      <c r="Q137" s="257"/>
      <c r="R137" s="621"/>
      <c r="S137" s="1332"/>
      <c r="T137" s="30"/>
      <c r="W137"/>
      <c r="X137" s="42"/>
      <c r="AM137" s="3445"/>
      <c r="AN137" s="2595"/>
      <c r="AO137" s="2595"/>
      <c r="AP137" s="2595"/>
      <c r="AQ137" s="2595"/>
      <c r="AR137" s="2595"/>
      <c r="AS137" s="2595"/>
    </row>
    <row r="138" spans="1:45" ht="12.75" customHeight="1">
      <c r="A138" s="282"/>
      <c r="B138" s="808">
        <v>47</v>
      </c>
      <c r="C138" s="155"/>
      <c r="D138" s="218" t="s">
        <v>3494</v>
      </c>
      <c r="E138" s="380"/>
      <c r="F138" s="380"/>
      <c r="G138" s="230"/>
      <c r="H138" s="230"/>
      <c r="I138" s="230"/>
      <c r="J138" s="231"/>
      <c r="K138" s="231"/>
      <c r="L138" s="155"/>
      <c r="M138" s="155"/>
      <c r="N138" s="443"/>
      <c r="O138" s="394"/>
      <c r="P138" s="395"/>
      <c r="Q138" s="257"/>
      <c r="R138" s="621"/>
      <c r="S138" s="47"/>
      <c r="T138" s="30"/>
      <c r="W138"/>
      <c r="X138" s="42"/>
      <c r="AM138" s="3445"/>
      <c r="AN138" s="2595"/>
      <c r="AO138" s="2595"/>
      <c r="AP138" s="2595"/>
      <c r="AQ138" s="2595"/>
      <c r="AR138" s="2595"/>
      <c r="AS138" s="2595"/>
    </row>
    <row r="139" spans="1:45" ht="12.75" customHeight="1">
      <c r="A139" s="282"/>
      <c r="B139" s="809"/>
      <c r="C139" s="155"/>
      <c r="D139" s="392" t="s">
        <v>4043</v>
      </c>
      <c r="E139" s="380"/>
      <c r="F139" s="380"/>
      <c r="G139" s="230"/>
      <c r="H139" s="230"/>
      <c r="I139" s="230"/>
      <c r="J139" s="231"/>
      <c r="K139" s="231"/>
      <c r="L139" s="155"/>
      <c r="M139" s="155"/>
      <c r="N139" s="443"/>
      <c r="O139" s="394"/>
      <c r="P139" s="395"/>
      <c r="Q139" s="257"/>
      <c r="R139" s="621"/>
      <c r="S139" s="47"/>
      <c r="T139" s="30"/>
      <c r="W139"/>
      <c r="X139" s="42"/>
      <c r="AM139" s="3445"/>
      <c r="AN139" s="2595"/>
      <c r="AO139" s="2595"/>
      <c r="AP139" s="2595"/>
      <c r="AQ139" s="2595"/>
      <c r="AR139" s="2595"/>
      <c r="AS139" s="2595"/>
    </row>
    <row r="140" spans="1:45" ht="12.75" customHeight="1" thickBot="1">
      <c r="A140" s="282"/>
      <c r="B140" s="809"/>
      <c r="C140" s="155"/>
      <c r="D140" s="392" t="s">
        <v>5414</v>
      </c>
      <c r="E140" s="380"/>
      <c r="F140" s="380"/>
      <c r="G140" s="230"/>
      <c r="H140" s="230"/>
      <c r="I140" s="230"/>
      <c r="J140" s="231"/>
      <c r="K140" s="231"/>
      <c r="L140" s="155"/>
      <c r="M140" s="155"/>
      <c r="N140" s="443"/>
      <c r="O140" s="394"/>
      <c r="P140" s="395"/>
      <c r="Q140" s="257"/>
      <c r="R140" s="621"/>
      <c r="S140" s="47"/>
      <c r="T140" s="30"/>
      <c r="W140"/>
      <c r="X140" s="263" t="s">
        <v>563</v>
      </c>
      <c r="Y140" s="270" t="s">
        <v>69</v>
      </c>
      <c r="Z140" s="270" t="s">
        <v>2552</v>
      </c>
      <c r="AA140" s="270" t="s">
        <v>458</v>
      </c>
      <c r="AB140" s="270" t="s">
        <v>2000</v>
      </c>
      <c r="AM140" s="3445"/>
      <c r="AN140" s="2595"/>
      <c r="AO140" s="2595"/>
      <c r="AP140" s="2595"/>
      <c r="AQ140" s="2595"/>
      <c r="AR140" s="2595"/>
      <c r="AS140" s="2595"/>
    </row>
    <row r="141" spans="1:45" ht="12" customHeight="1" thickTop="1" thickBot="1">
      <c r="A141" s="282"/>
      <c r="B141" s="233"/>
      <c r="C141" s="155"/>
      <c r="D141" s="392" t="s">
        <v>3495</v>
      </c>
      <c r="E141" s="178"/>
      <c r="F141" s="178"/>
      <c r="G141" s="230"/>
      <c r="H141" s="230"/>
      <c r="I141" s="230"/>
      <c r="J141" s="231"/>
      <c r="K141" s="231"/>
      <c r="L141" s="155"/>
      <c r="M141" s="155"/>
      <c r="N141" s="1333" t="s">
        <v>3894</v>
      </c>
      <c r="O141" s="4227">
        <f>B138</f>
        <v>47</v>
      </c>
      <c r="P141" s="1331" t="str">
        <f>IF(S141&lt;&gt;"",S141,IF(NOT(SchDTW_Used),"",MIN(P135,P137)))</f>
        <v/>
      </c>
      <c r="Q141" s="257"/>
      <c r="R141" s="621"/>
      <c r="S141" s="1332"/>
      <c r="T141" s="30"/>
      <c r="W141"/>
      <c r="X141" s="3352" t="str">
        <f>SchDTW_Line1</f>
        <v/>
      </c>
      <c r="Y141" s="3346" t="e">
        <f>LOOKUP(X141,'Tax Table'!$B$2:$B$2063,'Tax Table'!$D$2:$D$2063)</f>
        <v>#N/A</v>
      </c>
      <c r="Z141" s="3346" t="e">
        <f>LOOKUP(X141,'Tax Table'!$B$2:$B$2063,'Tax Table'!$E$2:$E$2063)</f>
        <v>#N/A</v>
      </c>
      <c r="AA141" s="3346" t="e">
        <f>LOOKUP(X141,'Tax Table'!$B$2:$B$2063,'Tax Table'!$F$2:$F$2063)</f>
        <v>#N/A</v>
      </c>
      <c r="AB141" s="3347" t="e">
        <f>LOOKUP(X141,'Tax Table'!$B$2:$B$2063,'Tax Table'!$G$2:$G$2063)</f>
        <v>#N/A</v>
      </c>
      <c r="AM141" s="3445"/>
      <c r="AN141" s="2595"/>
      <c r="AO141" s="2595"/>
      <c r="AP141" s="2595"/>
      <c r="AQ141" s="2595"/>
      <c r="AR141" s="2595"/>
      <c r="AS141" s="2595"/>
    </row>
    <row r="142" spans="1:45" ht="8.25" customHeight="1" thickBot="1">
      <c r="A142" s="282"/>
      <c r="B142" s="233"/>
      <c r="C142" s="155"/>
      <c r="D142" s="1664"/>
      <c r="E142" s="4228"/>
      <c r="F142" s="4228"/>
      <c r="G142" s="331"/>
      <c r="H142" s="331"/>
      <c r="I142" s="331"/>
      <c r="J142" s="4229"/>
      <c r="K142" s="4229"/>
      <c r="L142" s="520"/>
      <c r="M142" s="520"/>
      <c r="N142" s="4230"/>
      <c r="O142" s="1333"/>
      <c r="P142" s="1333"/>
      <c r="Q142" s="257"/>
      <c r="R142" s="621"/>
      <c r="S142" s="47"/>
      <c r="T142" s="30"/>
      <c r="W142"/>
      <c r="X142" s="3341"/>
      <c r="Y142" s="3348" t="e">
        <f>IF(X141&lt;SectA_a3,"---",IF(X141&lt;=SectA_a4,ROUND((X141*(SectA_b4/100)-SectA_d4),0),IF(X141&lt;=SectA_a5,ROUND((X141*(SectA_b5/100)-SectA_d5),0),IF(X141&lt;=SectA_a6,ROUND((X141*(SectA_b6/100)-SectA_d6),0),ROUND((X141*(SectA_b7/100)-SectA_d7),0)))))</f>
        <v>#VALUE!</v>
      </c>
      <c r="Z142" s="3348" t="e">
        <f>IF(X141&lt;SectB_a2,"---",IF(X141&lt;=SectB_a3,ROUND((X141*(SectB_b3/100)-SectB_d3),0),IF(X141&lt;=SectB_a4,ROUND((X141*(SectB_b4/100)-SectB_d4),0),IF(X141&lt;=SectB_a5,ROUND((X141*(SectB_b5/100)-SectB_d5),0),IF(X141&lt;=SectB_a6,ROUND((X141*(SectB_b6/100)-SectB_d6),0),ROUND((X141*(SectB_b7/100)-SectB_d7),0))))))</f>
        <v>#VALUE!</v>
      </c>
      <c r="AA142" s="3348" t="e">
        <f>IF(X141&lt;SectC_a2,"---",IF(X141&lt;=SectC_a3,ROUND((X141*(SectC_b3/100)-SectC_d3),0),IF(X141&lt;=SectC_a4,ROUND((X141*(SectC_b4/100)-SectC_d4),0),IF(X141&lt;=SectC_a5,ROUND((X141*(SectC_b5/100)-SectC_d5),0),ROUND((X141*(SectC_b6/100)-SectC_d6),0)))))</f>
        <v>#VALUE!</v>
      </c>
      <c r="AB142" s="3349" t="e">
        <f>IF(X141&lt;SectD_a2,"---",IF(X141&lt;=SectD_a3,ROUND((X141*(SectD_b3/100)-SectD_d3),0),IF(X141&lt;=SectD_a4,ROUND((X141*(SectD_b4/100)-SectD_d4),0),IF(X141&lt;=SectD_a5,ROUND((X141*(SectD_b5/100)-SectD_d5),0),IF(X141&lt;=SectD_a6,ROUND((X141*(SectD_b6/100)-SectD_d6),0),ROUND((X141*(SectD_b7/100)-SectD_d7),0))))))</f>
        <v>#VALUE!</v>
      </c>
      <c r="AM142" s="3445"/>
      <c r="AN142" s="2595"/>
      <c r="AO142" s="2595"/>
      <c r="AP142" s="2595"/>
      <c r="AQ142" s="2595"/>
      <c r="AR142" s="2595"/>
      <c r="AS142" s="2595"/>
    </row>
    <row r="143" spans="1:45" ht="16.5" thickBot="1">
      <c r="A143" s="282"/>
      <c r="B143" s="233"/>
      <c r="C143" s="155"/>
      <c r="D143" s="392" t="s">
        <v>553</v>
      </c>
      <c r="E143" s="178"/>
      <c r="F143" s="178"/>
      <c r="G143" s="230"/>
      <c r="H143" s="230"/>
      <c r="I143" s="230"/>
      <c r="J143" s="231"/>
      <c r="K143" s="231"/>
      <c r="L143" s="155"/>
      <c r="M143" s="155"/>
      <c r="N143" s="443"/>
      <c r="O143" s="394"/>
      <c r="P143" s="395"/>
      <c r="Q143" s="257"/>
      <c r="R143" s="621"/>
      <c r="S143" s="47"/>
      <c r="T143" s="30"/>
      <c r="W143"/>
      <c r="X143" s="3342" t="str">
        <f>IF(File_Single&lt;&gt;"",Y141,IF(File_Marr_Joint&lt;&gt;"",Z141,IF(File_Marr_Sep&lt;&gt;"", AA141,IF(File_Head&lt;&gt;"",AB141,IF(File_Qual_Widow&lt;&gt;"",Z141,"Filing status?")))))</f>
        <v>Filing status?</v>
      </c>
      <c r="Y143" s="2087" t="str">
        <f>"&lt;100k"</f>
        <v>&lt;100k</v>
      </c>
      <c r="Z143" s="2087"/>
      <c r="AA143" s="2087"/>
      <c r="AB143" s="3345"/>
      <c r="AM143" s="3445"/>
      <c r="AN143" s="2595"/>
      <c r="AO143" s="2595"/>
      <c r="AP143" s="2595"/>
      <c r="AQ143" s="2595"/>
      <c r="AR143" s="2595"/>
      <c r="AS143" s="2595"/>
    </row>
    <row r="144" spans="1:45" ht="14.25" customHeight="1" thickBot="1">
      <c r="A144" s="282"/>
      <c r="B144" s="233"/>
      <c r="C144" s="155"/>
      <c r="D144" s="392" t="s">
        <v>3479</v>
      </c>
      <c r="E144" s="178"/>
      <c r="F144" s="178"/>
      <c r="G144" s="230"/>
      <c r="H144" s="230"/>
      <c r="I144" s="230"/>
      <c r="J144" s="231"/>
      <c r="K144" s="231"/>
      <c r="L144" s="155"/>
      <c r="M144" s="155"/>
      <c r="N144" s="443"/>
      <c r="O144" s="394"/>
      <c r="P144" s="395"/>
      <c r="Q144" s="257"/>
      <c r="R144" s="621"/>
      <c r="S144" s="47"/>
      <c r="T144" s="268"/>
      <c r="W144"/>
      <c r="X144" s="3343" t="str">
        <f>IF(File_Single&lt;&gt;"",Y142,IF(OR(File_Marr_Joint&lt;&gt;"",File_Qual_Widow&lt;&gt;""),Z142,IF(File_Marr_Sep&lt;&gt;"", AA142,IF(File_Head&lt;&gt;"",AB142,"Filing status?"))))</f>
        <v>Filing status?</v>
      </c>
      <c r="Y144" s="3344" t="str">
        <f>"&gt;=100k"</f>
        <v>&gt;=100k</v>
      </c>
      <c r="Z144" s="3344"/>
      <c r="AA144" s="3350" t="s">
        <v>2553</v>
      </c>
      <c r="AB144" s="3351" t="str">
        <f>IF(X141&gt;100000,X144,X143)</f>
        <v>Filing status?</v>
      </c>
      <c r="AM144" s="3445"/>
      <c r="AN144" s="2595"/>
      <c r="AO144" s="2595"/>
      <c r="AP144" s="2595"/>
      <c r="AQ144" s="2595"/>
      <c r="AR144" s="2595"/>
      <c r="AS144" s="2595"/>
    </row>
    <row r="145" spans="1:45" ht="12" customHeight="1" thickTop="1">
      <c r="A145" s="23"/>
      <c r="B145" s="233"/>
      <c r="C145" s="155"/>
      <c r="D145" s="392" t="s">
        <v>4044</v>
      </c>
      <c r="E145" s="178"/>
      <c r="F145" s="178"/>
      <c r="G145" s="230"/>
      <c r="H145" s="230"/>
      <c r="I145" s="230"/>
      <c r="J145" s="231"/>
      <c r="K145" s="231"/>
      <c r="L145" s="155"/>
      <c r="M145" s="155"/>
      <c r="N145" s="443"/>
      <c r="O145" s="394"/>
      <c r="P145" s="395"/>
      <c r="Q145" s="2922"/>
      <c r="R145" s="621"/>
      <c r="S145" s="47"/>
      <c r="T145" s="268"/>
      <c r="AM145" s="3445"/>
      <c r="AN145" s="2595"/>
      <c r="AO145" s="2595"/>
      <c r="AP145" s="2595"/>
      <c r="AQ145" s="2595"/>
      <c r="AR145" s="2595"/>
      <c r="AS145" s="2595"/>
    </row>
    <row r="146" spans="1:45" ht="12" customHeight="1" thickBot="1">
      <c r="A146" s="282"/>
      <c r="B146" s="396"/>
      <c r="C146" s="399"/>
      <c r="D146" s="397"/>
      <c r="E146" s="397"/>
      <c r="F146" s="397"/>
      <c r="G146" s="398"/>
      <c r="H146" s="399"/>
      <c r="I146" s="399"/>
      <c r="J146" s="398"/>
      <c r="K146" s="398"/>
      <c r="L146" s="398"/>
      <c r="M146" s="398"/>
      <c r="N146" s="398"/>
      <c r="O146" s="398"/>
      <c r="P146" s="398"/>
      <c r="Q146" s="2923"/>
      <c r="R146" s="621"/>
      <c r="S146" s="47"/>
      <c r="T146" s="268"/>
      <c r="AM146" s="3445"/>
      <c r="AN146" s="2595"/>
      <c r="AO146" s="2595"/>
      <c r="AP146" s="2595"/>
      <c r="AQ146" s="2595"/>
      <c r="AR146" s="2595"/>
      <c r="AS146" s="2595"/>
    </row>
    <row r="147" spans="1:45" ht="12" customHeight="1" thickTop="1">
      <c r="B147" s="24"/>
      <c r="C147" s="24"/>
      <c r="D147" s="56"/>
      <c r="E147" s="56"/>
      <c r="F147" s="56"/>
      <c r="G147" s="23"/>
      <c r="H147" s="23"/>
      <c r="I147" s="23"/>
      <c r="J147" s="1122"/>
      <c r="K147" s="128"/>
      <c r="L147" s="128"/>
      <c r="M147" s="128"/>
      <c r="N147" s="128"/>
      <c r="O147" s="128"/>
      <c r="P147" s="128"/>
      <c r="Q147" s="128"/>
      <c r="R147" s="7"/>
      <c r="S147" s="268"/>
      <c r="T147" s="5"/>
      <c r="AM147" s="3445"/>
      <c r="AN147" s="2595"/>
      <c r="AO147" s="2595"/>
      <c r="AP147" s="2595"/>
      <c r="AQ147" s="2595"/>
      <c r="AR147" s="2595"/>
      <c r="AS147" s="2595"/>
    </row>
    <row r="148" spans="1:45">
      <c r="B148" s="1052"/>
      <c r="C148" s="1052"/>
      <c r="D148" s="1120"/>
      <c r="E148" s="1120"/>
      <c r="F148" s="1120"/>
      <c r="G148" s="282"/>
      <c r="H148" s="282"/>
      <c r="I148" s="282"/>
      <c r="J148" s="1121"/>
      <c r="K148" s="1121"/>
      <c r="L148" s="1121"/>
      <c r="M148" s="128"/>
      <c r="N148" s="1121"/>
      <c r="O148" s="128"/>
      <c r="P148" s="128"/>
      <c r="Q148" s="128"/>
      <c r="R148" s="128"/>
      <c r="S148" s="268"/>
      <c r="T148" s="5"/>
      <c r="AM148" s="3445"/>
      <c r="AN148" s="2595"/>
      <c r="AO148" s="2595"/>
      <c r="AP148" s="2595"/>
      <c r="AQ148" s="2595"/>
      <c r="AR148" s="2595"/>
      <c r="AS148" s="2595"/>
    </row>
    <row r="149" spans="1:45" ht="13.5" thickBot="1">
      <c r="B149" s="1"/>
      <c r="C149" s="1"/>
      <c r="D149" s="15"/>
      <c r="E149" s="15"/>
      <c r="F149" s="15"/>
      <c r="J149" s="4"/>
      <c r="K149" s="4"/>
      <c r="L149" s="4"/>
      <c r="M149" s="266"/>
      <c r="N149" s="4"/>
      <c r="O149" s="266"/>
      <c r="P149" s="266"/>
      <c r="Q149" s="266"/>
      <c r="R149" s="266"/>
      <c r="S149" s="5"/>
      <c r="T149" s="5"/>
      <c r="AM149" s="3445"/>
      <c r="AN149" s="2595"/>
      <c r="AO149" s="2595"/>
      <c r="AP149" s="2595"/>
      <c r="AQ149" s="2595"/>
      <c r="AR149" s="2595"/>
      <c r="AS149" s="2595"/>
    </row>
    <row r="150" spans="1:45" ht="14.25" thickTop="1" thickBot="1">
      <c r="D150" s="6262" t="s">
        <v>320</v>
      </c>
      <c r="E150" s="6944"/>
      <c r="F150" s="6944"/>
      <c r="G150" s="6944"/>
      <c r="H150" s="6945"/>
      <c r="I150" s="633"/>
      <c r="J150" s="4"/>
      <c r="K150" s="4"/>
      <c r="L150" s="266"/>
      <c r="M150" s="4"/>
      <c r="N150" s="266"/>
      <c r="O150" s="266"/>
      <c r="P150" s="4"/>
      <c r="Q150" s="266"/>
      <c r="R150" s="5"/>
      <c r="S150" s="5"/>
      <c r="T150" s="5"/>
    </row>
    <row r="151" spans="1:45" ht="14.25" thickTop="1" thickBot="1">
      <c r="D151" s="15"/>
      <c r="E151" s="15"/>
      <c r="H151" s="4"/>
      <c r="I151" s="4"/>
      <c r="J151" s="4"/>
      <c r="K151" s="4"/>
      <c r="L151" s="266"/>
      <c r="M151" s="4"/>
      <c r="N151" s="266"/>
      <c r="O151" s="266"/>
      <c r="P151" s="4"/>
      <c r="Q151" s="266"/>
      <c r="R151" s="5"/>
      <c r="S151" s="5"/>
    </row>
    <row r="152" spans="1:45" ht="14.25" thickTop="1" thickBot="1">
      <c r="D152" s="6262" t="s">
        <v>62</v>
      </c>
      <c r="E152" s="6944"/>
      <c r="F152" s="6944"/>
      <c r="G152" s="6944"/>
      <c r="H152" s="6945"/>
      <c r="I152" s="633"/>
      <c r="J152" s="4"/>
      <c r="K152" s="4"/>
      <c r="L152" s="266"/>
      <c r="M152" s="4"/>
      <c r="N152" s="266"/>
      <c r="O152" s="266"/>
      <c r="P152" s="4"/>
      <c r="Q152" s="266"/>
      <c r="R152" s="5"/>
    </row>
    <row r="153" spans="1:45" ht="13.5" thickTop="1"/>
  </sheetData>
  <sheetProtection algorithmName="SHA-512" hashValue="hY3AInno0cTaN71F57kFyLnwr6d/NPzzcwl7b0nFBnPM3mTnRUSQtNrqi19ub3R+x4OvZVe5xX73W9f59/nMTg==" saltValue="ryJtkWaQQzdMNNYdXxXgdQ==" spinCount="100000" sheet="1" objects="1" scenarios="1"/>
  <mergeCells count="10">
    <mergeCell ref="P9:P12"/>
    <mergeCell ref="S63:S65"/>
    <mergeCell ref="D150:H150"/>
    <mergeCell ref="D152:H152"/>
    <mergeCell ref="B66:C66"/>
    <mergeCell ref="B68:C68"/>
    <mergeCell ref="D78:H78"/>
    <mergeCell ref="D77:H77"/>
    <mergeCell ref="S66:S67"/>
    <mergeCell ref="S70:S71"/>
  </mergeCells>
  <phoneticPr fontId="14" type="noConversion"/>
  <conditionalFormatting sqref="B60:B61">
    <cfRule type="expression" dxfId="2096" priority="2532">
      <formula>AND($W$59,$W$60)</formula>
    </cfRule>
    <cfRule type="expression" dxfId="2095" priority="2531">
      <formula>NOT(AND($W$59,$W$60))</formula>
    </cfRule>
  </conditionalFormatting>
  <conditionalFormatting sqref="B66:C66">
    <cfRule type="expression" dxfId="2094" priority="67">
      <formula>OR($W$68,$W$69)</formula>
    </cfRule>
  </conditionalFormatting>
  <conditionalFormatting sqref="B68:C68">
    <cfRule type="expression" dxfId="2093" priority="68">
      <formula>$W$71</formula>
    </cfRule>
  </conditionalFormatting>
  <conditionalFormatting sqref="B3:M4">
    <cfRule type="expression" dxfId="2092" priority="311">
      <formula>IF(NoColor,1,0)</formula>
    </cfRule>
  </conditionalFormatting>
  <conditionalFormatting sqref="B6:M15">
    <cfRule type="expression" dxfId="2091" priority="1">
      <formula>IF(NoColor,1,0)</formula>
    </cfRule>
  </conditionalFormatting>
  <conditionalFormatting sqref="B20:M24">
    <cfRule type="expression" dxfId="2090" priority="213">
      <formula>IF(NoColor,1,0)</formula>
    </cfRule>
  </conditionalFormatting>
  <conditionalFormatting sqref="B27:N31">
    <cfRule type="expression" dxfId="2089" priority="91">
      <formula>IF(NoColor,1,0)</formula>
    </cfRule>
  </conditionalFormatting>
  <conditionalFormatting sqref="B25:P26">
    <cfRule type="expression" dxfId="2088" priority="92">
      <formula>IF(NoColor,1,0)</formula>
    </cfRule>
  </conditionalFormatting>
  <conditionalFormatting sqref="B32:P33">
    <cfRule type="expression" dxfId="2087" priority="88">
      <formula>IF(NoColor,1,0)</formula>
    </cfRule>
  </conditionalFormatting>
  <conditionalFormatting sqref="B16:Q19">
    <cfRule type="expression" dxfId="2086" priority="16">
      <formula>IF(NoColor,1,0)</formula>
    </cfRule>
  </conditionalFormatting>
  <conditionalFormatting sqref="B36:Q57">
    <cfRule type="expression" dxfId="2085" priority="78">
      <formula>IF(NoColor,1,0)</formula>
    </cfRule>
  </conditionalFormatting>
  <conditionalFormatting sqref="C60:C61">
    <cfRule type="expression" dxfId="2084" priority="384">
      <formula>IF($U62&gt;0,1,0)</formula>
    </cfRule>
  </conditionalFormatting>
  <conditionalFormatting sqref="C65">
    <cfRule type="expression" dxfId="2083" priority="385">
      <formula>IF(OR($U63&gt;0,$U65&gt;0,$U66&gt;0),TRUE,FALSE)</formula>
    </cfRule>
  </conditionalFormatting>
  <conditionalFormatting sqref="D91:D93">
    <cfRule type="expression" dxfId="2082" priority="15">
      <formula>IF(B91,0,1)</formula>
    </cfRule>
  </conditionalFormatting>
  <conditionalFormatting sqref="D98:D100">
    <cfRule type="expression" dxfId="2081" priority="7">
      <formula>IF(B98,0,1)</formula>
    </cfRule>
  </conditionalFormatting>
  <conditionalFormatting sqref="D109:D112">
    <cfRule type="expression" dxfId="2080" priority="318">
      <formula>IF(B109,0,1)</formula>
    </cfRule>
  </conditionalFormatting>
  <conditionalFormatting sqref="D144:D145">
    <cfRule type="expression" dxfId="2079" priority="317">
      <formula>IF(Form2555_Used,1,0)</formula>
    </cfRule>
  </conditionalFormatting>
  <conditionalFormatting sqref="E66">
    <cfRule type="expression" dxfId="2078" priority="383">
      <formula>IF(OR($U63&gt;0,$U65&gt;0),TRUE,FALSE)</formula>
    </cfRule>
  </conditionalFormatting>
  <conditionalFormatting sqref="E68">
    <cfRule type="expression" dxfId="2077" priority="390" stopIfTrue="1">
      <formula>IF($U66&gt;0,TRUE,FALSE)</formula>
    </cfRule>
  </conditionalFormatting>
  <conditionalFormatting sqref="J78:J79">
    <cfRule type="expression" dxfId="2076" priority="372">
      <formula>IF(NoColor,1,0)</formula>
    </cfRule>
  </conditionalFormatting>
  <conditionalFormatting sqref="J124:J125">
    <cfRule type="expression" dxfId="2075" priority="339">
      <formula>IF(NoColor,1,0)</formula>
    </cfRule>
  </conditionalFormatting>
  <conditionalFormatting sqref="L76">
    <cfRule type="expression" dxfId="2074" priority="374">
      <formula>IF(NoColor,1,0)</formula>
    </cfRule>
  </conditionalFormatting>
  <conditionalFormatting sqref="L80">
    <cfRule type="expression" dxfId="2073" priority="371">
      <formula>IF(NoColor,1,0)</formula>
    </cfRule>
  </conditionalFormatting>
  <conditionalFormatting sqref="L82:L83">
    <cfRule type="expression" dxfId="2072" priority="368">
      <formula>IF(NoColor,1,0)</formula>
    </cfRule>
  </conditionalFormatting>
  <conditionalFormatting sqref="L85">
    <cfRule type="expression" dxfId="2071" priority="366">
      <formula>IF(NoColor,1,0)</formula>
    </cfRule>
  </conditionalFormatting>
  <conditionalFormatting sqref="L87">
    <cfRule type="expression" dxfId="2070" priority="365">
      <formula>IF(NoColor,1,0)</formula>
    </cfRule>
  </conditionalFormatting>
  <conditionalFormatting sqref="L92">
    <cfRule type="expression" dxfId="2069" priority="361">
      <formula>IF(NoColor,1,0)</formula>
    </cfRule>
  </conditionalFormatting>
  <conditionalFormatting sqref="L95:L96">
    <cfRule type="expression" dxfId="2068" priority="358">
      <formula>IF(NoColor,1,0)</formula>
    </cfRule>
  </conditionalFormatting>
  <conditionalFormatting sqref="L99">
    <cfRule type="expression" dxfId="2067" priority="14">
      <formula>IF(NoColor,1,0)</formula>
    </cfRule>
  </conditionalFormatting>
  <conditionalFormatting sqref="L101">
    <cfRule type="expression" dxfId="2066" priority="4">
      <formula>IF(NoColor,1,0)</formula>
    </cfRule>
  </conditionalFormatting>
  <conditionalFormatting sqref="L105:L106">
    <cfRule type="expression" dxfId="2065" priority="354">
      <formula>IF(NoColor,1,0)</formula>
    </cfRule>
  </conditionalFormatting>
  <conditionalFormatting sqref="L111">
    <cfRule type="expression" dxfId="2064" priority="352">
      <formula>IF(NoColor,1,0)</formula>
    </cfRule>
  </conditionalFormatting>
  <conditionalFormatting sqref="L113:L115">
    <cfRule type="expression" dxfId="2063" priority="349">
      <formula>IF(NoColor,1,0)</formula>
    </cfRule>
  </conditionalFormatting>
  <conditionalFormatting sqref="L118">
    <cfRule type="expression" dxfId="2062" priority="346">
      <formula>IF(NoColor,1,0)</formula>
    </cfRule>
  </conditionalFormatting>
  <conditionalFormatting sqref="L123">
    <cfRule type="expression" dxfId="2061" priority="343">
      <formula>IF(NoColor,1,0)</formula>
    </cfRule>
  </conditionalFormatting>
  <conditionalFormatting sqref="L126">
    <cfRule type="expression" dxfId="2060" priority="338">
      <formula>IF(NoColor,1,0)</formula>
    </cfRule>
  </conditionalFormatting>
  <conditionalFormatting sqref="N18">
    <cfRule type="expression" dxfId="2059" priority="2602">
      <formula>IF(P18&lt;0,1,0)</formula>
    </cfRule>
    <cfRule type="expression" dxfId="2058" priority="2603" stopIfTrue="1">
      <formula>IF(#REF!&lt;&gt;"",1,0)</formula>
    </cfRule>
  </conditionalFormatting>
  <conditionalFormatting sqref="N81">
    <cfRule type="expression" dxfId="2057" priority="370">
      <formula>IF(NoColor,1,0)</formula>
    </cfRule>
  </conditionalFormatting>
  <conditionalFormatting sqref="N84">
    <cfRule type="expression" dxfId="2056" priority="367">
      <formula>IF(NoColor,1,0)</formula>
    </cfRule>
  </conditionalFormatting>
  <conditionalFormatting sqref="N86">
    <cfRule type="expression" dxfId="2055" priority="364">
      <formula>IF(NoColor,1,0)</formula>
    </cfRule>
  </conditionalFormatting>
  <conditionalFormatting sqref="N94">
    <cfRule type="expression" dxfId="2054" priority="360">
      <formula>IF(NoColor,1,0)</formula>
    </cfRule>
  </conditionalFormatting>
  <conditionalFormatting sqref="N102:N103">
    <cfRule type="expression" dxfId="2053" priority="356">
      <formula>IF(NoColor,1,0)</formula>
    </cfRule>
  </conditionalFormatting>
  <conditionalFormatting sqref="N107">
    <cfRule type="expression" dxfId="2052" priority="353">
      <formula>IF(NoColor,1,0)</formula>
    </cfRule>
  </conditionalFormatting>
  <conditionalFormatting sqref="N116">
    <cfRule type="expression" dxfId="2051" priority="348">
      <formula>IF(NoColor,1,0)</formula>
    </cfRule>
  </conditionalFormatting>
  <conditionalFormatting sqref="N120">
    <cfRule type="expression" dxfId="2050" priority="347">
      <formula>IF(NoColor,1,0)</formula>
    </cfRule>
  </conditionalFormatting>
  <conditionalFormatting sqref="N127">
    <cfRule type="expression" dxfId="2049" priority="337">
      <formula>IF(NoColor,1,0)</formula>
    </cfRule>
  </conditionalFormatting>
  <conditionalFormatting sqref="N130:N131">
    <cfRule type="expression" dxfId="2048" priority="334">
      <formula>IF(NoColor,1,0)</formula>
    </cfRule>
  </conditionalFormatting>
  <conditionalFormatting sqref="N4:O4 B5:O5 Q10:Q12 N13:Q15 N20:Q21 O27:Q27 B34:Q34">
    <cfRule type="expression" dxfId="2047" priority="377">
      <formula>IF(NoColor,1,0)</formula>
    </cfRule>
  </conditionalFormatting>
  <conditionalFormatting sqref="N6:O12">
    <cfRule type="expression" dxfId="2046" priority="114">
      <formula>IF(NoColor,1,0)</formula>
    </cfRule>
  </conditionalFormatting>
  <conditionalFormatting sqref="N22:P24">
    <cfRule type="expression" dxfId="2045" priority="93">
      <formula>IF(NoColor,1,0)</formula>
    </cfRule>
  </conditionalFormatting>
  <conditionalFormatting sqref="N3:Q3">
    <cfRule type="expression" dxfId="2044" priority="310">
      <formula>IF(NoColor,1,0)</formula>
    </cfRule>
  </conditionalFormatting>
  <conditionalFormatting sqref="O28:P31">
    <cfRule type="expression" dxfId="2043" priority="89">
      <formula>IF(NoColor,1,0)</formula>
    </cfRule>
  </conditionalFormatting>
  <conditionalFormatting sqref="P74">
    <cfRule type="expression" dxfId="2042" priority="375">
      <formula>IF(NoColor,1,0)</formula>
    </cfRule>
  </conditionalFormatting>
  <conditionalFormatting sqref="P88:P89">
    <cfRule type="expression" dxfId="2041" priority="362">
      <formula>IF(NoColor,1,0)</formula>
    </cfRule>
  </conditionalFormatting>
  <conditionalFormatting sqref="P117">
    <cfRule type="expression" dxfId="2040" priority="345">
      <formula>IF(NoColor,1,0)</formula>
    </cfRule>
  </conditionalFormatting>
  <conditionalFormatting sqref="P121">
    <cfRule type="expression" dxfId="2039" priority="344">
      <formula>IF(NoColor,1,0)</formula>
    </cfRule>
  </conditionalFormatting>
  <conditionalFormatting sqref="P128">
    <cfRule type="expression" dxfId="2038" priority="336">
      <formula>IF(NoColor,1,0)</formula>
    </cfRule>
  </conditionalFormatting>
  <conditionalFormatting sqref="P132">
    <cfRule type="expression" dxfId="2037" priority="333">
      <formula>IF(NoColor,1,0)</formula>
    </cfRule>
  </conditionalFormatting>
  <conditionalFormatting sqref="P134:P135">
    <cfRule type="expression" dxfId="2036" priority="331">
      <formula>IF(NoColor,1,0)</formula>
    </cfRule>
  </conditionalFormatting>
  <conditionalFormatting sqref="P137">
    <cfRule type="expression" dxfId="2035" priority="330">
      <formula>IF(NoColor,1,0)</formula>
    </cfRule>
  </conditionalFormatting>
  <conditionalFormatting sqref="P141">
    <cfRule type="expression" dxfId="2034" priority="329">
      <formula>IF(NoColor,1,0)</formula>
    </cfRule>
  </conditionalFormatting>
  <conditionalFormatting sqref="P4:Q9">
    <cfRule type="expression" dxfId="2033" priority="80">
      <formula>IF(NoColor,1,0)</formula>
    </cfRule>
  </conditionalFormatting>
  <conditionalFormatting sqref="Q22:Q26">
    <cfRule type="expression" dxfId="2032" priority="196">
      <formula>IF(NoColor,1,0)</formula>
    </cfRule>
  </conditionalFormatting>
  <conditionalFormatting sqref="Q28:Q33">
    <cfRule type="expression" dxfId="2031" priority="123">
      <formula>IF(NoColor,1,0)</formula>
    </cfRule>
  </conditionalFormatting>
  <conditionalFormatting sqref="S62">
    <cfRule type="cellIs" dxfId="2030" priority="395" stopIfTrue="1" operator="equal">
      <formula>"Yes"</formula>
    </cfRule>
  </conditionalFormatting>
  <conditionalFormatting sqref="U9">
    <cfRule type="expression" dxfId="2029" priority="76">
      <formula>IF(NOT(V3),FALSE,IF(OR(NOT(V4),AND(NOT(V7),NOT(V8))),TRUE,FALSE))</formula>
    </cfRule>
  </conditionalFormatting>
  <conditionalFormatting sqref="AA72:AA115">
    <cfRule type="expression" dxfId="2028" priority="5">
      <formula>IF(NoColor,1,0)</formula>
    </cfRule>
  </conditionalFormatting>
  <conditionalFormatting sqref="AA121:AA122">
    <cfRule type="expression" dxfId="2027" priority="23">
      <formula>IF(NoColor,1,0)</formula>
    </cfRule>
  </conditionalFormatting>
  <conditionalFormatting sqref="AA128">
    <cfRule type="expression" dxfId="2026" priority="22">
      <formula>IF(NoColor,1,0)</formula>
    </cfRule>
  </conditionalFormatting>
  <conditionalFormatting sqref="AF9">
    <cfRule type="expression" dxfId="2025" priority="74">
      <formula>NOT(V9)</formula>
    </cfRule>
    <cfRule type="expression" dxfId="2024" priority="75">
      <formula>V9</formula>
    </cfRule>
  </conditionalFormatting>
  <hyperlinks>
    <hyperlink ref="D150:H150" r:id="rId1" display="Download Form 1040 Schedule D" xr:uid="{00000000-0004-0000-1D00-000000000000}"/>
    <hyperlink ref="D152:H152" r:id="rId2" display="Download Form 1040 Schedule D Instructions" xr:uid="{00000000-0004-0000-1D00-000001000000}"/>
  </hyperlinks>
  <printOptions horizontalCentered="1"/>
  <pageMargins left="0.44" right="0.49" top="0.2" bottom="0.2" header="0" footer="0"/>
  <pageSetup scale="77" fitToHeight="0" orientation="portrait" r:id="rId3"/>
  <headerFooter alignWithMargins="0"/>
  <rowBreaks count="2" manualBreakCount="2">
    <brk id="34" max="16383" man="1"/>
    <brk id="57" min="1" max="16" man="1"/>
  </rowBreaks>
  <drawing r:id="rId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Q256"/>
  <sheetViews>
    <sheetView zoomScale="90" zoomScaleNormal="90" zoomScaleSheetLayoutView="100" workbookViewId="0">
      <selection activeCell="BJ24" sqref="BJ24"/>
    </sheetView>
  </sheetViews>
  <sheetFormatPr defaultColWidth="3.42578125" defaultRowHeight="12.75"/>
  <cols>
    <col min="1" max="1" width="3.42578125" style="42"/>
    <col min="2" max="2" width="3.85546875" style="42" customWidth="1"/>
    <col min="3" max="4" width="3.42578125" style="42"/>
    <col min="5" max="5" width="2.5703125" style="42" customWidth="1"/>
    <col min="6" max="6" width="4.28515625" style="42" customWidth="1"/>
    <col min="7" max="7" width="3.42578125" style="42"/>
    <col min="8" max="10" width="3.7109375" style="42" customWidth="1"/>
    <col min="11" max="12" width="3.42578125" style="42"/>
    <col min="13" max="14" width="3" style="42" customWidth="1"/>
    <col min="15" max="18" width="2.7109375" style="42" customWidth="1"/>
    <col min="19" max="25" width="3.28515625" style="42" customWidth="1"/>
    <col min="26" max="29" width="2.7109375" style="42" customWidth="1"/>
    <col min="30" max="31" width="3.42578125" style="42"/>
    <col min="32" max="33" width="3.7109375" style="42" customWidth="1"/>
    <col min="34" max="34" width="3.5703125" style="42" customWidth="1"/>
    <col min="35" max="43" width="3.42578125" style="42"/>
    <col min="44" max="46" width="10.28515625" style="42" customWidth="1"/>
    <col min="47" max="47" width="3.85546875" style="42" customWidth="1"/>
    <col min="48" max="55" width="10.28515625" style="42" hidden="1" customWidth="1"/>
    <col min="56" max="56" width="10.140625" style="42" hidden="1" customWidth="1"/>
    <col min="57" max="57" width="10.28515625" style="42" hidden="1" customWidth="1"/>
    <col min="58" max="58" width="3.42578125" style="42"/>
    <col min="59" max="59" width="10.7109375" style="3403" customWidth="1"/>
    <col min="60" max="69" width="10.7109375" style="3402" customWidth="1"/>
    <col min="70" max="16384" width="3.42578125" style="42"/>
  </cols>
  <sheetData>
    <row r="1" spans="1:69" ht="21.75" customHeight="1">
      <c r="A1" s="2757"/>
      <c r="B1" s="2757"/>
      <c r="C1" s="3874" t="s">
        <v>3105</v>
      </c>
      <c r="D1" s="2757"/>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I1" s="2757"/>
      <c r="AJ1" s="2757"/>
      <c r="AK1" s="2757"/>
      <c r="AL1" s="2757"/>
      <c r="AM1" s="2757"/>
      <c r="AN1" s="2757"/>
      <c r="AO1" s="2757"/>
      <c r="AP1" s="2757"/>
      <c r="BG1" s="3012" t="s">
        <v>2033</v>
      </c>
      <c r="BH1" s="2595"/>
      <c r="BI1" s="2595"/>
      <c r="BJ1" s="2595"/>
      <c r="BK1" s="2595"/>
      <c r="BL1" s="2595"/>
      <c r="BM1" s="2595"/>
      <c r="BN1" s="2595"/>
      <c r="BO1" s="2595"/>
      <c r="BP1" s="2595"/>
    </row>
    <row r="2" spans="1:69" ht="18" customHeight="1">
      <c r="A2" s="2757"/>
      <c r="B2" s="7441" t="s">
        <v>3496</v>
      </c>
      <c r="C2" s="7442"/>
      <c r="D2" s="7442"/>
      <c r="E2" s="7442"/>
      <c r="F2" s="7442"/>
      <c r="G2" s="7443"/>
      <c r="H2" s="3062"/>
      <c r="I2" s="1179"/>
      <c r="J2" s="1179"/>
      <c r="K2" s="1179"/>
      <c r="L2" s="1179"/>
      <c r="M2" s="3064"/>
      <c r="N2" s="1179"/>
      <c r="O2" s="1179"/>
      <c r="P2" s="1179"/>
      <c r="Q2" s="1179"/>
      <c r="R2" s="1179"/>
      <c r="S2" s="1179"/>
      <c r="T2" s="1179"/>
      <c r="U2" s="1179"/>
      <c r="V2" s="1179"/>
      <c r="W2" s="1179"/>
      <c r="X2" s="1179"/>
      <c r="Y2" s="1179"/>
      <c r="Z2" s="1179"/>
      <c r="AA2" s="1179"/>
      <c r="AB2" s="1179"/>
      <c r="AC2" s="1179"/>
      <c r="AD2" s="1179"/>
      <c r="AE2" s="1179"/>
      <c r="AF2" s="1179"/>
      <c r="AG2" s="1179"/>
      <c r="AH2" s="1179"/>
      <c r="AI2" s="7413" t="s">
        <v>152</v>
      </c>
      <c r="AJ2" s="7414"/>
      <c r="AK2" s="7414"/>
      <c r="AL2" s="7414"/>
      <c r="AM2" s="7414"/>
      <c r="AN2" s="7414"/>
      <c r="AO2" s="7414"/>
      <c r="AP2" s="2757"/>
      <c r="BG2" s="3217" t="s">
        <v>2763</v>
      </c>
      <c r="BH2" s="2595"/>
      <c r="BI2" s="2595"/>
      <c r="BJ2" s="2595"/>
      <c r="BK2" s="2595"/>
      <c r="BL2" s="2595"/>
      <c r="BM2" s="2595"/>
      <c r="BN2" s="2595"/>
      <c r="BO2" s="2595"/>
      <c r="BP2" s="2595"/>
    </row>
    <row r="3" spans="1:69" ht="25.5" customHeight="1">
      <c r="A3" s="2757"/>
      <c r="B3" s="7415" t="s">
        <v>3973</v>
      </c>
      <c r="C3" s="7416"/>
      <c r="D3" s="7416"/>
      <c r="E3" s="7416"/>
      <c r="F3" s="7416"/>
      <c r="G3" s="7417"/>
      <c r="H3" s="4844" t="s">
        <v>663</v>
      </c>
      <c r="I3" s="3117"/>
      <c r="J3" s="3117"/>
      <c r="K3" s="3117"/>
      <c r="L3" s="3117"/>
      <c r="M3" s="3117"/>
      <c r="N3" s="3117"/>
      <c r="O3" s="3117"/>
      <c r="P3" s="3117"/>
      <c r="Q3" s="3117"/>
      <c r="R3" s="3117"/>
      <c r="S3" s="3117"/>
      <c r="T3" s="3117"/>
      <c r="U3" s="3117"/>
      <c r="V3" s="3117"/>
      <c r="W3" s="3117"/>
      <c r="X3" s="3117"/>
      <c r="Y3" s="3117"/>
      <c r="Z3" s="3117"/>
      <c r="AA3" s="3117"/>
      <c r="AB3" s="3117"/>
      <c r="AC3" s="3117"/>
      <c r="AD3" s="3117"/>
      <c r="AE3" s="3117"/>
      <c r="AF3" s="3117"/>
      <c r="AG3" s="3117"/>
      <c r="AH3" s="3118"/>
      <c r="AI3" s="7418">
        <f>TaxYear</f>
        <v>2021</v>
      </c>
      <c r="AJ3" s="7419"/>
      <c r="AK3" s="7419"/>
      <c r="AL3" s="7419"/>
      <c r="AM3" s="7419"/>
      <c r="AN3" s="7419"/>
      <c r="AO3" s="7419"/>
      <c r="AP3" s="2757"/>
      <c r="BG3" s="3013"/>
      <c r="BH3" s="2595"/>
      <c r="BI3" s="2595"/>
      <c r="BJ3" s="2595"/>
      <c r="BK3" s="2595"/>
      <c r="BL3" s="2595"/>
      <c r="BM3" s="2595"/>
      <c r="BN3" s="2595"/>
      <c r="BO3" s="2595"/>
      <c r="BP3" s="2595"/>
    </row>
    <row r="4" spans="1:69">
      <c r="A4" s="2757"/>
      <c r="B4" s="7422" t="s">
        <v>2334</v>
      </c>
      <c r="C4" s="6764"/>
      <c r="D4" s="6764"/>
      <c r="E4" s="6764"/>
      <c r="F4" s="6764"/>
      <c r="G4" s="7423"/>
      <c r="H4" s="3133" t="str">
        <f>"(From rental real estate, royalties, partnerships, S corporations, estates, trusts, REMICs, etc.)"</f>
        <v>(From rental real estate, royalties, partnerships, S corporations, estates, trusts, REMICs, etc.)</v>
      </c>
      <c r="I4" s="1811"/>
      <c r="J4" s="1811"/>
      <c r="K4" s="1811"/>
      <c r="L4" s="1811"/>
      <c r="M4" s="1811"/>
      <c r="N4" s="1811"/>
      <c r="O4" s="1811"/>
      <c r="P4" s="1811"/>
      <c r="Q4" s="1811"/>
      <c r="R4" s="1811"/>
      <c r="S4" s="1811"/>
      <c r="T4" s="3116"/>
      <c r="U4" s="1811"/>
      <c r="V4" s="1811"/>
      <c r="W4" s="1811"/>
      <c r="X4" s="1811"/>
      <c r="Y4" s="1811"/>
      <c r="Z4" s="1811"/>
      <c r="AA4" s="1811"/>
      <c r="AB4" s="1811"/>
      <c r="AC4" s="1811"/>
      <c r="AD4" s="1811"/>
      <c r="AE4" s="1811"/>
      <c r="AF4" s="1811"/>
      <c r="AG4" s="1811"/>
      <c r="AH4" s="1811"/>
      <c r="AI4" s="7420"/>
      <c r="AJ4" s="7421"/>
      <c r="AK4" s="7421"/>
      <c r="AL4" s="7421"/>
      <c r="AM4" s="7421"/>
      <c r="AN4" s="7421"/>
      <c r="AO4" s="7421"/>
      <c r="AP4" s="2757"/>
      <c r="BG4" s="3013"/>
      <c r="BH4" s="2595"/>
      <c r="BI4" s="2595"/>
      <c r="BJ4" s="2595"/>
      <c r="BK4" s="2595"/>
      <c r="BL4" s="2595"/>
      <c r="BM4" s="2595"/>
      <c r="BN4" s="2595"/>
      <c r="BO4" s="2595"/>
      <c r="BP4" s="2595"/>
    </row>
    <row r="5" spans="1:69">
      <c r="A5" s="2757"/>
      <c r="B5" s="7422"/>
      <c r="C5" s="6764"/>
      <c r="D5" s="6764"/>
      <c r="E5" s="6764"/>
      <c r="F5" s="6764"/>
      <c r="G5" s="7423"/>
      <c r="H5" s="1278"/>
      <c r="I5" s="1179"/>
      <c r="J5" s="1179"/>
      <c r="K5" s="1179"/>
      <c r="L5" s="1179"/>
      <c r="M5" s="1179"/>
      <c r="N5" s="1179"/>
      <c r="O5" s="1179"/>
      <c r="P5" s="1179"/>
      <c r="Q5" s="1179"/>
      <c r="R5" s="1179"/>
      <c r="S5" s="1179"/>
      <c r="T5" s="1444" t="s">
        <v>3497</v>
      </c>
      <c r="U5" s="1179"/>
      <c r="V5" s="1179"/>
      <c r="W5" s="1179"/>
      <c r="X5" s="1179"/>
      <c r="Y5" s="1179"/>
      <c r="Z5" s="1179"/>
      <c r="AA5" s="1179"/>
      <c r="AB5" s="1179"/>
      <c r="AC5" s="1179"/>
      <c r="AD5" s="1179"/>
      <c r="AE5" s="1179"/>
      <c r="AF5" s="1179"/>
      <c r="AG5" s="1179"/>
      <c r="AH5" s="1179"/>
      <c r="AI5" s="3131"/>
      <c r="AJ5" s="7425" t="s">
        <v>2070</v>
      </c>
      <c r="AK5" s="7189"/>
      <c r="AL5" s="7189"/>
      <c r="AM5" s="7189"/>
      <c r="AN5" s="3063"/>
      <c r="AO5" s="3063"/>
      <c r="AP5" s="2757"/>
      <c r="BG5" s="3013"/>
      <c r="BH5" s="2595"/>
      <c r="BI5" s="2595"/>
      <c r="BJ5" s="2595"/>
      <c r="BK5" s="2595"/>
      <c r="BL5" s="2595"/>
      <c r="BM5" s="2595"/>
      <c r="BN5" s="2595"/>
      <c r="BO5" s="2595"/>
      <c r="BP5" s="2595"/>
    </row>
    <row r="6" spans="1:69" ht="15.75" customHeight="1" thickBot="1">
      <c r="A6" s="2757"/>
      <c r="B6" s="6765"/>
      <c r="C6" s="6765"/>
      <c r="D6" s="6765"/>
      <c r="E6" s="6765"/>
      <c r="F6" s="6765"/>
      <c r="G6" s="7424"/>
      <c r="H6" s="3065" t="s">
        <v>2753</v>
      </c>
      <c r="I6" s="3016"/>
      <c r="J6" s="3016"/>
      <c r="K6" s="3016"/>
      <c r="L6" s="3016"/>
      <c r="M6" s="3016"/>
      <c r="N6" s="3016"/>
      <c r="O6" s="3016"/>
      <c r="P6" s="3016"/>
      <c r="Q6" s="3016"/>
      <c r="R6" s="3016"/>
      <c r="S6" s="3016"/>
      <c r="T6" s="3016"/>
      <c r="U6" s="3016"/>
      <c r="V6" s="3016"/>
      <c r="W6" s="3016"/>
      <c r="X6" s="3016"/>
      <c r="Y6" s="3016"/>
      <c r="Z6" s="3016"/>
      <c r="AA6" s="3016"/>
      <c r="AB6" s="3016"/>
      <c r="AC6" s="3016"/>
      <c r="AD6" s="3016"/>
      <c r="AE6" s="3016"/>
      <c r="AF6" s="3016"/>
      <c r="AG6" s="3016"/>
      <c r="AH6" s="3016"/>
      <c r="AI6" s="3132"/>
      <c r="AJ6" s="7426"/>
      <c r="AK6" s="7426"/>
      <c r="AL6" s="7426"/>
      <c r="AM6" s="7426"/>
      <c r="AN6" s="7438">
        <v>13</v>
      </c>
      <c r="AO6" s="7439"/>
      <c r="AP6" s="2757"/>
      <c r="BG6" s="3013"/>
      <c r="BH6" s="2595"/>
      <c r="BI6" s="2595"/>
      <c r="BJ6" s="2595"/>
      <c r="BK6" s="2595"/>
      <c r="BL6" s="2595"/>
      <c r="BM6" s="2595"/>
      <c r="BN6" s="2595"/>
      <c r="BO6" s="2595"/>
      <c r="BP6" s="2595"/>
    </row>
    <row r="7" spans="1:69">
      <c r="A7" s="2757"/>
      <c r="B7" s="1276" t="s">
        <v>55</v>
      </c>
      <c r="C7" s="1179"/>
      <c r="D7" s="1179"/>
      <c r="E7" s="1179"/>
      <c r="F7" s="1179"/>
      <c r="G7" s="1179"/>
      <c r="H7" s="1179"/>
      <c r="I7" s="1179"/>
      <c r="J7" s="1179"/>
      <c r="K7" s="1179"/>
      <c r="L7" s="1179"/>
      <c r="M7" s="1179"/>
      <c r="N7" s="1179"/>
      <c r="O7" s="1179"/>
      <c r="P7" s="1179"/>
      <c r="Q7" s="1179"/>
      <c r="R7" s="1179"/>
      <c r="S7" s="1179"/>
      <c r="T7" s="1179"/>
      <c r="U7" s="1179"/>
      <c r="V7" s="1179"/>
      <c r="W7" s="1179"/>
      <c r="X7" s="1179"/>
      <c r="Y7" s="1179"/>
      <c r="Z7" s="1179"/>
      <c r="AA7" s="1179"/>
      <c r="AB7" s="1179"/>
      <c r="AC7" s="1179"/>
      <c r="AD7" s="1179"/>
      <c r="AE7" s="1179"/>
      <c r="AF7" s="1179"/>
      <c r="AG7" s="7429" t="s">
        <v>89</v>
      </c>
      <c r="AH7" s="7430"/>
      <c r="AI7" s="7430"/>
      <c r="AJ7" s="7430"/>
      <c r="AK7" s="7430"/>
      <c r="AL7" s="7430"/>
      <c r="AM7" s="7430"/>
      <c r="AN7" s="7430"/>
      <c r="AO7" s="7430"/>
      <c r="AP7" s="2757"/>
      <c r="BG7" s="3013"/>
      <c r="BH7" s="2595"/>
      <c r="BI7" s="2595"/>
      <c r="BJ7" s="2595"/>
      <c r="BK7" s="2595"/>
      <c r="BL7" s="2595"/>
      <c r="BM7" s="2595"/>
      <c r="BN7" s="2595"/>
      <c r="BO7" s="2595"/>
      <c r="BP7" s="2595"/>
    </row>
    <row r="8" spans="1:69" ht="9.75" customHeight="1">
      <c r="A8" s="2757"/>
      <c r="B8" s="6635" t="str">
        <f>Names</f>
        <v/>
      </c>
      <c r="C8" s="6636"/>
      <c r="D8" s="6636"/>
      <c r="E8" s="6636"/>
      <c r="F8" s="6636"/>
      <c r="G8" s="6636"/>
      <c r="H8" s="6636"/>
      <c r="I8" s="6636"/>
      <c r="J8" s="6636"/>
      <c r="K8" s="6636"/>
      <c r="L8" s="6636"/>
      <c r="M8" s="6636"/>
      <c r="N8" s="6636"/>
      <c r="O8" s="6636"/>
      <c r="P8" s="6636"/>
      <c r="Q8" s="6636"/>
      <c r="R8" s="6636"/>
      <c r="S8" s="6636"/>
      <c r="T8" s="6636"/>
      <c r="U8" s="6636"/>
      <c r="V8" s="6636"/>
      <c r="W8" s="6636"/>
      <c r="X8" s="6636"/>
      <c r="Y8" s="6636"/>
      <c r="Z8" s="6636"/>
      <c r="AA8" s="6636"/>
      <c r="AB8" s="6636"/>
      <c r="AC8" s="6636"/>
      <c r="AD8" s="6636"/>
      <c r="AE8" s="6636"/>
      <c r="AF8" s="6637"/>
      <c r="AG8" s="7431">
        <f>IF(NoSSN,"",SS_Yours)</f>
        <v>1010001</v>
      </c>
      <c r="AH8" s="7432"/>
      <c r="AI8" s="7432"/>
      <c r="AJ8" s="7432"/>
      <c r="AK8" s="7432"/>
      <c r="AL8" s="7432"/>
      <c r="AM8" s="7432"/>
      <c r="AN8" s="7432"/>
      <c r="AO8" s="7432"/>
      <c r="AP8" s="2757"/>
      <c r="BG8" s="3013"/>
      <c r="BH8" s="2595"/>
      <c r="BI8" s="2595"/>
      <c r="BJ8" s="2595"/>
      <c r="BK8" s="2595"/>
      <c r="BL8" s="2595"/>
      <c r="BM8" s="2595"/>
      <c r="BN8" s="2595"/>
      <c r="BO8" s="2595"/>
      <c r="BP8" s="2595"/>
    </row>
    <row r="9" spans="1:69" ht="9.75" customHeight="1">
      <c r="A9" s="2757"/>
      <c r="B9" s="6290"/>
      <c r="C9" s="6290"/>
      <c r="D9" s="6290"/>
      <c r="E9" s="6290"/>
      <c r="F9" s="6290"/>
      <c r="G9" s="6290"/>
      <c r="H9" s="6290"/>
      <c r="I9" s="6290"/>
      <c r="J9" s="6290"/>
      <c r="K9" s="6290"/>
      <c r="L9" s="6290"/>
      <c r="M9" s="6290"/>
      <c r="N9" s="6290"/>
      <c r="O9" s="6290"/>
      <c r="P9" s="6290"/>
      <c r="Q9" s="6290"/>
      <c r="R9" s="6290"/>
      <c r="S9" s="6290"/>
      <c r="T9" s="6290"/>
      <c r="U9" s="6290"/>
      <c r="V9" s="6290"/>
      <c r="W9" s="6290"/>
      <c r="X9" s="6290"/>
      <c r="Y9" s="6290"/>
      <c r="Z9" s="6290"/>
      <c r="AA9" s="6290"/>
      <c r="AB9" s="6290"/>
      <c r="AC9" s="6290"/>
      <c r="AD9" s="6290"/>
      <c r="AE9" s="6290"/>
      <c r="AF9" s="6638"/>
      <c r="AG9" s="7433"/>
      <c r="AH9" s="7434"/>
      <c r="AI9" s="7434"/>
      <c r="AJ9" s="7434"/>
      <c r="AK9" s="7434"/>
      <c r="AL9" s="7434"/>
      <c r="AM9" s="7434"/>
      <c r="AN9" s="7434"/>
      <c r="AO9" s="7434"/>
      <c r="AP9" s="2757"/>
      <c r="BG9" s="3013"/>
      <c r="BH9" s="2595"/>
      <c r="BI9" s="2595"/>
      <c r="BJ9" s="2595"/>
      <c r="BK9" s="2595"/>
      <c r="BL9" s="2595"/>
      <c r="BM9" s="2595"/>
      <c r="BN9" s="2595"/>
      <c r="BO9" s="2595"/>
      <c r="BP9" s="2595"/>
    </row>
    <row r="10" spans="1:69" s="2689" customFormat="1" ht="17.25" customHeight="1">
      <c r="A10" s="2758"/>
      <c r="B10" s="7220" t="s">
        <v>51</v>
      </c>
      <c r="C10" s="7220"/>
      <c r="D10" s="7221"/>
      <c r="E10" s="1396"/>
      <c r="F10" s="3071" t="s">
        <v>664</v>
      </c>
      <c r="G10" s="1396"/>
      <c r="H10" s="1396"/>
      <c r="I10" s="1396"/>
      <c r="J10" s="1396"/>
      <c r="K10" s="1396"/>
      <c r="L10" s="1396"/>
      <c r="M10" s="1396"/>
      <c r="N10" s="1396"/>
      <c r="O10" s="1396"/>
      <c r="P10" s="1396"/>
      <c r="Q10" s="1396"/>
      <c r="R10" s="1396"/>
      <c r="S10" s="1396"/>
      <c r="T10" s="1396"/>
      <c r="U10" s="1396"/>
      <c r="V10" s="1396"/>
      <c r="W10" s="1396"/>
      <c r="X10" s="3072" t="s">
        <v>2335</v>
      </c>
      <c r="Y10" s="1396"/>
      <c r="Z10" s="1396"/>
      <c r="AA10" s="1396"/>
      <c r="AB10" s="1396"/>
      <c r="AC10" s="1396"/>
      <c r="AD10" s="1396"/>
      <c r="AE10" s="1396"/>
      <c r="AF10" s="1396"/>
      <c r="AG10" s="1396"/>
      <c r="AH10" s="1396"/>
      <c r="AI10" s="1396"/>
      <c r="AJ10" s="1396"/>
      <c r="AK10" s="1396"/>
      <c r="AL10" s="1396"/>
      <c r="AM10" s="1396"/>
      <c r="AN10" s="1396"/>
      <c r="AO10" s="1396"/>
      <c r="AP10" s="2757"/>
      <c r="BG10" s="3013"/>
      <c r="BH10" s="2595"/>
      <c r="BI10" s="2595"/>
      <c r="BJ10" s="2595"/>
      <c r="BK10" s="2595"/>
      <c r="BL10" s="2595"/>
      <c r="BM10" s="2595"/>
      <c r="BN10" s="2595"/>
      <c r="BO10" s="2595"/>
      <c r="BP10" s="2595"/>
      <c r="BQ10" s="3402"/>
    </row>
    <row r="11" spans="1:69" ht="15.75">
      <c r="A11" s="2757"/>
      <c r="B11" s="3069"/>
      <c r="C11" s="3069"/>
      <c r="D11" s="3070"/>
      <c r="E11" s="1777"/>
      <c r="F11" s="2217" t="s">
        <v>4791</v>
      </c>
      <c r="G11" s="3068"/>
      <c r="H11" s="3068"/>
      <c r="I11" s="3068"/>
      <c r="J11" s="3068"/>
      <c r="K11" s="3068"/>
      <c r="L11" s="3068"/>
      <c r="M11" s="1777"/>
      <c r="N11" s="3068"/>
      <c r="O11" s="3068"/>
      <c r="P11" s="3068"/>
      <c r="Q11" s="3068"/>
      <c r="R11" s="3068"/>
      <c r="S11" s="3068"/>
      <c r="T11" s="3068"/>
      <c r="U11" s="3068"/>
      <c r="V11" s="3068"/>
      <c r="W11" s="3068"/>
      <c r="X11" s="3068"/>
      <c r="Y11" s="3068"/>
      <c r="Z11" s="3068"/>
      <c r="AA11" s="3068"/>
      <c r="AB11" s="3068"/>
      <c r="AC11" s="3068"/>
      <c r="AD11" s="1777"/>
      <c r="AE11" s="3068"/>
      <c r="AF11" s="3068"/>
      <c r="AG11" s="3068"/>
      <c r="AH11" s="3068"/>
      <c r="AI11" s="3068"/>
      <c r="AJ11" s="3068"/>
      <c r="AK11" s="3068"/>
      <c r="AL11" s="3068"/>
      <c r="AM11" s="3068"/>
      <c r="AN11" s="3068"/>
      <c r="AO11" s="3068"/>
      <c r="AP11" s="2757"/>
      <c r="BG11" s="3013"/>
      <c r="BH11" s="2595"/>
      <c r="BI11" s="2595"/>
      <c r="BJ11" s="2595"/>
      <c r="BK11" s="2595"/>
      <c r="BL11" s="2595"/>
      <c r="BM11" s="2595"/>
      <c r="BN11" s="2595"/>
      <c r="BO11" s="2595"/>
      <c r="BP11" s="2595"/>
    </row>
    <row r="12" spans="1:69" ht="15.75">
      <c r="A12" s="2757"/>
      <c r="B12" s="7393" t="s">
        <v>143</v>
      </c>
      <c r="C12" s="7408"/>
      <c r="D12" s="3073" t="str">
        <f>"Did you make any payments in "&amp;TaxYear&amp;" that would require you to file Form(s) 1099?  See instructions."</f>
        <v>Did you make any payments in 2021 that would require you to file Form(s) 1099?  See instructions.</v>
      </c>
      <c r="E12" s="2335"/>
      <c r="F12" s="2335"/>
      <c r="G12" s="2335"/>
      <c r="H12" s="2335"/>
      <c r="I12" s="2335"/>
      <c r="J12" s="2335"/>
      <c r="K12" s="2335"/>
      <c r="L12" s="2335"/>
      <c r="M12" s="2335"/>
      <c r="N12" s="2335"/>
      <c r="O12" s="2335"/>
      <c r="P12" s="2335"/>
      <c r="Q12" s="2335"/>
      <c r="R12" s="2335"/>
      <c r="S12" s="2335"/>
      <c r="T12" s="2335"/>
      <c r="U12" s="2335"/>
      <c r="V12" s="2335"/>
      <c r="W12" s="2335"/>
      <c r="X12" s="2335"/>
      <c r="Y12" s="2335"/>
      <c r="Z12" s="2335"/>
      <c r="AA12" s="2335"/>
      <c r="AB12" s="2335"/>
      <c r="AC12" s="2335"/>
      <c r="AD12" s="2335"/>
      <c r="AE12" s="2335"/>
      <c r="AF12" s="2335"/>
      <c r="AG12" s="2335"/>
      <c r="AH12" s="2335"/>
      <c r="AI12" s="2335"/>
      <c r="AJ12" s="1180"/>
      <c r="AK12" s="2786" t="s">
        <v>2336</v>
      </c>
      <c r="AL12" s="2335"/>
      <c r="AM12" s="1180"/>
      <c r="AN12" s="2786" t="s">
        <v>511</v>
      </c>
      <c r="AO12" s="2335"/>
      <c r="AP12" s="2757"/>
      <c r="BG12" s="3013"/>
      <c r="BH12" s="2595"/>
      <c r="BI12" s="2595"/>
      <c r="BJ12" s="2595"/>
      <c r="BK12" s="2595"/>
      <c r="BL12" s="2595"/>
      <c r="BM12" s="2595"/>
      <c r="BN12" s="2595"/>
      <c r="BO12" s="2595"/>
      <c r="BP12" s="2595"/>
    </row>
    <row r="13" spans="1:69" ht="15.75">
      <c r="A13" s="2757"/>
      <c r="B13" s="7409" t="s">
        <v>288</v>
      </c>
      <c r="C13" s="7410"/>
      <c r="D13" s="2803" t="s">
        <v>681</v>
      </c>
      <c r="E13" s="3068"/>
      <c r="F13" s="3068"/>
      <c r="G13" s="3068"/>
      <c r="H13" s="3068"/>
      <c r="I13" s="3068"/>
      <c r="J13" s="3068"/>
      <c r="K13" s="3068"/>
      <c r="L13" s="3068"/>
      <c r="M13" s="3068"/>
      <c r="N13" s="3068"/>
      <c r="O13" s="3068"/>
      <c r="P13" s="3068"/>
      <c r="Q13" s="3068"/>
      <c r="R13" s="3068"/>
      <c r="S13" s="3068"/>
      <c r="T13" s="3068"/>
      <c r="U13" s="3068"/>
      <c r="V13" s="3068"/>
      <c r="W13" s="3068"/>
      <c r="X13" s="3068"/>
      <c r="Y13" s="3068"/>
      <c r="Z13" s="3068"/>
      <c r="AA13" s="3068"/>
      <c r="AB13" s="3068"/>
      <c r="AC13" s="3068"/>
      <c r="AD13" s="3068"/>
      <c r="AE13" s="3068"/>
      <c r="AF13" s="3068"/>
      <c r="AG13" s="3068"/>
      <c r="AH13" s="3068"/>
      <c r="AI13" s="3068"/>
      <c r="AJ13" s="1180"/>
      <c r="AK13" s="1572" t="s">
        <v>2336</v>
      </c>
      <c r="AL13" s="3068"/>
      <c r="AM13" s="1180"/>
      <c r="AN13" s="1572" t="s">
        <v>511</v>
      </c>
      <c r="AO13" s="3068"/>
      <c r="AP13" s="2757"/>
      <c r="BG13" s="3013"/>
      <c r="BH13" s="2595"/>
      <c r="BI13" s="2595"/>
      <c r="BJ13" s="2595"/>
      <c r="BK13" s="2595"/>
      <c r="BL13" s="2595"/>
      <c r="BM13" s="2595"/>
      <c r="BN13" s="2595"/>
      <c r="BO13" s="2595"/>
      <c r="BP13" s="2595"/>
    </row>
    <row r="14" spans="1:69" ht="15.75">
      <c r="A14" s="2757"/>
      <c r="B14" s="7380" t="s">
        <v>12</v>
      </c>
      <c r="C14" s="7411"/>
      <c r="D14" s="3059" t="s">
        <v>746</v>
      </c>
      <c r="E14" s="3075"/>
      <c r="F14" s="3075"/>
      <c r="G14" s="3075"/>
      <c r="H14" s="3075"/>
      <c r="I14" s="3075"/>
      <c r="J14" s="3075"/>
      <c r="K14" s="3075"/>
      <c r="L14" s="3075"/>
      <c r="M14" s="3075"/>
      <c r="N14" s="3075"/>
      <c r="O14" s="3075"/>
      <c r="P14" s="3075"/>
      <c r="Q14" s="3075"/>
      <c r="R14" s="3075"/>
      <c r="S14" s="3075"/>
      <c r="T14" s="3075"/>
      <c r="U14" s="3075"/>
      <c r="V14" s="3075"/>
      <c r="W14" s="3075"/>
      <c r="X14" s="3075"/>
      <c r="Y14" s="3075"/>
      <c r="Z14" s="3075"/>
      <c r="AA14" s="3075"/>
      <c r="AB14" s="3075"/>
      <c r="AC14" s="3075"/>
      <c r="AD14" s="3075"/>
      <c r="AE14" s="3075"/>
      <c r="AF14" s="3075"/>
      <c r="AG14" s="3075"/>
      <c r="AH14" s="3075"/>
      <c r="AI14" s="3075"/>
      <c r="AJ14" s="3075"/>
      <c r="AK14" s="3075"/>
      <c r="AL14" s="3075"/>
      <c r="AM14" s="3075"/>
      <c r="AN14" s="3075"/>
      <c r="AO14" s="3075"/>
      <c r="AP14" s="2757"/>
      <c r="BG14" s="3013"/>
      <c r="BH14" s="2595"/>
      <c r="BI14" s="2595"/>
      <c r="BJ14" s="2595"/>
      <c r="BK14" s="2595"/>
      <c r="BL14" s="2595"/>
      <c r="BM14" s="2595"/>
      <c r="BN14" s="2595"/>
      <c r="BO14" s="2595"/>
      <c r="BP14" s="2595"/>
    </row>
    <row r="15" spans="1:69" ht="15.75">
      <c r="A15" s="2757"/>
      <c r="B15" s="7380" t="s">
        <v>143</v>
      </c>
      <c r="C15" s="7198"/>
      <c r="D15" s="7412"/>
      <c r="E15" s="6807"/>
      <c r="F15" s="6807"/>
      <c r="G15" s="6807"/>
      <c r="H15" s="6807"/>
      <c r="I15" s="6807"/>
      <c r="J15" s="6807"/>
      <c r="K15" s="6807"/>
      <c r="L15" s="6807"/>
      <c r="M15" s="6807"/>
      <c r="N15" s="6807"/>
      <c r="O15" s="6807"/>
      <c r="P15" s="6807"/>
      <c r="Q15" s="6807"/>
      <c r="R15" s="6807"/>
      <c r="S15" s="6807"/>
      <c r="T15" s="6807"/>
      <c r="U15" s="6807"/>
      <c r="V15" s="6807"/>
      <c r="W15" s="6807"/>
      <c r="X15" s="6807"/>
      <c r="Y15" s="6807"/>
      <c r="Z15" s="6807"/>
      <c r="AA15" s="6807"/>
      <c r="AB15" s="6807"/>
      <c r="AC15" s="6807"/>
      <c r="AD15" s="6807"/>
      <c r="AE15" s="6807"/>
      <c r="AF15" s="6807"/>
      <c r="AG15" s="6807"/>
      <c r="AH15" s="6807"/>
      <c r="AI15" s="6807"/>
      <c r="AJ15" s="6807"/>
      <c r="AK15" s="6807"/>
      <c r="AL15" s="6807"/>
      <c r="AM15" s="6807"/>
      <c r="AN15" s="6807"/>
      <c r="AO15" s="6807"/>
      <c r="AP15" s="2757"/>
      <c r="BG15" s="3013"/>
      <c r="BH15" s="2595"/>
      <c r="BI15" s="2595"/>
      <c r="BJ15" s="2595"/>
      <c r="BK15" s="2595"/>
      <c r="BL15" s="2595"/>
      <c r="BM15" s="2595"/>
      <c r="BN15" s="2595"/>
      <c r="BO15" s="2595"/>
      <c r="BP15" s="2595"/>
    </row>
    <row r="16" spans="1:69" ht="15.75">
      <c r="A16" s="2757"/>
      <c r="B16" s="7380" t="s">
        <v>288</v>
      </c>
      <c r="C16" s="7198"/>
      <c r="D16" s="7412"/>
      <c r="E16" s="6807"/>
      <c r="F16" s="6807"/>
      <c r="G16" s="6807"/>
      <c r="H16" s="6807"/>
      <c r="I16" s="6807"/>
      <c r="J16" s="6807"/>
      <c r="K16" s="6807"/>
      <c r="L16" s="6807"/>
      <c r="M16" s="6807"/>
      <c r="N16" s="6807"/>
      <c r="O16" s="6807"/>
      <c r="P16" s="6807"/>
      <c r="Q16" s="6807"/>
      <c r="R16" s="6807"/>
      <c r="S16" s="6807"/>
      <c r="T16" s="6807"/>
      <c r="U16" s="6807"/>
      <c r="V16" s="6807"/>
      <c r="W16" s="6807"/>
      <c r="X16" s="6807"/>
      <c r="Y16" s="6807"/>
      <c r="Z16" s="6807"/>
      <c r="AA16" s="6807"/>
      <c r="AB16" s="6807"/>
      <c r="AC16" s="6807"/>
      <c r="AD16" s="6807"/>
      <c r="AE16" s="6807"/>
      <c r="AF16" s="6807"/>
      <c r="AG16" s="6807"/>
      <c r="AH16" s="6807"/>
      <c r="AI16" s="6807"/>
      <c r="AJ16" s="6807"/>
      <c r="AK16" s="6807"/>
      <c r="AL16" s="6807"/>
      <c r="AM16" s="6807"/>
      <c r="AN16" s="6807"/>
      <c r="AO16" s="6807"/>
      <c r="AP16" s="2757"/>
      <c r="BG16" s="3013"/>
      <c r="BH16" s="2595"/>
      <c r="BI16" s="2595"/>
      <c r="BJ16" s="2595"/>
      <c r="BK16" s="2595"/>
      <c r="BL16" s="2595"/>
      <c r="BM16" s="2595"/>
      <c r="BN16" s="2595"/>
      <c r="BO16" s="2595"/>
      <c r="BP16" s="2595"/>
    </row>
    <row r="17" spans="1:68" ht="15.75">
      <c r="A17" s="2757"/>
      <c r="B17" s="7380" t="s">
        <v>144</v>
      </c>
      <c r="C17" s="7198"/>
      <c r="D17" s="7412"/>
      <c r="E17" s="6807"/>
      <c r="F17" s="6807"/>
      <c r="G17" s="6807"/>
      <c r="H17" s="6807"/>
      <c r="I17" s="6807"/>
      <c r="J17" s="6807"/>
      <c r="K17" s="6807"/>
      <c r="L17" s="6807"/>
      <c r="M17" s="6807"/>
      <c r="N17" s="6807"/>
      <c r="O17" s="6807"/>
      <c r="P17" s="6807"/>
      <c r="Q17" s="6807"/>
      <c r="R17" s="6807"/>
      <c r="S17" s="6807"/>
      <c r="T17" s="6807"/>
      <c r="U17" s="6807"/>
      <c r="V17" s="6807"/>
      <c r="W17" s="6807"/>
      <c r="X17" s="6807"/>
      <c r="Y17" s="6807"/>
      <c r="Z17" s="6807"/>
      <c r="AA17" s="6807"/>
      <c r="AB17" s="6807"/>
      <c r="AC17" s="6807"/>
      <c r="AD17" s="6807"/>
      <c r="AE17" s="6807"/>
      <c r="AF17" s="6807"/>
      <c r="AG17" s="6807"/>
      <c r="AH17" s="6807"/>
      <c r="AI17" s="6807"/>
      <c r="AJ17" s="6807"/>
      <c r="AK17" s="6807"/>
      <c r="AL17" s="6807"/>
      <c r="AM17" s="6807"/>
      <c r="AN17" s="6807"/>
      <c r="AO17" s="6807"/>
      <c r="AP17" s="2757"/>
      <c r="AX17" s="42">
        <v>1</v>
      </c>
      <c r="AY17" s="42" t="s">
        <v>1084</v>
      </c>
      <c r="BG17" s="3013"/>
      <c r="BH17" s="2595"/>
      <c r="BI17" s="2595"/>
      <c r="BJ17" s="2595"/>
      <c r="BK17" s="2595"/>
      <c r="BL17" s="2595"/>
      <c r="BM17" s="2595"/>
      <c r="BN17" s="2595"/>
      <c r="BO17" s="2595"/>
      <c r="BP17" s="2595"/>
    </row>
    <row r="18" spans="1:68" ht="15.75" customHeight="1">
      <c r="A18" s="2757"/>
      <c r="B18" s="7393" t="s">
        <v>15</v>
      </c>
      <c r="C18" s="7394"/>
      <c r="D18" s="7261" t="s">
        <v>4792</v>
      </c>
      <c r="E18" s="7395"/>
      <c r="F18" s="7395"/>
      <c r="G18" s="7395"/>
      <c r="H18" s="7396"/>
      <c r="I18" s="7363">
        <v>2</v>
      </c>
      <c r="J18" s="7400"/>
      <c r="K18" s="7401" t="s">
        <v>4045</v>
      </c>
      <c r="L18" s="7086"/>
      <c r="M18" s="7086"/>
      <c r="N18" s="7086"/>
      <c r="O18" s="7086"/>
      <c r="P18" s="7086"/>
      <c r="Q18" s="7086"/>
      <c r="R18" s="7086"/>
      <c r="S18" s="7086"/>
      <c r="T18" s="7086"/>
      <c r="U18" s="7086"/>
      <c r="V18" s="7086"/>
      <c r="W18" s="7086"/>
      <c r="X18" s="3066"/>
      <c r="Y18" s="3066"/>
      <c r="Z18" s="3066"/>
      <c r="AA18" s="7402" t="s">
        <v>4793</v>
      </c>
      <c r="AB18" s="7403"/>
      <c r="AC18" s="7403"/>
      <c r="AD18" s="7403"/>
      <c r="AE18" s="7404"/>
      <c r="AF18" s="7402" t="s">
        <v>4794</v>
      </c>
      <c r="AG18" s="7403"/>
      <c r="AH18" s="7403"/>
      <c r="AI18" s="7403"/>
      <c r="AJ18" s="7404"/>
      <c r="AK18" s="7402" t="s">
        <v>682</v>
      </c>
      <c r="AL18" s="7403"/>
      <c r="AM18" s="7403"/>
      <c r="AN18" s="7403"/>
      <c r="AO18" s="7403"/>
      <c r="AP18" s="2757"/>
      <c r="AX18" s="42">
        <v>2</v>
      </c>
      <c r="AY18" s="42" t="s">
        <v>1085</v>
      </c>
      <c r="BG18" s="3013"/>
      <c r="BH18" s="2595"/>
      <c r="BI18" s="2595"/>
      <c r="BJ18" s="2595"/>
      <c r="BK18" s="2595"/>
      <c r="BL18" s="2595"/>
      <c r="BM18" s="2595"/>
      <c r="BN18" s="2595"/>
      <c r="BO18" s="2595"/>
      <c r="BP18" s="2595"/>
    </row>
    <row r="19" spans="1:68" ht="14.25" customHeight="1">
      <c r="A19" s="2757"/>
      <c r="B19" s="3076"/>
      <c r="C19" s="3077"/>
      <c r="D19" s="7397"/>
      <c r="E19" s="7398"/>
      <c r="F19" s="7398"/>
      <c r="G19" s="7398"/>
      <c r="H19" s="7399"/>
      <c r="I19" s="3067"/>
      <c r="J19" s="2335"/>
      <c r="K19" s="6792"/>
      <c r="L19" s="6792"/>
      <c r="M19" s="6792"/>
      <c r="N19" s="6792"/>
      <c r="O19" s="6792"/>
      <c r="P19" s="6792"/>
      <c r="Q19" s="6792"/>
      <c r="R19" s="6792"/>
      <c r="S19" s="6792"/>
      <c r="T19" s="6792"/>
      <c r="U19" s="6792"/>
      <c r="V19" s="6792"/>
      <c r="W19" s="6792"/>
      <c r="X19" s="2335"/>
      <c r="Y19" s="2335"/>
      <c r="Z19" s="2335"/>
      <c r="AA19" s="7405"/>
      <c r="AB19" s="7406"/>
      <c r="AC19" s="7406"/>
      <c r="AD19" s="7406"/>
      <c r="AE19" s="7407"/>
      <c r="AF19" s="7405"/>
      <c r="AG19" s="7406"/>
      <c r="AH19" s="7406"/>
      <c r="AI19" s="7406"/>
      <c r="AJ19" s="7407"/>
      <c r="AK19" s="7405"/>
      <c r="AL19" s="7406"/>
      <c r="AM19" s="7406"/>
      <c r="AN19" s="7406"/>
      <c r="AO19" s="7406"/>
      <c r="AP19" s="2757"/>
      <c r="AV19" s="3142">
        <f>IF(LeapYear,366,365)</f>
        <v>365</v>
      </c>
      <c r="AW19" s="3143"/>
      <c r="AX19" s="42">
        <v>3</v>
      </c>
      <c r="AY19" s="42" t="s">
        <v>1346</v>
      </c>
      <c r="BE19" s="2845" t="s">
        <v>1345</v>
      </c>
      <c r="BG19" s="3013"/>
      <c r="BH19" s="2595"/>
      <c r="BI19" s="2595"/>
      <c r="BJ19" s="2595"/>
      <c r="BK19" s="2595"/>
      <c r="BL19" s="2595"/>
      <c r="BM19" s="2595"/>
      <c r="BN19" s="2595"/>
      <c r="BO19" s="2595"/>
      <c r="BP19" s="2595"/>
    </row>
    <row r="20" spans="1:68" ht="15.75">
      <c r="A20" s="2757"/>
      <c r="B20" s="7380" t="s">
        <v>143</v>
      </c>
      <c r="C20" s="7198"/>
      <c r="D20" s="7381"/>
      <c r="E20" s="7382"/>
      <c r="F20" s="7382"/>
      <c r="G20" s="7382"/>
      <c r="H20" s="7383"/>
      <c r="I20" s="1582"/>
      <c r="J20" s="1179"/>
      <c r="K20" s="6792"/>
      <c r="L20" s="6792"/>
      <c r="M20" s="6792"/>
      <c r="N20" s="6792"/>
      <c r="O20" s="6792"/>
      <c r="P20" s="6792"/>
      <c r="Q20" s="6792"/>
      <c r="R20" s="6792"/>
      <c r="S20" s="6792"/>
      <c r="T20" s="6792"/>
      <c r="U20" s="6792"/>
      <c r="V20" s="6792"/>
      <c r="W20" s="6792"/>
      <c r="X20" s="7384" t="s">
        <v>143</v>
      </c>
      <c r="Y20" s="7385"/>
      <c r="Z20" s="7386"/>
      <c r="AA20" s="6543"/>
      <c r="AB20" s="7313"/>
      <c r="AC20" s="7313"/>
      <c r="AD20" s="7313"/>
      <c r="AE20" s="7314"/>
      <c r="AF20" s="6543"/>
      <c r="AG20" s="7313"/>
      <c r="AH20" s="7313"/>
      <c r="AI20" s="7313"/>
      <c r="AJ20" s="7314"/>
      <c r="AK20" s="3078"/>
      <c r="AL20" s="3079"/>
      <c r="AM20" s="1180"/>
      <c r="AN20" s="3079"/>
      <c r="AO20" s="3079"/>
      <c r="AP20" s="2757"/>
      <c r="AR20" s="1286" t="b">
        <f>D20=8</f>
        <v>0</v>
      </c>
      <c r="AV20" s="3144" t="b">
        <f>AA20&gt;$AV$19</f>
        <v>0</v>
      </c>
      <c r="AW20" s="3145" t="b">
        <f>AF20&gt;$AV$19</f>
        <v>0</v>
      </c>
      <c r="AX20" s="42">
        <v>4</v>
      </c>
      <c r="AY20" s="42" t="s">
        <v>1086</v>
      </c>
      <c r="BE20" s="2846" t="b">
        <f>IF(AND(D20&lt;&gt;"",OR(D20&lt;1,D20&gt;8,ISERROR(V29))),TRUE,FALSE)</f>
        <v>0</v>
      </c>
      <c r="BG20" s="3013"/>
      <c r="BH20" s="2595"/>
      <c r="BI20" s="2595"/>
      <c r="BJ20" s="2595"/>
      <c r="BK20" s="2595"/>
      <c r="BL20" s="2595"/>
      <c r="BM20" s="2595"/>
      <c r="BN20" s="2595"/>
      <c r="BO20" s="2595"/>
      <c r="BP20" s="2595"/>
    </row>
    <row r="21" spans="1:68" ht="16.5" thickBot="1">
      <c r="A21" s="2757"/>
      <c r="B21" s="7380" t="s">
        <v>288</v>
      </c>
      <c r="C21" s="7198"/>
      <c r="D21" s="7381"/>
      <c r="E21" s="7382"/>
      <c r="F21" s="7382"/>
      <c r="G21" s="7382"/>
      <c r="H21" s="7383"/>
      <c r="I21" s="1582"/>
      <c r="J21" s="1179"/>
      <c r="K21" s="6792"/>
      <c r="L21" s="6792"/>
      <c r="M21" s="6792"/>
      <c r="N21" s="6792"/>
      <c r="O21" s="6792"/>
      <c r="P21" s="6792"/>
      <c r="Q21" s="6792"/>
      <c r="R21" s="6792"/>
      <c r="S21" s="6792"/>
      <c r="T21" s="6792"/>
      <c r="U21" s="6792"/>
      <c r="V21" s="6792"/>
      <c r="W21" s="6792"/>
      <c r="X21" s="7384" t="s">
        <v>288</v>
      </c>
      <c r="Y21" s="7385"/>
      <c r="Z21" s="7386"/>
      <c r="AA21" s="6543"/>
      <c r="AB21" s="7313"/>
      <c r="AC21" s="7313"/>
      <c r="AD21" s="7313"/>
      <c r="AE21" s="7314"/>
      <c r="AF21" s="6543"/>
      <c r="AG21" s="7313"/>
      <c r="AH21" s="7313"/>
      <c r="AI21" s="7313"/>
      <c r="AJ21" s="7314"/>
      <c r="AK21" s="3078"/>
      <c r="AL21" s="3079"/>
      <c r="AM21" s="1180"/>
      <c r="AN21" s="3079"/>
      <c r="AO21" s="3079"/>
      <c r="AP21" s="2757"/>
      <c r="AR21" s="1286" t="b">
        <f>D21=8</f>
        <v>0</v>
      </c>
      <c r="AV21" s="3144" t="b">
        <f>AA21&gt;$AV$19</f>
        <v>0</v>
      </c>
      <c r="AW21" s="3145" t="b">
        <f>AF21&gt;$AV$19</f>
        <v>0</v>
      </c>
      <c r="AX21" s="42">
        <v>5</v>
      </c>
      <c r="AY21" s="42" t="s">
        <v>1087</v>
      </c>
      <c r="BE21" s="2846" t="b">
        <f>IF(AND(D21&lt;&gt;"",OR(D21&lt;1,D21&gt;8,ISERROR(AD29))),TRUE,FALSE)</f>
        <v>0</v>
      </c>
      <c r="BG21" s="3013"/>
      <c r="BH21" s="2595"/>
      <c r="BI21" s="2595"/>
      <c r="BJ21" s="2595"/>
      <c r="BK21" s="2595"/>
      <c r="BL21" s="2595"/>
      <c r="BM21" s="2595"/>
      <c r="BN21" s="2595"/>
      <c r="BO21" s="2595"/>
      <c r="BP21" s="2595"/>
    </row>
    <row r="22" spans="1:68" ht="15.75">
      <c r="A22" s="2757"/>
      <c r="B22" s="7380" t="s">
        <v>144</v>
      </c>
      <c r="C22" s="7198"/>
      <c r="D22" s="7381"/>
      <c r="E22" s="7382"/>
      <c r="F22" s="7382"/>
      <c r="G22" s="7382"/>
      <c r="H22" s="7383"/>
      <c r="I22" s="1586"/>
      <c r="J22" s="1553"/>
      <c r="K22" s="1448"/>
      <c r="L22" s="1553"/>
      <c r="M22" s="1553"/>
      <c r="N22" s="1553"/>
      <c r="O22" s="1553"/>
      <c r="P22" s="1553"/>
      <c r="Q22" s="1553"/>
      <c r="R22" s="1553"/>
      <c r="S22" s="1553"/>
      <c r="T22" s="1553"/>
      <c r="U22" s="1553"/>
      <c r="V22" s="1553"/>
      <c r="W22" s="1553"/>
      <c r="X22" s="7384" t="s">
        <v>144</v>
      </c>
      <c r="Y22" s="7385"/>
      <c r="Z22" s="7386"/>
      <c r="AA22" s="6543"/>
      <c r="AB22" s="7313"/>
      <c r="AC22" s="7313"/>
      <c r="AD22" s="7313"/>
      <c r="AE22" s="7314"/>
      <c r="AF22" s="6543"/>
      <c r="AG22" s="7313"/>
      <c r="AH22" s="7313"/>
      <c r="AI22" s="7313"/>
      <c r="AJ22" s="7314"/>
      <c r="AK22" s="3078"/>
      <c r="AL22" s="3079"/>
      <c r="AM22" s="1180"/>
      <c r="AN22" s="3079"/>
      <c r="AO22" s="3079"/>
      <c r="AP22" s="2757"/>
      <c r="AR22" s="1286" t="b">
        <f>D22=8</f>
        <v>0</v>
      </c>
      <c r="AV22" s="3146" t="b">
        <f>AA22&gt;$AV$19</f>
        <v>0</v>
      </c>
      <c r="AW22" s="3147" t="b">
        <f>AF22&gt;$AV$19</f>
        <v>0</v>
      </c>
      <c r="AX22" s="42">
        <v>6</v>
      </c>
      <c r="AY22" s="42" t="s">
        <v>1088</v>
      </c>
      <c r="AZ22" s="5814" t="s">
        <v>143</v>
      </c>
      <c r="BA22" s="5815" t="s">
        <v>288</v>
      </c>
      <c r="BB22" s="5815" t="s">
        <v>144</v>
      </c>
      <c r="BC22" s="5816" t="s">
        <v>202</v>
      </c>
      <c r="BE22" s="2846" t="b">
        <f>IF(AND(D22&lt;&gt;"",OR(D22&lt;1,D22&gt;8,ISERROR(AJ29))),TRUE,FALSE)</f>
        <v>0</v>
      </c>
      <c r="BG22" s="3013"/>
      <c r="BH22" s="2595"/>
      <c r="BI22" s="2595"/>
      <c r="BJ22" s="2595"/>
      <c r="BK22" s="2595"/>
      <c r="BL22" s="2595"/>
      <c r="BM22" s="2595"/>
      <c r="BN22" s="2595"/>
      <c r="BO22" s="2595"/>
      <c r="BP22" s="2595"/>
    </row>
    <row r="23" spans="1:68" ht="14.25" customHeight="1">
      <c r="A23" s="2757"/>
      <c r="B23" s="3082" t="s">
        <v>684</v>
      </c>
      <c r="C23" s="3080"/>
      <c r="D23" s="2246"/>
      <c r="E23" s="2213"/>
      <c r="F23" s="2213"/>
      <c r="G23" s="2213"/>
      <c r="H23" s="2213"/>
      <c r="I23" s="3139" t="str">
        <f>IF(BE23,"The 'Type of Property' must be entered as a number (1 - 8).","")</f>
        <v/>
      </c>
      <c r="J23" s="2213"/>
      <c r="K23" s="2213"/>
      <c r="L23" s="2213"/>
      <c r="M23" s="2213"/>
      <c r="N23" s="2213"/>
      <c r="O23" s="2213"/>
      <c r="P23" s="2213"/>
      <c r="Q23" s="2213"/>
      <c r="R23" s="2213"/>
      <c r="S23" s="2213"/>
      <c r="T23" s="2213"/>
      <c r="U23" s="2213"/>
      <c r="V23" s="2213"/>
      <c r="W23" s="2213"/>
      <c r="X23" s="2213"/>
      <c r="Y23" s="2213"/>
      <c r="Z23" s="2213"/>
      <c r="AA23" s="2213"/>
      <c r="AB23" s="2213"/>
      <c r="AC23" s="2213"/>
      <c r="AD23" s="3139" t="str">
        <f>IF(OR(AV20,AV21,AV22,AW20,AW21,AW22),"Must be "&amp;AV19&amp;" or less.","")</f>
        <v/>
      </c>
      <c r="AE23" s="2213"/>
      <c r="AF23" s="2213"/>
      <c r="AG23" s="2213"/>
      <c r="AH23" s="2213"/>
      <c r="AI23" s="2213"/>
      <c r="AJ23" s="2213"/>
      <c r="AK23" s="2213"/>
      <c r="AL23" s="2213"/>
      <c r="AM23" s="2213"/>
      <c r="AN23" s="2213"/>
      <c r="AO23" s="2213"/>
      <c r="AP23" s="2757"/>
      <c r="AR23" s="1286" t="b">
        <f>OR(AR20:AR22)</f>
        <v>0</v>
      </c>
      <c r="AX23" s="42">
        <v>7</v>
      </c>
      <c r="AY23" s="42" t="s">
        <v>1089</v>
      </c>
      <c r="AZ23" s="5817">
        <f>IF(D20&lt;&gt;6,V27,0)</f>
        <v>0</v>
      </c>
      <c r="BA23" s="3442">
        <f>IF(D21&lt;&gt;6,AD27,0)</f>
        <v>0</v>
      </c>
      <c r="BB23" s="3442">
        <f>IF(D22&lt;&gt;6,AJ27,0)</f>
        <v>0</v>
      </c>
      <c r="BC23" s="5818">
        <f>SUM(AZ23:BB23)</f>
        <v>0</v>
      </c>
      <c r="BE23" s="2846" t="b">
        <f>OR(BE20,BE21,BE22)</f>
        <v>0</v>
      </c>
      <c r="BG23" s="3013"/>
      <c r="BH23" s="2595"/>
      <c r="BI23" s="2595"/>
      <c r="BJ23" s="2595"/>
      <c r="BK23" s="2595"/>
      <c r="BL23" s="2595"/>
      <c r="BM23" s="2595"/>
      <c r="BN23" s="2595"/>
      <c r="BO23" s="2595"/>
      <c r="BP23" s="2595"/>
    </row>
    <row r="24" spans="1:68" ht="14.25" customHeight="1" thickBot="1">
      <c r="A24" s="2757"/>
      <c r="B24" s="3080">
        <v>1</v>
      </c>
      <c r="C24" s="3081" t="s">
        <v>1084</v>
      </c>
      <c r="D24" s="2246"/>
      <c r="E24" s="2213"/>
      <c r="F24" s="2213"/>
      <c r="G24" s="2213"/>
      <c r="H24" s="2213"/>
      <c r="I24" s="2213"/>
      <c r="J24" s="2213"/>
      <c r="K24" s="3084">
        <v>3</v>
      </c>
      <c r="L24" s="3083" t="s">
        <v>2339</v>
      </c>
      <c r="M24" s="2213"/>
      <c r="N24" s="2213"/>
      <c r="O24" s="2213"/>
      <c r="P24" s="2213"/>
      <c r="Q24" s="2213"/>
      <c r="R24" s="2213"/>
      <c r="S24" s="2213"/>
      <c r="T24" s="2213"/>
      <c r="U24" s="3084">
        <v>5</v>
      </c>
      <c r="V24" s="3083" t="s">
        <v>1087</v>
      </c>
      <c r="W24" s="2213"/>
      <c r="X24" s="2213"/>
      <c r="Y24" s="2213"/>
      <c r="Z24" s="3084"/>
      <c r="AA24" s="3084">
        <v>7</v>
      </c>
      <c r="AB24" s="3083" t="s">
        <v>1089</v>
      </c>
      <c r="AC24" s="2213"/>
      <c r="AD24" s="2213"/>
      <c r="AE24" s="2213"/>
      <c r="AF24" s="2213"/>
      <c r="AG24" s="2213"/>
      <c r="AH24" s="2213"/>
      <c r="AI24" s="2213"/>
      <c r="AJ24" s="2213"/>
      <c r="AK24" s="2213"/>
      <c r="AL24" s="2213"/>
      <c r="AM24" s="2213"/>
      <c r="AN24" s="2213"/>
      <c r="AO24" s="2213"/>
      <c r="AP24" s="2757"/>
      <c r="AX24" s="42">
        <v>8</v>
      </c>
      <c r="AY24" s="42" t="s">
        <v>402</v>
      </c>
      <c r="AZ24" s="5819">
        <f>IF(D20=6,V28,0)</f>
        <v>0</v>
      </c>
      <c r="BA24" s="5820">
        <f>IF(D21=6,AD28,0)</f>
        <v>0</v>
      </c>
      <c r="BB24" s="5820">
        <f>IF(D22=6,AJ28,0)</f>
        <v>0</v>
      </c>
      <c r="BC24" s="5821">
        <f>SUM(AZ24:BB24)</f>
        <v>0</v>
      </c>
      <c r="BE24" s="2847"/>
      <c r="BG24" s="3013"/>
      <c r="BH24" s="2595"/>
      <c r="BI24" s="2595"/>
      <c r="BJ24" s="2595"/>
      <c r="BK24" s="2595"/>
      <c r="BL24" s="2595"/>
      <c r="BM24" s="2595"/>
      <c r="BN24" s="2595"/>
      <c r="BO24" s="2595"/>
      <c r="BP24" s="2595"/>
    </row>
    <row r="25" spans="1:68" ht="14.25" customHeight="1">
      <c r="A25" s="2757"/>
      <c r="B25" s="3085">
        <v>2</v>
      </c>
      <c r="C25" s="3095" t="s">
        <v>1085</v>
      </c>
      <c r="D25" s="2803"/>
      <c r="E25" s="2217"/>
      <c r="F25" s="2217"/>
      <c r="G25" s="2217"/>
      <c r="H25" s="2217"/>
      <c r="I25" s="2217"/>
      <c r="J25" s="2217"/>
      <c r="K25" s="3086">
        <v>4</v>
      </c>
      <c r="L25" s="3137" t="s">
        <v>1086</v>
      </c>
      <c r="M25" s="2217"/>
      <c r="N25" s="2217"/>
      <c r="O25" s="2217"/>
      <c r="P25" s="2217"/>
      <c r="Q25" s="2217"/>
      <c r="R25" s="2217"/>
      <c r="S25" s="2217"/>
      <c r="T25" s="2217"/>
      <c r="U25" s="3086">
        <v>6</v>
      </c>
      <c r="V25" s="3137" t="s">
        <v>1088</v>
      </c>
      <c r="W25" s="2217"/>
      <c r="X25" s="2217"/>
      <c r="Y25" s="2217"/>
      <c r="Z25" s="3086"/>
      <c r="AA25" s="3086">
        <v>8</v>
      </c>
      <c r="AB25" s="3137" t="s">
        <v>2340</v>
      </c>
      <c r="AC25" s="2217"/>
      <c r="AD25" s="2217"/>
      <c r="AE25" s="2217"/>
      <c r="AF25" s="2217"/>
      <c r="AG25" s="2217"/>
      <c r="AH25" s="7391"/>
      <c r="AI25" s="7391"/>
      <c r="AJ25" s="7391"/>
      <c r="AK25" s="7391"/>
      <c r="AL25" s="7391"/>
      <c r="AM25" s="7391"/>
      <c r="AN25" s="7391"/>
      <c r="AO25" s="7391"/>
      <c r="AP25" s="2757"/>
      <c r="AQ25" s="989"/>
      <c r="AR25" s="4017" t="str">
        <f>IF($AR$23,"Attach a statement to your return","")</f>
        <v/>
      </c>
      <c r="AS25" s="1289"/>
      <c r="AT25" s="1289"/>
      <c r="BG25" s="3013"/>
      <c r="BH25" s="2595"/>
      <c r="BI25" s="2595"/>
      <c r="BJ25" s="2595"/>
      <c r="BK25" s="2595"/>
      <c r="BL25" s="2595"/>
      <c r="BM25" s="2595"/>
      <c r="BN25" s="2595"/>
      <c r="BO25" s="2595"/>
      <c r="BP25" s="2595"/>
    </row>
    <row r="26" spans="1:68" ht="14.25" customHeight="1">
      <c r="A26" s="2757"/>
      <c r="B26" s="3092" t="s">
        <v>2342</v>
      </c>
      <c r="C26" s="3090"/>
      <c r="D26" s="3059"/>
      <c r="E26" s="3088"/>
      <c r="F26" s="3088"/>
      <c r="G26" s="3088"/>
      <c r="H26" s="3088"/>
      <c r="I26" s="3089"/>
      <c r="J26" s="3087"/>
      <c r="K26" s="3088"/>
      <c r="L26" s="3088"/>
      <c r="M26" s="3088"/>
      <c r="N26" s="3088"/>
      <c r="O26" s="3088"/>
      <c r="P26" s="3088"/>
      <c r="Q26" s="3088"/>
      <c r="R26" s="3091" t="s">
        <v>2341</v>
      </c>
      <c r="S26" s="3088"/>
      <c r="T26" s="3093"/>
      <c r="U26" s="3089"/>
      <c r="V26" s="7334" t="s">
        <v>143</v>
      </c>
      <c r="W26" s="7387"/>
      <c r="X26" s="7387"/>
      <c r="Y26" s="7387"/>
      <c r="Z26" s="7387"/>
      <c r="AA26" s="7387"/>
      <c r="AB26" s="7387"/>
      <c r="AC26" s="7335"/>
      <c r="AD26" s="7388" t="s">
        <v>288</v>
      </c>
      <c r="AE26" s="7389"/>
      <c r="AF26" s="7389"/>
      <c r="AG26" s="7389"/>
      <c r="AH26" s="7389"/>
      <c r="AI26" s="7390"/>
      <c r="AJ26" s="7388" t="s">
        <v>144</v>
      </c>
      <c r="AK26" s="7389"/>
      <c r="AL26" s="7389"/>
      <c r="AM26" s="7389"/>
      <c r="AN26" s="7389"/>
      <c r="AO26" s="7389"/>
      <c r="AP26" s="2757"/>
      <c r="AR26" s="4017" t="str">
        <f>IF($AR$23,"describing the property.","")</f>
        <v/>
      </c>
      <c r="AS26" s="1289"/>
      <c r="AT26" s="1289"/>
      <c r="AZ26" s="42" t="b">
        <f>IF(AND($D$20="",OR($V$27&gt;0,$V$28&gt;0)),TRUE,FALSE)</f>
        <v>0</v>
      </c>
      <c r="BA26" s="42" t="b">
        <f>IF(AND($D$21="",OR($AD$27&gt;0,$AD$28&gt;0)),TRUE,FALSE)</f>
        <v>0</v>
      </c>
      <c r="BB26" s="42" t="b">
        <f>IF(AND($D$22="",OR($AJ$27&gt;0,$AJ$28&gt;0)),TRUE,FALSE)</f>
        <v>0</v>
      </c>
      <c r="BG26" s="3013"/>
      <c r="BH26" s="2595"/>
      <c r="BI26" s="2595"/>
      <c r="BJ26" s="2595"/>
      <c r="BK26" s="2595"/>
      <c r="BL26" s="2595"/>
      <c r="BM26" s="2595"/>
      <c r="BN26" s="2595"/>
      <c r="BO26" s="2595"/>
      <c r="BP26" s="2595"/>
    </row>
    <row r="27" spans="1:68" ht="14.25" customHeight="1">
      <c r="A27" s="2757"/>
      <c r="B27" s="7373">
        <v>3</v>
      </c>
      <c r="C27" s="7374"/>
      <c r="D27" s="3094" t="s">
        <v>747</v>
      </c>
      <c r="E27" s="3088"/>
      <c r="F27" s="3088"/>
      <c r="G27" s="3088"/>
      <c r="H27" s="3088"/>
      <c r="I27" s="3088"/>
      <c r="J27" s="3088"/>
      <c r="K27" s="3088"/>
      <c r="L27" s="3088"/>
      <c r="M27" s="3088"/>
      <c r="N27" s="3088"/>
      <c r="O27" s="3088"/>
      <c r="P27" s="3088"/>
      <c r="Q27" s="3088"/>
      <c r="R27" s="3088"/>
      <c r="S27" s="3488" t="s">
        <v>568</v>
      </c>
      <c r="T27" s="7334">
        <v>3</v>
      </c>
      <c r="U27" s="7335"/>
      <c r="V27" s="7375"/>
      <c r="W27" s="7376"/>
      <c r="X27" s="7376"/>
      <c r="Y27" s="7376"/>
      <c r="Z27" s="7376"/>
      <c r="AA27" s="7376"/>
      <c r="AB27" s="7376"/>
      <c r="AC27" s="7377"/>
      <c r="AD27" s="7375"/>
      <c r="AE27" s="7376"/>
      <c r="AF27" s="7376"/>
      <c r="AG27" s="7376"/>
      <c r="AH27" s="7376"/>
      <c r="AI27" s="7377"/>
      <c r="AJ27" s="7375"/>
      <c r="AK27" s="7376"/>
      <c r="AL27" s="7376"/>
      <c r="AM27" s="7376"/>
      <c r="AN27" s="7376"/>
      <c r="AO27" s="7376"/>
      <c r="AP27" s="2757"/>
      <c r="AR27" s="1289"/>
      <c r="AS27" s="1289"/>
      <c r="AT27" s="1289"/>
      <c r="BG27" s="3013"/>
      <c r="BH27" s="2595"/>
      <c r="BI27" s="2595"/>
      <c r="BJ27" s="2595"/>
      <c r="BK27" s="2595"/>
      <c r="BL27" s="2595"/>
      <c r="BM27" s="2595"/>
      <c r="BN27" s="2595"/>
      <c r="BO27" s="2595"/>
      <c r="BP27" s="2595"/>
    </row>
    <row r="28" spans="1:68" ht="14.25" customHeight="1">
      <c r="A28" s="2757"/>
      <c r="B28" s="7373">
        <v>4</v>
      </c>
      <c r="C28" s="7374"/>
      <c r="D28" s="3094" t="s">
        <v>2343</v>
      </c>
      <c r="E28" s="3088"/>
      <c r="F28" s="3088"/>
      <c r="G28" s="3088"/>
      <c r="H28" s="3088"/>
      <c r="I28" s="3088"/>
      <c r="J28" s="3088"/>
      <c r="K28" s="3088"/>
      <c r="L28" s="3088"/>
      <c r="M28" s="3088"/>
      <c r="N28" s="3088"/>
      <c r="O28" s="3088"/>
      <c r="P28" s="3088"/>
      <c r="Q28" s="3088"/>
      <c r="R28" s="3088"/>
      <c r="S28" s="3488" t="s">
        <v>802</v>
      </c>
      <c r="T28" s="7334">
        <v>4</v>
      </c>
      <c r="U28" s="7335"/>
      <c r="V28" s="7375"/>
      <c r="W28" s="7376"/>
      <c r="X28" s="7376"/>
      <c r="Y28" s="7376"/>
      <c r="Z28" s="7376"/>
      <c r="AA28" s="7376"/>
      <c r="AB28" s="7376"/>
      <c r="AC28" s="7377"/>
      <c r="AD28" s="7375"/>
      <c r="AE28" s="7376"/>
      <c r="AF28" s="7376"/>
      <c r="AG28" s="7376"/>
      <c r="AH28" s="7376"/>
      <c r="AI28" s="7377"/>
      <c r="AJ28" s="7375"/>
      <c r="AK28" s="7376"/>
      <c r="AL28" s="7376"/>
      <c r="AM28" s="7376"/>
      <c r="AN28" s="7376"/>
      <c r="AO28" s="7376"/>
      <c r="AP28" s="2757"/>
      <c r="BG28" s="3013"/>
      <c r="BH28" s="2595"/>
      <c r="BI28" s="2595"/>
      <c r="BJ28" s="2595"/>
      <c r="BK28" s="2595"/>
      <c r="BL28" s="2595"/>
      <c r="BM28" s="2595"/>
      <c r="BN28" s="2595"/>
      <c r="BO28" s="2595"/>
      <c r="BP28" s="2595"/>
    </row>
    <row r="29" spans="1:68" ht="14.25" customHeight="1">
      <c r="A29" s="2757"/>
      <c r="B29" s="3100" t="s">
        <v>665</v>
      </c>
      <c r="C29" s="3096"/>
      <c r="D29" s="3073"/>
      <c r="E29" s="3097"/>
      <c r="F29" s="3140"/>
      <c r="G29" s="3140" t="str">
        <f>IF(OR($AZ$26,$BA$26,$BB$26),"Please enter property type in Line 1b.","")</f>
        <v/>
      </c>
      <c r="H29" s="3097"/>
      <c r="I29" s="3097"/>
      <c r="J29" s="3097"/>
      <c r="K29" s="3097"/>
      <c r="L29" s="3097"/>
      <c r="M29" s="3097"/>
      <c r="N29" s="3097"/>
      <c r="O29" s="3097"/>
      <c r="P29" s="3097"/>
      <c r="Q29" s="3097"/>
      <c r="R29" s="3097"/>
      <c r="S29" s="3097"/>
      <c r="T29" s="3098"/>
      <c r="U29" s="3099"/>
      <c r="V29" s="7378" t="str">
        <f>IF(D20="","",LOOKUP(D20,$AX$17:$AX$24,$AY$17:$AY$24))</f>
        <v/>
      </c>
      <c r="W29" s="7379"/>
      <c r="X29" s="7379"/>
      <c r="Y29" s="7379"/>
      <c r="Z29" s="7379"/>
      <c r="AA29" s="7379"/>
      <c r="AB29" s="7379"/>
      <c r="AC29" s="7155"/>
      <c r="AD29" s="7378" t="str">
        <f>IF(D21="","",LOOKUP(D21,$AX$17:$AX$24,$AY$17:$AY$24))</f>
        <v/>
      </c>
      <c r="AE29" s="7379"/>
      <c r="AF29" s="7379"/>
      <c r="AG29" s="7379"/>
      <c r="AH29" s="7379"/>
      <c r="AI29" s="7155"/>
      <c r="AJ29" s="7378" t="str">
        <f>IF(D22="","",LOOKUP(D22,$AX$17:$AX$24,$AY$17:$AY$24))</f>
        <v/>
      </c>
      <c r="AK29" s="7379"/>
      <c r="AL29" s="7379"/>
      <c r="AM29" s="7379"/>
      <c r="AN29" s="7379"/>
      <c r="AO29" s="7379"/>
      <c r="AP29" s="2757"/>
      <c r="BG29" s="3013"/>
      <c r="BH29" s="2595"/>
      <c r="BI29" s="2595"/>
      <c r="BJ29" s="2595"/>
      <c r="BK29" s="2595"/>
      <c r="BL29" s="2595"/>
      <c r="BM29" s="2595"/>
      <c r="BN29" s="2595"/>
      <c r="BO29" s="2595"/>
      <c r="BP29" s="2595"/>
    </row>
    <row r="30" spans="1:68" ht="14.25" customHeight="1">
      <c r="A30" s="2757"/>
      <c r="B30" s="7333">
        <v>5</v>
      </c>
      <c r="C30" s="7263"/>
      <c r="D30" s="3081" t="s">
        <v>666</v>
      </c>
      <c r="E30" s="2213"/>
      <c r="F30" s="2213"/>
      <c r="G30" s="2213"/>
      <c r="H30" s="2213"/>
      <c r="I30" s="2213"/>
      <c r="J30" s="2213"/>
      <c r="K30" s="2213"/>
      <c r="L30" s="2213"/>
      <c r="M30" s="2213"/>
      <c r="N30" s="2213"/>
      <c r="O30" s="2213"/>
      <c r="P30" s="2213"/>
      <c r="Q30" s="2213"/>
      <c r="R30" s="2213"/>
      <c r="S30" s="3489" t="s">
        <v>453</v>
      </c>
      <c r="T30" s="7350">
        <v>5</v>
      </c>
      <c r="U30" s="7351"/>
      <c r="V30" s="7368"/>
      <c r="W30" s="7368"/>
      <c r="X30" s="7368"/>
      <c r="Y30" s="7368"/>
      <c r="Z30" s="7368"/>
      <c r="AA30" s="7368"/>
      <c r="AB30" s="7368"/>
      <c r="AC30" s="7369"/>
      <c r="AD30" s="7370"/>
      <c r="AE30" s="7368"/>
      <c r="AF30" s="7368"/>
      <c r="AG30" s="7368"/>
      <c r="AH30" s="7368"/>
      <c r="AI30" s="7369"/>
      <c r="AJ30" s="7370"/>
      <c r="AK30" s="7368"/>
      <c r="AL30" s="7368"/>
      <c r="AM30" s="7368"/>
      <c r="AN30" s="7368"/>
      <c r="AO30" s="7368"/>
      <c r="AP30" s="2757"/>
      <c r="BG30" s="3013"/>
      <c r="BH30" s="2595"/>
      <c r="BI30" s="2595"/>
      <c r="BJ30" s="2595"/>
      <c r="BK30" s="2595"/>
      <c r="BL30" s="2595"/>
      <c r="BM30" s="2595"/>
      <c r="BN30" s="2595"/>
      <c r="BO30" s="2595"/>
      <c r="BP30" s="2595"/>
    </row>
    <row r="31" spans="1:68" ht="14.25" customHeight="1">
      <c r="A31" s="2757"/>
      <c r="B31" s="7333">
        <v>6</v>
      </c>
      <c r="C31" s="7263"/>
      <c r="D31" s="3081" t="s">
        <v>685</v>
      </c>
      <c r="E31" s="2213"/>
      <c r="F31" s="2213"/>
      <c r="G31" s="2213"/>
      <c r="H31" s="2213"/>
      <c r="I31" s="2213"/>
      <c r="J31" s="2213"/>
      <c r="K31" s="2213"/>
      <c r="L31" s="2213"/>
      <c r="M31" s="2213"/>
      <c r="N31" s="2213"/>
      <c r="O31" s="2213"/>
      <c r="P31" s="2213"/>
      <c r="Q31" s="2213"/>
      <c r="R31" s="2213"/>
      <c r="S31" s="3489" t="s">
        <v>560</v>
      </c>
      <c r="T31" s="7350">
        <v>6</v>
      </c>
      <c r="U31" s="7351"/>
      <c r="V31" s="7368"/>
      <c r="W31" s="7368"/>
      <c r="X31" s="7368"/>
      <c r="Y31" s="7368"/>
      <c r="Z31" s="7368"/>
      <c r="AA31" s="7368"/>
      <c r="AB31" s="7368"/>
      <c r="AC31" s="7369"/>
      <c r="AD31" s="7370"/>
      <c r="AE31" s="7368"/>
      <c r="AF31" s="7368"/>
      <c r="AG31" s="7368"/>
      <c r="AH31" s="7368"/>
      <c r="AI31" s="7369"/>
      <c r="AJ31" s="7370"/>
      <c r="AK31" s="7368"/>
      <c r="AL31" s="7368"/>
      <c r="AM31" s="7368"/>
      <c r="AN31" s="7368"/>
      <c r="AO31" s="7368"/>
      <c r="AP31" s="2757"/>
      <c r="BG31" s="3013"/>
      <c r="BH31" s="2595"/>
      <c r="BI31" s="2595"/>
      <c r="BJ31" s="2595"/>
      <c r="BK31" s="2595"/>
      <c r="BL31" s="2595"/>
      <c r="BM31" s="2595"/>
      <c r="BN31" s="2595"/>
      <c r="BO31" s="2595"/>
      <c r="BP31" s="2595"/>
    </row>
    <row r="32" spans="1:68" ht="14.25" customHeight="1">
      <c r="A32" s="2757"/>
      <c r="B32" s="7333">
        <v>7</v>
      </c>
      <c r="C32" s="7263"/>
      <c r="D32" s="3081" t="s">
        <v>667</v>
      </c>
      <c r="E32" s="2213"/>
      <c r="F32" s="2213"/>
      <c r="G32" s="2213"/>
      <c r="H32" s="2213"/>
      <c r="I32" s="2213"/>
      <c r="J32" s="2213"/>
      <c r="K32" s="2213"/>
      <c r="L32" s="2213"/>
      <c r="M32" s="2213"/>
      <c r="N32" s="2213"/>
      <c r="O32" s="2213"/>
      <c r="P32" s="2213"/>
      <c r="Q32" s="2213"/>
      <c r="R32" s="2213"/>
      <c r="S32" s="3489" t="s">
        <v>571</v>
      </c>
      <c r="T32" s="7350">
        <v>7</v>
      </c>
      <c r="U32" s="7351"/>
      <c r="V32" s="7368"/>
      <c r="W32" s="7368"/>
      <c r="X32" s="7368"/>
      <c r="Y32" s="7368"/>
      <c r="Z32" s="7368"/>
      <c r="AA32" s="7368"/>
      <c r="AB32" s="7368"/>
      <c r="AC32" s="7369"/>
      <c r="AD32" s="7370"/>
      <c r="AE32" s="7368"/>
      <c r="AF32" s="7368"/>
      <c r="AG32" s="7368"/>
      <c r="AH32" s="7368"/>
      <c r="AI32" s="7369"/>
      <c r="AJ32" s="7370"/>
      <c r="AK32" s="7368"/>
      <c r="AL32" s="7368"/>
      <c r="AM32" s="7368"/>
      <c r="AN32" s="7368"/>
      <c r="AO32" s="7368"/>
      <c r="AP32" s="2757"/>
      <c r="BG32" s="3013"/>
      <c r="BH32" s="2595"/>
      <c r="BI32" s="2595"/>
      <c r="BJ32" s="2595"/>
      <c r="BK32" s="2595"/>
      <c r="BL32" s="2595"/>
      <c r="BM32" s="2595"/>
      <c r="BN32" s="2595"/>
      <c r="BO32" s="2595"/>
      <c r="BP32" s="2595"/>
    </row>
    <row r="33" spans="1:68" ht="14.25" customHeight="1">
      <c r="A33" s="2757"/>
      <c r="B33" s="7333">
        <v>8</v>
      </c>
      <c r="C33" s="7263"/>
      <c r="D33" s="3081" t="s">
        <v>668</v>
      </c>
      <c r="E33" s="2213"/>
      <c r="F33" s="2213"/>
      <c r="G33" s="2213"/>
      <c r="H33" s="2213"/>
      <c r="I33" s="2213"/>
      <c r="J33" s="2213"/>
      <c r="K33" s="2213"/>
      <c r="L33" s="2213"/>
      <c r="M33" s="2213"/>
      <c r="N33" s="2213"/>
      <c r="O33" s="2213"/>
      <c r="P33" s="2213"/>
      <c r="Q33" s="2213"/>
      <c r="R33" s="2213"/>
      <c r="S33" s="3489" t="s">
        <v>374</v>
      </c>
      <c r="T33" s="7350">
        <v>8</v>
      </c>
      <c r="U33" s="7351"/>
      <c r="V33" s="7368"/>
      <c r="W33" s="7368"/>
      <c r="X33" s="7368"/>
      <c r="Y33" s="7368"/>
      <c r="Z33" s="7368"/>
      <c r="AA33" s="7368"/>
      <c r="AB33" s="7368"/>
      <c r="AC33" s="7369"/>
      <c r="AD33" s="7370"/>
      <c r="AE33" s="7368"/>
      <c r="AF33" s="7368"/>
      <c r="AG33" s="7368"/>
      <c r="AH33" s="7368"/>
      <c r="AI33" s="7369"/>
      <c r="AJ33" s="7370"/>
      <c r="AK33" s="7368"/>
      <c r="AL33" s="7368"/>
      <c r="AM33" s="7368"/>
      <c r="AN33" s="7368"/>
      <c r="AO33" s="7368"/>
      <c r="AP33" s="2757"/>
      <c r="BG33" s="3013"/>
      <c r="BH33" s="2595"/>
      <c r="BI33" s="2595"/>
      <c r="BJ33" s="2595"/>
      <c r="BK33" s="2595"/>
      <c r="BL33" s="2595"/>
      <c r="BM33" s="2595"/>
      <c r="BN33" s="2595"/>
      <c r="BO33" s="2595"/>
      <c r="BP33" s="2595"/>
    </row>
    <row r="34" spans="1:68" ht="14.25" customHeight="1">
      <c r="A34" s="2757"/>
      <c r="B34" s="7333">
        <v>9</v>
      </c>
      <c r="C34" s="7263"/>
      <c r="D34" s="3081" t="s">
        <v>669</v>
      </c>
      <c r="E34" s="2213"/>
      <c r="F34" s="2213"/>
      <c r="G34" s="2213"/>
      <c r="H34" s="2213"/>
      <c r="I34" s="2213"/>
      <c r="J34" s="2213"/>
      <c r="K34" s="2213"/>
      <c r="L34" s="2213"/>
      <c r="M34" s="2213"/>
      <c r="N34" s="2213"/>
      <c r="O34" s="2213"/>
      <c r="P34" s="2213"/>
      <c r="Q34" s="2213"/>
      <c r="R34" s="2213"/>
      <c r="S34" s="3489" t="s">
        <v>567</v>
      </c>
      <c r="T34" s="7350">
        <v>9</v>
      </c>
      <c r="U34" s="7351"/>
      <c r="V34" s="7368"/>
      <c r="W34" s="7368"/>
      <c r="X34" s="7368"/>
      <c r="Y34" s="7368"/>
      <c r="Z34" s="7368"/>
      <c r="AA34" s="7368"/>
      <c r="AB34" s="7368"/>
      <c r="AC34" s="7369"/>
      <c r="AD34" s="7370"/>
      <c r="AE34" s="7368"/>
      <c r="AF34" s="7368"/>
      <c r="AG34" s="7368"/>
      <c r="AH34" s="7368"/>
      <c r="AI34" s="7369"/>
      <c r="AJ34" s="7370"/>
      <c r="AK34" s="7368"/>
      <c r="AL34" s="7368"/>
      <c r="AM34" s="7368"/>
      <c r="AN34" s="7368"/>
      <c r="AO34" s="7368"/>
      <c r="AP34" s="2757"/>
      <c r="BG34" s="3013"/>
      <c r="BH34" s="2595"/>
      <c r="BI34" s="2595"/>
      <c r="BJ34" s="2595"/>
      <c r="BK34" s="2595"/>
      <c r="BL34" s="2595"/>
      <c r="BM34" s="2595"/>
      <c r="BN34" s="2595"/>
      <c r="BO34" s="2595"/>
      <c r="BP34" s="2595"/>
    </row>
    <row r="35" spans="1:68" ht="14.25" customHeight="1">
      <c r="A35" s="2757"/>
      <c r="B35" s="7333">
        <v>10</v>
      </c>
      <c r="C35" s="7263"/>
      <c r="D35" s="3081" t="s">
        <v>670</v>
      </c>
      <c r="E35" s="2213"/>
      <c r="F35" s="2213"/>
      <c r="G35" s="2213"/>
      <c r="H35" s="2213"/>
      <c r="I35" s="2213"/>
      <c r="J35" s="2213"/>
      <c r="K35" s="2213"/>
      <c r="L35" s="2213"/>
      <c r="M35" s="2213"/>
      <c r="N35" s="2213"/>
      <c r="O35" s="2213"/>
      <c r="P35" s="2213"/>
      <c r="Q35" s="2213"/>
      <c r="R35" s="2213"/>
      <c r="S35" s="3489" t="s">
        <v>629</v>
      </c>
      <c r="T35" s="7350">
        <v>10</v>
      </c>
      <c r="U35" s="7351"/>
      <c r="V35" s="7368"/>
      <c r="W35" s="7368"/>
      <c r="X35" s="7368"/>
      <c r="Y35" s="7368"/>
      <c r="Z35" s="7368"/>
      <c r="AA35" s="7368"/>
      <c r="AB35" s="7368"/>
      <c r="AC35" s="7369"/>
      <c r="AD35" s="7370"/>
      <c r="AE35" s="7368"/>
      <c r="AF35" s="7368"/>
      <c r="AG35" s="7368"/>
      <c r="AH35" s="7368"/>
      <c r="AI35" s="7369"/>
      <c r="AJ35" s="7370"/>
      <c r="AK35" s="7368"/>
      <c r="AL35" s="7368"/>
      <c r="AM35" s="7368"/>
      <c r="AN35" s="7368"/>
      <c r="AO35" s="7368"/>
      <c r="AP35" s="2757"/>
      <c r="BG35" s="3013"/>
      <c r="BH35" s="2595"/>
      <c r="BI35" s="2595"/>
      <c r="BJ35" s="2595"/>
      <c r="BK35" s="2595"/>
      <c r="BL35" s="2595"/>
      <c r="BM35" s="2595"/>
      <c r="BN35" s="2595"/>
      <c r="BO35" s="2595"/>
      <c r="BP35" s="2595"/>
    </row>
    <row r="36" spans="1:68" ht="14.25" customHeight="1">
      <c r="A36" s="2757"/>
      <c r="B36" s="7333">
        <v>11</v>
      </c>
      <c r="C36" s="7263"/>
      <c r="D36" s="3081" t="s">
        <v>671</v>
      </c>
      <c r="E36" s="2213"/>
      <c r="F36" s="2213"/>
      <c r="G36" s="2213"/>
      <c r="H36" s="2213"/>
      <c r="I36" s="2213"/>
      <c r="J36" s="2213"/>
      <c r="K36" s="2213"/>
      <c r="L36" s="2213"/>
      <c r="M36" s="2213"/>
      <c r="N36" s="2213"/>
      <c r="O36" s="2213"/>
      <c r="P36" s="2213"/>
      <c r="Q36" s="2213"/>
      <c r="R36" s="2213"/>
      <c r="S36" s="3489" t="s">
        <v>802</v>
      </c>
      <c r="T36" s="7350">
        <v>11</v>
      </c>
      <c r="U36" s="7351"/>
      <c r="V36" s="7368"/>
      <c r="W36" s="7368"/>
      <c r="X36" s="7368"/>
      <c r="Y36" s="7368"/>
      <c r="Z36" s="7368"/>
      <c r="AA36" s="7368"/>
      <c r="AB36" s="7368"/>
      <c r="AC36" s="7369"/>
      <c r="AD36" s="7370"/>
      <c r="AE36" s="7368"/>
      <c r="AF36" s="7368"/>
      <c r="AG36" s="7368"/>
      <c r="AH36" s="7368"/>
      <c r="AI36" s="7369"/>
      <c r="AJ36" s="7370"/>
      <c r="AK36" s="7368"/>
      <c r="AL36" s="7368"/>
      <c r="AM36" s="7368"/>
      <c r="AN36" s="7368"/>
      <c r="AO36" s="7368"/>
      <c r="AP36" s="2757"/>
      <c r="BG36" s="3013"/>
      <c r="BH36" s="2595"/>
      <c r="BI36" s="2595"/>
      <c r="BJ36" s="2595"/>
      <c r="BK36" s="2595"/>
      <c r="BL36" s="2595"/>
      <c r="BM36" s="2595"/>
      <c r="BN36" s="2595"/>
      <c r="BO36" s="2595"/>
      <c r="BP36" s="2595"/>
    </row>
    <row r="37" spans="1:68" ht="14.25" customHeight="1">
      <c r="A37" s="2757"/>
      <c r="B37" s="7333">
        <v>12</v>
      </c>
      <c r="C37" s="7263"/>
      <c r="D37" s="3081" t="s">
        <v>686</v>
      </c>
      <c r="E37" s="2213"/>
      <c r="F37" s="2213"/>
      <c r="G37" s="2213"/>
      <c r="H37" s="2213"/>
      <c r="I37" s="2213"/>
      <c r="J37" s="2213"/>
      <c r="K37" s="2213"/>
      <c r="L37" s="2213"/>
      <c r="M37" s="2213"/>
      <c r="N37" s="2213"/>
      <c r="O37" s="2213"/>
      <c r="P37" s="2213"/>
      <c r="Q37" s="2213"/>
      <c r="R37" s="2213"/>
      <c r="S37" s="2951"/>
      <c r="T37" s="7350">
        <v>12</v>
      </c>
      <c r="U37" s="7351"/>
      <c r="V37" s="7368"/>
      <c r="W37" s="7368"/>
      <c r="X37" s="7368"/>
      <c r="Y37" s="7368"/>
      <c r="Z37" s="7368"/>
      <c r="AA37" s="7368"/>
      <c r="AB37" s="7368"/>
      <c r="AC37" s="7369"/>
      <c r="AD37" s="7370"/>
      <c r="AE37" s="7368"/>
      <c r="AF37" s="7368"/>
      <c r="AG37" s="7368"/>
      <c r="AH37" s="7368"/>
      <c r="AI37" s="7369"/>
      <c r="AJ37" s="7370"/>
      <c r="AK37" s="7368"/>
      <c r="AL37" s="7368"/>
      <c r="AM37" s="7368"/>
      <c r="AN37" s="7368"/>
      <c r="AO37" s="7368"/>
      <c r="AP37" s="2757"/>
      <c r="BG37" s="3013"/>
      <c r="BH37" s="2595"/>
      <c r="BI37" s="2595"/>
      <c r="BJ37" s="2595"/>
      <c r="BK37" s="2595"/>
      <c r="BL37" s="2595"/>
      <c r="BM37" s="2595"/>
      <c r="BN37" s="2595"/>
      <c r="BO37" s="2595"/>
      <c r="BP37" s="2595"/>
    </row>
    <row r="38" spans="1:68" ht="14.25" customHeight="1">
      <c r="A38" s="2757"/>
      <c r="B38" s="7333">
        <v>13</v>
      </c>
      <c r="C38" s="7263"/>
      <c r="D38" s="3081" t="s">
        <v>2754</v>
      </c>
      <c r="E38" s="2213"/>
      <c r="F38" s="2213"/>
      <c r="G38" s="2213"/>
      <c r="H38" s="2213"/>
      <c r="I38" s="2213"/>
      <c r="J38" s="2213"/>
      <c r="K38" s="2213"/>
      <c r="L38" s="2213"/>
      <c r="M38" s="2213"/>
      <c r="N38" s="2213"/>
      <c r="O38" s="2213"/>
      <c r="P38" s="2213"/>
      <c r="Q38" s="2213"/>
      <c r="R38" s="2213"/>
      <c r="S38" s="3489" t="s">
        <v>374</v>
      </c>
      <c r="T38" s="7350">
        <v>13</v>
      </c>
      <c r="U38" s="7351"/>
      <c r="V38" s="7368"/>
      <c r="W38" s="7368"/>
      <c r="X38" s="7368"/>
      <c r="Y38" s="7368"/>
      <c r="Z38" s="7368"/>
      <c r="AA38" s="7368"/>
      <c r="AB38" s="7368"/>
      <c r="AC38" s="7369"/>
      <c r="AD38" s="7370"/>
      <c r="AE38" s="7368"/>
      <c r="AF38" s="7368"/>
      <c r="AG38" s="7368"/>
      <c r="AH38" s="7368"/>
      <c r="AI38" s="7369"/>
      <c r="AJ38" s="7370"/>
      <c r="AK38" s="7368"/>
      <c r="AL38" s="7368"/>
      <c r="AM38" s="7368"/>
      <c r="AN38" s="7368"/>
      <c r="AO38" s="7368"/>
      <c r="AP38" s="2757"/>
      <c r="BG38" s="3013"/>
      <c r="BH38" s="2595"/>
      <c r="BI38" s="2595"/>
      <c r="BJ38" s="2595"/>
      <c r="BK38" s="2595"/>
      <c r="BL38" s="2595"/>
      <c r="BM38" s="2595"/>
      <c r="BN38" s="2595"/>
      <c r="BO38" s="2595"/>
      <c r="BP38" s="2595"/>
    </row>
    <row r="39" spans="1:68" ht="14.25" customHeight="1">
      <c r="A39" s="2757"/>
      <c r="B39" s="7333">
        <v>14</v>
      </c>
      <c r="C39" s="7263"/>
      <c r="D39" s="3081" t="s">
        <v>672</v>
      </c>
      <c r="E39" s="2213"/>
      <c r="F39" s="2213"/>
      <c r="G39" s="2213"/>
      <c r="H39" s="2213"/>
      <c r="I39" s="2213"/>
      <c r="J39" s="2213"/>
      <c r="K39" s="2213"/>
      <c r="L39" s="2213"/>
      <c r="M39" s="2213"/>
      <c r="N39" s="2213"/>
      <c r="O39" s="2213"/>
      <c r="P39" s="2213"/>
      <c r="Q39" s="2213"/>
      <c r="R39" s="2213"/>
      <c r="S39" s="3489" t="s">
        <v>567</v>
      </c>
      <c r="T39" s="7350">
        <v>14</v>
      </c>
      <c r="U39" s="7351"/>
      <c r="V39" s="7368"/>
      <c r="W39" s="7368"/>
      <c r="X39" s="7368"/>
      <c r="Y39" s="7368"/>
      <c r="Z39" s="7368"/>
      <c r="AA39" s="7368"/>
      <c r="AB39" s="7368"/>
      <c r="AC39" s="7369"/>
      <c r="AD39" s="7370"/>
      <c r="AE39" s="7368"/>
      <c r="AF39" s="7368"/>
      <c r="AG39" s="7368"/>
      <c r="AH39" s="7368"/>
      <c r="AI39" s="7369"/>
      <c r="AJ39" s="7370"/>
      <c r="AK39" s="7368"/>
      <c r="AL39" s="7368"/>
      <c r="AM39" s="7368"/>
      <c r="AN39" s="7368"/>
      <c r="AO39" s="7368"/>
      <c r="AP39" s="2757"/>
      <c r="BG39" s="3013"/>
      <c r="BH39" s="2595"/>
      <c r="BI39" s="2595"/>
      <c r="BJ39" s="2595"/>
      <c r="BK39" s="2595"/>
      <c r="BL39" s="2595"/>
      <c r="BM39" s="2595"/>
      <c r="BN39" s="2595"/>
      <c r="BO39" s="2595"/>
      <c r="BP39" s="2595"/>
    </row>
    <row r="40" spans="1:68" ht="14.25" customHeight="1">
      <c r="A40" s="2757"/>
      <c r="B40" s="7333">
        <v>15</v>
      </c>
      <c r="C40" s="7263"/>
      <c r="D40" s="3081" t="s">
        <v>673</v>
      </c>
      <c r="E40" s="2213"/>
      <c r="F40" s="2213"/>
      <c r="G40" s="2213"/>
      <c r="H40" s="2213"/>
      <c r="I40" s="2213"/>
      <c r="J40" s="2213"/>
      <c r="K40" s="2213"/>
      <c r="L40" s="2213"/>
      <c r="M40" s="2213"/>
      <c r="N40" s="2213"/>
      <c r="O40" s="2213"/>
      <c r="P40" s="2213"/>
      <c r="Q40" s="2213"/>
      <c r="R40" s="2213"/>
      <c r="S40" s="3489" t="s">
        <v>567</v>
      </c>
      <c r="T40" s="7350">
        <v>15</v>
      </c>
      <c r="U40" s="7351"/>
      <c r="V40" s="7368"/>
      <c r="W40" s="7368"/>
      <c r="X40" s="7368"/>
      <c r="Y40" s="7368"/>
      <c r="Z40" s="7368"/>
      <c r="AA40" s="7368"/>
      <c r="AB40" s="7368"/>
      <c r="AC40" s="7369"/>
      <c r="AD40" s="7370"/>
      <c r="AE40" s="7368"/>
      <c r="AF40" s="7368"/>
      <c r="AG40" s="7368"/>
      <c r="AH40" s="7368"/>
      <c r="AI40" s="7369"/>
      <c r="AJ40" s="7370"/>
      <c r="AK40" s="7368"/>
      <c r="AL40" s="7368"/>
      <c r="AM40" s="7368"/>
      <c r="AN40" s="7368"/>
      <c r="AO40" s="7368"/>
      <c r="AP40" s="2757"/>
      <c r="BG40" s="3013"/>
      <c r="BH40" s="2595"/>
      <c r="BI40" s="2595"/>
      <c r="BJ40" s="2595"/>
      <c r="BK40" s="2595"/>
      <c r="BL40" s="2595"/>
      <c r="BM40" s="2595"/>
      <c r="BN40" s="2595"/>
      <c r="BO40" s="2595"/>
      <c r="BP40" s="2595"/>
    </row>
    <row r="41" spans="1:68" ht="14.25" customHeight="1">
      <c r="A41" s="2757"/>
      <c r="B41" s="7333">
        <v>16</v>
      </c>
      <c r="C41" s="7263"/>
      <c r="D41" s="3081" t="s">
        <v>674</v>
      </c>
      <c r="E41" s="2213"/>
      <c r="F41" s="2213"/>
      <c r="G41" s="2213"/>
      <c r="H41" s="2213"/>
      <c r="I41" s="2213"/>
      <c r="J41" s="2213"/>
      <c r="K41" s="2213"/>
      <c r="L41" s="2213"/>
      <c r="M41" s="2213"/>
      <c r="N41" s="2213"/>
      <c r="O41" s="2213"/>
      <c r="P41" s="2213"/>
      <c r="Q41" s="2213"/>
      <c r="R41" s="2213"/>
      <c r="S41" s="3489" t="s">
        <v>2126</v>
      </c>
      <c r="T41" s="7350">
        <v>16</v>
      </c>
      <c r="U41" s="7351"/>
      <c r="V41" s="7368"/>
      <c r="W41" s="7368"/>
      <c r="X41" s="7368"/>
      <c r="Y41" s="7368"/>
      <c r="Z41" s="7368"/>
      <c r="AA41" s="7368"/>
      <c r="AB41" s="7368"/>
      <c r="AC41" s="7369"/>
      <c r="AD41" s="7370"/>
      <c r="AE41" s="7368"/>
      <c r="AF41" s="7368"/>
      <c r="AG41" s="7368"/>
      <c r="AH41" s="7368"/>
      <c r="AI41" s="7369"/>
      <c r="AJ41" s="7370"/>
      <c r="AK41" s="7368"/>
      <c r="AL41" s="7368"/>
      <c r="AM41" s="7368"/>
      <c r="AN41" s="7368"/>
      <c r="AO41" s="7368"/>
      <c r="AP41" s="2757"/>
      <c r="BG41" s="3013"/>
      <c r="BH41" s="2595"/>
      <c r="BI41" s="2595"/>
      <c r="BJ41" s="2595"/>
      <c r="BK41" s="2595"/>
      <c r="BL41" s="2595"/>
      <c r="BM41" s="2595"/>
      <c r="BN41" s="2595"/>
      <c r="BO41" s="2595"/>
      <c r="BP41" s="2595"/>
    </row>
    <row r="42" spans="1:68" ht="14.25" customHeight="1">
      <c r="A42" s="2757"/>
      <c r="B42" s="7333">
        <v>17</v>
      </c>
      <c r="C42" s="7263"/>
      <c r="D42" s="3081" t="s">
        <v>675</v>
      </c>
      <c r="E42" s="2213"/>
      <c r="F42" s="2213"/>
      <c r="G42" s="2213"/>
      <c r="H42" s="2213"/>
      <c r="I42" s="2213"/>
      <c r="J42" s="2213"/>
      <c r="K42" s="2213"/>
      <c r="L42" s="2213"/>
      <c r="M42" s="2213"/>
      <c r="N42" s="2213"/>
      <c r="O42" s="2213"/>
      <c r="P42" s="2213"/>
      <c r="Q42" s="2213"/>
      <c r="R42" s="2213"/>
      <c r="S42" s="3489" t="s">
        <v>2126</v>
      </c>
      <c r="T42" s="7350">
        <v>17</v>
      </c>
      <c r="U42" s="7351"/>
      <c r="V42" s="7368"/>
      <c r="W42" s="7368"/>
      <c r="X42" s="7368"/>
      <c r="Y42" s="7368"/>
      <c r="Z42" s="7368"/>
      <c r="AA42" s="7368"/>
      <c r="AB42" s="7368"/>
      <c r="AC42" s="7369"/>
      <c r="AD42" s="7370"/>
      <c r="AE42" s="7368"/>
      <c r="AF42" s="7368"/>
      <c r="AG42" s="7368"/>
      <c r="AH42" s="7368"/>
      <c r="AI42" s="7369"/>
      <c r="AJ42" s="7370"/>
      <c r="AK42" s="7368"/>
      <c r="AL42" s="7368"/>
      <c r="AM42" s="7368"/>
      <c r="AN42" s="7368"/>
      <c r="AO42" s="7368"/>
      <c r="AP42" s="2757"/>
      <c r="AQ42" s="385"/>
      <c r="AR42" s="385"/>
      <c r="AS42" s="385"/>
      <c r="AT42" s="385"/>
      <c r="AU42" s="385"/>
      <c r="BG42" s="3013"/>
      <c r="BH42" s="2595"/>
      <c r="BI42" s="2595"/>
      <c r="BJ42" s="2595"/>
      <c r="BK42" s="2595"/>
      <c r="BL42" s="2595"/>
      <c r="BM42" s="2595"/>
      <c r="BN42" s="2595"/>
      <c r="BO42" s="2595"/>
      <c r="BP42" s="2595"/>
    </row>
    <row r="43" spans="1:68" ht="14.25" customHeight="1">
      <c r="A43" s="2757"/>
      <c r="B43" s="7333">
        <v>18</v>
      </c>
      <c r="C43" s="7263"/>
      <c r="D43" s="3081" t="s">
        <v>676</v>
      </c>
      <c r="E43" s="2213"/>
      <c r="F43" s="2213"/>
      <c r="G43" s="2213"/>
      <c r="H43" s="2213"/>
      <c r="I43" s="2213"/>
      <c r="J43" s="2213"/>
      <c r="K43" s="2213"/>
      <c r="L43" s="2213"/>
      <c r="M43" s="2213"/>
      <c r="N43" s="2213"/>
      <c r="O43" s="2213"/>
      <c r="P43" s="2213"/>
      <c r="Q43" s="2213"/>
      <c r="R43" s="2213"/>
      <c r="S43" s="3489" t="s">
        <v>629</v>
      </c>
      <c r="T43" s="7350">
        <v>18</v>
      </c>
      <c r="U43" s="7351"/>
      <c r="V43" s="7368"/>
      <c r="W43" s="7368"/>
      <c r="X43" s="7368"/>
      <c r="Y43" s="7368"/>
      <c r="Z43" s="7368"/>
      <c r="AA43" s="7368"/>
      <c r="AB43" s="7368"/>
      <c r="AC43" s="7369"/>
      <c r="AD43" s="7370"/>
      <c r="AE43" s="7368"/>
      <c r="AF43" s="7368"/>
      <c r="AG43" s="7368"/>
      <c r="AH43" s="7368"/>
      <c r="AI43" s="7369"/>
      <c r="AJ43" s="7370"/>
      <c r="AK43" s="7368"/>
      <c r="AL43" s="7368"/>
      <c r="AM43" s="7368"/>
      <c r="AN43" s="7368"/>
      <c r="AO43" s="7368"/>
      <c r="AP43" s="2757"/>
      <c r="AQ43" s="385"/>
      <c r="AR43" s="7191" t="s">
        <v>1842</v>
      </c>
      <c r="AS43" s="7371"/>
      <c r="AT43" s="7371"/>
      <c r="AU43" s="385"/>
      <c r="BG43" s="3013"/>
      <c r="BH43" s="2595"/>
      <c r="BI43" s="2595"/>
      <c r="BJ43" s="2595"/>
      <c r="BK43" s="2595"/>
      <c r="BL43" s="2595"/>
      <c r="BM43" s="2595"/>
      <c r="BN43" s="2595"/>
      <c r="BO43" s="2595"/>
      <c r="BP43" s="2595"/>
    </row>
    <row r="44" spans="1:68" ht="14.25" customHeight="1">
      <c r="A44" s="2757"/>
      <c r="B44" s="7333">
        <v>19</v>
      </c>
      <c r="C44" s="7263"/>
      <c r="D44" s="3081" t="s">
        <v>2344</v>
      </c>
      <c r="E44" s="2213"/>
      <c r="F44" s="2213"/>
      <c r="G44" s="2213"/>
      <c r="H44" s="7372"/>
      <c r="I44" s="7372"/>
      <c r="J44" s="7372"/>
      <c r="K44" s="7372"/>
      <c r="L44" s="7372"/>
      <c r="M44" s="7372"/>
      <c r="N44" s="7372"/>
      <c r="O44" s="7372"/>
      <c r="P44" s="7372"/>
      <c r="Q44" s="7372"/>
      <c r="R44" s="7372"/>
      <c r="S44" s="2951"/>
      <c r="T44" s="7350">
        <v>19</v>
      </c>
      <c r="U44" s="7351"/>
      <c r="V44" s="7368"/>
      <c r="W44" s="7368"/>
      <c r="X44" s="7368"/>
      <c r="Y44" s="7368"/>
      <c r="Z44" s="7368"/>
      <c r="AA44" s="7368"/>
      <c r="AB44" s="7368"/>
      <c r="AC44" s="7369"/>
      <c r="AD44" s="7370"/>
      <c r="AE44" s="7368"/>
      <c r="AF44" s="7368"/>
      <c r="AG44" s="7368"/>
      <c r="AH44" s="7368"/>
      <c r="AI44" s="7369"/>
      <c r="AJ44" s="7370"/>
      <c r="AK44" s="7368"/>
      <c r="AL44" s="7368"/>
      <c r="AM44" s="7368"/>
      <c r="AN44" s="7368"/>
      <c r="AO44" s="7368"/>
      <c r="AP44" s="2757"/>
      <c r="AQ44" s="385"/>
      <c r="AR44" s="385"/>
      <c r="AS44" s="385"/>
      <c r="AT44" s="385"/>
      <c r="AU44" s="385"/>
      <c r="BG44" s="3013"/>
      <c r="BH44" s="2595"/>
      <c r="BI44" s="2595"/>
      <c r="BJ44" s="2595"/>
      <c r="BK44" s="2595"/>
      <c r="BL44" s="2595"/>
      <c r="BM44" s="2595"/>
      <c r="BN44" s="2595"/>
      <c r="BO44" s="2595"/>
      <c r="BP44" s="2595"/>
    </row>
    <row r="45" spans="1:68" ht="14.25" customHeight="1">
      <c r="A45" s="2757"/>
      <c r="B45" s="7333">
        <v>20</v>
      </c>
      <c r="C45" s="7263"/>
      <c r="D45" s="3081" t="s">
        <v>687</v>
      </c>
      <c r="E45" s="2213"/>
      <c r="F45" s="2213"/>
      <c r="G45" s="2213"/>
      <c r="H45" s="2213"/>
      <c r="I45" s="2213"/>
      <c r="J45" s="2213"/>
      <c r="K45" s="2213"/>
      <c r="L45" s="2213"/>
      <c r="M45" s="2213"/>
      <c r="N45" s="2213"/>
      <c r="O45" s="2213"/>
      <c r="P45" s="2213"/>
      <c r="Q45" s="2213"/>
      <c r="R45" s="2213"/>
      <c r="S45" s="3489" t="s">
        <v>573</v>
      </c>
      <c r="T45" s="7350">
        <v>20</v>
      </c>
      <c r="U45" s="7351"/>
      <c r="V45" s="7348">
        <f>IF(AR45&lt;&gt;"",ROUND(AR45,0),ROUND(SUM(V30:AC44),0))</f>
        <v>0</v>
      </c>
      <c r="W45" s="7348"/>
      <c r="X45" s="7348"/>
      <c r="Y45" s="7348"/>
      <c r="Z45" s="7348"/>
      <c r="AA45" s="7348"/>
      <c r="AB45" s="7348"/>
      <c r="AC45" s="7349"/>
      <c r="AD45" s="7347">
        <f>IF(AS45&lt;&gt;"",ROUND(AS45,0),ROUND(SUM(AD30:AI44),0))</f>
        <v>0</v>
      </c>
      <c r="AE45" s="7348"/>
      <c r="AF45" s="7348"/>
      <c r="AG45" s="7348"/>
      <c r="AH45" s="7348"/>
      <c r="AI45" s="7349"/>
      <c r="AJ45" s="7362">
        <f>IF(AT45&lt;&gt;"",ROUND(AT45,0),ROUND(SUM(AJ30:AO44),0))</f>
        <v>0</v>
      </c>
      <c r="AK45" s="7336"/>
      <c r="AL45" s="7336"/>
      <c r="AM45" s="7336"/>
      <c r="AN45" s="7336"/>
      <c r="AO45" s="7336"/>
      <c r="AP45" s="2757"/>
      <c r="AQ45" s="385"/>
      <c r="AR45" s="3148"/>
      <c r="AS45" s="3148"/>
      <c r="AT45" s="3148"/>
      <c r="AU45" s="385"/>
      <c r="BG45" s="3013"/>
      <c r="BH45" s="2595"/>
      <c r="BI45" s="2595"/>
      <c r="BJ45" s="2595"/>
      <c r="BK45" s="2595"/>
      <c r="BL45" s="2595"/>
      <c r="BM45" s="2595"/>
      <c r="BN45" s="2595"/>
      <c r="BO45" s="2595"/>
      <c r="BP45" s="2595"/>
    </row>
    <row r="46" spans="1:68" ht="14.25" customHeight="1">
      <c r="A46" s="2757"/>
      <c r="B46" s="7333">
        <v>21</v>
      </c>
      <c r="C46" s="7263"/>
      <c r="D46" s="3081" t="s">
        <v>2758</v>
      </c>
      <c r="E46" s="2213"/>
      <c r="F46" s="2213"/>
      <c r="G46" s="2213"/>
      <c r="H46" s="2213"/>
      <c r="I46" s="2213"/>
      <c r="J46" s="2213"/>
      <c r="K46" s="2213"/>
      <c r="L46" s="2213"/>
      <c r="M46" s="2213"/>
      <c r="N46" s="2213"/>
      <c r="O46" s="2213"/>
      <c r="P46" s="2213"/>
      <c r="Q46" s="2213"/>
      <c r="R46" s="2213"/>
      <c r="S46" s="2951"/>
      <c r="T46" s="7363"/>
      <c r="U46" s="7364"/>
      <c r="V46" s="7365"/>
      <c r="W46" s="7366"/>
      <c r="X46" s="7366"/>
      <c r="Y46" s="7366"/>
      <c r="Z46" s="7366"/>
      <c r="AA46" s="7366"/>
      <c r="AB46" s="7366"/>
      <c r="AC46" s="7367"/>
      <c r="AD46" s="7365"/>
      <c r="AE46" s="7366"/>
      <c r="AF46" s="7366"/>
      <c r="AG46" s="7366"/>
      <c r="AH46" s="7366"/>
      <c r="AI46" s="7367"/>
      <c r="AJ46" s="7365"/>
      <c r="AK46" s="7366"/>
      <c r="AL46" s="7366"/>
      <c r="AM46" s="7366"/>
      <c r="AN46" s="7366"/>
      <c r="AO46" s="7366"/>
      <c r="AP46" s="2757"/>
      <c r="AQ46" s="385"/>
      <c r="AR46" s="385"/>
      <c r="AS46" s="385"/>
      <c r="AT46" s="385"/>
      <c r="AU46" s="385"/>
      <c r="AX46" s="147"/>
      <c r="AY46" s="7360" t="s">
        <v>143</v>
      </c>
      <c r="AZ46" s="7361"/>
      <c r="BA46" s="7360" t="s">
        <v>288</v>
      </c>
      <c r="BB46" s="7361"/>
      <c r="BC46" s="7360" t="s">
        <v>144</v>
      </c>
      <c r="BD46" s="7361"/>
      <c r="BG46" s="3013"/>
      <c r="BH46" s="2595"/>
      <c r="BI46" s="2595"/>
      <c r="BJ46" s="2595"/>
      <c r="BK46" s="2595"/>
      <c r="BL46" s="2595"/>
      <c r="BM46" s="2595"/>
      <c r="BN46" s="2595"/>
      <c r="BO46" s="2595"/>
      <c r="BP46" s="2595"/>
    </row>
    <row r="47" spans="1:68" ht="14.25" customHeight="1">
      <c r="A47" s="2757"/>
      <c r="B47" s="7333"/>
      <c r="C47" s="7263"/>
      <c r="D47" s="3081" t="s">
        <v>2757</v>
      </c>
      <c r="E47" s="2213"/>
      <c r="F47" s="2213"/>
      <c r="G47" s="2213"/>
      <c r="H47" s="2213"/>
      <c r="I47" s="2213"/>
      <c r="J47" s="2213"/>
      <c r="K47" s="2213"/>
      <c r="L47" s="2213"/>
      <c r="M47" s="2213"/>
      <c r="N47" s="2213"/>
      <c r="O47" s="2213"/>
      <c r="P47" s="2213"/>
      <c r="Q47" s="2213"/>
      <c r="R47" s="2213"/>
      <c r="S47" s="2951"/>
      <c r="T47" s="7354"/>
      <c r="U47" s="7355"/>
      <c r="V47" s="7356"/>
      <c r="W47" s="7357"/>
      <c r="X47" s="7357"/>
      <c r="Y47" s="7357"/>
      <c r="Z47" s="7357"/>
      <c r="AA47" s="7357"/>
      <c r="AB47" s="7357"/>
      <c r="AC47" s="7358"/>
      <c r="AD47" s="7356"/>
      <c r="AE47" s="7357"/>
      <c r="AF47" s="7357"/>
      <c r="AG47" s="7357"/>
      <c r="AH47" s="7357"/>
      <c r="AI47" s="7358"/>
      <c r="AJ47" s="7356"/>
      <c r="AK47" s="7357"/>
      <c r="AL47" s="7357"/>
      <c r="AM47" s="7357"/>
      <c r="AN47" s="7357"/>
      <c r="AO47" s="7357"/>
      <c r="AP47" s="2757"/>
      <c r="AQ47" s="385"/>
      <c r="AR47" s="385"/>
      <c r="AS47" s="385"/>
      <c r="AT47" s="385"/>
      <c r="AU47" s="385"/>
      <c r="AX47" s="147"/>
      <c r="AY47" s="1142" t="s">
        <v>699</v>
      </c>
      <c r="AZ47" s="1142" t="s">
        <v>700</v>
      </c>
      <c r="BA47" s="1142" t="s">
        <v>699</v>
      </c>
      <c r="BB47" s="1142" t="s">
        <v>700</v>
      </c>
      <c r="BC47" s="1142" t="s">
        <v>699</v>
      </c>
      <c r="BD47" s="1142" t="s">
        <v>700</v>
      </c>
      <c r="BG47" s="3013"/>
      <c r="BH47" s="2595"/>
      <c r="BI47" s="2595"/>
      <c r="BJ47" s="2595"/>
      <c r="BK47" s="2595"/>
      <c r="BL47" s="2595"/>
      <c r="BM47" s="2595"/>
      <c r="BN47" s="2595"/>
      <c r="BO47" s="2595"/>
      <c r="BP47" s="2595"/>
    </row>
    <row r="48" spans="1:68" ht="14.25" customHeight="1">
      <c r="A48" s="2757"/>
      <c r="B48" s="7333"/>
      <c r="C48" s="7263"/>
      <c r="D48" s="3081" t="s">
        <v>2756</v>
      </c>
      <c r="E48" s="2213"/>
      <c r="F48" s="2213"/>
      <c r="G48" s="2213"/>
      <c r="H48" s="2213"/>
      <c r="I48" s="2213"/>
      <c r="J48" s="2213"/>
      <c r="K48" s="2213"/>
      <c r="L48" s="2213"/>
      <c r="M48" s="2213"/>
      <c r="N48" s="2213"/>
      <c r="O48" s="2213"/>
      <c r="P48" s="2213"/>
      <c r="Q48" s="2213"/>
      <c r="R48" s="2213"/>
      <c r="S48" s="3489" t="s">
        <v>276</v>
      </c>
      <c r="T48" s="7350">
        <v>21</v>
      </c>
      <c r="U48" s="7351"/>
      <c r="V48" s="7347">
        <f>IF(AR48&lt;&gt;"",ROUND(AR48,0),ROUND(SUM(V27,V28,-V45),0))</f>
        <v>0</v>
      </c>
      <c r="W48" s="7348"/>
      <c r="X48" s="7348"/>
      <c r="Y48" s="7348"/>
      <c r="Z48" s="7348"/>
      <c r="AA48" s="7348"/>
      <c r="AB48" s="7348"/>
      <c r="AC48" s="7349"/>
      <c r="AD48" s="7347">
        <f>IF(AS48&lt;&gt;"",ROUND(AS48,0),ROUND(SUM(AD27,AD28,-AD45),0))</f>
        <v>0</v>
      </c>
      <c r="AE48" s="7348"/>
      <c r="AF48" s="7348"/>
      <c r="AG48" s="7348"/>
      <c r="AH48" s="7348"/>
      <c r="AI48" s="7349"/>
      <c r="AJ48" s="7347">
        <f>IF(AT48&lt;&gt;"",ROUND(AT48,0),ROUND(SUM(AJ27,AJ28,-AJ45),0))</f>
        <v>0</v>
      </c>
      <c r="AK48" s="7348"/>
      <c r="AL48" s="7348"/>
      <c r="AM48" s="7348"/>
      <c r="AN48" s="7348"/>
      <c r="AO48" s="7348"/>
      <c r="AP48" s="2757"/>
      <c r="AQ48" s="385"/>
      <c r="AR48" s="3148"/>
      <c r="AS48" s="3148"/>
      <c r="AT48" s="3148"/>
      <c r="AU48" s="385"/>
      <c r="AX48" s="1144" t="s">
        <v>702</v>
      </c>
      <c r="AY48" s="1141">
        <f>IF(V48&gt;0,V48,0)</f>
        <v>0</v>
      </c>
      <c r="AZ48" s="1141">
        <f>IF(V48&lt;0,V48,0)</f>
        <v>0</v>
      </c>
      <c r="BA48" s="1141">
        <f>IF(AD48&gt;0,AD48,0)</f>
        <v>0</v>
      </c>
      <c r="BB48" s="1141">
        <f>IF(AD48&lt;0,AD48,0)</f>
        <v>0</v>
      </c>
      <c r="BC48" s="1141">
        <f>IF(AJ48&gt;0,AJ48,0)</f>
        <v>0</v>
      </c>
      <c r="BD48" s="1141">
        <f>IF(AJ48&lt;0,AJ48,0)</f>
        <v>0</v>
      </c>
      <c r="BG48" s="3013"/>
      <c r="BH48" s="2595"/>
      <c r="BI48" s="2595"/>
      <c r="BJ48" s="2595"/>
      <c r="BK48" s="2595"/>
      <c r="BL48" s="2595"/>
      <c r="BM48" s="2595"/>
      <c r="BN48" s="2595"/>
      <c r="BO48" s="2595"/>
      <c r="BP48" s="2595"/>
    </row>
    <row r="49" spans="1:68" ht="14.25" customHeight="1">
      <c r="A49" s="2757"/>
      <c r="B49" s="7333">
        <v>22</v>
      </c>
      <c r="C49" s="7263"/>
      <c r="D49" s="3081" t="s">
        <v>2345</v>
      </c>
      <c r="E49" s="2213"/>
      <c r="F49" s="2213"/>
      <c r="G49" s="2213"/>
      <c r="H49" s="2213"/>
      <c r="I49" s="2213"/>
      <c r="J49" s="2213"/>
      <c r="K49" s="2213"/>
      <c r="L49" s="2213"/>
      <c r="M49" s="2213"/>
      <c r="N49" s="2213"/>
      <c r="O49" s="2213"/>
      <c r="P49" s="2213"/>
      <c r="Q49" s="2213"/>
      <c r="R49" s="2213"/>
      <c r="S49" s="2951"/>
      <c r="T49" s="7354"/>
      <c r="U49" s="7355"/>
      <c r="V49" s="7356"/>
      <c r="W49" s="7357"/>
      <c r="X49" s="7357"/>
      <c r="Y49" s="7357"/>
      <c r="Z49" s="7357"/>
      <c r="AA49" s="7357"/>
      <c r="AB49" s="7357"/>
      <c r="AC49" s="7358"/>
      <c r="AD49" s="7356"/>
      <c r="AE49" s="7357"/>
      <c r="AF49" s="7357"/>
      <c r="AG49" s="7357"/>
      <c r="AH49" s="7357"/>
      <c r="AI49" s="7358"/>
      <c r="AJ49" s="7356"/>
      <c r="AK49" s="7357"/>
      <c r="AL49" s="7357"/>
      <c r="AM49" s="7357"/>
      <c r="AN49" s="7357"/>
      <c r="AO49" s="7357"/>
      <c r="AP49" s="2757"/>
      <c r="AQ49" s="385"/>
      <c r="AR49" s="385"/>
      <c r="AS49" s="385"/>
      <c r="AT49" s="385"/>
      <c r="AU49" s="385"/>
      <c r="AX49" s="1144" t="s">
        <v>677</v>
      </c>
      <c r="AY49" s="1160" t="s">
        <v>709</v>
      </c>
      <c r="AZ49" s="1141">
        <f>IF(W50&lt;&gt;"",-W50,0)</f>
        <v>0</v>
      </c>
      <c r="BA49" s="1160" t="s">
        <v>709</v>
      </c>
      <c r="BB49" s="1141">
        <f>IF(AE50&lt;&gt;"",-AE50,0)</f>
        <v>0</v>
      </c>
      <c r="BC49" s="1160" t="s">
        <v>709</v>
      </c>
      <c r="BD49" s="1141">
        <f>IF(AK50&lt;&gt;"",-AK50,0)</f>
        <v>0</v>
      </c>
      <c r="BG49" s="3013"/>
      <c r="BH49" s="2595"/>
      <c r="BI49" s="2595"/>
      <c r="BJ49" s="2595"/>
      <c r="BK49" s="2595"/>
      <c r="BL49" s="2595"/>
      <c r="BM49" s="2595"/>
      <c r="BN49" s="2595"/>
      <c r="BO49" s="2595"/>
      <c r="BP49" s="2595"/>
    </row>
    <row r="50" spans="1:68" ht="14.25" customHeight="1">
      <c r="A50" s="2757"/>
      <c r="B50" s="7333"/>
      <c r="C50" s="7263"/>
      <c r="D50" s="3081" t="s">
        <v>2755</v>
      </c>
      <c r="E50" s="2213"/>
      <c r="F50" s="2213"/>
      <c r="G50" s="2213"/>
      <c r="H50" s="2213"/>
      <c r="I50" s="2213"/>
      <c r="J50" s="2213"/>
      <c r="K50" s="2213"/>
      <c r="L50" s="2213"/>
      <c r="M50" s="2213"/>
      <c r="N50" s="2213"/>
      <c r="O50" s="2213"/>
      <c r="P50" s="2213"/>
      <c r="Q50" s="2213"/>
      <c r="R50" s="2213"/>
      <c r="S50" s="3489" t="s">
        <v>629</v>
      </c>
      <c r="T50" s="7350">
        <v>22</v>
      </c>
      <c r="U50" s="7351"/>
      <c r="V50" s="3152" t="s">
        <v>916</v>
      </c>
      <c r="W50" s="7348" t="str">
        <f>IF(AND(AR50&lt;0,AR50&lt;&gt;""),-ROUND(AR50,0),IF(AND(AR50&gt;=0,AR50&lt;&gt;""),ROUND(AR50,0),IF(AND(D20&lt;&gt;6,V48&lt;0),ROUND(-V48,0),"")))</f>
        <v/>
      </c>
      <c r="X50" s="7359"/>
      <c r="Y50" s="7359"/>
      <c r="Z50" s="7359"/>
      <c r="AA50" s="7359"/>
      <c r="AB50" s="7359"/>
      <c r="AC50" s="3151" t="s">
        <v>917</v>
      </c>
      <c r="AD50" s="3152" t="s">
        <v>916</v>
      </c>
      <c r="AE50" s="7348" t="str">
        <f>IF(AND(AS50&lt;0,AS50&lt;&gt;""),-ROUND(AS50,0),IF(AND(AS50&gt;=0,AS50&lt;&gt;""),ROUND(AS50,0),IF(AND(D21&lt;&gt;6,AD48&lt;0),ROUND(-AD48,0),"")))</f>
        <v/>
      </c>
      <c r="AF50" s="7359"/>
      <c r="AG50" s="7359"/>
      <c r="AH50" s="7359"/>
      <c r="AI50" s="3151" t="s">
        <v>917</v>
      </c>
      <c r="AJ50" s="3152" t="s">
        <v>916</v>
      </c>
      <c r="AK50" s="7348" t="str">
        <f>IF(AND(AT50&lt;0,AT50&lt;&gt;""),-ROUND(AT50,0),IF(AND(AT50&gt;=0,AT50&lt;&gt;""),ROUND(AT50,0),IF(AND(D22&lt;&gt;6,AJ48&lt;0),ROUND(-AJ48,0),"")))</f>
        <v/>
      </c>
      <c r="AL50" s="7359"/>
      <c r="AM50" s="7359"/>
      <c r="AN50" s="7359"/>
      <c r="AO50" s="3150" t="s">
        <v>917</v>
      </c>
      <c r="AP50" s="2757"/>
      <c r="AQ50" s="385"/>
      <c r="AR50" s="3148"/>
      <c r="AS50" s="3148"/>
      <c r="AT50" s="3148"/>
      <c r="AU50" s="385"/>
      <c r="AX50" s="1144"/>
      <c r="AY50" s="1143" t="s">
        <v>701</v>
      </c>
      <c r="AZ50" s="1141">
        <f>IF(D20=6,AZ48,0)</f>
        <v>0</v>
      </c>
      <c r="BA50"/>
      <c r="BB50" s="1141">
        <f>IF(D21=6,BB48,0)</f>
        <v>0</v>
      </c>
      <c r="BC50"/>
      <c r="BD50" s="1141">
        <f>IF(D22=6,BD48,0)</f>
        <v>0</v>
      </c>
      <c r="BG50" s="3013"/>
      <c r="BH50" s="2595"/>
      <c r="BI50" s="2595"/>
      <c r="BJ50" s="2595"/>
      <c r="BK50" s="2595"/>
      <c r="BL50" s="2595"/>
      <c r="BM50" s="2595"/>
      <c r="BN50" s="2595"/>
      <c r="BO50" s="2595"/>
      <c r="BP50" s="2595"/>
    </row>
    <row r="51" spans="1:68" ht="14.25" customHeight="1">
      <c r="A51" s="2757"/>
      <c r="B51" s="7333" t="s">
        <v>688</v>
      </c>
      <c r="C51" s="7263"/>
      <c r="D51" s="3081" t="s">
        <v>748</v>
      </c>
      <c r="E51" s="2213"/>
      <c r="F51" s="2213"/>
      <c r="G51" s="2213"/>
      <c r="H51" s="2213"/>
      <c r="I51" s="2213"/>
      <c r="J51" s="2213"/>
      <c r="K51" s="2213"/>
      <c r="L51" s="2213"/>
      <c r="M51" s="2213"/>
      <c r="N51" s="2213"/>
      <c r="O51" s="2213"/>
      <c r="P51" s="2213"/>
      <c r="Q51" s="2213"/>
      <c r="R51" s="2213"/>
      <c r="S51" s="2213"/>
      <c r="T51" s="2213"/>
      <c r="U51" s="2213"/>
      <c r="V51" s="2213"/>
      <c r="W51" s="2213"/>
      <c r="X51" s="2213"/>
      <c r="Y51" s="2213"/>
      <c r="Z51" s="2213"/>
      <c r="AA51" s="3489" t="s">
        <v>529</v>
      </c>
      <c r="AB51" s="7334" t="s">
        <v>688</v>
      </c>
      <c r="AC51" s="7335"/>
      <c r="AD51" s="7347">
        <f>IF(AR51&lt;&gt;"",ROUND(AR51,0),ROUND(BC23,0))</f>
        <v>0</v>
      </c>
      <c r="AE51" s="7348"/>
      <c r="AF51" s="7348"/>
      <c r="AG51" s="7348"/>
      <c r="AH51" s="7348"/>
      <c r="AI51" s="7349"/>
      <c r="AJ51" s="2757"/>
      <c r="AK51" s="2757"/>
      <c r="AL51" s="2757"/>
      <c r="AM51" s="2757"/>
      <c r="AN51" s="2757"/>
      <c r="AO51" s="2757"/>
      <c r="AP51" s="2757"/>
      <c r="AQ51" s="385"/>
      <c r="AR51" s="3148"/>
      <c r="AS51" s="385"/>
      <c r="AT51" s="385"/>
      <c r="AU51" s="385"/>
      <c r="AX51" s="147"/>
      <c r="AY51" s="1143" t="s">
        <v>703</v>
      </c>
      <c r="AZ51" s="1141">
        <f>IF(D20&lt;&gt;6,AZ48,0)</f>
        <v>0</v>
      </c>
      <c r="BA51"/>
      <c r="BB51" s="1141">
        <f>IF(D21&lt;&gt;6,BB48,0)</f>
        <v>0</v>
      </c>
      <c r="BC51"/>
      <c r="BD51" s="1141">
        <f>IF(D22&lt;&gt;6,BD48,0)</f>
        <v>0</v>
      </c>
      <c r="BG51" s="3013"/>
      <c r="BH51" s="2595"/>
      <c r="BI51" s="2595"/>
      <c r="BJ51" s="2595"/>
      <c r="BK51" s="2595"/>
      <c r="BL51" s="2595"/>
      <c r="BM51" s="2595"/>
      <c r="BN51" s="2595"/>
      <c r="BO51" s="2595"/>
      <c r="BP51" s="2595"/>
    </row>
    <row r="52" spans="1:68" ht="14.25" customHeight="1">
      <c r="A52" s="2757"/>
      <c r="B52" s="7345" t="s">
        <v>47</v>
      </c>
      <c r="C52" s="7346"/>
      <c r="D52" s="3081" t="s">
        <v>690</v>
      </c>
      <c r="E52" s="2213"/>
      <c r="F52" s="2213"/>
      <c r="G52" s="2213"/>
      <c r="H52" s="2213"/>
      <c r="I52" s="2213"/>
      <c r="J52" s="2213"/>
      <c r="K52" s="2213"/>
      <c r="L52" s="2213"/>
      <c r="M52" s="2213"/>
      <c r="N52" s="2213"/>
      <c r="O52" s="2213"/>
      <c r="P52" s="2213"/>
      <c r="Q52" s="2213"/>
      <c r="R52" s="2213"/>
      <c r="S52" s="2213"/>
      <c r="T52" s="2213"/>
      <c r="U52" s="2213"/>
      <c r="V52" s="2213"/>
      <c r="W52" s="2213"/>
      <c r="X52" s="2213"/>
      <c r="Y52" s="2213"/>
      <c r="Z52" s="2213"/>
      <c r="AA52" s="3489" t="s">
        <v>573</v>
      </c>
      <c r="AB52" s="7334" t="s">
        <v>689</v>
      </c>
      <c r="AC52" s="7335"/>
      <c r="AD52" s="7347">
        <f>IF(AR52&lt;&gt;"",ROUND(AR52,0),ROUND(BC24,0))</f>
        <v>0</v>
      </c>
      <c r="AE52" s="7348"/>
      <c r="AF52" s="7348"/>
      <c r="AG52" s="7348"/>
      <c r="AH52" s="7348"/>
      <c r="AI52" s="7349"/>
      <c r="AJ52" s="2757"/>
      <c r="AK52" s="2757"/>
      <c r="AL52" s="2757"/>
      <c r="AM52" s="2757"/>
      <c r="AN52" s="2757"/>
      <c r="AO52" s="2757"/>
      <c r="AP52" s="2757"/>
      <c r="AQ52" s="385"/>
      <c r="AR52" s="3148"/>
      <c r="AS52" s="385"/>
      <c r="AT52" s="385"/>
      <c r="AU52" s="385"/>
      <c r="BG52" s="3013"/>
      <c r="BH52" s="2595"/>
      <c r="BI52" s="2595"/>
      <c r="BJ52" s="2595"/>
      <c r="BK52" s="2595"/>
      <c r="BL52" s="2595"/>
      <c r="BM52" s="2595"/>
      <c r="BN52" s="2595"/>
      <c r="BO52" s="2595"/>
      <c r="BP52" s="2595"/>
    </row>
    <row r="53" spans="1:68" ht="14.25" customHeight="1">
      <c r="A53" s="2757"/>
      <c r="B53" s="7345" t="s">
        <v>48</v>
      </c>
      <c r="C53" s="7346"/>
      <c r="D53" s="3081" t="s">
        <v>691</v>
      </c>
      <c r="E53" s="2213"/>
      <c r="F53" s="2213"/>
      <c r="G53" s="2213"/>
      <c r="H53" s="2213"/>
      <c r="I53" s="2213"/>
      <c r="J53" s="2213"/>
      <c r="K53" s="2213"/>
      <c r="L53" s="2213"/>
      <c r="M53" s="2213"/>
      <c r="N53" s="2213"/>
      <c r="O53" s="2213"/>
      <c r="P53" s="2213"/>
      <c r="Q53" s="2213"/>
      <c r="R53" s="2213"/>
      <c r="S53" s="2213"/>
      <c r="T53" s="2213"/>
      <c r="U53" s="2213"/>
      <c r="V53" s="2213"/>
      <c r="W53" s="2213"/>
      <c r="X53" s="2213"/>
      <c r="Y53" s="2213"/>
      <c r="Z53" s="2213"/>
      <c r="AA53" s="3489" t="s">
        <v>560</v>
      </c>
      <c r="AB53" s="7334" t="s">
        <v>694</v>
      </c>
      <c r="AC53" s="7335"/>
      <c r="AD53" s="7347">
        <f>IF(AR53&lt;&gt;"",ROUND(AR53,0),ROUND(SUM(V37,AD37,AJ37),0))</f>
        <v>0</v>
      </c>
      <c r="AE53" s="7348"/>
      <c r="AF53" s="7348"/>
      <c r="AG53" s="7348"/>
      <c r="AH53" s="7348"/>
      <c r="AI53" s="7349"/>
      <c r="AJ53" s="2757"/>
      <c r="AK53" s="2757"/>
      <c r="AL53" s="2757"/>
      <c r="AM53" s="2757"/>
      <c r="AN53" s="2757"/>
      <c r="AO53" s="2757"/>
      <c r="AP53" s="2757"/>
      <c r="AQ53" s="385"/>
      <c r="AR53" s="3148"/>
      <c r="AS53" s="385"/>
      <c r="AT53" s="385"/>
      <c r="AU53" s="385"/>
      <c r="BG53" s="3013"/>
      <c r="BH53" s="2595"/>
      <c r="BI53" s="2595"/>
      <c r="BJ53" s="2595"/>
      <c r="BK53" s="2595"/>
      <c r="BL53" s="2595"/>
      <c r="BM53" s="2595"/>
      <c r="BN53" s="2595"/>
      <c r="BO53" s="2595"/>
      <c r="BP53" s="2595"/>
    </row>
    <row r="54" spans="1:68" ht="14.25" customHeight="1">
      <c r="A54" s="2757"/>
      <c r="B54" s="7345" t="s">
        <v>92</v>
      </c>
      <c r="C54" s="7346"/>
      <c r="D54" s="3081" t="s">
        <v>692</v>
      </c>
      <c r="E54" s="2213"/>
      <c r="F54" s="2213"/>
      <c r="G54" s="2213"/>
      <c r="H54" s="2213"/>
      <c r="I54" s="2213"/>
      <c r="J54" s="2213"/>
      <c r="K54" s="2213"/>
      <c r="L54" s="2213"/>
      <c r="M54" s="2213"/>
      <c r="N54" s="2213"/>
      <c r="O54" s="2213"/>
      <c r="P54" s="2213"/>
      <c r="Q54" s="2213"/>
      <c r="R54" s="2213"/>
      <c r="S54" s="2213"/>
      <c r="T54" s="2213"/>
      <c r="U54" s="2213"/>
      <c r="V54" s="2213"/>
      <c r="W54" s="2213"/>
      <c r="X54" s="2213"/>
      <c r="Y54" s="2213"/>
      <c r="Z54" s="2213"/>
      <c r="AA54" s="3489" t="s">
        <v>560</v>
      </c>
      <c r="AB54" s="7334" t="s">
        <v>695</v>
      </c>
      <c r="AC54" s="7335"/>
      <c r="AD54" s="7347">
        <f>IF(AR54&lt;&gt;"",ROUND(AR54,0),ROUND(SUM(V43,AD43,AJ43),0))</f>
        <v>0</v>
      </c>
      <c r="AE54" s="7348"/>
      <c r="AF54" s="7348"/>
      <c r="AG54" s="7348"/>
      <c r="AH54" s="7348"/>
      <c r="AI54" s="7349"/>
      <c r="AJ54" s="2757"/>
      <c r="AK54" s="2757"/>
      <c r="AL54" s="2757"/>
      <c r="AM54" s="2757"/>
      <c r="AN54" s="2757"/>
      <c r="AO54" s="2757"/>
      <c r="AP54" s="2757"/>
      <c r="AQ54" s="385"/>
      <c r="AR54" s="3148"/>
      <c r="AS54" s="385"/>
      <c r="AT54" s="385"/>
      <c r="AU54" s="385"/>
      <c r="BG54" s="3013"/>
      <c r="BH54" s="2595"/>
      <c r="BI54" s="2595"/>
      <c r="BJ54" s="2595"/>
      <c r="BK54" s="2595"/>
      <c r="BL54" s="2595"/>
      <c r="BM54" s="2595"/>
      <c r="BN54" s="2595"/>
      <c r="BO54" s="2595"/>
      <c r="BP54" s="2595"/>
    </row>
    <row r="55" spans="1:68" ht="14.25" customHeight="1">
      <c r="A55" s="2757"/>
      <c r="B55" s="7345" t="s">
        <v>964</v>
      </c>
      <c r="C55" s="7346"/>
      <c r="D55" s="3081" t="s">
        <v>693</v>
      </c>
      <c r="E55" s="2213"/>
      <c r="F55" s="2213"/>
      <c r="G55" s="2213"/>
      <c r="H55" s="2213"/>
      <c r="I55" s="2213"/>
      <c r="J55" s="2213"/>
      <c r="K55" s="2213"/>
      <c r="L55" s="2213"/>
      <c r="M55" s="2213"/>
      <c r="N55" s="2213"/>
      <c r="O55" s="2213"/>
      <c r="P55" s="2213"/>
      <c r="Q55" s="2213"/>
      <c r="R55" s="2213"/>
      <c r="S55" s="2213"/>
      <c r="T55" s="2213"/>
      <c r="U55" s="2213"/>
      <c r="V55" s="2213"/>
      <c r="W55" s="2213"/>
      <c r="X55" s="2213"/>
      <c r="Y55" s="2213"/>
      <c r="Z55" s="2213"/>
      <c r="AA55" s="3489" t="s">
        <v>560</v>
      </c>
      <c r="AB55" s="7334" t="s">
        <v>696</v>
      </c>
      <c r="AC55" s="7335"/>
      <c r="AD55" s="7347">
        <f>IF(AR55&lt;&gt;"",ROUND(AR55,0),ROUND(SUM(V45,AD45,AJ45),0))</f>
        <v>0</v>
      </c>
      <c r="AE55" s="7348"/>
      <c r="AF55" s="7348"/>
      <c r="AG55" s="7348"/>
      <c r="AH55" s="7348"/>
      <c r="AI55" s="7349"/>
      <c r="AJ55" s="2757"/>
      <c r="AK55" s="2757"/>
      <c r="AL55" s="2757"/>
      <c r="AM55" s="2757"/>
      <c r="AN55" s="2757"/>
      <c r="AO55" s="2757"/>
      <c r="AP55" s="2757"/>
      <c r="AQ55" s="385"/>
      <c r="AR55" s="3148"/>
      <c r="AS55" s="385"/>
      <c r="AT55" s="385"/>
      <c r="AU55" s="385"/>
      <c r="BG55" s="3013"/>
      <c r="BH55" s="2595"/>
      <c r="BI55" s="2595"/>
      <c r="BJ55" s="2595"/>
      <c r="BK55" s="2595"/>
      <c r="BL55" s="2595"/>
      <c r="BM55" s="2595"/>
      <c r="BN55" s="2595"/>
      <c r="BO55" s="2595"/>
      <c r="BP55" s="2595"/>
    </row>
    <row r="56" spans="1:68" ht="14.25" customHeight="1">
      <c r="A56" s="2757"/>
      <c r="B56" s="7333">
        <v>24</v>
      </c>
      <c r="C56" s="7263"/>
      <c r="D56" s="3081" t="s">
        <v>2346</v>
      </c>
      <c r="E56" s="2213"/>
      <c r="F56" s="2213"/>
      <c r="G56" s="2213"/>
      <c r="H56" s="2213"/>
      <c r="I56" s="2213"/>
      <c r="J56" s="2213"/>
      <c r="K56" s="2213"/>
      <c r="L56" s="2213"/>
      <c r="M56" s="2213"/>
      <c r="N56" s="2213"/>
      <c r="O56" s="2213"/>
      <c r="P56" s="2213"/>
      <c r="Q56" s="2213"/>
      <c r="R56" s="2213"/>
      <c r="S56" s="2213"/>
      <c r="T56" s="2213"/>
      <c r="U56" s="2213"/>
      <c r="V56" s="2213"/>
      <c r="W56" s="2213"/>
      <c r="X56" s="2213"/>
      <c r="Y56" s="2213"/>
      <c r="Z56" s="2213"/>
      <c r="AA56" s="2213"/>
      <c r="AB56" s="2213"/>
      <c r="AC56" s="2213"/>
      <c r="AD56" s="2213"/>
      <c r="AE56" s="2213"/>
      <c r="AF56" s="2213"/>
      <c r="AG56" s="3489" t="s">
        <v>698</v>
      </c>
      <c r="AH56" s="7350">
        <v>24</v>
      </c>
      <c r="AI56" s="7351"/>
      <c r="AJ56" s="7352">
        <f>IF(AR56&lt;&gt;"",ROUND(AR56,0),ROUND(SUM(AY48,BA48,BC48),0))</f>
        <v>0</v>
      </c>
      <c r="AK56" s="7353"/>
      <c r="AL56" s="7353"/>
      <c r="AM56" s="7353"/>
      <c r="AN56" s="7353"/>
      <c r="AO56" s="7353"/>
      <c r="AP56" s="2757"/>
      <c r="AQ56" s="385"/>
      <c r="AR56" s="3148"/>
      <c r="AS56" s="385"/>
      <c r="AT56" s="385"/>
      <c r="AU56" s="385"/>
      <c r="BG56" s="3013"/>
      <c r="BH56" s="2595"/>
      <c r="BI56" s="2595"/>
      <c r="BJ56" s="2595"/>
      <c r="BK56" s="2595"/>
      <c r="BL56" s="2595"/>
      <c r="BM56" s="2595"/>
      <c r="BN56" s="2595"/>
      <c r="BO56" s="2595"/>
      <c r="BP56" s="2595"/>
    </row>
    <row r="57" spans="1:68" ht="14.25" customHeight="1">
      <c r="A57" s="2757"/>
      <c r="B57" s="7333">
        <v>25</v>
      </c>
      <c r="C57" s="7263"/>
      <c r="D57" s="3104" t="s">
        <v>2347</v>
      </c>
      <c r="E57" s="2213"/>
      <c r="F57" s="2213"/>
      <c r="G57" s="2213"/>
      <c r="H57" s="2213"/>
      <c r="I57" s="2213"/>
      <c r="J57" s="2213"/>
      <c r="K57" s="2213"/>
      <c r="L57" s="2213"/>
      <c r="M57" s="2213"/>
      <c r="N57" s="2213"/>
      <c r="O57" s="2213"/>
      <c r="P57" s="2213"/>
      <c r="Q57" s="2213"/>
      <c r="R57" s="2213"/>
      <c r="S57" s="2213"/>
      <c r="T57" s="2213"/>
      <c r="U57" s="2213"/>
      <c r="V57" s="2213"/>
      <c r="W57" s="2213"/>
      <c r="X57" s="2213"/>
      <c r="Y57" s="2213"/>
      <c r="Z57" s="2213"/>
      <c r="AA57" s="2213"/>
      <c r="AB57" s="2213"/>
      <c r="AC57" s="2213"/>
      <c r="AD57" s="2213"/>
      <c r="AE57" s="2213"/>
      <c r="AF57" s="2213"/>
      <c r="AG57" s="2213"/>
      <c r="AH57" s="7334">
        <v>25</v>
      </c>
      <c r="AI57" s="7335"/>
      <c r="AJ57" s="3153" t="s">
        <v>916</v>
      </c>
      <c r="AK57" s="7336">
        <f>-AK58</f>
        <v>0</v>
      </c>
      <c r="AL57" s="7337"/>
      <c r="AM57" s="7337"/>
      <c r="AN57" s="7337"/>
      <c r="AO57" s="3154" t="s">
        <v>917</v>
      </c>
      <c r="AP57" s="2757"/>
      <c r="AQ57" s="385"/>
      <c r="AR57" s="3148"/>
      <c r="AS57" s="385"/>
      <c r="AT57" s="385"/>
      <c r="AU57" s="385"/>
      <c r="BG57" s="3013"/>
      <c r="BH57" s="2595"/>
      <c r="BI57" s="2595"/>
      <c r="BJ57" s="2595"/>
      <c r="BK57" s="2595"/>
      <c r="BL57" s="2595"/>
      <c r="BM57" s="2595"/>
      <c r="BN57" s="2595"/>
      <c r="BO57" s="2595"/>
      <c r="BP57" s="2595"/>
    </row>
    <row r="58" spans="1:68" ht="14.25" customHeight="1">
      <c r="A58" s="2757"/>
      <c r="B58" s="7333">
        <v>26</v>
      </c>
      <c r="C58" s="7263"/>
      <c r="D58" s="3081" t="s">
        <v>2759</v>
      </c>
      <c r="E58" s="2213"/>
      <c r="F58" s="2213"/>
      <c r="G58" s="2213"/>
      <c r="H58" s="2213"/>
      <c r="I58" s="2213"/>
      <c r="J58" s="2213"/>
      <c r="K58" s="2213"/>
      <c r="L58" s="2213"/>
      <c r="M58" s="2213"/>
      <c r="N58" s="2213"/>
      <c r="O58" s="2213"/>
      <c r="P58" s="2213"/>
      <c r="Q58" s="2213"/>
      <c r="R58" s="2213"/>
      <c r="S58" s="2213"/>
      <c r="T58" s="2974"/>
      <c r="U58" s="3102"/>
      <c r="V58" s="3103"/>
      <c r="W58" s="3103"/>
      <c r="X58" s="3103"/>
      <c r="Y58" s="3103"/>
      <c r="Z58" s="3103"/>
      <c r="AA58" s="3103"/>
      <c r="AB58" s="3103"/>
      <c r="AC58" s="3103"/>
      <c r="AD58" s="3103"/>
      <c r="AE58" s="3103"/>
      <c r="AF58" s="3103"/>
      <c r="AG58" s="3103"/>
      <c r="AH58" s="3105"/>
      <c r="AI58" s="3106"/>
      <c r="AJ58" s="3103"/>
      <c r="AK58" s="7344">
        <f>IF(AND(AR57&lt;&gt;"",AR57&gt;=0),-ROUND(AR57,0),IF(AND(AR57&lt;&gt;"",AR57&lt;0),ROUND(AR57,0),SUM(AZ49,AZ50,BB49,BB50,BD49,BD50)))</f>
        <v>0</v>
      </c>
      <c r="AL58" s="7344"/>
      <c r="AM58" s="7344"/>
      <c r="AN58" s="7344"/>
      <c r="AO58" s="3103"/>
      <c r="AP58" s="2757"/>
      <c r="AQ58" s="385"/>
      <c r="AR58" s="385"/>
      <c r="AS58" s="385"/>
      <c r="AT58" s="385"/>
      <c r="AU58" s="385"/>
      <c r="BG58" s="3013"/>
      <c r="BH58" s="2595"/>
      <c r="BI58" s="2595"/>
      <c r="BJ58" s="2595"/>
      <c r="BK58" s="2595"/>
      <c r="BL58" s="2595"/>
      <c r="BM58" s="2595"/>
      <c r="BN58" s="2595"/>
      <c r="BO58" s="2595"/>
      <c r="BP58" s="2595"/>
    </row>
    <row r="59" spans="1:68" ht="14.25" customHeight="1">
      <c r="A59" s="2757"/>
      <c r="B59" s="7333"/>
      <c r="C59" s="7263"/>
      <c r="D59" s="3081" t="s">
        <v>2348</v>
      </c>
      <c r="E59" s="2213"/>
      <c r="F59" s="2213"/>
      <c r="G59" s="2213"/>
      <c r="H59" s="2213"/>
      <c r="I59" s="2213"/>
      <c r="J59" s="2213"/>
      <c r="K59" s="2213"/>
      <c r="L59" s="2213"/>
      <c r="M59" s="2213"/>
      <c r="N59" s="2213"/>
      <c r="O59" s="2213"/>
      <c r="P59" s="2213"/>
      <c r="Q59" s="2213"/>
      <c r="R59" s="2213"/>
      <c r="S59" s="2213"/>
      <c r="T59" s="2974"/>
      <c r="U59" s="3102"/>
      <c r="V59" s="3103"/>
      <c r="W59" s="3103"/>
      <c r="X59" s="3103"/>
      <c r="Y59" s="3103"/>
      <c r="Z59" s="3103"/>
      <c r="AA59" s="3103"/>
      <c r="AB59" s="3103"/>
      <c r="AC59" s="3103"/>
      <c r="AD59" s="3103"/>
      <c r="AE59" s="3103"/>
      <c r="AF59" s="3103"/>
      <c r="AG59" s="3103"/>
      <c r="AH59" s="3107"/>
      <c r="AI59" s="3108"/>
      <c r="AJ59" s="3103"/>
      <c r="AK59" s="3103"/>
      <c r="AL59" s="3103"/>
      <c r="AM59" s="3103"/>
      <c r="AN59" s="3103"/>
      <c r="AO59" s="3103"/>
      <c r="AP59" s="2757"/>
      <c r="AQ59" s="385"/>
      <c r="AR59" s="385"/>
      <c r="AS59" s="385"/>
      <c r="AT59" s="385"/>
      <c r="AU59" s="385"/>
      <c r="BG59" s="3013"/>
      <c r="BH59" s="2595"/>
      <c r="BI59" s="2595"/>
      <c r="BJ59" s="2595"/>
      <c r="BK59" s="2595"/>
      <c r="BL59" s="2595"/>
      <c r="BM59" s="2595"/>
      <c r="BN59" s="2595"/>
      <c r="BO59" s="2595"/>
      <c r="BP59" s="2595"/>
    </row>
    <row r="60" spans="1:68" ht="14.25" customHeight="1" thickBot="1">
      <c r="A60" s="2757"/>
      <c r="B60" s="3109"/>
      <c r="C60" s="3110"/>
      <c r="D60" s="4644" t="s">
        <v>4412</v>
      </c>
      <c r="E60" s="3111"/>
      <c r="F60" s="3111"/>
      <c r="G60" s="3111"/>
      <c r="H60" s="3111"/>
      <c r="I60" s="3111"/>
      <c r="J60" s="3111"/>
      <c r="K60" s="3111"/>
      <c r="L60" s="3111"/>
      <c r="M60" s="3111"/>
      <c r="N60" s="3111"/>
      <c r="O60" s="3111"/>
      <c r="P60" s="3111"/>
      <c r="Q60" s="3111"/>
      <c r="R60" s="3111"/>
      <c r="S60" s="3111"/>
      <c r="T60" s="3111"/>
      <c r="U60" s="3111"/>
      <c r="V60" s="3111"/>
      <c r="W60" s="3111"/>
      <c r="X60" s="3111"/>
      <c r="Y60" s="3111"/>
      <c r="Z60" s="3111"/>
      <c r="AA60" s="3111"/>
      <c r="AB60" s="3112"/>
      <c r="AC60" s="3113"/>
      <c r="AD60" s="3114"/>
      <c r="AE60" s="3114"/>
      <c r="AF60" s="3114"/>
      <c r="AG60" s="3491" t="s">
        <v>1037</v>
      </c>
      <c r="AH60" s="7338">
        <v>26</v>
      </c>
      <c r="AI60" s="7339"/>
      <c r="AJ60" s="7340">
        <f>IF(AR60&lt;&gt;"",ROUND(AR60,0),SUM(AJ56,AK58))</f>
        <v>0</v>
      </c>
      <c r="AK60" s="7341"/>
      <c r="AL60" s="7341"/>
      <c r="AM60" s="7341"/>
      <c r="AN60" s="7341"/>
      <c r="AO60" s="7341"/>
      <c r="AP60" s="2757"/>
      <c r="AQ60" s="385"/>
      <c r="AR60" s="3141"/>
      <c r="AS60" s="385"/>
      <c r="AT60" s="385"/>
      <c r="AU60" s="385"/>
      <c r="BG60" s="3013"/>
      <c r="BH60" s="2595"/>
      <c r="BI60" s="2595"/>
      <c r="BJ60" s="2595"/>
      <c r="BK60" s="2595"/>
      <c r="BL60" s="2595"/>
      <c r="BM60" s="2595"/>
      <c r="BN60" s="2595"/>
      <c r="BO60" s="2595"/>
      <c r="BP60" s="2595"/>
    </row>
    <row r="61" spans="1:68" ht="14.25" customHeight="1">
      <c r="A61" s="2757"/>
      <c r="B61" s="3074" t="s">
        <v>1045</v>
      </c>
      <c r="C61" s="3101"/>
      <c r="D61" s="3081"/>
      <c r="E61" s="2213"/>
      <c r="F61" s="2213"/>
      <c r="G61" s="2213"/>
      <c r="H61" s="2213"/>
      <c r="I61" s="2213"/>
      <c r="J61" s="2213"/>
      <c r="K61" s="2213"/>
      <c r="L61" s="2213"/>
      <c r="M61" s="2213"/>
      <c r="N61" s="2213"/>
      <c r="O61" s="2213"/>
      <c r="P61" s="2213"/>
      <c r="Q61" s="2213"/>
      <c r="R61" s="2213"/>
      <c r="S61" s="2213"/>
      <c r="T61" s="2213"/>
      <c r="U61" s="2213"/>
      <c r="V61" s="2213"/>
      <c r="W61" s="2213"/>
      <c r="X61" s="2213"/>
      <c r="Y61" s="2213" t="s">
        <v>678</v>
      </c>
      <c r="Z61" s="2213"/>
      <c r="AA61" s="2213"/>
      <c r="AB61" s="2974"/>
      <c r="AC61" s="3102"/>
      <c r="AD61" s="3103"/>
      <c r="AE61" s="3103"/>
      <c r="AF61" s="3103"/>
      <c r="AG61" s="3103"/>
      <c r="AH61" s="3103"/>
      <c r="AI61" s="3103"/>
      <c r="AJ61" s="1179"/>
      <c r="AK61" s="1179"/>
      <c r="AL61" s="1179"/>
      <c r="AM61" s="1179"/>
      <c r="AN61" s="1179"/>
      <c r="AO61" s="1560" t="str">
        <f>"Schedule E (Form 1040) "&amp;TaxYear</f>
        <v>Schedule E (Form 1040) 2021</v>
      </c>
      <c r="AP61" s="2757"/>
      <c r="AQ61" s="385"/>
      <c r="AR61" s="385"/>
      <c r="AS61" s="385"/>
      <c r="AT61" s="385"/>
      <c r="AU61" s="385"/>
      <c r="BG61" s="3013"/>
      <c r="BH61" s="2595"/>
      <c r="BI61" s="2595"/>
      <c r="BJ61" s="2595"/>
      <c r="BK61" s="2595"/>
      <c r="BL61" s="2595"/>
      <c r="BM61" s="2595"/>
      <c r="BN61" s="2595"/>
      <c r="BO61" s="2595"/>
      <c r="BP61" s="2595"/>
    </row>
    <row r="62" spans="1:68" ht="21" customHeight="1">
      <c r="A62" s="2757"/>
      <c r="B62" s="2782" t="str">
        <f>"Schedule E (Form 1040) "&amp;TaxYear</f>
        <v>Schedule E (Form 1040) 2021</v>
      </c>
      <c r="C62" s="1553"/>
      <c r="D62" s="1553"/>
      <c r="E62" s="1553"/>
      <c r="F62" s="1553"/>
      <c r="G62" s="1553"/>
      <c r="H62" s="1553"/>
      <c r="I62" s="3134"/>
      <c r="J62" s="1553"/>
      <c r="K62" s="1553"/>
      <c r="L62" s="1553"/>
      <c r="M62" s="1553"/>
      <c r="N62" s="1553"/>
      <c r="O62" s="1553"/>
      <c r="P62" s="3135"/>
      <c r="Q62" s="1553"/>
      <c r="R62" s="1553"/>
      <c r="S62" s="1553"/>
      <c r="T62" s="1553"/>
      <c r="U62" s="1553"/>
      <c r="V62" s="1553"/>
      <c r="W62" s="1553"/>
      <c r="X62" s="1553"/>
      <c r="Y62" s="1553"/>
      <c r="Z62" s="1553"/>
      <c r="AA62" s="2782" t="s">
        <v>473</v>
      </c>
      <c r="AB62" s="1553"/>
      <c r="AC62" s="1553"/>
      <c r="AD62" s="1553"/>
      <c r="AE62" s="1553"/>
      <c r="AF62" s="1553"/>
      <c r="AG62" s="7440">
        <v>13</v>
      </c>
      <c r="AH62" s="7440"/>
      <c r="AI62" s="1553"/>
      <c r="AJ62" s="1553"/>
      <c r="AK62" s="1553"/>
      <c r="AL62" s="1553"/>
      <c r="AM62" s="1553"/>
      <c r="AN62" s="1553"/>
      <c r="AO62" s="3120" t="s">
        <v>160</v>
      </c>
      <c r="AP62" s="2757"/>
      <c r="BG62" s="3013"/>
      <c r="BH62" s="2595"/>
      <c r="BI62" s="2595"/>
      <c r="BJ62" s="2595"/>
      <c r="BK62" s="2595"/>
      <c r="BL62" s="2595"/>
      <c r="BM62" s="2595"/>
      <c r="BN62" s="2595"/>
      <c r="BO62" s="2595"/>
      <c r="BP62" s="2595"/>
    </row>
    <row r="63" spans="1:68" ht="12.75" customHeight="1">
      <c r="A63" s="2757"/>
      <c r="B63" s="1262" t="s">
        <v>3266</v>
      </c>
      <c r="C63" s="1262"/>
      <c r="D63" s="1262"/>
      <c r="E63" s="1262"/>
      <c r="F63" s="1262"/>
      <c r="G63" s="1262"/>
      <c r="H63" s="1262" t="s">
        <v>3267</v>
      </c>
      <c r="I63" s="1262"/>
      <c r="J63" s="1179"/>
      <c r="K63" s="1179"/>
      <c r="L63" s="1179"/>
      <c r="M63" s="1179"/>
      <c r="N63" s="1179"/>
      <c r="O63" s="1179"/>
      <c r="P63" s="1179"/>
      <c r="Q63" s="1179"/>
      <c r="R63" s="1179"/>
      <c r="S63" s="1179"/>
      <c r="T63" s="1179"/>
      <c r="U63" s="1179"/>
      <c r="V63" s="1179"/>
      <c r="W63" s="1179"/>
      <c r="X63" s="1179"/>
      <c r="Y63" s="1179"/>
      <c r="Z63" s="1179"/>
      <c r="AA63" s="1179"/>
      <c r="AB63" s="1179"/>
      <c r="AC63" s="1179"/>
      <c r="AD63" s="1179"/>
      <c r="AE63" s="1179"/>
      <c r="AF63" s="7342" t="s">
        <v>89</v>
      </c>
      <c r="AG63" s="7343"/>
      <c r="AH63" s="7343"/>
      <c r="AI63" s="7343"/>
      <c r="AJ63" s="7343"/>
      <c r="AK63" s="7343"/>
      <c r="AL63" s="7343"/>
      <c r="AM63" s="7343"/>
      <c r="AN63" s="7343"/>
      <c r="AO63" s="7343"/>
      <c r="AP63" s="2757"/>
      <c r="AR63" s="1286" t="b">
        <f>OR(AND(AF64&lt;&gt;"",AF64=AG8),AND(B8&lt;&gt;"",B64&lt;&gt;""))</f>
        <v>0</v>
      </c>
      <c r="BG63" s="3013"/>
      <c r="BH63" s="2595"/>
      <c r="BI63" s="2595"/>
      <c r="BJ63" s="2595"/>
      <c r="BK63" s="2595"/>
      <c r="BL63" s="2595"/>
      <c r="BM63" s="2595"/>
      <c r="BN63" s="2595"/>
      <c r="BO63" s="2595"/>
      <c r="BP63" s="2595"/>
    </row>
    <row r="64" spans="1:68" ht="16.5" customHeight="1">
      <c r="A64" s="2757"/>
      <c r="B64" s="7321"/>
      <c r="C64" s="7321"/>
      <c r="D64" s="7321"/>
      <c r="E64" s="7321"/>
      <c r="F64" s="7321"/>
      <c r="G64" s="7321"/>
      <c r="H64" s="7321"/>
      <c r="I64" s="7321"/>
      <c r="J64" s="7321"/>
      <c r="K64" s="7321"/>
      <c r="L64" s="7321"/>
      <c r="M64" s="7321"/>
      <c r="N64" s="7321"/>
      <c r="O64" s="7321"/>
      <c r="P64" s="7321"/>
      <c r="Q64" s="7321"/>
      <c r="R64" s="7321"/>
      <c r="S64" s="7321"/>
      <c r="T64" s="7321"/>
      <c r="U64" s="7321"/>
      <c r="V64" s="7321"/>
      <c r="W64" s="7321"/>
      <c r="X64" s="7321"/>
      <c r="Y64" s="7321"/>
      <c r="Z64" s="7321"/>
      <c r="AA64" s="7321"/>
      <c r="AB64" s="7321"/>
      <c r="AC64" s="7321"/>
      <c r="AD64" s="7321"/>
      <c r="AE64" s="7322"/>
      <c r="AF64" s="6359"/>
      <c r="AG64" s="7323"/>
      <c r="AH64" s="7323"/>
      <c r="AI64" s="7323"/>
      <c r="AJ64" s="7323"/>
      <c r="AK64" s="7323"/>
      <c r="AL64" s="7323"/>
      <c r="AM64" s="7323"/>
      <c r="AN64" s="7323"/>
      <c r="AO64" s="7323"/>
      <c r="AP64" s="3023"/>
      <c r="AQ64" s="2528" t="str">
        <f>IF($AR63,"Hide emphasis.","")</f>
        <v/>
      </c>
      <c r="AR64" s="2528"/>
      <c r="BG64" s="3013"/>
      <c r="BH64" s="2595"/>
      <c r="BI64" s="2595"/>
      <c r="BJ64" s="2595"/>
      <c r="BK64" s="2595"/>
      <c r="BL64" s="2595"/>
      <c r="BM64" s="2595"/>
      <c r="BN64" s="2595"/>
      <c r="BO64" s="2595"/>
      <c r="BP64" s="2595"/>
    </row>
    <row r="65" spans="1:69" ht="15" customHeight="1">
      <c r="A65" s="2757"/>
      <c r="B65" s="2686" t="s">
        <v>2349</v>
      </c>
      <c r="C65" s="1179"/>
      <c r="D65" s="1179"/>
      <c r="E65" s="1179"/>
      <c r="F65" s="1179"/>
      <c r="G65" s="1179"/>
      <c r="H65" s="1179"/>
      <c r="I65" s="1179"/>
      <c r="J65" s="1179"/>
      <c r="K65" s="1179"/>
      <c r="L65" s="1179"/>
      <c r="M65" s="1179"/>
      <c r="N65" s="1179"/>
      <c r="O65" s="1179"/>
      <c r="P65" s="1179"/>
      <c r="Q65" s="1179"/>
      <c r="R65" s="1179"/>
      <c r="S65" s="1179"/>
      <c r="T65" s="1179"/>
      <c r="U65" s="1179"/>
      <c r="V65" s="1179"/>
      <c r="W65" s="1179"/>
      <c r="X65" s="1179"/>
      <c r="Y65" s="1179"/>
      <c r="Z65" s="1179"/>
      <c r="AA65" s="1179"/>
      <c r="AB65" s="1179"/>
      <c r="AC65" s="1179"/>
      <c r="AD65" s="1179"/>
      <c r="AE65" s="1179"/>
      <c r="AF65" s="1179"/>
      <c r="AG65" s="1179"/>
      <c r="AH65" s="1179"/>
      <c r="AI65" s="1179"/>
      <c r="AJ65" s="1179"/>
      <c r="AK65" s="1179"/>
      <c r="AL65" s="1179"/>
      <c r="AM65" s="1179"/>
      <c r="AN65" s="1179"/>
      <c r="AO65" s="1179"/>
      <c r="AP65" s="2757"/>
      <c r="BG65" s="3013"/>
      <c r="BH65" s="2595"/>
      <c r="BI65" s="2595"/>
      <c r="BJ65" s="2595"/>
      <c r="BK65" s="2595"/>
      <c r="BL65" s="2595"/>
      <c r="BM65" s="2595"/>
      <c r="BN65" s="2595"/>
      <c r="BO65" s="2595"/>
      <c r="BP65" s="2595"/>
    </row>
    <row r="66" spans="1:69" s="2689" customFormat="1" ht="17.25" customHeight="1">
      <c r="A66" s="2758"/>
      <c r="B66" s="7220" t="s">
        <v>118</v>
      </c>
      <c r="C66" s="7220"/>
      <c r="D66" s="7221"/>
      <c r="E66" s="1396"/>
      <c r="F66" s="3071" t="s">
        <v>2350</v>
      </c>
      <c r="G66" s="1396"/>
      <c r="H66" s="1396"/>
      <c r="I66" s="1396"/>
      <c r="J66" s="1396"/>
      <c r="K66" s="1396"/>
      <c r="L66" s="1396"/>
      <c r="M66" s="1396"/>
      <c r="N66" s="1396"/>
      <c r="O66" s="1396"/>
      <c r="P66" s="1396"/>
      <c r="Q66" s="1396"/>
      <c r="R66" s="1396"/>
      <c r="S66" s="1396"/>
      <c r="T66" s="1396"/>
      <c r="U66" s="1396"/>
      <c r="V66" s="1396"/>
      <c r="W66" s="1396"/>
      <c r="X66" s="3072"/>
      <c r="Y66" s="1396"/>
      <c r="Z66" s="1396"/>
      <c r="AA66" s="1396"/>
      <c r="AB66" s="1396"/>
      <c r="AC66" s="1396"/>
      <c r="AD66" s="1396"/>
      <c r="AE66" s="1396"/>
      <c r="AF66" s="1396"/>
      <c r="AG66" s="1396"/>
      <c r="AH66" s="1396"/>
      <c r="AI66" s="1396"/>
      <c r="AJ66" s="1396"/>
      <c r="AK66" s="1396"/>
      <c r="AL66" s="1396"/>
      <c r="AM66" s="1396"/>
      <c r="AN66" s="1396"/>
      <c r="AO66" s="1396"/>
      <c r="AP66" s="2757"/>
      <c r="AX66" s="42"/>
      <c r="AY66" s="42"/>
      <c r="AZ66" s="42"/>
      <c r="BA66" s="42"/>
      <c r="BB66" s="42"/>
      <c r="BC66" s="42"/>
      <c r="BD66" s="42"/>
      <c r="BG66" s="3013"/>
      <c r="BH66" s="2595"/>
      <c r="BI66" s="2595"/>
      <c r="BJ66" s="2595"/>
      <c r="BK66" s="2595"/>
      <c r="BL66" s="2595"/>
      <c r="BM66" s="2595"/>
      <c r="BN66" s="2595"/>
      <c r="BO66" s="2595"/>
      <c r="BP66" s="2595"/>
      <c r="BQ66" s="3402"/>
    </row>
    <row r="67" spans="1:69" ht="12.75" customHeight="1">
      <c r="A67" s="2757"/>
      <c r="B67" s="1179"/>
      <c r="C67" s="1179"/>
      <c r="D67" s="1179"/>
      <c r="E67" s="1179"/>
      <c r="F67" s="1276" t="s">
        <v>2760</v>
      </c>
      <c r="G67" s="1179"/>
      <c r="H67" s="1179"/>
      <c r="I67" s="1179"/>
      <c r="J67" s="1179"/>
      <c r="K67" s="1179"/>
      <c r="L67" s="1179"/>
      <c r="M67" s="1179"/>
      <c r="N67" s="1179"/>
      <c r="O67" s="1179"/>
      <c r="P67" s="1179"/>
      <c r="Q67" s="1179"/>
      <c r="R67" s="1179"/>
      <c r="S67" s="1179"/>
      <c r="T67" s="1179"/>
      <c r="U67" s="1179"/>
      <c r="V67" s="1179"/>
      <c r="W67" s="1179"/>
      <c r="X67" s="1179"/>
      <c r="Y67" s="1179"/>
      <c r="Z67" s="1179"/>
      <c r="AA67" s="1179"/>
      <c r="AB67" s="1179"/>
      <c r="AC67" s="1179"/>
      <c r="AD67" s="1179"/>
      <c r="AE67" s="1179"/>
      <c r="AF67" s="1179"/>
      <c r="AG67" s="1179"/>
      <c r="AH67" s="1179"/>
      <c r="AI67" s="1179"/>
      <c r="AJ67" s="1179"/>
      <c r="AK67" s="1179"/>
      <c r="AL67" s="1179"/>
      <c r="AM67" s="1179"/>
      <c r="AN67" s="1179"/>
      <c r="AO67" s="1179"/>
      <c r="AP67" s="2757"/>
      <c r="BG67" s="3013"/>
      <c r="BH67" s="2595"/>
      <c r="BI67" s="2595"/>
      <c r="BJ67" s="2595"/>
      <c r="BK67" s="2595"/>
      <c r="BL67" s="2595"/>
      <c r="BM67" s="2595"/>
      <c r="BN67" s="2595"/>
      <c r="BO67" s="2595"/>
      <c r="BP67" s="2595"/>
    </row>
    <row r="68" spans="1:69" ht="12.75" customHeight="1">
      <c r="A68" s="2757"/>
      <c r="B68" s="1179"/>
      <c r="C68" s="1179"/>
      <c r="D68" s="1179"/>
      <c r="E68" s="1179"/>
      <c r="F68" s="1276" t="s">
        <v>2351</v>
      </c>
      <c r="G68" s="1179"/>
      <c r="H68" s="1179"/>
      <c r="I68" s="1179"/>
      <c r="J68" s="1179"/>
      <c r="K68" s="1179"/>
      <c r="L68" s="1179"/>
      <c r="M68" s="1179"/>
      <c r="N68" s="1179"/>
      <c r="O68" s="1179"/>
      <c r="P68" s="1179"/>
      <c r="Q68" s="1179"/>
      <c r="R68" s="1179"/>
      <c r="S68" s="1179"/>
      <c r="T68" s="1179"/>
      <c r="U68" s="1179"/>
      <c r="V68" s="1179"/>
      <c r="W68" s="1179"/>
      <c r="X68" s="1179"/>
      <c r="Y68" s="1179"/>
      <c r="Z68" s="1179"/>
      <c r="AA68" s="1179"/>
      <c r="AB68" s="1179"/>
      <c r="AC68" s="1179"/>
      <c r="AD68" s="1179"/>
      <c r="AE68" s="1179"/>
      <c r="AF68" s="1179"/>
      <c r="AG68" s="1179"/>
      <c r="AH68" s="1179"/>
      <c r="AI68" s="1179"/>
      <c r="AJ68" s="1179"/>
      <c r="AK68" s="1179"/>
      <c r="AL68" s="1179"/>
      <c r="AM68" s="1179"/>
      <c r="AN68" s="1179"/>
      <c r="AO68" s="1179"/>
      <c r="AP68" s="2757"/>
      <c r="AX68" s="2689"/>
      <c r="AY68" s="2689"/>
      <c r="AZ68" s="2689"/>
      <c r="BA68" s="2689"/>
      <c r="BB68" s="2689"/>
      <c r="BC68" s="2689"/>
      <c r="BD68" s="2689"/>
      <c r="BG68" s="3013"/>
      <c r="BH68" s="2595"/>
      <c r="BI68" s="2595"/>
      <c r="BJ68" s="2595"/>
      <c r="BK68" s="2595"/>
      <c r="BL68" s="2595"/>
      <c r="BM68" s="2595"/>
      <c r="BN68" s="2595"/>
      <c r="BO68" s="2595"/>
      <c r="BP68" s="2595"/>
    </row>
    <row r="69" spans="1:69" ht="12.75" customHeight="1">
      <c r="A69" s="2757"/>
      <c r="B69" s="1553"/>
      <c r="C69" s="1553"/>
      <c r="D69" s="1553"/>
      <c r="E69" s="1553"/>
      <c r="F69" s="1707" t="s">
        <v>2352</v>
      </c>
      <c r="G69" s="1553"/>
      <c r="H69" s="1553"/>
      <c r="I69" s="1553"/>
      <c r="J69" s="1553"/>
      <c r="K69" s="1553"/>
      <c r="L69" s="1553"/>
      <c r="M69" s="1553"/>
      <c r="N69" s="1553"/>
      <c r="O69" s="1553"/>
      <c r="P69" s="1553"/>
      <c r="Q69" s="1553"/>
      <c r="R69" s="1553"/>
      <c r="S69" s="1553"/>
      <c r="T69" s="1553"/>
      <c r="U69" s="1553"/>
      <c r="V69" s="1553"/>
      <c r="W69" s="1553"/>
      <c r="X69" s="1553"/>
      <c r="Y69" s="1553"/>
      <c r="Z69" s="1553"/>
      <c r="AA69" s="1553"/>
      <c r="AB69" s="1553"/>
      <c r="AC69" s="1553"/>
      <c r="AD69" s="1553"/>
      <c r="AE69" s="1553"/>
      <c r="AF69" s="1553"/>
      <c r="AG69" s="1553"/>
      <c r="AH69" s="1553"/>
      <c r="AI69" s="1553"/>
      <c r="AJ69" s="1553"/>
      <c r="AK69" s="1553"/>
      <c r="AL69" s="1553"/>
      <c r="AM69" s="1553"/>
      <c r="AN69" s="1553"/>
      <c r="AO69" s="1553"/>
      <c r="AP69" s="2757"/>
      <c r="BG69" s="3013"/>
      <c r="BH69" s="2595"/>
      <c r="BI69" s="2595"/>
      <c r="BJ69" s="2595"/>
      <c r="BK69" s="2595"/>
      <c r="BL69" s="2595"/>
      <c r="BM69" s="2595"/>
      <c r="BN69" s="2595"/>
      <c r="BO69" s="2595"/>
      <c r="BP69" s="2595"/>
    </row>
    <row r="70" spans="1:69" ht="18.75" customHeight="1">
      <c r="A70" s="2757"/>
      <c r="B70" s="7250">
        <v>27</v>
      </c>
      <c r="C70" s="6371"/>
      <c r="D70" s="1179"/>
      <c r="E70" s="2686" t="s">
        <v>4046</v>
      </c>
      <c r="F70" s="1276"/>
      <c r="G70" s="1179"/>
      <c r="H70" s="1179"/>
      <c r="I70" s="1179"/>
      <c r="J70" s="1179"/>
      <c r="K70" s="1179"/>
      <c r="L70" s="1179"/>
      <c r="M70" s="1179"/>
      <c r="N70" s="1179"/>
      <c r="O70" s="1179"/>
      <c r="P70" s="1179"/>
      <c r="Q70" s="1179"/>
      <c r="R70" s="1179"/>
      <c r="S70" s="1179"/>
      <c r="T70" s="1179"/>
      <c r="U70" s="1179"/>
      <c r="V70" s="1179"/>
      <c r="W70" s="1179"/>
      <c r="X70" s="1179"/>
      <c r="Y70" s="1179"/>
      <c r="Z70" s="1179"/>
      <c r="AA70" s="1179"/>
      <c r="AB70" s="1179"/>
      <c r="AC70" s="1179"/>
      <c r="AD70" s="1179"/>
      <c r="AE70" s="1179"/>
      <c r="AF70" s="1179"/>
      <c r="AG70" s="1179"/>
      <c r="AH70" s="1179"/>
      <c r="AI70" s="1179"/>
      <c r="AJ70" s="1179"/>
      <c r="AK70" s="1179"/>
      <c r="AL70" s="1179"/>
      <c r="AM70" s="1179"/>
      <c r="AN70" s="1179"/>
      <c r="AO70" s="1179"/>
      <c r="AP70" s="2757"/>
      <c r="BG70" s="3013"/>
      <c r="BH70" s="2595"/>
      <c r="BI70" s="2595"/>
      <c r="BJ70" s="2595"/>
      <c r="BK70" s="2595"/>
      <c r="BL70" s="2595"/>
      <c r="BM70" s="2595"/>
      <c r="BN70" s="2595"/>
      <c r="BO70" s="2595"/>
      <c r="BP70" s="2595"/>
    </row>
    <row r="71" spans="1:69" ht="12.75" customHeight="1">
      <c r="A71" s="2757"/>
      <c r="B71" s="2974"/>
      <c r="C71" s="1699"/>
      <c r="D71" s="1179"/>
      <c r="E71" s="2686" t="s">
        <v>4048</v>
      </c>
      <c r="F71" s="1276"/>
      <c r="G71" s="1179"/>
      <c r="H71" s="1179"/>
      <c r="I71" s="1179"/>
      <c r="J71" s="1179"/>
      <c r="K71" s="1179"/>
      <c r="L71" s="1179"/>
      <c r="M71" s="1179"/>
      <c r="N71" s="1179"/>
      <c r="O71" s="1179"/>
      <c r="P71" s="1179"/>
      <c r="Q71" s="1179"/>
      <c r="R71" s="1179"/>
      <c r="S71" s="1179"/>
      <c r="T71" s="1179"/>
      <c r="U71" s="1179"/>
      <c r="V71" s="1179"/>
      <c r="W71" s="1179"/>
      <c r="X71" s="1179"/>
      <c r="Y71" s="1179"/>
      <c r="Z71" s="1179"/>
      <c r="AA71" s="1179"/>
      <c r="AB71" s="1179"/>
      <c r="AC71" s="1179"/>
      <c r="AD71" s="1179"/>
      <c r="AE71" s="1179"/>
      <c r="AF71" s="1179"/>
      <c r="AG71" s="1179"/>
      <c r="AH71" s="1179"/>
      <c r="AI71" s="1179"/>
      <c r="AJ71" s="1179"/>
      <c r="AK71" s="1179"/>
      <c r="AL71" s="1179"/>
      <c r="AM71" s="1179"/>
      <c r="AN71" s="1179"/>
      <c r="AO71" s="1179"/>
      <c r="AP71" s="2757"/>
      <c r="BG71" s="3013"/>
      <c r="BH71" s="2595"/>
      <c r="BI71" s="2595"/>
      <c r="BJ71" s="2595"/>
      <c r="BK71" s="2595"/>
      <c r="BL71" s="2595"/>
      <c r="BM71" s="2595"/>
      <c r="BN71" s="2595"/>
      <c r="BO71" s="2595"/>
      <c r="BP71" s="2595"/>
    </row>
    <row r="72" spans="1:69" ht="12.75" customHeight="1">
      <c r="A72" s="2757"/>
      <c r="B72" s="1179"/>
      <c r="C72" s="1179"/>
      <c r="D72" s="1179"/>
      <c r="E72" s="2686" t="s">
        <v>4047</v>
      </c>
      <c r="F72" s="1276"/>
      <c r="G72" s="1179"/>
      <c r="H72" s="1179"/>
      <c r="I72" s="1179"/>
      <c r="J72" s="1179"/>
      <c r="K72" s="1179"/>
      <c r="L72" s="1179"/>
      <c r="M72" s="1179"/>
      <c r="N72" s="1179"/>
      <c r="O72" s="1179"/>
      <c r="P72" s="1179"/>
      <c r="Q72" s="1179"/>
      <c r="R72" s="1179"/>
      <c r="S72" s="1179"/>
      <c r="T72" s="1179"/>
      <c r="U72" s="1179"/>
      <c r="V72" s="1179"/>
      <c r="W72" s="1179"/>
      <c r="X72" s="1179"/>
      <c r="Y72" s="1179"/>
      <c r="Z72" s="1179"/>
      <c r="AA72" s="1179"/>
      <c r="AB72" s="1179"/>
      <c r="AC72" s="1179"/>
      <c r="AD72" s="1179"/>
      <c r="AE72" s="1179"/>
      <c r="AF72" s="1179"/>
      <c r="AG72" s="1179"/>
      <c r="AH72" s="1179"/>
      <c r="AI72" s="3489" t="s">
        <v>802</v>
      </c>
      <c r="AJ72" s="1180"/>
      <c r="AK72" s="2786" t="s">
        <v>2336</v>
      </c>
      <c r="AL72" s="2335"/>
      <c r="AM72" s="1180"/>
      <c r="AN72" s="2786" t="s">
        <v>511</v>
      </c>
      <c r="AO72" s="2335"/>
      <c r="AP72" s="2757"/>
      <c r="BG72" s="3013"/>
      <c r="BH72" s="2595"/>
      <c r="BI72" s="2595"/>
      <c r="BJ72" s="2595"/>
      <c r="BK72" s="2595"/>
      <c r="BL72" s="2595"/>
      <c r="BM72" s="2595"/>
      <c r="BN72" s="2595"/>
      <c r="BO72" s="2595"/>
      <c r="BP72" s="2595"/>
    </row>
    <row r="73" spans="1:69" ht="4.5" customHeight="1">
      <c r="A73" s="2757"/>
      <c r="B73" s="1553"/>
      <c r="C73" s="1553"/>
      <c r="D73" s="1553"/>
      <c r="E73" s="1553"/>
      <c r="F73" s="1707"/>
      <c r="G73" s="1553"/>
      <c r="H73" s="1553"/>
      <c r="I73" s="1553"/>
      <c r="J73" s="1553"/>
      <c r="K73" s="1553"/>
      <c r="L73" s="1553"/>
      <c r="M73" s="1553"/>
      <c r="N73" s="1553"/>
      <c r="O73" s="1553"/>
      <c r="P73" s="1553"/>
      <c r="Q73" s="1553"/>
      <c r="R73" s="1553"/>
      <c r="S73" s="1553"/>
      <c r="T73" s="1553"/>
      <c r="U73" s="1553"/>
      <c r="V73" s="1553"/>
      <c r="W73" s="1553"/>
      <c r="X73" s="1553"/>
      <c r="Y73" s="1553"/>
      <c r="Z73" s="1553"/>
      <c r="AA73" s="1553"/>
      <c r="AB73" s="1553"/>
      <c r="AC73" s="1553"/>
      <c r="AD73" s="1553"/>
      <c r="AE73" s="1553"/>
      <c r="AF73" s="1553"/>
      <c r="AG73" s="1553"/>
      <c r="AH73" s="1553"/>
      <c r="AI73" s="1553"/>
      <c r="AJ73" s="1553"/>
      <c r="AK73" s="1553"/>
      <c r="AL73" s="1553"/>
      <c r="AM73" s="1553"/>
      <c r="AN73" s="1553"/>
      <c r="AO73" s="1553"/>
      <c r="AP73" s="2757"/>
      <c r="BG73" s="3013"/>
      <c r="BH73" s="2595"/>
      <c r="BI73" s="2595"/>
      <c r="BJ73" s="2595"/>
      <c r="BK73" s="2595"/>
      <c r="BL73" s="2595"/>
      <c r="BM73" s="2595"/>
      <c r="BN73" s="2595"/>
      <c r="BO73" s="2595"/>
      <c r="BP73" s="2595"/>
    </row>
    <row r="74" spans="1:69" ht="12.75" customHeight="1">
      <c r="A74" s="2757"/>
      <c r="B74" s="1179"/>
      <c r="C74" s="1179"/>
      <c r="D74" s="1179"/>
      <c r="E74" s="1179"/>
      <c r="F74" s="1276"/>
      <c r="G74" s="1179"/>
      <c r="H74" s="1179"/>
      <c r="I74" s="1179"/>
      <c r="J74" s="1179"/>
      <c r="K74" s="1179"/>
      <c r="L74" s="1179"/>
      <c r="M74" s="1179"/>
      <c r="N74" s="1179"/>
      <c r="O74" s="7324" t="s">
        <v>2354</v>
      </c>
      <c r="P74" s="7325"/>
      <c r="Q74" s="7325"/>
      <c r="R74" s="7325"/>
      <c r="S74" s="7326"/>
      <c r="T74" s="7324" t="s">
        <v>2355</v>
      </c>
      <c r="U74" s="7325"/>
      <c r="V74" s="7325"/>
      <c r="W74" s="7325"/>
      <c r="X74" s="7326"/>
      <c r="Y74" s="7324" t="s">
        <v>2356</v>
      </c>
      <c r="Z74" s="7325"/>
      <c r="AA74" s="7325"/>
      <c r="AB74" s="7325"/>
      <c r="AC74" s="7325"/>
      <c r="AD74" s="7325"/>
      <c r="AE74" s="7326"/>
      <c r="AF74" s="7324" t="s">
        <v>2358</v>
      </c>
      <c r="AG74" s="7325"/>
      <c r="AH74" s="7325"/>
      <c r="AI74" s="7325"/>
      <c r="AJ74" s="7326"/>
      <c r="AK74" s="7324" t="s">
        <v>2357</v>
      </c>
      <c r="AL74" s="7325"/>
      <c r="AM74" s="7325"/>
      <c r="AN74" s="7325"/>
      <c r="AO74" s="7325"/>
      <c r="AP74" s="2757"/>
      <c r="BG74" s="3013"/>
      <c r="BH74" s="2595"/>
      <c r="BI74" s="2595"/>
      <c r="BJ74" s="2595"/>
      <c r="BK74" s="2595"/>
      <c r="BL74" s="2595"/>
      <c r="BM74" s="2595"/>
      <c r="BN74" s="2595"/>
      <c r="BO74" s="2595"/>
      <c r="BP74" s="2595"/>
    </row>
    <row r="75" spans="1:69" ht="12.75" customHeight="1">
      <c r="A75" s="2757"/>
      <c r="B75" s="7250">
        <v>28</v>
      </c>
      <c r="C75" s="6371"/>
      <c r="D75" s="1179"/>
      <c r="E75" s="1179"/>
      <c r="F75" s="1179"/>
      <c r="G75" s="1179"/>
      <c r="H75" s="1276" t="s">
        <v>2353</v>
      </c>
      <c r="I75" s="1179"/>
      <c r="J75" s="1179"/>
      <c r="K75" s="1179"/>
      <c r="L75" s="1179"/>
      <c r="M75" s="1179"/>
      <c r="N75" s="1179"/>
      <c r="O75" s="7327"/>
      <c r="P75" s="7328"/>
      <c r="Q75" s="7328"/>
      <c r="R75" s="7328"/>
      <c r="S75" s="7329"/>
      <c r="T75" s="7327"/>
      <c r="U75" s="7328"/>
      <c r="V75" s="7328"/>
      <c r="W75" s="7328"/>
      <c r="X75" s="7329"/>
      <c r="Y75" s="7327"/>
      <c r="Z75" s="7328"/>
      <c r="AA75" s="7328"/>
      <c r="AB75" s="7328"/>
      <c r="AC75" s="7328"/>
      <c r="AD75" s="7328"/>
      <c r="AE75" s="7329"/>
      <c r="AF75" s="7327"/>
      <c r="AG75" s="7328"/>
      <c r="AH75" s="7328"/>
      <c r="AI75" s="7328"/>
      <c r="AJ75" s="7329"/>
      <c r="AK75" s="7327"/>
      <c r="AL75" s="7328"/>
      <c r="AM75" s="7328"/>
      <c r="AN75" s="7328"/>
      <c r="AO75" s="7328"/>
      <c r="AP75" s="2757"/>
      <c r="BG75" s="3013"/>
      <c r="BH75" s="2595"/>
      <c r="BI75" s="2595"/>
      <c r="BJ75" s="2595"/>
      <c r="BK75" s="2595"/>
      <c r="BL75" s="2595"/>
      <c r="BM75" s="2595"/>
      <c r="BN75" s="2595"/>
      <c r="BO75" s="2595"/>
      <c r="BP75" s="2595"/>
    </row>
    <row r="76" spans="1:69" ht="12.75" customHeight="1">
      <c r="A76" s="2757"/>
      <c r="B76" s="1553"/>
      <c r="C76" s="1553"/>
      <c r="D76" s="1553"/>
      <c r="E76" s="1553"/>
      <c r="F76" s="1553"/>
      <c r="G76" s="1553"/>
      <c r="H76" s="1553"/>
      <c r="I76" s="1553"/>
      <c r="J76" s="1553"/>
      <c r="K76" s="1553"/>
      <c r="L76" s="1553"/>
      <c r="M76" s="1553"/>
      <c r="N76" s="1553"/>
      <c r="O76" s="7330"/>
      <c r="P76" s="7331"/>
      <c r="Q76" s="7331"/>
      <c r="R76" s="7331"/>
      <c r="S76" s="7332"/>
      <c r="T76" s="7330"/>
      <c r="U76" s="7331"/>
      <c r="V76" s="7331"/>
      <c r="W76" s="7331"/>
      <c r="X76" s="7332"/>
      <c r="Y76" s="7330"/>
      <c r="Z76" s="7331"/>
      <c r="AA76" s="7331"/>
      <c r="AB76" s="7331"/>
      <c r="AC76" s="7331"/>
      <c r="AD76" s="7331"/>
      <c r="AE76" s="7332"/>
      <c r="AF76" s="7330"/>
      <c r="AG76" s="7331"/>
      <c r="AH76" s="7331"/>
      <c r="AI76" s="7331"/>
      <c r="AJ76" s="7332"/>
      <c r="AK76" s="7330"/>
      <c r="AL76" s="7331"/>
      <c r="AM76" s="7331"/>
      <c r="AN76" s="7331"/>
      <c r="AO76" s="7331"/>
      <c r="AP76" s="2757"/>
      <c r="BG76" s="3013"/>
      <c r="BH76" s="2595"/>
      <c r="BI76" s="2595"/>
      <c r="BJ76" s="2595"/>
      <c r="BK76" s="2595"/>
      <c r="BL76" s="2595"/>
      <c r="BM76" s="2595"/>
      <c r="BN76" s="2595"/>
      <c r="BO76" s="2595"/>
      <c r="BP76" s="2595"/>
    </row>
    <row r="77" spans="1:69" ht="13.5" customHeight="1">
      <c r="A77" s="2757"/>
      <c r="B77" s="3123" t="s">
        <v>143</v>
      </c>
      <c r="C77" s="7310"/>
      <c r="D77" s="7311"/>
      <c r="E77" s="7311"/>
      <c r="F77" s="7311"/>
      <c r="G77" s="7311"/>
      <c r="H77" s="7311"/>
      <c r="I77" s="7311"/>
      <c r="J77" s="7311"/>
      <c r="K77" s="7311"/>
      <c r="L77" s="7311"/>
      <c r="M77" s="7311"/>
      <c r="N77" s="7312"/>
      <c r="O77" s="6543"/>
      <c r="P77" s="7313"/>
      <c r="Q77" s="7313"/>
      <c r="R77" s="7313"/>
      <c r="S77" s="7314"/>
      <c r="T77" s="3121"/>
      <c r="U77" s="1554"/>
      <c r="V77" s="1180"/>
      <c r="W77" s="1554"/>
      <c r="X77" s="3122"/>
      <c r="Y77" s="7210"/>
      <c r="Z77" s="7211"/>
      <c r="AA77" s="7211"/>
      <c r="AB77" s="7211"/>
      <c r="AC77" s="7211"/>
      <c r="AD77" s="7211"/>
      <c r="AE77" s="7212"/>
      <c r="AF77" s="3121"/>
      <c r="AG77" s="1554"/>
      <c r="AH77" s="1180"/>
      <c r="AI77" s="1554"/>
      <c r="AJ77" s="3122"/>
      <c r="AK77" s="3121"/>
      <c r="AL77" s="1554"/>
      <c r="AM77" s="1180"/>
      <c r="AN77" s="1554"/>
      <c r="AO77" s="1554"/>
      <c r="AP77" s="2757"/>
      <c r="BG77" s="3013"/>
      <c r="BH77" s="2595"/>
      <c r="BI77" s="2595"/>
      <c r="BJ77" s="2595"/>
      <c r="BK77" s="2595"/>
      <c r="BL77" s="2595"/>
      <c r="BM77" s="2595"/>
      <c r="BN77" s="2595"/>
      <c r="BO77" s="2595"/>
      <c r="BP77" s="2595"/>
    </row>
    <row r="78" spans="1:69" ht="13.5" customHeight="1">
      <c r="A78" s="2757"/>
      <c r="B78" s="3123" t="s">
        <v>288</v>
      </c>
      <c r="C78" s="7310"/>
      <c r="D78" s="7311"/>
      <c r="E78" s="7311"/>
      <c r="F78" s="7311"/>
      <c r="G78" s="7311"/>
      <c r="H78" s="7311"/>
      <c r="I78" s="7311"/>
      <c r="J78" s="7311"/>
      <c r="K78" s="7311"/>
      <c r="L78" s="7311"/>
      <c r="M78" s="7311"/>
      <c r="N78" s="7312"/>
      <c r="O78" s="6543"/>
      <c r="P78" s="7313"/>
      <c r="Q78" s="7313"/>
      <c r="R78" s="7313"/>
      <c r="S78" s="7314"/>
      <c r="T78" s="3121"/>
      <c r="U78" s="1554"/>
      <c r="V78" s="1180"/>
      <c r="W78" s="1554"/>
      <c r="X78" s="3122"/>
      <c r="Y78" s="7210"/>
      <c r="Z78" s="7211"/>
      <c r="AA78" s="7211"/>
      <c r="AB78" s="7211"/>
      <c r="AC78" s="7211"/>
      <c r="AD78" s="7211"/>
      <c r="AE78" s="7212"/>
      <c r="AF78" s="3121"/>
      <c r="AG78" s="1554"/>
      <c r="AH78" s="1180"/>
      <c r="AI78" s="1554"/>
      <c r="AJ78" s="3122"/>
      <c r="AK78" s="3121"/>
      <c r="AL78" s="1554"/>
      <c r="AM78" s="1180"/>
      <c r="AN78" s="1554"/>
      <c r="AO78" s="1554"/>
      <c r="AP78" s="2757"/>
      <c r="BG78" s="3013"/>
      <c r="BH78" s="2595"/>
      <c r="BI78" s="2595"/>
      <c r="BJ78" s="2595"/>
      <c r="BK78" s="2595"/>
      <c r="BL78" s="2595"/>
      <c r="BM78" s="2595"/>
      <c r="BN78" s="2595"/>
      <c r="BO78" s="2595"/>
      <c r="BP78" s="2595"/>
    </row>
    <row r="79" spans="1:69" ht="13.5" customHeight="1">
      <c r="A79" s="2757"/>
      <c r="B79" s="3123" t="s">
        <v>144</v>
      </c>
      <c r="C79" s="7310"/>
      <c r="D79" s="7311"/>
      <c r="E79" s="7311"/>
      <c r="F79" s="7311"/>
      <c r="G79" s="7311"/>
      <c r="H79" s="7311"/>
      <c r="I79" s="7311"/>
      <c r="J79" s="7311"/>
      <c r="K79" s="7311"/>
      <c r="L79" s="7311"/>
      <c r="M79" s="7311"/>
      <c r="N79" s="7312"/>
      <c r="O79" s="6543"/>
      <c r="P79" s="7313"/>
      <c r="Q79" s="7313"/>
      <c r="R79" s="7313"/>
      <c r="S79" s="7314"/>
      <c r="T79" s="3121"/>
      <c r="U79" s="1554"/>
      <c r="V79" s="1180"/>
      <c r="W79" s="1554"/>
      <c r="X79" s="3122"/>
      <c r="Y79" s="7210"/>
      <c r="Z79" s="7211"/>
      <c r="AA79" s="7211"/>
      <c r="AB79" s="7211"/>
      <c r="AC79" s="7211"/>
      <c r="AD79" s="7211"/>
      <c r="AE79" s="7212"/>
      <c r="AF79" s="3121"/>
      <c r="AG79" s="1554"/>
      <c r="AH79" s="1180"/>
      <c r="AI79" s="1554"/>
      <c r="AJ79" s="3122"/>
      <c r="AK79" s="3121"/>
      <c r="AL79" s="1554"/>
      <c r="AM79" s="1180"/>
      <c r="AN79" s="1554"/>
      <c r="AO79" s="1554"/>
      <c r="AP79" s="2757"/>
      <c r="BG79" s="3013"/>
      <c r="BH79" s="2595"/>
      <c r="BI79" s="2595"/>
      <c r="BJ79" s="2595"/>
      <c r="BK79" s="2595"/>
      <c r="BL79" s="2595"/>
      <c r="BM79" s="2595"/>
      <c r="BN79" s="2595"/>
      <c r="BO79" s="2595"/>
      <c r="BP79" s="2595"/>
    </row>
    <row r="80" spans="1:69" ht="13.5" customHeight="1">
      <c r="A80" s="2757"/>
      <c r="B80" s="3123" t="s">
        <v>290</v>
      </c>
      <c r="C80" s="7310"/>
      <c r="D80" s="7311"/>
      <c r="E80" s="7311"/>
      <c r="F80" s="7311"/>
      <c r="G80" s="7311"/>
      <c r="H80" s="7311"/>
      <c r="I80" s="7311"/>
      <c r="J80" s="7311"/>
      <c r="K80" s="7311"/>
      <c r="L80" s="7311"/>
      <c r="M80" s="7311"/>
      <c r="N80" s="7312"/>
      <c r="O80" s="6543"/>
      <c r="P80" s="7313"/>
      <c r="Q80" s="7313"/>
      <c r="R80" s="7313"/>
      <c r="S80" s="7314"/>
      <c r="T80" s="3121"/>
      <c r="U80" s="1554"/>
      <c r="V80" s="1180"/>
      <c r="W80" s="1554"/>
      <c r="X80" s="3122"/>
      <c r="Y80" s="7210"/>
      <c r="Z80" s="7211"/>
      <c r="AA80" s="7211"/>
      <c r="AB80" s="7211"/>
      <c r="AC80" s="7211"/>
      <c r="AD80" s="7211"/>
      <c r="AE80" s="7212"/>
      <c r="AF80" s="3121"/>
      <c r="AG80" s="1554"/>
      <c r="AH80" s="1180"/>
      <c r="AI80" s="1554"/>
      <c r="AJ80" s="3122"/>
      <c r="AK80" s="3121"/>
      <c r="AL80" s="1554"/>
      <c r="AM80" s="1180"/>
      <c r="AN80" s="1554"/>
      <c r="AO80" s="1554"/>
      <c r="AP80" s="2757"/>
      <c r="BG80" s="3013"/>
      <c r="BH80" s="2595"/>
      <c r="BI80" s="2595"/>
      <c r="BJ80" s="2595"/>
      <c r="BK80" s="2595"/>
      <c r="BL80" s="2595"/>
      <c r="BM80" s="2595"/>
      <c r="BN80" s="2595"/>
      <c r="BO80" s="2595"/>
      <c r="BP80" s="2595"/>
    </row>
    <row r="81" spans="1:69" ht="17.25" customHeight="1">
      <c r="A81" s="2757"/>
      <c r="B81" s="7196" t="s">
        <v>679</v>
      </c>
      <c r="C81" s="7315"/>
      <c r="D81" s="7315"/>
      <c r="E81" s="7315"/>
      <c r="F81" s="7315"/>
      <c r="G81" s="7315"/>
      <c r="H81" s="7315"/>
      <c r="I81" s="7315"/>
      <c r="J81" s="7315"/>
      <c r="K81" s="7315"/>
      <c r="L81" s="7315"/>
      <c r="M81" s="7315"/>
      <c r="N81" s="7315"/>
      <c r="O81" s="7315"/>
      <c r="P81" s="7315"/>
      <c r="Q81" s="7315"/>
      <c r="R81" s="6672"/>
      <c r="S81" s="7287" t="s">
        <v>680</v>
      </c>
      <c r="T81" s="7316"/>
      <c r="U81" s="7316"/>
      <c r="V81" s="7316"/>
      <c r="W81" s="7316"/>
      <c r="X81" s="7316"/>
      <c r="Y81" s="7316"/>
      <c r="Z81" s="7316"/>
      <c r="AA81" s="7316"/>
      <c r="AB81" s="7316"/>
      <c r="AC81" s="7316"/>
      <c r="AD81" s="7316"/>
      <c r="AE81" s="7316"/>
      <c r="AF81" s="7316"/>
      <c r="AG81" s="7316"/>
      <c r="AH81" s="7316"/>
      <c r="AI81" s="7316"/>
      <c r="AJ81" s="7316"/>
      <c r="AK81" s="7316"/>
      <c r="AL81" s="7316"/>
      <c r="AM81" s="7316"/>
      <c r="AN81" s="7316"/>
      <c r="AO81" s="7316"/>
      <c r="AP81" s="2757"/>
      <c r="BG81" s="3013"/>
      <c r="BH81" s="2595"/>
      <c r="BI81" s="2595"/>
      <c r="BJ81" s="2595"/>
      <c r="BK81" s="2595"/>
      <c r="BL81" s="2595"/>
      <c r="BM81" s="2595"/>
      <c r="BN81" s="2595"/>
      <c r="BO81" s="2595"/>
      <c r="BP81" s="2595"/>
    </row>
    <row r="82" spans="1:69" ht="12.75" customHeight="1">
      <c r="A82" s="2757"/>
      <c r="B82" s="1574"/>
      <c r="C82" s="7317" t="s">
        <v>2359</v>
      </c>
      <c r="D82" s="7242"/>
      <c r="E82" s="7242"/>
      <c r="F82" s="7242"/>
      <c r="G82" s="7242"/>
      <c r="H82" s="7242"/>
      <c r="I82" s="7242"/>
      <c r="J82" s="7243"/>
      <c r="K82" s="7241" t="s">
        <v>2360</v>
      </c>
      <c r="L82" s="7242"/>
      <c r="M82" s="7242"/>
      <c r="N82" s="7242"/>
      <c r="O82" s="7242"/>
      <c r="P82" s="7242"/>
      <c r="Q82" s="7242"/>
      <c r="R82" s="7242"/>
      <c r="S82" s="7318" t="s">
        <v>3498</v>
      </c>
      <c r="T82" s="7242"/>
      <c r="U82" s="7242"/>
      <c r="V82" s="7242"/>
      <c r="W82" s="7242"/>
      <c r="X82" s="7242"/>
      <c r="Y82" s="7243"/>
      <c r="Z82" s="7241" t="s">
        <v>2361</v>
      </c>
      <c r="AA82" s="7242"/>
      <c r="AB82" s="7242"/>
      <c r="AC82" s="7242"/>
      <c r="AD82" s="7242"/>
      <c r="AE82" s="7242"/>
      <c r="AF82" s="7242"/>
      <c r="AG82" s="7243"/>
      <c r="AH82" s="7241" t="s">
        <v>2362</v>
      </c>
      <c r="AI82" s="7242"/>
      <c r="AJ82" s="7242"/>
      <c r="AK82" s="7242"/>
      <c r="AL82" s="7242"/>
      <c r="AM82" s="7242"/>
      <c r="AN82" s="7242"/>
      <c r="AO82" s="7242"/>
      <c r="AP82" s="2757"/>
      <c r="BG82" s="3013"/>
      <c r="BH82" s="2595"/>
      <c r="BI82" s="2595"/>
      <c r="BJ82" s="2595"/>
      <c r="BK82" s="2595"/>
      <c r="BL82" s="2595"/>
      <c r="BM82" s="2595"/>
      <c r="BN82" s="2595"/>
      <c r="BO82" s="2595"/>
      <c r="BP82" s="2595"/>
    </row>
    <row r="83" spans="1:69" ht="12.75" customHeight="1">
      <c r="A83" s="2757"/>
      <c r="B83" s="1179"/>
      <c r="C83" s="7245"/>
      <c r="D83" s="7245"/>
      <c r="E83" s="7245"/>
      <c r="F83" s="7245"/>
      <c r="G83" s="7245"/>
      <c r="H83" s="7245"/>
      <c r="I83" s="7245"/>
      <c r="J83" s="7246"/>
      <c r="K83" s="7244"/>
      <c r="L83" s="7245"/>
      <c r="M83" s="7245"/>
      <c r="N83" s="7245"/>
      <c r="O83" s="7245"/>
      <c r="P83" s="7245"/>
      <c r="Q83" s="7245"/>
      <c r="R83" s="7245"/>
      <c r="S83" s="7319"/>
      <c r="T83" s="7245"/>
      <c r="U83" s="7245"/>
      <c r="V83" s="7245"/>
      <c r="W83" s="7245"/>
      <c r="X83" s="7245"/>
      <c r="Y83" s="7246"/>
      <c r="Z83" s="7244"/>
      <c r="AA83" s="7245"/>
      <c r="AB83" s="7245"/>
      <c r="AC83" s="7245"/>
      <c r="AD83" s="7245"/>
      <c r="AE83" s="7245"/>
      <c r="AF83" s="7245"/>
      <c r="AG83" s="7246"/>
      <c r="AH83" s="7244"/>
      <c r="AI83" s="7245"/>
      <c r="AJ83" s="7245"/>
      <c r="AK83" s="7245"/>
      <c r="AL83" s="7245"/>
      <c r="AM83" s="7245"/>
      <c r="AN83" s="7245"/>
      <c r="AO83" s="7245"/>
      <c r="AP83" s="2757"/>
      <c r="BG83" s="3013"/>
      <c r="BH83" s="2595"/>
      <c r="BI83" s="2595"/>
      <c r="BJ83" s="2595"/>
      <c r="BK83" s="2595"/>
      <c r="BL83" s="2595"/>
      <c r="BM83" s="2595"/>
      <c r="BN83" s="2595"/>
      <c r="BO83" s="2595"/>
      <c r="BP83" s="2595"/>
    </row>
    <row r="84" spans="1:69" ht="12.75" customHeight="1">
      <c r="A84" s="2757"/>
      <c r="B84" s="1553"/>
      <c r="C84" s="7248"/>
      <c r="D84" s="7248"/>
      <c r="E84" s="7248"/>
      <c r="F84" s="7248"/>
      <c r="G84" s="7248"/>
      <c r="H84" s="7248"/>
      <c r="I84" s="7248"/>
      <c r="J84" s="7249"/>
      <c r="K84" s="7247"/>
      <c r="L84" s="7248"/>
      <c r="M84" s="7248"/>
      <c r="N84" s="7248"/>
      <c r="O84" s="7248"/>
      <c r="P84" s="7248"/>
      <c r="Q84" s="7248"/>
      <c r="R84" s="7248"/>
      <c r="S84" s="7320"/>
      <c r="T84" s="7248"/>
      <c r="U84" s="7248"/>
      <c r="V84" s="7248"/>
      <c r="W84" s="7248"/>
      <c r="X84" s="7248"/>
      <c r="Y84" s="7249"/>
      <c r="Z84" s="7247"/>
      <c r="AA84" s="7248"/>
      <c r="AB84" s="7248"/>
      <c r="AC84" s="7248"/>
      <c r="AD84" s="7248"/>
      <c r="AE84" s="7248"/>
      <c r="AF84" s="7248"/>
      <c r="AG84" s="7249"/>
      <c r="AH84" s="7247"/>
      <c r="AI84" s="7248"/>
      <c r="AJ84" s="7248"/>
      <c r="AK84" s="7248"/>
      <c r="AL84" s="7248"/>
      <c r="AM84" s="7248"/>
      <c r="AN84" s="7248"/>
      <c r="AO84" s="7248"/>
      <c r="AP84" s="2757"/>
      <c r="BG84" s="3013"/>
      <c r="BH84" s="2595"/>
      <c r="BI84" s="2595"/>
      <c r="BJ84" s="2595"/>
      <c r="BK84" s="2595"/>
      <c r="BL84" s="2595"/>
      <c r="BM84" s="2595"/>
      <c r="BN84" s="2595"/>
      <c r="BO84" s="2595"/>
      <c r="BP84" s="2595"/>
    </row>
    <row r="85" spans="1:69" ht="13.5" customHeight="1">
      <c r="A85" s="2757"/>
      <c r="B85" s="3124" t="s">
        <v>143</v>
      </c>
      <c r="C85" s="7214"/>
      <c r="D85" s="7215"/>
      <c r="E85" s="7215"/>
      <c r="F85" s="7215"/>
      <c r="G85" s="7215"/>
      <c r="H85" s="7215"/>
      <c r="I85" s="7215"/>
      <c r="J85" s="7216"/>
      <c r="K85" s="7214"/>
      <c r="L85" s="7215"/>
      <c r="M85" s="7215"/>
      <c r="N85" s="7215"/>
      <c r="O85" s="7215"/>
      <c r="P85" s="7215"/>
      <c r="Q85" s="7215"/>
      <c r="R85" s="7309"/>
      <c r="S85" s="7214"/>
      <c r="T85" s="7215"/>
      <c r="U85" s="7215"/>
      <c r="V85" s="7215"/>
      <c r="W85" s="7215"/>
      <c r="X85" s="7215"/>
      <c r="Y85" s="7215"/>
      <c r="Z85" s="7214"/>
      <c r="AA85" s="7215"/>
      <c r="AB85" s="7215"/>
      <c r="AC85" s="7215"/>
      <c r="AD85" s="7215"/>
      <c r="AE85" s="7215"/>
      <c r="AF85" s="7215"/>
      <c r="AG85" s="7216"/>
      <c r="AH85" s="7214"/>
      <c r="AI85" s="7215"/>
      <c r="AJ85" s="7215"/>
      <c r="AK85" s="7215"/>
      <c r="AL85" s="7215"/>
      <c r="AM85" s="7215"/>
      <c r="AN85" s="7215"/>
      <c r="AO85" s="7215"/>
      <c r="AP85" s="2757"/>
      <c r="BG85" s="3013"/>
      <c r="BH85" s="2595"/>
      <c r="BI85" s="2595"/>
      <c r="BJ85" s="2595"/>
      <c r="BK85" s="2595"/>
      <c r="BL85" s="2595"/>
      <c r="BM85" s="2595"/>
      <c r="BN85" s="2595"/>
      <c r="BO85" s="2595"/>
      <c r="BP85" s="2595"/>
    </row>
    <row r="86" spans="1:69" ht="13.5" customHeight="1">
      <c r="A86" s="2757"/>
      <c r="B86" s="3123" t="s">
        <v>288</v>
      </c>
      <c r="C86" s="7214"/>
      <c r="D86" s="7215"/>
      <c r="E86" s="7215"/>
      <c r="F86" s="7215"/>
      <c r="G86" s="7215"/>
      <c r="H86" s="7215"/>
      <c r="I86" s="7215"/>
      <c r="J86" s="7216"/>
      <c r="K86" s="7214"/>
      <c r="L86" s="7215"/>
      <c r="M86" s="7215"/>
      <c r="N86" s="7215"/>
      <c r="O86" s="7215"/>
      <c r="P86" s="7215"/>
      <c r="Q86" s="7215"/>
      <c r="R86" s="7309"/>
      <c r="S86" s="7214"/>
      <c r="T86" s="7215"/>
      <c r="U86" s="7215"/>
      <c r="V86" s="7215"/>
      <c r="W86" s="7215"/>
      <c r="X86" s="7215"/>
      <c r="Y86" s="7215"/>
      <c r="Z86" s="7214"/>
      <c r="AA86" s="7215"/>
      <c r="AB86" s="7215"/>
      <c r="AC86" s="7215"/>
      <c r="AD86" s="7215"/>
      <c r="AE86" s="7215"/>
      <c r="AF86" s="7215"/>
      <c r="AG86" s="7216"/>
      <c r="AH86" s="7214"/>
      <c r="AI86" s="7215"/>
      <c r="AJ86" s="7215"/>
      <c r="AK86" s="7215"/>
      <c r="AL86" s="7215"/>
      <c r="AM86" s="7215"/>
      <c r="AN86" s="7215"/>
      <c r="AO86" s="7215"/>
      <c r="AP86" s="2757"/>
      <c r="BG86" s="3013"/>
      <c r="BH86" s="2595"/>
      <c r="BI86" s="2595"/>
      <c r="BJ86" s="2595"/>
      <c r="BK86" s="2595"/>
      <c r="BL86" s="2595"/>
      <c r="BM86" s="2595"/>
      <c r="BN86" s="2595"/>
      <c r="BO86" s="2595"/>
      <c r="BP86" s="2595"/>
    </row>
    <row r="87" spans="1:69" ht="13.5" customHeight="1">
      <c r="A87" s="2757"/>
      <c r="B87" s="3123" t="s">
        <v>144</v>
      </c>
      <c r="C87" s="7214"/>
      <c r="D87" s="7215"/>
      <c r="E87" s="7215"/>
      <c r="F87" s="7215"/>
      <c r="G87" s="7215"/>
      <c r="H87" s="7215"/>
      <c r="I87" s="7215"/>
      <c r="J87" s="7216"/>
      <c r="K87" s="7214"/>
      <c r="L87" s="7215"/>
      <c r="M87" s="7215"/>
      <c r="N87" s="7215"/>
      <c r="O87" s="7215"/>
      <c r="P87" s="7215"/>
      <c r="Q87" s="7215"/>
      <c r="R87" s="7309"/>
      <c r="S87" s="7214"/>
      <c r="T87" s="7215"/>
      <c r="U87" s="7215"/>
      <c r="V87" s="7215"/>
      <c r="W87" s="7215"/>
      <c r="X87" s="7215"/>
      <c r="Y87" s="7215"/>
      <c r="Z87" s="7214"/>
      <c r="AA87" s="7215"/>
      <c r="AB87" s="7215"/>
      <c r="AC87" s="7215"/>
      <c r="AD87" s="7215"/>
      <c r="AE87" s="7215"/>
      <c r="AF87" s="7215"/>
      <c r="AG87" s="7216"/>
      <c r="AH87" s="7214"/>
      <c r="AI87" s="7215"/>
      <c r="AJ87" s="7215"/>
      <c r="AK87" s="7215"/>
      <c r="AL87" s="7215"/>
      <c r="AM87" s="7215"/>
      <c r="AN87" s="7215"/>
      <c r="AO87" s="7215"/>
      <c r="AP87" s="2757"/>
      <c r="BG87" s="3013"/>
      <c r="BH87" s="2595"/>
      <c r="BI87" s="2595"/>
      <c r="BJ87" s="2595"/>
      <c r="BK87" s="2595"/>
      <c r="BL87" s="2595"/>
      <c r="BM87" s="2595"/>
      <c r="BN87" s="2595"/>
      <c r="BO87" s="2595"/>
      <c r="BP87" s="2595"/>
    </row>
    <row r="88" spans="1:69" ht="13.5" customHeight="1">
      <c r="A88" s="2757"/>
      <c r="B88" s="3123" t="s">
        <v>290</v>
      </c>
      <c r="C88" s="7214"/>
      <c r="D88" s="7215"/>
      <c r="E88" s="7215"/>
      <c r="F88" s="7215"/>
      <c r="G88" s="7215"/>
      <c r="H88" s="7215"/>
      <c r="I88" s="7215"/>
      <c r="J88" s="7216"/>
      <c r="K88" s="7214"/>
      <c r="L88" s="7215"/>
      <c r="M88" s="7215"/>
      <c r="N88" s="7215"/>
      <c r="O88" s="7215"/>
      <c r="P88" s="7215"/>
      <c r="Q88" s="7215"/>
      <c r="R88" s="7309"/>
      <c r="S88" s="7214"/>
      <c r="T88" s="7215"/>
      <c r="U88" s="7215"/>
      <c r="V88" s="7215"/>
      <c r="W88" s="7215"/>
      <c r="X88" s="7215"/>
      <c r="Y88" s="7215"/>
      <c r="Z88" s="7214"/>
      <c r="AA88" s="7215"/>
      <c r="AB88" s="7215"/>
      <c r="AC88" s="7215"/>
      <c r="AD88" s="7215"/>
      <c r="AE88" s="7215"/>
      <c r="AF88" s="7215"/>
      <c r="AG88" s="7216"/>
      <c r="AH88" s="7214"/>
      <c r="AI88" s="7215"/>
      <c r="AJ88" s="7215"/>
      <c r="AK88" s="7215"/>
      <c r="AL88" s="7215"/>
      <c r="AM88" s="7215"/>
      <c r="AN88" s="7215"/>
      <c r="AO88" s="7215"/>
      <c r="AP88" s="2757"/>
      <c r="BG88" s="3013"/>
      <c r="BH88" s="2595"/>
      <c r="BI88" s="2595"/>
      <c r="BJ88" s="2595"/>
      <c r="BK88" s="2595"/>
      <c r="BL88" s="2595"/>
      <c r="BM88" s="2595"/>
      <c r="BN88" s="2595"/>
      <c r="BO88" s="2595"/>
      <c r="BP88" s="2595"/>
    </row>
    <row r="89" spans="1:69" ht="13.5" customHeight="1">
      <c r="A89" s="2757"/>
      <c r="B89" s="7196" t="s">
        <v>1662</v>
      </c>
      <c r="C89" s="7196"/>
      <c r="D89" s="3490"/>
      <c r="E89" s="3490" t="s">
        <v>2363</v>
      </c>
      <c r="F89" s="1190"/>
      <c r="G89" s="3020"/>
      <c r="H89" s="3020"/>
      <c r="I89" s="3020"/>
      <c r="J89" s="1191"/>
      <c r="K89" s="7251">
        <f>ROUND(SUM(K85:K88),0)</f>
        <v>0</v>
      </c>
      <c r="L89" s="7252"/>
      <c r="M89" s="7252"/>
      <c r="N89" s="7252"/>
      <c r="O89" s="7252"/>
      <c r="P89" s="7252"/>
      <c r="Q89" s="7252"/>
      <c r="R89" s="7253"/>
      <c r="S89" s="7297"/>
      <c r="T89" s="7298"/>
      <c r="U89" s="7298"/>
      <c r="V89" s="7298"/>
      <c r="W89" s="7298"/>
      <c r="X89" s="7298"/>
      <c r="Y89" s="7298"/>
      <c r="Z89" s="3020"/>
      <c r="AA89" s="3020"/>
      <c r="AB89" s="3020"/>
      <c r="AC89" s="3020"/>
      <c r="AD89" s="3020"/>
      <c r="AE89" s="3020"/>
      <c r="AF89" s="3020"/>
      <c r="AG89" s="1191"/>
      <c r="AH89" s="7218">
        <f>ROUND(SUM(AH85:AH88),0)</f>
        <v>0</v>
      </c>
      <c r="AI89" s="7299"/>
      <c r="AJ89" s="7299"/>
      <c r="AK89" s="7299"/>
      <c r="AL89" s="7299"/>
      <c r="AM89" s="7299"/>
      <c r="AN89" s="7299"/>
      <c r="AO89" s="7299"/>
      <c r="AP89" s="2757"/>
      <c r="BG89" s="3013"/>
      <c r="BH89" s="2595"/>
      <c r="BI89" s="2595"/>
      <c r="BJ89" s="2595"/>
      <c r="BK89" s="2595"/>
      <c r="BL89" s="2595"/>
      <c r="BM89" s="2595"/>
      <c r="BN89" s="2595"/>
      <c r="BO89" s="2595"/>
      <c r="BP89" s="2595"/>
    </row>
    <row r="90" spans="1:69" ht="13.5" customHeight="1">
      <c r="A90" s="2757"/>
      <c r="B90" s="7254" t="s">
        <v>47</v>
      </c>
      <c r="C90" s="7254"/>
      <c r="D90" s="2686"/>
      <c r="E90" s="3490" t="s">
        <v>2363</v>
      </c>
      <c r="F90" s="7218">
        <f>ROUND(SUM(C85:C88),0)</f>
        <v>0</v>
      </c>
      <c r="G90" s="7299"/>
      <c r="H90" s="7299"/>
      <c r="I90" s="7299"/>
      <c r="J90" s="7300"/>
      <c r="K90" s="7301"/>
      <c r="L90" s="7302"/>
      <c r="M90" s="7302"/>
      <c r="N90" s="7302"/>
      <c r="O90" s="7302"/>
      <c r="P90" s="7302"/>
      <c r="Q90" s="7302"/>
      <c r="R90" s="7303"/>
      <c r="S90" s="7304">
        <f>ROUND(SUM(S85:S88),0)</f>
        <v>0</v>
      </c>
      <c r="T90" s="7252"/>
      <c r="U90" s="7252"/>
      <c r="V90" s="7252"/>
      <c r="W90" s="7252"/>
      <c r="X90" s="7252"/>
      <c r="Y90" s="7305"/>
      <c r="Z90" s="7306">
        <f>ROUND(SUM(Z85:Z88),0)</f>
        <v>0</v>
      </c>
      <c r="AA90" s="7306"/>
      <c r="AB90" s="7306"/>
      <c r="AC90" s="7306"/>
      <c r="AD90" s="7306"/>
      <c r="AE90" s="7306"/>
      <c r="AF90" s="7306"/>
      <c r="AG90" s="7306"/>
      <c r="AH90" s="7307"/>
      <c r="AI90" s="7307"/>
      <c r="AJ90" s="7307"/>
      <c r="AK90" s="7307"/>
      <c r="AL90" s="7307"/>
      <c r="AM90" s="7307"/>
      <c r="AN90" s="7307"/>
      <c r="AO90" s="7308"/>
      <c r="AP90" s="2757"/>
      <c r="BG90" s="3013"/>
      <c r="BH90" s="2595"/>
      <c r="BI90" s="2595"/>
      <c r="BJ90" s="2595"/>
      <c r="BK90" s="2595"/>
      <c r="BL90" s="2595"/>
      <c r="BM90" s="2595"/>
      <c r="BN90" s="2595"/>
      <c r="BO90" s="2595"/>
      <c r="BP90" s="2595"/>
    </row>
    <row r="91" spans="1:69" ht="12.75" customHeight="1">
      <c r="A91" s="2757"/>
      <c r="B91" s="7191">
        <v>30</v>
      </c>
      <c r="C91" s="7191"/>
      <c r="D91" s="2686" t="s">
        <v>2364</v>
      </c>
      <c r="E91" s="1179"/>
      <c r="F91" s="1179"/>
      <c r="G91" s="1179"/>
      <c r="H91" s="1179"/>
      <c r="I91" s="1179"/>
      <c r="J91" s="1179"/>
      <c r="K91" s="1179"/>
      <c r="L91" s="1179"/>
      <c r="M91" s="1179"/>
      <c r="N91" s="1179"/>
      <c r="O91" s="1179"/>
      <c r="P91" s="1179"/>
      <c r="Q91" s="1179"/>
      <c r="R91" s="1179"/>
      <c r="S91" s="1179"/>
      <c r="T91" s="1179"/>
      <c r="U91" s="1179"/>
      <c r="V91" s="1179"/>
      <c r="W91" s="1179"/>
      <c r="X91" s="1179"/>
      <c r="Y91" s="1179"/>
      <c r="Z91" s="1179"/>
      <c r="AA91" s="1179"/>
      <c r="AB91" s="1179"/>
      <c r="AC91" s="1179"/>
      <c r="AD91" s="1179"/>
      <c r="AE91" s="3489" t="s">
        <v>428</v>
      </c>
      <c r="AF91" s="7288">
        <v>30</v>
      </c>
      <c r="AG91" s="7289"/>
      <c r="AH91" s="7224">
        <f>SUM(K89,AH89)</f>
        <v>0</v>
      </c>
      <c r="AI91" s="7290"/>
      <c r="AJ91" s="7290"/>
      <c r="AK91" s="7290"/>
      <c r="AL91" s="7290"/>
      <c r="AM91" s="7290"/>
      <c r="AN91" s="7290"/>
      <c r="AO91" s="7290"/>
      <c r="AP91" s="2757"/>
      <c r="AQ91" s="385"/>
      <c r="AR91" s="385"/>
      <c r="AS91" s="385"/>
      <c r="BG91" s="3013"/>
      <c r="BH91" s="2595"/>
      <c r="BI91" s="2595"/>
      <c r="BJ91" s="2595"/>
      <c r="BK91" s="2595"/>
      <c r="BL91" s="2595"/>
      <c r="BM91" s="2595"/>
      <c r="BN91" s="2595"/>
      <c r="BO91" s="2595"/>
      <c r="BP91" s="2595"/>
    </row>
    <row r="92" spans="1:69" ht="12.75" customHeight="1" thickBot="1">
      <c r="A92" s="2757"/>
      <c r="B92" s="7191">
        <v>31</v>
      </c>
      <c r="C92" s="7191"/>
      <c r="D92" s="2686" t="s">
        <v>2365</v>
      </c>
      <c r="E92" s="1179"/>
      <c r="F92" s="1179"/>
      <c r="G92" s="1179"/>
      <c r="H92" s="1179"/>
      <c r="I92" s="1179"/>
      <c r="J92" s="1179"/>
      <c r="K92" s="1179"/>
      <c r="L92" s="1179"/>
      <c r="M92" s="1179"/>
      <c r="N92" s="1179"/>
      <c r="O92" s="1179"/>
      <c r="P92" s="1179"/>
      <c r="Q92" s="1179"/>
      <c r="R92" s="1179"/>
      <c r="S92" s="1179"/>
      <c r="T92" s="1179"/>
      <c r="U92" s="1179"/>
      <c r="V92" s="1179"/>
      <c r="W92" s="1179"/>
      <c r="X92" s="1179"/>
      <c r="Y92" s="1179"/>
      <c r="Z92" s="1179"/>
      <c r="AA92" s="1179"/>
      <c r="AB92" s="1179"/>
      <c r="AC92" s="1179"/>
      <c r="AD92" s="1179"/>
      <c r="AE92" s="3489" t="s">
        <v>94</v>
      </c>
      <c r="AF92" s="7288">
        <v>31</v>
      </c>
      <c r="AG92" s="7289"/>
      <c r="AH92" s="3494" t="s">
        <v>916</v>
      </c>
      <c r="AI92" s="7291">
        <f>SUM(F90,S90,Z90)</f>
        <v>0</v>
      </c>
      <c r="AJ92" s="7141"/>
      <c r="AK92" s="7141"/>
      <c r="AL92" s="7141"/>
      <c r="AM92" s="7141"/>
      <c r="AN92" s="7141"/>
      <c r="AO92" s="3495" t="s">
        <v>917</v>
      </c>
      <c r="AP92" s="2757"/>
      <c r="AQ92" s="385"/>
      <c r="AR92" s="2410" t="s">
        <v>91</v>
      </c>
      <c r="AS92" s="385"/>
      <c r="BG92" s="3013"/>
      <c r="BH92" s="2595"/>
      <c r="BI92" s="2595"/>
      <c r="BJ92" s="2595"/>
      <c r="BK92" s="2595"/>
      <c r="BL92" s="2595"/>
      <c r="BM92" s="2595"/>
      <c r="BN92" s="2595"/>
      <c r="BO92" s="2595"/>
      <c r="BP92" s="2595"/>
    </row>
    <row r="93" spans="1:69" ht="12.75" customHeight="1" thickBot="1">
      <c r="A93" s="2757"/>
      <c r="B93" s="7292">
        <v>32</v>
      </c>
      <c r="C93" s="7292"/>
      <c r="D93" s="4231" t="s">
        <v>2366</v>
      </c>
      <c r="E93" s="1280"/>
      <c r="F93" s="1280"/>
      <c r="G93" s="1280"/>
      <c r="H93" s="1280"/>
      <c r="I93" s="1280"/>
      <c r="J93" s="1280"/>
      <c r="K93" s="1280"/>
      <c r="L93" s="1280"/>
      <c r="M93" s="1280"/>
      <c r="N93" s="1280"/>
      <c r="O93" s="1280"/>
      <c r="P93" s="1280"/>
      <c r="Q93" s="1280"/>
      <c r="R93" s="1280"/>
      <c r="S93" s="1280"/>
      <c r="T93" s="1280"/>
      <c r="U93" s="1280"/>
      <c r="V93" s="1280"/>
      <c r="W93" s="1280"/>
      <c r="X93" s="1280"/>
      <c r="Y93" s="1280"/>
      <c r="Z93" s="1280"/>
      <c r="AA93" s="1280"/>
      <c r="AB93" s="1280"/>
      <c r="AC93" s="1280"/>
      <c r="AD93" s="1280"/>
      <c r="AE93" s="3491" t="s">
        <v>697</v>
      </c>
      <c r="AF93" s="7293">
        <v>32</v>
      </c>
      <c r="AG93" s="7294"/>
      <c r="AH93" s="7295">
        <f>IF(AR93&lt;&gt;"",ROUND(AR93,0),SUM(AH91,-AI92))</f>
        <v>0</v>
      </c>
      <c r="AI93" s="7296"/>
      <c r="AJ93" s="7296"/>
      <c r="AK93" s="7296"/>
      <c r="AL93" s="7296"/>
      <c r="AM93" s="7296"/>
      <c r="AN93" s="7296"/>
      <c r="AO93" s="7296"/>
      <c r="AP93" s="2757"/>
      <c r="AQ93" s="385"/>
      <c r="AR93" s="3141"/>
      <c r="AS93" s="385"/>
      <c r="BG93" s="3013"/>
      <c r="BH93" s="2595"/>
      <c r="BI93" s="2595"/>
      <c r="BJ93" s="2595"/>
      <c r="BK93" s="2595"/>
      <c r="BL93" s="2595"/>
      <c r="BM93" s="2595"/>
      <c r="BN93" s="2595"/>
      <c r="BO93" s="2595"/>
      <c r="BP93" s="2595"/>
    </row>
    <row r="94" spans="1:69" s="2689" customFormat="1" ht="17.25" customHeight="1">
      <c r="A94" s="2758"/>
      <c r="B94" s="7274" t="s">
        <v>319</v>
      </c>
      <c r="C94" s="7274"/>
      <c r="D94" s="7275"/>
      <c r="E94" s="1397"/>
      <c r="F94" s="3493" t="s">
        <v>2367</v>
      </c>
      <c r="G94" s="1397"/>
      <c r="H94" s="1397"/>
      <c r="I94" s="1397"/>
      <c r="J94" s="1397"/>
      <c r="K94" s="1397"/>
      <c r="L94" s="1397"/>
      <c r="M94" s="1397"/>
      <c r="N94" s="1397"/>
      <c r="O94" s="1397"/>
      <c r="P94" s="1397"/>
      <c r="Q94" s="1397"/>
      <c r="R94" s="1397"/>
      <c r="S94" s="1397"/>
      <c r="T94" s="1397"/>
      <c r="U94" s="1397"/>
      <c r="V94" s="1397"/>
      <c r="W94" s="1397"/>
      <c r="X94" s="2791"/>
      <c r="Y94" s="1397"/>
      <c r="Z94" s="1397"/>
      <c r="AA94" s="1397"/>
      <c r="AB94" s="1397"/>
      <c r="AC94" s="1397"/>
      <c r="AD94" s="1397"/>
      <c r="AE94" s="1397"/>
      <c r="AF94" s="1397"/>
      <c r="AG94" s="1397"/>
      <c r="AH94" s="1397"/>
      <c r="AI94" s="1397"/>
      <c r="AJ94" s="1397"/>
      <c r="AK94" s="1397"/>
      <c r="AL94" s="1397"/>
      <c r="AM94" s="1397"/>
      <c r="AN94" s="1397"/>
      <c r="AO94" s="1397"/>
      <c r="AP94" s="2757"/>
      <c r="AQ94" s="385"/>
      <c r="AR94" s="385"/>
      <c r="AS94" s="385"/>
      <c r="AX94" s="42"/>
      <c r="AY94" s="42"/>
      <c r="AZ94" s="42"/>
      <c r="BA94" s="42"/>
      <c r="BB94" s="42"/>
      <c r="BC94" s="42"/>
      <c r="BD94" s="42"/>
      <c r="BG94" s="3013"/>
      <c r="BH94" s="2595"/>
      <c r="BI94" s="2595"/>
      <c r="BJ94" s="2595"/>
      <c r="BK94" s="2595"/>
      <c r="BL94" s="2595"/>
      <c r="BM94" s="2595"/>
      <c r="BN94" s="2595"/>
      <c r="BO94" s="2595"/>
      <c r="BP94" s="2595"/>
      <c r="BQ94" s="3402"/>
    </row>
    <row r="95" spans="1:69" ht="12.75" customHeight="1">
      <c r="A95" s="2757"/>
      <c r="B95" s="1574"/>
      <c r="C95" s="1574"/>
      <c r="D95" s="1574"/>
      <c r="E95" s="1574"/>
      <c r="F95" s="1574"/>
      <c r="G95" s="1574"/>
      <c r="H95" s="1574"/>
      <c r="I95" s="1574"/>
      <c r="J95" s="1574"/>
      <c r="K95" s="1574"/>
      <c r="L95" s="1574"/>
      <c r="M95" s="1574"/>
      <c r="N95" s="1574"/>
      <c r="O95" s="1574"/>
      <c r="P95" s="1574"/>
      <c r="Q95" s="1574"/>
      <c r="R95" s="1574"/>
      <c r="S95" s="1574"/>
      <c r="T95" s="1574"/>
      <c r="U95" s="1574"/>
      <c r="V95" s="1574"/>
      <c r="W95" s="1574"/>
      <c r="X95" s="1574"/>
      <c r="Y95" s="1574"/>
      <c r="Z95" s="1574"/>
      <c r="AA95" s="1574"/>
      <c r="AB95" s="1574"/>
      <c r="AC95" s="1574"/>
      <c r="AD95" s="1574"/>
      <c r="AE95" s="1574"/>
      <c r="AF95" s="1574"/>
      <c r="AG95" s="1575"/>
      <c r="AH95" s="7241" t="s">
        <v>2368</v>
      </c>
      <c r="AI95" s="7276"/>
      <c r="AJ95" s="7276"/>
      <c r="AK95" s="7276"/>
      <c r="AL95" s="7276"/>
      <c r="AM95" s="7276"/>
      <c r="AN95" s="7276"/>
      <c r="AO95" s="7276"/>
      <c r="AP95" s="2757"/>
      <c r="BG95" s="3013"/>
      <c r="BH95" s="2595"/>
      <c r="BI95" s="2595"/>
      <c r="BJ95" s="2595"/>
      <c r="BK95" s="2595"/>
      <c r="BL95" s="2595"/>
      <c r="BM95" s="2595"/>
      <c r="BN95" s="2595"/>
      <c r="BO95" s="2595"/>
      <c r="BP95" s="2595"/>
    </row>
    <row r="96" spans="1:69" ht="12.75" customHeight="1">
      <c r="A96" s="2757"/>
      <c r="B96" s="7250">
        <v>33</v>
      </c>
      <c r="C96" s="6371"/>
      <c r="D96" s="1179"/>
      <c r="E96" s="1179"/>
      <c r="F96" s="1179"/>
      <c r="G96" s="1179"/>
      <c r="H96" s="1179"/>
      <c r="I96" s="1179"/>
      <c r="J96" s="1179"/>
      <c r="K96" s="1179"/>
      <c r="L96" s="1179"/>
      <c r="M96" s="1179"/>
      <c r="N96" s="1179"/>
      <c r="O96" s="1179"/>
      <c r="P96" s="1276" t="s">
        <v>2353</v>
      </c>
      <c r="Q96" s="1179"/>
      <c r="R96" s="1179"/>
      <c r="S96" s="1179"/>
      <c r="T96" s="1179"/>
      <c r="U96" s="1179"/>
      <c r="V96" s="1179"/>
      <c r="W96" s="1179"/>
      <c r="X96" s="1179"/>
      <c r="Y96" s="1179"/>
      <c r="Z96" s="1179"/>
      <c r="AA96" s="1179"/>
      <c r="AB96" s="1179"/>
      <c r="AC96" s="1179"/>
      <c r="AD96" s="1179"/>
      <c r="AE96" s="1179"/>
      <c r="AF96" s="1179"/>
      <c r="AG96" s="1583"/>
      <c r="AH96" s="7277"/>
      <c r="AI96" s="7179"/>
      <c r="AJ96" s="7179"/>
      <c r="AK96" s="7179"/>
      <c r="AL96" s="7179"/>
      <c r="AM96" s="7179"/>
      <c r="AN96" s="7179"/>
      <c r="AO96" s="7179"/>
      <c r="AP96" s="2757"/>
      <c r="AX96" s="2689"/>
      <c r="AY96" s="2689"/>
      <c r="AZ96" s="2689"/>
      <c r="BA96" s="2689"/>
      <c r="BB96" s="2689"/>
      <c r="BC96" s="2689"/>
      <c r="BD96" s="2689"/>
      <c r="BG96" s="3013"/>
      <c r="BH96" s="2595"/>
      <c r="BI96" s="2595"/>
      <c r="BJ96" s="2595"/>
      <c r="BK96" s="2595"/>
      <c r="BL96" s="2595"/>
      <c r="BM96" s="2595"/>
      <c r="BN96" s="2595"/>
      <c r="BO96" s="2595"/>
      <c r="BP96" s="2595"/>
    </row>
    <row r="97" spans="1:69" ht="12.75" customHeight="1">
      <c r="A97" s="2757"/>
      <c r="B97" s="1553"/>
      <c r="C97" s="1553"/>
      <c r="D97" s="1553"/>
      <c r="E97" s="1553"/>
      <c r="F97" s="1553"/>
      <c r="G97" s="1553"/>
      <c r="H97" s="1553"/>
      <c r="I97" s="1553"/>
      <c r="J97" s="1553"/>
      <c r="K97" s="1553"/>
      <c r="L97" s="1553"/>
      <c r="M97" s="1553"/>
      <c r="N97" s="1553"/>
      <c r="O97" s="1553"/>
      <c r="P97" s="1553"/>
      <c r="Q97" s="1553"/>
      <c r="R97" s="1553"/>
      <c r="S97" s="1553"/>
      <c r="T97" s="1553"/>
      <c r="U97" s="1553"/>
      <c r="V97" s="1553"/>
      <c r="W97" s="1553"/>
      <c r="X97" s="1553"/>
      <c r="Y97" s="1553"/>
      <c r="Z97" s="1553"/>
      <c r="AA97" s="1553"/>
      <c r="AB97" s="1553"/>
      <c r="AC97" s="1553"/>
      <c r="AD97" s="1553"/>
      <c r="AE97" s="1553"/>
      <c r="AF97" s="1553"/>
      <c r="AG97" s="3008"/>
      <c r="AH97" s="7278"/>
      <c r="AI97" s="6763"/>
      <c r="AJ97" s="6763"/>
      <c r="AK97" s="6763"/>
      <c r="AL97" s="6763"/>
      <c r="AM97" s="6763"/>
      <c r="AN97" s="6763"/>
      <c r="AO97" s="6763"/>
      <c r="AP97" s="2757"/>
      <c r="BG97" s="3013"/>
      <c r="BH97" s="2595"/>
      <c r="BI97" s="2595"/>
      <c r="BJ97" s="2595"/>
      <c r="BK97" s="2595"/>
      <c r="BL97" s="2595"/>
      <c r="BM97" s="2595"/>
      <c r="BN97" s="2595"/>
      <c r="BO97" s="2595"/>
      <c r="BP97" s="2595"/>
    </row>
    <row r="98" spans="1:69" ht="13.5" customHeight="1">
      <c r="A98" s="2757"/>
      <c r="B98" s="3124" t="s">
        <v>143</v>
      </c>
      <c r="C98" s="7279"/>
      <c r="D98" s="7280"/>
      <c r="E98" s="7280"/>
      <c r="F98" s="7280"/>
      <c r="G98" s="7280"/>
      <c r="H98" s="7280"/>
      <c r="I98" s="7280"/>
      <c r="J98" s="7280"/>
      <c r="K98" s="7281"/>
      <c r="L98" s="7281"/>
      <c r="M98" s="7281"/>
      <c r="N98" s="7281"/>
      <c r="O98" s="7281"/>
      <c r="P98" s="7281"/>
      <c r="Q98" s="7281"/>
      <c r="R98" s="7281"/>
      <c r="S98" s="7281"/>
      <c r="T98" s="7281"/>
      <c r="U98" s="7281"/>
      <c r="V98" s="7281"/>
      <c r="W98" s="7281"/>
      <c r="X98" s="7281"/>
      <c r="Y98" s="7281"/>
      <c r="Z98" s="7281"/>
      <c r="AA98" s="7281"/>
      <c r="AB98" s="7281"/>
      <c r="AC98" s="7281"/>
      <c r="AD98" s="7281"/>
      <c r="AE98" s="7281"/>
      <c r="AF98" s="7281"/>
      <c r="AG98" s="7282"/>
      <c r="AH98" s="7283"/>
      <c r="AI98" s="7284"/>
      <c r="AJ98" s="7284"/>
      <c r="AK98" s="7284"/>
      <c r="AL98" s="7284"/>
      <c r="AM98" s="7284"/>
      <c r="AN98" s="7284"/>
      <c r="AO98" s="7284"/>
      <c r="AP98" s="2757"/>
      <c r="BG98" s="3013"/>
      <c r="BH98" s="2595"/>
      <c r="BI98" s="2595"/>
      <c r="BJ98" s="2595"/>
      <c r="BK98" s="2595"/>
      <c r="BL98" s="2595"/>
      <c r="BM98" s="2595"/>
      <c r="BN98" s="2595"/>
      <c r="BO98" s="2595"/>
      <c r="BP98" s="2595"/>
    </row>
    <row r="99" spans="1:69" ht="13.5" customHeight="1">
      <c r="A99" s="2757"/>
      <c r="B99" s="3123" t="s">
        <v>288</v>
      </c>
      <c r="C99" s="7279"/>
      <c r="D99" s="7280"/>
      <c r="E99" s="7280"/>
      <c r="F99" s="7280"/>
      <c r="G99" s="7280"/>
      <c r="H99" s="7280"/>
      <c r="I99" s="7280"/>
      <c r="J99" s="7280"/>
      <c r="K99" s="7281"/>
      <c r="L99" s="7281"/>
      <c r="M99" s="7281"/>
      <c r="N99" s="7281"/>
      <c r="O99" s="7281"/>
      <c r="P99" s="7281"/>
      <c r="Q99" s="7281"/>
      <c r="R99" s="7281"/>
      <c r="S99" s="7281"/>
      <c r="T99" s="7281"/>
      <c r="U99" s="7281"/>
      <c r="V99" s="7281"/>
      <c r="W99" s="7281"/>
      <c r="X99" s="7281"/>
      <c r="Y99" s="7281"/>
      <c r="Z99" s="7281"/>
      <c r="AA99" s="7281"/>
      <c r="AB99" s="7281"/>
      <c r="AC99" s="7281"/>
      <c r="AD99" s="7281"/>
      <c r="AE99" s="7281"/>
      <c r="AF99" s="7281"/>
      <c r="AG99" s="7282"/>
      <c r="AH99" s="7283"/>
      <c r="AI99" s="7284"/>
      <c r="AJ99" s="7284"/>
      <c r="AK99" s="7284"/>
      <c r="AL99" s="7284"/>
      <c r="AM99" s="7284"/>
      <c r="AN99" s="7284"/>
      <c r="AO99" s="7284"/>
      <c r="AP99" s="2757"/>
      <c r="BG99" s="3013"/>
      <c r="BH99" s="2595"/>
      <c r="BI99" s="2595"/>
      <c r="BJ99" s="2595"/>
      <c r="BK99" s="2595"/>
      <c r="BL99" s="2595"/>
      <c r="BM99" s="2595"/>
      <c r="BN99" s="2595"/>
      <c r="BO99" s="2595"/>
      <c r="BP99" s="2595"/>
    </row>
    <row r="100" spans="1:69" ht="17.25" customHeight="1">
      <c r="A100" s="2757"/>
      <c r="B100" s="7285" t="s">
        <v>679</v>
      </c>
      <c r="C100" s="6206"/>
      <c r="D100" s="6206"/>
      <c r="E100" s="6206"/>
      <c r="F100" s="6206"/>
      <c r="G100" s="6206"/>
      <c r="H100" s="6206"/>
      <c r="I100" s="6206"/>
      <c r="J100" s="6206"/>
      <c r="K100" s="6206"/>
      <c r="L100" s="6206"/>
      <c r="M100" s="6206"/>
      <c r="N100" s="6206"/>
      <c r="O100" s="6206"/>
      <c r="P100" s="6206"/>
      <c r="Q100" s="6206"/>
      <c r="R100" s="6206"/>
      <c r="S100" s="6206"/>
      <c r="T100" s="6206"/>
      <c r="U100" s="6206"/>
      <c r="V100" s="6206"/>
      <c r="W100" s="6206"/>
      <c r="X100" s="7286"/>
      <c r="Y100" s="7287" t="s">
        <v>680</v>
      </c>
      <c r="Z100" s="6206"/>
      <c r="AA100" s="6206"/>
      <c r="AB100" s="6206"/>
      <c r="AC100" s="6206"/>
      <c r="AD100" s="6206"/>
      <c r="AE100" s="6206"/>
      <c r="AF100" s="6206"/>
      <c r="AG100" s="6206"/>
      <c r="AH100" s="6206"/>
      <c r="AI100" s="6206"/>
      <c r="AJ100" s="6206"/>
      <c r="AK100" s="6206"/>
      <c r="AL100" s="6206"/>
      <c r="AM100" s="6206"/>
      <c r="AN100" s="6206"/>
      <c r="AO100" s="6206"/>
      <c r="AP100" s="2757"/>
      <c r="BG100" s="3013"/>
      <c r="BH100" s="2595"/>
      <c r="BI100" s="2595"/>
      <c r="BJ100" s="2595"/>
      <c r="BK100" s="2595"/>
      <c r="BL100" s="2595"/>
      <c r="BM100" s="2595"/>
      <c r="BN100" s="2595"/>
      <c r="BO100" s="2595"/>
      <c r="BP100" s="2595"/>
    </row>
    <row r="101" spans="1:69" ht="12.75" customHeight="1">
      <c r="A101" s="2757"/>
      <c r="B101" s="7257" t="s">
        <v>2372</v>
      </c>
      <c r="C101" s="6720"/>
      <c r="D101" s="6720"/>
      <c r="E101" s="6720"/>
      <c r="F101" s="6720"/>
      <c r="G101" s="6720"/>
      <c r="H101" s="6720"/>
      <c r="I101" s="6720"/>
      <c r="J101" s="6720"/>
      <c r="K101" s="6720"/>
      <c r="L101" s="6720"/>
      <c r="M101" s="6720"/>
      <c r="N101" s="7258"/>
      <c r="O101" s="7261" t="s">
        <v>2370</v>
      </c>
      <c r="P101" s="6869"/>
      <c r="Q101" s="6869"/>
      <c r="R101" s="6869"/>
      <c r="S101" s="6869"/>
      <c r="T101" s="6869"/>
      <c r="U101" s="6869"/>
      <c r="V101" s="6869"/>
      <c r="W101" s="6869"/>
      <c r="X101" s="6869"/>
      <c r="Y101" s="7266" t="s">
        <v>2369</v>
      </c>
      <c r="Z101" s="6720"/>
      <c r="AA101" s="6720"/>
      <c r="AB101" s="6720"/>
      <c r="AC101" s="6720"/>
      <c r="AD101" s="6720"/>
      <c r="AE101" s="6720"/>
      <c r="AF101" s="6720"/>
      <c r="AG101" s="7258"/>
      <c r="AH101" s="7261" t="s">
        <v>2371</v>
      </c>
      <c r="AI101" s="6869"/>
      <c r="AJ101" s="6869"/>
      <c r="AK101" s="6869"/>
      <c r="AL101" s="6869"/>
      <c r="AM101" s="6869"/>
      <c r="AN101" s="6869"/>
      <c r="AO101" s="6869"/>
      <c r="AP101" s="2757"/>
      <c r="BG101" s="3013"/>
      <c r="BH101" s="2595"/>
      <c r="BI101" s="2595"/>
      <c r="BJ101" s="2595"/>
      <c r="BK101" s="2595"/>
      <c r="BL101" s="2595"/>
      <c r="BM101" s="2595"/>
      <c r="BN101" s="2595"/>
      <c r="BO101" s="2595"/>
      <c r="BP101" s="2595"/>
    </row>
    <row r="102" spans="1:69" ht="12.75" customHeight="1">
      <c r="A102" s="2757"/>
      <c r="B102" s="6618"/>
      <c r="C102" s="6618"/>
      <c r="D102" s="6618"/>
      <c r="E102" s="6618"/>
      <c r="F102" s="6618"/>
      <c r="G102" s="6618"/>
      <c r="H102" s="6618"/>
      <c r="I102" s="6618"/>
      <c r="J102" s="6618"/>
      <c r="K102" s="6618"/>
      <c r="L102" s="6618"/>
      <c r="M102" s="6618"/>
      <c r="N102" s="7259"/>
      <c r="O102" s="7262"/>
      <c r="P102" s="7263"/>
      <c r="Q102" s="7263"/>
      <c r="R102" s="7263"/>
      <c r="S102" s="7263"/>
      <c r="T102" s="7263"/>
      <c r="U102" s="7263"/>
      <c r="V102" s="7263"/>
      <c r="W102" s="7263"/>
      <c r="X102" s="7263"/>
      <c r="Y102" s="6721"/>
      <c r="Z102" s="6618"/>
      <c r="AA102" s="6618"/>
      <c r="AB102" s="6618"/>
      <c r="AC102" s="6618"/>
      <c r="AD102" s="6618"/>
      <c r="AE102" s="6618"/>
      <c r="AF102" s="6618"/>
      <c r="AG102" s="7259"/>
      <c r="AH102" s="7262"/>
      <c r="AI102" s="7263"/>
      <c r="AJ102" s="7263"/>
      <c r="AK102" s="7263"/>
      <c r="AL102" s="7263"/>
      <c r="AM102" s="7263"/>
      <c r="AN102" s="7263"/>
      <c r="AO102" s="7263"/>
      <c r="AP102" s="2757"/>
      <c r="BG102" s="3013"/>
      <c r="BH102" s="2595"/>
      <c r="BI102" s="2595"/>
      <c r="BJ102" s="2595"/>
      <c r="BK102" s="2595"/>
      <c r="BL102" s="2595"/>
      <c r="BM102" s="2595"/>
      <c r="BN102" s="2595"/>
      <c r="BO102" s="2595"/>
      <c r="BP102" s="2595"/>
    </row>
    <row r="103" spans="1:69" ht="12.75" customHeight="1">
      <c r="A103" s="2757"/>
      <c r="B103" s="6616"/>
      <c r="C103" s="6616"/>
      <c r="D103" s="6616"/>
      <c r="E103" s="6616"/>
      <c r="F103" s="6616"/>
      <c r="G103" s="6616"/>
      <c r="H103" s="6616"/>
      <c r="I103" s="6616"/>
      <c r="J103" s="6616"/>
      <c r="K103" s="6616"/>
      <c r="L103" s="6616"/>
      <c r="M103" s="6616"/>
      <c r="N103" s="7260"/>
      <c r="O103" s="7264"/>
      <c r="P103" s="7265"/>
      <c r="Q103" s="7265"/>
      <c r="R103" s="7265"/>
      <c r="S103" s="7265"/>
      <c r="T103" s="7265"/>
      <c r="U103" s="7265"/>
      <c r="V103" s="7265"/>
      <c r="W103" s="7265"/>
      <c r="X103" s="7265"/>
      <c r="Y103" s="7267"/>
      <c r="Z103" s="6616"/>
      <c r="AA103" s="6616"/>
      <c r="AB103" s="6616"/>
      <c r="AC103" s="6616"/>
      <c r="AD103" s="6616"/>
      <c r="AE103" s="6616"/>
      <c r="AF103" s="6616"/>
      <c r="AG103" s="7260"/>
      <c r="AH103" s="7264"/>
      <c r="AI103" s="7265"/>
      <c r="AJ103" s="7265"/>
      <c r="AK103" s="7265"/>
      <c r="AL103" s="7265"/>
      <c r="AM103" s="7265"/>
      <c r="AN103" s="7265"/>
      <c r="AO103" s="7265"/>
      <c r="AP103" s="2757"/>
      <c r="BG103" s="3013"/>
      <c r="BH103" s="2595"/>
      <c r="BI103" s="2595"/>
      <c r="BJ103" s="2595"/>
      <c r="BK103" s="2595"/>
      <c r="BL103" s="2595"/>
      <c r="BM103" s="2595"/>
      <c r="BN103" s="2595"/>
      <c r="BO103" s="2595"/>
      <c r="BP103" s="2595"/>
    </row>
    <row r="104" spans="1:69" ht="13.5" customHeight="1">
      <c r="A104" s="2757"/>
      <c r="B104" s="3124" t="s">
        <v>143</v>
      </c>
      <c r="C104" s="7199"/>
      <c r="D104" s="7200"/>
      <c r="E104" s="7200"/>
      <c r="F104" s="7200"/>
      <c r="G104" s="7200"/>
      <c r="H104" s="7200"/>
      <c r="I104" s="7200"/>
      <c r="J104" s="7200"/>
      <c r="K104" s="7200"/>
      <c r="L104" s="7200"/>
      <c r="M104" s="7200"/>
      <c r="N104" s="7268"/>
      <c r="O104" s="7269"/>
      <c r="P104" s="7270"/>
      <c r="Q104" s="7270"/>
      <c r="R104" s="7270"/>
      <c r="S104" s="7270"/>
      <c r="T104" s="7270"/>
      <c r="U104" s="7270"/>
      <c r="V104" s="7270"/>
      <c r="W104" s="7270"/>
      <c r="X104" s="7271"/>
      <c r="Y104" s="7272"/>
      <c r="Z104" s="7273"/>
      <c r="AA104" s="7273"/>
      <c r="AB104" s="7273"/>
      <c r="AC104" s="7273"/>
      <c r="AD104" s="7273"/>
      <c r="AE104" s="7273"/>
      <c r="AF104" s="7273"/>
      <c r="AG104" s="7273"/>
      <c r="AH104" s="7273"/>
      <c r="AI104" s="7273"/>
      <c r="AJ104" s="7273"/>
      <c r="AK104" s="7273"/>
      <c r="AL104" s="7273"/>
      <c r="AM104" s="7273"/>
      <c r="AN104" s="7273"/>
      <c r="AO104" s="7269"/>
      <c r="AP104" s="2757"/>
      <c r="BG104" s="3013"/>
      <c r="BH104" s="2595"/>
      <c r="BI104" s="2595"/>
      <c r="BJ104" s="2595"/>
      <c r="BK104" s="2595"/>
      <c r="BL104" s="2595"/>
      <c r="BM104" s="2595"/>
      <c r="BN104" s="2595"/>
      <c r="BO104" s="2595"/>
      <c r="BP104" s="2595"/>
    </row>
    <row r="105" spans="1:69" ht="13.5" customHeight="1">
      <c r="A105" s="2757"/>
      <c r="B105" s="3124" t="s">
        <v>288</v>
      </c>
      <c r="C105" s="7199"/>
      <c r="D105" s="7200"/>
      <c r="E105" s="7200"/>
      <c r="F105" s="7200"/>
      <c r="G105" s="7200"/>
      <c r="H105" s="7200"/>
      <c r="I105" s="7200"/>
      <c r="J105" s="7200"/>
      <c r="K105" s="7200"/>
      <c r="L105" s="7200"/>
      <c r="M105" s="7200"/>
      <c r="N105" s="7268"/>
      <c r="O105" s="7269"/>
      <c r="P105" s="7270"/>
      <c r="Q105" s="7270"/>
      <c r="R105" s="7270"/>
      <c r="S105" s="7270"/>
      <c r="T105" s="7270"/>
      <c r="U105" s="7270"/>
      <c r="V105" s="7270"/>
      <c r="W105" s="7270"/>
      <c r="X105" s="7271"/>
      <c r="Y105" s="7272"/>
      <c r="Z105" s="7273"/>
      <c r="AA105" s="7273"/>
      <c r="AB105" s="7273"/>
      <c r="AC105" s="7273"/>
      <c r="AD105" s="7273"/>
      <c r="AE105" s="7273"/>
      <c r="AF105" s="7273"/>
      <c r="AG105" s="7273"/>
      <c r="AH105" s="7273"/>
      <c r="AI105" s="7273"/>
      <c r="AJ105" s="7273"/>
      <c r="AK105" s="7273"/>
      <c r="AL105" s="7273"/>
      <c r="AM105" s="7273"/>
      <c r="AN105" s="7273"/>
      <c r="AO105" s="7269"/>
      <c r="AP105" s="2757"/>
      <c r="BG105" s="3013"/>
      <c r="BH105" s="2595"/>
      <c r="BI105" s="2595"/>
      <c r="BJ105" s="2595"/>
      <c r="BK105" s="2595"/>
      <c r="BL105" s="2595"/>
      <c r="BM105" s="2595"/>
      <c r="BN105" s="2595"/>
      <c r="BO105" s="2595"/>
      <c r="BP105" s="2595"/>
    </row>
    <row r="106" spans="1:69" ht="13.5" customHeight="1">
      <c r="A106" s="2757"/>
      <c r="B106" s="7196" t="s">
        <v>2373</v>
      </c>
      <c r="C106" s="7196"/>
      <c r="D106" s="2686" t="s">
        <v>2363</v>
      </c>
      <c r="E106" s="1179"/>
      <c r="F106" s="1190"/>
      <c r="G106" s="3020"/>
      <c r="H106" s="3020"/>
      <c r="I106" s="3020"/>
      <c r="J106" s="3020"/>
      <c r="K106" s="3020"/>
      <c r="L106" s="3020"/>
      <c r="M106" s="3020"/>
      <c r="N106" s="1191"/>
      <c r="O106" s="7251">
        <f>ROUND(SUM(O104:O105),0)</f>
        <v>0</v>
      </c>
      <c r="P106" s="7252"/>
      <c r="Q106" s="7252"/>
      <c r="R106" s="7252"/>
      <c r="S106" s="7252"/>
      <c r="T106" s="7252"/>
      <c r="U106" s="7252"/>
      <c r="V106" s="7252"/>
      <c r="W106" s="7252"/>
      <c r="X106" s="7253"/>
      <c r="Y106" s="3125"/>
      <c r="Z106" s="3020"/>
      <c r="AA106" s="3020"/>
      <c r="AB106" s="3020"/>
      <c r="AC106" s="3020"/>
      <c r="AD106" s="3020"/>
      <c r="AE106" s="3020"/>
      <c r="AF106" s="3020"/>
      <c r="AG106" s="1191"/>
      <c r="AH106" s="7218">
        <f>ROUND(SUM(AH104:AH105),0)</f>
        <v>0</v>
      </c>
      <c r="AI106" s="7219"/>
      <c r="AJ106" s="7219"/>
      <c r="AK106" s="7219"/>
      <c r="AL106" s="7219"/>
      <c r="AM106" s="7219"/>
      <c r="AN106" s="7219"/>
      <c r="AO106" s="7219"/>
      <c r="AP106" s="2757"/>
      <c r="BG106" s="3013"/>
      <c r="BH106" s="2595"/>
      <c r="BI106" s="2595"/>
      <c r="BJ106" s="2595"/>
      <c r="BK106" s="2595"/>
      <c r="BL106" s="2595"/>
      <c r="BM106" s="2595"/>
      <c r="BN106" s="2595"/>
      <c r="BO106" s="2595"/>
      <c r="BP106" s="2595"/>
    </row>
    <row r="107" spans="1:69" ht="13.5" customHeight="1">
      <c r="A107" s="2757"/>
      <c r="B107" s="7254" t="s">
        <v>47</v>
      </c>
      <c r="C107" s="7254"/>
      <c r="D107" s="2686" t="s">
        <v>2363</v>
      </c>
      <c r="E107" s="1179"/>
      <c r="F107" s="7218">
        <f>ROUND(SUM(C104:C105),0)</f>
        <v>0</v>
      </c>
      <c r="G107" s="7255"/>
      <c r="H107" s="7255"/>
      <c r="I107" s="7255"/>
      <c r="J107" s="7255"/>
      <c r="K107" s="7255"/>
      <c r="L107" s="7255"/>
      <c r="M107" s="7255"/>
      <c r="N107" s="7256"/>
      <c r="O107" s="3126"/>
      <c r="P107" s="3005"/>
      <c r="Q107" s="3005"/>
      <c r="R107" s="3005"/>
      <c r="S107" s="3005"/>
      <c r="T107" s="3005"/>
      <c r="U107" s="3005"/>
      <c r="V107" s="3005"/>
      <c r="W107" s="3005"/>
      <c r="X107" s="3127"/>
      <c r="Y107" s="7218">
        <f>ROUND(SUM(Y104:Y105),0)</f>
        <v>0</v>
      </c>
      <c r="Z107" s="7255"/>
      <c r="AA107" s="7255"/>
      <c r="AB107" s="7255"/>
      <c r="AC107" s="7255"/>
      <c r="AD107" s="7255"/>
      <c r="AE107" s="7255"/>
      <c r="AF107" s="7255"/>
      <c r="AG107" s="7256"/>
      <c r="AH107" s="1190"/>
      <c r="AI107" s="3020"/>
      <c r="AJ107" s="3020"/>
      <c r="AK107" s="3020"/>
      <c r="AL107" s="3020"/>
      <c r="AM107" s="3020"/>
      <c r="AN107" s="3020"/>
      <c r="AO107" s="3020"/>
      <c r="AP107" s="2757"/>
      <c r="BG107" s="3013"/>
      <c r="BH107" s="2595"/>
      <c r="BI107" s="2595"/>
      <c r="BJ107" s="2595"/>
      <c r="BK107" s="2595"/>
      <c r="BL107" s="2595"/>
      <c r="BM107" s="2595"/>
      <c r="BN107" s="2595"/>
      <c r="BO107" s="2595"/>
      <c r="BP107" s="2595"/>
    </row>
    <row r="108" spans="1:69" ht="13.5" customHeight="1">
      <c r="A108" s="2757"/>
      <c r="B108" s="7191">
        <v>35</v>
      </c>
      <c r="C108" s="7191"/>
      <c r="D108" s="2686" t="s">
        <v>2374</v>
      </c>
      <c r="E108" s="1179"/>
      <c r="F108" s="1179"/>
      <c r="G108" s="1179"/>
      <c r="H108" s="1179"/>
      <c r="I108" s="1179"/>
      <c r="J108" s="1179"/>
      <c r="K108" s="1179"/>
      <c r="L108" s="1179"/>
      <c r="M108" s="1179"/>
      <c r="N108" s="1179"/>
      <c r="O108" s="1179"/>
      <c r="P108" s="1179"/>
      <c r="Q108" s="1179"/>
      <c r="R108" s="1179"/>
      <c r="S108" s="1179"/>
      <c r="T108" s="1179"/>
      <c r="U108" s="1179"/>
      <c r="V108" s="1179"/>
      <c r="W108" s="1179"/>
      <c r="X108" s="1179"/>
      <c r="Y108" s="1179"/>
      <c r="Z108" s="1179"/>
      <c r="AA108" s="1179"/>
      <c r="AB108" s="1179"/>
      <c r="AC108" s="1179"/>
      <c r="AD108" s="1179"/>
      <c r="AE108" s="1179"/>
      <c r="AF108" s="1179"/>
      <c r="AG108" s="3489" t="s">
        <v>633</v>
      </c>
      <c r="AH108" s="7197">
        <v>35</v>
      </c>
      <c r="AI108" s="7222"/>
      <c r="AJ108" s="7224">
        <f>SUM(O106,AH106)</f>
        <v>0</v>
      </c>
      <c r="AK108" s="7225"/>
      <c r="AL108" s="7225"/>
      <c r="AM108" s="7225"/>
      <c r="AN108" s="7225"/>
      <c r="AO108" s="7225"/>
      <c r="AP108" s="2757"/>
      <c r="BG108" s="3013"/>
      <c r="BH108" s="2595"/>
      <c r="BI108" s="2595"/>
      <c r="BJ108" s="2595"/>
      <c r="BK108" s="2595"/>
      <c r="BL108" s="2595"/>
      <c r="BM108" s="2595"/>
      <c r="BN108" s="2595"/>
      <c r="BO108" s="2595"/>
      <c r="BP108" s="2595"/>
    </row>
    <row r="109" spans="1:69" ht="13.5" customHeight="1">
      <c r="A109" s="2757"/>
      <c r="B109" s="7191">
        <v>36</v>
      </c>
      <c r="C109" s="7191"/>
      <c r="D109" s="2686" t="s">
        <v>2375</v>
      </c>
      <c r="E109" s="1179"/>
      <c r="F109" s="1179"/>
      <c r="G109" s="1179"/>
      <c r="H109" s="1179"/>
      <c r="I109" s="1179"/>
      <c r="J109" s="1179"/>
      <c r="K109" s="1179"/>
      <c r="L109" s="1179"/>
      <c r="M109" s="1179"/>
      <c r="N109" s="1179"/>
      <c r="O109" s="1179"/>
      <c r="P109" s="1179"/>
      <c r="Q109" s="1179"/>
      <c r="R109" s="1179"/>
      <c r="S109" s="1179"/>
      <c r="T109" s="1179"/>
      <c r="U109" s="1179"/>
      <c r="V109" s="1179"/>
      <c r="W109" s="1179"/>
      <c r="X109" s="1179"/>
      <c r="Y109" s="1179"/>
      <c r="Z109" s="1179"/>
      <c r="AA109" s="1179"/>
      <c r="AB109" s="1179"/>
      <c r="AC109" s="1179"/>
      <c r="AD109" s="1179"/>
      <c r="AE109" s="1179"/>
      <c r="AF109" s="1179"/>
      <c r="AG109" s="3489" t="s">
        <v>633</v>
      </c>
      <c r="AH109" s="7197">
        <v>36</v>
      </c>
      <c r="AI109" s="7222"/>
      <c r="AJ109" s="3136" t="s">
        <v>916</v>
      </c>
      <c r="AK109" s="7202">
        <f>SUM(F107,Y107)</f>
        <v>0</v>
      </c>
      <c r="AL109" s="7223"/>
      <c r="AM109" s="7223"/>
      <c r="AN109" s="7223"/>
      <c r="AO109" s="3149" t="s">
        <v>917</v>
      </c>
      <c r="AP109" s="2757"/>
      <c r="BG109" s="3013"/>
      <c r="BH109" s="2595"/>
      <c r="BI109" s="2595"/>
      <c r="BJ109" s="2595"/>
      <c r="BK109" s="2595"/>
      <c r="BL109" s="2595"/>
      <c r="BM109" s="2595"/>
      <c r="BN109" s="2595"/>
      <c r="BO109" s="2595"/>
      <c r="BP109" s="2595"/>
    </row>
    <row r="110" spans="1:69" ht="13.5" customHeight="1">
      <c r="A110" s="2757"/>
      <c r="B110" s="7217">
        <v>37</v>
      </c>
      <c r="C110" s="7217"/>
      <c r="D110" s="2791" t="s">
        <v>2376</v>
      </c>
      <c r="E110" s="1553"/>
      <c r="F110" s="1553"/>
      <c r="G110" s="1553"/>
      <c r="H110" s="1553"/>
      <c r="I110" s="1553"/>
      <c r="J110" s="1553"/>
      <c r="K110" s="1553"/>
      <c r="L110" s="1553"/>
      <c r="M110" s="1553"/>
      <c r="N110" s="1553"/>
      <c r="O110" s="1553"/>
      <c r="P110" s="1553"/>
      <c r="Q110" s="1553"/>
      <c r="R110" s="1553"/>
      <c r="S110" s="1553"/>
      <c r="T110" s="1553"/>
      <c r="U110" s="1553"/>
      <c r="V110" s="1553"/>
      <c r="W110" s="1553"/>
      <c r="X110" s="1553"/>
      <c r="Y110" s="1553"/>
      <c r="Z110" s="1553"/>
      <c r="AA110" s="1553"/>
      <c r="AB110" s="1553"/>
      <c r="AC110" s="1553"/>
      <c r="AD110" s="1553"/>
      <c r="AE110" s="1553"/>
      <c r="AF110" s="1553"/>
      <c r="AG110" s="3492" t="s">
        <v>571</v>
      </c>
      <c r="AH110" s="7197">
        <v>37</v>
      </c>
      <c r="AI110" s="7222"/>
      <c r="AJ110" s="7224">
        <f>SUM(AJ108,-AK109)</f>
        <v>0</v>
      </c>
      <c r="AK110" s="7225"/>
      <c r="AL110" s="7225"/>
      <c r="AM110" s="7225"/>
      <c r="AN110" s="7225"/>
      <c r="AO110" s="7225"/>
      <c r="AP110" s="2757"/>
      <c r="BG110" s="3013"/>
      <c r="BH110" s="2595"/>
      <c r="BI110" s="2595"/>
      <c r="BJ110" s="2595"/>
      <c r="BK110" s="2595"/>
      <c r="BL110" s="2595"/>
      <c r="BM110" s="2595"/>
      <c r="BN110" s="2595"/>
      <c r="BO110" s="2595"/>
      <c r="BP110" s="2595"/>
    </row>
    <row r="111" spans="1:69" s="2689" customFormat="1" ht="17.25" customHeight="1">
      <c r="A111" s="2758"/>
      <c r="B111" s="7220" t="s">
        <v>470</v>
      </c>
      <c r="C111" s="7220"/>
      <c r="D111" s="7221"/>
      <c r="E111" s="2690"/>
      <c r="F111" s="2778" t="s">
        <v>2377</v>
      </c>
      <c r="G111" s="2690"/>
      <c r="H111" s="2690"/>
      <c r="I111" s="2690"/>
      <c r="J111" s="2690"/>
      <c r="K111" s="2690"/>
      <c r="L111" s="2690"/>
      <c r="M111" s="2690"/>
      <c r="N111" s="2690"/>
      <c r="O111" s="2690"/>
      <c r="P111" s="2690"/>
      <c r="Q111" s="2690"/>
      <c r="R111" s="2690"/>
      <c r="S111" s="2690"/>
      <c r="T111" s="2690"/>
      <c r="U111" s="2690"/>
      <c r="V111" s="2690"/>
      <c r="W111" s="2690"/>
      <c r="X111" s="2688"/>
      <c r="Y111" s="2690"/>
      <c r="Z111" s="2690"/>
      <c r="AA111" s="2690"/>
      <c r="AB111" s="2690"/>
      <c r="AC111" s="2690"/>
      <c r="AD111" s="2690"/>
      <c r="AE111" s="2690"/>
      <c r="AF111" s="2690"/>
      <c r="AG111" s="1397"/>
      <c r="AH111" s="2690"/>
      <c r="AI111" s="2690"/>
      <c r="AJ111" s="2690"/>
      <c r="AK111" s="2690"/>
      <c r="AL111" s="2690"/>
      <c r="AM111" s="2690"/>
      <c r="AN111" s="2690"/>
      <c r="AO111" s="2690"/>
      <c r="AP111" s="2757"/>
      <c r="AX111" s="42"/>
      <c r="AY111" s="42"/>
      <c r="AZ111" s="42"/>
      <c r="BA111" s="42"/>
      <c r="BB111" s="42"/>
      <c r="BC111" s="42"/>
      <c r="BD111" s="42"/>
      <c r="BG111" s="3013"/>
      <c r="BH111" s="2595"/>
      <c r="BI111" s="2595"/>
      <c r="BJ111" s="2595"/>
      <c r="BK111" s="2595"/>
      <c r="BL111" s="2595"/>
      <c r="BM111" s="2595"/>
      <c r="BN111" s="2595"/>
      <c r="BO111" s="2595"/>
      <c r="BP111" s="2595"/>
      <c r="BQ111" s="3402"/>
    </row>
    <row r="112" spans="1:69" ht="12.75" customHeight="1">
      <c r="A112" s="2757"/>
      <c r="B112" s="1574"/>
      <c r="C112" s="3058"/>
      <c r="D112" s="7226" t="s">
        <v>2379</v>
      </c>
      <c r="E112" s="7227"/>
      <c r="F112" s="7227"/>
      <c r="G112" s="7227"/>
      <c r="H112" s="7227"/>
      <c r="I112" s="7227"/>
      <c r="J112" s="7228"/>
      <c r="K112" s="7233" t="s">
        <v>2378</v>
      </c>
      <c r="L112" s="7234"/>
      <c r="M112" s="7234"/>
      <c r="N112" s="7234"/>
      <c r="O112" s="7234"/>
      <c r="P112" s="7234"/>
      <c r="Q112" s="7234"/>
      <c r="R112" s="7234"/>
      <c r="S112" s="7237" t="s">
        <v>2380</v>
      </c>
      <c r="T112" s="7238"/>
      <c r="U112" s="7238"/>
      <c r="V112" s="7238"/>
      <c r="W112" s="7238"/>
      <c r="X112" s="7238"/>
      <c r="Y112" s="7238"/>
      <c r="Z112" s="7241" t="s">
        <v>2381</v>
      </c>
      <c r="AA112" s="7242"/>
      <c r="AB112" s="7242"/>
      <c r="AC112" s="7242"/>
      <c r="AD112" s="7242"/>
      <c r="AE112" s="7242"/>
      <c r="AF112" s="7242"/>
      <c r="AG112" s="7243"/>
      <c r="AH112" s="7241" t="s">
        <v>2382</v>
      </c>
      <c r="AI112" s="7242"/>
      <c r="AJ112" s="7242"/>
      <c r="AK112" s="7242"/>
      <c r="AL112" s="7242"/>
      <c r="AM112" s="7242"/>
      <c r="AN112" s="7242"/>
      <c r="AO112" s="7242"/>
      <c r="AP112" s="2757"/>
      <c r="BG112" s="3013"/>
      <c r="BH112" s="2595"/>
      <c r="BI112" s="2595"/>
      <c r="BJ112" s="2595"/>
      <c r="BK112" s="2595"/>
      <c r="BL112" s="2595"/>
      <c r="BM112" s="2595"/>
      <c r="BN112" s="2595"/>
      <c r="BO112" s="2595"/>
      <c r="BP112" s="2595"/>
    </row>
    <row r="113" spans="1:69" ht="12.75" customHeight="1">
      <c r="A113" s="2757"/>
      <c r="B113" s="7250">
        <v>38</v>
      </c>
      <c r="C113" s="6371"/>
      <c r="D113" s="7229"/>
      <c r="E113" s="7229"/>
      <c r="F113" s="7229"/>
      <c r="G113" s="7229"/>
      <c r="H113" s="7229"/>
      <c r="I113" s="7229"/>
      <c r="J113" s="7230"/>
      <c r="K113" s="7235"/>
      <c r="L113" s="7235"/>
      <c r="M113" s="7235"/>
      <c r="N113" s="7235"/>
      <c r="O113" s="7235"/>
      <c r="P113" s="7235"/>
      <c r="Q113" s="7235"/>
      <c r="R113" s="7235"/>
      <c r="S113" s="7239"/>
      <c r="T113" s="7239"/>
      <c r="U113" s="7239"/>
      <c r="V113" s="7239"/>
      <c r="W113" s="7239"/>
      <c r="X113" s="7239"/>
      <c r="Y113" s="7239"/>
      <c r="Z113" s="7244"/>
      <c r="AA113" s="7245"/>
      <c r="AB113" s="7245"/>
      <c r="AC113" s="7245"/>
      <c r="AD113" s="7245"/>
      <c r="AE113" s="7245"/>
      <c r="AF113" s="7245"/>
      <c r="AG113" s="7246"/>
      <c r="AH113" s="7244"/>
      <c r="AI113" s="7245"/>
      <c r="AJ113" s="7245"/>
      <c r="AK113" s="7245"/>
      <c r="AL113" s="7245"/>
      <c r="AM113" s="7245"/>
      <c r="AN113" s="7245"/>
      <c r="AO113" s="7245"/>
      <c r="AP113" s="2757"/>
      <c r="AX113" s="2689"/>
      <c r="AY113" s="2689"/>
      <c r="AZ113" s="2689"/>
      <c r="BA113" s="2689"/>
      <c r="BB113" s="2689"/>
      <c r="BC113" s="2689"/>
      <c r="BD113" s="2689"/>
      <c r="BG113" s="3013"/>
      <c r="BH113" s="2595"/>
      <c r="BI113" s="2595"/>
      <c r="BJ113" s="2595"/>
      <c r="BK113" s="2595"/>
      <c r="BL113" s="2595"/>
      <c r="BM113" s="2595"/>
      <c r="BN113" s="2595"/>
      <c r="BO113" s="2595"/>
      <c r="BP113" s="2595"/>
    </row>
    <row r="114" spans="1:69" ht="12.75" customHeight="1">
      <c r="A114" s="2757"/>
      <c r="B114" s="1553"/>
      <c r="C114" s="3057"/>
      <c r="D114" s="7231"/>
      <c r="E114" s="7231"/>
      <c r="F114" s="7231"/>
      <c r="G114" s="7231"/>
      <c r="H114" s="7231"/>
      <c r="I114" s="7231"/>
      <c r="J114" s="7232"/>
      <c r="K114" s="7236"/>
      <c r="L114" s="7236"/>
      <c r="M114" s="7236"/>
      <c r="N114" s="7236"/>
      <c r="O114" s="7236"/>
      <c r="P114" s="7236"/>
      <c r="Q114" s="7236"/>
      <c r="R114" s="7236"/>
      <c r="S114" s="7240"/>
      <c r="T114" s="7240"/>
      <c r="U114" s="7240"/>
      <c r="V114" s="7240"/>
      <c r="W114" s="7240"/>
      <c r="X114" s="7240"/>
      <c r="Y114" s="7240"/>
      <c r="Z114" s="7247"/>
      <c r="AA114" s="7248"/>
      <c r="AB114" s="7248"/>
      <c r="AC114" s="7248"/>
      <c r="AD114" s="7248"/>
      <c r="AE114" s="7248"/>
      <c r="AF114" s="7248"/>
      <c r="AG114" s="7249"/>
      <c r="AH114" s="7247"/>
      <c r="AI114" s="7248"/>
      <c r="AJ114" s="7248"/>
      <c r="AK114" s="7248"/>
      <c r="AL114" s="7248"/>
      <c r="AM114" s="7248"/>
      <c r="AN114" s="7248"/>
      <c r="AO114" s="7248"/>
      <c r="AP114" s="2757"/>
      <c r="AQ114" s="385"/>
      <c r="AR114" s="385"/>
      <c r="AS114" s="385"/>
      <c r="BG114" s="3013"/>
      <c r="BH114" s="2595"/>
      <c r="BI114" s="2595"/>
      <c r="BJ114" s="2595"/>
      <c r="BK114" s="2595"/>
      <c r="BL114" s="2595"/>
      <c r="BM114" s="2595"/>
      <c r="BN114" s="2595"/>
      <c r="BO114" s="2595"/>
      <c r="BP114" s="2595"/>
    </row>
    <row r="115" spans="1:69" ht="12.75" customHeight="1">
      <c r="A115" s="2757"/>
      <c r="B115" s="7207"/>
      <c r="C115" s="7208"/>
      <c r="D115" s="7208"/>
      <c r="E115" s="7208"/>
      <c r="F115" s="7208"/>
      <c r="G115" s="7208"/>
      <c r="H115" s="7208"/>
      <c r="I115" s="7208"/>
      <c r="J115" s="7209"/>
      <c r="K115" s="7210"/>
      <c r="L115" s="7211"/>
      <c r="M115" s="7211"/>
      <c r="N115" s="7211"/>
      <c r="O115" s="7211"/>
      <c r="P115" s="7211"/>
      <c r="Q115" s="7211"/>
      <c r="R115" s="7212"/>
      <c r="S115" s="7213"/>
      <c r="T115" s="7213"/>
      <c r="U115" s="7213"/>
      <c r="V115" s="7213"/>
      <c r="W115" s="7213"/>
      <c r="X115" s="7213"/>
      <c r="Y115" s="7213"/>
      <c r="Z115" s="7214"/>
      <c r="AA115" s="7215"/>
      <c r="AB115" s="7215"/>
      <c r="AC115" s="7215"/>
      <c r="AD115" s="7215"/>
      <c r="AE115" s="7215"/>
      <c r="AF115" s="7215"/>
      <c r="AG115" s="7216"/>
      <c r="AH115" s="7214"/>
      <c r="AI115" s="7215"/>
      <c r="AJ115" s="7215"/>
      <c r="AK115" s="7215"/>
      <c r="AL115" s="7215"/>
      <c r="AM115" s="7215"/>
      <c r="AN115" s="7215"/>
      <c r="AO115" s="7215"/>
      <c r="AP115" s="2757"/>
      <c r="AQ115" s="385"/>
      <c r="AR115" s="2410" t="s">
        <v>91</v>
      </c>
      <c r="AS115" s="385"/>
      <c r="BG115" s="3013"/>
      <c r="BH115" s="2595"/>
      <c r="BI115" s="2595"/>
      <c r="BJ115" s="2595"/>
      <c r="BK115" s="2595"/>
      <c r="BL115" s="2595"/>
      <c r="BM115" s="2595"/>
      <c r="BN115" s="2595"/>
      <c r="BO115" s="2595"/>
      <c r="BP115" s="2595"/>
    </row>
    <row r="116" spans="1:69" ht="13.5" customHeight="1">
      <c r="A116" s="2757"/>
      <c r="B116" s="7217">
        <v>39</v>
      </c>
      <c r="C116" s="7217"/>
      <c r="D116" s="2791" t="s">
        <v>2383</v>
      </c>
      <c r="E116" s="1553"/>
      <c r="F116" s="1553"/>
      <c r="G116" s="1553"/>
      <c r="H116" s="1553"/>
      <c r="I116" s="1553"/>
      <c r="J116" s="1553"/>
      <c r="K116" s="1553"/>
      <c r="L116" s="1553"/>
      <c r="M116" s="1553"/>
      <c r="N116" s="1553"/>
      <c r="O116" s="1553"/>
      <c r="P116" s="1553"/>
      <c r="Q116" s="1553"/>
      <c r="R116" s="1553"/>
      <c r="S116" s="1553"/>
      <c r="T116" s="1553"/>
      <c r="U116" s="1553"/>
      <c r="V116" s="1553"/>
      <c r="W116" s="1553"/>
      <c r="X116" s="1553"/>
      <c r="Y116" s="1553"/>
      <c r="Z116" s="1553"/>
      <c r="AA116" s="1553"/>
      <c r="AB116" s="1553"/>
      <c r="AC116" s="1553"/>
      <c r="AD116" s="1553"/>
      <c r="AE116" s="1553"/>
      <c r="AF116" s="1553"/>
      <c r="AG116" s="3008"/>
      <c r="AH116" s="7197">
        <v>39</v>
      </c>
      <c r="AI116" s="7198"/>
      <c r="AJ116" s="7218">
        <f>IF(AR116&lt;&gt;"",ROUND(AR116,0),ROUND(SUM(Z115,AH115),0))</f>
        <v>0</v>
      </c>
      <c r="AK116" s="7219"/>
      <c r="AL116" s="7219"/>
      <c r="AM116" s="7219"/>
      <c r="AN116" s="7219"/>
      <c r="AO116" s="7219"/>
      <c r="AP116" s="2757"/>
      <c r="AQ116" s="385"/>
      <c r="AR116" s="3141"/>
      <c r="AS116" s="385"/>
      <c r="BG116" s="3013"/>
      <c r="BH116" s="2595"/>
      <c r="BI116" s="2595"/>
      <c r="BJ116" s="2595"/>
      <c r="BK116" s="2595"/>
      <c r="BL116" s="2595"/>
      <c r="BM116" s="2595"/>
      <c r="BN116" s="2595"/>
      <c r="BO116" s="2595"/>
      <c r="BP116" s="2595"/>
    </row>
    <row r="117" spans="1:69" s="2689" customFormat="1" ht="17.25" customHeight="1">
      <c r="A117" s="2758"/>
      <c r="B117" s="7220" t="s">
        <v>123</v>
      </c>
      <c r="C117" s="7220"/>
      <c r="D117" s="7221"/>
      <c r="E117" s="2690"/>
      <c r="F117" s="4645" t="s">
        <v>2384</v>
      </c>
      <c r="G117" s="2690"/>
      <c r="H117" s="2690"/>
      <c r="I117" s="2690"/>
      <c r="J117" s="2690"/>
      <c r="K117" s="2690"/>
      <c r="L117" s="2690"/>
      <c r="M117" s="2690"/>
      <c r="N117" s="2690"/>
      <c r="O117" s="2690"/>
      <c r="P117" s="2690"/>
      <c r="Q117" s="2690"/>
      <c r="R117" s="2690"/>
      <c r="S117" s="2690"/>
      <c r="T117" s="2690"/>
      <c r="U117" s="2690"/>
      <c r="V117" s="2690"/>
      <c r="W117" s="2690"/>
      <c r="X117" s="2688"/>
      <c r="Y117" s="2690"/>
      <c r="Z117" s="2690"/>
      <c r="AA117" s="2690"/>
      <c r="AB117" s="2690"/>
      <c r="AC117" s="2690"/>
      <c r="AD117" s="2690"/>
      <c r="AE117" s="2690"/>
      <c r="AF117" s="2690"/>
      <c r="AG117" s="2690"/>
      <c r="AH117" s="2690"/>
      <c r="AI117" s="2690"/>
      <c r="AJ117" s="2690"/>
      <c r="AK117" s="2690"/>
      <c r="AL117" s="2690"/>
      <c r="AM117" s="2690"/>
      <c r="AN117" s="2690"/>
      <c r="AO117" s="2690"/>
      <c r="AP117" s="2757"/>
      <c r="AQ117" s="385"/>
      <c r="AR117" s="385"/>
      <c r="AS117" s="385"/>
      <c r="AX117" s="42"/>
      <c r="AY117" s="42"/>
      <c r="AZ117" s="42"/>
      <c r="BA117" s="42"/>
      <c r="BB117" s="42"/>
      <c r="BC117" s="42"/>
      <c r="BD117" s="42"/>
      <c r="BG117" s="3013"/>
      <c r="BH117" s="2595"/>
      <c r="BI117" s="2595"/>
      <c r="BJ117" s="2595"/>
      <c r="BK117" s="2595"/>
      <c r="BL117" s="2595"/>
      <c r="BM117" s="2595"/>
      <c r="BN117" s="2595"/>
      <c r="BO117" s="2595"/>
      <c r="BP117" s="2595"/>
      <c r="BQ117" s="3402"/>
    </row>
    <row r="118" spans="1:69" ht="13.5" customHeight="1">
      <c r="A118" s="2757"/>
      <c r="B118" s="7196">
        <v>40</v>
      </c>
      <c r="C118" s="7196"/>
      <c r="D118" s="3072" t="s">
        <v>2385</v>
      </c>
      <c r="E118" s="1574"/>
      <c r="F118" s="1574"/>
      <c r="G118" s="1574"/>
      <c r="H118" s="1574"/>
      <c r="I118" s="1574"/>
      <c r="J118" s="1574"/>
      <c r="K118" s="1574"/>
      <c r="L118" s="1574"/>
      <c r="M118" s="1574"/>
      <c r="N118" s="1574"/>
      <c r="O118" s="1574"/>
      <c r="P118" s="1574"/>
      <c r="Q118" s="1574"/>
      <c r="R118" s="1574"/>
      <c r="S118" s="1574"/>
      <c r="T118" s="1574"/>
      <c r="U118" s="1574"/>
      <c r="V118" s="1574"/>
      <c r="W118" s="1574"/>
      <c r="X118" s="1574"/>
      <c r="Y118" s="1574"/>
      <c r="Z118" s="1574"/>
      <c r="AA118" s="1574"/>
      <c r="AB118" s="1574"/>
      <c r="AC118" s="1574"/>
      <c r="AD118" s="1574"/>
      <c r="AE118" s="1574"/>
      <c r="AF118" s="1574"/>
      <c r="AG118" s="1575"/>
      <c r="AH118" s="7197">
        <v>40</v>
      </c>
      <c r="AI118" s="7198"/>
      <c r="AJ118" s="7199"/>
      <c r="AK118" s="7200"/>
      <c r="AL118" s="7200"/>
      <c r="AM118" s="7200"/>
      <c r="AN118" s="7200"/>
      <c r="AO118" s="7200"/>
      <c r="AP118" s="2757"/>
      <c r="AQ118" s="385"/>
      <c r="AR118" s="385"/>
      <c r="AS118" s="385"/>
      <c r="BG118" s="3013"/>
      <c r="BH118" s="2595"/>
      <c r="BI118" s="2595"/>
      <c r="BJ118" s="2595"/>
      <c r="BK118" s="2595"/>
      <c r="BL118" s="2595"/>
      <c r="BM118" s="2595"/>
      <c r="BN118" s="2595"/>
      <c r="BO118" s="2595"/>
      <c r="BP118" s="2595"/>
    </row>
    <row r="119" spans="1:69" ht="13.5" customHeight="1">
      <c r="A119" s="2757"/>
      <c r="B119" s="7191">
        <v>41</v>
      </c>
      <c r="C119" s="7191"/>
      <c r="D119" s="1262" t="s">
        <v>4049</v>
      </c>
      <c r="E119" s="1179"/>
      <c r="F119" s="1179"/>
      <c r="G119" s="1179"/>
      <c r="H119" s="1179"/>
      <c r="I119" s="1179"/>
      <c r="J119" s="1179"/>
      <c r="K119" s="1179"/>
      <c r="L119" s="1179"/>
      <c r="M119" s="1179"/>
      <c r="N119" s="1179"/>
      <c r="O119" s="1179"/>
      <c r="P119" s="1179"/>
      <c r="Q119" s="1179"/>
      <c r="R119" s="1179"/>
      <c r="S119" s="1179"/>
      <c r="T119" s="1179"/>
      <c r="U119" s="1179"/>
      <c r="V119" s="1179"/>
      <c r="W119" s="1179"/>
      <c r="X119" s="1179"/>
      <c r="Y119" s="1179"/>
      <c r="Z119" s="1179"/>
      <c r="AA119" s="1179"/>
      <c r="AB119" s="1179"/>
      <c r="AC119" s="1179"/>
      <c r="AD119" s="1179"/>
      <c r="AE119" s="1179"/>
      <c r="AF119" s="1179"/>
      <c r="AG119" s="1583"/>
      <c r="AH119" s="7197">
        <v>41</v>
      </c>
      <c r="AI119" s="7198"/>
      <c r="AJ119" s="7201">
        <f>IF(AR119&lt;&gt;"",ROUND(AR119,0),IF(SchE1_Completed,SUM(SchE1_Line26,SchE1_Line32,SchE1_Line37,SchE1_Line39,ROUND(SchE1_Line40,0)),0))</f>
        <v>0</v>
      </c>
      <c r="AK119" s="7202"/>
      <c r="AL119" s="7202"/>
      <c r="AM119" s="7202"/>
      <c r="AN119" s="7202"/>
      <c r="AO119" s="7202"/>
      <c r="AP119" s="2757"/>
      <c r="AQ119" s="385"/>
      <c r="AR119" s="3141"/>
      <c r="AS119" s="385"/>
      <c r="AV119" s="42" t="b">
        <f>OR(SchE1_Line32&lt;&gt;0,SchE1_Line37&lt;&gt;0,SchE1_Line39&lt;&gt;0,SchE1_Line40&lt;&gt;0)</f>
        <v>0</v>
      </c>
      <c r="AX119" s="2689"/>
      <c r="AY119" s="2689"/>
      <c r="AZ119" s="2689"/>
      <c r="BA119" s="2689"/>
      <c r="BB119" s="2689"/>
      <c r="BC119" s="2689"/>
      <c r="BD119" s="2689"/>
      <c r="BG119" s="3013"/>
      <c r="BH119" s="2595"/>
      <c r="BI119" s="2595"/>
      <c r="BJ119" s="2595"/>
      <c r="BK119" s="2595"/>
      <c r="BL119" s="2595"/>
      <c r="BM119" s="2595"/>
      <c r="BN119" s="2595"/>
      <c r="BO119" s="2595"/>
      <c r="BP119" s="2595"/>
    </row>
    <row r="120" spans="1:69" ht="12.75" customHeight="1">
      <c r="A120" s="2757"/>
      <c r="B120" s="7191">
        <v>42</v>
      </c>
      <c r="C120" s="7191"/>
      <c r="D120" s="2686" t="s">
        <v>2762</v>
      </c>
      <c r="E120" s="1179"/>
      <c r="F120" s="1179"/>
      <c r="G120" s="1179"/>
      <c r="H120" s="1179"/>
      <c r="I120" s="1179"/>
      <c r="J120" s="1179"/>
      <c r="K120" s="1179"/>
      <c r="L120" s="1179"/>
      <c r="M120" s="1179"/>
      <c r="N120" s="1179"/>
      <c r="O120" s="1179"/>
      <c r="P120" s="1179"/>
      <c r="Q120" s="1179"/>
      <c r="R120" s="1179"/>
      <c r="S120" s="1179"/>
      <c r="T120" s="1179"/>
      <c r="U120" s="1179"/>
      <c r="V120" s="1179"/>
      <c r="W120" s="1179"/>
      <c r="X120" s="1179"/>
      <c r="Y120" s="1825"/>
      <c r="Z120" s="2705"/>
      <c r="AA120" s="2705"/>
      <c r="AB120" s="2705"/>
      <c r="AC120" s="2705"/>
      <c r="AD120" s="2705"/>
      <c r="AE120" s="2705"/>
      <c r="AF120" s="2705"/>
      <c r="AG120" s="1826"/>
      <c r="AH120" s="1562"/>
      <c r="AI120" s="1562"/>
      <c r="AJ120" s="1562"/>
      <c r="AK120" s="1562"/>
      <c r="AL120" s="1562"/>
      <c r="AM120" s="1562"/>
      <c r="AN120" s="1562"/>
      <c r="AO120" s="1562"/>
      <c r="AP120" s="2757"/>
      <c r="AQ120" s="385"/>
      <c r="AR120" s="385"/>
      <c r="AS120" s="385"/>
      <c r="AV120" s="3155">
        <f>IF(SchE1_Completed,SchE1_Line41,SchE1_Line26)</f>
        <v>0</v>
      </c>
      <c r="BG120" s="3013"/>
      <c r="BH120" s="2595"/>
      <c r="BI120" s="2595"/>
      <c r="BJ120" s="2595"/>
      <c r="BK120" s="2595"/>
      <c r="BL120" s="2595"/>
      <c r="BM120" s="2595"/>
      <c r="BN120" s="2595"/>
      <c r="BO120" s="2595"/>
      <c r="BP120" s="2595"/>
    </row>
    <row r="121" spans="1:69" ht="12.75" customHeight="1">
      <c r="A121" s="2757"/>
      <c r="B121" s="2772"/>
      <c r="C121" s="1179"/>
      <c r="D121" s="1276" t="s">
        <v>749</v>
      </c>
      <c r="E121" s="1179"/>
      <c r="F121" s="1179"/>
      <c r="G121" s="1179"/>
      <c r="H121" s="1179"/>
      <c r="I121" s="1179"/>
      <c r="J121" s="1179"/>
      <c r="K121" s="1179"/>
      <c r="L121" s="1179"/>
      <c r="M121" s="1179"/>
      <c r="N121" s="1179"/>
      <c r="O121" s="1179"/>
      <c r="P121" s="1179"/>
      <c r="Q121" s="1179"/>
      <c r="R121" s="1179"/>
      <c r="S121" s="1179"/>
      <c r="T121" s="1179"/>
      <c r="U121" s="1179"/>
      <c r="V121" s="1179"/>
      <c r="W121" s="1179"/>
      <c r="X121" s="1179"/>
      <c r="Y121" s="1827"/>
      <c r="Z121" s="1562"/>
      <c r="AA121" s="1562"/>
      <c r="AB121" s="1562"/>
      <c r="AC121" s="1562"/>
      <c r="AD121" s="1562"/>
      <c r="AE121" s="1562"/>
      <c r="AF121" s="1562"/>
      <c r="AG121" s="1828"/>
      <c r="AH121" s="1562"/>
      <c r="AI121" s="1562"/>
      <c r="AJ121" s="1562"/>
      <c r="AK121" s="1562"/>
      <c r="AL121" s="1562"/>
      <c r="AM121" s="1562"/>
      <c r="AN121" s="1562"/>
      <c r="AO121" s="1562"/>
      <c r="AP121" s="2757"/>
      <c r="BG121" s="3013"/>
      <c r="BH121" s="2595"/>
      <c r="BI121" s="2595"/>
      <c r="BJ121" s="2595"/>
      <c r="BK121" s="2595"/>
      <c r="BL121" s="2595"/>
      <c r="BM121" s="2595"/>
      <c r="BN121" s="2595"/>
      <c r="BO121" s="2595"/>
      <c r="BP121" s="2595"/>
    </row>
    <row r="122" spans="1:69" ht="12.75" customHeight="1">
      <c r="A122" s="2757"/>
      <c r="B122" s="2772"/>
      <c r="C122" s="1179"/>
      <c r="D122" s="1276" t="s">
        <v>2386</v>
      </c>
      <c r="E122" s="1179"/>
      <c r="F122" s="1179"/>
      <c r="G122" s="1179"/>
      <c r="H122" s="1179"/>
      <c r="I122" s="1179"/>
      <c r="J122" s="1179"/>
      <c r="K122" s="1179"/>
      <c r="L122" s="1179"/>
      <c r="M122" s="1179"/>
      <c r="N122" s="1179"/>
      <c r="O122" s="1179"/>
      <c r="P122" s="1179"/>
      <c r="Q122" s="1179"/>
      <c r="R122" s="1179"/>
      <c r="S122" s="1179"/>
      <c r="T122" s="1179"/>
      <c r="U122" s="1179"/>
      <c r="V122" s="1179"/>
      <c r="W122" s="1179"/>
      <c r="X122" s="1179"/>
      <c r="Y122" s="1827"/>
      <c r="Z122" s="1562"/>
      <c r="AA122" s="1562"/>
      <c r="AB122" s="1562"/>
      <c r="AC122" s="1562"/>
      <c r="AD122" s="1562"/>
      <c r="AE122" s="1562"/>
      <c r="AF122" s="1562"/>
      <c r="AG122" s="1828"/>
      <c r="AH122" s="1562"/>
      <c r="AI122" s="1562"/>
      <c r="AJ122" s="1562"/>
      <c r="AK122" s="1562"/>
      <c r="AL122" s="1562"/>
      <c r="AM122" s="1562"/>
      <c r="AN122" s="1562"/>
      <c r="AO122" s="1562"/>
      <c r="AP122" s="2757"/>
      <c r="BG122" s="3013"/>
      <c r="BH122" s="2595"/>
      <c r="BI122" s="2595"/>
      <c r="BJ122" s="2595"/>
      <c r="BK122" s="2595"/>
      <c r="BL122" s="2595"/>
      <c r="BM122" s="2595"/>
      <c r="BN122" s="2595"/>
      <c r="BO122" s="2595"/>
      <c r="BP122" s="2595"/>
    </row>
    <row r="123" spans="1:69" ht="13.5" customHeight="1">
      <c r="A123" s="2757"/>
      <c r="B123" s="2772"/>
      <c r="C123" s="1179"/>
      <c r="D123" s="1179" t="s">
        <v>2387</v>
      </c>
      <c r="E123" s="1179"/>
      <c r="F123" s="1179"/>
      <c r="G123" s="1179"/>
      <c r="H123" s="1179"/>
      <c r="I123" s="1179"/>
      <c r="J123" s="1179"/>
      <c r="K123" s="1179"/>
      <c r="L123" s="1179"/>
      <c r="M123" s="1179"/>
      <c r="N123" s="1179"/>
      <c r="O123" s="1179"/>
      <c r="P123" s="1179"/>
      <c r="Q123" s="1179"/>
      <c r="R123" s="1179"/>
      <c r="S123" s="1179"/>
      <c r="T123" s="1179"/>
      <c r="U123" s="1179"/>
      <c r="V123" s="1179"/>
      <c r="W123" s="1179"/>
      <c r="X123" s="1560" t="s">
        <v>2761</v>
      </c>
      <c r="Y123" s="7203">
        <v>42</v>
      </c>
      <c r="Z123" s="7204"/>
      <c r="AA123" s="7205"/>
      <c r="AB123" s="7206"/>
      <c r="AC123" s="7206"/>
      <c r="AD123" s="7206"/>
      <c r="AE123" s="7206"/>
      <c r="AF123" s="7206"/>
      <c r="AG123" s="7206"/>
      <c r="AH123" s="1562"/>
      <c r="AI123" s="1562"/>
      <c r="AJ123" s="1562"/>
      <c r="AK123" s="1562"/>
      <c r="AL123" s="1562"/>
      <c r="AM123" s="1562"/>
      <c r="AN123" s="1562"/>
      <c r="AO123" s="1562"/>
      <c r="AP123" s="2757"/>
      <c r="BG123" s="3013"/>
      <c r="BH123" s="2595"/>
      <c r="BI123" s="2595"/>
      <c r="BJ123" s="2595"/>
      <c r="BK123" s="2595"/>
      <c r="BL123" s="2595"/>
      <c r="BM123" s="2595"/>
      <c r="BN123" s="2595"/>
      <c r="BO123" s="2595"/>
      <c r="BP123" s="2595"/>
    </row>
    <row r="124" spans="1:69" ht="12.75" customHeight="1">
      <c r="A124" s="2757"/>
      <c r="B124" s="7191">
        <v>43</v>
      </c>
      <c r="C124" s="7191"/>
      <c r="D124" s="1276" t="s">
        <v>4796</v>
      </c>
      <c r="E124" s="1179"/>
      <c r="F124" s="1179"/>
      <c r="G124" s="1179"/>
      <c r="H124" s="1179"/>
      <c r="I124" s="1179"/>
      <c r="J124" s="1179"/>
      <c r="K124" s="1179"/>
      <c r="L124" s="1179"/>
      <c r="M124" s="1179"/>
      <c r="N124" s="1179"/>
      <c r="O124" s="1179"/>
      <c r="P124" s="1179"/>
      <c r="Q124" s="1179"/>
      <c r="R124" s="1179"/>
      <c r="S124" s="1179"/>
      <c r="T124" s="1179"/>
      <c r="U124" s="1179"/>
      <c r="V124" s="1179"/>
      <c r="W124" s="1179"/>
      <c r="X124" s="1179"/>
      <c r="Y124" s="1825"/>
      <c r="Z124" s="2705"/>
      <c r="AA124" s="2705"/>
      <c r="AB124" s="2705"/>
      <c r="AC124" s="2705"/>
      <c r="AD124" s="2705"/>
      <c r="AE124" s="2705"/>
      <c r="AF124" s="2705"/>
      <c r="AG124" s="1826"/>
      <c r="AH124" s="1562"/>
      <c r="AI124" s="1562"/>
      <c r="AJ124" s="1562"/>
      <c r="AK124" s="1562"/>
      <c r="AL124" s="1562"/>
      <c r="AM124" s="1562"/>
      <c r="AN124" s="1562"/>
      <c r="AO124" s="1562"/>
      <c r="AP124" s="2757"/>
      <c r="BG124" s="3013"/>
      <c r="BH124" s="2595"/>
      <c r="BI124" s="2595"/>
      <c r="BJ124" s="2595"/>
      <c r="BK124" s="2595"/>
      <c r="BL124" s="2595"/>
      <c r="BM124" s="2595"/>
      <c r="BN124" s="2595"/>
      <c r="BO124" s="2595"/>
      <c r="BP124" s="2595"/>
    </row>
    <row r="125" spans="1:69" ht="12.75" customHeight="1">
      <c r="A125" s="2757"/>
      <c r="B125" s="2772"/>
      <c r="C125" s="1179"/>
      <c r="D125" s="2246" t="s">
        <v>4800</v>
      </c>
      <c r="E125" s="1179"/>
      <c r="F125" s="1179"/>
      <c r="G125" s="1179"/>
      <c r="H125" s="1179"/>
      <c r="I125" s="1179"/>
      <c r="J125" s="1179"/>
      <c r="K125" s="1179"/>
      <c r="L125" s="1179"/>
      <c r="M125" s="1179"/>
      <c r="N125" s="1179"/>
      <c r="O125" s="1179"/>
      <c r="P125" s="1179"/>
      <c r="Q125" s="1179"/>
      <c r="R125" s="1179"/>
      <c r="S125" s="1179"/>
      <c r="T125" s="1179"/>
      <c r="U125" s="1179"/>
      <c r="V125" s="1179"/>
      <c r="W125" s="1179"/>
      <c r="X125" s="1179"/>
      <c r="Y125" s="1827"/>
      <c r="Z125" s="1562"/>
      <c r="AA125" s="1562"/>
      <c r="AB125" s="1562"/>
      <c r="AC125" s="1562"/>
      <c r="AD125" s="1562"/>
      <c r="AE125" s="1562"/>
      <c r="AF125" s="1562"/>
      <c r="AG125" s="1828"/>
      <c r="AH125" s="1562"/>
      <c r="AI125" s="1562"/>
      <c r="AJ125" s="1562"/>
      <c r="AK125" s="1562"/>
      <c r="AL125" s="1562"/>
      <c r="AM125" s="1562"/>
      <c r="AN125" s="1562"/>
      <c r="AO125" s="1562"/>
      <c r="AP125" s="2757"/>
      <c r="BG125" s="3013"/>
      <c r="BH125" s="2595"/>
      <c r="BI125" s="2595"/>
      <c r="BJ125" s="2595"/>
      <c r="BK125" s="2595"/>
      <c r="BL125" s="2595"/>
      <c r="BM125" s="2595"/>
      <c r="BN125" s="2595"/>
      <c r="BO125" s="2595"/>
      <c r="BP125" s="2595"/>
    </row>
    <row r="126" spans="1:69" ht="12.75" customHeight="1">
      <c r="A126" s="2757"/>
      <c r="B126" s="2772"/>
      <c r="C126" s="1179"/>
      <c r="D126" s="1276" t="s">
        <v>4797</v>
      </c>
      <c r="E126" s="1179"/>
      <c r="F126" s="1179"/>
      <c r="G126" s="1179"/>
      <c r="H126" s="1179"/>
      <c r="I126" s="1179"/>
      <c r="J126" s="1179"/>
      <c r="K126" s="1179"/>
      <c r="L126" s="1179"/>
      <c r="M126" s="1179"/>
      <c r="N126" s="1179"/>
      <c r="O126" s="1179"/>
      <c r="P126" s="1179"/>
      <c r="Q126" s="1179"/>
      <c r="R126" s="1179"/>
      <c r="S126" s="1179"/>
      <c r="T126" s="1179"/>
      <c r="U126" s="1179"/>
      <c r="V126" s="1179"/>
      <c r="W126" s="1179"/>
      <c r="X126" s="1179"/>
      <c r="Y126" s="1827"/>
      <c r="Z126" s="1562"/>
      <c r="AA126" s="1562"/>
      <c r="AB126" s="1562"/>
      <c r="AC126" s="1562"/>
      <c r="AD126" s="1562"/>
      <c r="AE126" s="1562"/>
      <c r="AF126" s="1562"/>
      <c r="AG126" s="1828"/>
      <c r="AH126" s="1562"/>
      <c r="AI126" s="1562"/>
      <c r="AJ126" s="1562"/>
      <c r="AK126" s="1562"/>
      <c r="AL126" s="1562"/>
      <c r="AM126" s="1562"/>
      <c r="AN126" s="1562"/>
      <c r="AO126" s="1562"/>
      <c r="AP126" s="2757"/>
      <c r="BG126" s="3013"/>
      <c r="BH126" s="2595"/>
      <c r="BI126" s="2595"/>
      <c r="BJ126" s="2595"/>
      <c r="BK126" s="2595"/>
      <c r="BL126" s="2595"/>
      <c r="BM126" s="2595"/>
      <c r="BN126" s="2595"/>
      <c r="BO126" s="2595"/>
      <c r="BP126" s="2595"/>
    </row>
    <row r="127" spans="1:69" ht="13.5" customHeight="1" thickBot="1">
      <c r="A127" s="2757"/>
      <c r="B127" s="3129"/>
      <c r="C127" s="1280"/>
      <c r="D127" s="1704" t="s">
        <v>4798</v>
      </c>
      <c r="E127" s="1280"/>
      <c r="F127" s="1280"/>
      <c r="G127" s="1280"/>
      <c r="H127" s="1280"/>
      <c r="I127" s="1280"/>
      <c r="J127" s="1280"/>
      <c r="K127" s="1280"/>
      <c r="L127" s="1280"/>
      <c r="M127" s="1280"/>
      <c r="N127" s="1280"/>
      <c r="O127" s="1280"/>
      <c r="P127" s="1280"/>
      <c r="Q127" s="1280"/>
      <c r="R127" s="1280"/>
      <c r="S127" s="1280"/>
      <c r="T127" s="1280"/>
      <c r="U127" s="1280"/>
      <c r="V127" s="1280"/>
      <c r="W127" s="1280"/>
      <c r="X127" s="3307" t="s">
        <v>3499</v>
      </c>
      <c r="Y127" s="7192">
        <v>43</v>
      </c>
      <c r="Z127" s="7193"/>
      <c r="AA127" s="7194"/>
      <c r="AB127" s="7195"/>
      <c r="AC127" s="7195"/>
      <c r="AD127" s="7195"/>
      <c r="AE127" s="7195"/>
      <c r="AF127" s="7195"/>
      <c r="AG127" s="7195"/>
      <c r="AH127" s="3130"/>
      <c r="AI127" s="3130"/>
      <c r="AJ127" s="3130"/>
      <c r="AK127" s="3130"/>
      <c r="AL127" s="3130"/>
      <c r="AM127" s="3130"/>
      <c r="AN127" s="3130"/>
      <c r="AO127" s="3130"/>
      <c r="AP127" s="2757"/>
      <c r="BG127" s="3013"/>
      <c r="BH127" s="2595"/>
      <c r="BI127" s="2595"/>
      <c r="BJ127" s="2595"/>
      <c r="BK127" s="2595"/>
      <c r="BL127" s="2595"/>
      <c r="BM127" s="2595"/>
      <c r="BN127" s="2595"/>
      <c r="BO127" s="2595"/>
      <c r="BP127" s="2595"/>
    </row>
    <row r="128" spans="1:69" ht="12.75" customHeight="1">
      <c r="A128" s="2757"/>
      <c r="B128" s="2772"/>
      <c r="C128" s="1179"/>
      <c r="D128" s="1179"/>
      <c r="E128" s="1179"/>
      <c r="F128" s="1179"/>
      <c r="G128" s="1179"/>
      <c r="H128" s="1179"/>
      <c r="I128" s="1179"/>
      <c r="J128" s="1179"/>
      <c r="K128" s="1179"/>
      <c r="L128" s="1179"/>
      <c r="M128" s="1179"/>
      <c r="N128" s="1179"/>
      <c r="O128" s="1179"/>
      <c r="P128" s="1179"/>
      <c r="Q128" s="1179"/>
      <c r="R128" s="1179"/>
      <c r="S128" s="1179"/>
      <c r="T128" s="1179"/>
      <c r="U128" s="1179"/>
      <c r="V128" s="1179"/>
      <c r="W128" s="1179"/>
      <c r="X128" s="1179"/>
      <c r="Y128" s="1179"/>
      <c r="Z128" s="1179"/>
      <c r="AA128" s="1179"/>
      <c r="AB128" s="1179"/>
      <c r="AC128" s="1179"/>
      <c r="AD128" s="1179"/>
      <c r="AE128" s="1179"/>
      <c r="AF128" s="1179"/>
      <c r="AG128" s="1179"/>
      <c r="AH128" s="1179"/>
      <c r="AI128" s="1179"/>
      <c r="AJ128" s="1179"/>
      <c r="AK128" s="1179"/>
      <c r="AL128" s="1179"/>
      <c r="AM128" s="1179"/>
      <c r="AN128" s="1179"/>
      <c r="AO128" s="3115" t="str">
        <f>"Schedule E (Form 1040) "&amp;TaxYear</f>
        <v>Schedule E (Form 1040) 2021</v>
      </c>
      <c r="AP128" s="2757"/>
      <c r="BG128" s="3013"/>
      <c r="BH128" s="2595"/>
      <c r="BI128" s="2595"/>
      <c r="BJ128" s="2595"/>
      <c r="BK128" s="2595"/>
      <c r="BL128" s="2595"/>
      <c r="BM128" s="2595"/>
      <c r="BN128" s="2595"/>
      <c r="BO128" s="2595"/>
      <c r="BP128" s="2595"/>
    </row>
    <row r="129" spans="1:69" ht="18" customHeight="1">
      <c r="A129" s="2757"/>
      <c r="B129" s="7435" t="s">
        <v>3496</v>
      </c>
      <c r="C129" s="7436"/>
      <c r="D129" s="7436"/>
      <c r="E129" s="7436"/>
      <c r="F129" s="7436"/>
      <c r="G129" s="7437"/>
      <c r="H129" s="3062"/>
      <c r="I129" s="1179"/>
      <c r="J129" s="1179"/>
      <c r="K129" s="1179"/>
      <c r="L129" s="1179"/>
      <c r="M129" s="3064"/>
      <c r="N129" s="1179"/>
      <c r="O129" s="1179"/>
      <c r="P129" s="1179"/>
      <c r="Q129" s="1179"/>
      <c r="R129" s="1179"/>
      <c r="S129" s="1179"/>
      <c r="T129" s="1179"/>
      <c r="U129" s="1179"/>
      <c r="V129" s="1179"/>
      <c r="W129" s="1179"/>
      <c r="X129" s="1179"/>
      <c r="Y129" s="1179"/>
      <c r="Z129" s="1179"/>
      <c r="AA129" s="1179"/>
      <c r="AB129" s="1179"/>
      <c r="AC129" s="1179"/>
      <c r="AD129" s="1179"/>
      <c r="AE129" s="1179"/>
      <c r="AF129" s="1179"/>
      <c r="AG129" s="1179"/>
      <c r="AH129" s="1179"/>
      <c r="AI129" s="7413" t="s">
        <v>152</v>
      </c>
      <c r="AJ129" s="7414"/>
      <c r="AK129" s="7414"/>
      <c r="AL129" s="7414"/>
      <c r="AM129" s="7414"/>
      <c r="AN129" s="7414"/>
      <c r="AO129" s="7414"/>
      <c r="AP129" s="2757"/>
      <c r="BG129" s="3217" t="s">
        <v>2763</v>
      </c>
      <c r="BH129" s="2595"/>
      <c r="BI129" s="2595"/>
      <c r="BJ129" s="2595"/>
      <c r="BK129" s="2595"/>
      <c r="BL129" s="2595"/>
      <c r="BM129" s="2595"/>
      <c r="BN129" s="2595"/>
      <c r="BO129" s="2595"/>
      <c r="BP129" s="2595"/>
    </row>
    <row r="130" spans="1:69" ht="30" customHeight="1">
      <c r="A130" s="2757"/>
      <c r="B130" s="7415" t="s">
        <v>3973</v>
      </c>
      <c r="C130" s="7416"/>
      <c r="D130" s="7416"/>
      <c r="E130" s="7416"/>
      <c r="F130" s="7416"/>
      <c r="G130" s="7417"/>
      <c r="H130" s="4844" t="s">
        <v>663</v>
      </c>
      <c r="I130" s="3117"/>
      <c r="J130" s="3117"/>
      <c r="K130" s="3117"/>
      <c r="L130" s="3117"/>
      <c r="M130" s="3117"/>
      <c r="N130" s="3117"/>
      <c r="O130" s="3117"/>
      <c r="P130" s="3117"/>
      <c r="Q130" s="3117"/>
      <c r="R130" s="3117"/>
      <c r="S130" s="3117"/>
      <c r="T130" s="3117"/>
      <c r="U130" s="3117"/>
      <c r="V130" s="3117"/>
      <c r="W130" s="3117"/>
      <c r="X130" s="3117"/>
      <c r="Y130" s="3117"/>
      <c r="Z130" s="3117"/>
      <c r="AA130" s="3117"/>
      <c r="AB130" s="3117"/>
      <c r="AC130" s="3117"/>
      <c r="AD130" s="3117"/>
      <c r="AE130" s="3117"/>
      <c r="AF130" s="3117"/>
      <c r="AG130" s="3117"/>
      <c r="AH130" s="3118"/>
      <c r="AI130" s="7418">
        <f>TaxYear</f>
        <v>2021</v>
      </c>
      <c r="AJ130" s="7419"/>
      <c r="AK130" s="7419"/>
      <c r="AL130" s="7419"/>
      <c r="AM130" s="7419"/>
      <c r="AN130" s="7419"/>
      <c r="AO130" s="7419"/>
      <c r="AP130" s="2757"/>
      <c r="BG130" s="3013"/>
      <c r="BH130" s="2595"/>
      <c r="BI130" s="2595"/>
      <c r="BJ130" s="2595"/>
      <c r="BK130" s="2595"/>
      <c r="BL130" s="2595"/>
      <c r="BM130" s="2595"/>
      <c r="BN130" s="2595"/>
      <c r="BO130" s="2595"/>
      <c r="BP130" s="2595"/>
    </row>
    <row r="131" spans="1:69">
      <c r="A131" s="2757"/>
      <c r="B131" s="7422" t="s">
        <v>2334</v>
      </c>
      <c r="C131" s="6764"/>
      <c r="D131" s="6764"/>
      <c r="E131" s="6764"/>
      <c r="F131" s="6764"/>
      <c r="G131" s="7423"/>
      <c r="H131" s="3133" t="str">
        <f>"(From rental real estate, royalties, partnerships, S corporations, estates, trusts, REMICs, etc.)"</f>
        <v>(From rental real estate, royalties, partnerships, S corporations, estates, trusts, REMICs, etc.)</v>
      </c>
      <c r="I131" s="1811"/>
      <c r="J131" s="1811"/>
      <c r="K131" s="1811"/>
      <c r="L131" s="1811"/>
      <c r="M131" s="1811"/>
      <c r="N131" s="1811"/>
      <c r="O131" s="1811"/>
      <c r="P131" s="1811"/>
      <c r="Q131" s="1811"/>
      <c r="R131" s="1811"/>
      <c r="S131" s="1811"/>
      <c r="T131" s="3116"/>
      <c r="U131" s="1811"/>
      <c r="V131" s="1811"/>
      <c r="W131" s="1811"/>
      <c r="X131" s="1811"/>
      <c r="Y131" s="1811"/>
      <c r="Z131" s="1811"/>
      <c r="AA131" s="1811"/>
      <c r="AB131" s="1811"/>
      <c r="AC131" s="1811"/>
      <c r="AD131" s="1811"/>
      <c r="AE131" s="1811"/>
      <c r="AF131" s="1811"/>
      <c r="AG131" s="1811"/>
      <c r="AH131" s="1811"/>
      <c r="AI131" s="7420"/>
      <c r="AJ131" s="7421"/>
      <c r="AK131" s="7421"/>
      <c r="AL131" s="7421"/>
      <c r="AM131" s="7421"/>
      <c r="AN131" s="7421"/>
      <c r="AO131" s="7421"/>
      <c r="AP131" s="2757"/>
      <c r="BG131" s="3013"/>
      <c r="BH131" s="2595"/>
      <c r="BI131" s="2595"/>
      <c r="BJ131" s="2595"/>
      <c r="BK131" s="2595"/>
      <c r="BL131" s="2595"/>
      <c r="BM131" s="2595"/>
      <c r="BN131" s="2595"/>
      <c r="BO131" s="2595"/>
      <c r="BP131" s="2595"/>
    </row>
    <row r="132" spans="1:69">
      <c r="A132" s="2757"/>
      <c r="B132" s="7422"/>
      <c r="C132" s="6764"/>
      <c r="D132" s="6764"/>
      <c r="E132" s="6764"/>
      <c r="F132" s="6764"/>
      <c r="G132" s="7423"/>
      <c r="H132" s="1278"/>
      <c r="I132" s="1179"/>
      <c r="J132" s="1179"/>
      <c r="K132" s="1179"/>
      <c r="L132" s="1179"/>
      <c r="M132" s="1179"/>
      <c r="N132" s="1179"/>
      <c r="O132" s="1179"/>
      <c r="P132" s="1179"/>
      <c r="Q132" s="1179"/>
      <c r="R132" s="1179"/>
      <c r="S132" s="1179"/>
      <c r="T132" s="1444" t="s">
        <v>3497</v>
      </c>
      <c r="U132" s="1179"/>
      <c r="V132" s="1179"/>
      <c r="W132" s="1179"/>
      <c r="X132" s="1179"/>
      <c r="Y132" s="1179"/>
      <c r="Z132" s="1179"/>
      <c r="AA132" s="1179"/>
      <c r="AB132" s="1179"/>
      <c r="AC132" s="1179"/>
      <c r="AD132" s="1179"/>
      <c r="AE132" s="1179"/>
      <c r="AF132" s="1179"/>
      <c r="AG132" s="1179"/>
      <c r="AH132" s="1179"/>
      <c r="AI132" s="3131"/>
      <c r="AJ132" s="7425" t="s">
        <v>2070</v>
      </c>
      <c r="AK132" s="7189"/>
      <c r="AL132" s="7189"/>
      <c r="AM132" s="7189"/>
      <c r="AN132" s="3063"/>
      <c r="AO132" s="3063"/>
      <c r="AP132" s="2757"/>
      <c r="BG132" s="3013"/>
      <c r="BH132" s="2595"/>
      <c r="BI132" s="2595"/>
      <c r="BJ132" s="2595"/>
      <c r="BK132" s="2595"/>
      <c r="BL132" s="2595"/>
      <c r="BM132" s="2595"/>
      <c r="BN132" s="2595"/>
      <c r="BO132" s="2595"/>
      <c r="BP132" s="2595"/>
    </row>
    <row r="133" spans="1:69" ht="14.25" customHeight="1" thickBot="1">
      <c r="A133" s="2757"/>
      <c r="B133" s="6765"/>
      <c r="C133" s="6765"/>
      <c r="D133" s="6765"/>
      <c r="E133" s="6765"/>
      <c r="F133" s="6765"/>
      <c r="G133" s="7424"/>
      <c r="H133" s="3065" t="s">
        <v>2753</v>
      </c>
      <c r="I133" s="3016"/>
      <c r="J133" s="3016"/>
      <c r="K133" s="3016"/>
      <c r="L133" s="3016"/>
      <c r="M133" s="3016"/>
      <c r="N133" s="3016"/>
      <c r="O133" s="3016"/>
      <c r="P133" s="3016"/>
      <c r="Q133" s="3016"/>
      <c r="R133" s="3016"/>
      <c r="S133" s="3016"/>
      <c r="T133" s="3016"/>
      <c r="U133" s="3016"/>
      <c r="V133" s="3016"/>
      <c r="W133" s="3016"/>
      <c r="X133" s="3016"/>
      <c r="Y133" s="3016"/>
      <c r="Z133" s="3016"/>
      <c r="AA133" s="3016"/>
      <c r="AB133" s="3016"/>
      <c r="AC133" s="3016"/>
      <c r="AD133" s="3016"/>
      <c r="AE133" s="3016"/>
      <c r="AF133" s="3016"/>
      <c r="AG133" s="3016"/>
      <c r="AH133" s="3016"/>
      <c r="AI133" s="3132"/>
      <c r="AJ133" s="7426"/>
      <c r="AK133" s="7426"/>
      <c r="AL133" s="7426"/>
      <c r="AM133" s="7426"/>
      <c r="AN133" s="7427">
        <v>13</v>
      </c>
      <c r="AO133" s="7428"/>
      <c r="AP133" s="2757"/>
      <c r="BG133" s="3013"/>
      <c r="BH133" s="2595"/>
      <c r="BI133" s="2595"/>
      <c r="BJ133" s="2595"/>
      <c r="BK133" s="2595"/>
      <c r="BL133" s="2595"/>
      <c r="BM133" s="2595"/>
      <c r="BN133" s="2595"/>
      <c r="BO133" s="2595"/>
      <c r="BP133" s="2595"/>
    </row>
    <row r="134" spans="1:69">
      <c r="A134" s="2757"/>
      <c r="B134" s="1276" t="s">
        <v>55</v>
      </c>
      <c r="C134" s="1179"/>
      <c r="D134" s="1179"/>
      <c r="E134" s="1179"/>
      <c r="F134" s="1179"/>
      <c r="G134" s="1179"/>
      <c r="H134" s="1179"/>
      <c r="I134" s="1179"/>
      <c r="J134" s="1179"/>
      <c r="K134" s="1179"/>
      <c r="L134" s="1179"/>
      <c r="M134" s="1179"/>
      <c r="N134" s="1179"/>
      <c r="O134" s="1179"/>
      <c r="P134" s="1179"/>
      <c r="Q134" s="1179"/>
      <c r="R134" s="1179"/>
      <c r="S134" s="1179"/>
      <c r="T134" s="1179"/>
      <c r="U134" s="1179"/>
      <c r="V134" s="1179"/>
      <c r="W134" s="1179"/>
      <c r="X134" s="1179"/>
      <c r="Y134" s="1179"/>
      <c r="Z134" s="1179"/>
      <c r="AA134" s="1179"/>
      <c r="AB134" s="1179"/>
      <c r="AC134" s="1179"/>
      <c r="AD134" s="1179"/>
      <c r="AE134" s="1179"/>
      <c r="AF134" s="1179"/>
      <c r="AG134" s="7429" t="s">
        <v>89</v>
      </c>
      <c r="AH134" s="7430"/>
      <c r="AI134" s="7430"/>
      <c r="AJ134" s="7430"/>
      <c r="AK134" s="7430"/>
      <c r="AL134" s="7430"/>
      <c r="AM134" s="7430"/>
      <c r="AN134" s="7430"/>
      <c r="AO134" s="7430"/>
      <c r="AP134" s="2757"/>
      <c r="BG134" s="3013"/>
      <c r="BH134" s="2595"/>
      <c r="BI134" s="2595"/>
      <c r="BJ134" s="2595"/>
      <c r="BK134" s="2595"/>
      <c r="BL134" s="2595"/>
      <c r="BM134" s="2595"/>
      <c r="BN134" s="2595"/>
      <c r="BO134" s="2595"/>
      <c r="BP134" s="2595"/>
    </row>
    <row r="135" spans="1:69" ht="9.75" customHeight="1">
      <c r="A135" s="2757"/>
      <c r="B135" s="6635" t="str">
        <f>Names</f>
        <v/>
      </c>
      <c r="C135" s="6636"/>
      <c r="D135" s="6636"/>
      <c r="E135" s="6636"/>
      <c r="F135" s="6636"/>
      <c r="G135" s="6636"/>
      <c r="H135" s="6636"/>
      <c r="I135" s="6636"/>
      <c r="J135" s="6636"/>
      <c r="K135" s="6636"/>
      <c r="L135" s="6636"/>
      <c r="M135" s="6636"/>
      <c r="N135" s="6636"/>
      <c r="O135" s="6636"/>
      <c r="P135" s="6636"/>
      <c r="Q135" s="6636"/>
      <c r="R135" s="6636"/>
      <c r="S135" s="6636"/>
      <c r="T135" s="6636"/>
      <c r="U135" s="6636"/>
      <c r="V135" s="6636"/>
      <c r="W135" s="6636"/>
      <c r="X135" s="6636"/>
      <c r="Y135" s="6636"/>
      <c r="Z135" s="6636"/>
      <c r="AA135" s="6636"/>
      <c r="AB135" s="6636"/>
      <c r="AC135" s="6636"/>
      <c r="AD135" s="6636"/>
      <c r="AE135" s="6636"/>
      <c r="AF135" s="6637"/>
      <c r="AG135" s="7431">
        <f>IF(NoSSN,"",SS_Yours)</f>
        <v>1010001</v>
      </c>
      <c r="AH135" s="7432"/>
      <c r="AI135" s="7432"/>
      <c r="AJ135" s="7432"/>
      <c r="AK135" s="7432"/>
      <c r="AL135" s="7432"/>
      <c r="AM135" s="7432"/>
      <c r="AN135" s="7432"/>
      <c r="AO135" s="7432"/>
      <c r="AP135" s="2757"/>
      <c r="BG135" s="3013"/>
      <c r="BH135" s="2595"/>
      <c r="BI135" s="2595"/>
      <c r="BJ135" s="2595"/>
      <c r="BK135" s="2595"/>
      <c r="BL135" s="2595"/>
      <c r="BM135" s="2595"/>
      <c r="BN135" s="2595"/>
      <c r="BO135" s="2595"/>
      <c r="BP135" s="2595"/>
    </row>
    <row r="136" spans="1:69" ht="9.75" customHeight="1">
      <c r="A136" s="2757"/>
      <c r="B136" s="6290"/>
      <c r="C136" s="6290"/>
      <c r="D136" s="6290"/>
      <c r="E136" s="6290"/>
      <c r="F136" s="6290"/>
      <c r="G136" s="6290"/>
      <c r="H136" s="6290"/>
      <c r="I136" s="6290"/>
      <c r="J136" s="6290"/>
      <c r="K136" s="6290"/>
      <c r="L136" s="6290"/>
      <c r="M136" s="6290"/>
      <c r="N136" s="6290"/>
      <c r="O136" s="6290"/>
      <c r="P136" s="6290"/>
      <c r="Q136" s="6290"/>
      <c r="R136" s="6290"/>
      <c r="S136" s="6290"/>
      <c r="T136" s="6290"/>
      <c r="U136" s="6290"/>
      <c r="V136" s="6290"/>
      <c r="W136" s="6290"/>
      <c r="X136" s="6290"/>
      <c r="Y136" s="6290"/>
      <c r="Z136" s="6290"/>
      <c r="AA136" s="6290"/>
      <c r="AB136" s="6290"/>
      <c r="AC136" s="6290"/>
      <c r="AD136" s="6290"/>
      <c r="AE136" s="6290"/>
      <c r="AF136" s="6638"/>
      <c r="AG136" s="7433"/>
      <c r="AH136" s="7434"/>
      <c r="AI136" s="7434"/>
      <c r="AJ136" s="7434"/>
      <c r="AK136" s="7434"/>
      <c r="AL136" s="7434"/>
      <c r="AM136" s="7434"/>
      <c r="AN136" s="7434"/>
      <c r="AO136" s="7434"/>
      <c r="AP136" s="2757"/>
      <c r="BG136" s="3013"/>
      <c r="BH136" s="2595"/>
      <c r="BI136" s="2595"/>
      <c r="BJ136" s="2595"/>
      <c r="BK136" s="2595"/>
      <c r="BL136" s="2595"/>
      <c r="BM136" s="2595"/>
      <c r="BN136" s="2595"/>
      <c r="BO136" s="2595"/>
      <c r="BP136" s="2595"/>
    </row>
    <row r="137" spans="1:69" s="2689" customFormat="1" ht="17.25" customHeight="1">
      <c r="A137" s="2758"/>
      <c r="B137" s="7220" t="s">
        <v>51</v>
      </c>
      <c r="C137" s="7220"/>
      <c r="D137" s="7221"/>
      <c r="E137" s="1396"/>
      <c r="F137" s="3071" t="s">
        <v>664</v>
      </c>
      <c r="G137" s="1396"/>
      <c r="H137" s="1396"/>
      <c r="I137" s="1396"/>
      <c r="J137" s="1396"/>
      <c r="K137" s="1396"/>
      <c r="L137" s="1396"/>
      <c r="M137" s="1396"/>
      <c r="N137" s="1396"/>
      <c r="O137" s="1396"/>
      <c r="P137" s="1396"/>
      <c r="Q137" s="1396"/>
      <c r="R137" s="1396"/>
      <c r="S137" s="1396"/>
      <c r="T137" s="1396"/>
      <c r="U137" s="1396"/>
      <c r="V137" s="1396"/>
      <c r="W137" s="1396"/>
      <c r="X137" s="3072" t="s">
        <v>2335</v>
      </c>
      <c r="Y137" s="1396"/>
      <c r="Z137" s="1396"/>
      <c r="AA137" s="1396"/>
      <c r="AB137" s="1396"/>
      <c r="AC137" s="1396"/>
      <c r="AD137" s="1396"/>
      <c r="AE137" s="1396"/>
      <c r="AF137" s="1396"/>
      <c r="AG137" s="1396"/>
      <c r="AH137" s="1396"/>
      <c r="AI137" s="1396"/>
      <c r="AJ137" s="1396"/>
      <c r="AK137" s="1396"/>
      <c r="AL137" s="1396"/>
      <c r="AM137" s="1396"/>
      <c r="AN137" s="1396"/>
      <c r="AO137" s="1396"/>
      <c r="AP137" s="2757"/>
      <c r="BG137" s="3013"/>
      <c r="BH137" s="2595"/>
      <c r="BI137" s="2595"/>
      <c r="BJ137" s="2595"/>
      <c r="BK137" s="2595"/>
      <c r="BL137" s="2595"/>
      <c r="BM137" s="2595"/>
      <c r="BN137" s="2595"/>
      <c r="BO137" s="2595"/>
      <c r="BP137" s="2595"/>
      <c r="BQ137" s="3402"/>
    </row>
    <row r="138" spans="1:69" ht="15.75">
      <c r="A138" s="2757"/>
      <c r="B138" s="3069"/>
      <c r="C138" s="3069"/>
      <c r="D138" s="3070"/>
      <c r="E138" s="1777"/>
      <c r="F138" s="2217" t="s">
        <v>4795</v>
      </c>
      <c r="G138" s="3068"/>
      <c r="H138" s="3068"/>
      <c r="I138" s="3068"/>
      <c r="J138" s="3068"/>
      <c r="K138" s="3068"/>
      <c r="L138" s="3068"/>
      <c r="M138" s="1777"/>
      <c r="N138" s="3068"/>
      <c r="O138" s="3068"/>
      <c r="P138" s="3068"/>
      <c r="Q138" s="3068"/>
      <c r="R138" s="3068"/>
      <c r="S138" s="3068"/>
      <c r="T138" s="3068"/>
      <c r="U138" s="3068"/>
      <c r="V138" s="3068"/>
      <c r="W138" s="3068"/>
      <c r="X138" s="3068"/>
      <c r="Y138" s="3068"/>
      <c r="Z138" s="3068"/>
      <c r="AA138" s="3068"/>
      <c r="AB138" s="3068"/>
      <c r="AC138" s="3068"/>
      <c r="AD138" s="1777"/>
      <c r="AE138" s="3068"/>
      <c r="AF138" s="3068"/>
      <c r="AG138" s="3068"/>
      <c r="AH138" s="3068"/>
      <c r="AI138" s="3068"/>
      <c r="AJ138" s="3068"/>
      <c r="AK138" s="3068"/>
      <c r="AL138" s="3068"/>
      <c r="AM138" s="3068"/>
      <c r="AN138" s="3068"/>
      <c r="AO138" s="3068"/>
      <c r="AP138" s="2757"/>
      <c r="BG138" s="3013"/>
      <c r="BH138" s="2595"/>
      <c r="BI138" s="2595"/>
      <c r="BJ138" s="2595"/>
      <c r="BK138" s="2595"/>
      <c r="BL138" s="2595"/>
      <c r="BM138" s="2595"/>
      <c r="BN138" s="2595"/>
      <c r="BO138" s="2595"/>
      <c r="BP138" s="2595"/>
    </row>
    <row r="139" spans="1:69" ht="15.75">
      <c r="A139" s="2757"/>
      <c r="B139" s="7393" t="s">
        <v>143</v>
      </c>
      <c r="C139" s="7408"/>
      <c r="D139" s="3073" t="str">
        <f>"Did you make any payments in "&amp;TaxYear&amp;" that would require you to file Form(s) 1099?  See instructions"</f>
        <v>Did you make any payments in 2021 that would require you to file Form(s) 1099?  See instructions</v>
      </c>
      <c r="E139" s="2335"/>
      <c r="F139" s="2335"/>
      <c r="G139" s="2335"/>
      <c r="H139" s="2335"/>
      <c r="I139" s="2335"/>
      <c r="J139" s="2335"/>
      <c r="K139" s="2335"/>
      <c r="L139" s="2335"/>
      <c r="M139" s="2335"/>
      <c r="N139" s="2335"/>
      <c r="O139" s="2335"/>
      <c r="P139" s="2335"/>
      <c r="Q139" s="2335"/>
      <c r="R139" s="2335"/>
      <c r="S139" s="2335"/>
      <c r="T139" s="2335"/>
      <c r="U139" s="2335"/>
      <c r="V139" s="2335"/>
      <c r="W139" s="2335"/>
      <c r="X139" s="2335"/>
      <c r="Y139" s="2335"/>
      <c r="Z139" s="2335"/>
      <c r="AA139" s="2335"/>
      <c r="AB139" s="2335"/>
      <c r="AC139" s="2335"/>
      <c r="AD139" s="2335"/>
      <c r="AE139" s="2335"/>
      <c r="AF139" s="2335"/>
      <c r="AG139" s="2335"/>
      <c r="AH139" s="2335"/>
      <c r="AI139" s="2335"/>
      <c r="AJ139" s="1180"/>
      <c r="AK139" s="2786" t="s">
        <v>2336</v>
      </c>
      <c r="AL139" s="2335"/>
      <c r="AM139" s="1180"/>
      <c r="AN139" s="2786" t="s">
        <v>511</v>
      </c>
      <c r="AO139" s="2335"/>
      <c r="AP139" s="2757"/>
      <c r="BG139" s="3013"/>
      <c r="BH139" s="2595"/>
      <c r="BI139" s="2595"/>
      <c r="BJ139" s="2595"/>
      <c r="BK139" s="2595"/>
      <c r="BL139" s="2595"/>
      <c r="BM139" s="2595"/>
      <c r="BN139" s="2595"/>
      <c r="BO139" s="2595"/>
      <c r="BP139" s="2595"/>
    </row>
    <row r="140" spans="1:69" ht="15.75">
      <c r="A140" s="2757"/>
      <c r="B140" s="7409" t="s">
        <v>288</v>
      </c>
      <c r="C140" s="7410"/>
      <c r="D140" s="2803" t="s">
        <v>681</v>
      </c>
      <c r="E140" s="3068"/>
      <c r="F140" s="3068"/>
      <c r="G140" s="3068"/>
      <c r="H140" s="3068"/>
      <c r="I140" s="3068"/>
      <c r="J140" s="3068"/>
      <c r="K140" s="3068"/>
      <c r="L140" s="3068"/>
      <c r="M140" s="3068"/>
      <c r="N140" s="3068"/>
      <c r="O140" s="3068"/>
      <c r="P140" s="3068"/>
      <c r="Q140" s="3068"/>
      <c r="R140" s="3068"/>
      <c r="S140" s="3068"/>
      <c r="T140" s="3068"/>
      <c r="U140" s="3068"/>
      <c r="V140" s="3068"/>
      <c r="W140" s="3068"/>
      <c r="X140" s="3068"/>
      <c r="Y140" s="3068"/>
      <c r="Z140" s="3068"/>
      <c r="AA140" s="3068"/>
      <c r="AB140" s="3068"/>
      <c r="AC140" s="3068"/>
      <c r="AD140" s="3068"/>
      <c r="AE140" s="3068"/>
      <c r="AF140" s="3068"/>
      <c r="AG140" s="3068"/>
      <c r="AH140" s="3068"/>
      <c r="AI140" s="3068"/>
      <c r="AJ140" s="1180"/>
      <c r="AK140" s="1572" t="s">
        <v>2336</v>
      </c>
      <c r="AL140" s="3068"/>
      <c r="AM140" s="1180"/>
      <c r="AN140" s="1572" t="s">
        <v>511</v>
      </c>
      <c r="AO140" s="3068"/>
      <c r="AP140" s="2757"/>
      <c r="BG140" s="3013"/>
      <c r="BH140" s="2595"/>
      <c r="BI140" s="2595"/>
      <c r="BJ140" s="2595"/>
      <c r="BK140" s="2595"/>
      <c r="BL140" s="2595"/>
      <c r="BM140" s="2595"/>
      <c r="BN140" s="2595"/>
      <c r="BO140" s="2595"/>
      <c r="BP140" s="2595"/>
    </row>
    <row r="141" spans="1:69" ht="15.75">
      <c r="A141" s="2757"/>
      <c r="B141" s="7380" t="s">
        <v>12</v>
      </c>
      <c r="C141" s="7411"/>
      <c r="D141" s="3059" t="s">
        <v>746</v>
      </c>
      <c r="E141" s="3075"/>
      <c r="F141" s="3075"/>
      <c r="G141" s="3075"/>
      <c r="H141" s="3075"/>
      <c r="I141" s="3075"/>
      <c r="J141" s="3075"/>
      <c r="K141" s="3075"/>
      <c r="L141" s="3075"/>
      <c r="M141" s="3075"/>
      <c r="N141" s="3075"/>
      <c r="O141" s="3075"/>
      <c r="P141" s="3075"/>
      <c r="Q141" s="3075"/>
      <c r="R141" s="3075"/>
      <c r="S141" s="3075"/>
      <c r="T141" s="3075"/>
      <c r="U141" s="3075"/>
      <c r="V141" s="3075"/>
      <c r="W141" s="3075"/>
      <c r="X141" s="3075"/>
      <c r="Y141" s="3075"/>
      <c r="Z141" s="3075"/>
      <c r="AA141" s="3075"/>
      <c r="AB141" s="3075"/>
      <c r="AC141" s="3075"/>
      <c r="AD141" s="3075"/>
      <c r="AE141" s="3075"/>
      <c r="AF141" s="3075"/>
      <c r="AG141" s="3075"/>
      <c r="AH141" s="3075"/>
      <c r="AI141" s="3075"/>
      <c r="AJ141" s="3075"/>
      <c r="AK141" s="3075"/>
      <c r="AL141" s="3075"/>
      <c r="AM141" s="3075"/>
      <c r="AN141" s="3075"/>
      <c r="AO141" s="3075"/>
      <c r="AP141" s="2757"/>
      <c r="BG141" s="3013"/>
      <c r="BH141" s="2595"/>
      <c r="BI141" s="2595"/>
      <c r="BJ141" s="2595"/>
      <c r="BK141" s="2595"/>
      <c r="BL141" s="2595"/>
      <c r="BM141" s="2595"/>
      <c r="BN141" s="2595"/>
      <c r="BO141" s="2595"/>
      <c r="BP141" s="2595"/>
    </row>
    <row r="142" spans="1:69" ht="15.75">
      <c r="A142" s="2757"/>
      <c r="B142" s="7380" t="s">
        <v>143</v>
      </c>
      <c r="C142" s="7198"/>
      <c r="D142" s="7412"/>
      <c r="E142" s="6807"/>
      <c r="F142" s="6807"/>
      <c r="G142" s="6807"/>
      <c r="H142" s="6807"/>
      <c r="I142" s="6807"/>
      <c r="J142" s="6807"/>
      <c r="K142" s="6807"/>
      <c r="L142" s="6807"/>
      <c r="M142" s="6807"/>
      <c r="N142" s="6807"/>
      <c r="O142" s="6807"/>
      <c r="P142" s="6807"/>
      <c r="Q142" s="6807"/>
      <c r="R142" s="6807"/>
      <c r="S142" s="6807"/>
      <c r="T142" s="6807"/>
      <c r="U142" s="6807"/>
      <c r="V142" s="6807"/>
      <c r="W142" s="6807"/>
      <c r="X142" s="6807"/>
      <c r="Y142" s="6807"/>
      <c r="Z142" s="6807"/>
      <c r="AA142" s="6807"/>
      <c r="AB142" s="6807"/>
      <c r="AC142" s="6807"/>
      <c r="AD142" s="6807"/>
      <c r="AE142" s="6807"/>
      <c r="AF142" s="6807"/>
      <c r="AG142" s="6807"/>
      <c r="AH142" s="6807"/>
      <c r="AI142" s="6807"/>
      <c r="AJ142" s="6807"/>
      <c r="AK142" s="6807"/>
      <c r="AL142" s="6807"/>
      <c r="AM142" s="6807"/>
      <c r="AN142" s="6807"/>
      <c r="AO142" s="6807"/>
      <c r="AP142" s="2757"/>
      <c r="BG142" s="3013"/>
      <c r="BH142" s="2595"/>
      <c r="BI142" s="2595"/>
      <c r="BJ142" s="2595"/>
      <c r="BK142" s="2595"/>
      <c r="BL142" s="2595"/>
      <c r="BM142" s="2595"/>
      <c r="BN142" s="2595"/>
      <c r="BO142" s="2595"/>
      <c r="BP142" s="2595"/>
    </row>
    <row r="143" spans="1:69" ht="15.75">
      <c r="A143" s="2757"/>
      <c r="B143" s="7380" t="s">
        <v>288</v>
      </c>
      <c r="C143" s="7198"/>
      <c r="D143" s="7412"/>
      <c r="E143" s="6807"/>
      <c r="F143" s="6807"/>
      <c r="G143" s="6807"/>
      <c r="H143" s="6807"/>
      <c r="I143" s="6807"/>
      <c r="J143" s="6807"/>
      <c r="K143" s="6807"/>
      <c r="L143" s="6807"/>
      <c r="M143" s="6807"/>
      <c r="N143" s="6807"/>
      <c r="O143" s="6807"/>
      <c r="P143" s="6807"/>
      <c r="Q143" s="6807"/>
      <c r="R143" s="6807"/>
      <c r="S143" s="6807"/>
      <c r="T143" s="6807"/>
      <c r="U143" s="6807"/>
      <c r="V143" s="6807"/>
      <c r="W143" s="6807"/>
      <c r="X143" s="6807"/>
      <c r="Y143" s="6807"/>
      <c r="Z143" s="6807"/>
      <c r="AA143" s="6807"/>
      <c r="AB143" s="6807"/>
      <c r="AC143" s="6807"/>
      <c r="AD143" s="6807"/>
      <c r="AE143" s="6807"/>
      <c r="AF143" s="6807"/>
      <c r="AG143" s="6807"/>
      <c r="AH143" s="6807"/>
      <c r="AI143" s="6807"/>
      <c r="AJ143" s="6807"/>
      <c r="AK143" s="6807"/>
      <c r="AL143" s="6807"/>
      <c r="AM143" s="6807"/>
      <c r="AN143" s="6807"/>
      <c r="AO143" s="6807"/>
      <c r="AP143" s="2757"/>
      <c r="BG143" s="3013"/>
      <c r="BH143" s="2595"/>
      <c r="BI143" s="2595"/>
      <c r="BJ143" s="2595"/>
      <c r="BK143" s="2595"/>
      <c r="BL143" s="2595"/>
      <c r="BM143" s="2595"/>
      <c r="BN143" s="2595"/>
      <c r="BO143" s="2595"/>
      <c r="BP143" s="2595"/>
    </row>
    <row r="144" spans="1:69" ht="15.75">
      <c r="A144" s="2757"/>
      <c r="B144" s="7380" t="s">
        <v>144</v>
      </c>
      <c r="C144" s="7198"/>
      <c r="D144" s="7412"/>
      <c r="E144" s="6807"/>
      <c r="F144" s="6807"/>
      <c r="G144" s="6807"/>
      <c r="H144" s="6807"/>
      <c r="I144" s="6807"/>
      <c r="J144" s="6807"/>
      <c r="K144" s="6807"/>
      <c r="L144" s="6807"/>
      <c r="M144" s="6807"/>
      <c r="N144" s="6807"/>
      <c r="O144" s="6807"/>
      <c r="P144" s="6807"/>
      <c r="Q144" s="6807"/>
      <c r="R144" s="6807"/>
      <c r="S144" s="6807"/>
      <c r="T144" s="6807"/>
      <c r="U144" s="6807"/>
      <c r="V144" s="6807"/>
      <c r="W144" s="6807"/>
      <c r="X144" s="6807"/>
      <c r="Y144" s="6807"/>
      <c r="Z144" s="6807"/>
      <c r="AA144" s="6807"/>
      <c r="AB144" s="6807"/>
      <c r="AC144" s="6807"/>
      <c r="AD144" s="6807"/>
      <c r="AE144" s="6807"/>
      <c r="AF144" s="6807"/>
      <c r="AG144" s="6807"/>
      <c r="AH144" s="6807"/>
      <c r="AI144" s="6807"/>
      <c r="AJ144" s="6807"/>
      <c r="AK144" s="6807"/>
      <c r="AL144" s="6807"/>
      <c r="AM144" s="6807"/>
      <c r="AN144" s="6807"/>
      <c r="AO144" s="6807"/>
      <c r="AP144" s="2757"/>
      <c r="AX144" s="42">
        <v>1</v>
      </c>
      <c r="AY144" s="42" t="s">
        <v>1084</v>
      </c>
      <c r="BG144" s="3013"/>
      <c r="BH144" s="2595"/>
      <c r="BI144" s="2595"/>
      <c r="BJ144" s="2595"/>
      <c r="BK144" s="2595"/>
      <c r="BL144" s="2595"/>
      <c r="BM144" s="2595"/>
      <c r="BN144" s="2595"/>
      <c r="BO144" s="2595"/>
      <c r="BP144" s="2595"/>
    </row>
    <row r="145" spans="1:68" ht="15.75" customHeight="1">
      <c r="A145" s="2757"/>
      <c r="B145" s="7393" t="s">
        <v>15</v>
      </c>
      <c r="C145" s="7394"/>
      <c r="D145" s="7261" t="s">
        <v>2337</v>
      </c>
      <c r="E145" s="7395"/>
      <c r="F145" s="7395"/>
      <c r="G145" s="7395"/>
      <c r="H145" s="7396"/>
      <c r="I145" s="7363">
        <v>2</v>
      </c>
      <c r="J145" s="7400"/>
      <c r="K145" s="7401" t="s">
        <v>4045</v>
      </c>
      <c r="L145" s="7086"/>
      <c r="M145" s="7086"/>
      <c r="N145" s="7086"/>
      <c r="O145" s="7086"/>
      <c r="P145" s="7086"/>
      <c r="Q145" s="7086"/>
      <c r="R145" s="7086"/>
      <c r="S145" s="7086"/>
      <c r="T145" s="7086"/>
      <c r="U145" s="7086"/>
      <c r="V145" s="7086"/>
      <c r="W145" s="7086"/>
      <c r="X145" s="3066"/>
      <c r="Y145" s="3066"/>
      <c r="Z145" s="3066"/>
      <c r="AA145" s="7402" t="s">
        <v>2338</v>
      </c>
      <c r="AB145" s="7403"/>
      <c r="AC145" s="7403"/>
      <c r="AD145" s="7403"/>
      <c r="AE145" s="7404"/>
      <c r="AF145" s="7402" t="s">
        <v>683</v>
      </c>
      <c r="AG145" s="7403"/>
      <c r="AH145" s="7403"/>
      <c r="AI145" s="7403"/>
      <c r="AJ145" s="7404"/>
      <c r="AK145" s="7402" t="s">
        <v>682</v>
      </c>
      <c r="AL145" s="7403"/>
      <c r="AM145" s="7403"/>
      <c r="AN145" s="7403"/>
      <c r="AO145" s="7403"/>
      <c r="AP145" s="2757"/>
      <c r="AX145" s="42">
        <v>2</v>
      </c>
      <c r="AY145" s="42" t="s">
        <v>1085</v>
      </c>
      <c r="BG145" s="3013"/>
      <c r="BH145" s="2595"/>
      <c r="BI145" s="2595"/>
      <c r="BJ145" s="2595"/>
      <c r="BK145" s="2595"/>
      <c r="BL145" s="2595"/>
      <c r="BM145" s="2595"/>
      <c r="BN145" s="2595"/>
      <c r="BO145" s="2595"/>
      <c r="BP145" s="2595"/>
    </row>
    <row r="146" spans="1:68" ht="14.25" customHeight="1">
      <c r="A146" s="2757"/>
      <c r="B146" s="3076"/>
      <c r="C146" s="3077"/>
      <c r="D146" s="7397"/>
      <c r="E146" s="7398"/>
      <c r="F146" s="7398"/>
      <c r="G146" s="7398"/>
      <c r="H146" s="7399"/>
      <c r="I146" s="3067"/>
      <c r="J146" s="2335"/>
      <c r="K146" s="6792"/>
      <c r="L146" s="6792"/>
      <c r="M146" s="6792"/>
      <c r="N146" s="6792"/>
      <c r="O146" s="6792"/>
      <c r="P146" s="6792"/>
      <c r="Q146" s="6792"/>
      <c r="R146" s="6792"/>
      <c r="S146" s="6792"/>
      <c r="T146" s="6792"/>
      <c r="U146" s="6792"/>
      <c r="V146" s="6792"/>
      <c r="W146" s="6792"/>
      <c r="X146" s="2335"/>
      <c r="Y146" s="2335"/>
      <c r="Z146" s="2335"/>
      <c r="AA146" s="7405"/>
      <c r="AB146" s="7406"/>
      <c r="AC146" s="7406"/>
      <c r="AD146" s="7406"/>
      <c r="AE146" s="7407"/>
      <c r="AF146" s="7405"/>
      <c r="AG146" s="7406"/>
      <c r="AH146" s="7406"/>
      <c r="AI146" s="7406"/>
      <c r="AJ146" s="7407"/>
      <c r="AK146" s="7405"/>
      <c r="AL146" s="7406"/>
      <c r="AM146" s="7406"/>
      <c r="AN146" s="7406"/>
      <c r="AO146" s="7406"/>
      <c r="AP146" s="2757"/>
      <c r="AV146" s="3142">
        <f>IF(LeapYear,366,365)</f>
        <v>365</v>
      </c>
      <c r="AW146" s="3143"/>
      <c r="AX146" s="42">
        <v>3</v>
      </c>
      <c r="AY146" s="42" t="s">
        <v>1346</v>
      </c>
      <c r="BE146" s="2845" t="s">
        <v>1345</v>
      </c>
      <c r="BG146" s="3013"/>
      <c r="BH146" s="2595"/>
      <c r="BI146" s="2595"/>
      <c r="BJ146" s="2595"/>
      <c r="BK146" s="2595"/>
      <c r="BL146" s="2595"/>
      <c r="BM146" s="2595"/>
      <c r="BN146" s="2595"/>
      <c r="BO146" s="2595"/>
      <c r="BP146" s="2595"/>
    </row>
    <row r="147" spans="1:68" ht="15.75">
      <c r="A147" s="2757"/>
      <c r="B147" s="7380" t="s">
        <v>143</v>
      </c>
      <c r="C147" s="7198"/>
      <c r="D147" s="7381"/>
      <c r="E147" s="7382"/>
      <c r="F147" s="7382"/>
      <c r="G147" s="7382"/>
      <c r="H147" s="7383"/>
      <c r="I147" s="1582"/>
      <c r="J147" s="1179"/>
      <c r="K147" s="6792"/>
      <c r="L147" s="6792"/>
      <c r="M147" s="6792"/>
      <c r="N147" s="6792"/>
      <c r="O147" s="6792"/>
      <c r="P147" s="6792"/>
      <c r="Q147" s="6792"/>
      <c r="R147" s="6792"/>
      <c r="S147" s="6792"/>
      <c r="T147" s="6792"/>
      <c r="U147" s="6792"/>
      <c r="V147" s="6792"/>
      <c r="W147" s="6792"/>
      <c r="X147" s="7384" t="s">
        <v>143</v>
      </c>
      <c r="Y147" s="7385"/>
      <c r="Z147" s="7386"/>
      <c r="AA147" s="6543"/>
      <c r="AB147" s="7313"/>
      <c r="AC147" s="7313"/>
      <c r="AD147" s="7313"/>
      <c r="AE147" s="7314"/>
      <c r="AF147" s="6543"/>
      <c r="AG147" s="7313"/>
      <c r="AH147" s="7313"/>
      <c r="AI147" s="7313"/>
      <c r="AJ147" s="7314"/>
      <c r="AK147" s="3078"/>
      <c r="AL147" s="3079"/>
      <c r="AM147" s="1180"/>
      <c r="AN147" s="3079"/>
      <c r="AO147" s="3079"/>
      <c r="AP147" s="2757"/>
      <c r="AR147" s="1286" t="b">
        <f>D147=8</f>
        <v>0</v>
      </c>
      <c r="AV147" s="3144" t="b">
        <f>AA147&gt;$AV$19</f>
        <v>0</v>
      </c>
      <c r="AW147" s="3145" t="b">
        <f>AF147&gt;$AV$19</f>
        <v>0</v>
      </c>
      <c r="AX147" s="42">
        <v>4</v>
      </c>
      <c r="AY147" s="42" t="s">
        <v>1086</v>
      </c>
      <c r="BE147" s="2846" t="b">
        <f>IF(AND(D147&lt;&gt;"",OR(D147&lt;1,D147&gt;8,ISERROR(V156))),TRUE,FALSE)</f>
        <v>0</v>
      </c>
      <c r="BG147" s="3013"/>
      <c r="BH147" s="2595"/>
      <c r="BI147" s="2595"/>
      <c r="BJ147" s="2595"/>
      <c r="BK147" s="2595"/>
      <c r="BL147" s="2595"/>
      <c r="BM147" s="2595"/>
      <c r="BN147" s="2595"/>
      <c r="BO147" s="2595"/>
      <c r="BP147" s="2595"/>
    </row>
    <row r="148" spans="1:68" ht="15.75">
      <c r="A148" s="2757"/>
      <c r="B148" s="7380" t="s">
        <v>288</v>
      </c>
      <c r="C148" s="7198"/>
      <c r="D148" s="7381"/>
      <c r="E148" s="7382"/>
      <c r="F148" s="7382"/>
      <c r="G148" s="7382"/>
      <c r="H148" s="7383"/>
      <c r="I148" s="1582"/>
      <c r="J148" s="1179"/>
      <c r="K148" s="6792"/>
      <c r="L148" s="6792"/>
      <c r="M148" s="6792"/>
      <c r="N148" s="6792"/>
      <c r="O148" s="6792"/>
      <c r="P148" s="6792"/>
      <c r="Q148" s="6792"/>
      <c r="R148" s="6792"/>
      <c r="S148" s="6792"/>
      <c r="T148" s="6792"/>
      <c r="U148" s="6792"/>
      <c r="V148" s="6792"/>
      <c r="W148" s="6792"/>
      <c r="X148" s="7384" t="s">
        <v>288</v>
      </c>
      <c r="Y148" s="7385"/>
      <c r="Z148" s="7386"/>
      <c r="AA148" s="6543"/>
      <c r="AB148" s="7313"/>
      <c r="AC148" s="7313"/>
      <c r="AD148" s="7313"/>
      <c r="AE148" s="7314"/>
      <c r="AF148" s="6543"/>
      <c r="AG148" s="7313"/>
      <c r="AH148" s="7313"/>
      <c r="AI148" s="7313"/>
      <c r="AJ148" s="7314"/>
      <c r="AK148" s="3078"/>
      <c r="AL148" s="3079"/>
      <c r="AM148" s="1180"/>
      <c r="AN148" s="3079"/>
      <c r="AO148" s="3079"/>
      <c r="AP148" s="2757"/>
      <c r="AR148" s="1286" t="b">
        <f>D148=8</f>
        <v>0</v>
      </c>
      <c r="AV148" s="3144" t="b">
        <f>AA148&gt;$AV$19</f>
        <v>0</v>
      </c>
      <c r="AW148" s="3145" t="b">
        <f>AF148&gt;$AV$19</f>
        <v>0</v>
      </c>
      <c r="AX148" s="42">
        <v>5</v>
      </c>
      <c r="AY148" s="42" t="s">
        <v>1087</v>
      </c>
      <c r="BE148" s="2846" t="b">
        <f>IF(AND(D148&lt;&gt;"",OR(D148&lt;1,D148&gt;8,ISERROR(AD156))),TRUE,FALSE)</f>
        <v>0</v>
      </c>
      <c r="BG148" s="3013"/>
      <c r="BH148" s="2595"/>
      <c r="BI148" s="2595"/>
      <c r="BJ148" s="2595"/>
      <c r="BK148" s="2595"/>
      <c r="BL148" s="2595"/>
      <c r="BM148" s="2595"/>
      <c r="BN148" s="2595"/>
      <c r="BO148" s="2595"/>
      <c r="BP148" s="2595"/>
    </row>
    <row r="149" spans="1:68" ht="15.75">
      <c r="A149" s="2757"/>
      <c r="B149" s="7380" t="s">
        <v>144</v>
      </c>
      <c r="C149" s="7198"/>
      <c r="D149" s="7381"/>
      <c r="E149" s="7382"/>
      <c r="F149" s="7382"/>
      <c r="G149" s="7382"/>
      <c r="H149" s="7383"/>
      <c r="I149" s="1586"/>
      <c r="J149" s="1553"/>
      <c r="K149" s="1448"/>
      <c r="L149" s="1553"/>
      <c r="M149" s="1553"/>
      <c r="N149" s="1553"/>
      <c r="O149" s="1553"/>
      <c r="P149" s="1553"/>
      <c r="Q149" s="1553"/>
      <c r="R149" s="1553"/>
      <c r="S149" s="1553"/>
      <c r="T149" s="1553"/>
      <c r="U149" s="1553"/>
      <c r="V149" s="1553"/>
      <c r="W149" s="1553"/>
      <c r="X149" s="7384" t="s">
        <v>144</v>
      </c>
      <c r="Y149" s="7385"/>
      <c r="Z149" s="7386"/>
      <c r="AA149" s="6543"/>
      <c r="AB149" s="7313"/>
      <c r="AC149" s="7313"/>
      <c r="AD149" s="7313"/>
      <c r="AE149" s="7314"/>
      <c r="AF149" s="6543"/>
      <c r="AG149" s="7313"/>
      <c r="AH149" s="7313"/>
      <c r="AI149" s="7313"/>
      <c r="AJ149" s="7314"/>
      <c r="AK149" s="3078"/>
      <c r="AL149" s="3079"/>
      <c r="AM149" s="1180"/>
      <c r="AN149" s="3079"/>
      <c r="AO149" s="3079"/>
      <c r="AP149" s="2757"/>
      <c r="AR149" s="1286" t="b">
        <f>D149=8</f>
        <v>0</v>
      </c>
      <c r="AV149" s="3146" t="b">
        <f>AA149&gt;$AV$19</f>
        <v>0</v>
      </c>
      <c r="AW149" s="3147" t="b">
        <f>AF149&gt;$AV$19</f>
        <v>0</v>
      </c>
      <c r="AX149" s="42">
        <v>6</v>
      </c>
      <c r="AY149" s="42" t="s">
        <v>1088</v>
      </c>
      <c r="AZ149" s="3138" t="s">
        <v>143</v>
      </c>
      <c r="BA149" s="3138" t="s">
        <v>288</v>
      </c>
      <c r="BB149" s="3138" t="s">
        <v>144</v>
      </c>
      <c r="BC149" s="3138" t="s">
        <v>202</v>
      </c>
      <c r="BE149" s="2846" t="b">
        <f>IF(AND(D149&lt;&gt;"",OR(D149&lt;1,D149&gt;8,ISERROR(AJ156))),TRUE,FALSE)</f>
        <v>0</v>
      </c>
      <c r="BG149" s="3013"/>
      <c r="BH149" s="2595"/>
      <c r="BI149" s="2595"/>
      <c r="BJ149" s="2595"/>
      <c r="BK149" s="2595"/>
      <c r="BL149" s="2595"/>
      <c r="BM149" s="2595"/>
      <c r="BN149" s="2595"/>
      <c r="BO149" s="2595"/>
      <c r="BP149" s="2595"/>
    </row>
    <row r="150" spans="1:68" ht="14.25" customHeight="1">
      <c r="A150" s="2757"/>
      <c r="B150" s="3082" t="s">
        <v>684</v>
      </c>
      <c r="C150" s="3080"/>
      <c r="D150" s="2246"/>
      <c r="E150" s="2213"/>
      <c r="F150" s="2213"/>
      <c r="G150" s="2213"/>
      <c r="H150" s="2213"/>
      <c r="I150" s="3139" t="str">
        <f>IF(BE150,"The 'Type of Property' must be entered as a number (1 - 8).","")</f>
        <v/>
      </c>
      <c r="J150" s="2213"/>
      <c r="K150" s="2213"/>
      <c r="L150" s="2213"/>
      <c r="M150" s="2213"/>
      <c r="N150" s="2213"/>
      <c r="O150" s="2213"/>
      <c r="P150" s="2213"/>
      <c r="Q150" s="2213"/>
      <c r="R150" s="2213"/>
      <c r="S150" s="2213"/>
      <c r="T150" s="2213"/>
      <c r="U150" s="2213"/>
      <c r="V150" s="2213"/>
      <c r="W150" s="2213"/>
      <c r="X150" s="2213"/>
      <c r="Y150" s="2213"/>
      <c r="Z150" s="2213"/>
      <c r="AA150" s="2213"/>
      <c r="AB150" s="2213"/>
      <c r="AC150" s="2213"/>
      <c r="AD150" s="3139" t="str">
        <f>IF(OR(AV147,AV148,AV149,AW147,AW148,AW149),"Must be "&amp;AV146&amp;" or less.","")</f>
        <v/>
      </c>
      <c r="AE150" s="2213"/>
      <c r="AF150" s="2213"/>
      <c r="AG150" s="2213"/>
      <c r="AH150" s="2213"/>
      <c r="AI150" s="2213"/>
      <c r="AJ150" s="2213"/>
      <c r="AK150" s="2213"/>
      <c r="AL150" s="2213"/>
      <c r="AM150" s="2213"/>
      <c r="AN150" s="2213"/>
      <c r="AO150" s="2213"/>
      <c r="AP150" s="2757"/>
      <c r="AR150" s="1286" t="b">
        <f>OR(AR147:AR149)</f>
        <v>0</v>
      </c>
      <c r="AX150" s="42">
        <v>7</v>
      </c>
      <c r="AY150" s="42" t="s">
        <v>1089</v>
      </c>
      <c r="AZ150" s="42">
        <f>IF(D147&lt;&gt;6,V154,0)</f>
        <v>0</v>
      </c>
      <c r="BA150" s="42">
        <f>IF(D148&lt;&gt;6,AD154,0)</f>
        <v>0</v>
      </c>
      <c r="BB150" s="42">
        <f>IF(D149&lt;&gt;6,AJ154,0)</f>
        <v>0</v>
      </c>
      <c r="BC150" s="42">
        <f>SUM(AZ150:BB150)</f>
        <v>0</v>
      </c>
      <c r="BE150" s="2846" t="b">
        <f>OR(BE147,BE148,BE149)</f>
        <v>0</v>
      </c>
      <c r="BG150" s="3013"/>
      <c r="BH150" s="2595"/>
      <c r="BI150" s="2595"/>
      <c r="BJ150" s="2595"/>
      <c r="BK150" s="2595"/>
      <c r="BL150" s="2595"/>
      <c r="BM150" s="2595"/>
      <c r="BN150" s="2595"/>
      <c r="BO150" s="2595"/>
      <c r="BP150" s="2595"/>
    </row>
    <row r="151" spans="1:68" ht="14.25" customHeight="1">
      <c r="A151" s="2757"/>
      <c r="B151" s="3080">
        <v>1</v>
      </c>
      <c r="C151" s="3081" t="s">
        <v>1084</v>
      </c>
      <c r="D151" s="2246"/>
      <c r="E151" s="2213"/>
      <c r="F151" s="2213"/>
      <c r="G151" s="2213"/>
      <c r="H151" s="2213"/>
      <c r="I151" s="2213"/>
      <c r="J151" s="2213"/>
      <c r="K151" s="3084">
        <v>3</v>
      </c>
      <c r="L151" s="3083" t="s">
        <v>2339</v>
      </c>
      <c r="M151" s="2213"/>
      <c r="N151" s="2213"/>
      <c r="O151" s="2213"/>
      <c r="P151" s="2213"/>
      <c r="Q151" s="2213"/>
      <c r="R151" s="2213"/>
      <c r="S151" s="2213"/>
      <c r="T151" s="2213"/>
      <c r="U151" s="3084">
        <v>5</v>
      </c>
      <c r="V151" s="3083" t="s">
        <v>1087</v>
      </c>
      <c r="W151" s="2213"/>
      <c r="X151" s="2213"/>
      <c r="Y151" s="2213"/>
      <c r="Z151" s="3084"/>
      <c r="AA151" s="3084">
        <v>7</v>
      </c>
      <c r="AB151" s="3083" t="s">
        <v>1089</v>
      </c>
      <c r="AC151" s="2213"/>
      <c r="AD151" s="2213"/>
      <c r="AE151" s="2213"/>
      <c r="AF151" s="2213"/>
      <c r="AG151" s="2213"/>
      <c r="AH151" s="2213"/>
      <c r="AI151" s="2213"/>
      <c r="AJ151" s="2213"/>
      <c r="AK151" s="2213"/>
      <c r="AL151" s="2213"/>
      <c r="AM151" s="2213"/>
      <c r="AN151" s="2213"/>
      <c r="AO151" s="2213"/>
      <c r="AP151" s="2757"/>
      <c r="AX151" s="42">
        <v>8</v>
      </c>
      <c r="AY151" s="42" t="s">
        <v>402</v>
      </c>
      <c r="AZ151" s="42">
        <f>IF(D147=6,V155,0)</f>
        <v>0</v>
      </c>
      <c r="BA151" s="42">
        <f>IF(D148=6,AD155,0)</f>
        <v>0</v>
      </c>
      <c r="BB151" s="42">
        <f>IF(D149=6,AJ155,0)</f>
        <v>0</v>
      </c>
      <c r="BC151" s="42">
        <f>SUM(AZ151:BB151)</f>
        <v>0</v>
      </c>
      <c r="BE151" s="2847"/>
      <c r="BG151" s="3013"/>
      <c r="BH151" s="2595"/>
      <c r="BI151" s="2595"/>
      <c r="BJ151" s="2595"/>
      <c r="BK151" s="2595"/>
      <c r="BL151" s="2595"/>
      <c r="BM151" s="2595"/>
      <c r="BN151" s="2595"/>
      <c r="BO151" s="2595"/>
      <c r="BP151" s="2595"/>
    </row>
    <row r="152" spans="1:68" ht="14.25" customHeight="1">
      <c r="A152" s="2757"/>
      <c r="B152" s="3085">
        <v>2</v>
      </c>
      <c r="C152" s="3095" t="s">
        <v>1085</v>
      </c>
      <c r="D152" s="2803"/>
      <c r="E152" s="2217"/>
      <c r="F152" s="2217"/>
      <c r="G152" s="2217"/>
      <c r="H152" s="2217"/>
      <c r="I152" s="2217"/>
      <c r="J152" s="2217"/>
      <c r="K152" s="3086">
        <v>4</v>
      </c>
      <c r="L152" s="3137" t="s">
        <v>1086</v>
      </c>
      <c r="M152" s="2217"/>
      <c r="N152" s="2217"/>
      <c r="O152" s="2217"/>
      <c r="P152" s="2217"/>
      <c r="Q152" s="2217"/>
      <c r="R152" s="2217"/>
      <c r="S152" s="2217"/>
      <c r="T152" s="2217"/>
      <c r="U152" s="3086">
        <v>6</v>
      </c>
      <c r="V152" s="3137" t="s">
        <v>1088</v>
      </c>
      <c r="W152" s="2217"/>
      <c r="X152" s="2217"/>
      <c r="Y152" s="2217"/>
      <c r="Z152" s="3086"/>
      <c r="AA152" s="3086">
        <v>8</v>
      </c>
      <c r="AB152" s="3137" t="s">
        <v>2340</v>
      </c>
      <c r="AC152" s="2217"/>
      <c r="AD152" s="2217"/>
      <c r="AE152" s="2217"/>
      <c r="AF152" s="2217"/>
      <c r="AG152" s="7391"/>
      <c r="AH152" s="7392"/>
      <c r="AI152" s="7392"/>
      <c r="AJ152" s="7392"/>
      <c r="AK152" s="7392"/>
      <c r="AL152" s="7392"/>
      <c r="AM152" s="7392"/>
      <c r="AN152" s="7392"/>
      <c r="AO152" s="7392"/>
      <c r="AP152" s="2757"/>
      <c r="AQ152" s="989"/>
      <c r="AR152" s="4017" t="str">
        <f>IF($AR$150,"Attach a statement to your return","")</f>
        <v/>
      </c>
      <c r="AS152" s="989"/>
      <c r="BG152" s="3013"/>
      <c r="BH152" s="2595"/>
      <c r="BI152" s="2595"/>
      <c r="BJ152" s="2595"/>
      <c r="BK152" s="2595"/>
      <c r="BL152" s="2595"/>
      <c r="BM152" s="2595"/>
      <c r="BN152" s="2595"/>
      <c r="BO152" s="2595"/>
      <c r="BP152" s="2595"/>
    </row>
    <row r="153" spans="1:68" ht="14.25" customHeight="1">
      <c r="A153" s="2757"/>
      <c r="B153" s="3092" t="s">
        <v>2342</v>
      </c>
      <c r="C153" s="3090"/>
      <c r="D153" s="3059"/>
      <c r="E153" s="3088"/>
      <c r="F153" s="3088"/>
      <c r="G153" s="3088"/>
      <c r="H153" s="3088"/>
      <c r="I153" s="3089"/>
      <c r="J153" s="3087"/>
      <c r="K153" s="3088"/>
      <c r="L153" s="3088"/>
      <c r="M153" s="3088"/>
      <c r="N153" s="3088"/>
      <c r="O153" s="3088"/>
      <c r="P153" s="3088"/>
      <c r="Q153" s="3088"/>
      <c r="R153" s="3091" t="s">
        <v>2341</v>
      </c>
      <c r="S153" s="3088"/>
      <c r="T153" s="3093"/>
      <c r="U153" s="3089"/>
      <c r="V153" s="7334" t="s">
        <v>143</v>
      </c>
      <c r="W153" s="7387"/>
      <c r="X153" s="7387"/>
      <c r="Y153" s="7387"/>
      <c r="Z153" s="7387"/>
      <c r="AA153" s="7387"/>
      <c r="AB153" s="7387"/>
      <c r="AC153" s="7335"/>
      <c r="AD153" s="7388" t="s">
        <v>288</v>
      </c>
      <c r="AE153" s="7389"/>
      <c r="AF153" s="7389"/>
      <c r="AG153" s="7389"/>
      <c r="AH153" s="7389"/>
      <c r="AI153" s="7390"/>
      <c r="AJ153" s="7388" t="s">
        <v>144</v>
      </c>
      <c r="AK153" s="7389"/>
      <c r="AL153" s="7389"/>
      <c r="AM153" s="7389"/>
      <c r="AN153" s="7389"/>
      <c r="AO153" s="7389"/>
      <c r="AP153" s="2757"/>
      <c r="AR153" s="4017" t="str">
        <f>IF($AR$150,"describing the property.","")</f>
        <v/>
      </c>
      <c r="AZ153" s="42" t="b">
        <f>IF(AND($D$20="",OR($V$27&gt;0,$V$28&gt;0)),TRUE,FALSE)</f>
        <v>0</v>
      </c>
      <c r="BA153" s="42" t="b">
        <f>IF(AND($D$21="",OR($AD$27&gt;0,$AD$28&gt;0)),TRUE,FALSE)</f>
        <v>0</v>
      </c>
      <c r="BB153" s="42" t="b">
        <f>IF(AND($D$22="",OR($AJ$27&gt;0,$AJ$28&gt;0)),TRUE,FALSE)</f>
        <v>0</v>
      </c>
      <c r="BG153" s="3013"/>
      <c r="BH153" s="2595"/>
      <c r="BI153" s="2595"/>
      <c r="BJ153" s="2595"/>
      <c r="BK153" s="2595"/>
      <c r="BL153" s="2595"/>
      <c r="BM153" s="2595"/>
      <c r="BN153" s="2595"/>
      <c r="BO153" s="2595"/>
      <c r="BP153" s="2595"/>
    </row>
    <row r="154" spans="1:68" ht="14.25" customHeight="1">
      <c r="A154" s="2757"/>
      <c r="B154" s="7373">
        <v>3</v>
      </c>
      <c r="C154" s="7374"/>
      <c r="D154" s="3094" t="s">
        <v>747</v>
      </c>
      <c r="E154" s="3088"/>
      <c r="F154" s="3088"/>
      <c r="G154" s="3088"/>
      <c r="H154" s="3088"/>
      <c r="I154" s="3088"/>
      <c r="J154" s="3088"/>
      <c r="K154" s="3088"/>
      <c r="L154" s="3088"/>
      <c r="M154" s="3088"/>
      <c r="N154" s="3088"/>
      <c r="O154" s="3088"/>
      <c r="P154" s="3088"/>
      <c r="Q154" s="3088"/>
      <c r="R154" s="3088"/>
      <c r="S154" s="3488" t="s">
        <v>568</v>
      </c>
      <c r="T154" s="7334">
        <v>3</v>
      </c>
      <c r="U154" s="7335"/>
      <c r="V154" s="7375"/>
      <c r="W154" s="7376"/>
      <c r="X154" s="7376"/>
      <c r="Y154" s="7376"/>
      <c r="Z154" s="7376"/>
      <c r="AA154" s="7376"/>
      <c r="AB154" s="7376"/>
      <c r="AC154" s="7377"/>
      <c r="AD154" s="7375"/>
      <c r="AE154" s="7376"/>
      <c r="AF154" s="7376"/>
      <c r="AG154" s="7376"/>
      <c r="AH154" s="7376"/>
      <c r="AI154" s="7377"/>
      <c r="AJ154" s="7375"/>
      <c r="AK154" s="7376"/>
      <c r="AL154" s="7376"/>
      <c r="AM154" s="7376"/>
      <c r="AN154" s="7376"/>
      <c r="AO154" s="7376"/>
      <c r="AP154" s="2757"/>
      <c r="BG154" s="3013"/>
      <c r="BH154" s="2595"/>
      <c r="BI154" s="2595"/>
      <c r="BJ154" s="2595"/>
      <c r="BK154" s="2595"/>
      <c r="BL154" s="2595"/>
      <c r="BM154" s="2595"/>
      <c r="BN154" s="2595"/>
      <c r="BO154" s="2595"/>
      <c r="BP154" s="2595"/>
    </row>
    <row r="155" spans="1:68" ht="14.25" customHeight="1">
      <c r="A155" s="2757"/>
      <c r="B155" s="7373">
        <v>4</v>
      </c>
      <c r="C155" s="7374"/>
      <c r="D155" s="3094" t="s">
        <v>2343</v>
      </c>
      <c r="E155" s="3088"/>
      <c r="F155" s="3088"/>
      <c r="G155" s="3088"/>
      <c r="H155" s="3088"/>
      <c r="I155" s="3088"/>
      <c r="J155" s="3088"/>
      <c r="K155" s="3088"/>
      <c r="L155" s="3088"/>
      <c r="M155" s="3088"/>
      <c r="N155" s="3088"/>
      <c r="O155" s="3088"/>
      <c r="P155" s="3088"/>
      <c r="Q155" s="3088"/>
      <c r="R155" s="3088"/>
      <c r="S155" s="3488" t="s">
        <v>802</v>
      </c>
      <c r="T155" s="7334">
        <v>4</v>
      </c>
      <c r="U155" s="7335"/>
      <c r="V155" s="7375"/>
      <c r="W155" s="7376"/>
      <c r="X155" s="7376"/>
      <c r="Y155" s="7376"/>
      <c r="Z155" s="7376"/>
      <c r="AA155" s="7376"/>
      <c r="AB155" s="7376"/>
      <c r="AC155" s="7377"/>
      <c r="AD155" s="7375"/>
      <c r="AE155" s="7376"/>
      <c r="AF155" s="7376"/>
      <c r="AG155" s="7376"/>
      <c r="AH155" s="7376"/>
      <c r="AI155" s="7377"/>
      <c r="AJ155" s="7375"/>
      <c r="AK155" s="7376"/>
      <c r="AL155" s="7376"/>
      <c r="AM155" s="7376"/>
      <c r="AN155" s="7376"/>
      <c r="AO155" s="7376"/>
      <c r="AP155" s="2757"/>
      <c r="BG155" s="3013"/>
      <c r="BH155" s="2595"/>
      <c r="BI155" s="2595"/>
      <c r="BJ155" s="2595"/>
      <c r="BK155" s="2595"/>
      <c r="BL155" s="2595"/>
      <c r="BM155" s="2595"/>
      <c r="BN155" s="2595"/>
      <c r="BO155" s="2595"/>
      <c r="BP155" s="2595"/>
    </row>
    <row r="156" spans="1:68" ht="14.25" customHeight="1">
      <c r="A156" s="2757"/>
      <c r="B156" s="3100" t="s">
        <v>665</v>
      </c>
      <c r="C156" s="3096"/>
      <c r="D156" s="3073"/>
      <c r="E156" s="3097"/>
      <c r="F156" s="3140"/>
      <c r="G156" s="3140" t="str">
        <f>IF(OR($AZ$26,$BA$26,$BB$26),"Please enter property type in Line 1b.","")</f>
        <v/>
      </c>
      <c r="H156" s="3097"/>
      <c r="I156" s="3097"/>
      <c r="J156" s="3097"/>
      <c r="K156" s="3097"/>
      <c r="L156" s="3097"/>
      <c r="M156" s="3097"/>
      <c r="N156" s="3097"/>
      <c r="O156" s="3097"/>
      <c r="P156" s="3097"/>
      <c r="Q156" s="3097"/>
      <c r="R156" s="3097"/>
      <c r="S156" s="3097"/>
      <c r="T156" s="3098"/>
      <c r="U156" s="3099"/>
      <c r="V156" s="7378" t="str">
        <f>IF(D147="","",LOOKUP(D147,$AX$17:$AX$24,$AY$17:$AY$24))</f>
        <v/>
      </c>
      <c r="W156" s="7379"/>
      <c r="X156" s="7379"/>
      <c r="Y156" s="7379"/>
      <c r="Z156" s="7379"/>
      <c r="AA156" s="7379"/>
      <c r="AB156" s="7379"/>
      <c r="AC156" s="7155"/>
      <c r="AD156" s="7378" t="str">
        <f>IF(D148="","",LOOKUP(D148,$AX$17:$AX$24,$AY$17:$AY$24))</f>
        <v/>
      </c>
      <c r="AE156" s="7379"/>
      <c r="AF156" s="7379"/>
      <c r="AG156" s="7379"/>
      <c r="AH156" s="7379"/>
      <c r="AI156" s="7155"/>
      <c r="AJ156" s="7378" t="str">
        <f>IF(D149="","",LOOKUP(D149,$AX$17:$AX$24,$AY$17:$AY$24))</f>
        <v/>
      </c>
      <c r="AK156" s="7379"/>
      <c r="AL156" s="7379"/>
      <c r="AM156" s="7379"/>
      <c r="AN156" s="7379"/>
      <c r="AO156" s="7379"/>
      <c r="AP156" s="2757"/>
      <c r="BG156" s="3013"/>
      <c r="BH156" s="2595"/>
      <c r="BI156" s="2595"/>
      <c r="BJ156" s="2595"/>
      <c r="BK156" s="2595"/>
      <c r="BL156" s="2595"/>
      <c r="BM156" s="2595"/>
      <c r="BN156" s="2595"/>
      <c r="BO156" s="2595"/>
      <c r="BP156" s="2595"/>
    </row>
    <row r="157" spans="1:68" ht="14.25" customHeight="1">
      <c r="A157" s="2757"/>
      <c r="B157" s="7333">
        <v>5</v>
      </c>
      <c r="C157" s="7263"/>
      <c r="D157" s="3081" t="s">
        <v>666</v>
      </c>
      <c r="E157" s="2213"/>
      <c r="F157" s="2213"/>
      <c r="G157" s="2213"/>
      <c r="H157" s="2213"/>
      <c r="I157" s="2213"/>
      <c r="J157" s="2213"/>
      <c r="K157" s="2213"/>
      <c r="L157" s="2213"/>
      <c r="M157" s="2213"/>
      <c r="N157" s="2213"/>
      <c r="O157" s="2213"/>
      <c r="P157" s="2213"/>
      <c r="Q157" s="2213"/>
      <c r="R157" s="2213"/>
      <c r="S157" s="3489" t="s">
        <v>453</v>
      </c>
      <c r="T157" s="7350">
        <v>5</v>
      </c>
      <c r="U157" s="7351"/>
      <c r="V157" s="7368"/>
      <c r="W157" s="7368"/>
      <c r="X157" s="7368"/>
      <c r="Y157" s="7368"/>
      <c r="Z157" s="7368"/>
      <c r="AA157" s="7368"/>
      <c r="AB157" s="7368"/>
      <c r="AC157" s="7369"/>
      <c r="AD157" s="7370"/>
      <c r="AE157" s="7368"/>
      <c r="AF157" s="7368"/>
      <c r="AG157" s="7368"/>
      <c r="AH157" s="7368"/>
      <c r="AI157" s="7369"/>
      <c r="AJ157" s="7370"/>
      <c r="AK157" s="7368"/>
      <c r="AL157" s="7368"/>
      <c r="AM157" s="7368"/>
      <c r="AN157" s="7368"/>
      <c r="AO157" s="7368"/>
      <c r="AP157" s="2757"/>
      <c r="BG157" s="3013"/>
      <c r="BH157" s="2595"/>
      <c r="BI157" s="2595"/>
      <c r="BJ157" s="2595"/>
      <c r="BK157" s="2595"/>
      <c r="BL157" s="2595"/>
      <c r="BM157" s="2595"/>
      <c r="BN157" s="2595"/>
      <c r="BO157" s="2595"/>
      <c r="BP157" s="2595"/>
    </row>
    <row r="158" spans="1:68" ht="14.25" customHeight="1">
      <c r="A158" s="2757"/>
      <c r="B158" s="7333">
        <v>6</v>
      </c>
      <c r="C158" s="7263"/>
      <c r="D158" s="3081" t="s">
        <v>685</v>
      </c>
      <c r="E158" s="2213"/>
      <c r="F158" s="2213"/>
      <c r="G158" s="2213"/>
      <c r="H158" s="2213"/>
      <c r="I158" s="2213"/>
      <c r="J158" s="2213"/>
      <c r="K158" s="2213"/>
      <c r="L158" s="2213"/>
      <c r="M158" s="2213"/>
      <c r="N158" s="2213"/>
      <c r="O158" s="2213"/>
      <c r="P158" s="2213"/>
      <c r="Q158" s="2213"/>
      <c r="R158" s="2213"/>
      <c r="S158" s="3489" t="s">
        <v>560</v>
      </c>
      <c r="T158" s="7350">
        <v>6</v>
      </c>
      <c r="U158" s="7351"/>
      <c r="V158" s="7368"/>
      <c r="W158" s="7368"/>
      <c r="X158" s="7368"/>
      <c r="Y158" s="7368"/>
      <c r="Z158" s="7368"/>
      <c r="AA158" s="7368"/>
      <c r="AB158" s="7368"/>
      <c r="AC158" s="7369"/>
      <c r="AD158" s="7370"/>
      <c r="AE158" s="7368"/>
      <c r="AF158" s="7368"/>
      <c r="AG158" s="7368"/>
      <c r="AH158" s="7368"/>
      <c r="AI158" s="7369"/>
      <c r="AJ158" s="7370"/>
      <c r="AK158" s="7368"/>
      <c r="AL158" s="7368"/>
      <c r="AM158" s="7368"/>
      <c r="AN158" s="7368"/>
      <c r="AO158" s="7368"/>
      <c r="AP158" s="2757"/>
      <c r="BG158" s="3013"/>
      <c r="BH158" s="2595"/>
      <c r="BI158" s="2595"/>
      <c r="BJ158" s="2595"/>
      <c r="BK158" s="2595"/>
      <c r="BL158" s="2595"/>
      <c r="BM158" s="2595"/>
      <c r="BN158" s="2595"/>
      <c r="BO158" s="2595"/>
      <c r="BP158" s="2595"/>
    </row>
    <row r="159" spans="1:68" ht="14.25" customHeight="1">
      <c r="A159" s="2757"/>
      <c r="B159" s="7333">
        <v>7</v>
      </c>
      <c r="C159" s="7263"/>
      <c r="D159" s="3081" t="s">
        <v>667</v>
      </c>
      <c r="E159" s="2213"/>
      <c r="F159" s="2213"/>
      <c r="G159" s="2213"/>
      <c r="H159" s="2213"/>
      <c r="I159" s="2213"/>
      <c r="J159" s="2213"/>
      <c r="K159" s="2213"/>
      <c r="L159" s="2213"/>
      <c r="M159" s="2213"/>
      <c r="N159" s="2213"/>
      <c r="O159" s="2213"/>
      <c r="P159" s="2213"/>
      <c r="Q159" s="2213"/>
      <c r="R159" s="2213"/>
      <c r="S159" s="3489" t="s">
        <v>571</v>
      </c>
      <c r="T159" s="7350">
        <v>7</v>
      </c>
      <c r="U159" s="7351"/>
      <c r="V159" s="7368"/>
      <c r="W159" s="7368"/>
      <c r="X159" s="7368"/>
      <c r="Y159" s="7368"/>
      <c r="Z159" s="7368"/>
      <c r="AA159" s="7368"/>
      <c r="AB159" s="7368"/>
      <c r="AC159" s="7369"/>
      <c r="AD159" s="7370"/>
      <c r="AE159" s="7368"/>
      <c r="AF159" s="7368"/>
      <c r="AG159" s="7368"/>
      <c r="AH159" s="7368"/>
      <c r="AI159" s="7369"/>
      <c r="AJ159" s="7370"/>
      <c r="AK159" s="7368"/>
      <c r="AL159" s="7368"/>
      <c r="AM159" s="7368"/>
      <c r="AN159" s="7368"/>
      <c r="AO159" s="7368"/>
      <c r="AP159" s="2757"/>
      <c r="BG159" s="3013"/>
      <c r="BH159" s="2595"/>
      <c r="BI159" s="2595"/>
      <c r="BJ159" s="2595"/>
      <c r="BK159" s="2595"/>
      <c r="BL159" s="2595"/>
      <c r="BM159" s="2595"/>
      <c r="BN159" s="2595"/>
      <c r="BO159" s="2595"/>
      <c r="BP159" s="2595"/>
    </row>
    <row r="160" spans="1:68" ht="14.25" customHeight="1">
      <c r="A160" s="2757"/>
      <c r="B160" s="7333">
        <v>8</v>
      </c>
      <c r="C160" s="7263"/>
      <c r="D160" s="3081" t="s">
        <v>668</v>
      </c>
      <c r="E160" s="2213"/>
      <c r="F160" s="2213"/>
      <c r="G160" s="2213"/>
      <c r="H160" s="2213"/>
      <c r="I160" s="2213"/>
      <c r="J160" s="2213"/>
      <c r="K160" s="2213"/>
      <c r="L160" s="2213"/>
      <c r="M160" s="2213"/>
      <c r="N160" s="2213"/>
      <c r="O160" s="2213"/>
      <c r="P160" s="2213"/>
      <c r="Q160" s="2213"/>
      <c r="R160" s="2213"/>
      <c r="S160" s="3489" t="s">
        <v>374</v>
      </c>
      <c r="T160" s="7350">
        <v>8</v>
      </c>
      <c r="U160" s="7351"/>
      <c r="V160" s="7368"/>
      <c r="W160" s="7368"/>
      <c r="X160" s="7368"/>
      <c r="Y160" s="7368"/>
      <c r="Z160" s="7368"/>
      <c r="AA160" s="7368"/>
      <c r="AB160" s="7368"/>
      <c r="AC160" s="7369"/>
      <c r="AD160" s="7370"/>
      <c r="AE160" s="7368"/>
      <c r="AF160" s="7368"/>
      <c r="AG160" s="7368"/>
      <c r="AH160" s="7368"/>
      <c r="AI160" s="7369"/>
      <c r="AJ160" s="7370"/>
      <c r="AK160" s="7368"/>
      <c r="AL160" s="7368"/>
      <c r="AM160" s="7368"/>
      <c r="AN160" s="7368"/>
      <c r="AO160" s="7368"/>
      <c r="AP160" s="2757"/>
      <c r="BG160" s="3013"/>
      <c r="BH160" s="2595"/>
      <c r="BI160" s="2595"/>
      <c r="BJ160" s="2595"/>
      <c r="BK160" s="2595"/>
      <c r="BL160" s="2595"/>
      <c r="BM160" s="2595"/>
      <c r="BN160" s="2595"/>
      <c r="BO160" s="2595"/>
      <c r="BP160" s="2595"/>
    </row>
    <row r="161" spans="1:68" ht="14.25" customHeight="1">
      <c r="A161" s="2757"/>
      <c r="B161" s="7333">
        <v>9</v>
      </c>
      <c r="C161" s="7263"/>
      <c r="D161" s="3081" t="s">
        <v>669</v>
      </c>
      <c r="E161" s="2213"/>
      <c r="F161" s="2213"/>
      <c r="G161" s="2213"/>
      <c r="H161" s="2213"/>
      <c r="I161" s="2213"/>
      <c r="J161" s="2213"/>
      <c r="K161" s="2213"/>
      <c r="L161" s="2213"/>
      <c r="M161" s="2213"/>
      <c r="N161" s="2213"/>
      <c r="O161" s="2213"/>
      <c r="P161" s="2213"/>
      <c r="Q161" s="2213"/>
      <c r="R161" s="2213"/>
      <c r="S161" s="3489" t="s">
        <v>567</v>
      </c>
      <c r="T161" s="7350">
        <v>9</v>
      </c>
      <c r="U161" s="7351"/>
      <c r="V161" s="7368"/>
      <c r="W161" s="7368"/>
      <c r="X161" s="7368"/>
      <c r="Y161" s="7368"/>
      <c r="Z161" s="7368"/>
      <c r="AA161" s="7368"/>
      <c r="AB161" s="7368"/>
      <c r="AC161" s="7369"/>
      <c r="AD161" s="7370"/>
      <c r="AE161" s="7368"/>
      <c r="AF161" s="7368"/>
      <c r="AG161" s="7368"/>
      <c r="AH161" s="7368"/>
      <c r="AI161" s="7369"/>
      <c r="AJ161" s="7370"/>
      <c r="AK161" s="7368"/>
      <c r="AL161" s="7368"/>
      <c r="AM161" s="7368"/>
      <c r="AN161" s="7368"/>
      <c r="AO161" s="7368"/>
      <c r="AP161" s="2757"/>
      <c r="BG161" s="3013"/>
      <c r="BH161" s="2595"/>
      <c r="BI161" s="2595"/>
      <c r="BJ161" s="2595"/>
      <c r="BK161" s="2595"/>
      <c r="BL161" s="2595"/>
      <c r="BM161" s="2595"/>
      <c r="BN161" s="2595"/>
      <c r="BO161" s="2595"/>
      <c r="BP161" s="2595"/>
    </row>
    <row r="162" spans="1:68" ht="14.25" customHeight="1">
      <c r="A162" s="2757"/>
      <c r="B162" s="7333">
        <v>10</v>
      </c>
      <c r="C162" s="7263"/>
      <c r="D162" s="3081" t="s">
        <v>670</v>
      </c>
      <c r="E162" s="2213"/>
      <c r="F162" s="2213"/>
      <c r="G162" s="2213"/>
      <c r="H162" s="2213"/>
      <c r="I162" s="2213"/>
      <c r="J162" s="2213"/>
      <c r="K162" s="2213"/>
      <c r="L162" s="2213"/>
      <c r="M162" s="2213"/>
      <c r="N162" s="2213"/>
      <c r="O162" s="2213"/>
      <c r="P162" s="2213"/>
      <c r="Q162" s="2213"/>
      <c r="R162" s="2213"/>
      <c r="S162" s="3489" t="s">
        <v>629</v>
      </c>
      <c r="T162" s="7350">
        <v>10</v>
      </c>
      <c r="U162" s="7351"/>
      <c r="V162" s="7368"/>
      <c r="W162" s="7368"/>
      <c r="X162" s="7368"/>
      <c r="Y162" s="7368"/>
      <c r="Z162" s="7368"/>
      <c r="AA162" s="7368"/>
      <c r="AB162" s="7368"/>
      <c r="AC162" s="7369"/>
      <c r="AD162" s="7370"/>
      <c r="AE162" s="7368"/>
      <c r="AF162" s="7368"/>
      <c r="AG162" s="7368"/>
      <c r="AH162" s="7368"/>
      <c r="AI162" s="7369"/>
      <c r="AJ162" s="7370"/>
      <c r="AK162" s="7368"/>
      <c r="AL162" s="7368"/>
      <c r="AM162" s="7368"/>
      <c r="AN162" s="7368"/>
      <c r="AO162" s="7368"/>
      <c r="AP162" s="2757"/>
      <c r="BG162" s="3013"/>
      <c r="BH162" s="2595"/>
      <c r="BI162" s="2595"/>
      <c r="BJ162" s="2595"/>
      <c r="BK162" s="2595"/>
      <c r="BL162" s="2595"/>
      <c r="BM162" s="2595"/>
      <c r="BN162" s="2595"/>
      <c r="BO162" s="2595"/>
      <c r="BP162" s="2595"/>
    </row>
    <row r="163" spans="1:68" ht="14.25" customHeight="1">
      <c r="A163" s="2757"/>
      <c r="B163" s="7333">
        <v>11</v>
      </c>
      <c r="C163" s="7263"/>
      <c r="D163" s="3081" t="s">
        <v>671</v>
      </c>
      <c r="E163" s="2213"/>
      <c r="F163" s="2213"/>
      <c r="G163" s="2213"/>
      <c r="H163" s="2213"/>
      <c r="I163" s="2213"/>
      <c r="J163" s="2213"/>
      <c r="K163" s="2213"/>
      <c r="L163" s="2213"/>
      <c r="M163" s="2213"/>
      <c r="N163" s="2213"/>
      <c r="O163" s="2213"/>
      <c r="P163" s="2213"/>
      <c r="Q163" s="2213"/>
      <c r="R163" s="2213"/>
      <c r="S163" s="3489" t="s">
        <v>802</v>
      </c>
      <c r="T163" s="7350">
        <v>11</v>
      </c>
      <c r="U163" s="7351"/>
      <c r="V163" s="7368"/>
      <c r="W163" s="7368"/>
      <c r="X163" s="7368"/>
      <c r="Y163" s="7368"/>
      <c r="Z163" s="7368"/>
      <c r="AA163" s="7368"/>
      <c r="AB163" s="7368"/>
      <c r="AC163" s="7369"/>
      <c r="AD163" s="7370"/>
      <c r="AE163" s="7368"/>
      <c r="AF163" s="7368"/>
      <c r="AG163" s="7368"/>
      <c r="AH163" s="7368"/>
      <c r="AI163" s="7369"/>
      <c r="AJ163" s="7370"/>
      <c r="AK163" s="7368"/>
      <c r="AL163" s="7368"/>
      <c r="AM163" s="7368"/>
      <c r="AN163" s="7368"/>
      <c r="AO163" s="7368"/>
      <c r="AP163" s="2757"/>
      <c r="BG163" s="3013"/>
      <c r="BH163" s="2595"/>
      <c r="BI163" s="2595"/>
      <c r="BJ163" s="2595"/>
      <c r="BK163" s="2595"/>
      <c r="BL163" s="2595"/>
      <c r="BM163" s="2595"/>
      <c r="BN163" s="2595"/>
      <c r="BO163" s="2595"/>
      <c r="BP163" s="2595"/>
    </row>
    <row r="164" spans="1:68" ht="14.25" customHeight="1">
      <c r="A164" s="2757"/>
      <c r="B164" s="7333">
        <v>12</v>
      </c>
      <c r="C164" s="7263"/>
      <c r="D164" s="3081" t="s">
        <v>686</v>
      </c>
      <c r="E164" s="2213"/>
      <c r="F164" s="2213"/>
      <c r="G164" s="2213"/>
      <c r="H164" s="2213"/>
      <c r="I164" s="2213"/>
      <c r="J164" s="2213"/>
      <c r="K164" s="2213"/>
      <c r="L164" s="2213"/>
      <c r="M164" s="2213"/>
      <c r="N164" s="2213"/>
      <c r="O164" s="2213"/>
      <c r="P164" s="2213"/>
      <c r="Q164" s="2213"/>
      <c r="R164" s="2213"/>
      <c r="S164" s="2951"/>
      <c r="T164" s="7350">
        <v>12</v>
      </c>
      <c r="U164" s="7351"/>
      <c r="V164" s="7368"/>
      <c r="W164" s="7368"/>
      <c r="X164" s="7368"/>
      <c r="Y164" s="7368"/>
      <c r="Z164" s="7368"/>
      <c r="AA164" s="7368"/>
      <c r="AB164" s="7368"/>
      <c r="AC164" s="7369"/>
      <c r="AD164" s="7370"/>
      <c r="AE164" s="7368"/>
      <c r="AF164" s="7368"/>
      <c r="AG164" s="7368"/>
      <c r="AH164" s="7368"/>
      <c r="AI164" s="7369"/>
      <c r="AJ164" s="7370"/>
      <c r="AK164" s="7368"/>
      <c r="AL164" s="7368"/>
      <c r="AM164" s="7368"/>
      <c r="AN164" s="7368"/>
      <c r="AO164" s="7368"/>
      <c r="AP164" s="2757"/>
      <c r="BG164" s="3013"/>
      <c r="BH164" s="2595"/>
      <c r="BI164" s="2595"/>
      <c r="BJ164" s="2595"/>
      <c r="BK164" s="2595"/>
      <c r="BL164" s="2595"/>
      <c r="BM164" s="2595"/>
      <c r="BN164" s="2595"/>
      <c r="BO164" s="2595"/>
      <c r="BP164" s="2595"/>
    </row>
    <row r="165" spans="1:68" ht="14.25" customHeight="1">
      <c r="A165" s="2757"/>
      <c r="B165" s="7333">
        <v>13</v>
      </c>
      <c r="C165" s="7263"/>
      <c r="D165" s="3081" t="s">
        <v>2754</v>
      </c>
      <c r="E165" s="2213"/>
      <c r="F165" s="2213"/>
      <c r="G165" s="2213"/>
      <c r="H165" s="2213"/>
      <c r="I165" s="2213"/>
      <c r="J165" s="2213"/>
      <c r="K165" s="2213"/>
      <c r="L165" s="2213"/>
      <c r="M165" s="2213"/>
      <c r="N165" s="2213"/>
      <c r="O165" s="2213"/>
      <c r="P165" s="2213"/>
      <c r="Q165" s="2213"/>
      <c r="R165" s="2213"/>
      <c r="S165" s="3489" t="s">
        <v>374</v>
      </c>
      <c r="T165" s="7350">
        <v>13</v>
      </c>
      <c r="U165" s="7351"/>
      <c r="V165" s="7368"/>
      <c r="W165" s="7368"/>
      <c r="X165" s="7368"/>
      <c r="Y165" s="7368"/>
      <c r="Z165" s="7368"/>
      <c r="AA165" s="7368"/>
      <c r="AB165" s="7368"/>
      <c r="AC165" s="7369"/>
      <c r="AD165" s="7370"/>
      <c r="AE165" s="7368"/>
      <c r="AF165" s="7368"/>
      <c r="AG165" s="7368"/>
      <c r="AH165" s="7368"/>
      <c r="AI165" s="7369"/>
      <c r="AJ165" s="7370"/>
      <c r="AK165" s="7368"/>
      <c r="AL165" s="7368"/>
      <c r="AM165" s="7368"/>
      <c r="AN165" s="7368"/>
      <c r="AO165" s="7368"/>
      <c r="AP165" s="2757"/>
      <c r="BG165" s="3013"/>
      <c r="BH165" s="2595"/>
      <c r="BI165" s="2595"/>
      <c r="BJ165" s="2595"/>
      <c r="BK165" s="2595"/>
      <c r="BL165" s="2595"/>
      <c r="BM165" s="2595"/>
      <c r="BN165" s="2595"/>
      <c r="BO165" s="2595"/>
      <c r="BP165" s="2595"/>
    </row>
    <row r="166" spans="1:68" ht="14.25" customHeight="1">
      <c r="A166" s="2757"/>
      <c r="B166" s="7333">
        <v>14</v>
      </c>
      <c r="C166" s="7263"/>
      <c r="D166" s="3081" t="s">
        <v>672</v>
      </c>
      <c r="E166" s="2213"/>
      <c r="F166" s="2213"/>
      <c r="G166" s="2213"/>
      <c r="H166" s="2213"/>
      <c r="I166" s="2213"/>
      <c r="J166" s="2213"/>
      <c r="K166" s="2213"/>
      <c r="L166" s="2213"/>
      <c r="M166" s="2213"/>
      <c r="N166" s="2213"/>
      <c r="O166" s="2213"/>
      <c r="P166" s="2213"/>
      <c r="Q166" s="2213"/>
      <c r="R166" s="2213"/>
      <c r="S166" s="3489" t="s">
        <v>567</v>
      </c>
      <c r="T166" s="7350">
        <v>14</v>
      </c>
      <c r="U166" s="7351"/>
      <c r="V166" s="7368"/>
      <c r="W166" s="7368"/>
      <c r="X166" s="7368"/>
      <c r="Y166" s="7368"/>
      <c r="Z166" s="7368"/>
      <c r="AA166" s="7368"/>
      <c r="AB166" s="7368"/>
      <c r="AC166" s="7369"/>
      <c r="AD166" s="7370"/>
      <c r="AE166" s="7368"/>
      <c r="AF166" s="7368"/>
      <c r="AG166" s="7368"/>
      <c r="AH166" s="7368"/>
      <c r="AI166" s="7369"/>
      <c r="AJ166" s="7370"/>
      <c r="AK166" s="7368"/>
      <c r="AL166" s="7368"/>
      <c r="AM166" s="7368"/>
      <c r="AN166" s="7368"/>
      <c r="AO166" s="7368"/>
      <c r="AP166" s="2757"/>
      <c r="BG166" s="3013"/>
      <c r="BH166" s="2595"/>
      <c r="BI166" s="2595"/>
      <c r="BJ166" s="2595"/>
      <c r="BK166" s="2595"/>
      <c r="BL166" s="2595"/>
      <c r="BM166" s="2595"/>
      <c r="BN166" s="2595"/>
      <c r="BO166" s="2595"/>
      <c r="BP166" s="2595"/>
    </row>
    <row r="167" spans="1:68" ht="14.25" customHeight="1">
      <c r="A167" s="2757"/>
      <c r="B167" s="7333">
        <v>15</v>
      </c>
      <c r="C167" s="7263"/>
      <c r="D167" s="3081" t="s">
        <v>673</v>
      </c>
      <c r="E167" s="2213"/>
      <c r="F167" s="2213"/>
      <c r="G167" s="2213"/>
      <c r="H167" s="2213"/>
      <c r="I167" s="2213"/>
      <c r="J167" s="2213"/>
      <c r="K167" s="2213"/>
      <c r="L167" s="2213"/>
      <c r="M167" s="2213"/>
      <c r="N167" s="2213"/>
      <c r="O167" s="2213"/>
      <c r="P167" s="2213"/>
      <c r="Q167" s="2213"/>
      <c r="R167" s="2213"/>
      <c r="S167" s="3489" t="s">
        <v>567</v>
      </c>
      <c r="T167" s="7350">
        <v>15</v>
      </c>
      <c r="U167" s="7351"/>
      <c r="V167" s="7368"/>
      <c r="W167" s="7368"/>
      <c r="X167" s="7368"/>
      <c r="Y167" s="7368"/>
      <c r="Z167" s="7368"/>
      <c r="AA167" s="7368"/>
      <c r="AB167" s="7368"/>
      <c r="AC167" s="7369"/>
      <c r="AD167" s="7370"/>
      <c r="AE167" s="7368"/>
      <c r="AF167" s="7368"/>
      <c r="AG167" s="7368"/>
      <c r="AH167" s="7368"/>
      <c r="AI167" s="7369"/>
      <c r="AJ167" s="7370"/>
      <c r="AK167" s="7368"/>
      <c r="AL167" s="7368"/>
      <c r="AM167" s="7368"/>
      <c r="AN167" s="7368"/>
      <c r="AO167" s="7368"/>
      <c r="AP167" s="2757"/>
      <c r="BG167" s="3013"/>
      <c r="BH167" s="2595"/>
      <c r="BI167" s="2595"/>
      <c r="BJ167" s="2595"/>
      <c r="BK167" s="2595"/>
      <c r="BL167" s="2595"/>
      <c r="BM167" s="2595"/>
      <c r="BN167" s="2595"/>
      <c r="BO167" s="2595"/>
      <c r="BP167" s="2595"/>
    </row>
    <row r="168" spans="1:68" ht="14.25" customHeight="1">
      <c r="A168" s="2757"/>
      <c r="B168" s="7333">
        <v>16</v>
      </c>
      <c r="C168" s="7263"/>
      <c r="D168" s="3081" t="s">
        <v>674</v>
      </c>
      <c r="E168" s="2213"/>
      <c r="F168" s="2213"/>
      <c r="G168" s="2213"/>
      <c r="H168" s="2213"/>
      <c r="I168" s="2213"/>
      <c r="J168" s="2213"/>
      <c r="K168" s="2213"/>
      <c r="L168" s="2213"/>
      <c r="M168" s="2213"/>
      <c r="N168" s="2213"/>
      <c r="O168" s="2213"/>
      <c r="P168" s="2213"/>
      <c r="Q168" s="2213"/>
      <c r="R168" s="2213"/>
      <c r="S168" s="3489" t="s">
        <v>2126</v>
      </c>
      <c r="T168" s="7350">
        <v>16</v>
      </c>
      <c r="U168" s="7351"/>
      <c r="V168" s="7368"/>
      <c r="W168" s="7368"/>
      <c r="X168" s="7368"/>
      <c r="Y168" s="7368"/>
      <c r="Z168" s="7368"/>
      <c r="AA168" s="7368"/>
      <c r="AB168" s="7368"/>
      <c r="AC168" s="7369"/>
      <c r="AD168" s="7370"/>
      <c r="AE168" s="7368"/>
      <c r="AF168" s="7368"/>
      <c r="AG168" s="7368"/>
      <c r="AH168" s="7368"/>
      <c r="AI168" s="7369"/>
      <c r="AJ168" s="7370"/>
      <c r="AK168" s="7368"/>
      <c r="AL168" s="7368"/>
      <c r="AM168" s="7368"/>
      <c r="AN168" s="7368"/>
      <c r="AO168" s="7368"/>
      <c r="AP168" s="2757"/>
      <c r="BG168" s="3013"/>
      <c r="BH168" s="2595"/>
      <c r="BI168" s="2595"/>
      <c r="BJ168" s="2595"/>
      <c r="BK168" s="2595"/>
      <c r="BL168" s="2595"/>
      <c r="BM168" s="2595"/>
      <c r="BN168" s="2595"/>
      <c r="BO168" s="2595"/>
      <c r="BP168" s="2595"/>
    </row>
    <row r="169" spans="1:68" ht="14.25" customHeight="1">
      <c r="A169" s="2757"/>
      <c r="B169" s="7333">
        <v>17</v>
      </c>
      <c r="C169" s="7263"/>
      <c r="D169" s="3081" t="s">
        <v>675</v>
      </c>
      <c r="E169" s="2213"/>
      <c r="F169" s="2213"/>
      <c r="G169" s="2213"/>
      <c r="H169" s="2213"/>
      <c r="I169" s="2213"/>
      <c r="J169" s="2213"/>
      <c r="K169" s="2213"/>
      <c r="L169" s="2213"/>
      <c r="M169" s="2213"/>
      <c r="N169" s="2213"/>
      <c r="O169" s="2213"/>
      <c r="P169" s="2213"/>
      <c r="Q169" s="2213"/>
      <c r="R169" s="2213"/>
      <c r="S169" s="3489" t="s">
        <v>2126</v>
      </c>
      <c r="T169" s="7350">
        <v>17</v>
      </c>
      <c r="U169" s="7351"/>
      <c r="V169" s="7368"/>
      <c r="W169" s="7368"/>
      <c r="X169" s="7368"/>
      <c r="Y169" s="7368"/>
      <c r="Z169" s="7368"/>
      <c r="AA169" s="7368"/>
      <c r="AB169" s="7368"/>
      <c r="AC169" s="7369"/>
      <c r="AD169" s="7370"/>
      <c r="AE169" s="7368"/>
      <c r="AF169" s="7368"/>
      <c r="AG169" s="7368"/>
      <c r="AH169" s="7368"/>
      <c r="AI169" s="7369"/>
      <c r="AJ169" s="7370"/>
      <c r="AK169" s="7368"/>
      <c r="AL169" s="7368"/>
      <c r="AM169" s="7368"/>
      <c r="AN169" s="7368"/>
      <c r="AO169" s="7368"/>
      <c r="AP169" s="2757"/>
      <c r="AQ169" s="385"/>
      <c r="AR169" s="385"/>
      <c r="AS169" s="385"/>
      <c r="AT169" s="385"/>
      <c r="AU169" s="385"/>
      <c r="BG169" s="3013"/>
      <c r="BH169" s="2595"/>
      <c r="BI169" s="2595"/>
      <c r="BJ169" s="2595"/>
      <c r="BK169" s="2595"/>
      <c r="BL169" s="2595"/>
      <c r="BM169" s="2595"/>
      <c r="BN169" s="2595"/>
      <c r="BO169" s="2595"/>
      <c r="BP169" s="2595"/>
    </row>
    <row r="170" spans="1:68" ht="14.25" customHeight="1">
      <c r="A170" s="2757"/>
      <c r="B170" s="7333">
        <v>18</v>
      </c>
      <c r="C170" s="7263"/>
      <c r="D170" s="3081" t="s">
        <v>676</v>
      </c>
      <c r="E170" s="2213"/>
      <c r="F170" s="2213"/>
      <c r="G170" s="2213"/>
      <c r="H170" s="2213"/>
      <c r="I170" s="2213"/>
      <c r="J170" s="2213"/>
      <c r="K170" s="2213"/>
      <c r="L170" s="2213"/>
      <c r="M170" s="2213"/>
      <c r="N170" s="2213"/>
      <c r="O170" s="2213"/>
      <c r="P170" s="2213"/>
      <c r="Q170" s="2213"/>
      <c r="R170" s="2213"/>
      <c r="S170" s="3489" t="s">
        <v>629</v>
      </c>
      <c r="T170" s="7350">
        <v>18</v>
      </c>
      <c r="U170" s="7351"/>
      <c r="V170" s="7368"/>
      <c r="W170" s="7368"/>
      <c r="X170" s="7368"/>
      <c r="Y170" s="7368"/>
      <c r="Z170" s="7368"/>
      <c r="AA170" s="7368"/>
      <c r="AB170" s="7368"/>
      <c r="AC170" s="7369"/>
      <c r="AD170" s="7370"/>
      <c r="AE170" s="7368"/>
      <c r="AF170" s="7368"/>
      <c r="AG170" s="7368"/>
      <c r="AH170" s="7368"/>
      <c r="AI170" s="7369"/>
      <c r="AJ170" s="7370"/>
      <c r="AK170" s="7368"/>
      <c r="AL170" s="7368"/>
      <c r="AM170" s="7368"/>
      <c r="AN170" s="7368"/>
      <c r="AO170" s="7368"/>
      <c r="AP170" s="2757"/>
      <c r="AQ170" s="385"/>
      <c r="AR170" s="7191" t="s">
        <v>1842</v>
      </c>
      <c r="AS170" s="7371"/>
      <c r="AT170" s="7371"/>
      <c r="AU170" s="385"/>
      <c r="BG170" s="3013"/>
      <c r="BH170" s="2595"/>
      <c r="BI170" s="2595"/>
      <c r="BJ170" s="2595"/>
      <c r="BK170" s="2595"/>
      <c r="BL170" s="2595"/>
      <c r="BM170" s="2595"/>
      <c r="BN170" s="2595"/>
      <c r="BO170" s="2595"/>
      <c r="BP170" s="2595"/>
    </row>
    <row r="171" spans="1:68" ht="14.25" customHeight="1">
      <c r="A171" s="2757"/>
      <c r="B171" s="7333">
        <v>19</v>
      </c>
      <c r="C171" s="7263"/>
      <c r="D171" s="3081" t="s">
        <v>2344</v>
      </c>
      <c r="E171" s="2213"/>
      <c r="F171" s="2213"/>
      <c r="G171" s="2213"/>
      <c r="H171" s="7372"/>
      <c r="I171" s="7372"/>
      <c r="J171" s="7372"/>
      <c r="K171" s="7372"/>
      <c r="L171" s="7372"/>
      <c r="M171" s="7372"/>
      <c r="N171" s="7372"/>
      <c r="O171" s="7372"/>
      <c r="P171" s="7372"/>
      <c r="Q171" s="7372"/>
      <c r="R171" s="7372"/>
      <c r="S171" s="2951"/>
      <c r="T171" s="7350">
        <v>19</v>
      </c>
      <c r="U171" s="7351"/>
      <c r="V171" s="7368"/>
      <c r="W171" s="7368"/>
      <c r="X171" s="7368"/>
      <c r="Y171" s="7368"/>
      <c r="Z171" s="7368"/>
      <c r="AA171" s="7368"/>
      <c r="AB171" s="7368"/>
      <c r="AC171" s="7369"/>
      <c r="AD171" s="7370"/>
      <c r="AE171" s="7368"/>
      <c r="AF171" s="7368"/>
      <c r="AG171" s="7368"/>
      <c r="AH171" s="7368"/>
      <c r="AI171" s="7369"/>
      <c r="AJ171" s="7370"/>
      <c r="AK171" s="7368"/>
      <c r="AL171" s="7368"/>
      <c r="AM171" s="7368"/>
      <c r="AN171" s="7368"/>
      <c r="AO171" s="7368"/>
      <c r="AP171" s="2757"/>
      <c r="AQ171" s="385"/>
      <c r="AR171" s="385"/>
      <c r="AS171" s="385"/>
      <c r="AT171" s="385"/>
      <c r="AU171" s="385"/>
      <c r="BG171" s="3013"/>
      <c r="BH171" s="2595"/>
      <c r="BI171" s="2595"/>
      <c r="BJ171" s="2595"/>
      <c r="BK171" s="2595"/>
      <c r="BL171" s="2595"/>
      <c r="BM171" s="2595"/>
      <c r="BN171" s="2595"/>
      <c r="BO171" s="2595"/>
      <c r="BP171" s="2595"/>
    </row>
    <row r="172" spans="1:68" ht="14.25" customHeight="1">
      <c r="A172" s="2757"/>
      <c r="B172" s="7333">
        <v>20</v>
      </c>
      <c r="C172" s="7263"/>
      <c r="D172" s="3081" t="s">
        <v>687</v>
      </c>
      <c r="E172" s="2213"/>
      <c r="F172" s="2213"/>
      <c r="G172" s="2213"/>
      <c r="H172" s="2213"/>
      <c r="I172" s="2213"/>
      <c r="J172" s="2213"/>
      <c r="K172" s="2213"/>
      <c r="L172" s="2213"/>
      <c r="M172" s="2213"/>
      <c r="N172" s="2213"/>
      <c r="O172" s="2213"/>
      <c r="P172" s="2213"/>
      <c r="Q172" s="2213"/>
      <c r="R172" s="2213"/>
      <c r="S172" s="3489" t="s">
        <v>573</v>
      </c>
      <c r="T172" s="7350">
        <v>20</v>
      </c>
      <c r="U172" s="7351"/>
      <c r="V172" s="7348">
        <f>IF(AR172&lt;&gt;"",ROUND(AR172,0),ROUND(SUM(V157:AC171),0))</f>
        <v>0</v>
      </c>
      <c r="W172" s="7348"/>
      <c r="X172" s="7348"/>
      <c r="Y172" s="7348"/>
      <c r="Z172" s="7348"/>
      <c r="AA172" s="7348"/>
      <c r="AB172" s="7348"/>
      <c r="AC172" s="7349"/>
      <c r="AD172" s="7347">
        <f>IF(AS172&lt;&gt;"",ROUND(AS172,0),ROUND(SUM(AD157:AI171),0))</f>
        <v>0</v>
      </c>
      <c r="AE172" s="7348"/>
      <c r="AF172" s="7348"/>
      <c r="AG172" s="7348"/>
      <c r="AH172" s="7348"/>
      <c r="AI172" s="7349"/>
      <c r="AJ172" s="7362">
        <f>IF(AT172&lt;&gt;"",ROUND(AT172,0),ROUND(SUM(AJ157:AO171),0))</f>
        <v>0</v>
      </c>
      <c r="AK172" s="7336"/>
      <c r="AL172" s="7336"/>
      <c r="AM172" s="7336"/>
      <c r="AN172" s="7336"/>
      <c r="AO172" s="7336"/>
      <c r="AP172" s="2757"/>
      <c r="AQ172" s="385"/>
      <c r="AR172" s="3148"/>
      <c r="AS172" s="3148"/>
      <c r="AT172" s="3148"/>
      <c r="AU172" s="385"/>
      <c r="BG172" s="3013"/>
      <c r="BH172" s="2595"/>
      <c r="BI172" s="2595"/>
      <c r="BJ172" s="2595"/>
      <c r="BK172" s="2595"/>
      <c r="BL172" s="2595"/>
      <c r="BM172" s="2595"/>
      <c r="BN172" s="2595"/>
      <c r="BO172" s="2595"/>
      <c r="BP172" s="2595"/>
    </row>
    <row r="173" spans="1:68" ht="14.25" customHeight="1">
      <c r="A173" s="2757"/>
      <c r="B173" s="7333">
        <v>21</v>
      </c>
      <c r="C173" s="7263"/>
      <c r="D173" s="3081" t="s">
        <v>2758</v>
      </c>
      <c r="E173" s="2213"/>
      <c r="F173" s="2213"/>
      <c r="G173" s="2213"/>
      <c r="H173" s="2213"/>
      <c r="I173" s="2213"/>
      <c r="J173" s="2213"/>
      <c r="K173" s="2213"/>
      <c r="L173" s="2213"/>
      <c r="M173" s="2213"/>
      <c r="N173" s="2213"/>
      <c r="O173" s="2213"/>
      <c r="P173" s="2213"/>
      <c r="Q173" s="2213"/>
      <c r="R173" s="2213"/>
      <c r="S173" s="2951"/>
      <c r="T173" s="7363"/>
      <c r="U173" s="7364"/>
      <c r="V173" s="7365"/>
      <c r="W173" s="7366"/>
      <c r="X173" s="7366"/>
      <c r="Y173" s="7366"/>
      <c r="Z173" s="7366"/>
      <c r="AA173" s="7366"/>
      <c r="AB173" s="7366"/>
      <c r="AC173" s="7367"/>
      <c r="AD173" s="7365"/>
      <c r="AE173" s="7366"/>
      <c r="AF173" s="7366"/>
      <c r="AG173" s="7366"/>
      <c r="AH173" s="7366"/>
      <c r="AI173" s="7367"/>
      <c r="AJ173" s="7365"/>
      <c r="AK173" s="7366"/>
      <c r="AL173" s="7366"/>
      <c r="AM173" s="7366"/>
      <c r="AN173" s="7366"/>
      <c r="AO173" s="7366"/>
      <c r="AP173" s="2757"/>
      <c r="AQ173" s="385"/>
      <c r="AR173" s="385"/>
      <c r="AS173" s="385"/>
      <c r="AT173" s="385"/>
      <c r="AU173" s="385"/>
      <c r="AX173" s="147"/>
      <c r="AY173" s="7360" t="s">
        <v>143</v>
      </c>
      <c r="AZ173" s="7361"/>
      <c r="BA173" s="7360" t="s">
        <v>288</v>
      </c>
      <c r="BB173" s="7361"/>
      <c r="BC173" s="7360" t="s">
        <v>144</v>
      </c>
      <c r="BD173" s="7361"/>
      <c r="BG173" s="3013"/>
      <c r="BH173" s="2595"/>
      <c r="BI173" s="2595"/>
      <c r="BJ173" s="2595"/>
      <c r="BK173" s="2595"/>
      <c r="BL173" s="2595"/>
      <c r="BM173" s="2595"/>
      <c r="BN173" s="2595"/>
      <c r="BO173" s="2595"/>
      <c r="BP173" s="2595"/>
    </row>
    <row r="174" spans="1:68" ht="14.25" customHeight="1">
      <c r="A174" s="2757"/>
      <c r="B174" s="7333"/>
      <c r="C174" s="7263"/>
      <c r="D174" s="3081" t="s">
        <v>2757</v>
      </c>
      <c r="E174" s="2213"/>
      <c r="F174" s="2213"/>
      <c r="G174" s="2213"/>
      <c r="H174" s="2213"/>
      <c r="I174" s="2213"/>
      <c r="J174" s="2213"/>
      <c r="K174" s="2213"/>
      <c r="L174" s="2213"/>
      <c r="M174" s="2213"/>
      <c r="N174" s="2213"/>
      <c r="O174" s="2213"/>
      <c r="P174" s="2213"/>
      <c r="Q174" s="2213"/>
      <c r="R174" s="2213"/>
      <c r="S174" s="2951"/>
      <c r="T174" s="7354"/>
      <c r="U174" s="7355"/>
      <c r="V174" s="7356"/>
      <c r="W174" s="7357"/>
      <c r="X174" s="7357"/>
      <c r="Y174" s="7357"/>
      <c r="Z174" s="7357"/>
      <c r="AA174" s="7357"/>
      <c r="AB174" s="7357"/>
      <c r="AC174" s="7358"/>
      <c r="AD174" s="7356"/>
      <c r="AE174" s="7357"/>
      <c r="AF174" s="7357"/>
      <c r="AG174" s="7357"/>
      <c r="AH174" s="7357"/>
      <c r="AI174" s="7358"/>
      <c r="AJ174" s="7356"/>
      <c r="AK174" s="7357"/>
      <c r="AL174" s="7357"/>
      <c r="AM174" s="7357"/>
      <c r="AN174" s="7357"/>
      <c r="AO174" s="7357"/>
      <c r="AP174" s="2757"/>
      <c r="AQ174" s="385"/>
      <c r="AR174" s="385"/>
      <c r="AS174" s="385"/>
      <c r="AT174" s="385"/>
      <c r="AU174" s="385"/>
      <c r="AX174" s="147"/>
      <c r="AY174" s="1142" t="s">
        <v>699</v>
      </c>
      <c r="AZ174" s="1142" t="s">
        <v>700</v>
      </c>
      <c r="BA174" s="1142" t="s">
        <v>699</v>
      </c>
      <c r="BB174" s="1142" t="s">
        <v>700</v>
      </c>
      <c r="BC174" s="1142" t="s">
        <v>699</v>
      </c>
      <c r="BD174" s="1142" t="s">
        <v>700</v>
      </c>
      <c r="BG174" s="3013"/>
      <c r="BH174" s="2595"/>
      <c r="BI174" s="2595"/>
      <c r="BJ174" s="2595"/>
      <c r="BK174" s="2595"/>
      <c r="BL174" s="2595"/>
      <c r="BM174" s="2595"/>
      <c r="BN174" s="2595"/>
      <c r="BO174" s="2595"/>
      <c r="BP174" s="2595"/>
    </row>
    <row r="175" spans="1:68" ht="14.25" customHeight="1">
      <c r="A175" s="2757"/>
      <c r="B175" s="7333"/>
      <c r="C175" s="7263"/>
      <c r="D175" s="3081" t="s">
        <v>2756</v>
      </c>
      <c r="E175" s="2213"/>
      <c r="F175" s="2213"/>
      <c r="G175" s="2213"/>
      <c r="H175" s="2213"/>
      <c r="I175" s="2213"/>
      <c r="J175" s="2213"/>
      <c r="K175" s="2213"/>
      <c r="L175" s="2213"/>
      <c r="M175" s="2213"/>
      <c r="N175" s="2213"/>
      <c r="O175" s="2213"/>
      <c r="P175" s="2213"/>
      <c r="Q175" s="2213"/>
      <c r="R175" s="2213"/>
      <c r="S175" s="3489" t="s">
        <v>276</v>
      </c>
      <c r="T175" s="7350">
        <v>21</v>
      </c>
      <c r="U175" s="7351"/>
      <c r="V175" s="7347">
        <f>IF(AR175&lt;&gt;"",ROUND(AR175,0),ROUND(SUM(V154,V155,-V172),0))</f>
        <v>0</v>
      </c>
      <c r="W175" s="7348"/>
      <c r="X175" s="7348"/>
      <c r="Y175" s="7348"/>
      <c r="Z175" s="7348"/>
      <c r="AA175" s="7348"/>
      <c r="AB175" s="7348"/>
      <c r="AC175" s="7349"/>
      <c r="AD175" s="7347">
        <f>IF(AS175&lt;&gt;"",ROUND(AS175,0),ROUND(SUM(AD154,AD155,-AD172),0))</f>
        <v>0</v>
      </c>
      <c r="AE175" s="7348"/>
      <c r="AF175" s="7348"/>
      <c r="AG175" s="7348"/>
      <c r="AH175" s="7348"/>
      <c r="AI175" s="7349"/>
      <c r="AJ175" s="7347">
        <f>IF(AT175&lt;&gt;"",ROUND(AT175,0),ROUND(SUM(AJ154,AJ155,-AJ172),0))</f>
        <v>0</v>
      </c>
      <c r="AK175" s="7348"/>
      <c r="AL175" s="7348"/>
      <c r="AM175" s="7348"/>
      <c r="AN175" s="7348"/>
      <c r="AO175" s="7348"/>
      <c r="AP175" s="2757"/>
      <c r="AQ175" s="385"/>
      <c r="AR175" s="3148"/>
      <c r="AS175" s="3148"/>
      <c r="AT175" s="3148"/>
      <c r="AU175" s="385"/>
      <c r="AX175" s="1144" t="s">
        <v>702</v>
      </c>
      <c r="AY175" s="1141">
        <f>IF(V175&gt;0,V175,0)</f>
        <v>0</v>
      </c>
      <c r="AZ175" s="1141">
        <f>IF(V175&lt;0,V175,0)</f>
        <v>0</v>
      </c>
      <c r="BA175" s="1141">
        <f>IF(AD175&gt;0,AD175,0)</f>
        <v>0</v>
      </c>
      <c r="BB175" s="1141">
        <f>IF(AD175&lt;0,AD175,0)</f>
        <v>0</v>
      </c>
      <c r="BC175" s="1141">
        <f>IF(AJ175&gt;0,AJ175,0)</f>
        <v>0</v>
      </c>
      <c r="BD175" s="1141">
        <f>IF(AJ175&lt;0,AJ175,0)</f>
        <v>0</v>
      </c>
      <c r="BG175" s="3013"/>
      <c r="BH175" s="2595"/>
      <c r="BI175" s="2595"/>
      <c r="BJ175" s="2595"/>
      <c r="BK175" s="2595"/>
      <c r="BL175" s="2595"/>
      <c r="BM175" s="2595"/>
      <c r="BN175" s="2595"/>
      <c r="BO175" s="2595"/>
      <c r="BP175" s="2595"/>
    </row>
    <row r="176" spans="1:68" ht="14.25" customHeight="1">
      <c r="A176" s="2757"/>
      <c r="B176" s="7333">
        <v>22</v>
      </c>
      <c r="C176" s="7263"/>
      <c r="D176" s="3081" t="s">
        <v>2345</v>
      </c>
      <c r="E176" s="2213"/>
      <c r="F176" s="2213"/>
      <c r="G176" s="2213"/>
      <c r="H176" s="2213"/>
      <c r="I176" s="2213"/>
      <c r="J176" s="2213"/>
      <c r="K176" s="2213"/>
      <c r="L176" s="2213"/>
      <c r="M176" s="2213"/>
      <c r="N176" s="2213"/>
      <c r="O176" s="2213"/>
      <c r="P176" s="2213"/>
      <c r="Q176" s="2213"/>
      <c r="R176" s="2213"/>
      <c r="S176" s="2951"/>
      <c r="T176" s="7354"/>
      <c r="U176" s="7355"/>
      <c r="V176" s="7356"/>
      <c r="W176" s="7357"/>
      <c r="X176" s="7357"/>
      <c r="Y176" s="7357"/>
      <c r="Z176" s="7357"/>
      <c r="AA176" s="7357"/>
      <c r="AB176" s="7357"/>
      <c r="AC176" s="7358"/>
      <c r="AD176" s="7356"/>
      <c r="AE176" s="7357"/>
      <c r="AF176" s="7357"/>
      <c r="AG176" s="7357"/>
      <c r="AH176" s="7357"/>
      <c r="AI176" s="7358"/>
      <c r="AJ176" s="7356"/>
      <c r="AK176" s="7357"/>
      <c r="AL176" s="7357"/>
      <c r="AM176" s="7357"/>
      <c r="AN176" s="7357"/>
      <c r="AO176" s="7357"/>
      <c r="AP176" s="2757"/>
      <c r="AQ176" s="385"/>
      <c r="AR176" s="385"/>
      <c r="AS176" s="385"/>
      <c r="AT176" s="385"/>
      <c r="AU176" s="385"/>
      <c r="AX176" s="1144" t="s">
        <v>677</v>
      </c>
      <c r="AY176" s="1160" t="s">
        <v>709</v>
      </c>
      <c r="AZ176" s="1141">
        <f>IF(W177&lt;&gt;"",-W177,0)</f>
        <v>0</v>
      </c>
      <c r="BA176" s="1160" t="s">
        <v>709</v>
      </c>
      <c r="BB176" s="1141">
        <f>IF(AE177&lt;&gt;"",-AE177,0)</f>
        <v>0</v>
      </c>
      <c r="BC176" s="1160" t="s">
        <v>709</v>
      </c>
      <c r="BD176" s="1141">
        <f>IF(AK177&lt;&gt;"",-AK177,0)</f>
        <v>0</v>
      </c>
      <c r="BG176" s="3013"/>
      <c r="BH176" s="2595"/>
      <c r="BI176" s="2595"/>
      <c r="BJ176" s="2595"/>
      <c r="BK176" s="2595"/>
      <c r="BL176" s="2595"/>
      <c r="BM176" s="2595"/>
      <c r="BN176" s="2595"/>
      <c r="BO176" s="2595"/>
      <c r="BP176" s="2595"/>
    </row>
    <row r="177" spans="1:68" ht="14.25" customHeight="1">
      <c r="A177" s="2757"/>
      <c r="B177" s="7333"/>
      <c r="C177" s="7263"/>
      <c r="D177" s="3081" t="s">
        <v>2755</v>
      </c>
      <c r="E177" s="2213"/>
      <c r="F177" s="2213"/>
      <c r="G177" s="2213"/>
      <c r="H177" s="2213"/>
      <c r="I177" s="2213"/>
      <c r="J177" s="2213"/>
      <c r="K177" s="2213"/>
      <c r="L177" s="2213"/>
      <c r="M177" s="2213"/>
      <c r="N177" s="2213"/>
      <c r="O177" s="2213"/>
      <c r="P177" s="2213"/>
      <c r="Q177" s="2213"/>
      <c r="R177" s="2213"/>
      <c r="S177" s="3489" t="s">
        <v>560</v>
      </c>
      <c r="T177" s="7350">
        <v>22</v>
      </c>
      <c r="U177" s="7351"/>
      <c r="V177" s="3152" t="s">
        <v>916</v>
      </c>
      <c r="W177" s="7348" t="str">
        <f>IF(AND(AR177&lt;0,AR177&lt;&gt;""),-ROUND(AR177,0),IF(AND(AR177&gt;=0,AR177&lt;&gt;""),ROUND(AR177,0),IF(AND(D147&lt;&gt;6,V175&lt;0),ROUND(-V175,0),"")))</f>
        <v/>
      </c>
      <c r="X177" s="7359"/>
      <c r="Y177" s="7359"/>
      <c r="Z177" s="7359"/>
      <c r="AA177" s="7359"/>
      <c r="AB177" s="7359"/>
      <c r="AC177" s="3151" t="s">
        <v>917</v>
      </c>
      <c r="AD177" s="3152" t="s">
        <v>916</v>
      </c>
      <c r="AE177" s="7348" t="str">
        <f>IF(AND(AS177&lt;0,AS177&lt;&gt;""),-ROUND(AS177,0),IF(AND(AS177&gt;=0,AS177&lt;&gt;""),ROUND(AS177,0),IF(AND(D148&lt;&gt;6,AD175&lt;0),ROUND(-AD175,0),"")))</f>
        <v/>
      </c>
      <c r="AF177" s="7359"/>
      <c r="AG177" s="7359"/>
      <c r="AH177" s="7359"/>
      <c r="AI177" s="3151" t="s">
        <v>917</v>
      </c>
      <c r="AJ177" s="3152" t="s">
        <v>916</v>
      </c>
      <c r="AK177" s="7348" t="str">
        <f>IF(AND(AT177&lt;0,AT177&lt;&gt;""),-ROUND(AT177,0),IF(AND(AT177&gt;=0,AT177&lt;&gt;""),ROUND(AT177,0),IF(AND(D149&lt;&gt;6,AJ175&lt;0),ROUND(-AJ175,0),"")))</f>
        <v/>
      </c>
      <c r="AL177" s="7359"/>
      <c r="AM177" s="7359"/>
      <c r="AN177" s="7359"/>
      <c r="AO177" s="3150" t="s">
        <v>917</v>
      </c>
      <c r="AP177" s="2757"/>
      <c r="AQ177" s="385"/>
      <c r="AR177" s="3148"/>
      <c r="AS177" s="3148"/>
      <c r="AT177" s="3148"/>
      <c r="AU177" s="385"/>
      <c r="AX177" s="1144"/>
      <c r="AY177" s="1143" t="s">
        <v>701</v>
      </c>
      <c r="AZ177" s="1141">
        <f>IF(D147=6,AZ175,0)</f>
        <v>0</v>
      </c>
      <c r="BA177"/>
      <c r="BB177" s="1141">
        <f>IF(D148=6,BB175,0)</f>
        <v>0</v>
      </c>
      <c r="BC177"/>
      <c r="BD177" s="1141">
        <f>IF(D149=6,BD175,0)</f>
        <v>0</v>
      </c>
      <c r="BG177" s="3013"/>
      <c r="BH177" s="2595"/>
      <c r="BI177" s="2595"/>
      <c r="BJ177" s="2595"/>
      <c r="BK177" s="2595"/>
      <c r="BL177" s="2595"/>
      <c r="BM177" s="2595"/>
      <c r="BN177" s="2595"/>
      <c r="BO177" s="2595"/>
      <c r="BP177" s="2595"/>
    </row>
    <row r="178" spans="1:68" ht="14.25" customHeight="1">
      <c r="A178" s="2757"/>
      <c r="B178" s="7333" t="s">
        <v>688</v>
      </c>
      <c r="C178" s="7263"/>
      <c r="D178" s="3081" t="s">
        <v>748</v>
      </c>
      <c r="E178" s="2213"/>
      <c r="F178" s="2213"/>
      <c r="G178" s="2213"/>
      <c r="H178" s="2213"/>
      <c r="I178" s="2213"/>
      <c r="J178" s="2213"/>
      <c r="K178" s="2213"/>
      <c r="L178" s="2213"/>
      <c r="M178" s="2213"/>
      <c r="N178" s="2213"/>
      <c r="O178" s="2213"/>
      <c r="P178" s="2213"/>
      <c r="Q178" s="2213"/>
      <c r="R178" s="2213"/>
      <c r="S178" s="2213"/>
      <c r="T178" s="2213"/>
      <c r="U178" s="2213"/>
      <c r="V178" s="2213"/>
      <c r="W178" s="2213"/>
      <c r="X178" s="2213"/>
      <c r="Y178" s="2213"/>
      <c r="Z178" s="2213"/>
      <c r="AA178" s="3489" t="s">
        <v>529</v>
      </c>
      <c r="AB178" s="7334" t="s">
        <v>688</v>
      </c>
      <c r="AC178" s="7335"/>
      <c r="AD178" s="7347">
        <f>IF(AR178&lt;&gt;"",ROUND(AR178,0),ROUND(BC150,0))</f>
        <v>0</v>
      </c>
      <c r="AE178" s="7348"/>
      <c r="AF178" s="7348"/>
      <c r="AG178" s="7348"/>
      <c r="AH178" s="7348"/>
      <c r="AI178" s="7349"/>
      <c r="AJ178" s="2757"/>
      <c r="AK178" s="2757"/>
      <c r="AL178" s="2757"/>
      <c r="AM178" s="2757"/>
      <c r="AN178" s="2757"/>
      <c r="AO178" s="2757"/>
      <c r="AP178" s="2757"/>
      <c r="AQ178" s="385"/>
      <c r="AR178" s="3148"/>
      <c r="AS178" s="385"/>
      <c r="AT178" s="385"/>
      <c r="AU178" s="385"/>
      <c r="AX178" s="147"/>
      <c r="AY178" s="1143" t="s">
        <v>703</v>
      </c>
      <c r="AZ178" s="1141">
        <f>IF(D147&lt;&gt;6,AZ175,0)</f>
        <v>0</v>
      </c>
      <c r="BA178"/>
      <c r="BB178" s="1141">
        <f>IF(D148&lt;&gt;6,BB175,0)</f>
        <v>0</v>
      </c>
      <c r="BC178"/>
      <c r="BD178" s="1141">
        <f>IF(D149&lt;&gt;6,BD175,0)</f>
        <v>0</v>
      </c>
      <c r="BG178" s="3013"/>
      <c r="BH178" s="2595"/>
      <c r="BI178" s="2595"/>
      <c r="BJ178" s="2595"/>
      <c r="BK178" s="2595"/>
      <c r="BL178" s="2595"/>
      <c r="BM178" s="2595"/>
      <c r="BN178" s="2595"/>
      <c r="BO178" s="2595"/>
      <c r="BP178" s="2595"/>
    </row>
    <row r="179" spans="1:68" ht="14.25" customHeight="1">
      <c r="A179" s="2757"/>
      <c r="B179" s="7345" t="s">
        <v>47</v>
      </c>
      <c r="C179" s="7346"/>
      <c r="D179" s="3081" t="s">
        <v>690</v>
      </c>
      <c r="E179" s="2213"/>
      <c r="F179" s="2213"/>
      <c r="G179" s="2213"/>
      <c r="H179" s="2213"/>
      <c r="I179" s="2213"/>
      <c r="J179" s="2213"/>
      <c r="K179" s="2213"/>
      <c r="L179" s="2213"/>
      <c r="M179" s="2213"/>
      <c r="N179" s="2213"/>
      <c r="O179" s="2213"/>
      <c r="P179" s="2213"/>
      <c r="Q179" s="2213"/>
      <c r="R179" s="2213"/>
      <c r="S179" s="2213"/>
      <c r="T179" s="2213"/>
      <c r="U179" s="2213"/>
      <c r="V179" s="2213"/>
      <c r="W179" s="2213"/>
      <c r="X179" s="2213"/>
      <c r="Y179" s="2213"/>
      <c r="Z179" s="2213"/>
      <c r="AA179" s="3489" t="s">
        <v>573</v>
      </c>
      <c r="AB179" s="7334" t="s">
        <v>689</v>
      </c>
      <c r="AC179" s="7335"/>
      <c r="AD179" s="7347">
        <f>IF(AR179&lt;&gt;"",ROUND(AR179,0),ROUND(BC151,0))</f>
        <v>0</v>
      </c>
      <c r="AE179" s="7348"/>
      <c r="AF179" s="7348"/>
      <c r="AG179" s="7348"/>
      <c r="AH179" s="7348"/>
      <c r="AI179" s="7349"/>
      <c r="AJ179" s="2757"/>
      <c r="AK179" s="2757"/>
      <c r="AL179" s="2757"/>
      <c r="AM179" s="2757"/>
      <c r="AN179" s="2757"/>
      <c r="AO179" s="2757"/>
      <c r="AP179" s="2757"/>
      <c r="AQ179" s="385"/>
      <c r="AR179" s="3148"/>
      <c r="AS179" s="385"/>
      <c r="AT179" s="385"/>
      <c r="AU179" s="385"/>
      <c r="BG179" s="3013"/>
      <c r="BH179" s="2595"/>
      <c r="BI179" s="2595"/>
      <c r="BJ179" s="2595"/>
      <c r="BK179" s="2595"/>
      <c r="BL179" s="2595"/>
      <c r="BM179" s="2595"/>
      <c r="BN179" s="2595"/>
      <c r="BO179" s="2595"/>
      <c r="BP179" s="2595"/>
    </row>
    <row r="180" spans="1:68" ht="14.25" customHeight="1">
      <c r="A180" s="2757"/>
      <c r="B180" s="7345" t="s">
        <v>48</v>
      </c>
      <c r="C180" s="7346"/>
      <c r="D180" s="3081" t="s">
        <v>691</v>
      </c>
      <c r="E180" s="2213"/>
      <c r="F180" s="2213"/>
      <c r="G180" s="2213"/>
      <c r="H180" s="2213"/>
      <c r="I180" s="2213"/>
      <c r="J180" s="2213"/>
      <c r="K180" s="2213"/>
      <c r="L180" s="2213"/>
      <c r="M180" s="2213"/>
      <c r="N180" s="2213"/>
      <c r="O180" s="2213"/>
      <c r="P180" s="2213"/>
      <c r="Q180" s="2213"/>
      <c r="R180" s="2213"/>
      <c r="S180" s="2213"/>
      <c r="T180" s="2213"/>
      <c r="U180" s="2213"/>
      <c r="V180" s="2213"/>
      <c r="W180" s="2213"/>
      <c r="X180" s="2213"/>
      <c r="Y180" s="2213"/>
      <c r="Z180" s="2213"/>
      <c r="AA180" s="3489" t="s">
        <v>560</v>
      </c>
      <c r="AB180" s="7334" t="s">
        <v>694</v>
      </c>
      <c r="AC180" s="7335"/>
      <c r="AD180" s="7347">
        <f>IF(AR180&lt;&gt;"",ROUND(AR180,0),ROUND(SUM(V164,AD164,AJ164),0))</f>
        <v>0</v>
      </c>
      <c r="AE180" s="7348"/>
      <c r="AF180" s="7348"/>
      <c r="AG180" s="7348"/>
      <c r="AH180" s="7348"/>
      <c r="AI180" s="7349"/>
      <c r="AJ180" s="2757"/>
      <c r="AK180" s="2757"/>
      <c r="AL180" s="2757"/>
      <c r="AM180" s="2757"/>
      <c r="AN180" s="2757"/>
      <c r="AO180" s="2757"/>
      <c r="AP180" s="2757"/>
      <c r="AQ180" s="385"/>
      <c r="AR180" s="3148"/>
      <c r="AS180" s="385"/>
      <c r="AT180" s="385"/>
      <c r="AU180" s="385"/>
      <c r="BG180" s="3013"/>
      <c r="BH180" s="2595"/>
      <c r="BI180" s="2595"/>
      <c r="BJ180" s="2595"/>
      <c r="BK180" s="2595"/>
      <c r="BL180" s="2595"/>
      <c r="BM180" s="2595"/>
      <c r="BN180" s="2595"/>
      <c r="BO180" s="2595"/>
      <c r="BP180" s="2595"/>
    </row>
    <row r="181" spans="1:68" ht="14.25" customHeight="1">
      <c r="A181" s="2757"/>
      <c r="B181" s="7345" t="s">
        <v>92</v>
      </c>
      <c r="C181" s="7346"/>
      <c r="D181" s="3081" t="s">
        <v>692</v>
      </c>
      <c r="E181" s="2213"/>
      <c r="F181" s="2213"/>
      <c r="G181" s="2213"/>
      <c r="H181" s="2213"/>
      <c r="I181" s="2213"/>
      <c r="J181" s="2213"/>
      <c r="K181" s="2213"/>
      <c r="L181" s="2213"/>
      <c r="M181" s="2213"/>
      <c r="N181" s="2213"/>
      <c r="O181" s="2213"/>
      <c r="P181" s="2213"/>
      <c r="Q181" s="2213"/>
      <c r="R181" s="2213"/>
      <c r="S181" s="2213"/>
      <c r="T181" s="2213"/>
      <c r="U181" s="2213"/>
      <c r="V181" s="2213"/>
      <c r="W181" s="2213"/>
      <c r="X181" s="2213"/>
      <c r="Y181" s="2213"/>
      <c r="Z181" s="2213"/>
      <c r="AA181" s="3489" t="s">
        <v>560</v>
      </c>
      <c r="AB181" s="7334" t="s">
        <v>695</v>
      </c>
      <c r="AC181" s="7335"/>
      <c r="AD181" s="7347">
        <f>IF(AR181&lt;&gt;"",ROUND(AR181,0),ROUND(SUM(V170,AD170,AJ170),0))</f>
        <v>0</v>
      </c>
      <c r="AE181" s="7348"/>
      <c r="AF181" s="7348"/>
      <c r="AG181" s="7348"/>
      <c r="AH181" s="7348"/>
      <c r="AI181" s="7349"/>
      <c r="AJ181" s="2757"/>
      <c r="AK181" s="2757"/>
      <c r="AL181" s="2757"/>
      <c r="AM181" s="2757"/>
      <c r="AN181" s="2757"/>
      <c r="AO181" s="2757"/>
      <c r="AP181" s="2757"/>
      <c r="AQ181" s="385"/>
      <c r="AR181" s="3148"/>
      <c r="AS181" s="385"/>
      <c r="AT181" s="385"/>
      <c r="AU181" s="385"/>
      <c r="BG181" s="3013"/>
      <c r="BH181" s="2595"/>
      <c r="BI181" s="2595"/>
      <c r="BJ181" s="2595"/>
      <c r="BK181" s="2595"/>
      <c r="BL181" s="2595"/>
      <c r="BM181" s="2595"/>
      <c r="BN181" s="2595"/>
      <c r="BO181" s="2595"/>
      <c r="BP181" s="2595"/>
    </row>
    <row r="182" spans="1:68" ht="14.25" customHeight="1">
      <c r="A182" s="2757"/>
      <c r="B182" s="7345" t="s">
        <v>964</v>
      </c>
      <c r="C182" s="7346"/>
      <c r="D182" s="3081" t="s">
        <v>693</v>
      </c>
      <c r="E182" s="2213"/>
      <c r="F182" s="2213"/>
      <c r="G182" s="2213"/>
      <c r="H182" s="2213"/>
      <c r="I182" s="2213"/>
      <c r="J182" s="2213"/>
      <c r="K182" s="2213"/>
      <c r="L182" s="2213"/>
      <c r="M182" s="2213"/>
      <c r="N182" s="2213"/>
      <c r="O182" s="2213"/>
      <c r="P182" s="2213"/>
      <c r="Q182" s="2213"/>
      <c r="R182" s="2213"/>
      <c r="S182" s="2213"/>
      <c r="T182" s="2213"/>
      <c r="U182" s="2213"/>
      <c r="V182" s="2213"/>
      <c r="W182" s="2213"/>
      <c r="X182" s="2213"/>
      <c r="Y182" s="2213"/>
      <c r="Z182" s="2213"/>
      <c r="AA182" s="3489" t="s">
        <v>560</v>
      </c>
      <c r="AB182" s="7334" t="s">
        <v>696</v>
      </c>
      <c r="AC182" s="7335"/>
      <c r="AD182" s="7347">
        <f>IF(AR182&lt;&gt;"",ROUND(AR182,0),ROUND(SUM(V172,AD172,AJ172),0))</f>
        <v>0</v>
      </c>
      <c r="AE182" s="7348"/>
      <c r="AF182" s="7348"/>
      <c r="AG182" s="7348"/>
      <c r="AH182" s="7348"/>
      <c r="AI182" s="7349"/>
      <c r="AJ182" s="2757"/>
      <c r="AK182" s="2757"/>
      <c r="AL182" s="2757"/>
      <c r="AM182" s="2757"/>
      <c r="AN182" s="2757"/>
      <c r="AO182" s="2757"/>
      <c r="AP182" s="2757"/>
      <c r="AQ182" s="385"/>
      <c r="AR182" s="3148"/>
      <c r="AS182" s="385"/>
      <c r="AT182" s="385"/>
      <c r="AU182" s="385"/>
      <c r="BG182" s="3013"/>
      <c r="BH182" s="2595"/>
      <c r="BI182" s="2595"/>
      <c r="BJ182" s="2595"/>
      <c r="BK182" s="2595"/>
      <c r="BL182" s="2595"/>
      <c r="BM182" s="2595"/>
      <c r="BN182" s="2595"/>
      <c r="BO182" s="2595"/>
      <c r="BP182" s="2595"/>
    </row>
    <row r="183" spans="1:68" ht="14.25" customHeight="1">
      <c r="A183" s="2757"/>
      <c r="B183" s="7333">
        <v>24</v>
      </c>
      <c r="C183" s="7263"/>
      <c r="D183" s="3081" t="s">
        <v>2346</v>
      </c>
      <c r="E183" s="2213"/>
      <c r="F183" s="2213"/>
      <c r="G183" s="2213"/>
      <c r="H183" s="2213"/>
      <c r="I183" s="2213"/>
      <c r="J183" s="2213"/>
      <c r="K183" s="2213"/>
      <c r="L183" s="2213"/>
      <c r="M183" s="2213"/>
      <c r="N183" s="2213"/>
      <c r="O183" s="2213"/>
      <c r="P183" s="2213"/>
      <c r="Q183" s="2213"/>
      <c r="R183" s="2213"/>
      <c r="S183" s="2213"/>
      <c r="T183" s="2213"/>
      <c r="U183" s="2213"/>
      <c r="V183" s="2213"/>
      <c r="W183" s="2213"/>
      <c r="X183" s="2213"/>
      <c r="Y183" s="2213"/>
      <c r="Z183" s="2213"/>
      <c r="AA183" s="2213"/>
      <c r="AB183" s="2213"/>
      <c r="AC183" s="2213"/>
      <c r="AD183" s="2213"/>
      <c r="AE183" s="2213"/>
      <c r="AF183" s="2213"/>
      <c r="AG183" s="3489" t="s">
        <v>698</v>
      </c>
      <c r="AH183" s="7350">
        <v>24</v>
      </c>
      <c r="AI183" s="7351"/>
      <c r="AJ183" s="7352">
        <f>IF(AR183&lt;&gt;"",ROUND(AR183,0),ROUND(SUM(AY175,BA175,BC175),0))</f>
        <v>0</v>
      </c>
      <c r="AK183" s="7353"/>
      <c r="AL183" s="7353"/>
      <c r="AM183" s="7353"/>
      <c r="AN183" s="7353"/>
      <c r="AO183" s="7353"/>
      <c r="AP183" s="2757"/>
      <c r="AQ183" s="385"/>
      <c r="AR183" s="3148"/>
      <c r="AS183" s="385"/>
      <c r="AT183" s="385"/>
      <c r="AU183" s="385"/>
      <c r="BG183" s="3013"/>
      <c r="BH183" s="2595"/>
      <c r="BI183" s="2595"/>
      <c r="BJ183" s="2595"/>
      <c r="BK183" s="2595"/>
      <c r="BL183" s="2595"/>
      <c r="BM183" s="2595"/>
      <c r="BN183" s="2595"/>
      <c r="BO183" s="2595"/>
      <c r="BP183" s="2595"/>
    </row>
    <row r="184" spans="1:68" ht="14.25" customHeight="1">
      <c r="A184" s="2757"/>
      <c r="B184" s="7333">
        <v>25</v>
      </c>
      <c r="C184" s="7263"/>
      <c r="D184" s="3104" t="s">
        <v>2347</v>
      </c>
      <c r="E184" s="2213"/>
      <c r="F184" s="2213"/>
      <c r="G184" s="2213"/>
      <c r="H184" s="2213"/>
      <c r="I184" s="2213"/>
      <c r="J184" s="2213"/>
      <c r="K184" s="2213"/>
      <c r="L184" s="2213"/>
      <c r="M184" s="2213"/>
      <c r="N184" s="2213"/>
      <c r="O184" s="2213"/>
      <c r="P184" s="2213"/>
      <c r="Q184" s="2213"/>
      <c r="R184" s="2213"/>
      <c r="S184" s="2213"/>
      <c r="T184" s="2213"/>
      <c r="U184" s="2213"/>
      <c r="V184" s="2213"/>
      <c r="W184" s="2213"/>
      <c r="X184" s="2213"/>
      <c r="Y184" s="2213"/>
      <c r="Z184" s="2213"/>
      <c r="AA184" s="2213"/>
      <c r="AB184" s="2213"/>
      <c r="AC184" s="2213"/>
      <c r="AD184" s="2213"/>
      <c r="AE184" s="2213"/>
      <c r="AF184" s="2213"/>
      <c r="AG184" s="2213"/>
      <c r="AH184" s="7334">
        <v>25</v>
      </c>
      <c r="AI184" s="7335"/>
      <c r="AJ184" s="3153" t="s">
        <v>916</v>
      </c>
      <c r="AK184" s="7336">
        <f>-AK185</f>
        <v>0</v>
      </c>
      <c r="AL184" s="7337"/>
      <c r="AM184" s="7337"/>
      <c r="AN184" s="7337"/>
      <c r="AO184" s="3154" t="s">
        <v>917</v>
      </c>
      <c r="AP184" s="2757"/>
      <c r="AQ184" s="385"/>
      <c r="AR184" s="3148"/>
      <c r="AS184" s="385"/>
      <c r="AT184" s="385"/>
      <c r="AU184" s="385"/>
      <c r="BG184" s="3013"/>
      <c r="BH184" s="2595"/>
      <c r="BI184" s="2595"/>
      <c r="BJ184" s="2595"/>
      <c r="BK184" s="2595"/>
      <c r="BL184" s="2595"/>
      <c r="BM184" s="2595"/>
      <c r="BN184" s="2595"/>
      <c r="BO184" s="2595"/>
      <c r="BP184" s="2595"/>
    </row>
    <row r="185" spans="1:68" ht="14.25" customHeight="1">
      <c r="A185" s="2757"/>
      <c r="B185" s="7333">
        <v>26</v>
      </c>
      <c r="C185" s="7263"/>
      <c r="D185" s="3081" t="s">
        <v>2759</v>
      </c>
      <c r="E185" s="2213"/>
      <c r="F185" s="2213"/>
      <c r="G185" s="2213"/>
      <c r="H185" s="2213"/>
      <c r="I185" s="2213"/>
      <c r="J185" s="2213"/>
      <c r="K185" s="2213"/>
      <c r="L185" s="2213"/>
      <c r="M185" s="2213"/>
      <c r="N185" s="2213"/>
      <c r="O185" s="2213"/>
      <c r="P185" s="2213"/>
      <c r="Q185" s="2213"/>
      <c r="R185" s="2213"/>
      <c r="S185" s="2213"/>
      <c r="T185" s="2974"/>
      <c r="U185" s="3102"/>
      <c r="V185" s="3103"/>
      <c r="W185" s="3103"/>
      <c r="X185" s="3103"/>
      <c r="Y185" s="3103"/>
      <c r="Z185" s="3103"/>
      <c r="AA185" s="3103"/>
      <c r="AB185" s="3103"/>
      <c r="AC185" s="3103"/>
      <c r="AD185" s="3103"/>
      <c r="AE185" s="3103"/>
      <c r="AF185" s="3103"/>
      <c r="AG185" s="3103"/>
      <c r="AH185" s="3105"/>
      <c r="AI185" s="3106"/>
      <c r="AJ185" s="3103"/>
      <c r="AK185" s="7344">
        <f>IF(AND(AR184&lt;&gt;"",AR184&gt;=0),-ROUND(AR184,0),IF(AND(AR184&lt;&gt;"",AR184&lt;0),ROUND(AR184,0),SUM(AZ176,AZ177,BB176,BB177,BD176,BD177)))</f>
        <v>0</v>
      </c>
      <c r="AL185" s="7344"/>
      <c r="AM185" s="7344"/>
      <c r="AN185" s="7344"/>
      <c r="AO185" s="3103"/>
      <c r="AP185" s="2757"/>
      <c r="AQ185" s="385"/>
      <c r="AR185" s="385"/>
      <c r="AS185" s="385"/>
      <c r="AT185" s="385"/>
      <c r="AU185" s="385"/>
      <c r="BG185" s="3013"/>
      <c r="BH185" s="2595"/>
      <c r="BI185" s="2595"/>
      <c r="BJ185" s="2595"/>
      <c r="BK185" s="2595"/>
      <c r="BL185" s="2595"/>
      <c r="BM185" s="2595"/>
      <c r="BN185" s="2595"/>
      <c r="BO185" s="2595"/>
      <c r="BP185" s="2595"/>
    </row>
    <row r="186" spans="1:68" ht="14.25" customHeight="1">
      <c r="A186" s="2757"/>
      <c r="B186" s="7333"/>
      <c r="C186" s="7263"/>
      <c r="D186" s="3081" t="s">
        <v>2348</v>
      </c>
      <c r="E186" s="2213"/>
      <c r="F186" s="2213"/>
      <c r="G186" s="2213"/>
      <c r="H186" s="2213"/>
      <c r="I186" s="2213"/>
      <c r="J186" s="2213"/>
      <c r="K186" s="2213"/>
      <c r="L186" s="2213"/>
      <c r="M186" s="2213"/>
      <c r="N186" s="2213"/>
      <c r="O186" s="2213"/>
      <c r="P186" s="2213"/>
      <c r="Q186" s="2213"/>
      <c r="R186" s="2213"/>
      <c r="S186" s="2213"/>
      <c r="T186" s="2974"/>
      <c r="U186" s="3102"/>
      <c r="V186" s="3103"/>
      <c r="W186" s="3103"/>
      <c r="X186" s="3103"/>
      <c r="Y186" s="3103"/>
      <c r="Z186" s="3103"/>
      <c r="AA186" s="3103"/>
      <c r="AB186" s="3103"/>
      <c r="AC186" s="3103"/>
      <c r="AD186" s="3103"/>
      <c r="AE186" s="3103"/>
      <c r="AF186" s="3103"/>
      <c r="AG186" s="3103"/>
      <c r="AH186" s="3107"/>
      <c r="AI186" s="3108"/>
      <c r="AJ186" s="3103"/>
      <c r="AK186" s="3103"/>
      <c r="AL186" s="3103"/>
      <c r="AM186" s="3103"/>
      <c r="AN186" s="3103"/>
      <c r="AO186" s="3103"/>
      <c r="AP186" s="2757"/>
      <c r="AQ186" s="385"/>
      <c r="AR186" s="385"/>
      <c r="AS186" s="385"/>
      <c r="AT186" s="385"/>
      <c r="AU186" s="385"/>
      <c r="BG186" s="3013"/>
      <c r="BH186" s="2595"/>
      <c r="BI186" s="2595"/>
      <c r="BJ186" s="2595"/>
      <c r="BK186" s="2595"/>
      <c r="BL186" s="2595"/>
      <c r="BM186" s="2595"/>
      <c r="BN186" s="2595"/>
      <c r="BO186" s="2595"/>
      <c r="BP186" s="2595"/>
    </row>
    <row r="187" spans="1:68" ht="14.25" customHeight="1" thickBot="1">
      <c r="A187" s="2757"/>
      <c r="B187" s="3109"/>
      <c r="C187" s="3110"/>
      <c r="D187" s="4644" t="s">
        <v>4412</v>
      </c>
      <c r="E187" s="3111"/>
      <c r="F187" s="3111"/>
      <c r="G187" s="3111"/>
      <c r="H187" s="3111"/>
      <c r="I187" s="3111"/>
      <c r="J187" s="3111"/>
      <c r="K187" s="3111"/>
      <c r="L187" s="3111"/>
      <c r="M187" s="3111"/>
      <c r="N187" s="3111"/>
      <c r="O187" s="3111"/>
      <c r="P187" s="3111"/>
      <c r="Q187" s="3111"/>
      <c r="R187" s="3111"/>
      <c r="S187" s="3111"/>
      <c r="T187" s="3111"/>
      <c r="U187" s="3111"/>
      <c r="V187" s="3111"/>
      <c r="W187" s="3111"/>
      <c r="X187" s="3111"/>
      <c r="Y187" s="3111"/>
      <c r="Z187" s="3111"/>
      <c r="AA187" s="3111"/>
      <c r="AB187" s="3112"/>
      <c r="AC187" s="3113"/>
      <c r="AD187" s="3114"/>
      <c r="AE187" s="3114"/>
      <c r="AF187" s="3114"/>
      <c r="AG187" s="3491" t="s">
        <v>1037</v>
      </c>
      <c r="AH187" s="7338">
        <v>26</v>
      </c>
      <c r="AI187" s="7339"/>
      <c r="AJ187" s="7340">
        <f>IF(AR187&lt;&gt;"",ROUND(AR187,0),SUM(AJ183,AK185))</f>
        <v>0</v>
      </c>
      <c r="AK187" s="7341"/>
      <c r="AL187" s="7341"/>
      <c r="AM187" s="7341"/>
      <c r="AN187" s="7341"/>
      <c r="AO187" s="7341"/>
      <c r="AP187" s="2757"/>
      <c r="AQ187" s="385"/>
      <c r="AR187" s="3141"/>
      <c r="AS187" s="385"/>
      <c r="AT187" s="385"/>
      <c r="AU187" s="385"/>
      <c r="BG187" s="3013"/>
      <c r="BH187" s="2595"/>
      <c r="BI187" s="2595"/>
      <c r="BJ187" s="2595"/>
      <c r="BK187" s="2595"/>
      <c r="BL187" s="2595"/>
      <c r="BM187" s="2595"/>
      <c r="BN187" s="2595"/>
      <c r="BO187" s="2595"/>
      <c r="BP187" s="2595"/>
    </row>
    <row r="188" spans="1:68" ht="14.25" customHeight="1">
      <c r="A188" s="2757"/>
      <c r="B188" s="3074" t="s">
        <v>1045</v>
      </c>
      <c r="C188" s="3101"/>
      <c r="D188" s="3081"/>
      <c r="E188" s="2213"/>
      <c r="F188" s="2213"/>
      <c r="G188" s="2213"/>
      <c r="H188" s="2213"/>
      <c r="I188" s="2213"/>
      <c r="J188" s="2213"/>
      <c r="K188" s="2213"/>
      <c r="L188" s="2213"/>
      <c r="M188" s="2213"/>
      <c r="N188" s="2213"/>
      <c r="O188" s="2213"/>
      <c r="P188" s="2213"/>
      <c r="Q188" s="2213"/>
      <c r="R188" s="2213"/>
      <c r="S188" s="2213"/>
      <c r="T188" s="2213"/>
      <c r="U188" s="2213"/>
      <c r="V188" s="2213"/>
      <c r="W188" s="2213"/>
      <c r="X188" s="2213"/>
      <c r="Y188" s="2213" t="s">
        <v>678</v>
      </c>
      <c r="Z188" s="2213"/>
      <c r="AA188" s="2213"/>
      <c r="AB188" s="2974"/>
      <c r="AC188" s="3102"/>
      <c r="AD188" s="3103"/>
      <c r="AE188" s="3103"/>
      <c r="AF188" s="3103"/>
      <c r="AG188" s="3103"/>
      <c r="AH188" s="3103"/>
      <c r="AI188" s="3103"/>
      <c r="AJ188" s="1179"/>
      <c r="AK188" s="1179"/>
      <c r="AL188" s="1179"/>
      <c r="AM188" s="1179"/>
      <c r="AN188" s="1179"/>
      <c r="AO188" s="1560" t="str">
        <f>"Schedule E (Form 1040) "&amp;TaxYear</f>
        <v>Schedule E (Form 1040) 2021</v>
      </c>
      <c r="AP188" s="2757"/>
      <c r="AQ188" s="385"/>
      <c r="AR188" s="385"/>
      <c r="AS188" s="385"/>
      <c r="AT188" s="385"/>
      <c r="AU188" s="385"/>
      <c r="BG188" s="3013"/>
      <c r="BH188" s="2595"/>
      <c r="BI188" s="2595"/>
      <c r="BJ188" s="2595"/>
      <c r="BK188" s="2595"/>
      <c r="BL188" s="2595"/>
      <c r="BM188" s="2595"/>
      <c r="BN188" s="2595"/>
      <c r="BO188" s="2595"/>
      <c r="BP188" s="2595"/>
    </row>
    <row r="189" spans="1:68" ht="21" customHeight="1">
      <c r="A189" s="2757"/>
      <c r="B189" s="2782" t="str">
        <f>"Schedule E (Form 1040) "&amp;TaxYear</f>
        <v>Schedule E (Form 1040) 2021</v>
      </c>
      <c r="C189" s="1553"/>
      <c r="D189" s="1553"/>
      <c r="E189" s="1553"/>
      <c r="F189" s="1553"/>
      <c r="G189" s="1553"/>
      <c r="H189" s="1553"/>
      <c r="I189" s="3134"/>
      <c r="J189" s="1553"/>
      <c r="K189" s="1553"/>
      <c r="L189" s="1553"/>
      <c r="M189" s="1553"/>
      <c r="N189" s="1553"/>
      <c r="O189" s="1553"/>
      <c r="P189" s="3135"/>
      <c r="Q189" s="1553"/>
      <c r="R189" s="1553"/>
      <c r="S189" s="1553"/>
      <c r="T189" s="1553"/>
      <c r="U189" s="1553"/>
      <c r="V189" s="1553"/>
      <c r="W189" s="1553"/>
      <c r="X189" s="1553"/>
      <c r="Y189" s="1553"/>
      <c r="Z189" s="1553"/>
      <c r="AA189" s="2782" t="s">
        <v>473</v>
      </c>
      <c r="AB189" s="1553"/>
      <c r="AC189" s="1553"/>
      <c r="AD189" s="1553"/>
      <c r="AE189" s="1553"/>
      <c r="AF189" s="1553"/>
      <c r="AG189" s="3119">
        <v>13</v>
      </c>
      <c r="AH189" s="1553"/>
      <c r="AI189" s="1553"/>
      <c r="AJ189" s="1553"/>
      <c r="AK189" s="1553"/>
      <c r="AL189" s="1553"/>
      <c r="AM189" s="1553"/>
      <c r="AN189" s="1553"/>
      <c r="AO189" s="3120" t="s">
        <v>160</v>
      </c>
      <c r="AP189" s="2757"/>
      <c r="BG189" s="3013"/>
      <c r="BH189" s="2595"/>
      <c r="BI189" s="2595"/>
      <c r="BJ189" s="2595"/>
      <c r="BK189" s="2595"/>
      <c r="BL189" s="2595"/>
      <c r="BM189" s="2595"/>
      <c r="BN189" s="2595"/>
      <c r="BO189" s="2595"/>
      <c r="BP189" s="2595"/>
    </row>
    <row r="190" spans="1:68" ht="12.75" customHeight="1">
      <c r="A190" s="2757"/>
      <c r="B190" s="1262" t="s">
        <v>3266</v>
      </c>
      <c r="C190" s="1262"/>
      <c r="D190" s="1262"/>
      <c r="E190" s="1262"/>
      <c r="F190" s="1262"/>
      <c r="G190" s="1262"/>
      <c r="H190" s="1262" t="s">
        <v>3267</v>
      </c>
      <c r="I190" s="1179"/>
      <c r="J190" s="1179"/>
      <c r="K190" s="1179"/>
      <c r="L190" s="1179"/>
      <c r="M190" s="1179"/>
      <c r="N190" s="1179"/>
      <c r="O190" s="1179"/>
      <c r="P190" s="1179"/>
      <c r="Q190" s="1179"/>
      <c r="R190" s="1179"/>
      <c r="S190" s="1179"/>
      <c r="T190" s="1179"/>
      <c r="U190" s="1179"/>
      <c r="V190" s="1179"/>
      <c r="W190" s="1179"/>
      <c r="X190" s="1179"/>
      <c r="Y190" s="1179"/>
      <c r="Z190" s="1179"/>
      <c r="AA190" s="1179"/>
      <c r="AB190" s="1179"/>
      <c r="AC190" s="1179"/>
      <c r="AD190" s="1179"/>
      <c r="AE190" s="1179"/>
      <c r="AF190" s="7342" t="s">
        <v>89</v>
      </c>
      <c r="AG190" s="7343"/>
      <c r="AH190" s="7343"/>
      <c r="AI190" s="7343"/>
      <c r="AJ190" s="7343"/>
      <c r="AK190" s="7343"/>
      <c r="AL190" s="7343"/>
      <c r="AM190" s="7343"/>
      <c r="AN190" s="7343"/>
      <c r="AO190" s="7343"/>
      <c r="AP190" s="2757"/>
      <c r="AR190" s="1286" t="b">
        <f>OR(AND(AF191&lt;&gt;"",AF191=AG135),AND(B135&lt;&gt;"",B191&lt;&gt;""))</f>
        <v>0</v>
      </c>
      <c r="BG190" s="3013"/>
      <c r="BH190" s="2595"/>
      <c r="BI190" s="2595"/>
      <c r="BJ190" s="2595"/>
      <c r="BK190" s="2595"/>
      <c r="BL190" s="2595"/>
      <c r="BM190" s="2595"/>
      <c r="BN190" s="2595"/>
      <c r="BO190" s="2595"/>
      <c r="BP190" s="2595"/>
    </row>
    <row r="191" spans="1:68" ht="16.5" customHeight="1">
      <c r="A191" s="2757"/>
      <c r="B191" s="7321"/>
      <c r="C191" s="7321"/>
      <c r="D191" s="7321"/>
      <c r="E191" s="7321"/>
      <c r="F191" s="7321"/>
      <c r="G191" s="7321"/>
      <c r="H191" s="7321"/>
      <c r="I191" s="7321"/>
      <c r="J191" s="7321"/>
      <c r="K191" s="7321"/>
      <c r="L191" s="7321"/>
      <c r="M191" s="7321"/>
      <c r="N191" s="7321"/>
      <c r="O191" s="7321"/>
      <c r="P191" s="7321"/>
      <c r="Q191" s="7321"/>
      <c r="R191" s="7321"/>
      <c r="S191" s="7321"/>
      <c r="T191" s="7321"/>
      <c r="U191" s="7321"/>
      <c r="V191" s="7321"/>
      <c r="W191" s="7321"/>
      <c r="X191" s="7321"/>
      <c r="Y191" s="7321"/>
      <c r="Z191" s="7321"/>
      <c r="AA191" s="7321"/>
      <c r="AB191" s="7321"/>
      <c r="AC191" s="7321"/>
      <c r="AD191" s="7321"/>
      <c r="AE191" s="7322"/>
      <c r="AF191" s="6359"/>
      <c r="AG191" s="7323"/>
      <c r="AH191" s="7323"/>
      <c r="AI191" s="7323"/>
      <c r="AJ191" s="7323"/>
      <c r="AK191" s="7323"/>
      <c r="AL191" s="7323"/>
      <c r="AM191" s="7323"/>
      <c r="AN191" s="7323"/>
      <c r="AO191" s="7323"/>
      <c r="AP191" s="3023"/>
      <c r="AQ191" s="2528" t="str">
        <f>IF($AR190,"Hide emphasis.","")</f>
        <v/>
      </c>
      <c r="AR191" s="2528"/>
      <c r="BG191" s="3013"/>
      <c r="BH191" s="2595"/>
      <c r="BI191" s="2595"/>
      <c r="BJ191" s="2595"/>
      <c r="BK191" s="2595"/>
      <c r="BL191" s="2595"/>
      <c r="BM191" s="2595"/>
      <c r="BN191" s="2595"/>
      <c r="BO191" s="2595"/>
      <c r="BP191" s="2595"/>
    </row>
    <row r="192" spans="1:68" ht="15" customHeight="1">
      <c r="A192" s="2757"/>
      <c r="B192" s="2686" t="s">
        <v>2349</v>
      </c>
      <c r="C192" s="1179"/>
      <c r="D192" s="1179"/>
      <c r="E192" s="1179"/>
      <c r="F192" s="1179"/>
      <c r="G192" s="1179"/>
      <c r="H192" s="1179"/>
      <c r="I192" s="1179"/>
      <c r="J192" s="1179"/>
      <c r="K192" s="1179"/>
      <c r="L192" s="1179"/>
      <c r="M192" s="1179"/>
      <c r="N192" s="1179"/>
      <c r="O192" s="1179"/>
      <c r="P192" s="1179"/>
      <c r="Q192" s="1179"/>
      <c r="R192" s="1179"/>
      <c r="S192" s="1179"/>
      <c r="T192" s="1179"/>
      <c r="U192" s="1179"/>
      <c r="V192" s="1179"/>
      <c r="W192" s="1179"/>
      <c r="X192" s="1179"/>
      <c r="Y192" s="1179"/>
      <c r="Z192" s="1179"/>
      <c r="AA192" s="1179"/>
      <c r="AB192" s="1179"/>
      <c r="AC192" s="1179"/>
      <c r="AD192" s="1179"/>
      <c r="AE192" s="1179"/>
      <c r="AF192" s="1179"/>
      <c r="AG192" s="1179"/>
      <c r="AH192" s="1179"/>
      <c r="AI192" s="1179"/>
      <c r="AJ192" s="1179"/>
      <c r="AK192" s="1179"/>
      <c r="AL192" s="1179"/>
      <c r="AM192" s="1179"/>
      <c r="AN192" s="1179"/>
      <c r="AO192" s="1179"/>
      <c r="AP192" s="2757"/>
      <c r="BG192" s="3013"/>
      <c r="BH192" s="2595"/>
      <c r="BI192" s="2595"/>
      <c r="BJ192" s="2595"/>
      <c r="BK192" s="2595"/>
      <c r="BL192" s="2595"/>
      <c r="BM192" s="2595"/>
      <c r="BN192" s="2595"/>
      <c r="BO192" s="2595"/>
      <c r="BP192" s="2595"/>
    </row>
    <row r="193" spans="1:69" s="2689" customFormat="1" ht="17.25" customHeight="1">
      <c r="A193" s="2758"/>
      <c r="B193" s="7220" t="s">
        <v>118</v>
      </c>
      <c r="C193" s="7220"/>
      <c r="D193" s="7221"/>
      <c r="E193" s="1396"/>
      <c r="F193" s="3071" t="s">
        <v>2350</v>
      </c>
      <c r="G193" s="1396"/>
      <c r="H193" s="1396"/>
      <c r="I193" s="1396"/>
      <c r="J193" s="1396"/>
      <c r="K193" s="1396"/>
      <c r="L193" s="1396"/>
      <c r="M193" s="1396"/>
      <c r="N193" s="1396"/>
      <c r="O193" s="1396"/>
      <c r="P193" s="1396"/>
      <c r="Q193" s="1396"/>
      <c r="R193" s="1396"/>
      <c r="S193" s="1396"/>
      <c r="T193" s="1396"/>
      <c r="U193" s="1396"/>
      <c r="V193" s="1396"/>
      <c r="W193" s="1396"/>
      <c r="X193" s="3072"/>
      <c r="Y193" s="1396"/>
      <c r="Z193" s="1396"/>
      <c r="AA193" s="1396"/>
      <c r="AB193" s="1396"/>
      <c r="AC193" s="1396"/>
      <c r="AD193" s="1396"/>
      <c r="AE193" s="1396"/>
      <c r="AF193" s="1396"/>
      <c r="AG193" s="1396"/>
      <c r="AH193" s="1396"/>
      <c r="AI193" s="1396"/>
      <c r="AJ193" s="1396"/>
      <c r="AK193" s="1396"/>
      <c r="AL193" s="1396"/>
      <c r="AM193" s="1396"/>
      <c r="AN193" s="1396"/>
      <c r="AO193" s="1396"/>
      <c r="AP193" s="2757"/>
      <c r="AX193" s="42"/>
      <c r="AY193" s="42"/>
      <c r="AZ193" s="42"/>
      <c r="BA193" s="42"/>
      <c r="BB193" s="42"/>
      <c r="BC193" s="42"/>
      <c r="BD193" s="42"/>
      <c r="BG193" s="3013"/>
      <c r="BH193" s="2595"/>
      <c r="BI193" s="2595"/>
      <c r="BJ193" s="2595"/>
      <c r="BK193" s="2595"/>
      <c r="BL193" s="2595"/>
      <c r="BM193" s="2595"/>
      <c r="BN193" s="2595"/>
      <c r="BO193" s="2595"/>
      <c r="BP193" s="2595"/>
      <c r="BQ193" s="3402"/>
    </row>
    <row r="194" spans="1:69" ht="12.75" customHeight="1">
      <c r="A194" s="2757"/>
      <c r="B194" s="1179"/>
      <c r="C194" s="1179"/>
      <c r="D194" s="1179"/>
      <c r="E194" s="1179"/>
      <c r="F194" s="1276" t="s">
        <v>2760</v>
      </c>
      <c r="G194" s="1179"/>
      <c r="H194" s="1179"/>
      <c r="I194" s="1179"/>
      <c r="J194" s="1179"/>
      <c r="K194" s="1179"/>
      <c r="L194" s="1179"/>
      <c r="M194" s="1179"/>
      <c r="N194" s="1179"/>
      <c r="O194" s="1179"/>
      <c r="P194" s="1179"/>
      <c r="Q194" s="1179"/>
      <c r="R194" s="1179"/>
      <c r="S194" s="1179"/>
      <c r="T194" s="1179"/>
      <c r="U194" s="1179"/>
      <c r="V194" s="1179"/>
      <c r="W194" s="1179"/>
      <c r="X194" s="1179"/>
      <c r="Y194" s="1179"/>
      <c r="Z194" s="1179"/>
      <c r="AA194" s="1179"/>
      <c r="AB194" s="1179"/>
      <c r="AC194" s="1179"/>
      <c r="AD194" s="1179"/>
      <c r="AE194" s="1179"/>
      <c r="AF194" s="1179"/>
      <c r="AG194" s="1179"/>
      <c r="AH194" s="1179"/>
      <c r="AI194" s="1179"/>
      <c r="AJ194" s="1179"/>
      <c r="AK194" s="1179"/>
      <c r="AL194" s="1179"/>
      <c r="AM194" s="1179"/>
      <c r="AN194" s="1179"/>
      <c r="AO194" s="1179"/>
      <c r="AP194" s="2757"/>
      <c r="BG194" s="3013"/>
      <c r="BH194" s="2595"/>
      <c r="BI194" s="2595"/>
      <c r="BJ194" s="2595"/>
      <c r="BK194" s="2595"/>
      <c r="BL194" s="2595"/>
      <c r="BM194" s="2595"/>
      <c r="BN194" s="2595"/>
      <c r="BO194" s="2595"/>
      <c r="BP194" s="2595"/>
    </row>
    <row r="195" spans="1:69" ht="12.75" customHeight="1">
      <c r="A195" s="2757"/>
      <c r="B195" s="1179"/>
      <c r="C195" s="1179"/>
      <c r="D195" s="1179"/>
      <c r="E195" s="1179"/>
      <c r="F195" s="1276" t="s">
        <v>2351</v>
      </c>
      <c r="G195" s="1179"/>
      <c r="H195" s="1179"/>
      <c r="I195" s="1179"/>
      <c r="J195" s="1179"/>
      <c r="K195" s="1179"/>
      <c r="L195" s="1179"/>
      <c r="M195" s="1179"/>
      <c r="N195" s="1179"/>
      <c r="O195" s="1179"/>
      <c r="P195" s="1179"/>
      <c r="Q195" s="1179"/>
      <c r="R195" s="1179"/>
      <c r="S195" s="1179"/>
      <c r="T195" s="1179"/>
      <c r="U195" s="1179"/>
      <c r="V195" s="1179"/>
      <c r="W195" s="1179"/>
      <c r="X195" s="1179"/>
      <c r="Y195" s="1179"/>
      <c r="Z195" s="1179"/>
      <c r="AA195" s="1179"/>
      <c r="AB195" s="1179"/>
      <c r="AC195" s="1179"/>
      <c r="AD195" s="1179"/>
      <c r="AE195" s="1179"/>
      <c r="AF195" s="1179"/>
      <c r="AG195" s="1179"/>
      <c r="AH195" s="1179"/>
      <c r="AI195" s="1179"/>
      <c r="AJ195" s="1179"/>
      <c r="AK195" s="1179"/>
      <c r="AL195" s="1179"/>
      <c r="AM195" s="1179"/>
      <c r="AN195" s="1179"/>
      <c r="AO195" s="1179"/>
      <c r="AP195" s="2757"/>
      <c r="AX195" s="2689"/>
      <c r="AY195" s="2689"/>
      <c r="AZ195" s="2689"/>
      <c r="BA195" s="2689"/>
      <c r="BB195" s="2689"/>
      <c r="BC195" s="2689"/>
      <c r="BD195" s="2689"/>
      <c r="BG195" s="3013"/>
      <c r="BH195" s="2595"/>
      <c r="BI195" s="2595"/>
      <c r="BJ195" s="2595"/>
      <c r="BK195" s="2595"/>
      <c r="BL195" s="2595"/>
      <c r="BM195" s="2595"/>
      <c r="BN195" s="2595"/>
      <c r="BO195" s="2595"/>
      <c r="BP195" s="2595"/>
    </row>
    <row r="196" spans="1:69" ht="12.75" customHeight="1">
      <c r="A196" s="2757"/>
      <c r="B196" s="1553"/>
      <c r="C196" s="1553"/>
      <c r="D196" s="1553"/>
      <c r="E196" s="1553"/>
      <c r="F196" s="1707" t="s">
        <v>2352</v>
      </c>
      <c r="G196" s="1553"/>
      <c r="H196" s="1553"/>
      <c r="I196" s="1553"/>
      <c r="J196" s="1553"/>
      <c r="K196" s="1553"/>
      <c r="L196" s="1553"/>
      <c r="M196" s="1553"/>
      <c r="N196" s="1553"/>
      <c r="O196" s="1553"/>
      <c r="P196" s="1553"/>
      <c r="Q196" s="1553"/>
      <c r="R196" s="1553"/>
      <c r="S196" s="1553"/>
      <c r="T196" s="1553"/>
      <c r="U196" s="1553"/>
      <c r="V196" s="1553"/>
      <c r="W196" s="1553"/>
      <c r="X196" s="1553"/>
      <c r="Y196" s="1553"/>
      <c r="Z196" s="1553"/>
      <c r="AA196" s="1553"/>
      <c r="AB196" s="1553"/>
      <c r="AC196" s="1553"/>
      <c r="AD196" s="1553"/>
      <c r="AE196" s="1553"/>
      <c r="AF196" s="1553"/>
      <c r="AG196" s="1553"/>
      <c r="AH196" s="1553"/>
      <c r="AI196" s="1553"/>
      <c r="AJ196" s="1553"/>
      <c r="AK196" s="1553"/>
      <c r="AL196" s="1553"/>
      <c r="AM196" s="1553"/>
      <c r="AN196" s="1553"/>
      <c r="AO196" s="1553"/>
      <c r="AP196" s="2757"/>
      <c r="BG196" s="3013"/>
      <c r="BH196" s="2595"/>
      <c r="BI196" s="2595"/>
      <c r="BJ196" s="2595"/>
      <c r="BK196" s="2595"/>
      <c r="BL196" s="2595"/>
      <c r="BM196" s="2595"/>
      <c r="BN196" s="2595"/>
      <c r="BO196" s="2595"/>
      <c r="BP196" s="2595"/>
    </row>
    <row r="197" spans="1:69" ht="18.75" customHeight="1">
      <c r="A197" s="2757"/>
      <c r="B197" s="7250">
        <v>27</v>
      </c>
      <c r="C197" s="6371"/>
      <c r="D197" s="1179"/>
      <c r="E197" s="2686" t="s">
        <v>4046</v>
      </c>
      <c r="F197" s="1276"/>
      <c r="G197" s="1179"/>
      <c r="H197" s="1179"/>
      <c r="I197" s="1179"/>
      <c r="J197" s="1179"/>
      <c r="K197" s="1179"/>
      <c r="L197" s="1179"/>
      <c r="M197" s="1179"/>
      <c r="N197" s="1179"/>
      <c r="O197" s="1179"/>
      <c r="P197" s="1179"/>
      <c r="Q197" s="1179"/>
      <c r="R197" s="1179"/>
      <c r="S197" s="1179"/>
      <c r="T197" s="1179"/>
      <c r="U197" s="1179"/>
      <c r="V197" s="1179"/>
      <c r="W197" s="1179"/>
      <c r="X197" s="1179"/>
      <c r="Y197" s="1179"/>
      <c r="Z197" s="1179"/>
      <c r="AA197" s="1179"/>
      <c r="AB197" s="1179"/>
      <c r="AC197" s="1179"/>
      <c r="AD197" s="1179"/>
      <c r="AE197" s="1179"/>
      <c r="AF197" s="1179"/>
      <c r="AG197" s="1179"/>
      <c r="AH197" s="1179"/>
      <c r="AI197" s="1179"/>
      <c r="AJ197" s="1179"/>
      <c r="AK197" s="1179"/>
      <c r="AL197" s="1179"/>
      <c r="AM197" s="1179"/>
      <c r="AN197" s="1179"/>
      <c r="AO197" s="1179"/>
      <c r="AP197" s="2757"/>
      <c r="BG197" s="3013"/>
      <c r="BH197" s="2595"/>
      <c r="BI197" s="2595"/>
      <c r="BJ197" s="2595"/>
      <c r="BK197" s="2595"/>
      <c r="BL197" s="2595"/>
      <c r="BM197" s="2595"/>
      <c r="BN197" s="2595"/>
      <c r="BO197" s="2595"/>
      <c r="BP197" s="2595"/>
    </row>
    <row r="198" spans="1:69" ht="12.75" customHeight="1">
      <c r="A198" s="2757"/>
      <c r="B198" s="2974"/>
      <c r="C198" s="1699"/>
      <c r="D198" s="1179"/>
      <c r="E198" s="2686" t="s">
        <v>4048</v>
      </c>
      <c r="F198" s="1276"/>
      <c r="G198" s="1179"/>
      <c r="H198" s="1179"/>
      <c r="I198" s="1179"/>
      <c r="J198" s="1179"/>
      <c r="K198" s="1179"/>
      <c r="L198" s="1179"/>
      <c r="M198" s="1179"/>
      <c r="N198" s="1179"/>
      <c r="O198" s="1179"/>
      <c r="P198" s="1179"/>
      <c r="Q198" s="1179"/>
      <c r="R198" s="1179"/>
      <c r="S198" s="1179"/>
      <c r="T198" s="1179"/>
      <c r="U198" s="1179"/>
      <c r="V198" s="1179"/>
      <c r="W198" s="1179"/>
      <c r="X198" s="1179"/>
      <c r="Y198" s="1179"/>
      <c r="Z198" s="1179"/>
      <c r="AA198" s="1179"/>
      <c r="AB198" s="1179"/>
      <c r="AC198" s="1179"/>
      <c r="AD198" s="1179"/>
      <c r="AE198" s="1179"/>
      <c r="AF198" s="1179"/>
      <c r="AG198" s="1179"/>
      <c r="AH198" s="1179"/>
      <c r="AI198" s="1179"/>
      <c r="AJ198" s="1179"/>
      <c r="AK198" s="1179"/>
      <c r="AL198" s="1179"/>
      <c r="AM198" s="1179"/>
      <c r="AN198" s="1179"/>
      <c r="AO198" s="1179"/>
      <c r="AP198" s="2757"/>
      <c r="BG198" s="3013"/>
      <c r="BH198" s="2595"/>
      <c r="BI198" s="2595"/>
      <c r="BJ198" s="2595"/>
      <c r="BK198" s="2595"/>
      <c r="BL198" s="2595"/>
      <c r="BM198" s="2595"/>
      <c r="BN198" s="2595"/>
      <c r="BO198" s="2595"/>
      <c r="BP198" s="2595"/>
    </row>
    <row r="199" spans="1:69" ht="12.75" customHeight="1">
      <c r="A199" s="2757"/>
      <c r="B199" s="1179"/>
      <c r="C199" s="1179"/>
      <c r="D199" s="1179"/>
      <c r="E199" s="2686" t="s">
        <v>4047</v>
      </c>
      <c r="F199" s="1276"/>
      <c r="G199" s="1179"/>
      <c r="H199" s="1179"/>
      <c r="I199" s="1179"/>
      <c r="J199" s="1179"/>
      <c r="K199" s="1179"/>
      <c r="L199" s="1179"/>
      <c r="M199" s="1179"/>
      <c r="N199" s="1179"/>
      <c r="O199" s="1179"/>
      <c r="P199" s="1179"/>
      <c r="Q199" s="1179"/>
      <c r="R199" s="1179"/>
      <c r="S199" s="1179"/>
      <c r="T199" s="1179"/>
      <c r="U199" s="1179"/>
      <c r="V199" s="1179"/>
      <c r="W199" s="1179"/>
      <c r="X199" s="1179"/>
      <c r="Y199" s="1179"/>
      <c r="Z199" s="1179"/>
      <c r="AA199" s="1179"/>
      <c r="AB199" s="1179"/>
      <c r="AC199" s="1179"/>
      <c r="AD199" s="1179"/>
      <c r="AE199" s="1179"/>
      <c r="AF199" s="1179"/>
      <c r="AG199" s="1179"/>
      <c r="AH199" s="1179"/>
      <c r="AI199" s="1179"/>
      <c r="AJ199" s="1180"/>
      <c r="AK199" s="2786" t="s">
        <v>2336</v>
      </c>
      <c r="AL199" s="2335"/>
      <c r="AM199" s="1180"/>
      <c r="AN199" s="2786" t="s">
        <v>511</v>
      </c>
      <c r="AO199" s="2335"/>
      <c r="AP199" s="2757"/>
      <c r="BG199" s="3013"/>
      <c r="BH199" s="2595"/>
      <c r="BI199" s="2595"/>
      <c r="BJ199" s="2595"/>
      <c r="BK199" s="2595"/>
      <c r="BL199" s="2595"/>
      <c r="BM199" s="2595"/>
      <c r="BN199" s="2595"/>
      <c r="BO199" s="2595"/>
      <c r="BP199" s="2595"/>
    </row>
    <row r="200" spans="1:69" ht="4.5" customHeight="1">
      <c r="A200" s="2757"/>
      <c r="B200" s="1553"/>
      <c r="C200" s="1553"/>
      <c r="D200" s="1553"/>
      <c r="E200" s="1553"/>
      <c r="F200" s="1707"/>
      <c r="G200" s="1553"/>
      <c r="H200" s="1553"/>
      <c r="I200" s="1553"/>
      <c r="J200" s="1553"/>
      <c r="K200" s="1553"/>
      <c r="L200" s="1553"/>
      <c r="M200" s="1553"/>
      <c r="N200" s="1553"/>
      <c r="O200" s="1553"/>
      <c r="P200" s="1553"/>
      <c r="Q200" s="1553"/>
      <c r="R200" s="1553"/>
      <c r="S200" s="1553"/>
      <c r="T200" s="1553"/>
      <c r="U200" s="1553"/>
      <c r="V200" s="1553"/>
      <c r="W200" s="1553"/>
      <c r="X200" s="1553"/>
      <c r="Y200" s="1553"/>
      <c r="Z200" s="1553"/>
      <c r="AA200" s="1553"/>
      <c r="AB200" s="1553"/>
      <c r="AC200" s="1553"/>
      <c r="AD200" s="1553"/>
      <c r="AE200" s="1553"/>
      <c r="AF200" s="1553"/>
      <c r="AG200" s="1553"/>
      <c r="AH200" s="1553"/>
      <c r="AI200" s="1553"/>
      <c r="AJ200" s="1553"/>
      <c r="AK200" s="1553"/>
      <c r="AL200" s="1553"/>
      <c r="AM200" s="1553"/>
      <c r="AN200" s="1553"/>
      <c r="AO200" s="1553"/>
      <c r="AP200" s="2757"/>
      <c r="BG200" s="3013"/>
      <c r="BH200" s="2595"/>
      <c r="BI200" s="2595"/>
      <c r="BJ200" s="2595"/>
      <c r="BK200" s="2595"/>
      <c r="BL200" s="2595"/>
      <c r="BM200" s="2595"/>
      <c r="BN200" s="2595"/>
      <c r="BO200" s="2595"/>
      <c r="BP200" s="2595"/>
    </row>
    <row r="201" spans="1:69" ht="12.75" customHeight="1">
      <c r="A201" s="2757"/>
      <c r="B201" s="1179"/>
      <c r="C201" s="1179"/>
      <c r="D201" s="1179"/>
      <c r="E201" s="1179"/>
      <c r="F201" s="1276"/>
      <c r="G201" s="1179"/>
      <c r="H201" s="1179"/>
      <c r="I201" s="1179"/>
      <c r="J201" s="1179"/>
      <c r="K201" s="1179"/>
      <c r="L201" s="1179"/>
      <c r="M201" s="1179"/>
      <c r="N201" s="1179"/>
      <c r="O201" s="7324" t="s">
        <v>2354</v>
      </c>
      <c r="P201" s="7325"/>
      <c r="Q201" s="7325"/>
      <c r="R201" s="7325"/>
      <c r="S201" s="7326"/>
      <c r="T201" s="7324" t="s">
        <v>2355</v>
      </c>
      <c r="U201" s="7325"/>
      <c r="V201" s="7325"/>
      <c r="W201" s="7325"/>
      <c r="X201" s="7326"/>
      <c r="Y201" s="7324" t="s">
        <v>2356</v>
      </c>
      <c r="Z201" s="7325"/>
      <c r="AA201" s="7325"/>
      <c r="AB201" s="7325"/>
      <c r="AC201" s="7325"/>
      <c r="AD201" s="7325"/>
      <c r="AE201" s="7326"/>
      <c r="AF201" s="7324" t="s">
        <v>2358</v>
      </c>
      <c r="AG201" s="7325"/>
      <c r="AH201" s="7325"/>
      <c r="AI201" s="7325"/>
      <c r="AJ201" s="7326"/>
      <c r="AK201" s="7324" t="s">
        <v>2357</v>
      </c>
      <c r="AL201" s="7325"/>
      <c r="AM201" s="7325"/>
      <c r="AN201" s="7325"/>
      <c r="AO201" s="7325"/>
      <c r="AP201" s="2757"/>
      <c r="BG201" s="3013"/>
      <c r="BH201" s="2595"/>
      <c r="BI201" s="2595"/>
      <c r="BJ201" s="2595"/>
      <c r="BK201" s="2595"/>
      <c r="BL201" s="2595"/>
      <c r="BM201" s="2595"/>
      <c r="BN201" s="2595"/>
      <c r="BO201" s="2595"/>
      <c r="BP201" s="2595"/>
    </row>
    <row r="202" spans="1:69" ht="12.75" customHeight="1">
      <c r="A202" s="2757"/>
      <c r="B202" s="7250">
        <v>28</v>
      </c>
      <c r="C202" s="6371"/>
      <c r="D202" s="1179"/>
      <c r="E202" s="1179"/>
      <c r="F202" s="1179"/>
      <c r="G202" s="1179"/>
      <c r="H202" s="1276" t="s">
        <v>2353</v>
      </c>
      <c r="I202" s="1179"/>
      <c r="J202" s="1179"/>
      <c r="K202" s="1179"/>
      <c r="L202" s="1179"/>
      <c r="M202" s="1179"/>
      <c r="N202" s="1179"/>
      <c r="O202" s="7327"/>
      <c r="P202" s="7328"/>
      <c r="Q202" s="7328"/>
      <c r="R202" s="7328"/>
      <c r="S202" s="7329"/>
      <c r="T202" s="7327"/>
      <c r="U202" s="7328"/>
      <c r="V202" s="7328"/>
      <c r="W202" s="7328"/>
      <c r="X202" s="7329"/>
      <c r="Y202" s="7327"/>
      <c r="Z202" s="7328"/>
      <c r="AA202" s="7328"/>
      <c r="AB202" s="7328"/>
      <c r="AC202" s="7328"/>
      <c r="AD202" s="7328"/>
      <c r="AE202" s="7329"/>
      <c r="AF202" s="7327"/>
      <c r="AG202" s="7328"/>
      <c r="AH202" s="7328"/>
      <c r="AI202" s="7328"/>
      <c r="AJ202" s="7329"/>
      <c r="AK202" s="7327"/>
      <c r="AL202" s="7328"/>
      <c r="AM202" s="7328"/>
      <c r="AN202" s="7328"/>
      <c r="AO202" s="7328"/>
      <c r="AP202" s="2757"/>
      <c r="BG202" s="3013"/>
      <c r="BH202" s="2595"/>
      <c r="BI202" s="2595"/>
      <c r="BJ202" s="2595"/>
      <c r="BK202" s="2595"/>
      <c r="BL202" s="2595"/>
      <c r="BM202" s="2595"/>
      <c r="BN202" s="2595"/>
      <c r="BO202" s="2595"/>
      <c r="BP202" s="2595"/>
    </row>
    <row r="203" spans="1:69" ht="12.75" customHeight="1">
      <c r="A203" s="2757"/>
      <c r="B203" s="1553"/>
      <c r="C203" s="1553"/>
      <c r="D203" s="1553"/>
      <c r="E203" s="1553"/>
      <c r="F203" s="1553"/>
      <c r="G203" s="1553"/>
      <c r="H203" s="1553"/>
      <c r="I203" s="1553"/>
      <c r="J203" s="1553"/>
      <c r="K203" s="1553"/>
      <c r="L203" s="1553"/>
      <c r="M203" s="1553"/>
      <c r="N203" s="1553"/>
      <c r="O203" s="7330"/>
      <c r="P203" s="7331"/>
      <c r="Q203" s="7331"/>
      <c r="R203" s="7331"/>
      <c r="S203" s="7332"/>
      <c r="T203" s="7330"/>
      <c r="U203" s="7331"/>
      <c r="V203" s="7331"/>
      <c r="W203" s="7331"/>
      <c r="X203" s="7332"/>
      <c r="Y203" s="7330"/>
      <c r="Z203" s="7331"/>
      <c r="AA203" s="7331"/>
      <c r="AB203" s="7331"/>
      <c r="AC203" s="7331"/>
      <c r="AD203" s="7331"/>
      <c r="AE203" s="7332"/>
      <c r="AF203" s="7330"/>
      <c r="AG203" s="7331"/>
      <c r="AH203" s="7331"/>
      <c r="AI203" s="7331"/>
      <c r="AJ203" s="7332"/>
      <c r="AK203" s="7330"/>
      <c r="AL203" s="7331"/>
      <c r="AM203" s="7331"/>
      <c r="AN203" s="7331"/>
      <c r="AO203" s="7331"/>
      <c r="AP203" s="2757"/>
      <c r="BG203" s="3013"/>
      <c r="BH203" s="2595"/>
      <c r="BI203" s="2595"/>
      <c r="BJ203" s="2595"/>
      <c r="BK203" s="2595"/>
      <c r="BL203" s="2595"/>
      <c r="BM203" s="2595"/>
      <c r="BN203" s="2595"/>
      <c r="BO203" s="2595"/>
      <c r="BP203" s="2595"/>
    </row>
    <row r="204" spans="1:69" ht="13.5" customHeight="1">
      <c r="A204" s="2757"/>
      <c r="B204" s="3123" t="s">
        <v>143</v>
      </c>
      <c r="C204" s="7310"/>
      <c r="D204" s="7311"/>
      <c r="E204" s="7311"/>
      <c r="F204" s="7311"/>
      <c r="G204" s="7311"/>
      <c r="H204" s="7311"/>
      <c r="I204" s="7311"/>
      <c r="J204" s="7311"/>
      <c r="K204" s="7311"/>
      <c r="L204" s="7311"/>
      <c r="M204" s="7311"/>
      <c r="N204" s="7312"/>
      <c r="O204" s="6543"/>
      <c r="P204" s="7313"/>
      <c r="Q204" s="7313"/>
      <c r="R204" s="7313"/>
      <c r="S204" s="7314"/>
      <c r="T204" s="3121"/>
      <c r="U204" s="1554"/>
      <c r="V204" s="1180"/>
      <c r="W204" s="1554"/>
      <c r="X204" s="3122"/>
      <c r="Y204" s="7210"/>
      <c r="Z204" s="7211"/>
      <c r="AA204" s="7211"/>
      <c r="AB204" s="7211"/>
      <c r="AC204" s="7211"/>
      <c r="AD204" s="7211"/>
      <c r="AE204" s="7212"/>
      <c r="AF204" s="3121"/>
      <c r="AG204" s="1554"/>
      <c r="AH204" s="1180"/>
      <c r="AI204" s="1554"/>
      <c r="AJ204" s="3122"/>
      <c r="AK204" s="3121"/>
      <c r="AL204" s="1554"/>
      <c r="AM204" s="1180"/>
      <c r="AN204" s="1554"/>
      <c r="AO204" s="1554"/>
      <c r="AP204" s="2757"/>
      <c r="BG204" s="3013"/>
      <c r="BH204" s="2595"/>
      <c r="BI204" s="2595"/>
      <c r="BJ204" s="2595"/>
      <c r="BK204" s="2595"/>
      <c r="BL204" s="2595"/>
      <c r="BM204" s="2595"/>
      <c r="BN204" s="2595"/>
      <c r="BO204" s="2595"/>
      <c r="BP204" s="2595"/>
    </row>
    <row r="205" spans="1:69" ht="13.5" customHeight="1">
      <c r="A205" s="2757"/>
      <c r="B205" s="3123" t="s">
        <v>288</v>
      </c>
      <c r="C205" s="7310"/>
      <c r="D205" s="7311"/>
      <c r="E205" s="7311"/>
      <c r="F205" s="7311"/>
      <c r="G205" s="7311"/>
      <c r="H205" s="7311"/>
      <c r="I205" s="7311"/>
      <c r="J205" s="7311"/>
      <c r="K205" s="7311"/>
      <c r="L205" s="7311"/>
      <c r="M205" s="7311"/>
      <c r="N205" s="7312"/>
      <c r="O205" s="6543"/>
      <c r="P205" s="7313"/>
      <c r="Q205" s="7313"/>
      <c r="R205" s="7313"/>
      <c r="S205" s="7314"/>
      <c r="T205" s="3121"/>
      <c r="U205" s="1554"/>
      <c r="V205" s="1180"/>
      <c r="W205" s="1554"/>
      <c r="X205" s="3122"/>
      <c r="Y205" s="7210"/>
      <c r="Z205" s="7211"/>
      <c r="AA205" s="7211"/>
      <c r="AB205" s="7211"/>
      <c r="AC205" s="7211"/>
      <c r="AD205" s="7211"/>
      <c r="AE205" s="7212"/>
      <c r="AF205" s="3121"/>
      <c r="AG205" s="1554"/>
      <c r="AH205" s="1180"/>
      <c r="AI205" s="1554"/>
      <c r="AJ205" s="3122"/>
      <c r="AK205" s="3121"/>
      <c r="AL205" s="1554"/>
      <c r="AM205" s="1180"/>
      <c r="AN205" s="1554"/>
      <c r="AO205" s="1554"/>
      <c r="AP205" s="2757"/>
      <c r="BG205" s="3013"/>
      <c r="BH205" s="2595"/>
      <c r="BI205" s="2595"/>
      <c r="BJ205" s="2595"/>
      <c r="BK205" s="2595"/>
      <c r="BL205" s="2595"/>
      <c r="BM205" s="2595"/>
      <c r="BN205" s="2595"/>
      <c r="BO205" s="2595"/>
      <c r="BP205" s="2595"/>
    </row>
    <row r="206" spans="1:69" ht="13.5" customHeight="1">
      <c r="A206" s="2757"/>
      <c r="B206" s="3123" t="s">
        <v>144</v>
      </c>
      <c r="C206" s="7310"/>
      <c r="D206" s="7311"/>
      <c r="E206" s="7311"/>
      <c r="F206" s="7311"/>
      <c r="G206" s="7311"/>
      <c r="H206" s="7311"/>
      <c r="I206" s="7311"/>
      <c r="J206" s="7311"/>
      <c r="K206" s="7311"/>
      <c r="L206" s="7311"/>
      <c r="M206" s="7311"/>
      <c r="N206" s="7312"/>
      <c r="O206" s="6543"/>
      <c r="P206" s="7313"/>
      <c r="Q206" s="7313"/>
      <c r="R206" s="7313"/>
      <c r="S206" s="7314"/>
      <c r="T206" s="3121"/>
      <c r="U206" s="1554"/>
      <c r="V206" s="1180"/>
      <c r="W206" s="1554"/>
      <c r="X206" s="3122"/>
      <c r="Y206" s="7210"/>
      <c r="Z206" s="7211"/>
      <c r="AA206" s="7211"/>
      <c r="AB206" s="7211"/>
      <c r="AC206" s="7211"/>
      <c r="AD206" s="7211"/>
      <c r="AE206" s="7212"/>
      <c r="AF206" s="3121"/>
      <c r="AG206" s="1554"/>
      <c r="AH206" s="1180"/>
      <c r="AI206" s="1554"/>
      <c r="AJ206" s="3122"/>
      <c r="AK206" s="3121"/>
      <c r="AL206" s="1554"/>
      <c r="AM206" s="1180"/>
      <c r="AN206" s="1554"/>
      <c r="AO206" s="1554"/>
      <c r="AP206" s="2757"/>
      <c r="BG206" s="3013"/>
      <c r="BH206" s="2595"/>
      <c r="BI206" s="2595"/>
      <c r="BJ206" s="2595"/>
      <c r="BK206" s="2595"/>
      <c r="BL206" s="2595"/>
      <c r="BM206" s="2595"/>
      <c r="BN206" s="2595"/>
      <c r="BO206" s="2595"/>
      <c r="BP206" s="2595"/>
    </row>
    <row r="207" spans="1:69" ht="13.5" customHeight="1">
      <c r="A207" s="2757"/>
      <c r="B207" s="3123" t="s">
        <v>290</v>
      </c>
      <c r="C207" s="7310"/>
      <c r="D207" s="7311"/>
      <c r="E207" s="7311"/>
      <c r="F207" s="7311"/>
      <c r="G207" s="7311"/>
      <c r="H207" s="7311"/>
      <c r="I207" s="7311"/>
      <c r="J207" s="7311"/>
      <c r="K207" s="7311"/>
      <c r="L207" s="7311"/>
      <c r="M207" s="7311"/>
      <c r="N207" s="7312"/>
      <c r="O207" s="6543"/>
      <c r="P207" s="7313"/>
      <c r="Q207" s="7313"/>
      <c r="R207" s="7313"/>
      <c r="S207" s="7314"/>
      <c r="T207" s="3121"/>
      <c r="U207" s="1554"/>
      <c r="V207" s="1180"/>
      <c r="W207" s="1554"/>
      <c r="X207" s="3122"/>
      <c r="Y207" s="7210"/>
      <c r="Z207" s="7211"/>
      <c r="AA207" s="7211"/>
      <c r="AB207" s="7211"/>
      <c r="AC207" s="7211"/>
      <c r="AD207" s="7211"/>
      <c r="AE207" s="7212"/>
      <c r="AF207" s="3121"/>
      <c r="AG207" s="1554"/>
      <c r="AH207" s="1180"/>
      <c r="AI207" s="1554"/>
      <c r="AJ207" s="3122"/>
      <c r="AK207" s="3121"/>
      <c r="AL207" s="1554"/>
      <c r="AM207" s="1180"/>
      <c r="AN207" s="1554"/>
      <c r="AO207" s="1554"/>
      <c r="AP207" s="2757"/>
      <c r="BG207" s="3013"/>
      <c r="BH207" s="2595"/>
      <c r="BI207" s="2595"/>
      <c r="BJ207" s="2595"/>
      <c r="BK207" s="2595"/>
      <c r="BL207" s="2595"/>
      <c r="BM207" s="2595"/>
      <c r="BN207" s="2595"/>
      <c r="BO207" s="2595"/>
      <c r="BP207" s="2595"/>
    </row>
    <row r="208" spans="1:69" ht="17.25" customHeight="1">
      <c r="A208" s="2757"/>
      <c r="B208" s="7196" t="s">
        <v>679</v>
      </c>
      <c r="C208" s="7315"/>
      <c r="D208" s="7315"/>
      <c r="E208" s="7315"/>
      <c r="F208" s="7315"/>
      <c r="G208" s="7315"/>
      <c r="H208" s="7315"/>
      <c r="I208" s="7315"/>
      <c r="J208" s="7315"/>
      <c r="K208" s="7315"/>
      <c r="L208" s="7315"/>
      <c r="M208" s="7315"/>
      <c r="N208" s="7315"/>
      <c r="O208" s="7315"/>
      <c r="P208" s="7315"/>
      <c r="Q208" s="7315"/>
      <c r="R208" s="6672"/>
      <c r="S208" s="7287" t="s">
        <v>680</v>
      </c>
      <c r="T208" s="7316"/>
      <c r="U208" s="7316"/>
      <c r="V208" s="7316"/>
      <c r="W208" s="7316"/>
      <c r="X208" s="7316"/>
      <c r="Y208" s="7316"/>
      <c r="Z208" s="7316"/>
      <c r="AA208" s="7316"/>
      <c r="AB208" s="7316"/>
      <c r="AC208" s="7316"/>
      <c r="AD208" s="7316"/>
      <c r="AE208" s="7316"/>
      <c r="AF208" s="7316"/>
      <c r="AG208" s="7316"/>
      <c r="AH208" s="7316"/>
      <c r="AI208" s="7316"/>
      <c r="AJ208" s="7316"/>
      <c r="AK208" s="7316"/>
      <c r="AL208" s="7316"/>
      <c r="AM208" s="7316"/>
      <c r="AN208" s="7316"/>
      <c r="AO208" s="7316"/>
      <c r="AP208" s="2757"/>
      <c r="BG208" s="3013"/>
      <c r="BH208" s="2595"/>
      <c r="BI208" s="2595"/>
      <c r="BJ208" s="2595"/>
      <c r="BK208" s="2595"/>
      <c r="BL208" s="2595"/>
      <c r="BM208" s="2595"/>
      <c r="BN208" s="2595"/>
      <c r="BO208" s="2595"/>
      <c r="BP208" s="2595"/>
    </row>
    <row r="209" spans="1:69" ht="12.75" customHeight="1">
      <c r="A209" s="2757"/>
      <c r="B209" s="1574"/>
      <c r="C209" s="7317" t="s">
        <v>2359</v>
      </c>
      <c r="D209" s="7242"/>
      <c r="E209" s="7242"/>
      <c r="F209" s="7242"/>
      <c r="G209" s="7242"/>
      <c r="H209" s="7242"/>
      <c r="I209" s="7242"/>
      <c r="J209" s="7243"/>
      <c r="K209" s="7241" t="s">
        <v>2360</v>
      </c>
      <c r="L209" s="7242"/>
      <c r="M209" s="7242"/>
      <c r="N209" s="7242"/>
      <c r="O209" s="7242"/>
      <c r="P209" s="7242"/>
      <c r="Q209" s="7242"/>
      <c r="R209" s="7242"/>
      <c r="S209" s="7318" t="s">
        <v>3498</v>
      </c>
      <c r="T209" s="7242"/>
      <c r="U209" s="7242"/>
      <c r="V209" s="7242"/>
      <c r="W209" s="7242"/>
      <c r="X209" s="7242"/>
      <c r="Y209" s="7243"/>
      <c r="Z209" s="7241" t="s">
        <v>2361</v>
      </c>
      <c r="AA209" s="7242"/>
      <c r="AB209" s="7242"/>
      <c r="AC209" s="7242"/>
      <c r="AD209" s="7242"/>
      <c r="AE209" s="7242"/>
      <c r="AF209" s="7242"/>
      <c r="AG209" s="7243"/>
      <c r="AH209" s="7241" t="s">
        <v>2362</v>
      </c>
      <c r="AI209" s="7242"/>
      <c r="AJ209" s="7242"/>
      <c r="AK209" s="7242"/>
      <c r="AL209" s="7242"/>
      <c r="AM209" s="7242"/>
      <c r="AN209" s="7242"/>
      <c r="AO209" s="7242"/>
      <c r="AP209" s="2757"/>
      <c r="BG209" s="3013"/>
      <c r="BH209" s="2595"/>
      <c r="BI209" s="2595"/>
      <c r="BJ209" s="2595"/>
      <c r="BK209" s="2595"/>
      <c r="BL209" s="2595"/>
      <c r="BM209" s="2595"/>
      <c r="BN209" s="2595"/>
      <c r="BO209" s="2595"/>
      <c r="BP209" s="2595"/>
    </row>
    <row r="210" spans="1:69" ht="12.75" customHeight="1">
      <c r="A210" s="2757"/>
      <c r="B210" s="1179"/>
      <c r="C210" s="7245"/>
      <c r="D210" s="7245"/>
      <c r="E210" s="7245"/>
      <c r="F210" s="7245"/>
      <c r="G210" s="7245"/>
      <c r="H210" s="7245"/>
      <c r="I210" s="7245"/>
      <c r="J210" s="7246"/>
      <c r="K210" s="7244"/>
      <c r="L210" s="7245"/>
      <c r="M210" s="7245"/>
      <c r="N210" s="7245"/>
      <c r="O210" s="7245"/>
      <c r="P210" s="7245"/>
      <c r="Q210" s="7245"/>
      <c r="R210" s="7245"/>
      <c r="S210" s="7319"/>
      <c r="T210" s="7245"/>
      <c r="U210" s="7245"/>
      <c r="V210" s="7245"/>
      <c r="W210" s="7245"/>
      <c r="X210" s="7245"/>
      <c r="Y210" s="7246"/>
      <c r="Z210" s="7244"/>
      <c r="AA210" s="7245"/>
      <c r="AB210" s="7245"/>
      <c r="AC210" s="7245"/>
      <c r="AD210" s="7245"/>
      <c r="AE210" s="7245"/>
      <c r="AF210" s="7245"/>
      <c r="AG210" s="7246"/>
      <c r="AH210" s="7244"/>
      <c r="AI210" s="7245"/>
      <c r="AJ210" s="7245"/>
      <c r="AK210" s="7245"/>
      <c r="AL210" s="7245"/>
      <c r="AM210" s="7245"/>
      <c r="AN210" s="7245"/>
      <c r="AO210" s="7245"/>
      <c r="AP210" s="2757"/>
      <c r="BG210" s="3013"/>
      <c r="BH210" s="2595"/>
      <c r="BI210" s="2595"/>
      <c r="BJ210" s="2595"/>
      <c r="BK210" s="2595"/>
      <c r="BL210" s="2595"/>
      <c r="BM210" s="2595"/>
      <c r="BN210" s="2595"/>
      <c r="BO210" s="2595"/>
      <c r="BP210" s="2595"/>
    </row>
    <row r="211" spans="1:69" ht="12.75" customHeight="1">
      <c r="A211" s="2757"/>
      <c r="B211" s="1553"/>
      <c r="C211" s="7248"/>
      <c r="D211" s="7248"/>
      <c r="E211" s="7248"/>
      <c r="F211" s="7248"/>
      <c r="G211" s="7248"/>
      <c r="H211" s="7248"/>
      <c r="I211" s="7248"/>
      <c r="J211" s="7249"/>
      <c r="K211" s="7247"/>
      <c r="L211" s="7248"/>
      <c r="M211" s="7248"/>
      <c r="N211" s="7248"/>
      <c r="O211" s="7248"/>
      <c r="P211" s="7248"/>
      <c r="Q211" s="7248"/>
      <c r="R211" s="7248"/>
      <c r="S211" s="7320"/>
      <c r="T211" s="7248"/>
      <c r="U211" s="7248"/>
      <c r="V211" s="7248"/>
      <c r="W211" s="7248"/>
      <c r="X211" s="7248"/>
      <c r="Y211" s="7249"/>
      <c r="Z211" s="7247"/>
      <c r="AA211" s="7248"/>
      <c r="AB211" s="7248"/>
      <c r="AC211" s="7248"/>
      <c r="AD211" s="7248"/>
      <c r="AE211" s="7248"/>
      <c r="AF211" s="7248"/>
      <c r="AG211" s="7249"/>
      <c r="AH211" s="7247"/>
      <c r="AI211" s="7248"/>
      <c r="AJ211" s="7248"/>
      <c r="AK211" s="7248"/>
      <c r="AL211" s="7248"/>
      <c r="AM211" s="7248"/>
      <c r="AN211" s="7248"/>
      <c r="AO211" s="7248"/>
      <c r="AP211" s="2757"/>
      <c r="BG211" s="3013"/>
      <c r="BH211" s="2595"/>
      <c r="BI211" s="2595"/>
      <c r="BJ211" s="2595"/>
      <c r="BK211" s="2595"/>
      <c r="BL211" s="2595"/>
      <c r="BM211" s="2595"/>
      <c r="BN211" s="2595"/>
      <c r="BO211" s="2595"/>
      <c r="BP211" s="2595"/>
    </row>
    <row r="212" spans="1:69" ht="13.5" customHeight="1">
      <c r="A212" s="2757"/>
      <c r="B212" s="3124" t="s">
        <v>143</v>
      </c>
      <c r="C212" s="7214"/>
      <c r="D212" s="7215"/>
      <c r="E212" s="7215"/>
      <c r="F212" s="7215"/>
      <c r="G212" s="7215"/>
      <c r="H212" s="7215"/>
      <c r="I212" s="7215"/>
      <c r="J212" s="7216"/>
      <c r="K212" s="7214"/>
      <c r="L212" s="7215"/>
      <c r="M212" s="7215"/>
      <c r="N212" s="7215"/>
      <c r="O212" s="7215"/>
      <c r="P212" s="7215"/>
      <c r="Q212" s="7215"/>
      <c r="R212" s="7309"/>
      <c r="S212" s="7214"/>
      <c r="T212" s="7215"/>
      <c r="U212" s="7215"/>
      <c r="V212" s="7215"/>
      <c r="W212" s="7215"/>
      <c r="X212" s="7215"/>
      <c r="Y212" s="7215"/>
      <c r="Z212" s="7214"/>
      <c r="AA212" s="7215"/>
      <c r="AB212" s="7215"/>
      <c r="AC212" s="7215"/>
      <c r="AD212" s="7215"/>
      <c r="AE212" s="7215"/>
      <c r="AF212" s="7215"/>
      <c r="AG212" s="7216"/>
      <c r="AH212" s="7214"/>
      <c r="AI212" s="7215"/>
      <c r="AJ212" s="7215"/>
      <c r="AK212" s="7215"/>
      <c r="AL212" s="7215"/>
      <c r="AM212" s="7215"/>
      <c r="AN212" s="7215"/>
      <c r="AO212" s="7215"/>
      <c r="AP212" s="2757"/>
      <c r="BG212" s="3013"/>
      <c r="BH212" s="2595"/>
      <c r="BI212" s="2595"/>
      <c r="BJ212" s="2595"/>
      <c r="BK212" s="2595"/>
      <c r="BL212" s="2595"/>
      <c r="BM212" s="2595"/>
      <c r="BN212" s="2595"/>
      <c r="BO212" s="2595"/>
      <c r="BP212" s="2595"/>
    </row>
    <row r="213" spans="1:69" ht="13.5" customHeight="1">
      <c r="A213" s="2757"/>
      <c r="B213" s="3123" t="s">
        <v>288</v>
      </c>
      <c r="C213" s="7214"/>
      <c r="D213" s="7215"/>
      <c r="E213" s="7215"/>
      <c r="F213" s="7215"/>
      <c r="G213" s="7215"/>
      <c r="H213" s="7215"/>
      <c r="I213" s="7215"/>
      <c r="J213" s="7216"/>
      <c r="K213" s="7214"/>
      <c r="L213" s="7215"/>
      <c r="M213" s="7215"/>
      <c r="N213" s="7215"/>
      <c r="O213" s="7215"/>
      <c r="P213" s="7215"/>
      <c r="Q213" s="7215"/>
      <c r="R213" s="7309"/>
      <c r="S213" s="7214"/>
      <c r="T213" s="7215"/>
      <c r="U213" s="7215"/>
      <c r="V213" s="7215"/>
      <c r="W213" s="7215"/>
      <c r="X213" s="7215"/>
      <c r="Y213" s="7215"/>
      <c r="Z213" s="7214"/>
      <c r="AA213" s="7215"/>
      <c r="AB213" s="7215"/>
      <c r="AC213" s="7215"/>
      <c r="AD213" s="7215"/>
      <c r="AE213" s="7215"/>
      <c r="AF213" s="7215"/>
      <c r="AG213" s="7216"/>
      <c r="AH213" s="7214"/>
      <c r="AI213" s="7215"/>
      <c r="AJ213" s="7215"/>
      <c r="AK213" s="7215"/>
      <c r="AL213" s="7215"/>
      <c r="AM213" s="7215"/>
      <c r="AN213" s="7215"/>
      <c r="AO213" s="7215"/>
      <c r="AP213" s="2757"/>
      <c r="BG213" s="3013"/>
      <c r="BH213" s="2595"/>
      <c r="BI213" s="2595"/>
      <c r="BJ213" s="2595"/>
      <c r="BK213" s="2595"/>
      <c r="BL213" s="2595"/>
      <c r="BM213" s="2595"/>
      <c r="BN213" s="2595"/>
      <c r="BO213" s="2595"/>
      <c r="BP213" s="2595"/>
    </row>
    <row r="214" spans="1:69" ht="13.5" customHeight="1">
      <c r="A214" s="2757"/>
      <c r="B214" s="3123" t="s">
        <v>144</v>
      </c>
      <c r="C214" s="7214"/>
      <c r="D214" s="7215"/>
      <c r="E214" s="7215"/>
      <c r="F214" s="7215"/>
      <c r="G214" s="7215"/>
      <c r="H214" s="7215"/>
      <c r="I214" s="7215"/>
      <c r="J214" s="7216"/>
      <c r="K214" s="7214"/>
      <c r="L214" s="7215"/>
      <c r="M214" s="7215"/>
      <c r="N214" s="7215"/>
      <c r="O214" s="7215"/>
      <c r="P214" s="7215"/>
      <c r="Q214" s="7215"/>
      <c r="R214" s="7309"/>
      <c r="S214" s="7214"/>
      <c r="T214" s="7215"/>
      <c r="U214" s="7215"/>
      <c r="V214" s="7215"/>
      <c r="W214" s="7215"/>
      <c r="X214" s="7215"/>
      <c r="Y214" s="7215"/>
      <c r="Z214" s="7214"/>
      <c r="AA214" s="7215"/>
      <c r="AB214" s="7215"/>
      <c r="AC214" s="7215"/>
      <c r="AD214" s="7215"/>
      <c r="AE214" s="7215"/>
      <c r="AF214" s="7215"/>
      <c r="AG214" s="7216"/>
      <c r="AH214" s="7214"/>
      <c r="AI214" s="7215"/>
      <c r="AJ214" s="7215"/>
      <c r="AK214" s="7215"/>
      <c r="AL214" s="7215"/>
      <c r="AM214" s="7215"/>
      <c r="AN214" s="7215"/>
      <c r="AO214" s="7215"/>
      <c r="AP214" s="2757"/>
      <c r="BG214" s="3013"/>
      <c r="BH214" s="2595"/>
      <c r="BI214" s="2595"/>
      <c r="BJ214" s="2595"/>
      <c r="BK214" s="2595"/>
      <c r="BL214" s="2595"/>
      <c r="BM214" s="2595"/>
      <c r="BN214" s="2595"/>
      <c r="BO214" s="2595"/>
      <c r="BP214" s="2595"/>
    </row>
    <row r="215" spans="1:69" ht="13.5" customHeight="1">
      <c r="A215" s="2757"/>
      <c r="B215" s="3123" t="s">
        <v>290</v>
      </c>
      <c r="C215" s="7214"/>
      <c r="D215" s="7215"/>
      <c r="E215" s="7215"/>
      <c r="F215" s="7215"/>
      <c r="G215" s="7215"/>
      <c r="H215" s="7215"/>
      <c r="I215" s="7215"/>
      <c r="J215" s="7216"/>
      <c r="K215" s="7214"/>
      <c r="L215" s="7215"/>
      <c r="M215" s="7215"/>
      <c r="N215" s="7215"/>
      <c r="O215" s="7215"/>
      <c r="P215" s="7215"/>
      <c r="Q215" s="7215"/>
      <c r="R215" s="7309"/>
      <c r="S215" s="7214"/>
      <c r="T215" s="7215"/>
      <c r="U215" s="7215"/>
      <c r="V215" s="7215"/>
      <c r="W215" s="7215"/>
      <c r="X215" s="7215"/>
      <c r="Y215" s="7215"/>
      <c r="Z215" s="7214"/>
      <c r="AA215" s="7215"/>
      <c r="AB215" s="7215"/>
      <c r="AC215" s="7215"/>
      <c r="AD215" s="7215"/>
      <c r="AE215" s="7215"/>
      <c r="AF215" s="7215"/>
      <c r="AG215" s="7216"/>
      <c r="AH215" s="7214"/>
      <c r="AI215" s="7215"/>
      <c r="AJ215" s="7215"/>
      <c r="AK215" s="7215"/>
      <c r="AL215" s="7215"/>
      <c r="AM215" s="7215"/>
      <c r="AN215" s="7215"/>
      <c r="AO215" s="7215"/>
      <c r="AP215" s="2757"/>
      <c r="BG215" s="3013"/>
      <c r="BH215" s="2595"/>
      <c r="BI215" s="2595"/>
      <c r="BJ215" s="2595"/>
      <c r="BK215" s="2595"/>
      <c r="BL215" s="2595"/>
      <c r="BM215" s="2595"/>
      <c r="BN215" s="2595"/>
      <c r="BO215" s="2595"/>
      <c r="BP215" s="2595"/>
    </row>
    <row r="216" spans="1:69" ht="13.5" customHeight="1">
      <c r="A216" s="2757"/>
      <c r="B216" s="7196" t="s">
        <v>1662</v>
      </c>
      <c r="C216" s="7196"/>
      <c r="D216" s="3490"/>
      <c r="E216" s="3490" t="s">
        <v>2363</v>
      </c>
      <c r="F216" s="1190"/>
      <c r="G216" s="3020"/>
      <c r="H216" s="3020"/>
      <c r="I216" s="3020"/>
      <c r="J216" s="1191"/>
      <c r="K216" s="7251">
        <f>ROUND(SUM(K212:K215),0)</f>
        <v>0</v>
      </c>
      <c r="L216" s="7252"/>
      <c r="M216" s="7252"/>
      <c r="N216" s="7252"/>
      <c r="O216" s="7252"/>
      <c r="P216" s="7252"/>
      <c r="Q216" s="7252"/>
      <c r="R216" s="7253"/>
      <c r="S216" s="7297"/>
      <c r="T216" s="7298"/>
      <c r="U216" s="7298"/>
      <c r="V216" s="7298"/>
      <c r="W216" s="7298"/>
      <c r="X216" s="7298"/>
      <c r="Y216" s="7298"/>
      <c r="Z216" s="3020"/>
      <c r="AA216" s="3020"/>
      <c r="AB216" s="3020"/>
      <c r="AC216" s="3020"/>
      <c r="AD216" s="3020"/>
      <c r="AE216" s="3020"/>
      <c r="AF216" s="3020"/>
      <c r="AG216" s="1191"/>
      <c r="AH216" s="7218">
        <f>ROUND(SUM(AH212:AH215),0)</f>
        <v>0</v>
      </c>
      <c r="AI216" s="7299"/>
      <c r="AJ216" s="7299"/>
      <c r="AK216" s="7299"/>
      <c r="AL216" s="7299"/>
      <c r="AM216" s="7299"/>
      <c r="AN216" s="7299"/>
      <c r="AO216" s="7299"/>
      <c r="AP216" s="2757"/>
      <c r="BG216" s="3013"/>
      <c r="BH216" s="2595"/>
      <c r="BI216" s="2595"/>
      <c r="BJ216" s="2595"/>
      <c r="BK216" s="2595"/>
      <c r="BL216" s="2595"/>
      <c r="BM216" s="2595"/>
      <c r="BN216" s="2595"/>
      <c r="BO216" s="2595"/>
      <c r="BP216" s="2595"/>
    </row>
    <row r="217" spans="1:69" ht="13.5" customHeight="1">
      <c r="A217" s="2757"/>
      <c r="B217" s="7254" t="s">
        <v>47</v>
      </c>
      <c r="C217" s="7254"/>
      <c r="D217" s="2686"/>
      <c r="E217" s="3490" t="s">
        <v>2363</v>
      </c>
      <c r="F217" s="7218">
        <f>ROUND(SUM(C212:C215),0)</f>
        <v>0</v>
      </c>
      <c r="G217" s="7299"/>
      <c r="H217" s="7299"/>
      <c r="I217" s="7299"/>
      <c r="J217" s="7300"/>
      <c r="K217" s="7301"/>
      <c r="L217" s="7302"/>
      <c r="M217" s="7302"/>
      <c r="N217" s="7302"/>
      <c r="O217" s="7302"/>
      <c r="P217" s="7302"/>
      <c r="Q217" s="7302"/>
      <c r="R217" s="7303"/>
      <c r="S217" s="7304">
        <f>ROUND(SUM(S212:S215),0)</f>
        <v>0</v>
      </c>
      <c r="T217" s="7252"/>
      <c r="U217" s="7252"/>
      <c r="V217" s="7252"/>
      <c r="W217" s="7252"/>
      <c r="X217" s="7252"/>
      <c r="Y217" s="7305"/>
      <c r="Z217" s="7306">
        <f>ROUND(SUM(Z212:Z215),0)</f>
        <v>0</v>
      </c>
      <c r="AA217" s="7306"/>
      <c r="AB217" s="7306"/>
      <c r="AC217" s="7306"/>
      <c r="AD217" s="7306"/>
      <c r="AE217" s="7306"/>
      <c r="AF217" s="7306"/>
      <c r="AG217" s="7306"/>
      <c r="AH217" s="7307"/>
      <c r="AI217" s="7307"/>
      <c r="AJ217" s="7307"/>
      <c r="AK217" s="7307"/>
      <c r="AL217" s="7307"/>
      <c r="AM217" s="7307"/>
      <c r="AN217" s="7307"/>
      <c r="AO217" s="7308"/>
      <c r="AP217" s="2757"/>
      <c r="BG217" s="3013"/>
      <c r="BH217" s="2595"/>
      <c r="BI217" s="2595"/>
      <c r="BJ217" s="2595"/>
      <c r="BK217" s="2595"/>
      <c r="BL217" s="2595"/>
      <c r="BM217" s="2595"/>
      <c r="BN217" s="2595"/>
      <c r="BO217" s="2595"/>
      <c r="BP217" s="2595"/>
    </row>
    <row r="218" spans="1:69" ht="12.75" customHeight="1">
      <c r="A218" s="2757"/>
      <c r="B218" s="7191">
        <v>30</v>
      </c>
      <c r="C218" s="7191"/>
      <c r="D218" s="2686" t="s">
        <v>2364</v>
      </c>
      <c r="E218" s="1179"/>
      <c r="F218" s="1179"/>
      <c r="G218" s="1179"/>
      <c r="H218" s="1179"/>
      <c r="I218" s="1179"/>
      <c r="J218" s="1179"/>
      <c r="K218" s="1179"/>
      <c r="L218" s="1179"/>
      <c r="M218" s="1179"/>
      <c r="N218" s="1179"/>
      <c r="O218" s="1179"/>
      <c r="P218" s="1179"/>
      <c r="Q218" s="1179"/>
      <c r="R218" s="1179"/>
      <c r="S218" s="1179"/>
      <c r="T218" s="1179"/>
      <c r="U218" s="1179"/>
      <c r="V218" s="1179"/>
      <c r="W218" s="1179"/>
      <c r="X218" s="1179"/>
      <c r="Y218" s="1179"/>
      <c r="Z218" s="1179"/>
      <c r="AA218" s="1179"/>
      <c r="AB218" s="1179"/>
      <c r="AC218" s="1179"/>
      <c r="AD218" s="1179"/>
      <c r="AE218" s="3489" t="s">
        <v>428</v>
      </c>
      <c r="AF218" s="7288">
        <v>30</v>
      </c>
      <c r="AG218" s="7289"/>
      <c r="AH218" s="7224">
        <f>SUM(K216,AH216)</f>
        <v>0</v>
      </c>
      <c r="AI218" s="7290"/>
      <c r="AJ218" s="7290"/>
      <c r="AK218" s="7290"/>
      <c r="AL218" s="7290"/>
      <c r="AM218" s="7290"/>
      <c r="AN218" s="7290"/>
      <c r="AO218" s="7290"/>
      <c r="AP218" s="2757"/>
      <c r="AQ218" s="385"/>
      <c r="AR218" s="385"/>
      <c r="AS218" s="385"/>
      <c r="BG218" s="3013"/>
      <c r="BH218" s="2595"/>
      <c r="BI218" s="2595"/>
      <c r="BJ218" s="2595"/>
      <c r="BK218" s="2595"/>
      <c r="BL218" s="2595"/>
      <c r="BM218" s="2595"/>
      <c r="BN218" s="2595"/>
      <c r="BO218" s="2595"/>
      <c r="BP218" s="2595"/>
    </row>
    <row r="219" spans="1:69" ht="12.75" customHeight="1" thickBot="1">
      <c r="A219" s="2757"/>
      <c r="B219" s="7191">
        <v>31</v>
      </c>
      <c r="C219" s="7191"/>
      <c r="D219" s="2686" t="s">
        <v>2365</v>
      </c>
      <c r="E219" s="1179"/>
      <c r="F219" s="1179"/>
      <c r="G219" s="1179"/>
      <c r="H219" s="1179"/>
      <c r="I219" s="1179"/>
      <c r="J219" s="1179"/>
      <c r="K219" s="1179"/>
      <c r="L219" s="1179"/>
      <c r="M219" s="1179"/>
      <c r="N219" s="1179"/>
      <c r="O219" s="1179"/>
      <c r="P219" s="1179"/>
      <c r="Q219" s="1179"/>
      <c r="R219" s="1179"/>
      <c r="S219" s="1179"/>
      <c r="T219" s="1179"/>
      <c r="U219" s="1179"/>
      <c r="V219" s="1179"/>
      <c r="W219" s="1179"/>
      <c r="X219" s="1179"/>
      <c r="Y219" s="1179"/>
      <c r="Z219" s="1179"/>
      <c r="AA219" s="1179"/>
      <c r="AB219" s="1179"/>
      <c r="AC219" s="1179"/>
      <c r="AD219" s="1179"/>
      <c r="AE219" s="3489" t="s">
        <v>94</v>
      </c>
      <c r="AF219" s="7288">
        <v>31</v>
      </c>
      <c r="AG219" s="7289"/>
      <c r="AH219" s="3494" t="s">
        <v>916</v>
      </c>
      <c r="AI219" s="7291">
        <f>SUM(F217,S217,Z217)</f>
        <v>0</v>
      </c>
      <c r="AJ219" s="7141"/>
      <c r="AK219" s="7141"/>
      <c r="AL219" s="7141"/>
      <c r="AM219" s="7141"/>
      <c r="AN219" s="7141"/>
      <c r="AO219" s="3495" t="s">
        <v>917</v>
      </c>
      <c r="AP219" s="2757"/>
      <c r="AQ219" s="385"/>
      <c r="AR219" s="2410" t="s">
        <v>91</v>
      </c>
      <c r="AS219" s="385"/>
      <c r="BG219" s="3013"/>
      <c r="BH219" s="2595"/>
      <c r="BI219" s="2595"/>
      <c r="BJ219" s="2595"/>
      <c r="BK219" s="2595"/>
      <c r="BL219" s="2595"/>
      <c r="BM219" s="2595"/>
      <c r="BN219" s="2595"/>
      <c r="BO219" s="2595"/>
      <c r="BP219" s="2595"/>
    </row>
    <row r="220" spans="1:69" ht="12.75" customHeight="1" thickBot="1">
      <c r="A220" s="2757"/>
      <c r="B220" s="7292">
        <v>32</v>
      </c>
      <c r="C220" s="7292"/>
      <c r="D220" s="4231" t="s">
        <v>2366</v>
      </c>
      <c r="E220" s="1280"/>
      <c r="F220" s="1280"/>
      <c r="G220" s="1280"/>
      <c r="H220" s="1280"/>
      <c r="I220" s="1280"/>
      <c r="J220" s="1280"/>
      <c r="K220" s="1280"/>
      <c r="L220" s="1280"/>
      <c r="M220" s="1280"/>
      <c r="N220" s="1280"/>
      <c r="O220" s="1280"/>
      <c r="P220" s="1280"/>
      <c r="Q220" s="1280"/>
      <c r="R220" s="1280"/>
      <c r="S220" s="1280"/>
      <c r="T220" s="1280"/>
      <c r="U220" s="1280"/>
      <c r="V220" s="1280"/>
      <c r="W220" s="1280"/>
      <c r="X220" s="1280"/>
      <c r="Y220" s="1280"/>
      <c r="Z220" s="1280"/>
      <c r="AA220" s="1280"/>
      <c r="AB220" s="1280"/>
      <c r="AC220" s="1280"/>
      <c r="AD220" s="1280"/>
      <c r="AE220" s="3491" t="s">
        <v>697</v>
      </c>
      <c r="AF220" s="7293">
        <v>32</v>
      </c>
      <c r="AG220" s="7294"/>
      <c r="AH220" s="7295">
        <f>IF(AR220&lt;&gt;"",ROUND(AR220,0),SUM(AH218,-AI219))</f>
        <v>0</v>
      </c>
      <c r="AI220" s="7296"/>
      <c r="AJ220" s="7296"/>
      <c r="AK220" s="7296"/>
      <c r="AL220" s="7296"/>
      <c r="AM220" s="7296"/>
      <c r="AN220" s="7296"/>
      <c r="AO220" s="7296"/>
      <c r="AP220" s="2757"/>
      <c r="AQ220" s="385"/>
      <c r="AR220" s="3141"/>
      <c r="AS220" s="385"/>
      <c r="BG220" s="3013"/>
      <c r="BH220" s="2595"/>
      <c r="BI220" s="2595"/>
      <c r="BJ220" s="2595"/>
      <c r="BK220" s="2595"/>
      <c r="BL220" s="2595"/>
      <c r="BM220" s="2595"/>
      <c r="BN220" s="2595"/>
      <c r="BO220" s="2595"/>
      <c r="BP220" s="2595"/>
    </row>
    <row r="221" spans="1:69" s="2689" customFormat="1" ht="17.25" customHeight="1">
      <c r="A221" s="2758"/>
      <c r="B221" s="7274" t="s">
        <v>319</v>
      </c>
      <c r="C221" s="7274"/>
      <c r="D221" s="7275"/>
      <c r="E221" s="1397"/>
      <c r="F221" s="3493" t="s">
        <v>2367</v>
      </c>
      <c r="G221" s="1397"/>
      <c r="H221" s="1397"/>
      <c r="I221" s="1397"/>
      <c r="J221" s="1397"/>
      <c r="K221" s="1397"/>
      <c r="L221" s="1397"/>
      <c r="M221" s="1397"/>
      <c r="N221" s="1397"/>
      <c r="O221" s="1397"/>
      <c r="P221" s="1397"/>
      <c r="Q221" s="1397"/>
      <c r="R221" s="1397"/>
      <c r="S221" s="1397"/>
      <c r="T221" s="1397"/>
      <c r="U221" s="1397"/>
      <c r="V221" s="1397"/>
      <c r="W221" s="1397"/>
      <c r="X221" s="2791"/>
      <c r="Y221" s="1397"/>
      <c r="Z221" s="1397"/>
      <c r="AA221" s="1397"/>
      <c r="AB221" s="1397"/>
      <c r="AC221" s="1397"/>
      <c r="AD221" s="1397"/>
      <c r="AE221" s="1397"/>
      <c r="AF221" s="1397"/>
      <c r="AG221" s="1397"/>
      <c r="AH221" s="1397"/>
      <c r="AI221" s="1397"/>
      <c r="AJ221" s="1397"/>
      <c r="AK221" s="1397"/>
      <c r="AL221" s="1397"/>
      <c r="AM221" s="1397"/>
      <c r="AN221" s="1397"/>
      <c r="AO221" s="1397"/>
      <c r="AP221" s="2757"/>
      <c r="AQ221" s="385"/>
      <c r="AR221" s="385"/>
      <c r="AS221" s="385"/>
      <c r="AX221" s="42"/>
      <c r="AY221" s="42"/>
      <c r="AZ221" s="42"/>
      <c r="BA221" s="42"/>
      <c r="BB221" s="42"/>
      <c r="BC221" s="42"/>
      <c r="BD221" s="42"/>
      <c r="BG221" s="3013"/>
      <c r="BH221" s="2595"/>
      <c r="BI221" s="2595"/>
      <c r="BJ221" s="2595"/>
      <c r="BK221" s="2595"/>
      <c r="BL221" s="2595"/>
      <c r="BM221" s="2595"/>
      <c r="BN221" s="2595"/>
      <c r="BO221" s="2595"/>
      <c r="BP221" s="2595"/>
      <c r="BQ221" s="3402"/>
    </row>
    <row r="222" spans="1:69" ht="12.75" customHeight="1">
      <c r="A222" s="2757"/>
      <c r="B222" s="1574"/>
      <c r="C222" s="1574"/>
      <c r="D222" s="1574"/>
      <c r="E222" s="1574"/>
      <c r="F222" s="1574"/>
      <c r="G222" s="1574"/>
      <c r="H222" s="1574"/>
      <c r="I222" s="1574"/>
      <c r="J222" s="1574"/>
      <c r="K222" s="1574"/>
      <c r="L222" s="1574"/>
      <c r="M222" s="1574"/>
      <c r="N222" s="1574"/>
      <c r="O222" s="1574"/>
      <c r="P222" s="1574"/>
      <c r="Q222" s="1574"/>
      <c r="R222" s="1574"/>
      <c r="S222" s="1574"/>
      <c r="T222" s="1574"/>
      <c r="U222" s="1574"/>
      <c r="V222" s="1574"/>
      <c r="W222" s="1574"/>
      <c r="X222" s="1574"/>
      <c r="Y222" s="1574"/>
      <c r="Z222" s="1574"/>
      <c r="AA222" s="1574"/>
      <c r="AB222" s="1574"/>
      <c r="AC222" s="1574"/>
      <c r="AD222" s="1574"/>
      <c r="AE222" s="1574"/>
      <c r="AF222" s="1574"/>
      <c r="AG222" s="1575"/>
      <c r="AH222" s="7241" t="s">
        <v>2368</v>
      </c>
      <c r="AI222" s="7276"/>
      <c r="AJ222" s="7276"/>
      <c r="AK222" s="7276"/>
      <c r="AL222" s="7276"/>
      <c r="AM222" s="7276"/>
      <c r="AN222" s="7276"/>
      <c r="AO222" s="7276"/>
      <c r="AP222" s="2757"/>
      <c r="BG222" s="3013"/>
      <c r="BH222" s="2595"/>
      <c r="BI222" s="2595"/>
      <c r="BJ222" s="2595"/>
      <c r="BK222" s="2595"/>
      <c r="BL222" s="2595"/>
      <c r="BM222" s="2595"/>
      <c r="BN222" s="2595"/>
      <c r="BO222" s="2595"/>
      <c r="BP222" s="2595"/>
    </row>
    <row r="223" spans="1:69" ht="12.75" customHeight="1">
      <c r="A223" s="2757"/>
      <c r="B223" s="7250">
        <v>33</v>
      </c>
      <c r="C223" s="6371"/>
      <c r="D223" s="1179"/>
      <c r="E223" s="1179"/>
      <c r="F223" s="1179"/>
      <c r="G223" s="1179"/>
      <c r="H223" s="1179"/>
      <c r="I223" s="1179"/>
      <c r="J223" s="1179"/>
      <c r="K223" s="1179"/>
      <c r="L223" s="1179"/>
      <c r="M223" s="1179"/>
      <c r="N223" s="1179"/>
      <c r="O223" s="1179"/>
      <c r="P223" s="1276" t="s">
        <v>2353</v>
      </c>
      <c r="Q223" s="1179"/>
      <c r="R223" s="1179"/>
      <c r="S223" s="1179"/>
      <c r="T223" s="1179"/>
      <c r="U223" s="1179"/>
      <c r="V223" s="1179"/>
      <c r="W223" s="1179"/>
      <c r="X223" s="1179"/>
      <c r="Y223" s="1179"/>
      <c r="Z223" s="1179"/>
      <c r="AA223" s="1179"/>
      <c r="AB223" s="1179"/>
      <c r="AC223" s="1179"/>
      <c r="AD223" s="1179"/>
      <c r="AE223" s="1179"/>
      <c r="AF223" s="1179"/>
      <c r="AG223" s="1583"/>
      <c r="AH223" s="7277"/>
      <c r="AI223" s="7179"/>
      <c r="AJ223" s="7179"/>
      <c r="AK223" s="7179"/>
      <c r="AL223" s="7179"/>
      <c r="AM223" s="7179"/>
      <c r="AN223" s="7179"/>
      <c r="AO223" s="7179"/>
      <c r="AP223" s="2757"/>
      <c r="AX223" s="2689"/>
      <c r="AY223" s="2689"/>
      <c r="AZ223" s="2689"/>
      <c r="BA223" s="2689"/>
      <c r="BB223" s="2689"/>
      <c r="BC223" s="2689"/>
      <c r="BD223" s="2689"/>
      <c r="BG223" s="3013"/>
      <c r="BH223" s="2595"/>
      <c r="BI223" s="2595"/>
      <c r="BJ223" s="2595"/>
      <c r="BK223" s="2595"/>
      <c r="BL223" s="2595"/>
      <c r="BM223" s="2595"/>
      <c r="BN223" s="2595"/>
      <c r="BO223" s="2595"/>
      <c r="BP223" s="2595"/>
    </row>
    <row r="224" spans="1:69" ht="12.75" customHeight="1">
      <c r="A224" s="2757"/>
      <c r="B224" s="1553"/>
      <c r="C224" s="1553"/>
      <c r="D224" s="1553"/>
      <c r="E224" s="1553"/>
      <c r="F224" s="1553"/>
      <c r="G224" s="1553"/>
      <c r="H224" s="1553"/>
      <c r="I224" s="1553"/>
      <c r="J224" s="1553"/>
      <c r="K224" s="1553"/>
      <c r="L224" s="1553"/>
      <c r="M224" s="1553"/>
      <c r="N224" s="1553"/>
      <c r="O224" s="1553"/>
      <c r="P224" s="1553"/>
      <c r="Q224" s="1553"/>
      <c r="R224" s="1553"/>
      <c r="S224" s="1553"/>
      <c r="T224" s="1553"/>
      <c r="U224" s="1553"/>
      <c r="V224" s="1553"/>
      <c r="W224" s="1553"/>
      <c r="X224" s="1553"/>
      <c r="Y224" s="1553"/>
      <c r="Z224" s="1553"/>
      <c r="AA224" s="1553"/>
      <c r="AB224" s="1553"/>
      <c r="AC224" s="1553"/>
      <c r="AD224" s="1553"/>
      <c r="AE224" s="1553"/>
      <c r="AF224" s="1553"/>
      <c r="AG224" s="3008"/>
      <c r="AH224" s="7278"/>
      <c r="AI224" s="6763"/>
      <c r="AJ224" s="6763"/>
      <c r="AK224" s="6763"/>
      <c r="AL224" s="6763"/>
      <c r="AM224" s="6763"/>
      <c r="AN224" s="6763"/>
      <c r="AO224" s="6763"/>
      <c r="AP224" s="2757"/>
      <c r="BG224" s="3013"/>
      <c r="BH224" s="2595"/>
      <c r="BI224" s="2595"/>
      <c r="BJ224" s="2595"/>
      <c r="BK224" s="2595"/>
      <c r="BL224" s="2595"/>
      <c r="BM224" s="2595"/>
      <c r="BN224" s="2595"/>
      <c r="BO224" s="2595"/>
      <c r="BP224" s="2595"/>
    </row>
    <row r="225" spans="1:69" ht="13.5" customHeight="1">
      <c r="A225" s="2757"/>
      <c r="B225" s="3124" t="s">
        <v>143</v>
      </c>
      <c r="C225" s="7279"/>
      <c r="D225" s="7280"/>
      <c r="E225" s="7280"/>
      <c r="F225" s="7280"/>
      <c r="G225" s="7280"/>
      <c r="H225" s="7280"/>
      <c r="I225" s="7280"/>
      <c r="J225" s="7280"/>
      <c r="K225" s="7281"/>
      <c r="L225" s="7281"/>
      <c r="M225" s="7281"/>
      <c r="N225" s="7281"/>
      <c r="O225" s="7281"/>
      <c r="P225" s="7281"/>
      <c r="Q225" s="7281"/>
      <c r="R225" s="7281"/>
      <c r="S225" s="7281"/>
      <c r="T225" s="7281"/>
      <c r="U225" s="7281"/>
      <c r="V225" s="7281"/>
      <c r="W225" s="7281"/>
      <c r="X225" s="7281"/>
      <c r="Y225" s="7281"/>
      <c r="Z225" s="7281"/>
      <c r="AA225" s="7281"/>
      <c r="AB225" s="7281"/>
      <c r="AC225" s="7281"/>
      <c r="AD225" s="7281"/>
      <c r="AE225" s="7281"/>
      <c r="AF225" s="7281"/>
      <c r="AG225" s="7282"/>
      <c r="AH225" s="7283"/>
      <c r="AI225" s="7284"/>
      <c r="AJ225" s="7284"/>
      <c r="AK225" s="7284"/>
      <c r="AL225" s="7284"/>
      <c r="AM225" s="7284"/>
      <c r="AN225" s="7284"/>
      <c r="AO225" s="7284"/>
      <c r="AP225" s="2757"/>
      <c r="BG225" s="3013"/>
      <c r="BH225" s="2595"/>
      <c r="BI225" s="2595"/>
      <c r="BJ225" s="2595"/>
      <c r="BK225" s="2595"/>
      <c r="BL225" s="2595"/>
      <c r="BM225" s="2595"/>
      <c r="BN225" s="2595"/>
      <c r="BO225" s="2595"/>
      <c r="BP225" s="2595"/>
    </row>
    <row r="226" spans="1:69" ht="13.5" customHeight="1">
      <c r="A226" s="2757"/>
      <c r="B226" s="3123" t="s">
        <v>288</v>
      </c>
      <c r="C226" s="7279"/>
      <c r="D226" s="7280"/>
      <c r="E226" s="7280"/>
      <c r="F226" s="7280"/>
      <c r="G226" s="7280"/>
      <c r="H226" s="7280"/>
      <c r="I226" s="7280"/>
      <c r="J226" s="7280"/>
      <c r="K226" s="7281"/>
      <c r="L226" s="7281"/>
      <c r="M226" s="7281"/>
      <c r="N226" s="7281"/>
      <c r="O226" s="7281"/>
      <c r="P226" s="7281"/>
      <c r="Q226" s="7281"/>
      <c r="R226" s="7281"/>
      <c r="S226" s="7281"/>
      <c r="T226" s="7281"/>
      <c r="U226" s="7281"/>
      <c r="V226" s="7281"/>
      <c r="W226" s="7281"/>
      <c r="X226" s="7281"/>
      <c r="Y226" s="7281"/>
      <c r="Z226" s="7281"/>
      <c r="AA226" s="7281"/>
      <c r="AB226" s="7281"/>
      <c r="AC226" s="7281"/>
      <c r="AD226" s="7281"/>
      <c r="AE226" s="7281"/>
      <c r="AF226" s="7281"/>
      <c r="AG226" s="7282"/>
      <c r="AH226" s="7283"/>
      <c r="AI226" s="7284"/>
      <c r="AJ226" s="7284"/>
      <c r="AK226" s="7284"/>
      <c r="AL226" s="7284"/>
      <c r="AM226" s="7284"/>
      <c r="AN226" s="7284"/>
      <c r="AO226" s="7284"/>
      <c r="AP226" s="2757"/>
      <c r="BG226" s="3013"/>
      <c r="BH226" s="2595"/>
      <c r="BI226" s="2595"/>
      <c r="BJ226" s="2595"/>
      <c r="BK226" s="2595"/>
      <c r="BL226" s="2595"/>
      <c r="BM226" s="2595"/>
      <c r="BN226" s="2595"/>
      <c r="BO226" s="2595"/>
      <c r="BP226" s="2595"/>
    </row>
    <row r="227" spans="1:69" ht="17.25" customHeight="1">
      <c r="A227" s="2757"/>
      <c r="B227" s="7285" t="s">
        <v>679</v>
      </c>
      <c r="C227" s="6206"/>
      <c r="D227" s="6206"/>
      <c r="E227" s="6206"/>
      <c r="F227" s="6206"/>
      <c r="G227" s="6206"/>
      <c r="H227" s="6206"/>
      <c r="I227" s="6206"/>
      <c r="J227" s="6206"/>
      <c r="K227" s="6206"/>
      <c r="L227" s="6206"/>
      <c r="M227" s="6206"/>
      <c r="N227" s="6206"/>
      <c r="O227" s="6206"/>
      <c r="P227" s="6206"/>
      <c r="Q227" s="6206"/>
      <c r="R227" s="6206"/>
      <c r="S227" s="6206"/>
      <c r="T227" s="6206"/>
      <c r="U227" s="6206"/>
      <c r="V227" s="6206"/>
      <c r="W227" s="6206"/>
      <c r="X227" s="7286"/>
      <c r="Y227" s="7287" t="s">
        <v>680</v>
      </c>
      <c r="Z227" s="6206"/>
      <c r="AA227" s="6206"/>
      <c r="AB227" s="6206"/>
      <c r="AC227" s="6206"/>
      <c r="AD227" s="6206"/>
      <c r="AE227" s="6206"/>
      <c r="AF227" s="6206"/>
      <c r="AG227" s="6206"/>
      <c r="AH227" s="6206"/>
      <c r="AI227" s="6206"/>
      <c r="AJ227" s="6206"/>
      <c r="AK227" s="6206"/>
      <c r="AL227" s="6206"/>
      <c r="AM227" s="6206"/>
      <c r="AN227" s="6206"/>
      <c r="AO227" s="6206"/>
      <c r="AP227" s="2757"/>
      <c r="BG227" s="3013"/>
      <c r="BH227" s="2595"/>
      <c r="BI227" s="2595"/>
      <c r="BJ227" s="2595"/>
      <c r="BK227" s="2595"/>
      <c r="BL227" s="2595"/>
      <c r="BM227" s="2595"/>
      <c r="BN227" s="2595"/>
      <c r="BO227" s="2595"/>
      <c r="BP227" s="2595"/>
    </row>
    <row r="228" spans="1:69" ht="12.75" customHeight="1">
      <c r="A228" s="2757"/>
      <c r="B228" s="7257" t="s">
        <v>2372</v>
      </c>
      <c r="C228" s="6720"/>
      <c r="D228" s="6720"/>
      <c r="E228" s="6720"/>
      <c r="F228" s="6720"/>
      <c r="G228" s="6720"/>
      <c r="H228" s="6720"/>
      <c r="I228" s="6720"/>
      <c r="J228" s="6720"/>
      <c r="K228" s="6720"/>
      <c r="L228" s="6720"/>
      <c r="M228" s="6720"/>
      <c r="N228" s="7258"/>
      <c r="O228" s="7261" t="s">
        <v>2370</v>
      </c>
      <c r="P228" s="6869"/>
      <c r="Q228" s="6869"/>
      <c r="R228" s="6869"/>
      <c r="S228" s="6869"/>
      <c r="T228" s="6869"/>
      <c r="U228" s="6869"/>
      <c r="V228" s="6869"/>
      <c r="W228" s="6869"/>
      <c r="X228" s="6869"/>
      <c r="Y228" s="7266" t="s">
        <v>2369</v>
      </c>
      <c r="Z228" s="6720"/>
      <c r="AA228" s="6720"/>
      <c r="AB228" s="6720"/>
      <c r="AC228" s="6720"/>
      <c r="AD228" s="6720"/>
      <c r="AE228" s="6720"/>
      <c r="AF228" s="6720"/>
      <c r="AG228" s="7258"/>
      <c r="AH228" s="7261" t="s">
        <v>2371</v>
      </c>
      <c r="AI228" s="6869"/>
      <c r="AJ228" s="6869"/>
      <c r="AK228" s="6869"/>
      <c r="AL228" s="6869"/>
      <c r="AM228" s="6869"/>
      <c r="AN228" s="6869"/>
      <c r="AO228" s="6869"/>
      <c r="AP228" s="2757"/>
      <c r="BG228" s="3013"/>
      <c r="BH228" s="2595"/>
      <c r="BI228" s="2595"/>
      <c r="BJ228" s="2595"/>
      <c r="BK228" s="2595"/>
      <c r="BL228" s="2595"/>
      <c r="BM228" s="2595"/>
      <c r="BN228" s="2595"/>
      <c r="BO228" s="2595"/>
      <c r="BP228" s="2595"/>
    </row>
    <row r="229" spans="1:69" ht="12.75" customHeight="1">
      <c r="A229" s="2757"/>
      <c r="B229" s="6618"/>
      <c r="C229" s="6618"/>
      <c r="D229" s="6618"/>
      <c r="E229" s="6618"/>
      <c r="F229" s="6618"/>
      <c r="G229" s="6618"/>
      <c r="H229" s="6618"/>
      <c r="I229" s="6618"/>
      <c r="J229" s="6618"/>
      <c r="K229" s="6618"/>
      <c r="L229" s="6618"/>
      <c r="M229" s="6618"/>
      <c r="N229" s="7259"/>
      <c r="O229" s="7262"/>
      <c r="P229" s="7263"/>
      <c r="Q229" s="7263"/>
      <c r="R229" s="7263"/>
      <c r="S229" s="7263"/>
      <c r="T229" s="7263"/>
      <c r="U229" s="7263"/>
      <c r="V229" s="7263"/>
      <c r="W229" s="7263"/>
      <c r="X229" s="7263"/>
      <c r="Y229" s="6721"/>
      <c r="Z229" s="6618"/>
      <c r="AA229" s="6618"/>
      <c r="AB229" s="6618"/>
      <c r="AC229" s="6618"/>
      <c r="AD229" s="6618"/>
      <c r="AE229" s="6618"/>
      <c r="AF229" s="6618"/>
      <c r="AG229" s="7259"/>
      <c r="AH229" s="7262"/>
      <c r="AI229" s="7263"/>
      <c r="AJ229" s="7263"/>
      <c r="AK229" s="7263"/>
      <c r="AL229" s="7263"/>
      <c r="AM229" s="7263"/>
      <c r="AN229" s="7263"/>
      <c r="AO229" s="7263"/>
      <c r="AP229" s="2757"/>
      <c r="BG229" s="3013"/>
      <c r="BH229" s="2595"/>
      <c r="BI229" s="2595"/>
      <c r="BJ229" s="2595"/>
      <c r="BK229" s="2595"/>
      <c r="BL229" s="2595"/>
      <c r="BM229" s="2595"/>
      <c r="BN229" s="2595"/>
      <c r="BO229" s="2595"/>
      <c r="BP229" s="2595"/>
    </row>
    <row r="230" spans="1:69" ht="12.75" customHeight="1">
      <c r="A230" s="2757"/>
      <c r="B230" s="6616"/>
      <c r="C230" s="6616"/>
      <c r="D230" s="6616"/>
      <c r="E230" s="6616"/>
      <c r="F230" s="6616"/>
      <c r="G230" s="6616"/>
      <c r="H230" s="6616"/>
      <c r="I230" s="6616"/>
      <c r="J230" s="6616"/>
      <c r="K230" s="6616"/>
      <c r="L230" s="6616"/>
      <c r="M230" s="6616"/>
      <c r="N230" s="7260"/>
      <c r="O230" s="7264"/>
      <c r="P230" s="7265"/>
      <c r="Q230" s="7265"/>
      <c r="R230" s="7265"/>
      <c r="S230" s="7265"/>
      <c r="T230" s="7265"/>
      <c r="U230" s="7265"/>
      <c r="V230" s="7265"/>
      <c r="W230" s="7265"/>
      <c r="X230" s="7265"/>
      <c r="Y230" s="7267"/>
      <c r="Z230" s="6616"/>
      <c r="AA230" s="6616"/>
      <c r="AB230" s="6616"/>
      <c r="AC230" s="6616"/>
      <c r="AD230" s="6616"/>
      <c r="AE230" s="6616"/>
      <c r="AF230" s="6616"/>
      <c r="AG230" s="7260"/>
      <c r="AH230" s="7264"/>
      <c r="AI230" s="7265"/>
      <c r="AJ230" s="7265"/>
      <c r="AK230" s="7265"/>
      <c r="AL230" s="7265"/>
      <c r="AM230" s="7265"/>
      <c r="AN230" s="7265"/>
      <c r="AO230" s="7265"/>
      <c r="AP230" s="2757"/>
      <c r="BG230" s="3013"/>
      <c r="BH230" s="2595"/>
      <c r="BI230" s="2595"/>
      <c r="BJ230" s="2595"/>
      <c r="BK230" s="2595"/>
      <c r="BL230" s="2595"/>
      <c r="BM230" s="2595"/>
      <c r="BN230" s="2595"/>
      <c r="BO230" s="2595"/>
      <c r="BP230" s="2595"/>
    </row>
    <row r="231" spans="1:69" ht="13.5" customHeight="1">
      <c r="A231" s="2757"/>
      <c r="B231" s="3124" t="s">
        <v>143</v>
      </c>
      <c r="C231" s="7199"/>
      <c r="D231" s="7200"/>
      <c r="E231" s="7200"/>
      <c r="F231" s="7200"/>
      <c r="G231" s="7200"/>
      <c r="H231" s="7200"/>
      <c r="I231" s="7200"/>
      <c r="J231" s="7200"/>
      <c r="K231" s="7200"/>
      <c r="L231" s="7200"/>
      <c r="M231" s="7200"/>
      <c r="N231" s="7268"/>
      <c r="O231" s="7269"/>
      <c r="P231" s="7270"/>
      <c r="Q231" s="7270"/>
      <c r="R231" s="7270"/>
      <c r="S231" s="7270"/>
      <c r="T231" s="7270"/>
      <c r="U231" s="7270"/>
      <c r="V231" s="7270"/>
      <c r="W231" s="7270"/>
      <c r="X231" s="7271"/>
      <c r="Y231" s="7272"/>
      <c r="Z231" s="7273"/>
      <c r="AA231" s="7273"/>
      <c r="AB231" s="7273"/>
      <c r="AC231" s="7273"/>
      <c r="AD231" s="7273"/>
      <c r="AE231" s="7273"/>
      <c r="AF231" s="7273"/>
      <c r="AG231" s="7273"/>
      <c r="AH231" s="7273"/>
      <c r="AI231" s="7273"/>
      <c r="AJ231" s="7273"/>
      <c r="AK231" s="7273"/>
      <c r="AL231" s="7273"/>
      <c r="AM231" s="7273"/>
      <c r="AN231" s="7273"/>
      <c r="AO231" s="7269"/>
      <c r="AP231" s="2757"/>
      <c r="BG231" s="3013"/>
      <c r="BH231" s="2595"/>
      <c r="BI231" s="2595"/>
      <c r="BJ231" s="2595"/>
      <c r="BK231" s="2595"/>
      <c r="BL231" s="2595"/>
      <c r="BM231" s="2595"/>
      <c r="BN231" s="2595"/>
      <c r="BO231" s="2595"/>
      <c r="BP231" s="2595"/>
    </row>
    <row r="232" spans="1:69" ht="13.5" customHeight="1">
      <c r="A232" s="2757"/>
      <c r="B232" s="3124" t="s">
        <v>288</v>
      </c>
      <c r="C232" s="7199"/>
      <c r="D232" s="7200"/>
      <c r="E232" s="7200"/>
      <c r="F232" s="7200"/>
      <c r="G232" s="7200"/>
      <c r="H232" s="7200"/>
      <c r="I232" s="7200"/>
      <c r="J232" s="7200"/>
      <c r="K232" s="7200"/>
      <c r="L232" s="7200"/>
      <c r="M232" s="7200"/>
      <c r="N232" s="7268"/>
      <c r="O232" s="7269"/>
      <c r="P232" s="7270"/>
      <c r="Q232" s="7270"/>
      <c r="R232" s="7270"/>
      <c r="S232" s="7270"/>
      <c r="T232" s="7270"/>
      <c r="U232" s="7270"/>
      <c r="V232" s="7270"/>
      <c r="W232" s="7270"/>
      <c r="X232" s="7271"/>
      <c r="Y232" s="7272"/>
      <c r="Z232" s="7273"/>
      <c r="AA232" s="7273"/>
      <c r="AB232" s="7273"/>
      <c r="AC232" s="7273"/>
      <c r="AD232" s="7273"/>
      <c r="AE232" s="7273"/>
      <c r="AF232" s="7273"/>
      <c r="AG232" s="7273"/>
      <c r="AH232" s="7273"/>
      <c r="AI232" s="7273"/>
      <c r="AJ232" s="7273"/>
      <c r="AK232" s="7273"/>
      <c r="AL232" s="7273"/>
      <c r="AM232" s="7273"/>
      <c r="AN232" s="7273"/>
      <c r="AO232" s="7269"/>
      <c r="AP232" s="2757"/>
      <c r="BG232" s="3013"/>
      <c r="BH232" s="2595"/>
      <c r="BI232" s="2595"/>
      <c r="BJ232" s="2595"/>
      <c r="BK232" s="2595"/>
      <c r="BL232" s="2595"/>
      <c r="BM232" s="2595"/>
      <c r="BN232" s="2595"/>
      <c r="BO232" s="2595"/>
      <c r="BP232" s="2595"/>
    </row>
    <row r="233" spans="1:69" ht="13.5" customHeight="1">
      <c r="A233" s="2757"/>
      <c r="B233" s="7196" t="s">
        <v>2373</v>
      </c>
      <c r="C233" s="7196"/>
      <c r="D233" s="2686" t="s">
        <v>2363</v>
      </c>
      <c r="E233" s="1179"/>
      <c r="F233" s="1190"/>
      <c r="G233" s="3020"/>
      <c r="H233" s="3020"/>
      <c r="I233" s="3020"/>
      <c r="J233" s="3020"/>
      <c r="K233" s="3020"/>
      <c r="L233" s="3020"/>
      <c r="M233" s="3020"/>
      <c r="N233" s="1191"/>
      <c r="O233" s="7251">
        <f>ROUND(SUM(O231:O232),0)</f>
        <v>0</v>
      </c>
      <c r="P233" s="7252"/>
      <c r="Q233" s="7252"/>
      <c r="R233" s="7252"/>
      <c r="S233" s="7252"/>
      <c r="T233" s="7252"/>
      <c r="U233" s="7252"/>
      <c r="V233" s="7252"/>
      <c r="W233" s="7252"/>
      <c r="X233" s="7253"/>
      <c r="Y233" s="3125"/>
      <c r="Z233" s="3020"/>
      <c r="AA233" s="3020"/>
      <c r="AB233" s="3020"/>
      <c r="AC233" s="3020"/>
      <c r="AD233" s="3020"/>
      <c r="AE233" s="3020"/>
      <c r="AF233" s="3020"/>
      <c r="AG233" s="1191"/>
      <c r="AH233" s="7218">
        <f>ROUND(SUM(AH231:AH232),0)</f>
        <v>0</v>
      </c>
      <c r="AI233" s="7219"/>
      <c r="AJ233" s="7219"/>
      <c r="AK233" s="7219"/>
      <c r="AL233" s="7219"/>
      <c r="AM233" s="7219"/>
      <c r="AN233" s="7219"/>
      <c r="AO233" s="7219"/>
      <c r="AP233" s="2757"/>
      <c r="BG233" s="3013"/>
      <c r="BH233" s="2595"/>
      <c r="BI233" s="2595"/>
      <c r="BJ233" s="2595"/>
      <c r="BK233" s="2595"/>
      <c r="BL233" s="2595"/>
      <c r="BM233" s="2595"/>
      <c r="BN233" s="2595"/>
      <c r="BO233" s="2595"/>
      <c r="BP233" s="2595"/>
    </row>
    <row r="234" spans="1:69" ht="13.5" customHeight="1">
      <c r="A234" s="2757"/>
      <c r="B234" s="7254" t="s">
        <v>47</v>
      </c>
      <c r="C234" s="7254"/>
      <c r="D234" s="2686" t="s">
        <v>2363</v>
      </c>
      <c r="E234" s="1179"/>
      <c r="F234" s="7218">
        <f>ROUND(SUM(C231:C232),0)</f>
        <v>0</v>
      </c>
      <c r="G234" s="7255"/>
      <c r="H234" s="7255"/>
      <c r="I234" s="7255"/>
      <c r="J234" s="7255"/>
      <c r="K234" s="7255"/>
      <c r="L234" s="7255"/>
      <c r="M234" s="7255"/>
      <c r="N234" s="7256"/>
      <c r="O234" s="3126"/>
      <c r="P234" s="3005"/>
      <c r="Q234" s="3005"/>
      <c r="R234" s="3005"/>
      <c r="S234" s="3005"/>
      <c r="T234" s="3005"/>
      <c r="U234" s="3005"/>
      <c r="V234" s="3005"/>
      <c r="W234" s="3005"/>
      <c r="X234" s="3127"/>
      <c r="Y234" s="7218">
        <f>ROUND(SUM(Y231:Y232),0)</f>
        <v>0</v>
      </c>
      <c r="Z234" s="7255"/>
      <c r="AA234" s="7255"/>
      <c r="AB234" s="7255"/>
      <c r="AC234" s="7255"/>
      <c r="AD234" s="7255"/>
      <c r="AE234" s="7255"/>
      <c r="AF234" s="7255"/>
      <c r="AG234" s="7256"/>
      <c r="AH234" s="1190"/>
      <c r="AI234" s="3020"/>
      <c r="AJ234" s="3020"/>
      <c r="AK234" s="3020"/>
      <c r="AL234" s="3020"/>
      <c r="AM234" s="3020"/>
      <c r="AN234" s="3020"/>
      <c r="AO234" s="3020"/>
      <c r="AP234" s="2757"/>
      <c r="BG234" s="3013"/>
      <c r="BH234" s="2595"/>
      <c r="BI234" s="2595"/>
      <c r="BJ234" s="2595"/>
      <c r="BK234" s="2595"/>
      <c r="BL234" s="2595"/>
      <c r="BM234" s="2595"/>
      <c r="BN234" s="2595"/>
      <c r="BO234" s="2595"/>
      <c r="BP234" s="2595"/>
    </row>
    <row r="235" spans="1:69" ht="13.5" customHeight="1">
      <c r="A235" s="2757"/>
      <c r="B235" s="7191">
        <v>35</v>
      </c>
      <c r="C235" s="7191"/>
      <c r="D235" s="2686" t="s">
        <v>2374</v>
      </c>
      <c r="E235" s="1179"/>
      <c r="F235" s="1179"/>
      <c r="G235" s="1179"/>
      <c r="H235" s="1179"/>
      <c r="I235" s="1179"/>
      <c r="J235" s="1179"/>
      <c r="K235" s="1179"/>
      <c r="L235" s="1179"/>
      <c r="M235" s="1179"/>
      <c r="N235" s="1179"/>
      <c r="O235" s="1179"/>
      <c r="P235" s="1179"/>
      <c r="Q235" s="1179"/>
      <c r="R235" s="1179"/>
      <c r="S235" s="1179"/>
      <c r="T235" s="1179"/>
      <c r="U235" s="1179"/>
      <c r="V235" s="1179"/>
      <c r="W235" s="1179"/>
      <c r="X235" s="1179"/>
      <c r="Y235" s="1179"/>
      <c r="Z235" s="1179"/>
      <c r="AA235" s="1179"/>
      <c r="AB235" s="1179"/>
      <c r="AC235" s="1179"/>
      <c r="AD235" s="1179"/>
      <c r="AE235" s="1179"/>
      <c r="AF235" s="1179"/>
      <c r="AG235" s="3489" t="s">
        <v>633</v>
      </c>
      <c r="AH235" s="7197">
        <v>35</v>
      </c>
      <c r="AI235" s="7222"/>
      <c r="AJ235" s="7224">
        <f>SUM(O233,AH233)</f>
        <v>0</v>
      </c>
      <c r="AK235" s="7225"/>
      <c r="AL235" s="7225"/>
      <c r="AM235" s="7225"/>
      <c r="AN235" s="7225"/>
      <c r="AO235" s="7225"/>
      <c r="AP235" s="2757"/>
      <c r="BG235" s="3013"/>
      <c r="BH235" s="2595"/>
      <c r="BI235" s="2595"/>
      <c r="BJ235" s="2595"/>
      <c r="BK235" s="2595"/>
      <c r="BL235" s="2595"/>
      <c r="BM235" s="2595"/>
      <c r="BN235" s="2595"/>
      <c r="BO235" s="2595"/>
      <c r="BP235" s="2595"/>
    </row>
    <row r="236" spans="1:69" ht="13.5" customHeight="1">
      <c r="A236" s="2757"/>
      <c r="B236" s="7191">
        <v>36</v>
      </c>
      <c r="C236" s="7191"/>
      <c r="D236" s="2686" t="s">
        <v>2375</v>
      </c>
      <c r="E236" s="1179"/>
      <c r="F236" s="1179"/>
      <c r="G236" s="1179"/>
      <c r="H236" s="1179"/>
      <c r="I236" s="1179"/>
      <c r="J236" s="1179"/>
      <c r="K236" s="1179"/>
      <c r="L236" s="1179"/>
      <c r="M236" s="1179"/>
      <c r="N236" s="1179"/>
      <c r="O236" s="1179"/>
      <c r="P236" s="1179"/>
      <c r="Q236" s="1179"/>
      <c r="R236" s="1179"/>
      <c r="S236" s="1179"/>
      <c r="T236" s="1179"/>
      <c r="U236" s="1179"/>
      <c r="V236" s="1179"/>
      <c r="W236" s="1179"/>
      <c r="X236" s="1179"/>
      <c r="Y236" s="1179"/>
      <c r="Z236" s="1179"/>
      <c r="AA236" s="1179"/>
      <c r="AB236" s="1179"/>
      <c r="AC236" s="1179"/>
      <c r="AD236" s="1179"/>
      <c r="AE236" s="1179"/>
      <c r="AF236" s="1179"/>
      <c r="AG236" s="3489" t="s">
        <v>633</v>
      </c>
      <c r="AH236" s="7197">
        <v>36</v>
      </c>
      <c r="AI236" s="7222"/>
      <c r="AJ236" s="3136" t="s">
        <v>916</v>
      </c>
      <c r="AK236" s="7202">
        <f>SUM(F234,Y234)</f>
        <v>0</v>
      </c>
      <c r="AL236" s="7223"/>
      <c r="AM236" s="7223"/>
      <c r="AN236" s="7223"/>
      <c r="AO236" s="3149" t="s">
        <v>917</v>
      </c>
      <c r="AP236" s="2757"/>
      <c r="BG236" s="3013"/>
      <c r="BH236" s="2595"/>
      <c r="BI236" s="2595"/>
      <c r="BJ236" s="2595"/>
      <c r="BK236" s="2595"/>
      <c r="BL236" s="2595"/>
      <c r="BM236" s="2595"/>
      <c r="BN236" s="2595"/>
      <c r="BO236" s="2595"/>
      <c r="BP236" s="2595"/>
    </row>
    <row r="237" spans="1:69" ht="13.5" customHeight="1">
      <c r="A237" s="2757"/>
      <c r="B237" s="7217">
        <v>37</v>
      </c>
      <c r="C237" s="7217"/>
      <c r="D237" s="2791" t="s">
        <v>2376</v>
      </c>
      <c r="E237" s="1553"/>
      <c r="F237" s="1553"/>
      <c r="G237" s="1553"/>
      <c r="H237" s="1553"/>
      <c r="I237" s="1553"/>
      <c r="J237" s="1553"/>
      <c r="K237" s="1553"/>
      <c r="L237" s="1553"/>
      <c r="M237" s="1553"/>
      <c r="N237" s="1553"/>
      <c r="O237" s="1553"/>
      <c r="P237" s="1553"/>
      <c r="Q237" s="1553"/>
      <c r="R237" s="1553"/>
      <c r="S237" s="1553"/>
      <c r="T237" s="1553"/>
      <c r="U237" s="1553"/>
      <c r="V237" s="1553"/>
      <c r="W237" s="1553"/>
      <c r="X237" s="1553"/>
      <c r="Y237" s="1553"/>
      <c r="Z237" s="1553"/>
      <c r="AA237" s="1553"/>
      <c r="AB237" s="1553"/>
      <c r="AC237" s="1553"/>
      <c r="AD237" s="1553"/>
      <c r="AE237" s="1553"/>
      <c r="AF237" s="1553"/>
      <c r="AG237" s="3492" t="s">
        <v>571</v>
      </c>
      <c r="AH237" s="7197">
        <v>37</v>
      </c>
      <c r="AI237" s="7222"/>
      <c r="AJ237" s="7224">
        <f>SUM(AJ235,-AK236)</f>
        <v>0</v>
      </c>
      <c r="AK237" s="7225"/>
      <c r="AL237" s="7225"/>
      <c r="AM237" s="7225"/>
      <c r="AN237" s="7225"/>
      <c r="AO237" s="7225"/>
      <c r="AP237" s="2757"/>
      <c r="BG237" s="3013"/>
      <c r="BH237" s="2595"/>
      <c r="BI237" s="2595"/>
      <c r="BJ237" s="2595"/>
      <c r="BK237" s="2595"/>
      <c r="BL237" s="2595"/>
      <c r="BM237" s="2595"/>
      <c r="BN237" s="2595"/>
      <c r="BO237" s="2595"/>
      <c r="BP237" s="2595"/>
    </row>
    <row r="238" spans="1:69" s="2689" customFormat="1" ht="17.25" customHeight="1">
      <c r="A238" s="2758"/>
      <c r="B238" s="7220" t="s">
        <v>470</v>
      </c>
      <c r="C238" s="7220"/>
      <c r="D238" s="7221"/>
      <c r="E238" s="2690"/>
      <c r="F238" s="2778" t="s">
        <v>2377</v>
      </c>
      <c r="G238" s="2690"/>
      <c r="H238" s="2690"/>
      <c r="I238" s="2690"/>
      <c r="J238" s="2690"/>
      <c r="K238" s="2690"/>
      <c r="L238" s="2690"/>
      <c r="M238" s="2690"/>
      <c r="N238" s="2690"/>
      <c r="O238" s="2690"/>
      <c r="P238" s="2690"/>
      <c r="Q238" s="2690"/>
      <c r="R238" s="2690"/>
      <c r="S238" s="2690"/>
      <c r="T238" s="2690"/>
      <c r="U238" s="2690"/>
      <c r="V238" s="2690"/>
      <c r="W238" s="2690"/>
      <c r="X238" s="2688"/>
      <c r="Y238" s="2690"/>
      <c r="Z238" s="2690"/>
      <c r="AA238" s="2690"/>
      <c r="AB238" s="2690"/>
      <c r="AC238" s="2690"/>
      <c r="AD238" s="2690"/>
      <c r="AE238" s="2690"/>
      <c r="AF238" s="2690"/>
      <c r="AG238" s="1397"/>
      <c r="AH238" s="2690"/>
      <c r="AI238" s="2690"/>
      <c r="AJ238" s="2690"/>
      <c r="AK238" s="2690"/>
      <c r="AL238" s="2690"/>
      <c r="AM238" s="2690"/>
      <c r="AN238" s="2690"/>
      <c r="AO238" s="2690"/>
      <c r="AP238" s="2757"/>
      <c r="AX238" s="42"/>
      <c r="AY238" s="42"/>
      <c r="AZ238" s="42"/>
      <c r="BA238" s="42"/>
      <c r="BB238" s="42"/>
      <c r="BC238" s="42"/>
      <c r="BD238" s="42"/>
      <c r="BG238" s="3013"/>
      <c r="BH238" s="2595"/>
      <c r="BI238" s="2595"/>
      <c r="BJ238" s="2595"/>
      <c r="BK238" s="2595"/>
      <c r="BL238" s="2595"/>
      <c r="BM238" s="2595"/>
      <c r="BN238" s="2595"/>
      <c r="BO238" s="2595"/>
      <c r="BP238" s="2595"/>
      <c r="BQ238" s="3402"/>
    </row>
    <row r="239" spans="1:69" ht="12.75" customHeight="1">
      <c r="A239" s="2757"/>
      <c r="B239" s="1574"/>
      <c r="C239" s="3058"/>
      <c r="D239" s="7226" t="s">
        <v>2379</v>
      </c>
      <c r="E239" s="7227"/>
      <c r="F239" s="7227"/>
      <c r="G239" s="7227"/>
      <c r="H239" s="7227"/>
      <c r="I239" s="7227"/>
      <c r="J239" s="7228"/>
      <c r="K239" s="7233" t="s">
        <v>2378</v>
      </c>
      <c r="L239" s="7234"/>
      <c r="M239" s="7234"/>
      <c r="N239" s="7234"/>
      <c r="O239" s="7234"/>
      <c r="P239" s="7234"/>
      <c r="Q239" s="7234"/>
      <c r="R239" s="7234"/>
      <c r="S239" s="7237" t="s">
        <v>2380</v>
      </c>
      <c r="T239" s="7238"/>
      <c r="U239" s="7238"/>
      <c r="V239" s="7238"/>
      <c r="W239" s="7238"/>
      <c r="X239" s="7238"/>
      <c r="Y239" s="7238"/>
      <c r="Z239" s="7241" t="s">
        <v>2381</v>
      </c>
      <c r="AA239" s="7242"/>
      <c r="AB239" s="7242"/>
      <c r="AC239" s="7242"/>
      <c r="AD239" s="7242"/>
      <c r="AE239" s="7242"/>
      <c r="AF239" s="7242"/>
      <c r="AG239" s="7243"/>
      <c r="AH239" s="7241" t="s">
        <v>2382</v>
      </c>
      <c r="AI239" s="7242"/>
      <c r="AJ239" s="7242"/>
      <c r="AK239" s="7242"/>
      <c r="AL239" s="7242"/>
      <c r="AM239" s="7242"/>
      <c r="AN239" s="7242"/>
      <c r="AO239" s="7242"/>
      <c r="AP239" s="2757"/>
      <c r="BG239" s="3013"/>
      <c r="BH239" s="2595"/>
      <c r="BI239" s="2595"/>
      <c r="BJ239" s="2595"/>
      <c r="BK239" s="2595"/>
      <c r="BL239" s="2595"/>
      <c r="BM239" s="2595"/>
      <c r="BN239" s="2595"/>
      <c r="BO239" s="2595"/>
      <c r="BP239" s="2595"/>
    </row>
    <row r="240" spans="1:69" ht="12.75" customHeight="1">
      <c r="A240" s="2757"/>
      <c r="B240" s="7250">
        <v>38</v>
      </c>
      <c r="C240" s="6371"/>
      <c r="D240" s="7229"/>
      <c r="E240" s="7229"/>
      <c r="F240" s="7229"/>
      <c r="G240" s="7229"/>
      <c r="H240" s="7229"/>
      <c r="I240" s="7229"/>
      <c r="J240" s="7230"/>
      <c r="K240" s="7235"/>
      <c r="L240" s="7235"/>
      <c r="M240" s="7235"/>
      <c r="N240" s="7235"/>
      <c r="O240" s="7235"/>
      <c r="P240" s="7235"/>
      <c r="Q240" s="7235"/>
      <c r="R240" s="7235"/>
      <c r="S240" s="7239"/>
      <c r="T240" s="7239"/>
      <c r="U240" s="7239"/>
      <c r="V240" s="7239"/>
      <c r="W240" s="7239"/>
      <c r="X240" s="7239"/>
      <c r="Y240" s="7239"/>
      <c r="Z240" s="7244"/>
      <c r="AA240" s="7245"/>
      <c r="AB240" s="7245"/>
      <c r="AC240" s="7245"/>
      <c r="AD240" s="7245"/>
      <c r="AE240" s="7245"/>
      <c r="AF240" s="7245"/>
      <c r="AG240" s="7246"/>
      <c r="AH240" s="7244"/>
      <c r="AI240" s="7245"/>
      <c r="AJ240" s="7245"/>
      <c r="AK240" s="7245"/>
      <c r="AL240" s="7245"/>
      <c r="AM240" s="7245"/>
      <c r="AN240" s="7245"/>
      <c r="AO240" s="7245"/>
      <c r="AP240" s="2757"/>
      <c r="AX240" s="2689"/>
      <c r="AY240" s="2689"/>
      <c r="AZ240" s="2689"/>
      <c r="BA240" s="2689"/>
      <c r="BB240" s="2689"/>
      <c r="BC240" s="2689"/>
      <c r="BD240" s="2689"/>
      <c r="BG240" s="3013"/>
      <c r="BH240" s="2595"/>
      <c r="BI240" s="2595"/>
      <c r="BJ240" s="2595"/>
      <c r="BK240" s="2595"/>
      <c r="BL240" s="2595"/>
      <c r="BM240" s="2595"/>
      <c r="BN240" s="2595"/>
      <c r="BO240" s="2595"/>
      <c r="BP240" s="2595"/>
    </row>
    <row r="241" spans="1:69" ht="12.75" customHeight="1">
      <c r="A241" s="2757"/>
      <c r="B241" s="1553"/>
      <c r="C241" s="3057"/>
      <c r="D241" s="7231"/>
      <c r="E241" s="7231"/>
      <c r="F241" s="7231"/>
      <c r="G241" s="7231"/>
      <c r="H241" s="7231"/>
      <c r="I241" s="7231"/>
      <c r="J241" s="7232"/>
      <c r="K241" s="7236"/>
      <c r="L241" s="7236"/>
      <c r="M241" s="7236"/>
      <c r="N241" s="7236"/>
      <c r="O241" s="7236"/>
      <c r="P241" s="7236"/>
      <c r="Q241" s="7236"/>
      <c r="R241" s="7236"/>
      <c r="S241" s="7240"/>
      <c r="T241" s="7240"/>
      <c r="U241" s="7240"/>
      <c r="V241" s="7240"/>
      <c r="W241" s="7240"/>
      <c r="X241" s="7240"/>
      <c r="Y241" s="7240"/>
      <c r="Z241" s="7247"/>
      <c r="AA241" s="7248"/>
      <c r="AB241" s="7248"/>
      <c r="AC241" s="7248"/>
      <c r="AD241" s="7248"/>
      <c r="AE241" s="7248"/>
      <c r="AF241" s="7248"/>
      <c r="AG241" s="7249"/>
      <c r="AH241" s="7247"/>
      <c r="AI241" s="7248"/>
      <c r="AJ241" s="7248"/>
      <c r="AK241" s="7248"/>
      <c r="AL241" s="7248"/>
      <c r="AM241" s="7248"/>
      <c r="AN241" s="7248"/>
      <c r="AO241" s="7248"/>
      <c r="AP241" s="2757"/>
      <c r="AQ241" s="385"/>
      <c r="AR241" s="385"/>
      <c r="AS241" s="385"/>
      <c r="BG241" s="3013"/>
      <c r="BH241" s="2595"/>
      <c r="BI241" s="2595"/>
      <c r="BJ241" s="2595"/>
      <c r="BK241" s="2595"/>
      <c r="BL241" s="2595"/>
      <c r="BM241" s="2595"/>
      <c r="BN241" s="2595"/>
      <c r="BO241" s="2595"/>
      <c r="BP241" s="2595"/>
    </row>
    <row r="242" spans="1:69" ht="12.75" customHeight="1">
      <c r="A242" s="2757"/>
      <c r="B242" s="7207"/>
      <c r="C242" s="7208"/>
      <c r="D242" s="7208"/>
      <c r="E242" s="7208"/>
      <c r="F242" s="7208"/>
      <c r="G242" s="7208"/>
      <c r="H242" s="7208"/>
      <c r="I242" s="7208"/>
      <c r="J242" s="7209"/>
      <c r="K242" s="7210"/>
      <c r="L242" s="7211"/>
      <c r="M242" s="7211"/>
      <c r="N242" s="7211"/>
      <c r="O242" s="7211"/>
      <c r="P242" s="7211"/>
      <c r="Q242" s="7211"/>
      <c r="R242" s="7212"/>
      <c r="S242" s="7213"/>
      <c r="T242" s="7213"/>
      <c r="U242" s="7213"/>
      <c r="V242" s="7213"/>
      <c r="W242" s="7213"/>
      <c r="X242" s="7213"/>
      <c r="Y242" s="7213"/>
      <c r="Z242" s="7214"/>
      <c r="AA242" s="7215"/>
      <c r="AB242" s="7215"/>
      <c r="AC242" s="7215"/>
      <c r="AD242" s="7215"/>
      <c r="AE242" s="7215"/>
      <c r="AF242" s="7215"/>
      <c r="AG242" s="7216"/>
      <c r="AH242" s="7214"/>
      <c r="AI242" s="7215"/>
      <c r="AJ242" s="7215"/>
      <c r="AK242" s="7215"/>
      <c r="AL242" s="7215"/>
      <c r="AM242" s="7215"/>
      <c r="AN242" s="7215"/>
      <c r="AO242" s="7215"/>
      <c r="AP242" s="2757"/>
      <c r="AQ242" s="385"/>
      <c r="AR242" s="2410" t="s">
        <v>91</v>
      </c>
      <c r="AS242" s="385"/>
      <c r="BG242" s="3013"/>
      <c r="BH242" s="2595"/>
      <c r="BI242" s="2595"/>
      <c r="BJ242" s="2595"/>
      <c r="BK242" s="2595"/>
      <c r="BL242" s="2595"/>
      <c r="BM242" s="2595"/>
      <c r="BN242" s="2595"/>
      <c r="BO242" s="2595"/>
      <c r="BP242" s="2595"/>
    </row>
    <row r="243" spans="1:69" ht="13.5" customHeight="1">
      <c r="A243" s="2757"/>
      <c r="B243" s="7217">
        <v>39</v>
      </c>
      <c r="C243" s="7217"/>
      <c r="D243" s="2791" t="s">
        <v>2383</v>
      </c>
      <c r="E243" s="1553"/>
      <c r="F243" s="1553"/>
      <c r="G243" s="1553"/>
      <c r="H243" s="1553"/>
      <c r="I243" s="1553"/>
      <c r="J243" s="1553"/>
      <c r="K243" s="1553"/>
      <c r="L243" s="1553"/>
      <c r="M243" s="1553"/>
      <c r="N243" s="1553"/>
      <c r="O243" s="1553"/>
      <c r="P243" s="1553"/>
      <c r="Q243" s="1553"/>
      <c r="R243" s="1553"/>
      <c r="S243" s="1553"/>
      <c r="T243" s="1553"/>
      <c r="U243" s="1553"/>
      <c r="V243" s="1553"/>
      <c r="W243" s="1553"/>
      <c r="X243" s="1553"/>
      <c r="Y243" s="1553"/>
      <c r="Z243" s="1553"/>
      <c r="AA243" s="1553"/>
      <c r="AB243" s="1553"/>
      <c r="AC243" s="1553"/>
      <c r="AD243" s="1553"/>
      <c r="AE243" s="1553"/>
      <c r="AF243" s="1553"/>
      <c r="AG243" s="3008"/>
      <c r="AH243" s="7197">
        <v>39</v>
      </c>
      <c r="AI243" s="7198"/>
      <c r="AJ243" s="7218">
        <f>IF(AR243&lt;&gt;"",ROUND(AR243,0),ROUND(SUM(Z242,AH242),0))</f>
        <v>0</v>
      </c>
      <c r="AK243" s="7219"/>
      <c r="AL243" s="7219"/>
      <c r="AM243" s="7219"/>
      <c r="AN243" s="7219"/>
      <c r="AO243" s="7219"/>
      <c r="AP243" s="2757"/>
      <c r="AQ243" s="385"/>
      <c r="AR243" s="3141"/>
      <c r="AS243" s="385"/>
      <c r="BG243" s="3013"/>
      <c r="BH243" s="2595"/>
      <c r="BI243" s="2595"/>
      <c r="BJ243" s="2595"/>
      <c r="BK243" s="2595"/>
      <c r="BL243" s="2595"/>
      <c r="BM243" s="2595"/>
      <c r="BN243" s="2595"/>
      <c r="BO243" s="2595"/>
      <c r="BP243" s="2595"/>
    </row>
    <row r="244" spans="1:69" s="2689" customFormat="1" ht="17.25" customHeight="1">
      <c r="A244" s="2758"/>
      <c r="B244" s="7220" t="s">
        <v>123</v>
      </c>
      <c r="C244" s="7220"/>
      <c r="D244" s="7221"/>
      <c r="E244" s="2690"/>
      <c r="F244" s="2778" t="s">
        <v>2384</v>
      </c>
      <c r="G244" s="2690"/>
      <c r="H244" s="2690"/>
      <c r="I244" s="2690"/>
      <c r="J244" s="2690"/>
      <c r="K244" s="2690"/>
      <c r="L244" s="2690"/>
      <c r="M244" s="2690"/>
      <c r="N244" s="2690"/>
      <c r="O244" s="2690"/>
      <c r="P244" s="2690"/>
      <c r="Q244" s="2690"/>
      <c r="R244" s="2690"/>
      <c r="S244" s="2690"/>
      <c r="T244" s="2690"/>
      <c r="U244" s="2690"/>
      <c r="V244" s="2690"/>
      <c r="W244" s="2690"/>
      <c r="X244" s="2688"/>
      <c r="Y244" s="2690"/>
      <c r="Z244" s="2690"/>
      <c r="AA244" s="2690"/>
      <c r="AB244" s="2690"/>
      <c r="AC244" s="2690"/>
      <c r="AD244" s="2690"/>
      <c r="AE244" s="2690"/>
      <c r="AF244" s="2690"/>
      <c r="AG244" s="2690"/>
      <c r="AH244" s="2690"/>
      <c r="AI244" s="2690"/>
      <c r="AJ244" s="2690"/>
      <c r="AK244" s="2690"/>
      <c r="AL244" s="2690"/>
      <c r="AM244" s="2690"/>
      <c r="AN244" s="2690"/>
      <c r="AO244" s="2690"/>
      <c r="AP244" s="2757"/>
      <c r="AQ244" s="385"/>
      <c r="AR244" s="385"/>
      <c r="AS244" s="385"/>
      <c r="AX244" s="42"/>
      <c r="AY244" s="42"/>
      <c r="AZ244" s="42"/>
      <c r="BA244" s="42"/>
      <c r="BB244" s="42"/>
      <c r="BC244" s="42"/>
      <c r="BD244" s="42"/>
      <c r="BG244" s="3013"/>
      <c r="BH244" s="2595"/>
      <c r="BI244" s="2595"/>
      <c r="BJ244" s="2595"/>
      <c r="BK244" s="2595"/>
      <c r="BL244" s="2595"/>
      <c r="BM244" s="2595"/>
      <c r="BN244" s="2595"/>
      <c r="BO244" s="2595"/>
      <c r="BP244" s="2595"/>
      <c r="BQ244" s="3402"/>
    </row>
    <row r="245" spans="1:69" ht="13.5" customHeight="1">
      <c r="A245" s="2757"/>
      <c r="B245" s="7196">
        <v>40</v>
      </c>
      <c r="C245" s="7196"/>
      <c r="D245" s="3072" t="s">
        <v>2385</v>
      </c>
      <c r="E245" s="1574"/>
      <c r="F245" s="1574"/>
      <c r="G245" s="1574"/>
      <c r="H245" s="1574"/>
      <c r="I245" s="1574"/>
      <c r="J245" s="1574"/>
      <c r="K245" s="1574"/>
      <c r="L245" s="1574"/>
      <c r="M245" s="1574"/>
      <c r="N245" s="1574"/>
      <c r="O245" s="1574"/>
      <c r="P245" s="1574"/>
      <c r="Q245" s="1574"/>
      <c r="R245" s="1574"/>
      <c r="S245" s="1574"/>
      <c r="T245" s="1574"/>
      <c r="U245" s="1574"/>
      <c r="V245" s="1574"/>
      <c r="W245" s="1574"/>
      <c r="X245" s="1574"/>
      <c r="Y245" s="1574"/>
      <c r="Z245" s="1574"/>
      <c r="AA245" s="1574"/>
      <c r="AB245" s="1574"/>
      <c r="AC245" s="1574"/>
      <c r="AD245" s="1574"/>
      <c r="AE245" s="1574"/>
      <c r="AF245" s="1574"/>
      <c r="AG245" s="1575"/>
      <c r="AH245" s="7197">
        <v>40</v>
      </c>
      <c r="AI245" s="7198"/>
      <c r="AJ245" s="7199"/>
      <c r="AK245" s="7200"/>
      <c r="AL245" s="7200"/>
      <c r="AM245" s="7200"/>
      <c r="AN245" s="7200"/>
      <c r="AO245" s="7200"/>
      <c r="AP245" s="2757"/>
      <c r="AQ245" s="385"/>
      <c r="AR245" s="385"/>
      <c r="AS245" s="385"/>
      <c r="BG245" s="3013"/>
      <c r="BH245" s="2595"/>
      <c r="BI245" s="2595"/>
      <c r="BJ245" s="2595"/>
      <c r="BK245" s="2595"/>
      <c r="BL245" s="2595"/>
      <c r="BM245" s="2595"/>
      <c r="BN245" s="2595"/>
      <c r="BO245" s="2595"/>
      <c r="BP245" s="2595"/>
    </row>
    <row r="246" spans="1:69" ht="13.5" customHeight="1">
      <c r="A246" s="2757"/>
      <c r="B246" s="7191">
        <v>41</v>
      </c>
      <c r="C246" s="7191"/>
      <c r="D246" s="1262" t="s">
        <v>4049</v>
      </c>
      <c r="E246" s="1179"/>
      <c r="F246" s="1179"/>
      <c r="G246" s="1179"/>
      <c r="H246" s="1179"/>
      <c r="I246" s="1179"/>
      <c r="J246" s="1179"/>
      <c r="K246" s="1179"/>
      <c r="L246" s="1179"/>
      <c r="M246" s="1179"/>
      <c r="N246" s="1179"/>
      <c r="O246" s="1179"/>
      <c r="P246" s="1179"/>
      <c r="Q246" s="1179"/>
      <c r="R246" s="1179"/>
      <c r="S246" s="1179"/>
      <c r="T246" s="1179"/>
      <c r="U246" s="1179"/>
      <c r="V246" s="1179"/>
      <c r="W246" s="1179"/>
      <c r="X246" s="1179"/>
      <c r="Y246" s="1179"/>
      <c r="Z246" s="1179"/>
      <c r="AA246" s="1179"/>
      <c r="AB246" s="1179"/>
      <c r="AC246" s="1179"/>
      <c r="AD246" s="1179"/>
      <c r="AE246" s="1179"/>
      <c r="AF246" s="1179"/>
      <c r="AG246" s="1583"/>
      <c r="AH246" s="7197">
        <v>41</v>
      </c>
      <c r="AI246" s="7198"/>
      <c r="AJ246" s="7201">
        <f>IF(AR246&lt;&gt;"",ROUND(AR246,0),IF(SchE2_Completed,SUM(SchE2_Line26,SchE2_Line32,SchE2_Line37,SchE2_Line39,ROUND(SchE2_Line40,0)),0))</f>
        <v>0</v>
      </c>
      <c r="AK246" s="7202"/>
      <c r="AL246" s="7202"/>
      <c r="AM246" s="7202"/>
      <c r="AN246" s="7202"/>
      <c r="AO246" s="7202"/>
      <c r="AP246" s="2757"/>
      <c r="AQ246" s="385"/>
      <c r="AR246" s="3141"/>
      <c r="AS246" s="385"/>
      <c r="AV246" s="42" t="b">
        <f>OR(SchE2_Line32&lt;&gt;0,SchE2_Line37&lt;&gt;0,SchE2_Line39&lt;&gt;0,SchE2_Line40&lt;&gt;0)</f>
        <v>0</v>
      </c>
      <c r="AX246" s="2689"/>
      <c r="AY246" s="2689"/>
      <c r="AZ246" s="2689"/>
      <c r="BA246" s="2689"/>
      <c r="BB246" s="2689"/>
      <c r="BC246" s="2689"/>
      <c r="BD246" s="2689"/>
      <c r="BG246" s="3013"/>
      <c r="BH246" s="2595"/>
      <c r="BI246" s="2595"/>
      <c r="BJ246" s="2595"/>
      <c r="BK246" s="2595"/>
      <c r="BL246" s="2595"/>
      <c r="BM246" s="2595"/>
      <c r="BN246" s="2595"/>
      <c r="BO246" s="2595"/>
      <c r="BP246" s="2595"/>
    </row>
    <row r="247" spans="1:69" ht="12.75" customHeight="1">
      <c r="A247" s="2757"/>
      <c r="B247" s="7191">
        <v>42</v>
      </c>
      <c r="C247" s="7191"/>
      <c r="D247" s="2686" t="s">
        <v>2762</v>
      </c>
      <c r="E247" s="1179"/>
      <c r="F247" s="1179"/>
      <c r="G247" s="1179"/>
      <c r="H247" s="1179"/>
      <c r="I247" s="1179"/>
      <c r="J247" s="1179"/>
      <c r="K247" s="1179"/>
      <c r="L247" s="1179"/>
      <c r="M247" s="1179"/>
      <c r="N247" s="1179"/>
      <c r="O247" s="1179"/>
      <c r="P247" s="1179"/>
      <c r="Q247" s="1179"/>
      <c r="R247" s="1179"/>
      <c r="S247" s="1179"/>
      <c r="T247" s="1179"/>
      <c r="U247" s="1179"/>
      <c r="V247" s="1179"/>
      <c r="W247" s="1179"/>
      <c r="X247" s="1179"/>
      <c r="Y247" s="1825"/>
      <c r="Z247" s="2705"/>
      <c r="AA247" s="2705"/>
      <c r="AB247" s="2705"/>
      <c r="AC247" s="2705"/>
      <c r="AD247" s="2705"/>
      <c r="AE247" s="2705"/>
      <c r="AF247" s="2705"/>
      <c r="AG247" s="1826"/>
      <c r="AH247" s="1562"/>
      <c r="AI247" s="1562"/>
      <c r="AJ247" s="1562"/>
      <c r="AK247" s="1562"/>
      <c r="AL247" s="1562"/>
      <c r="AM247" s="1562"/>
      <c r="AN247" s="1562"/>
      <c r="AO247" s="1562"/>
      <c r="AP247" s="2757"/>
      <c r="AQ247" s="385"/>
      <c r="AR247" s="385"/>
      <c r="AS247" s="385"/>
      <c r="AV247" s="3155">
        <f>IF(SchE2_Completed,SchE2_Line41,SchE2_Line26)</f>
        <v>0</v>
      </c>
      <c r="BG247" s="3013"/>
      <c r="BH247" s="2595"/>
      <c r="BI247" s="2595"/>
      <c r="BJ247" s="2595"/>
      <c r="BK247" s="2595"/>
      <c r="BL247" s="2595"/>
      <c r="BM247" s="2595"/>
      <c r="BN247" s="2595"/>
      <c r="BO247" s="2595"/>
      <c r="BP247" s="2595"/>
    </row>
    <row r="248" spans="1:69" ht="12.75" customHeight="1">
      <c r="A248" s="2757"/>
      <c r="B248" s="2772"/>
      <c r="C248" s="1179"/>
      <c r="D248" s="1276" t="s">
        <v>749</v>
      </c>
      <c r="E248" s="1179"/>
      <c r="F248" s="1179"/>
      <c r="G248" s="1179"/>
      <c r="H248" s="1179"/>
      <c r="I248" s="1179"/>
      <c r="J248" s="1179"/>
      <c r="K248" s="1179"/>
      <c r="L248" s="1179"/>
      <c r="M248" s="1179"/>
      <c r="N248" s="1179"/>
      <c r="O248" s="1179"/>
      <c r="P248" s="1179"/>
      <c r="Q248" s="1179"/>
      <c r="R248" s="1179"/>
      <c r="S248" s="1179"/>
      <c r="T248" s="1179"/>
      <c r="U248" s="1179"/>
      <c r="V248" s="1179"/>
      <c r="W248" s="1179"/>
      <c r="X248" s="1179"/>
      <c r="Y248" s="1827"/>
      <c r="Z248" s="1562"/>
      <c r="AA248" s="1562"/>
      <c r="AB248" s="1562"/>
      <c r="AC248" s="1562"/>
      <c r="AD248" s="1562"/>
      <c r="AE248" s="1562"/>
      <c r="AF248" s="1562"/>
      <c r="AG248" s="1828"/>
      <c r="AH248" s="1562"/>
      <c r="AI248" s="1562"/>
      <c r="AJ248" s="1562"/>
      <c r="AK248" s="1562"/>
      <c r="AL248" s="1562"/>
      <c r="AM248" s="1562"/>
      <c r="AN248" s="1562"/>
      <c r="AO248" s="1562"/>
      <c r="AP248" s="2757"/>
      <c r="BG248" s="3013"/>
      <c r="BH248" s="2595"/>
      <c r="BI248" s="2595"/>
      <c r="BJ248" s="2595"/>
      <c r="BK248" s="2595"/>
      <c r="BL248" s="2595"/>
      <c r="BM248" s="2595"/>
      <c r="BN248" s="2595"/>
      <c r="BO248" s="2595"/>
      <c r="BP248" s="2595"/>
    </row>
    <row r="249" spans="1:69" ht="12.75" customHeight="1">
      <c r="A249" s="2757"/>
      <c r="B249" s="2772"/>
      <c r="C249" s="1179"/>
      <c r="D249" s="1276" t="s">
        <v>2386</v>
      </c>
      <c r="E249" s="1179"/>
      <c r="F249" s="1179"/>
      <c r="G249" s="1179"/>
      <c r="H249" s="1179"/>
      <c r="I249" s="1179"/>
      <c r="J249" s="1179"/>
      <c r="K249" s="1179"/>
      <c r="L249" s="1179"/>
      <c r="M249" s="1179"/>
      <c r="N249" s="1179"/>
      <c r="O249" s="1179"/>
      <c r="P249" s="1179"/>
      <c r="Q249" s="1179"/>
      <c r="R249" s="1179"/>
      <c r="S249" s="1179"/>
      <c r="T249" s="1179"/>
      <c r="U249" s="1179"/>
      <c r="V249" s="1179"/>
      <c r="W249" s="1179"/>
      <c r="X249" s="1179"/>
      <c r="Y249" s="1827"/>
      <c r="Z249" s="1562"/>
      <c r="AA249" s="1562"/>
      <c r="AB249" s="1562"/>
      <c r="AC249" s="1562"/>
      <c r="AD249" s="1562"/>
      <c r="AE249" s="1562"/>
      <c r="AF249" s="1562"/>
      <c r="AG249" s="1828"/>
      <c r="AH249" s="1562"/>
      <c r="AI249" s="1562"/>
      <c r="AJ249" s="1562"/>
      <c r="AK249" s="1562"/>
      <c r="AL249" s="1562"/>
      <c r="AM249" s="1562"/>
      <c r="AN249" s="1562"/>
      <c r="AO249" s="1562"/>
      <c r="AP249" s="2757"/>
      <c r="BG249" s="3013"/>
      <c r="BH249" s="2595"/>
      <c r="BI249" s="2595"/>
      <c r="BJ249" s="2595"/>
      <c r="BK249" s="2595"/>
      <c r="BL249" s="2595"/>
      <c r="BM249" s="2595"/>
      <c r="BN249" s="2595"/>
      <c r="BO249" s="2595"/>
      <c r="BP249" s="2595"/>
    </row>
    <row r="250" spans="1:69" ht="13.5" customHeight="1">
      <c r="A250" s="2757"/>
      <c r="B250" s="2772"/>
      <c r="C250" s="1179"/>
      <c r="D250" s="1179" t="s">
        <v>2387</v>
      </c>
      <c r="E250" s="1179"/>
      <c r="F250" s="1179"/>
      <c r="G250" s="1179"/>
      <c r="H250" s="1179"/>
      <c r="I250" s="1179"/>
      <c r="J250" s="1179"/>
      <c r="K250" s="1179"/>
      <c r="L250" s="1179"/>
      <c r="M250" s="1179"/>
      <c r="N250" s="1179"/>
      <c r="O250" s="1179"/>
      <c r="P250" s="1179"/>
      <c r="Q250" s="1179"/>
      <c r="R250" s="1179"/>
      <c r="S250" s="1179"/>
      <c r="T250" s="1179"/>
      <c r="U250" s="1179"/>
      <c r="V250" s="1179"/>
      <c r="W250" s="1179"/>
      <c r="X250" s="1560" t="s">
        <v>4799</v>
      </c>
      <c r="Y250" s="7203">
        <v>42</v>
      </c>
      <c r="Z250" s="7204"/>
      <c r="AA250" s="7205"/>
      <c r="AB250" s="7206"/>
      <c r="AC250" s="7206"/>
      <c r="AD250" s="7206"/>
      <c r="AE250" s="7206"/>
      <c r="AF250" s="7206"/>
      <c r="AG250" s="7206"/>
      <c r="AH250" s="1562"/>
      <c r="AI250" s="1562"/>
      <c r="AJ250" s="1562"/>
      <c r="AK250" s="1562"/>
      <c r="AL250" s="1562"/>
      <c r="AM250" s="1562"/>
      <c r="AN250" s="1562"/>
      <c r="AO250" s="1562"/>
      <c r="AP250" s="2757"/>
      <c r="BG250" s="3013"/>
      <c r="BH250" s="2595"/>
      <c r="BI250" s="2595"/>
      <c r="BJ250" s="2595"/>
      <c r="BK250" s="2595"/>
      <c r="BL250" s="2595"/>
      <c r="BM250" s="2595"/>
      <c r="BN250" s="2595"/>
      <c r="BO250" s="2595"/>
      <c r="BP250" s="2595"/>
    </row>
    <row r="251" spans="1:69" ht="12.75" customHeight="1">
      <c r="A251" s="2757"/>
      <c r="B251" s="7191">
        <v>43</v>
      </c>
      <c r="C251" s="7191"/>
      <c r="D251" s="1276" t="s">
        <v>4796</v>
      </c>
      <c r="E251" s="1179"/>
      <c r="F251" s="1179"/>
      <c r="G251" s="1179"/>
      <c r="H251" s="1179"/>
      <c r="I251" s="1179"/>
      <c r="J251" s="1179"/>
      <c r="K251" s="1179"/>
      <c r="L251" s="1179"/>
      <c r="M251" s="1179"/>
      <c r="N251" s="1179"/>
      <c r="O251" s="1179"/>
      <c r="P251" s="1179"/>
      <c r="Q251" s="1179"/>
      <c r="R251" s="1179"/>
      <c r="S251" s="1179"/>
      <c r="T251" s="1179"/>
      <c r="U251" s="1179"/>
      <c r="V251" s="1179"/>
      <c r="W251" s="1179"/>
      <c r="X251" s="1179"/>
      <c r="Y251" s="1825"/>
      <c r="Z251" s="2705"/>
      <c r="AA251" s="2705"/>
      <c r="AB251" s="2705"/>
      <c r="AC251" s="2705"/>
      <c r="AD251" s="2705"/>
      <c r="AE251" s="2705"/>
      <c r="AF251" s="2705"/>
      <c r="AG251" s="1826"/>
      <c r="AH251" s="1562"/>
      <c r="AI251" s="1562"/>
      <c r="AJ251" s="1562"/>
      <c r="AK251" s="1562"/>
      <c r="AL251" s="1562"/>
      <c r="AM251" s="1562"/>
      <c r="AN251" s="1562"/>
      <c r="AO251" s="1562"/>
      <c r="AP251" s="2757"/>
      <c r="BG251" s="3013"/>
      <c r="BH251" s="2595"/>
      <c r="BI251" s="2595"/>
      <c r="BJ251" s="2595"/>
      <c r="BK251" s="2595"/>
      <c r="BL251" s="2595"/>
      <c r="BM251" s="2595"/>
      <c r="BN251" s="2595"/>
      <c r="BO251" s="2595"/>
      <c r="BP251" s="2595"/>
    </row>
    <row r="252" spans="1:69" ht="12.75" customHeight="1">
      <c r="A252" s="2757"/>
      <c r="B252" s="2772"/>
      <c r="C252" s="1179"/>
      <c r="D252" s="2246" t="s">
        <v>4800</v>
      </c>
      <c r="E252" s="1179"/>
      <c r="F252" s="1179"/>
      <c r="G252" s="1179"/>
      <c r="H252" s="1179"/>
      <c r="I252" s="1179"/>
      <c r="J252" s="1179"/>
      <c r="K252" s="1179"/>
      <c r="L252" s="1179"/>
      <c r="M252" s="1179"/>
      <c r="N252" s="1179"/>
      <c r="O252" s="1179"/>
      <c r="P252" s="1179"/>
      <c r="Q252" s="1179"/>
      <c r="R252" s="1179"/>
      <c r="S252" s="1179"/>
      <c r="T252" s="1179"/>
      <c r="U252" s="1179"/>
      <c r="V252" s="1179"/>
      <c r="W252" s="1179"/>
      <c r="X252" s="1179"/>
      <c r="Y252" s="1827"/>
      <c r="Z252" s="1562"/>
      <c r="AA252" s="1562"/>
      <c r="AB252" s="1562"/>
      <c r="AC252" s="1562"/>
      <c r="AD252" s="1562"/>
      <c r="AE252" s="1562"/>
      <c r="AF252" s="1562"/>
      <c r="AG252" s="1828"/>
      <c r="AH252" s="1562"/>
      <c r="AI252" s="1562"/>
      <c r="AJ252" s="1562"/>
      <c r="AK252" s="1562"/>
      <c r="AL252" s="1562"/>
      <c r="AM252" s="1562"/>
      <c r="AN252" s="1562"/>
      <c r="AO252" s="1562"/>
      <c r="AP252" s="2757"/>
      <c r="BG252" s="3013"/>
      <c r="BH252" s="2595"/>
      <c r="BI252" s="2595"/>
      <c r="BJ252" s="2595"/>
      <c r="BK252" s="2595"/>
      <c r="BL252" s="2595"/>
      <c r="BM252" s="2595"/>
      <c r="BN252" s="2595"/>
      <c r="BO252" s="2595"/>
      <c r="BP252" s="2595"/>
    </row>
    <row r="253" spans="1:69" ht="12.75" customHeight="1">
      <c r="A253" s="2757"/>
      <c r="B253" s="2772"/>
      <c r="C253" s="1179"/>
      <c r="D253" s="1276" t="s">
        <v>4797</v>
      </c>
      <c r="E253" s="1179"/>
      <c r="F253" s="1179"/>
      <c r="G253" s="1179"/>
      <c r="H253" s="1179"/>
      <c r="I253" s="1179"/>
      <c r="J253" s="1179"/>
      <c r="K253" s="1179"/>
      <c r="L253" s="1179"/>
      <c r="M253" s="1179"/>
      <c r="N253" s="1179"/>
      <c r="O253" s="1179"/>
      <c r="P253" s="1179"/>
      <c r="Q253" s="1179"/>
      <c r="R253" s="1179"/>
      <c r="S253" s="1179"/>
      <c r="T253" s="1179"/>
      <c r="U253" s="1179"/>
      <c r="V253" s="1179"/>
      <c r="W253" s="1179"/>
      <c r="X253" s="1179"/>
      <c r="Y253" s="1827"/>
      <c r="Z253" s="1562"/>
      <c r="AA253" s="1562"/>
      <c r="AB253" s="1562"/>
      <c r="AC253" s="1562"/>
      <c r="AD253" s="1562"/>
      <c r="AE253" s="1562"/>
      <c r="AF253" s="1562"/>
      <c r="AG253" s="1828"/>
      <c r="AH253" s="1562"/>
      <c r="AI253" s="1562"/>
      <c r="AJ253" s="1562"/>
      <c r="AK253" s="1562"/>
      <c r="AL253" s="1562"/>
      <c r="AM253" s="1562"/>
      <c r="AN253" s="1562"/>
      <c r="AO253" s="1562"/>
      <c r="AP253" s="2757"/>
      <c r="BG253" s="3013"/>
      <c r="BH253" s="2595"/>
      <c r="BI253" s="2595"/>
      <c r="BJ253" s="2595"/>
      <c r="BK253" s="2595"/>
      <c r="BL253" s="2595"/>
      <c r="BM253" s="2595"/>
      <c r="BN253" s="2595"/>
      <c r="BO253" s="2595"/>
      <c r="BP253" s="2595"/>
    </row>
    <row r="254" spans="1:69" ht="13.5" customHeight="1" thickBot="1">
      <c r="A254" s="2757"/>
      <c r="B254" s="3129"/>
      <c r="C254" s="1280"/>
      <c r="D254" s="1704" t="s">
        <v>4798</v>
      </c>
      <c r="E254" s="1280"/>
      <c r="F254" s="1280"/>
      <c r="G254" s="1280"/>
      <c r="H254" s="1280"/>
      <c r="I254" s="1280"/>
      <c r="J254" s="1280"/>
      <c r="K254" s="1280"/>
      <c r="L254" s="1280"/>
      <c r="M254" s="1280"/>
      <c r="N254" s="1280"/>
      <c r="O254" s="1280"/>
      <c r="P254" s="1280"/>
      <c r="Q254" s="1280"/>
      <c r="R254" s="1280"/>
      <c r="S254" s="1280"/>
      <c r="T254" s="1280"/>
      <c r="U254" s="1280"/>
      <c r="V254" s="1280"/>
      <c r="W254" s="1280"/>
      <c r="X254" s="3307" t="s">
        <v>2517</v>
      </c>
      <c r="Y254" s="7192">
        <v>43</v>
      </c>
      <c r="Z254" s="7193"/>
      <c r="AA254" s="7194"/>
      <c r="AB254" s="7195"/>
      <c r="AC254" s="7195"/>
      <c r="AD254" s="7195"/>
      <c r="AE254" s="7195"/>
      <c r="AF254" s="7195"/>
      <c r="AG254" s="7195"/>
      <c r="AH254" s="3130"/>
      <c r="AI254" s="3130"/>
      <c r="AJ254" s="3130"/>
      <c r="AK254" s="3130"/>
      <c r="AL254" s="3130"/>
      <c r="AM254" s="3130"/>
      <c r="AN254" s="3130"/>
      <c r="AO254" s="3130"/>
      <c r="AP254" s="2757"/>
      <c r="BG254" s="3013"/>
      <c r="BH254" s="2595"/>
      <c r="BI254" s="2595"/>
      <c r="BJ254" s="2595"/>
      <c r="BK254" s="2595"/>
      <c r="BL254" s="2595"/>
      <c r="BM254" s="2595"/>
      <c r="BN254" s="2595"/>
      <c r="BO254" s="2595"/>
      <c r="BP254" s="2595"/>
    </row>
    <row r="255" spans="1:69" ht="12.75" customHeight="1">
      <c r="A255" s="2757"/>
      <c r="B255" s="2772"/>
      <c r="C255" s="1179"/>
      <c r="D255" s="1179"/>
      <c r="E255" s="1179"/>
      <c r="F255" s="1179"/>
      <c r="G255" s="1179"/>
      <c r="H255" s="1179"/>
      <c r="I255" s="1179"/>
      <c r="J255" s="1179"/>
      <c r="K255" s="1179"/>
      <c r="L255" s="1179"/>
      <c r="M255" s="1179"/>
      <c r="N255" s="1179"/>
      <c r="O255" s="1179"/>
      <c r="P255" s="1179"/>
      <c r="Q255" s="1179"/>
      <c r="R255" s="1179"/>
      <c r="S255" s="1179"/>
      <c r="T255" s="1179"/>
      <c r="U255" s="1179"/>
      <c r="V255" s="1179"/>
      <c r="W255" s="1179"/>
      <c r="X255" s="1179"/>
      <c r="Y255" s="1179"/>
      <c r="Z255" s="1179"/>
      <c r="AA255" s="1179"/>
      <c r="AB255" s="1179"/>
      <c r="AC255" s="1179"/>
      <c r="AD255" s="1179"/>
      <c r="AE255" s="1179"/>
      <c r="AF255" s="1179"/>
      <c r="AG255" s="1179"/>
      <c r="AH255" s="1179"/>
      <c r="AI255" s="1179"/>
      <c r="AJ255" s="1179"/>
      <c r="AK255" s="1179"/>
      <c r="AL255" s="1179"/>
      <c r="AM255" s="1179"/>
      <c r="AN255" s="1179"/>
      <c r="AO255" s="3115" t="str">
        <f>"Schedule E (Form 1040) "&amp;TaxYear</f>
        <v>Schedule E (Form 1040) 2021</v>
      </c>
      <c r="AP255" s="2757"/>
      <c r="BG255" s="3013"/>
      <c r="BH255" s="2595"/>
      <c r="BI255" s="2595"/>
      <c r="BJ255" s="2595"/>
      <c r="BK255" s="2595"/>
      <c r="BL255" s="2595"/>
      <c r="BM255" s="2595"/>
      <c r="BN255" s="2595"/>
      <c r="BO255" s="2595"/>
      <c r="BP255" s="2595"/>
    </row>
    <row r="256" spans="1:69">
      <c r="A256" s="2757"/>
      <c r="B256" s="2757"/>
      <c r="C256" s="2757"/>
      <c r="D256" s="2757"/>
      <c r="E256" s="2757"/>
      <c r="F256" s="2757"/>
      <c r="G256" s="2757"/>
      <c r="H256" s="2757"/>
      <c r="I256" s="2757"/>
      <c r="J256" s="2757"/>
      <c r="K256" s="2757"/>
      <c r="L256" s="2757"/>
      <c r="M256" s="2757"/>
      <c r="N256" s="2757"/>
      <c r="O256" s="2757"/>
      <c r="P256" s="2757"/>
      <c r="Q256" s="2757"/>
      <c r="R256" s="2757"/>
      <c r="S256" s="2757"/>
      <c r="T256" s="2757"/>
      <c r="U256" s="2757"/>
      <c r="V256" s="2757"/>
      <c r="W256" s="2757"/>
      <c r="X256" s="2757"/>
      <c r="Y256" s="2757"/>
      <c r="Z256" s="2757"/>
      <c r="AA256" s="2757"/>
      <c r="AB256" s="2757"/>
      <c r="AC256" s="2757"/>
      <c r="AD256" s="2757"/>
      <c r="AE256" s="2757"/>
      <c r="AF256" s="2757"/>
      <c r="AG256" s="2757"/>
      <c r="AH256" s="2757"/>
      <c r="AI256" s="2757"/>
      <c r="AJ256" s="2757"/>
      <c r="AK256" s="2757"/>
      <c r="AL256" s="2757"/>
      <c r="AM256" s="2757"/>
      <c r="AN256" s="2757"/>
      <c r="AO256" s="2757"/>
      <c r="AP256" s="2757"/>
      <c r="BG256" s="3013"/>
      <c r="BH256" s="2595"/>
      <c r="BI256" s="2595"/>
      <c r="BJ256" s="2595"/>
      <c r="BK256" s="2595"/>
      <c r="BL256" s="2595"/>
      <c r="BM256" s="2595"/>
      <c r="BN256" s="2595"/>
      <c r="BO256" s="2595"/>
      <c r="BP256" s="2595"/>
    </row>
  </sheetData>
  <sheetProtection algorithmName="SHA-512" hashValue="0Q4OHG9QsNCJIdNzziRxJBWD6YBXX81/3FizUh+E4DuonzUMGEa+nhDH+Fz6vwOtL65etqYdgxLTr7GGYaGTiA==" saltValue="W/CEFJrPKfE9godm7q2A6g==" spinCount="100000" sheet="1" objects="1" scenarios="1"/>
  <mergeCells count="657">
    <mergeCell ref="AH25:AO25"/>
    <mergeCell ref="AY46:AZ46"/>
    <mergeCell ref="BA46:BB46"/>
    <mergeCell ref="BC46:BD46"/>
    <mergeCell ref="AR43:AT43"/>
    <mergeCell ref="AI92:AN92"/>
    <mergeCell ref="AK50:AN50"/>
    <mergeCell ref="AK57:AN57"/>
    <mergeCell ref="AH82:AO84"/>
    <mergeCell ref="S81:AO81"/>
    <mergeCell ref="AF64:AO64"/>
    <mergeCell ref="B64:AE64"/>
    <mergeCell ref="B66:D66"/>
    <mergeCell ref="AH91:AO91"/>
    <mergeCell ref="S85:Y85"/>
    <mergeCell ref="S88:Y88"/>
    <mergeCell ref="B70:C70"/>
    <mergeCell ref="C77:N77"/>
    <mergeCell ref="O77:S77"/>
    <mergeCell ref="Y77:AE77"/>
    <mergeCell ref="O74:S76"/>
    <mergeCell ref="T74:X76"/>
    <mergeCell ref="Y74:AE76"/>
    <mergeCell ref="O80:S80"/>
    <mergeCell ref="Y80:AE80"/>
    <mergeCell ref="Y127:Z127"/>
    <mergeCell ref="AA127:AG127"/>
    <mergeCell ref="B124:C124"/>
    <mergeCell ref="B110:C110"/>
    <mergeCell ref="F107:N107"/>
    <mergeCell ref="O106:X106"/>
    <mergeCell ref="AF92:AG92"/>
    <mergeCell ref="AF93:AG93"/>
    <mergeCell ref="D112:J114"/>
    <mergeCell ref="AK109:AN109"/>
    <mergeCell ref="AH106:AO106"/>
    <mergeCell ref="Y107:AG107"/>
    <mergeCell ref="AH108:AI108"/>
    <mergeCell ref="AH109:AI109"/>
    <mergeCell ref="AH110:AI110"/>
    <mergeCell ref="Y123:Z123"/>
    <mergeCell ref="AA123:AG123"/>
    <mergeCell ref="AJ118:AO118"/>
    <mergeCell ref="AJ119:AO119"/>
    <mergeCell ref="AJ108:AO108"/>
    <mergeCell ref="AJ110:AO110"/>
    <mergeCell ref="S112:Y114"/>
    <mergeCell ref="Z112:AG114"/>
    <mergeCell ref="AH112:AO114"/>
    <mergeCell ref="AG62:AH62"/>
    <mergeCell ref="B2:G2"/>
    <mergeCell ref="C104:N104"/>
    <mergeCell ref="AH101:AO103"/>
    <mergeCell ref="B119:C119"/>
    <mergeCell ref="B120:C120"/>
    <mergeCell ref="B113:C113"/>
    <mergeCell ref="B8:AF9"/>
    <mergeCell ref="V29:AC29"/>
    <mergeCell ref="AD29:AI29"/>
    <mergeCell ref="W50:AB50"/>
    <mergeCell ref="B117:D117"/>
    <mergeCell ref="B118:C118"/>
    <mergeCell ref="AH118:AI118"/>
    <mergeCell ref="AH119:AI119"/>
    <mergeCell ref="Z115:AG115"/>
    <mergeCell ref="AH115:AO115"/>
    <mergeCell ref="B115:J115"/>
    <mergeCell ref="B116:C116"/>
    <mergeCell ref="AH116:AI116"/>
    <mergeCell ref="AJ116:AO116"/>
    <mergeCell ref="B111:D111"/>
    <mergeCell ref="K112:R114"/>
    <mergeCell ref="K85:R85"/>
    <mergeCell ref="AJ29:AO29"/>
    <mergeCell ref="B108:C108"/>
    <mergeCell ref="B109:C109"/>
    <mergeCell ref="S90:Y90"/>
    <mergeCell ref="AH98:AO98"/>
    <mergeCell ref="B96:C96"/>
    <mergeCell ref="K115:R115"/>
    <mergeCell ref="S115:Y115"/>
    <mergeCell ref="B106:C106"/>
    <mergeCell ref="B107:C107"/>
    <mergeCell ref="AH99:AO99"/>
    <mergeCell ref="C98:AG98"/>
    <mergeCell ref="B94:D94"/>
    <mergeCell ref="C99:AG99"/>
    <mergeCell ref="AH95:AO97"/>
    <mergeCell ref="O104:X104"/>
    <mergeCell ref="Y104:AG104"/>
    <mergeCell ref="AH104:AO104"/>
    <mergeCell ref="Y100:AO100"/>
    <mergeCell ref="B100:X100"/>
    <mergeCell ref="B101:N103"/>
    <mergeCell ref="O101:X103"/>
    <mergeCell ref="Y101:AG103"/>
    <mergeCell ref="AF74:AJ76"/>
    <mergeCell ref="AH93:AO93"/>
    <mergeCell ref="AF91:AG91"/>
    <mergeCell ref="B59:C59"/>
    <mergeCell ref="B57:C57"/>
    <mergeCell ref="AH57:AI57"/>
    <mergeCell ref="B58:C58"/>
    <mergeCell ref="B56:C56"/>
    <mergeCell ref="AJ56:AO56"/>
    <mergeCell ref="AH56:AI56"/>
    <mergeCell ref="AH60:AI60"/>
    <mergeCell ref="AJ60:AO60"/>
    <mergeCell ref="AK58:AN58"/>
    <mergeCell ref="AF63:AO63"/>
    <mergeCell ref="AH90:AO90"/>
    <mergeCell ref="F90:J90"/>
    <mergeCell ref="Z90:AG90"/>
    <mergeCell ref="C86:J86"/>
    <mergeCell ref="K86:R86"/>
    <mergeCell ref="S86:Y86"/>
    <mergeCell ref="Z86:AG86"/>
    <mergeCell ref="AH86:AO86"/>
    <mergeCell ref="B81:R81"/>
    <mergeCell ref="C85:J85"/>
    <mergeCell ref="AK74:AO76"/>
    <mergeCell ref="B54:C54"/>
    <mergeCell ref="AB54:AC54"/>
    <mergeCell ref="AD54:AI54"/>
    <mergeCell ref="B55:C55"/>
    <mergeCell ref="AB55:AC55"/>
    <mergeCell ref="AD55:AI55"/>
    <mergeCell ref="B52:C52"/>
    <mergeCell ref="AB52:AC52"/>
    <mergeCell ref="AD52:AI52"/>
    <mergeCell ref="B53:C53"/>
    <mergeCell ref="AB53:AC53"/>
    <mergeCell ref="AD53:AI53"/>
    <mergeCell ref="B50:C50"/>
    <mergeCell ref="T50:U50"/>
    <mergeCell ref="AB51:AC51"/>
    <mergeCell ref="AD51:AI51"/>
    <mergeCell ref="B51:C51"/>
    <mergeCell ref="AE50:AH50"/>
    <mergeCell ref="B48:C48"/>
    <mergeCell ref="T48:U48"/>
    <mergeCell ref="V48:AC48"/>
    <mergeCell ref="AD48:AI48"/>
    <mergeCell ref="AJ48:AO48"/>
    <mergeCell ref="B49:C49"/>
    <mergeCell ref="T49:U49"/>
    <mergeCell ref="V49:AC49"/>
    <mergeCell ref="AD49:AI49"/>
    <mergeCell ref="AJ49:AO49"/>
    <mergeCell ref="B46:C46"/>
    <mergeCell ref="T46:U46"/>
    <mergeCell ref="V46:AC46"/>
    <mergeCell ref="AD46:AI46"/>
    <mergeCell ref="AJ46:AO46"/>
    <mergeCell ref="B47:C47"/>
    <mergeCell ref="T47:U47"/>
    <mergeCell ref="V47:AC47"/>
    <mergeCell ref="AD47:AI47"/>
    <mergeCell ref="AJ47:AO47"/>
    <mergeCell ref="B44:C44"/>
    <mergeCell ref="T44:U44"/>
    <mergeCell ref="V44:AC44"/>
    <mergeCell ref="AD44:AI44"/>
    <mergeCell ref="AJ44:AO44"/>
    <mergeCell ref="B45:C45"/>
    <mergeCell ref="T45:U45"/>
    <mergeCell ref="V45:AC45"/>
    <mergeCell ref="AD45:AI45"/>
    <mergeCell ref="AJ45:AO45"/>
    <mergeCell ref="H44:R44"/>
    <mergeCell ref="B42:C42"/>
    <mergeCell ref="T42:U42"/>
    <mergeCell ref="V42:AC42"/>
    <mergeCell ref="AD42:AI42"/>
    <mergeCell ref="AJ42:AO42"/>
    <mergeCell ref="B43:C43"/>
    <mergeCell ref="T43:U43"/>
    <mergeCell ref="V43:AC43"/>
    <mergeCell ref="AD43:AI43"/>
    <mergeCell ref="AJ43:AO43"/>
    <mergeCell ref="B40:C40"/>
    <mergeCell ref="T40:U40"/>
    <mergeCell ref="V40:AC40"/>
    <mergeCell ref="AD40:AI40"/>
    <mergeCell ref="AJ40:AO40"/>
    <mergeCell ref="B41:C41"/>
    <mergeCell ref="T41:U41"/>
    <mergeCell ref="V41:AC41"/>
    <mergeCell ref="AD41:AI41"/>
    <mergeCell ref="AJ41:AO41"/>
    <mergeCell ref="B38:C38"/>
    <mergeCell ref="T38:U38"/>
    <mergeCell ref="V38:AC38"/>
    <mergeCell ref="AD38:AI38"/>
    <mergeCell ref="AJ38:AO38"/>
    <mergeCell ref="B39:C39"/>
    <mergeCell ref="T39:U39"/>
    <mergeCell ref="V39:AC39"/>
    <mergeCell ref="AD39:AI39"/>
    <mergeCell ref="AJ39:AO39"/>
    <mergeCell ref="B36:C36"/>
    <mergeCell ref="T36:U36"/>
    <mergeCell ref="V36:AC36"/>
    <mergeCell ref="AD36:AI36"/>
    <mergeCell ref="AJ36:AO36"/>
    <mergeCell ref="B37:C37"/>
    <mergeCell ref="T37:U37"/>
    <mergeCell ref="V37:AC37"/>
    <mergeCell ref="AD37:AI37"/>
    <mergeCell ref="AJ37:AO37"/>
    <mergeCell ref="B34:C34"/>
    <mergeCell ref="T34:U34"/>
    <mergeCell ref="V34:AC34"/>
    <mergeCell ref="AD34:AI34"/>
    <mergeCell ref="AJ34:AO34"/>
    <mergeCell ref="B35:C35"/>
    <mergeCell ref="T35:U35"/>
    <mergeCell ref="V35:AC35"/>
    <mergeCell ref="AD35:AI35"/>
    <mergeCell ref="AJ35:AO35"/>
    <mergeCell ref="B32:C32"/>
    <mergeCell ref="T32:U32"/>
    <mergeCell ref="V32:AC32"/>
    <mergeCell ref="AD32:AI32"/>
    <mergeCell ref="AJ32:AO32"/>
    <mergeCell ref="B33:C33"/>
    <mergeCell ref="T33:U33"/>
    <mergeCell ref="V33:AC33"/>
    <mergeCell ref="AD33:AI33"/>
    <mergeCell ref="AJ33:AO33"/>
    <mergeCell ref="B30:C30"/>
    <mergeCell ref="T30:U30"/>
    <mergeCell ref="V30:AC30"/>
    <mergeCell ref="AD30:AI30"/>
    <mergeCell ref="AJ30:AO30"/>
    <mergeCell ref="B31:C31"/>
    <mergeCell ref="T31:U31"/>
    <mergeCell ref="V31:AC31"/>
    <mergeCell ref="AD31:AI31"/>
    <mergeCell ref="AJ31:AO31"/>
    <mergeCell ref="B22:C22"/>
    <mergeCell ref="D20:H20"/>
    <mergeCell ref="D21:H21"/>
    <mergeCell ref="D22:H22"/>
    <mergeCell ref="X20:Z20"/>
    <mergeCell ref="X21:Z21"/>
    <mergeCell ref="X22:Z22"/>
    <mergeCell ref="AA20:AE20"/>
    <mergeCell ref="AA21:AE21"/>
    <mergeCell ref="B16:C16"/>
    <mergeCell ref="B17:C17"/>
    <mergeCell ref="B18:C18"/>
    <mergeCell ref="D16:AO16"/>
    <mergeCell ref="D17:AO17"/>
    <mergeCell ref="D18:H19"/>
    <mergeCell ref="AK18:AO19"/>
    <mergeCell ref="AF18:AJ19"/>
    <mergeCell ref="AA18:AE19"/>
    <mergeCell ref="B12:C12"/>
    <mergeCell ref="K18:W21"/>
    <mergeCell ref="I18:J18"/>
    <mergeCell ref="C105:N105"/>
    <mergeCell ref="O105:X105"/>
    <mergeCell ref="Y105:AG105"/>
    <mergeCell ref="AD26:AI26"/>
    <mergeCell ref="AA22:AE22"/>
    <mergeCell ref="Z85:AG85"/>
    <mergeCell ref="AH85:AO85"/>
    <mergeCell ref="C82:J84"/>
    <mergeCell ref="K82:R84"/>
    <mergeCell ref="S82:Y84"/>
    <mergeCell ref="Z82:AG84"/>
    <mergeCell ref="S87:Y87"/>
    <mergeCell ref="Z87:AG87"/>
    <mergeCell ref="AH87:AO87"/>
    <mergeCell ref="AJ27:AO27"/>
    <mergeCell ref="B28:C28"/>
    <mergeCell ref="T28:U28"/>
    <mergeCell ref="V28:AC28"/>
    <mergeCell ref="AD28:AI28"/>
    <mergeCell ref="AJ28:AO28"/>
    <mergeCell ref="AH105:AO105"/>
    <mergeCell ref="AI2:AO2"/>
    <mergeCell ref="B4:G6"/>
    <mergeCell ref="B3:G3"/>
    <mergeCell ref="AJ5:AM6"/>
    <mergeCell ref="AI3:AO4"/>
    <mergeCell ref="B27:C27"/>
    <mergeCell ref="T27:U27"/>
    <mergeCell ref="V27:AC27"/>
    <mergeCell ref="AD27:AI27"/>
    <mergeCell ref="B20:C20"/>
    <mergeCell ref="B21:C21"/>
    <mergeCell ref="B10:D10"/>
    <mergeCell ref="B13:C13"/>
    <mergeCell ref="B14:C14"/>
    <mergeCell ref="AN6:AO6"/>
    <mergeCell ref="AG8:AO9"/>
    <mergeCell ref="AG7:AO7"/>
    <mergeCell ref="AF20:AJ20"/>
    <mergeCell ref="AF21:AJ21"/>
    <mergeCell ref="AF22:AJ22"/>
    <mergeCell ref="V26:AC26"/>
    <mergeCell ref="AJ26:AO26"/>
    <mergeCell ref="B15:C15"/>
    <mergeCell ref="D15:AO15"/>
    <mergeCell ref="AI129:AO129"/>
    <mergeCell ref="B130:G130"/>
    <mergeCell ref="AI130:AO131"/>
    <mergeCell ref="B131:G133"/>
    <mergeCell ref="AJ132:AM133"/>
    <mergeCell ref="AN133:AO133"/>
    <mergeCell ref="AG134:AO134"/>
    <mergeCell ref="B135:AF136"/>
    <mergeCell ref="AG135:AO136"/>
    <mergeCell ref="B129:G129"/>
    <mergeCell ref="AH88:AO88"/>
    <mergeCell ref="B89:C89"/>
    <mergeCell ref="K89:R89"/>
    <mergeCell ref="S89:Y89"/>
    <mergeCell ref="AH89:AO89"/>
    <mergeCell ref="B90:C90"/>
    <mergeCell ref="K90:R90"/>
    <mergeCell ref="B75:C75"/>
    <mergeCell ref="B137:D137"/>
    <mergeCell ref="C78:N78"/>
    <mergeCell ref="O78:S78"/>
    <mergeCell ref="B93:C93"/>
    <mergeCell ref="B91:C91"/>
    <mergeCell ref="B92:C92"/>
    <mergeCell ref="C87:J87"/>
    <mergeCell ref="K87:R87"/>
    <mergeCell ref="Y78:AE78"/>
    <mergeCell ref="C79:N79"/>
    <mergeCell ref="O79:S79"/>
    <mergeCell ref="Y79:AE79"/>
    <mergeCell ref="C80:N80"/>
    <mergeCell ref="C88:J88"/>
    <mergeCell ref="K88:R88"/>
    <mergeCell ref="Z88:AG88"/>
    <mergeCell ref="B139:C139"/>
    <mergeCell ref="B140:C140"/>
    <mergeCell ref="B141:C141"/>
    <mergeCell ref="B142:C142"/>
    <mergeCell ref="D142:AO142"/>
    <mergeCell ref="B143:C143"/>
    <mergeCell ref="D143:AO143"/>
    <mergeCell ref="B144:C144"/>
    <mergeCell ref="D144:AO144"/>
    <mergeCell ref="B145:C145"/>
    <mergeCell ref="D145:H146"/>
    <mergeCell ref="I145:J145"/>
    <mergeCell ref="K145:W148"/>
    <mergeCell ref="AA145:AE146"/>
    <mergeCell ref="AF145:AJ146"/>
    <mergeCell ref="AK145:AO146"/>
    <mergeCell ref="B147:C147"/>
    <mergeCell ref="D147:H147"/>
    <mergeCell ref="X147:Z147"/>
    <mergeCell ref="AA147:AE147"/>
    <mergeCell ref="AF147:AJ147"/>
    <mergeCell ref="B148:C148"/>
    <mergeCell ref="D148:H148"/>
    <mergeCell ref="X148:Z148"/>
    <mergeCell ref="AA148:AE148"/>
    <mergeCell ref="AF148:AJ148"/>
    <mergeCell ref="B149:C149"/>
    <mergeCell ref="D149:H149"/>
    <mergeCell ref="X149:Z149"/>
    <mergeCell ref="AA149:AE149"/>
    <mergeCell ref="AF149:AJ149"/>
    <mergeCell ref="V153:AC153"/>
    <mergeCell ref="AD153:AI153"/>
    <mergeCell ref="AJ153:AO153"/>
    <mergeCell ref="B154:C154"/>
    <mergeCell ref="T154:U154"/>
    <mergeCell ref="V154:AC154"/>
    <mergeCell ref="AD154:AI154"/>
    <mergeCell ref="AJ154:AO154"/>
    <mergeCell ref="AG152:AO152"/>
    <mergeCell ref="B155:C155"/>
    <mergeCell ref="T155:U155"/>
    <mergeCell ref="V155:AC155"/>
    <mergeCell ref="AD155:AI155"/>
    <mergeCell ref="AJ155:AO155"/>
    <mergeCell ref="V156:AC156"/>
    <mergeCell ref="AD156:AI156"/>
    <mergeCell ref="AJ156:AO156"/>
    <mergeCell ref="B157:C157"/>
    <mergeCell ref="T157:U157"/>
    <mergeCell ref="V157:AC157"/>
    <mergeCell ref="AD157:AI157"/>
    <mergeCell ref="AJ157:AO157"/>
    <mergeCell ref="B158:C158"/>
    <mergeCell ref="T158:U158"/>
    <mergeCell ref="V158:AC158"/>
    <mergeCell ref="AD158:AI158"/>
    <mergeCell ref="AJ158:AO158"/>
    <mergeCell ref="B159:C159"/>
    <mergeCell ref="T159:U159"/>
    <mergeCell ref="V159:AC159"/>
    <mergeCell ref="AD159:AI159"/>
    <mergeCell ref="AJ159:AO159"/>
    <mergeCell ref="B160:C160"/>
    <mergeCell ref="T160:U160"/>
    <mergeCell ref="V160:AC160"/>
    <mergeCell ref="AD160:AI160"/>
    <mergeCell ref="AJ160:AO160"/>
    <mergeCell ref="B161:C161"/>
    <mergeCell ref="T161:U161"/>
    <mergeCell ref="V161:AC161"/>
    <mergeCell ref="AD161:AI161"/>
    <mergeCell ref="AJ161:AO161"/>
    <mergeCell ref="B162:C162"/>
    <mergeCell ref="T162:U162"/>
    <mergeCell ref="V162:AC162"/>
    <mergeCell ref="AD162:AI162"/>
    <mergeCell ref="AJ162:AO162"/>
    <mergeCell ref="B163:C163"/>
    <mergeCell ref="T163:U163"/>
    <mergeCell ref="V163:AC163"/>
    <mergeCell ref="AD163:AI163"/>
    <mergeCell ref="AJ163:AO163"/>
    <mergeCell ref="B164:C164"/>
    <mergeCell ref="T164:U164"/>
    <mergeCell ref="V164:AC164"/>
    <mergeCell ref="AD164:AI164"/>
    <mergeCell ref="AJ164:AO164"/>
    <mergeCell ref="B165:C165"/>
    <mergeCell ref="T165:U165"/>
    <mergeCell ref="V165:AC165"/>
    <mergeCell ref="AD165:AI165"/>
    <mergeCell ref="AJ165:AO165"/>
    <mergeCell ref="B166:C166"/>
    <mergeCell ref="T166:U166"/>
    <mergeCell ref="V166:AC166"/>
    <mergeCell ref="AD166:AI166"/>
    <mergeCell ref="AJ166:AO166"/>
    <mergeCell ref="B167:C167"/>
    <mergeCell ref="T167:U167"/>
    <mergeCell ref="V167:AC167"/>
    <mergeCell ref="AD167:AI167"/>
    <mergeCell ref="AJ167:AO167"/>
    <mergeCell ref="B168:C168"/>
    <mergeCell ref="T168:U168"/>
    <mergeCell ref="V168:AC168"/>
    <mergeCell ref="AD168:AI168"/>
    <mergeCell ref="AJ168:AO168"/>
    <mergeCell ref="B169:C169"/>
    <mergeCell ref="T169:U169"/>
    <mergeCell ref="V169:AC169"/>
    <mergeCell ref="AD169:AI169"/>
    <mergeCell ref="AJ169:AO169"/>
    <mergeCell ref="B170:C170"/>
    <mergeCell ref="T170:U170"/>
    <mergeCell ref="V170:AC170"/>
    <mergeCell ref="AD170:AI170"/>
    <mergeCell ref="AJ170:AO170"/>
    <mergeCell ref="AR170:AT170"/>
    <mergeCell ref="B171:C171"/>
    <mergeCell ref="H171:R171"/>
    <mergeCell ref="T171:U171"/>
    <mergeCell ref="V171:AC171"/>
    <mergeCell ref="AD171:AI171"/>
    <mergeCell ref="AJ171:AO171"/>
    <mergeCell ref="B172:C172"/>
    <mergeCell ref="T172:U172"/>
    <mergeCell ref="V172:AC172"/>
    <mergeCell ref="AD172:AI172"/>
    <mergeCell ref="AJ172:AO172"/>
    <mergeCell ref="B173:C173"/>
    <mergeCell ref="T173:U173"/>
    <mergeCell ref="V173:AC173"/>
    <mergeCell ref="AD173:AI173"/>
    <mergeCell ref="AJ173:AO173"/>
    <mergeCell ref="AY173:AZ173"/>
    <mergeCell ref="BA173:BB173"/>
    <mergeCell ref="BC173:BD173"/>
    <mergeCell ref="B174:C174"/>
    <mergeCell ref="T174:U174"/>
    <mergeCell ref="V174:AC174"/>
    <mergeCell ref="AD174:AI174"/>
    <mergeCell ref="AJ174:AO174"/>
    <mergeCell ref="B175:C175"/>
    <mergeCell ref="T175:U175"/>
    <mergeCell ref="V175:AC175"/>
    <mergeCell ref="AD175:AI175"/>
    <mergeCell ref="AJ175:AO175"/>
    <mergeCell ref="B176:C176"/>
    <mergeCell ref="T176:U176"/>
    <mergeCell ref="V176:AC176"/>
    <mergeCell ref="AD176:AI176"/>
    <mergeCell ref="AJ176:AO176"/>
    <mergeCell ref="B177:C177"/>
    <mergeCell ref="T177:U177"/>
    <mergeCell ref="W177:AB177"/>
    <mergeCell ref="AE177:AH177"/>
    <mergeCell ref="AK177:AN177"/>
    <mergeCell ref="B178:C178"/>
    <mergeCell ref="AB178:AC178"/>
    <mergeCell ref="AD178:AI178"/>
    <mergeCell ref="B179:C179"/>
    <mergeCell ref="AB179:AC179"/>
    <mergeCell ref="AD179:AI179"/>
    <mergeCell ref="B180:C180"/>
    <mergeCell ref="AB180:AC180"/>
    <mergeCell ref="AD180:AI180"/>
    <mergeCell ref="B181:C181"/>
    <mergeCell ref="AB181:AC181"/>
    <mergeCell ref="AD181:AI181"/>
    <mergeCell ref="B182:C182"/>
    <mergeCell ref="AB182:AC182"/>
    <mergeCell ref="AD182:AI182"/>
    <mergeCell ref="B183:C183"/>
    <mergeCell ref="AH183:AI183"/>
    <mergeCell ref="AJ183:AO183"/>
    <mergeCell ref="B184:C184"/>
    <mergeCell ref="AH184:AI184"/>
    <mergeCell ref="AK184:AN184"/>
    <mergeCell ref="B185:C185"/>
    <mergeCell ref="B186:C186"/>
    <mergeCell ref="AH187:AI187"/>
    <mergeCell ref="AJ187:AO187"/>
    <mergeCell ref="AF190:AO190"/>
    <mergeCell ref="AK185:AN185"/>
    <mergeCell ref="B191:AE191"/>
    <mergeCell ref="AF191:AO191"/>
    <mergeCell ref="B193:D193"/>
    <mergeCell ref="B197:C197"/>
    <mergeCell ref="O201:S203"/>
    <mergeCell ref="T201:X203"/>
    <mergeCell ref="Y201:AE203"/>
    <mergeCell ref="AF201:AJ203"/>
    <mergeCell ref="AK201:AO203"/>
    <mergeCell ref="B202:C202"/>
    <mergeCell ref="C204:N204"/>
    <mergeCell ref="O204:S204"/>
    <mergeCell ref="Y204:AE204"/>
    <mergeCell ref="C205:N205"/>
    <mergeCell ref="O205:S205"/>
    <mergeCell ref="Y205:AE205"/>
    <mergeCell ref="C206:N206"/>
    <mergeCell ref="O206:S206"/>
    <mergeCell ref="Y206:AE206"/>
    <mergeCell ref="C207:N207"/>
    <mergeCell ref="O207:S207"/>
    <mergeCell ref="Y207:AE207"/>
    <mergeCell ref="B208:R208"/>
    <mergeCell ref="S208:AO208"/>
    <mergeCell ref="C209:J211"/>
    <mergeCell ref="K209:R211"/>
    <mergeCell ref="S209:Y211"/>
    <mergeCell ref="Z209:AG211"/>
    <mergeCell ref="AH209:AO211"/>
    <mergeCell ref="C212:J212"/>
    <mergeCell ref="K212:R212"/>
    <mergeCell ref="S212:Y212"/>
    <mergeCell ref="Z212:AG212"/>
    <mergeCell ref="AH212:AO212"/>
    <mergeCell ref="C213:J213"/>
    <mergeCell ref="K213:R213"/>
    <mergeCell ref="S213:Y213"/>
    <mergeCell ref="Z213:AG213"/>
    <mergeCell ref="AH213:AO213"/>
    <mergeCell ref="C214:J214"/>
    <mergeCell ref="K214:R214"/>
    <mergeCell ref="S214:Y214"/>
    <mergeCell ref="Z214:AG214"/>
    <mergeCell ref="AH214:AO214"/>
    <mergeCell ref="C215:J215"/>
    <mergeCell ref="K215:R215"/>
    <mergeCell ref="S215:Y215"/>
    <mergeCell ref="Z215:AG215"/>
    <mergeCell ref="AH215:AO215"/>
    <mergeCell ref="B216:C216"/>
    <mergeCell ref="K216:R216"/>
    <mergeCell ref="S216:Y216"/>
    <mergeCell ref="AH216:AO216"/>
    <mergeCell ref="B217:C217"/>
    <mergeCell ref="F217:J217"/>
    <mergeCell ref="K217:R217"/>
    <mergeCell ref="S217:Y217"/>
    <mergeCell ref="Z217:AG217"/>
    <mergeCell ref="AH217:AO217"/>
    <mergeCell ref="B218:C218"/>
    <mergeCell ref="AF218:AG218"/>
    <mergeCell ref="AH218:AO218"/>
    <mergeCell ref="B219:C219"/>
    <mergeCell ref="AF219:AG219"/>
    <mergeCell ref="AI219:AN219"/>
    <mergeCell ref="B220:C220"/>
    <mergeCell ref="AF220:AG220"/>
    <mergeCell ref="AH220:AO220"/>
    <mergeCell ref="B221:D221"/>
    <mergeCell ref="AH222:AO224"/>
    <mergeCell ref="B223:C223"/>
    <mergeCell ref="C225:AG225"/>
    <mergeCell ref="AH225:AO225"/>
    <mergeCell ref="C226:AG226"/>
    <mergeCell ref="AH226:AO226"/>
    <mergeCell ref="B227:X227"/>
    <mergeCell ref="Y227:AO227"/>
    <mergeCell ref="B228:N230"/>
    <mergeCell ref="O228:X230"/>
    <mergeCell ref="Y228:AG230"/>
    <mergeCell ref="AH228:AO230"/>
    <mergeCell ref="C231:N231"/>
    <mergeCell ref="O231:X231"/>
    <mergeCell ref="Y231:AG231"/>
    <mergeCell ref="AH231:AO231"/>
    <mergeCell ref="C232:N232"/>
    <mergeCell ref="O232:X232"/>
    <mergeCell ref="Y232:AG232"/>
    <mergeCell ref="AH232:AO232"/>
    <mergeCell ref="B233:C233"/>
    <mergeCell ref="O233:X233"/>
    <mergeCell ref="AH233:AO233"/>
    <mergeCell ref="B234:C234"/>
    <mergeCell ref="F234:N234"/>
    <mergeCell ref="Y234:AG234"/>
    <mergeCell ref="B235:C235"/>
    <mergeCell ref="AH235:AI235"/>
    <mergeCell ref="AJ235:AO235"/>
    <mergeCell ref="B236:C236"/>
    <mergeCell ref="AH236:AI236"/>
    <mergeCell ref="AK236:AN236"/>
    <mergeCell ref="B237:C237"/>
    <mergeCell ref="AH237:AI237"/>
    <mergeCell ref="AJ237:AO237"/>
    <mergeCell ref="B238:D238"/>
    <mergeCell ref="D239:J241"/>
    <mergeCell ref="K239:R241"/>
    <mergeCell ref="S239:Y241"/>
    <mergeCell ref="Z239:AG241"/>
    <mergeCell ref="AH239:AO241"/>
    <mergeCell ref="B240:C240"/>
    <mergeCell ref="B242:J242"/>
    <mergeCell ref="K242:R242"/>
    <mergeCell ref="S242:Y242"/>
    <mergeCell ref="Z242:AG242"/>
    <mergeCell ref="AH242:AO242"/>
    <mergeCell ref="B243:C243"/>
    <mergeCell ref="AH243:AI243"/>
    <mergeCell ref="AJ243:AO243"/>
    <mergeCell ref="B244:D244"/>
    <mergeCell ref="B251:C251"/>
    <mergeCell ref="Y254:Z254"/>
    <mergeCell ref="AA254:AG254"/>
    <mergeCell ref="B245:C245"/>
    <mergeCell ref="AH245:AI245"/>
    <mergeCell ref="AJ245:AO245"/>
    <mergeCell ref="B246:C246"/>
    <mergeCell ref="AH246:AI246"/>
    <mergeCell ref="AJ246:AO246"/>
    <mergeCell ref="B247:C247"/>
    <mergeCell ref="Y250:Z250"/>
    <mergeCell ref="AA250:AG250"/>
  </mergeCells>
  <conditionalFormatting sqref="B8 AG8">
    <cfRule type="expression" dxfId="2023" priority="188">
      <formula>NoColor</formula>
    </cfRule>
  </conditionalFormatting>
  <conditionalFormatting sqref="B135 AG135">
    <cfRule type="expression" dxfId="2022" priority="66">
      <formula>NoColor</formula>
    </cfRule>
  </conditionalFormatting>
  <conditionalFormatting sqref="B64:AO64">
    <cfRule type="expression" dxfId="2021" priority="98">
      <formula>NoColor</formula>
    </cfRule>
  </conditionalFormatting>
  <conditionalFormatting sqref="B115:AO115">
    <cfRule type="expression" dxfId="2020" priority="67">
      <formula>NoColor</formula>
    </cfRule>
  </conditionalFormatting>
  <conditionalFormatting sqref="B191:AO191">
    <cfRule type="expression" dxfId="2019" priority="8">
      <formula>NoColor</formula>
    </cfRule>
  </conditionalFormatting>
  <conditionalFormatting sqref="B242:AO242">
    <cfRule type="expression" dxfId="2018" priority="14">
      <formula>NoColor</formula>
    </cfRule>
  </conditionalFormatting>
  <conditionalFormatting sqref="C98:J99">
    <cfRule type="expression" dxfId="2017" priority="88">
      <formula>NoColor</formula>
    </cfRule>
  </conditionalFormatting>
  <conditionalFormatting sqref="C225:J226">
    <cfRule type="expression" dxfId="2016" priority="35">
      <formula>NoColor</formula>
    </cfRule>
  </conditionalFormatting>
  <conditionalFormatting sqref="C77:AO80">
    <cfRule type="expression" dxfId="2015" priority="97">
      <formula>NoColor</formula>
    </cfRule>
  </conditionalFormatting>
  <conditionalFormatting sqref="C85:AO88">
    <cfRule type="expression" dxfId="2014" priority="96">
      <formula>NoColor</formula>
    </cfRule>
  </conditionalFormatting>
  <conditionalFormatting sqref="C104:AO105">
    <cfRule type="expression" dxfId="2013" priority="86">
      <formula>NoColor</formula>
    </cfRule>
  </conditionalFormatting>
  <conditionalFormatting sqref="C204:AO207">
    <cfRule type="expression" dxfId="2012" priority="44">
      <formula>NoColor</formula>
    </cfRule>
  </conditionalFormatting>
  <conditionalFormatting sqref="C212:AO215">
    <cfRule type="expression" dxfId="2011" priority="43">
      <formula>NoColor</formula>
    </cfRule>
  </conditionalFormatting>
  <conditionalFormatting sqref="C231:AO232">
    <cfRule type="expression" dxfId="2010" priority="33">
      <formula>NoColor</formula>
    </cfRule>
  </conditionalFormatting>
  <conditionalFormatting sqref="D20:H22">
    <cfRule type="expression" dxfId="2009" priority="117">
      <formula>NoColor</formula>
    </cfRule>
  </conditionalFormatting>
  <conditionalFormatting sqref="D147:H149">
    <cfRule type="expression" dxfId="2008" priority="64">
      <formula>NoColor</formula>
    </cfRule>
  </conditionalFormatting>
  <conditionalFormatting sqref="D15:AO17">
    <cfRule type="expression" dxfId="2007" priority="118">
      <formula>NoColor</formula>
    </cfRule>
  </conditionalFormatting>
  <conditionalFormatting sqref="D142:AO144">
    <cfRule type="expression" dxfId="2006" priority="65">
      <formula>NoColor</formula>
    </cfRule>
  </conditionalFormatting>
  <conditionalFormatting sqref="F90:J90">
    <cfRule type="expression" dxfId="2005" priority="95">
      <formula>NoColor</formula>
    </cfRule>
  </conditionalFormatting>
  <conditionalFormatting sqref="F217:J217">
    <cfRule type="expression" dxfId="2004" priority="42">
      <formula>NoColor</formula>
    </cfRule>
  </conditionalFormatting>
  <conditionalFormatting sqref="F107:N107">
    <cfRule type="expression" dxfId="2003" priority="85">
      <formula>NoColor</formula>
    </cfRule>
  </conditionalFormatting>
  <conditionalFormatting sqref="F234:N234">
    <cfRule type="expression" dxfId="2002" priority="32">
      <formula>NoColor</formula>
    </cfRule>
  </conditionalFormatting>
  <conditionalFormatting sqref="H2">
    <cfRule type="expression" dxfId="2001" priority="68">
      <formula>NOT(Draft)</formula>
    </cfRule>
  </conditionalFormatting>
  <conditionalFormatting sqref="H129">
    <cfRule type="expression" dxfId="2000" priority="15">
      <formula>NOT(Draft)</formula>
    </cfRule>
  </conditionalFormatting>
  <conditionalFormatting sqref="H190">
    <cfRule type="expression" dxfId="1999" priority="2">
      <formula>AND($AR190,$AP191="",NOT(NoColor))</formula>
    </cfRule>
  </conditionalFormatting>
  <conditionalFormatting sqref="H63:I63">
    <cfRule type="expression" dxfId="1998" priority="3">
      <formula>AND($AR63,$AP64="",NOT(NoColor))</formula>
    </cfRule>
  </conditionalFormatting>
  <conditionalFormatting sqref="H44:R45">
    <cfRule type="expression" dxfId="1997" priority="106">
      <formula>NoColor</formula>
    </cfRule>
  </conditionalFormatting>
  <conditionalFormatting sqref="H171:R172">
    <cfRule type="expression" dxfId="1996" priority="53">
      <formula>NoColor</formula>
    </cfRule>
  </conditionalFormatting>
  <conditionalFormatting sqref="H56:AF56">
    <cfRule type="expression" dxfId="1995" priority="104">
      <formula>NoColor</formula>
    </cfRule>
  </conditionalFormatting>
  <conditionalFormatting sqref="H183:AF183">
    <cfRule type="expression" dxfId="1994" priority="51">
      <formula>NoColor</formula>
    </cfRule>
  </conditionalFormatting>
  <conditionalFormatting sqref="H57:AG57">
    <cfRule type="expression" dxfId="1993" priority="102">
      <formula>NoColor</formula>
    </cfRule>
  </conditionalFormatting>
  <conditionalFormatting sqref="H184:AG184">
    <cfRule type="expression" dxfId="1992" priority="49">
      <formula>NoColor</formula>
    </cfRule>
  </conditionalFormatting>
  <conditionalFormatting sqref="K89:R89">
    <cfRule type="expression" dxfId="1991" priority="94">
      <formula>NoColor</formula>
    </cfRule>
  </conditionalFormatting>
  <conditionalFormatting sqref="K216:R216">
    <cfRule type="expression" dxfId="1990" priority="41">
      <formula>NoColor</formula>
    </cfRule>
  </conditionalFormatting>
  <conditionalFormatting sqref="O106:X106">
    <cfRule type="expression" dxfId="1989" priority="84">
      <formula>NoColor</formula>
    </cfRule>
  </conditionalFormatting>
  <conditionalFormatting sqref="O233:X233">
    <cfRule type="expression" dxfId="1988" priority="31">
      <formula>NoColor</formula>
    </cfRule>
  </conditionalFormatting>
  <conditionalFormatting sqref="S90:AG90">
    <cfRule type="expression" dxfId="1987" priority="91">
      <formula>NoColor</formula>
    </cfRule>
  </conditionalFormatting>
  <conditionalFormatting sqref="S217:AG217">
    <cfRule type="expression" dxfId="1986" priority="38">
      <formula>NoColor</formula>
    </cfRule>
  </conditionalFormatting>
  <conditionalFormatting sqref="V50:W50 AC50:AE50 AI50:AK50 AO50">
    <cfRule type="expression" dxfId="1985" priority="108">
      <formula>NoColor</formula>
    </cfRule>
  </conditionalFormatting>
  <conditionalFormatting sqref="V177:W177 AC177:AE177 AI177:AK177 AO177">
    <cfRule type="expression" dxfId="1984" priority="55">
      <formula>NoColor</formula>
    </cfRule>
  </conditionalFormatting>
  <conditionalFormatting sqref="V29:AC29">
    <cfRule type="expression" dxfId="1983" priority="75">
      <formula>$BE$20</formula>
    </cfRule>
  </conditionalFormatting>
  <conditionalFormatting sqref="V156:AC156">
    <cfRule type="expression" dxfId="1982" priority="22">
      <formula>$BE$20</formula>
    </cfRule>
  </conditionalFormatting>
  <conditionalFormatting sqref="V27:AO28">
    <cfRule type="expression" dxfId="1981" priority="112">
      <formula>NoColor</formula>
    </cfRule>
  </conditionalFormatting>
  <conditionalFormatting sqref="V30:AO45">
    <cfRule type="expression" dxfId="1980" priority="110">
      <formula>NoColor</formula>
    </cfRule>
  </conditionalFormatting>
  <conditionalFormatting sqref="V48:AO48">
    <cfRule type="expression" dxfId="1979" priority="109">
      <formula>NoColor</formula>
    </cfRule>
  </conditionalFormatting>
  <conditionalFormatting sqref="V154:AO155">
    <cfRule type="expression" dxfId="1978" priority="59">
      <formula>NoColor</formula>
    </cfRule>
  </conditionalFormatting>
  <conditionalFormatting sqref="V157:AO172">
    <cfRule type="expression" dxfId="1977" priority="57">
      <formula>NoColor</formula>
    </cfRule>
  </conditionalFormatting>
  <conditionalFormatting sqref="V175:AO175">
    <cfRule type="expression" dxfId="1976" priority="56">
      <formula>NoColor</formula>
    </cfRule>
  </conditionalFormatting>
  <conditionalFormatting sqref="Y107:AG107">
    <cfRule type="expression" dxfId="1975" priority="83">
      <formula>NoColor</formula>
    </cfRule>
  </conditionalFormatting>
  <conditionalFormatting sqref="Y234:AG234">
    <cfRule type="expression" dxfId="1974" priority="30">
      <formula>NoColor</formula>
    </cfRule>
  </conditionalFormatting>
  <conditionalFormatting sqref="AA20:AE22">
    <cfRule type="expression" dxfId="1973" priority="71">
      <formula>AV20</formula>
    </cfRule>
  </conditionalFormatting>
  <conditionalFormatting sqref="AA147:AE149">
    <cfRule type="expression" dxfId="1972" priority="18">
      <formula>AV147</formula>
    </cfRule>
  </conditionalFormatting>
  <conditionalFormatting sqref="AA123:AG123">
    <cfRule type="expression" dxfId="1971" priority="77">
      <formula>NoColor</formula>
    </cfRule>
  </conditionalFormatting>
  <conditionalFormatting sqref="AA127:AG127">
    <cfRule type="expression" dxfId="1970" priority="76">
      <formula>NoColor</formula>
    </cfRule>
  </conditionalFormatting>
  <conditionalFormatting sqref="AA250:AG250">
    <cfRule type="expression" dxfId="1969" priority="24">
      <formula>NoColor</formula>
    </cfRule>
  </conditionalFormatting>
  <conditionalFormatting sqref="AA254:AG254">
    <cfRule type="expression" dxfId="1968" priority="23">
      <formula>NoColor</formula>
    </cfRule>
  </conditionalFormatting>
  <conditionalFormatting sqref="AA20:AJ22">
    <cfRule type="expression" dxfId="1967" priority="116">
      <formula>NoColor</formula>
    </cfRule>
  </conditionalFormatting>
  <conditionalFormatting sqref="AA147:AJ149">
    <cfRule type="expression" dxfId="1966" priority="63">
      <formula>NoColor</formula>
    </cfRule>
  </conditionalFormatting>
  <conditionalFormatting sqref="AD29:AI29">
    <cfRule type="expression" dxfId="1965" priority="74">
      <formula>$BE$21</formula>
    </cfRule>
  </conditionalFormatting>
  <conditionalFormatting sqref="AD51:AI55 AD60:AF60 AD61:AI61">
    <cfRule type="expression" dxfId="1964" priority="107">
      <formula>NoColor</formula>
    </cfRule>
  </conditionalFormatting>
  <conditionalFormatting sqref="AD156:AI156">
    <cfRule type="expression" dxfId="1963" priority="21">
      <formula>$BE$21</formula>
    </cfRule>
  </conditionalFormatting>
  <conditionalFormatting sqref="AD178:AI182 AD187:AF187 AD188:AI188">
    <cfRule type="expression" dxfId="1962" priority="54">
      <formula>NoColor</formula>
    </cfRule>
  </conditionalFormatting>
  <conditionalFormatting sqref="AF20:AJ22">
    <cfRule type="expression" dxfId="1961" priority="72">
      <formula>AW20</formula>
    </cfRule>
  </conditionalFormatting>
  <conditionalFormatting sqref="AF147:AJ149">
    <cfRule type="expression" dxfId="1960" priority="19">
      <formula>AW147</formula>
    </cfRule>
  </conditionalFormatting>
  <conditionalFormatting sqref="AG152:AO152">
    <cfRule type="expression" dxfId="1959" priority="11">
      <formula>OR(NoColor,NOT(AR150))</formula>
    </cfRule>
  </conditionalFormatting>
  <conditionalFormatting sqref="AH25:AO25">
    <cfRule type="expression" dxfId="1958" priority="12">
      <formula>OR(NoColor,NOT(AR$23))</formula>
    </cfRule>
  </conditionalFormatting>
  <conditionalFormatting sqref="AH89:AO89">
    <cfRule type="expression" dxfId="1957" priority="92">
      <formula>NoColor</formula>
    </cfRule>
  </conditionalFormatting>
  <conditionalFormatting sqref="AH91:AO91 AH92:AI92 AO92 AH93:AO93">
    <cfRule type="expression" dxfId="1956" priority="90">
      <formula>NoColor</formula>
    </cfRule>
  </conditionalFormatting>
  <conditionalFormatting sqref="AH98:AO99">
    <cfRule type="expression" dxfId="1955" priority="89">
      <formula>NoColor</formula>
    </cfRule>
  </conditionalFormatting>
  <conditionalFormatting sqref="AH106:AO106">
    <cfRule type="expression" dxfId="1954" priority="82">
      <formula>NoColor</formula>
    </cfRule>
  </conditionalFormatting>
  <conditionalFormatting sqref="AH216:AO216">
    <cfRule type="expression" dxfId="1953" priority="39">
      <formula>NoColor</formula>
    </cfRule>
  </conditionalFormatting>
  <conditionalFormatting sqref="AH218:AO218 AH219:AI219 AO219 AH220:AO220">
    <cfRule type="expression" dxfId="1952" priority="37">
      <formula>NoColor</formula>
    </cfRule>
  </conditionalFormatting>
  <conditionalFormatting sqref="AH225:AO226">
    <cfRule type="expression" dxfId="1951" priority="36">
      <formula>NoColor</formula>
    </cfRule>
  </conditionalFormatting>
  <conditionalFormatting sqref="AH233:AO233">
    <cfRule type="expression" dxfId="1950" priority="29">
      <formula>NoColor</formula>
    </cfRule>
  </conditionalFormatting>
  <conditionalFormatting sqref="AJ12:AJ13">
    <cfRule type="expression" dxfId="1949" priority="114">
      <formula>NoColor</formula>
    </cfRule>
  </conditionalFormatting>
  <conditionalFormatting sqref="AJ72">
    <cfRule type="expression" dxfId="1948" priority="100">
      <formula>NoColor</formula>
    </cfRule>
  </conditionalFormatting>
  <conditionalFormatting sqref="AJ139:AJ140">
    <cfRule type="expression" dxfId="1947" priority="1">
      <formula>NoColor</formula>
    </cfRule>
  </conditionalFormatting>
  <conditionalFormatting sqref="AJ199">
    <cfRule type="expression" dxfId="1946" priority="47">
      <formula>NoColor</formula>
    </cfRule>
  </conditionalFormatting>
  <conditionalFormatting sqref="AJ57:AK57">
    <cfRule type="expression" dxfId="1945" priority="13">
      <formula>NoColor</formula>
    </cfRule>
  </conditionalFormatting>
  <conditionalFormatting sqref="AJ184:AK184 AO184">
    <cfRule type="expression" dxfId="1944" priority="50">
      <formula>NoColor</formula>
    </cfRule>
  </conditionalFormatting>
  <conditionalFormatting sqref="AJ29:AO29">
    <cfRule type="expression" dxfId="1943" priority="73">
      <formula>$BE$22</formula>
    </cfRule>
  </conditionalFormatting>
  <conditionalFormatting sqref="AJ56:AO56">
    <cfRule type="expression" dxfId="1942" priority="105">
      <formula>NoColor</formula>
    </cfRule>
  </conditionalFormatting>
  <conditionalFormatting sqref="AJ60:AO60">
    <cfRule type="expression" dxfId="1941" priority="101">
      <formula>NoColor</formula>
    </cfRule>
  </conditionalFormatting>
  <conditionalFormatting sqref="AJ108:AO108 AJ109:AK109 AO109 AJ110:AO110">
    <cfRule type="expression" dxfId="1940" priority="81">
      <formula>NoColor</formula>
    </cfRule>
  </conditionalFormatting>
  <conditionalFormatting sqref="AJ116:AO116">
    <cfRule type="expression" dxfId="1939" priority="80">
      <formula>NoColor</formula>
    </cfRule>
  </conditionalFormatting>
  <conditionalFormatting sqref="AJ118:AO119">
    <cfRule type="expression" dxfId="1938" priority="78">
      <formula>NoColor</formula>
    </cfRule>
  </conditionalFormatting>
  <conditionalFormatting sqref="AJ156:AO156">
    <cfRule type="expression" dxfId="1937" priority="20">
      <formula>$BE$22</formula>
    </cfRule>
  </conditionalFormatting>
  <conditionalFormatting sqref="AJ183:AO183">
    <cfRule type="expression" dxfId="1936" priority="52">
      <formula>NoColor</formula>
    </cfRule>
  </conditionalFormatting>
  <conditionalFormatting sqref="AJ187:AO187">
    <cfRule type="expression" dxfId="1935" priority="48">
      <formula>NoColor</formula>
    </cfRule>
  </conditionalFormatting>
  <conditionalFormatting sqref="AJ235:AO235 AJ236:AK236 AO236 AJ237:AO237">
    <cfRule type="expression" dxfId="1934" priority="28">
      <formula>NoColor</formula>
    </cfRule>
  </conditionalFormatting>
  <conditionalFormatting sqref="AJ243:AO243">
    <cfRule type="expression" dxfId="1933" priority="27">
      <formula>NoColor</formula>
    </cfRule>
  </conditionalFormatting>
  <conditionalFormatting sqref="AJ245:AO246">
    <cfRule type="expression" dxfId="1932" priority="25">
      <formula>NoColor</formula>
    </cfRule>
  </conditionalFormatting>
  <conditionalFormatting sqref="AM12:AM13">
    <cfRule type="expression" dxfId="1931" priority="113">
      <formula>NoColor</formula>
    </cfRule>
  </conditionalFormatting>
  <conditionalFormatting sqref="AM20:AM22">
    <cfRule type="expression" dxfId="1930" priority="115">
      <formula>NoColor</formula>
    </cfRule>
  </conditionalFormatting>
  <conditionalFormatting sqref="AM72">
    <cfRule type="expression" dxfId="1929" priority="99">
      <formula>NoColor</formula>
    </cfRule>
  </conditionalFormatting>
  <conditionalFormatting sqref="AM139:AM140">
    <cfRule type="expression" dxfId="1928" priority="60">
      <formula>NoColor</formula>
    </cfRule>
  </conditionalFormatting>
  <conditionalFormatting sqref="AM147:AM149">
    <cfRule type="expression" dxfId="1927" priority="62">
      <formula>NoColor</formula>
    </cfRule>
  </conditionalFormatting>
  <conditionalFormatting sqref="AM199">
    <cfRule type="expression" dxfId="1926" priority="46">
      <formula>NoColor</formula>
    </cfRule>
  </conditionalFormatting>
  <conditionalFormatting sqref="AO57">
    <cfRule type="expression" dxfId="1925" priority="103">
      <formula>NoColor</formula>
    </cfRule>
  </conditionalFormatting>
  <conditionalFormatting sqref="AP64">
    <cfRule type="expression" dxfId="1924" priority="5">
      <formula>$AR63</formula>
    </cfRule>
  </conditionalFormatting>
  <conditionalFormatting sqref="AP191">
    <cfRule type="expression" dxfId="1923" priority="6">
      <formula>$AR190</formula>
    </cfRule>
  </conditionalFormatting>
  <pageMargins left="0.45" right="0.2" top="0.5" bottom="0.25" header="0" footer="0"/>
  <pageSetup scale="77" fitToHeight="0" orientation="portrait" r:id="rId1"/>
  <rowBreaks count="3" manualBreakCount="3">
    <brk id="61" min="1" max="40" man="1"/>
    <brk id="128" min="1" max="40" man="1"/>
    <brk id="188" min="1" max="40"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BQ256"/>
  <sheetViews>
    <sheetView zoomScale="90" zoomScaleNormal="90" zoomScaleSheetLayoutView="100" workbookViewId="0">
      <selection activeCell="AJ12" sqref="AJ12"/>
    </sheetView>
  </sheetViews>
  <sheetFormatPr defaultColWidth="3.42578125" defaultRowHeight="12.75"/>
  <cols>
    <col min="1" max="1" width="3.42578125" style="42"/>
    <col min="2" max="2" width="3.85546875" style="42" customWidth="1"/>
    <col min="3" max="4" width="3.42578125" style="42"/>
    <col min="5" max="5" width="2.5703125" style="42" customWidth="1"/>
    <col min="6" max="6" width="4.28515625" style="42" customWidth="1"/>
    <col min="7" max="7" width="3.42578125" style="42"/>
    <col min="8" max="10" width="3.7109375" style="42" customWidth="1"/>
    <col min="11" max="12" width="3.42578125" style="42"/>
    <col min="13" max="14" width="3" style="42" customWidth="1"/>
    <col min="15" max="18" width="2.7109375" style="42" customWidth="1"/>
    <col min="19" max="25" width="3.28515625" style="42" customWidth="1"/>
    <col min="26" max="29" width="2.7109375" style="42" customWidth="1"/>
    <col min="30" max="31" width="3.42578125" style="42"/>
    <col min="32" max="33" width="3.7109375" style="42" customWidth="1"/>
    <col min="34" max="34" width="3.5703125" style="42" customWidth="1"/>
    <col min="35" max="43" width="3.42578125" style="42"/>
    <col min="44" max="46" width="10.28515625" style="42" customWidth="1"/>
    <col min="47" max="47" width="3.85546875" style="42" customWidth="1"/>
    <col min="48" max="55" width="10.28515625" style="42" hidden="1" customWidth="1"/>
    <col min="56" max="56" width="10.140625" style="42" hidden="1" customWidth="1"/>
    <col min="57" max="57" width="10.28515625" style="42" hidden="1" customWidth="1"/>
    <col min="58" max="58" width="3.42578125" style="42"/>
    <col min="59" max="59" width="10.7109375" style="3403" customWidth="1"/>
    <col min="60" max="69" width="10.7109375" style="3402" customWidth="1"/>
    <col min="70" max="16384" width="3.42578125" style="42"/>
  </cols>
  <sheetData>
    <row r="1" spans="1:69" ht="21.75" customHeight="1">
      <c r="A1" s="2757"/>
      <c r="B1" s="2757"/>
      <c r="C1" s="3874" t="s">
        <v>3105</v>
      </c>
      <c r="D1" s="2757"/>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I1" s="2757"/>
      <c r="AJ1" s="2757"/>
      <c r="AK1" s="2757"/>
      <c r="AL1" s="2757"/>
      <c r="AM1" s="2757"/>
      <c r="AN1" s="2757"/>
      <c r="AO1" s="2757"/>
      <c r="AP1" s="2757"/>
      <c r="BG1" s="3012" t="s">
        <v>2033</v>
      </c>
      <c r="BH1" s="2595"/>
      <c r="BI1" s="2595"/>
      <c r="BJ1" s="2595"/>
      <c r="BK1" s="2595"/>
      <c r="BL1" s="2595"/>
      <c r="BM1" s="2595"/>
      <c r="BN1" s="2595"/>
      <c r="BO1" s="2595"/>
      <c r="BP1" s="2595"/>
    </row>
    <row r="2" spans="1:69" ht="18" customHeight="1">
      <c r="A2" s="2757"/>
      <c r="B2" s="7441" t="s">
        <v>3496</v>
      </c>
      <c r="C2" s="7442"/>
      <c r="D2" s="7442"/>
      <c r="E2" s="7442"/>
      <c r="F2" s="7442"/>
      <c r="G2" s="7443"/>
      <c r="H2" s="3062"/>
      <c r="I2" s="1179"/>
      <c r="J2" s="1179"/>
      <c r="K2" s="1179"/>
      <c r="L2" s="1179"/>
      <c r="M2" s="3064"/>
      <c r="N2" s="1179"/>
      <c r="O2" s="1179"/>
      <c r="P2" s="1179"/>
      <c r="Q2" s="1179"/>
      <c r="R2" s="1179"/>
      <c r="S2" s="1179"/>
      <c r="T2" s="1179"/>
      <c r="U2" s="1179"/>
      <c r="V2" s="1179"/>
      <c r="W2" s="1179"/>
      <c r="X2" s="1179"/>
      <c r="Y2" s="1179"/>
      <c r="Z2" s="1179"/>
      <c r="AA2" s="1179"/>
      <c r="AB2" s="1179"/>
      <c r="AC2" s="1179"/>
      <c r="AD2" s="1179"/>
      <c r="AE2" s="1179"/>
      <c r="AF2" s="1179"/>
      <c r="AG2" s="1179"/>
      <c r="AH2" s="1179"/>
      <c r="AI2" s="7413" t="s">
        <v>152</v>
      </c>
      <c r="AJ2" s="7414"/>
      <c r="AK2" s="7414"/>
      <c r="AL2" s="7414"/>
      <c r="AM2" s="7414"/>
      <c r="AN2" s="7414"/>
      <c r="AO2" s="7414"/>
      <c r="AP2" s="2757"/>
      <c r="BG2" s="3217" t="s">
        <v>2763</v>
      </c>
      <c r="BH2" s="2595"/>
      <c r="BI2" s="2595"/>
      <c r="BJ2" s="2595"/>
      <c r="BK2" s="2595"/>
      <c r="BL2" s="2595"/>
      <c r="BM2" s="2595"/>
      <c r="BN2" s="2595"/>
      <c r="BO2" s="2595"/>
      <c r="BP2" s="2595"/>
    </row>
    <row r="3" spans="1:69" ht="25.5" customHeight="1">
      <c r="A3" s="2757"/>
      <c r="B3" s="7415" t="s">
        <v>3973</v>
      </c>
      <c r="C3" s="7416"/>
      <c r="D3" s="7416"/>
      <c r="E3" s="7416"/>
      <c r="F3" s="7416"/>
      <c r="G3" s="7417"/>
      <c r="H3" s="4844" t="s">
        <v>663</v>
      </c>
      <c r="I3" s="3117"/>
      <c r="J3" s="3117"/>
      <c r="K3" s="3117"/>
      <c r="L3" s="3117"/>
      <c r="M3" s="3117"/>
      <c r="N3" s="3117"/>
      <c r="O3" s="3117"/>
      <c r="P3" s="3117"/>
      <c r="Q3" s="3117"/>
      <c r="R3" s="3117"/>
      <c r="S3" s="3117"/>
      <c r="T3" s="3117"/>
      <c r="U3" s="3117"/>
      <c r="V3" s="3117"/>
      <c r="W3" s="3117"/>
      <c r="X3" s="3117"/>
      <c r="Y3" s="3117"/>
      <c r="Z3" s="3117"/>
      <c r="AA3" s="3117"/>
      <c r="AB3" s="3117"/>
      <c r="AC3" s="3117"/>
      <c r="AD3" s="3117"/>
      <c r="AE3" s="3117"/>
      <c r="AF3" s="3117"/>
      <c r="AG3" s="3117"/>
      <c r="AH3" s="3118"/>
      <c r="AI3" s="7418">
        <f>TaxYear</f>
        <v>2021</v>
      </c>
      <c r="AJ3" s="7419"/>
      <c r="AK3" s="7419"/>
      <c r="AL3" s="7419"/>
      <c r="AM3" s="7419"/>
      <c r="AN3" s="7419"/>
      <c r="AO3" s="7419"/>
      <c r="AP3" s="2757"/>
      <c r="BG3" s="3013"/>
      <c r="BH3" s="2595"/>
      <c r="BI3" s="2595"/>
      <c r="BJ3" s="2595"/>
      <c r="BK3" s="2595"/>
      <c r="BL3" s="2595"/>
      <c r="BM3" s="2595"/>
      <c r="BN3" s="2595"/>
      <c r="BO3" s="2595"/>
      <c r="BP3" s="2595"/>
    </row>
    <row r="4" spans="1:69">
      <c r="A4" s="2757"/>
      <c r="B4" s="7422" t="s">
        <v>2334</v>
      </c>
      <c r="C4" s="6764"/>
      <c r="D4" s="6764"/>
      <c r="E4" s="6764"/>
      <c r="F4" s="6764"/>
      <c r="G4" s="7423"/>
      <c r="H4" s="3133" t="str">
        <f>"(From rental real estate, royalties, partnerships, S corporations, estates, trusts, REMICs, etc.)"</f>
        <v>(From rental real estate, royalties, partnerships, S corporations, estates, trusts, REMICs, etc.)</v>
      </c>
      <c r="I4" s="1811"/>
      <c r="J4" s="1811"/>
      <c r="K4" s="1811"/>
      <c r="L4" s="1811"/>
      <c r="M4" s="1811"/>
      <c r="N4" s="1811"/>
      <c r="O4" s="1811"/>
      <c r="P4" s="1811"/>
      <c r="Q4" s="1811"/>
      <c r="R4" s="1811"/>
      <c r="S4" s="1811"/>
      <c r="T4" s="3116"/>
      <c r="U4" s="1811"/>
      <c r="V4" s="1811"/>
      <c r="W4" s="1811"/>
      <c r="X4" s="1811"/>
      <c r="Y4" s="1811"/>
      <c r="Z4" s="1811"/>
      <c r="AA4" s="1811"/>
      <c r="AB4" s="1811"/>
      <c r="AC4" s="1811"/>
      <c r="AD4" s="1811"/>
      <c r="AE4" s="1811"/>
      <c r="AF4" s="1811"/>
      <c r="AG4" s="1811"/>
      <c r="AH4" s="1811"/>
      <c r="AI4" s="7420"/>
      <c r="AJ4" s="7421"/>
      <c r="AK4" s="7421"/>
      <c r="AL4" s="7421"/>
      <c r="AM4" s="7421"/>
      <c r="AN4" s="7421"/>
      <c r="AO4" s="7421"/>
      <c r="AP4" s="2757"/>
      <c r="BG4" s="3013"/>
      <c r="BH4" s="2595"/>
      <c r="BI4" s="2595"/>
      <c r="BJ4" s="2595"/>
      <c r="BK4" s="2595"/>
      <c r="BL4" s="2595"/>
      <c r="BM4" s="2595"/>
      <c r="BN4" s="2595"/>
      <c r="BO4" s="2595"/>
      <c r="BP4" s="2595"/>
    </row>
    <row r="5" spans="1:69">
      <c r="A5" s="2757"/>
      <c r="B5" s="7422"/>
      <c r="C5" s="6764"/>
      <c r="D5" s="6764"/>
      <c r="E5" s="6764"/>
      <c r="F5" s="6764"/>
      <c r="G5" s="7423"/>
      <c r="H5" s="1278"/>
      <c r="I5" s="1179"/>
      <c r="J5" s="1179"/>
      <c r="K5" s="1179"/>
      <c r="L5" s="1179"/>
      <c r="M5" s="1179"/>
      <c r="N5" s="1179"/>
      <c r="O5" s="1179"/>
      <c r="P5" s="1179"/>
      <c r="Q5" s="1179"/>
      <c r="R5" s="1179"/>
      <c r="S5" s="1179"/>
      <c r="T5" s="1444" t="s">
        <v>3497</v>
      </c>
      <c r="U5" s="1179"/>
      <c r="V5" s="1179"/>
      <c r="W5" s="1179"/>
      <c r="X5" s="1179"/>
      <c r="Y5" s="1179"/>
      <c r="Z5" s="1179"/>
      <c r="AA5" s="1179"/>
      <c r="AB5" s="1179"/>
      <c r="AC5" s="1179"/>
      <c r="AD5" s="1179"/>
      <c r="AE5" s="1179"/>
      <c r="AF5" s="1179"/>
      <c r="AG5" s="1179"/>
      <c r="AH5" s="1179"/>
      <c r="AI5" s="3131"/>
      <c r="AJ5" s="7425" t="s">
        <v>2070</v>
      </c>
      <c r="AK5" s="7189"/>
      <c r="AL5" s="7189"/>
      <c r="AM5" s="7189"/>
      <c r="AN5" s="3063"/>
      <c r="AO5" s="3063"/>
      <c r="AP5" s="2757"/>
      <c r="BG5" s="3013"/>
      <c r="BH5" s="2595"/>
      <c r="BI5" s="2595"/>
      <c r="BJ5" s="2595"/>
      <c r="BK5" s="2595"/>
      <c r="BL5" s="2595"/>
      <c r="BM5" s="2595"/>
      <c r="BN5" s="2595"/>
      <c r="BO5" s="2595"/>
      <c r="BP5" s="2595"/>
    </row>
    <row r="6" spans="1:69" ht="15.75" customHeight="1" thickBot="1">
      <c r="A6" s="2757"/>
      <c r="B6" s="6765"/>
      <c r="C6" s="6765"/>
      <c r="D6" s="6765"/>
      <c r="E6" s="6765"/>
      <c r="F6" s="6765"/>
      <c r="G6" s="7424"/>
      <c r="H6" s="3065" t="s">
        <v>2753</v>
      </c>
      <c r="I6" s="3016"/>
      <c r="J6" s="3016"/>
      <c r="K6" s="3016"/>
      <c r="L6" s="3016"/>
      <c r="M6" s="3016"/>
      <c r="N6" s="3016"/>
      <c r="O6" s="3016"/>
      <c r="P6" s="3016"/>
      <c r="Q6" s="3016"/>
      <c r="R6" s="3016"/>
      <c r="S6" s="3016"/>
      <c r="T6" s="3016"/>
      <c r="U6" s="3016"/>
      <c r="V6" s="3016"/>
      <c r="W6" s="3016"/>
      <c r="X6" s="3016"/>
      <c r="Y6" s="3016"/>
      <c r="Z6" s="3016"/>
      <c r="AA6" s="3016"/>
      <c r="AB6" s="3016"/>
      <c r="AC6" s="3016"/>
      <c r="AD6" s="3016"/>
      <c r="AE6" s="3016"/>
      <c r="AF6" s="3016"/>
      <c r="AG6" s="3016"/>
      <c r="AH6" s="3016"/>
      <c r="AI6" s="3132"/>
      <c r="AJ6" s="7426"/>
      <c r="AK6" s="7426"/>
      <c r="AL6" s="7426"/>
      <c r="AM6" s="7426"/>
      <c r="AN6" s="7438">
        <v>13</v>
      </c>
      <c r="AO6" s="7439"/>
      <c r="AP6" s="2757"/>
      <c r="BG6" s="3013"/>
      <c r="BH6" s="2595"/>
      <c r="BI6" s="2595"/>
      <c r="BJ6" s="2595"/>
      <c r="BK6" s="2595"/>
      <c r="BL6" s="2595"/>
      <c r="BM6" s="2595"/>
      <c r="BN6" s="2595"/>
      <c r="BO6" s="2595"/>
      <c r="BP6" s="2595"/>
    </row>
    <row r="7" spans="1:69">
      <c r="A7" s="2757"/>
      <c r="B7" s="1276" t="s">
        <v>55</v>
      </c>
      <c r="C7" s="1179"/>
      <c r="D7" s="1179"/>
      <c r="E7" s="1179"/>
      <c r="F7" s="1179"/>
      <c r="G7" s="1179"/>
      <c r="H7" s="1179"/>
      <c r="I7" s="1179"/>
      <c r="J7" s="1179"/>
      <c r="K7" s="1179"/>
      <c r="L7" s="1179"/>
      <c r="M7" s="1179"/>
      <c r="N7" s="1179"/>
      <c r="O7" s="1179"/>
      <c r="P7" s="1179"/>
      <c r="Q7" s="1179"/>
      <c r="R7" s="1179"/>
      <c r="S7" s="1179"/>
      <c r="T7" s="1179"/>
      <c r="U7" s="1179"/>
      <c r="V7" s="1179"/>
      <c r="W7" s="1179"/>
      <c r="X7" s="1179"/>
      <c r="Y7" s="1179"/>
      <c r="Z7" s="1179"/>
      <c r="AA7" s="1179"/>
      <c r="AB7" s="1179"/>
      <c r="AC7" s="1179"/>
      <c r="AD7" s="1179"/>
      <c r="AE7" s="1179"/>
      <c r="AF7" s="1179"/>
      <c r="AG7" s="7429" t="s">
        <v>89</v>
      </c>
      <c r="AH7" s="7430"/>
      <c r="AI7" s="7430"/>
      <c r="AJ7" s="7430"/>
      <c r="AK7" s="7430"/>
      <c r="AL7" s="7430"/>
      <c r="AM7" s="7430"/>
      <c r="AN7" s="7430"/>
      <c r="AO7" s="7430"/>
      <c r="AP7" s="2757"/>
      <c r="BG7" s="3013"/>
      <c r="BH7" s="2595"/>
      <c r="BI7" s="2595"/>
      <c r="BJ7" s="2595"/>
      <c r="BK7" s="2595"/>
      <c r="BL7" s="2595"/>
      <c r="BM7" s="2595"/>
      <c r="BN7" s="2595"/>
      <c r="BO7" s="2595"/>
      <c r="BP7" s="2595"/>
    </row>
    <row r="8" spans="1:69" ht="9.75" customHeight="1">
      <c r="A8" s="2757"/>
      <c r="B8" s="6635" t="str">
        <f>Names</f>
        <v/>
      </c>
      <c r="C8" s="6636"/>
      <c r="D8" s="6636"/>
      <c r="E8" s="6636"/>
      <c r="F8" s="6636"/>
      <c r="G8" s="6636"/>
      <c r="H8" s="6636"/>
      <c r="I8" s="6636"/>
      <c r="J8" s="6636"/>
      <c r="K8" s="6636"/>
      <c r="L8" s="6636"/>
      <c r="M8" s="6636"/>
      <c r="N8" s="6636"/>
      <c r="O8" s="6636"/>
      <c r="P8" s="6636"/>
      <c r="Q8" s="6636"/>
      <c r="R8" s="6636"/>
      <c r="S8" s="6636"/>
      <c r="T8" s="6636"/>
      <c r="U8" s="6636"/>
      <c r="V8" s="6636"/>
      <c r="W8" s="6636"/>
      <c r="X8" s="6636"/>
      <c r="Y8" s="6636"/>
      <c r="Z8" s="6636"/>
      <c r="AA8" s="6636"/>
      <c r="AB8" s="6636"/>
      <c r="AC8" s="6636"/>
      <c r="AD8" s="6636"/>
      <c r="AE8" s="6636"/>
      <c r="AF8" s="6637"/>
      <c r="AG8" s="7431">
        <f>IF(NoSSN,"",SS_Yours)</f>
        <v>1010001</v>
      </c>
      <c r="AH8" s="7432"/>
      <c r="AI8" s="7432"/>
      <c r="AJ8" s="7432"/>
      <c r="AK8" s="7432"/>
      <c r="AL8" s="7432"/>
      <c r="AM8" s="7432"/>
      <c r="AN8" s="7432"/>
      <c r="AO8" s="7432"/>
      <c r="AP8" s="2757"/>
      <c r="BG8" s="3013"/>
      <c r="BH8" s="2595"/>
      <c r="BI8" s="2595"/>
      <c r="BJ8" s="2595"/>
      <c r="BK8" s="2595"/>
      <c r="BL8" s="2595"/>
      <c r="BM8" s="2595"/>
      <c r="BN8" s="2595"/>
      <c r="BO8" s="2595"/>
      <c r="BP8" s="2595"/>
    </row>
    <row r="9" spans="1:69" ht="9.75" customHeight="1">
      <c r="A9" s="2757"/>
      <c r="B9" s="6290"/>
      <c r="C9" s="6290"/>
      <c r="D9" s="6290"/>
      <c r="E9" s="6290"/>
      <c r="F9" s="6290"/>
      <c r="G9" s="6290"/>
      <c r="H9" s="6290"/>
      <c r="I9" s="6290"/>
      <c r="J9" s="6290"/>
      <c r="K9" s="6290"/>
      <c r="L9" s="6290"/>
      <c r="M9" s="6290"/>
      <c r="N9" s="6290"/>
      <c r="O9" s="6290"/>
      <c r="P9" s="6290"/>
      <c r="Q9" s="6290"/>
      <c r="R9" s="6290"/>
      <c r="S9" s="6290"/>
      <c r="T9" s="6290"/>
      <c r="U9" s="6290"/>
      <c r="V9" s="6290"/>
      <c r="W9" s="6290"/>
      <c r="X9" s="6290"/>
      <c r="Y9" s="6290"/>
      <c r="Z9" s="6290"/>
      <c r="AA9" s="6290"/>
      <c r="AB9" s="6290"/>
      <c r="AC9" s="6290"/>
      <c r="AD9" s="6290"/>
      <c r="AE9" s="6290"/>
      <c r="AF9" s="6638"/>
      <c r="AG9" s="7433"/>
      <c r="AH9" s="7434"/>
      <c r="AI9" s="7434"/>
      <c r="AJ9" s="7434"/>
      <c r="AK9" s="7434"/>
      <c r="AL9" s="7434"/>
      <c r="AM9" s="7434"/>
      <c r="AN9" s="7434"/>
      <c r="AO9" s="7434"/>
      <c r="AP9" s="2757"/>
      <c r="BG9" s="3013"/>
      <c r="BH9" s="2595"/>
      <c r="BI9" s="2595"/>
      <c r="BJ9" s="2595"/>
      <c r="BK9" s="2595"/>
      <c r="BL9" s="2595"/>
      <c r="BM9" s="2595"/>
      <c r="BN9" s="2595"/>
      <c r="BO9" s="2595"/>
      <c r="BP9" s="2595"/>
    </row>
    <row r="10" spans="1:69" s="2689" customFormat="1" ht="17.25" customHeight="1">
      <c r="A10" s="2758"/>
      <c r="B10" s="7220" t="s">
        <v>51</v>
      </c>
      <c r="C10" s="7220"/>
      <c r="D10" s="7221"/>
      <c r="E10" s="1396"/>
      <c r="F10" s="3071" t="s">
        <v>664</v>
      </c>
      <c r="G10" s="1396"/>
      <c r="H10" s="1396"/>
      <c r="I10" s="1396"/>
      <c r="J10" s="1396"/>
      <c r="K10" s="1396"/>
      <c r="L10" s="1396"/>
      <c r="M10" s="1396"/>
      <c r="N10" s="1396"/>
      <c r="O10" s="1396"/>
      <c r="P10" s="1396"/>
      <c r="Q10" s="1396"/>
      <c r="R10" s="1396"/>
      <c r="S10" s="1396"/>
      <c r="T10" s="1396"/>
      <c r="U10" s="1396"/>
      <c r="V10" s="1396"/>
      <c r="W10" s="1396"/>
      <c r="X10" s="3072" t="s">
        <v>2335</v>
      </c>
      <c r="Y10" s="1396"/>
      <c r="Z10" s="1396"/>
      <c r="AA10" s="1396"/>
      <c r="AB10" s="1396"/>
      <c r="AC10" s="1396"/>
      <c r="AD10" s="1396"/>
      <c r="AE10" s="1396"/>
      <c r="AF10" s="1396"/>
      <c r="AG10" s="1396"/>
      <c r="AH10" s="1396"/>
      <c r="AI10" s="1396"/>
      <c r="AJ10" s="1396"/>
      <c r="AK10" s="1396"/>
      <c r="AL10" s="1396"/>
      <c r="AM10" s="1396"/>
      <c r="AN10" s="1396"/>
      <c r="AO10" s="1396"/>
      <c r="AP10" s="2757"/>
      <c r="BG10" s="3013"/>
      <c r="BH10" s="2595"/>
      <c r="BI10" s="2595"/>
      <c r="BJ10" s="2595"/>
      <c r="BK10" s="2595"/>
      <c r="BL10" s="2595"/>
      <c r="BM10" s="2595"/>
      <c r="BN10" s="2595"/>
      <c r="BO10" s="2595"/>
      <c r="BP10" s="2595"/>
      <c r="BQ10" s="3402"/>
    </row>
    <row r="11" spans="1:69" ht="15.75">
      <c r="A11" s="2757"/>
      <c r="B11" s="3069"/>
      <c r="C11" s="3069"/>
      <c r="D11" s="3070"/>
      <c r="E11" s="1777"/>
      <c r="F11" s="2217" t="s">
        <v>4791</v>
      </c>
      <c r="G11" s="3068"/>
      <c r="H11" s="3068"/>
      <c r="I11" s="3068"/>
      <c r="J11" s="3068"/>
      <c r="K11" s="3068"/>
      <c r="L11" s="3068"/>
      <c r="M11" s="1777"/>
      <c r="N11" s="3068"/>
      <c r="O11" s="3068"/>
      <c r="P11" s="3068"/>
      <c r="Q11" s="3068"/>
      <c r="R11" s="3068"/>
      <c r="S11" s="3068"/>
      <c r="T11" s="3068"/>
      <c r="U11" s="3068"/>
      <c r="V11" s="3068"/>
      <c r="W11" s="3068"/>
      <c r="X11" s="3068"/>
      <c r="Y11" s="3068"/>
      <c r="Z11" s="3068"/>
      <c r="AA11" s="3068"/>
      <c r="AB11" s="3068"/>
      <c r="AC11" s="3068"/>
      <c r="AD11" s="1777"/>
      <c r="AE11" s="3068"/>
      <c r="AF11" s="3068"/>
      <c r="AG11" s="3068"/>
      <c r="AH11" s="3068"/>
      <c r="AI11" s="3068"/>
      <c r="AJ11" s="3068"/>
      <c r="AK11" s="3068"/>
      <c r="AL11" s="3068"/>
      <c r="AM11" s="3068"/>
      <c r="AN11" s="3068"/>
      <c r="AO11" s="3068"/>
      <c r="AP11" s="2757"/>
      <c r="BG11" s="3013"/>
      <c r="BH11" s="2595"/>
      <c r="BI11" s="2595"/>
      <c r="BJ11" s="2595"/>
      <c r="BK11" s="2595"/>
      <c r="BL11" s="2595"/>
      <c r="BM11" s="2595"/>
      <c r="BN11" s="2595"/>
      <c r="BO11" s="2595"/>
      <c r="BP11" s="2595"/>
    </row>
    <row r="12" spans="1:69" ht="15.75">
      <c r="A12" s="2757"/>
      <c r="B12" s="7393" t="s">
        <v>143</v>
      </c>
      <c r="C12" s="7408"/>
      <c r="D12" s="3073" t="str">
        <f>"Did you make any payments in "&amp;TaxYear&amp;" that would require you to file Form(s) 1099?  See instructions."</f>
        <v>Did you make any payments in 2021 that would require you to file Form(s) 1099?  See instructions.</v>
      </c>
      <c r="E12" s="2335"/>
      <c r="F12" s="2335"/>
      <c r="G12" s="2335"/>
      <c r="H12" s="2335"/>
      <c r="I12" s="2335"/>
      <c r="J12" s="2335"/>
      <c r="K12" s="2335"/>
      <c r="L12" s="2335"/>
      <c r="M12" s="2335"/>
      <c r="N12" s="2335"/>
      <c r="O12" s="2335"/>
      <c r="P12" s="2335"/>
      <c r="Q12" s="2335"/>
      <c r="R12" s="2335"/>
      <c r="S12" s="2335"/>
      <c r="T12" s="2335"/>
      <c r="U12" s="2335"/>
      <c r="V12" s="2335"/>
      <c r="W12" s="2335"/>
      <c r="X12" s="2335"/>
      <c r="Y12" s="2335"/>
      <c r="Z12" s="2335"/>
      <c r="AA12" s="2335"/>
      <c r="AB12" s="2335"/>
      <c r="AC12" s="2335"/>
      <c r="AD12" s="2335"/>
      <c r="AE12" s="2335"/>
      <c r="AF12" s="2335"/>
      <c r="AG12" s="2335"/>
      <c r="AH12" s="2335"/>
      <c r="AI12" s="2335"/>
      <c r="AJ12" s="1180"/>
      <c r="AK12" s="2786" t="s">
        <v>2336</v>
      </c>
      <c r="AL12" s="2335"/>
      <c r="AM12" s="1180"/>
      <c r="AN12" s="2786" t="s">
        <v>511</v>
      </c>
      <c r="AO12" s="2335"/>
      <c r="AP12" s="2757"/>
      <c r="BG12" s="3013"/>
      <c r="BH12" s="2595"/>
      <c r="BI12" s="2595"/>
      <c r="BJ12" s="2595"/>
      <c r="BK12" s="2595"/>
      <c r="BL12" s="2595"/>
      <c r="BM12" s="2595"/>
      <c r="BN12" s="2595"/>
      <c r="BO12" s="2595"/>
      <c r="BP12" s="2595"/>
    </row>
    <row r="13" spans="1:69" ht="15.75">
      <c r="A13" s="2757"/>
      <c r="B13" s="7409" t="s">
        <v>288</v>
      </c>
      <c r="C13" s="7410"/>
      <c r="D13" s="2803" t="s">
        <v>681</v>
      </c>
      <c r="E13" s="3068"/>
      <c r="F13" s="3068"/>
      <c r="G13" s="3068"/>
      <c r="H13" s="3068"/>
      <c r="I13" s="3068"/>
      <c r="J13" s="3068"/>
      <c r="K13" s="3068"/>
      <c r="L13" s="3068"/>
      <c r="M13" s="3068"/>
      <c r="N13" s="3068"/>
      <c r="O13" s="3068"/>
      <c r="P13" s="3068"/>
      <c r="Q13" s="3068"/>
      <c r="R13" s="3068"/>
      <c r="S13" s="3068"/>
      <c r="T13" s="3068"/>
      <c r="U13" s="3068"/>
      <c r="V13" s="3068"/>
      <c r="W13" s="3068"/>
      <c r="X13" s="3068"/>
      <c r="Y13" s="3068"/>
      <c r="Z13" s="3068"/>
      <c r="AA13" s="3068"/>
      <c r="AB13" s="3068"/>
      <c r="AC13" s="3068"/>
      <c r="AD13" s="3068"/>
      <c r="AE13" s="3068"/>
      <c r="AF13" s="3068"/>
      <c r="AG13" s="3068"/>
      <c r="AH13" s="3068"/>
      <c r="AI13" s="3068"/>
      <c r="AJ13" s="1180"/>
      <c r="AK13" s="1572" t="s">
        <v>2336</v>
      </c>
      <c r="AL13" s="3068"/>
      <c r="AM13" s="1180"/>
      <c r="AN13" s="1572" t="s">
        <v>511</v>
      </c>
      <c r="AO13" s="3068"/>
      <c r="AP13" s="2757"/>
      <c r="BG13" s="3013"/>
      <c r="BH13" s="2595"/>
      <c r="BI13" s="2595"/>
      <c r="BJ13" s="2595"/>
      <c r="BK13" s="2595"/>
      <c r="BL13" s="2595"/>
      <c r="BM13" s="2595"/>
      <c r="BN13" s="2595"/>
      <c r="BO13" s="2595"/>
      <c r="BP13" s="2595"/>
    </row>
    <row r="14" spans="1:69" ht="15.75">
      <c r="A14" s="2757"/>
      <c r="B14" s="7380" t="s">
        <v>12</v>
      </c>
      <c r="C14" s="7411"/>
      <c r="D14" s="3059" t="s">
        <v>746</v>
      </c>
      <c r="E14" s="3075"/>
      <c r="F14" s="3075"/>
      <c r="G14" s="3075"/>
      <c r="H14" s="3075"/>
      <c r="I14" s="3075"/>
      <c r="J14" s="3075"/>
      <c r="K14" s="3075"/>
      <c r="L14" s="3075"/>
      <c r="M14" s="3075"/>
      <c r="N14" s="3075"/>
      <c r="O14" s="3075"/>
      <c r="P14" s="3075"/>
      <c r="Q14" s="3075"/>
      <c r="R14" s="3075"/>
      <c r="S14" s="3075"/>
      <c r="T14" s="3075"/>
      <c r="U14" s="3075"/>
      <c r="V14" s="3075"/>
      <c r="W14" s="3075"/>
      <c r="X14" s="3075"/>
      <c r="Y14" s="3075"/>
      <c r="Z14" s="3075"/>
      <c r="AA14" s="3075"/>
      <c r="AB14" s="3075"/>
      <c r="AC14" s="3075"/>
      <c r="AD14" s="3075"/>
      <c r="AE14" s="3075"/>
      <c r="AF14" s="3075"/>
      <c r="AG14" s="3075"/>
      <c r="AH14" s="3075"/>
      <c r="AI14" s="3075"/>
      <c r="AJ14" s="3075"/>
      <c r="AK14" s="3075"/>
      <c r="AL14" s="3075"/>
      <c r="AM14" s="3075"/>
      <c r="AN14" s="3075"/>
      <c r="AO14" s="3075"/>
      <c r="AP14" s="2757"/>
      <c r="BG14" s="3013"/>
      <c r="BH14" s="2595"/>
      <c r="BI14" s="2595"/>
      <c r="BJ14" s="2595"/>
      <c r="BK14" s="2595"/>
      <c r="BL14" s="2595"/>
      <c r="BM14" s="2595"/>
      <c r="BN14" s="2595"/>
      <c r="BO14" s="2595"/>
      <c r="BP14" s="2595"/>
    </row>
    <row r="15" spans="1:69" ht="15.75">
      <c r="A15" s="2757"/>
      <c r="B15" s="7380" t="s">
        <v>143</v>
      </c>
      <c r="C15" s="7198"/>
      <c r="D15" s="7412"/>
      <c r="E15" s="6807"/>
      <c r="F15" s="6807"/>
      <c r="G15" s="6807"/>
      <c r="H15" s="6807"/>
      <c r="I15" s="6807"/>
      <c r="J15" s="6807"/>
      <c r="K15" s="6807"/>
      <c r="L15" s="6807"/>
      <c r="M15" s="6807"/>
      <c r="N15" s="6807"/>
      <c r="O15" s="6807"/>
      <c r="P15" s="6807"/>
      <c r="Q15" s="6807"/>
      <c r="R15" s="6807"/>
      <c r="S15" s="6807"/>
      <c r="T15" s="6807"/>
      <c r="U15" s="6807"/>
      <c r="V15" s="6807"/>
      <c r="W15" s="6807"/>
      <c r="X15" s="6807"/>
      <c r="Y15" s="6807"/>
      <c r="Z15" s="6807"/>
      <c r="AA15" s="6807"/>
      <c r="AB15" s="6807"/>
      <c r="AC15" s="6807"/>
      <c r="AD15" s="6807"/>
      <c r="AE15" s="6807"/>
      <c r="AF15" s="6807"/>
      <c r="AG15" s="6807"/>
      <c r="AH15" s="6807"/>
      <c r="AI15" s="6807"/>
      <c r="AJ15" s="6807"/>
      <c r="AK15" s="6807"/>
      <c r="AL15" s="6807"/>
      <c r="AM15" s="6807"/>
      <c r="AN15" s="6807"/>
      <c r="AO15" s="6807"/>
      <c r="AP15" s="2757"/>
      <c r="BG15" s="3013"/>
      <c r="BH15" s="2595"/>
      <c r="BI15" s="2595"/>
      <c r="BJ15" s="2595"/>
      <c r="BK15" s="2595"/>
      <c r="BL15" s="2595"/>
      <c r="BM15" s="2595"/>
      <c r="BN15" s="2595"/>
      <c r="BO15" s="2595"/>
      <c r="BP15" s="2595"/>
    </row>
    <row r="16" spans="1:69" ht="15.75">
      <c r="A16" s="2757"/>
      <c r="B16" s="7380" t="s">
        <v>288</v>
      </c>
      <c r="C16" s="7198"/>
      <c r="D16" s="7412"/>
      <c r="E16" s="6807"/>
      <c r="F16" s="6807"/>
      <c r="G16" s="6807"/>
      <c r="H16" s="6807"/>
      <c r="I16" s="6807"/>
      <c r="J16" s="6807"/>
      <c r="K16" s="6807"/>
      <c r="L16" s="6807"/>
      <c r="M16" s="6807"/>
      <c r="N16" s="6807"/>
      <c r="O16" s="6807"/>
      <c r="P16" s="6807"/>
      <c r="Q16" s="6807"/>
      <c r="R16" s="6807"/>
      <c r="S16" s="6807"/>
      <c r="T16" s="6807"/>
      <c r="U16" s="6807"/>
      <c r="V16" s="6807"/>
      <c r="W16" s="6807"/>
      <c r="X16" s="6807"/>
      <c r="Y16" s="6807"/>
      <c r="Z16" s="6807"/>
      <c r="AA16" s="6807"/>
      <c r="AB16" s="6807"/>
      <c r="AC16" s="6807"/>
      <c r="AD16" s="6807"/>
      <c r="AE16" s="6807"/>
      <c r="AF16" s="6807"/>
      <c r="AG16" s="6807"/>
      <c r="AH16" s="6807"/>
      <c r="AI16" s="6807"/>
      <c r="AJ16" s="6807"/>
      <c r="AK16" s="6807"/>
      <c r="AL16" s="6807"/>
      <c r="AM16" s="6807"/>
      <c r="AN16" s="6807"/>
      <c r="AO16" s="6807"/>
      <c r="AP16" s="2757"/>
      <c r="BG16" s="3013"/>
      <c r="BH16" s="2595"/>
      <c r="BI16" s="2595"/>
      <c r="BJ16" s="2595"/>
      <c r="BK16" s="2595"/>
      <c r="BL16" s="2595"/>
      <c r="BM16" s="2595"/>
      <c r="BN16" s="2595"/>
      <c r="BO16" s="2595"/>
      <c r="BP16" s="2595"/>
    </row>
    <row r="17" spans="1:68" ht="15.75">
      <c r="A17" s="2757"/>
      <c r="B17" s="7380" t="s">
        <v>144</v>
      </c>
      <c r="C17" s="7198"/>
      <c r="D17" s="7412"/>
      <c r="E17" s="6807"/>
      <c r="F17" s="6807"/>
      <c r="G17" s="6807"/>
      <c r="H17" s="6807"/>
      <c r="I17" s="6807"/>
      <c r="J17" s="6807"/>
      <c r="K17" s="6807"/>
      <c r="L17" s="6807"/>
      <c r="M17" s="6807"/>
      <c r="N17" s="6807"/>
      <c r="O17" s="6807"/>
      <c r="P17" s="6807"/>
      <c r="Q17" s="6807"/>
      <c r="R17" s="6807"/>
      <c r="S17" s="6807"/>
      <c r="T17" s="6807"/>
      <c r="U17" s="6807"/>
      <c r="V17" s="6807"/>
      <c r="W17" s="6807"/>
      <c r="X17" s="6807"/>
      <c r="Y17" s="6807"/>
      <c r="Z17" s="6807"/>
      <c r="AA17" s="6807"/>
      <c r="AB17" s="6807"/>
      <c r="AC17" s="6807"/>
      <c r="AD17" s="6807"/>
      <c r="AE17" s="6807"/>
      <c r="AF17" s="6807"/>
      <c r="AG17" s="6807"/>
      <c r="AH17" s="6807"/>
      <c r="AI17" s="6807"/>
      <c r="AJ17" s="6807"/>
      <c r="AK17" s="6807"/>
      <c r="AL17" s="6807"/>
      <c r="AM17" s="6807"/>
      <c r="AN17" s="6807"/>
      <c r="AO17" s="6807"/>
      <c r="AP17" s="2757"/>
      <c r="AX17" s="42">
        <v>1</v>
      </c>
      <c r="AY17" s="42" t="s">
        <v>1084</v>
      </c>
      <c r="BG17" s="3013"/>
      <c r="BH17" s="2595"/>
      <c r="BI17" s="2595"/>
      <c r="BJ17" s="2595"/>
      <c r="BK17" s="2595"/>
      <c r="BL17" s="2595"/>
      <c r="BM17" s="2595"/>
      <c r="BN17" s="2595"/>
      <c r="BO17" s="2595"/>
      <c r="BP17" s="2595"/>
    </row>
    <row r="18" spans="1:68" ht="15.75" customHeight="1">
      <c r="A18" s="2757"/>
      <c r="B18" s="7393" t="s">
        <v>15</v>
      </c>
      <c r="C18" s="7394"/>
      <c r="D18" s="7261" t="s">
        <v>4792</v>
      </c>
      <c r="E18" s="7395"/>
      <c r="F18" s="7395"/>
      <c r="G18" s="7395"/>
      <c r="H18" s="7396"/>
      <c r="I18" s="7363">
        <v>2</v>
      </c>
      <c r="J18" s="7400"/>
      <c r="K18" s="7401" t="s">
        <v>4045</v>
      </c>
      <c r="L18" s="7086"/>
      <c r="M18" s="7086"/>
      <c r="N18" s="7086"/>
      <c r="O18" s="7086"/>
      <c r="P18" s="7086"/>
      <c r="Q18" s="7086"/>
      <c r="R18" s="7086"/>
      <c r="S18" s="7086"/>
      <c r="T18" s="7086"/>
      <c r="U18" s="7086"/>
      <c r="V18" s="7086"/>
      <c r="W18" s="7086"/>
      <c r="X18" s="3066"/>
      <c r="Y18" s="3066"/>
      <c r="Z18" s="3066"/>
      <c r="AA18" s="7402" t="s">
        <v>4793</v>
      </c>
      <c r="AB18" s="7403"/>
      <c r="AC18" s="7403"/>
      <c r="AD18" s="7403"/>
      <c r="AE18" s="7404"/>
      <c r="AF18" s="7402" t="s">
        <v>4794</v>
      </c>
      <c r="AG18" s="7403"/>
      <c r="AH18" s="7403"/>
      <c r="AI18" s="7403"/>
      <c r="AJ18" s="7404"/>
      <c r="AK18" s="7402" t="s">
        <v>682</v>
      </c>
      <c r="AL18" s="7403"/>
      <c r="AM18" s="7403"/>
      <c r="AN18" s="7403"/>
      <c r="AO18" s="7403"/>
      <c r="AP18" s="2757"/>
      <c r="AX18" s="42">
        <v>2</v>
      </c>
      <c r="AY18" s="42" t="s">
        <v>1085</v>
      </c>
      <c r="BG18" s="3013"/>
      <c r="BH18" s="2595"/>
      <c r="BI18" s="2595"/>
      <c r="BJ18" s="2595"/>
      <c r="BK18" s="2595"/>
      <c r="BL18" s="2595"/>
      <c r="BM18" s="2595"/>
      <c r="BN18" s="2595"/>
      <c r="BO18" s="2595"/>
      <c r="BP18" s="2595"/>
    </row>
    <row r="19" spans="1:68" ht="14.25" customHeight="1">
      <c r="A19" s="2757"/>
      <c r="B19" s="3076"/>
      <c r="C19" s="3077"/>
      <c r="D19" s="7397"/>
      <c r="E19" s="7398"/>
      <c r="F19" s="7398"/>
      <c r="G19" s="7398"/>
      <c r="H19" s="7399"/>
      <c r="I19" s="3067"/>
      <c r="J19" s="2335"/>
      <c r="K19" s="6792"/>
      <c r="L19" s="6792"/>
      <c r="M19" s="6792"/>
      <c r="N19" s="6792"/>
      <c r="O19" s="6792"/>
      <c r="P19" s="6792"/>
      <c r="Q19" s="6792"/>
      <c r="R19" s="6792"/>
      <c r="S19" s="6792"/>
      <c r="T19" s="6792"/>
      <c r="U19" s="6792"/>
      <c r="V19" s="6792"/>
      <c r="W19" s="6792"/>
      <c r="X19" s="2335"/>
      <c r="Y19" s="2335"/>
      <c r="Z19" s="2335"/>
      <c r="AA19" s="7405"/>
      <c r="AB19" s="7406"/>
      <c r="AC19" s="7406"/>
      <c r="AD19" s="7406"/>
      <c r="AE19" s="7407"/>
      <c r="AF19" s="7405"/>
      <c r="AG19" s="7406"/>
      <c r="AH19" s="7406"/>
      <c r="AI19" s="7406"/>
      <c r="AJ19" s="7407"/>
      <c r="AK19" s="7405"/>
      <c r="AL19" s="7406"/>
      <c r="AM19" s="7406"/>
      <c r="AN19" s="7406"/>
      <c r="AO19" s="7406"/>
      <c r="AP19" s="2757"/>
      <c r="AV19" s="3142">
        <f>IF(LeapYear,366,365)</f>
        <v>365</v>
      </c>
      <c r="AW19" s="3143"/>
      <c r="AX19" s="42">
        <v>3</v>
      </c>
      <c r="AY19" s="42" t="s">
        <v>1346</v>
      </c>
      <c r="BE19" s="2845" t="s">
        <v>1345</v>
      </c>
      <c r="BG19" s="3013"/>
      <c r="BH19" s="2595"/>
      <c r="BI19" s="2595"/>
      <c r="BJ19" s="2595"/>
      <c r="BK19" s="2595"/>
      <c r="BL19" s="2595"/>
      <c r="BM19" s="2595"/>
      <c r="BN19" s="2595"/>
      <c r="BO19" s="2595"/>
      <c r="BP19" s="2595"/>
    </row>
    <row r="20" spans="1:68" ht="15.75">
      <c r="A20" s="2757"/>
      <c r="B20" s="7380" t="s">
        <v>143</v>
      </c>
      <c r="C20" s="7198"/>
      <c r="D20" s="7381"/>
      <c r="E20" s="7382"/>
      <c r="F20" s="7382"/>
      <c r="G20" s="7382"/>
      <c r="H20" s="7383"/>
      <c r="I20" s="1582"/>
      <c r="J20" s="1179"/>
      <c r="K20" s="6792"/>
      <c r="L20" s="6792"/>
      <c r="M20" s="6792"/>
      <c r="N20" s="6792"/>
      <c r="O20" s="6792"/>
      <c r="P20" s="6792"/>
      <c r="Q20" s="6792"/>
      <c r="R20" s="6792"/>
      <c r="S20" s="6792"/>
      <c r="T20" s="6792"/>
      <c r="U20" s="6792"/>
      <c r="V20" s="6792"/>
      <c r="W20" s="6792"/>
      <c r="X20" s="7384" t="s">
        <v>143</v>
      </c>
      <c r="Y20" s="7385"/>
      <c r="Z20" s="7386"/>
      <c r="AA20" s="6543"/>
      <c r="AB20" s="7313"/>
      <c r="AC20" s="7313"/>
      <c r="AD20" s="7313"/>
      <c r="AE20" s="7314"/>
      <c r="AF20" s="6543"/>
      <c r="AG20" s="7313"/>
      <c r="AH20" s="7313"/>
      <c r="AI20" s="7313"/>
      <c r="AJ20" s="7314"/>
      <c r="AK20" s="3078"/>
      <c r="AL20" s="3079"/>
      <c r="AM20" s="1180"/>
      <c r="AN20" s="3079"/>
      <c r="AO20" s="3079"/>
      <c r="AP20" s="2757"/>
      <c r="AR20" s="1286" t="b">
        <f>D20=8</f>
        <v>0</v>
      </c>
      <c r="AV20" s="3144" t="b">
        <f>AA20&gt;$AV$19</f>
        <v>0</v>
      </c>
      <c r="AW20" s="3145" t="b">
        <f>AF20&gt;$AV$19</f>
        <v>0</v>
      </c>
      <c r="AX20" s="42">
        <v>4</v>
      </c>
      <c r="AY20" s="42" t="s">
        <v>1086</v>
      </c>
      <c r="BE20" s="2846" t="b">
        <f>IF(AND(D20&lt;&gt;"",OR(D20&lt;1,D20&gt;8,ISERROR(V29))),TRUE,FALSE)</f>
        <v>0</v>
      </c>
      <c r="BG20" s="3013"/>
      <c r="BH20" s="2595"/>
      <c r="BI20" s="2595"/>
      <c r="BJ20" s="2595"/>
      <c r="BK20" s="2595"/>
      <c r="BL20" s="2595"/>
      <c r="BM20" s="2595"/>
      <c r="BN20" s="2595"/>
      <c r="BO20" s="2595"/>
      <c r="BP20" s="2595"/>
    </row>
    <row r="21" spans="1:68" ht="16.5" thickBot="1">
      <c r="A21" s="2757"/>
      <c r="B21" s="7380" t="s">
        <v>288</v>
      </c>
      <c r="C21" s="7198"/>
      <c r="D21" s="7381"/>
      <c r="E21" s="7382"/>
      <c r="F21" s="7382"/>
      <c r="G21" s="7382"/>
      <c r="H21" s="7383"/>
      <c r="I21" s="1582"/>
      <c r="J21" s="1179"/>
      <c r="K21" s="6792"/>
      <c r="L21" s="6792"/>
      <c r="M21" s="6792"/>
      <c r="N21" s="6792"/>
      <c r="O21" s="6792"/>
      <c r="P21" s="6792"/>
      <c r="Q21" s="6792"/>
      <c r="R21" s="6792"/>
      <c r="S21" s="6792"/>
      <c r="T21" s="6792"/>
      <c r="U21" s="6792"/>
      <c r="V21" s="6792"/>
      <c r="W21" s="6792"/>
      <c r="X21" s="7384" t="s">
        <v>288</v>
      </c>
      <c r="Y21" s="7385"/>
      <c r="Z21" s="7386"/>
      <c r="AA21" s="6543"/>
      <c r="AB21" s="7313"/>
      <c r="AC21" s="7313"/>
      <c r="AD21" s="7313"/>
      <c r="AE21" s="7314"/>
      <c r="AF21" s="6543"/>
      <c r="AG21" s="7313"/>
      <c r="AH21" s="7313"/>
      <c r="AI21" s="7313"/>
      <c r="AJ21" s="7314"/>
      <c r="AK21" s="3078"/>
      <c r="AL21" s="3079"/>
      <c r="AM21" s="1180"/>
      <c r="AN21" s="3079"/>
      <c r="AO21" s="3079"/>
      <c r="AP21" s="2757"/>
      <c r="AR21" s="1286" t="b">
        <f>D21=8</f>
        <v>0</v>
      </c>
      <c r="AV21" s="3144" t="b">
        <f>AA21&gt;$AV$19</f>
        <v>0</v>
      </c>
      <c r="AW21" s="3145" t="b">
        <f>AF21&gt;$AV$19</f>
        <v>0</v>
      </c>
      <c r="AX21" s="42">
        <v>5</v>
      </c>
      <c r="AY21" s="42" t="s">
        <v>1087</v>
      </c>
      <c r="BE21" s="2846" t="b">
        <f>IF(AND(D21&lt;&gt;"",OR(D21&lt;1,D21&gt;8,ISERROR(AD29))),TRUE,FALSE)</f>
        <v>0</v>
      </c>
      <c r="BG21" s="3013"/>
      <c r="BH21" s="2595"/>
      <c r="BI21" s="2595"/>
      <c r="BJ21" s="2595"/>
      <c r="BK21" s="2595"/>
      <c r="BL21" s="2595"/>
      <c r="BM21" s="2595"/>
      <c r="BN21" s="2595"/>
      <c r="BO21" s="2595"/>
      <c r="BP21" s="2595"/>
    </row>
    <row r="22" spans="1:68" ht="15.75">
      <c r="A22" s="2757"/>
      <c r="B22" s="7380" t="s">
        <v>144</v>
      </c>
      <c r="C22" s="7198"/>
      <c r="D22" s="7381"/>
      <c r="E22" s="7382"/>
      <c r="F22" s="7382"/>
      <c r="G22" s="7382"/>
      <c r="H22" s="7383"/>
      <c r="I22" s="1586"/>
      <c r="J22" s="1553"/>
      <c r="K22" s="1448"/>
      <c r="L22" s="1553"/>
      <c r="M22" s="1553"/>
      <c r="N22" s="1553"/>
      <c r="O22" s="1553"/>
      <c r="P22" s="1553"/>
      <c r="Q22" s="1553"/>
      <c r="R22" s="1553"/>
      <c r="S22" s="1553"/>
      <c r="T22" s="1553"/>
      <c r="U22" s="1553"/>
      <c r="V22" s="1553"/>
      <c r="W22" s="1553"/>
      <c r="X22" s="7384" t="s">
        <v>144</v>
      </c>
      <c r="Y22" s="7385"/>
      <c r="Z22" s="7386"/>
      <c r="AA22" s="6543"/>
      <c r="AB22" s="7313"/>
      <c r="AC22" s="7313"/>
      <c r="AD22" s="7313"/>
      <c r="AE22" s="7314"/>
      <c r="AF22" s="6543"/>
      <c r="AG22" s="7313"/>
      <c r="AH22" s="7313"/>
      <c r="AI22" s="7313"/>
      <c r="AJ22" s="7314"/>
      <c r="AK22" s="3078"/>
      <c r="AL22" s="3079"/>
      <c r="AM22" s="1180"/>
      <c r="AN22" s="3079"/>
      <c r="AO22" s="3079"/>
      <c r="AP22" s="2757"/>
      <c r="AR22" s="1286" t="b">
        <f>D22=8</f>
        <v>0</v>
      </c>
      <c r="AV22" s="3146" t="b">
        <f>AA22&gt;$AV$19</f>
        <v>0</v>
      </c>
      <c r="AW22" s="3147" t="b">
        <f>AF22&gt;$AV$19</f>
        <v>0</v>
      </c>
      <c r="AX22" s="42">
        <v>6</v>
      </c>
      <c r="AY22" s="42" t="s">
        <v>1088</v>
      </c>
      <c r="AZ22" s="5814" t="s">
        <v>143</v>
      </c>
      <c r="BA22" s="5815" t="s">
        <v>288</v>
      </c>
      <c r="BB22" s="5815" t="s">
        <v>144</v>
      </c>
      <c r="BC22" s="5816" t="s">
        <v>202</v>
      </c>
      <c r="BE22" s="2846" t="b">
        <f>IF(AND(D22&lt;&gt;"",OR(D22&lt;1,D22&gt;8,ISERROR(AJ29))),TRUE,FALSE)</f>
        <v>0</v>
      </c>
      <c r="BG22" s="3013"/>
      <c r="BH22" s="2595"/>
      <c r="BI22" s="2595"/>
      <c r="BJ22" s="2595"/>
      <c r="BK22" s="2595"/>
      <c r="BL22" s="2595"/>
      <c r="BM22" s="2595"/>
      <c r="BN22" s="2595"/>
      <c r="BO22" s="2595"/>
      <c r="BP22" s="2595"/>
    </row>
    <row r="23" spans="1:68" ht="14.25" customHeight="1">
      <c r="A23" s="2757"/>
      <c r="B23" s="3082" t="s">
        <v>684</v>
      </c>
      <c r="C23" s="3080"/>
      <c r="D23" s="2246"/>
      <c r="E23" s="2213"/>
      <c r="F23" s="2213"/>
      <c r="G23" s="2213"/>
      <c r="H23" s="2213"/>
      <c r="I23" s="3139" t="str">
        <f>IF(BE23,"The 'Type of Property' must be entered as a number (1 - 8).","")</f>
        <v/>
      </c>
      <c r="J23" s="2213"/>
      <c r="K23" s="2213"/>
      <c r="L23" s="2213"/>
      <c r="M23" s="2213"/>
      <c r="N23" s="2213"/>
      <c r="O23" s="2213"/>
      <c r="P23" s="2213"/>
      <c r="Q23" s="2213"/>
      <c r="R23" s="2213"/>
      <c r="S23" s="2213"/>
      <c r="T23" s="2213"/>
      <c r="U23" s="2213"/>
      <c r="V23" s="2213"/>
      <c r="W23" s="2213"/>
      <c r="X23" s="2213"/>
      <c r="Y23" s="2213"/>
      <c r="Z23" s="2213"/>
      <c r="AA23" s="2213"/>
      <c r="AB23" s="2213"/>
      <c r="AC23" s="2213"/>
      <c r="AD23" s="3139" t="str">
        <f>IF(OR(AV20,AV21,AV22,AW20,AW21,AW22),"Must be "&amp;AV19&amp;" or less.","")</f>
        <v/>
      </c>
      <c r="AE23" s="2213"/>
      <c r="AF23" s="2213"/>
      <c r="AG23" s="2213"/>
      <c r="AH23" s="2213"/>
      <c r="AI23" s="2213"/>
      <c r="AJ23" s="2213"/>
      <c r="AK23" s="2213"/>
      <c r="AL23" s="2213"/>
      <c r="AM23" s="2213"/>
      <c r="AN23" s="2213"/>
      <c r="AO23" s="2213"/>
      <c r="AP23" s="2757"/>
      <c r="AR23" s="1286" t="b">
        <f>OR(AR20:AR22)</f>
        <v>0</v>
      </c>
      <c r="AX23" s="42">
        <v>7</v>
      </c>
      <c r="AY23" s="42" t="s">
        <v>1089</v>
      </c>
      <c r="AZ23" s="5817">
        <f>IF(D20&lt;&gt;6,V27,0)</f>
        <v>0</v>
      </c>
      <c r="BA23" s="3442">
        <f>IF(D21&lt;&gt;6,AD27,0)</f>
        <v>0</v>
      </c>
      <c r="BB23" s="3442">
        <f>IF(D22&lt;&gt;6,AJ27,0)</f>
        <v>0</v>
      </c>
      <c r="BC23" s="5818">
        <f>SUM(AZ23:BB23)</f>
        <v>0</v>
      </c>
      <c r="BE23" s="2846" t="b">
        <f>OR(BE20,BE21,BE22)</f>
        <v>0</v>
      </c>
      <c r="BG23" s="3013"/>
      <c r="BH23" s="2595"/>
      <c r="BI23" s="2595"/>
      <c r="BJ23" s="2595"/>
      <c r="BK23" s="2595"/>
      <c r="BL23" s="2595"/>
      <c r="BM23" s="2595"/>
      <c r="BN23" s="2595"/>
      <c r="BO23" s="2595"/>
      <c r="BP23" s="2595"/>
    </row>
    <row r="24" spans="1:68" ht="14.25" customHeight="1" thickBot="1">
      <c r="A24" s="2757"/>
      <c r="B24" s="3080">
        <v>1</v>
      </c>
      <c r="C24" s="3081" t="s">
        <v>1084</v>
      </c>
      <c r="D24" s="2246"/>
      <c r="E24" s="2213"/>
      <c r="F24" s="2213"/>
      <c r="G24" s="2213"/>
      <c r="H24" s="2213"/>
      <c r="I24" s="2213"/>
      <c r="J24" s="2213"/>
      <c r="K24" s="3084">
        <v>3</v>
      </c>
      <c r="L24" s="3083" t="s">
        <v>2339</v>
      </c>
      <c r="M24" s="2213"/>
      <c r="N24" s="2213"/>
      <c r="O24" s="2213"/>
      <c r="P24" s="2213"/>
      <c r="Q24" s="2213"/>
      <c r="R24" s="2213"/>
      <c r="S24" s="2213"/>
      <c r="T24" s="2213"/>
      <c r="U24" s="3084">
        <v>5</v>
      </c>
      <c r="V24" s="3083" t="s">
        <v>1087</v>
      </c>
      <c r="W24" s="2213"/>
      <c r="X24" s="2213"/>
      <c r="Y24" s="2213"/>
      <c r="Z24" s="3084"/>
      <c r="AA24" s="3084">
        <v>7</v>
      </c>
      <c r="AB24" s="3083" t="s">
        <v>1089</v>
      </c>
      <c r="AC24" s="2213"/>
      <c r="AD24" s="2213"/>
      <c r="AE24" s="2213"/>
      <c r="AF24" s="2213"/>
      <c r="AG24" s="2213"/>
      <c r="AH24" s="2213"/>
      <c r="AI24" s="2213"/>
      <c r="AJ24" s="2213"/>
      <c r="AK24" s="2213"/>
      <c r="AL24" s="2213"/>
      <c r="AM24" s="2213"/>
      <c r="AN24" s="2213"/>
      <c r="AO24" s="2213"/>
      <c r="AP24" s="2757"/>
      <c r="AX24" s="42">
        <v>8</v>
      </c>
      <c r="AY24" s="42" t="s">
        <v>402</v>
      </c>
      <c r="AZ24" s="5819">
        <f>IF(D20=6,V28,0)</f>
        <v>0</v>
      </c>
      <c r="BA24" s="5820">
        <f>IF(D21=6,AD28,0)</f>
        <v>0</v>
      </c>
      <c r="BB24" s="5820">
        <f>IF(D22=6,AJ28,0)</f>
        <v>0</v>
      </c>
      <c r="BC24" s="5821">
        <f>SUM(AZ24:BB24)</f>
        <v>0</v>
      </c>
      <c r="BE24" s="2847"/>
      <c r="BG24" s="3013"/>
      <c r="BH24" s="2595"/>
      <c r="BI24" s="2595"/>
      <c r="BJ24" s="2595"/>
      <c r="BK24" s="2595"/>
      <c r="BL24" s="2595"/>
      <c r="BM24" s="2595"/>
      <c r="BN24" s="2595"/>
      <c r="BO24" s="2595"/>
      <c r="BP24" s="2595"/>
    </row>
    <row r="25" spans="1:68" ht="14.25" customHeight="1">
      <c r="A25" s="2757"/>
      <c r="B25" s="3085">
        <v>2</v>
      </c>
      <c r="C25" s="3095" t="s">
        <v>1085</v>
      </c>
      <c r="D25" s="2803"/>
      <c r="E25" s="2217"/>
      <c r="F25" s="2217"/>
      <c r="G25" s="2217"/>
      <c r="H25" s="2217"/>
      <c r="I25" s="2217"/>
      <c r="J25" s="2217"/>
      <c r="K25" s="3086">
        <v>4</v>
      </c>
      <c r="L25" s="3137" t="s">
        <v>1086</v>
      </c>
      <c r="M25" s="2217"/>
      <c r="N25" s="2217"/>
      <c r="O25" s="2217"/>
      <c r="P25" s="2217"/>
      <c r="Q25" s="2217"/>
      <c r="R25" s="2217"/>
      <c r="S25" s="2217"/>
      <c r="T25" s="2217"/>
      <c r="U25" s="3086">
        <v>6</v>
      </c>
      <c r="V25" s="3137" t="s">
        <v>1088</v>
      </c>
      <c r="W25" s="2217"/>
      <c r="X25" s="2217"/>
      <c r="Y25" s="2217"/>
      <c r="Z25" s="3086"/>
      <c r="AA25" s="3086">
        <v>8</v>
      </c>
      <c r="AB25" s="3137" t="s">
        <v>2340</v>
      </c>
      <c r="AC25" s="2217"/>
      <c r="AD25" s="2217"/>
      <c r="AE25" s="2217"/>
      <c r="AF25" s="2217"/>
      <c r="AG25" s="2217"/>
      <c r="AH25" s="7391"/>
      <c r="AI25" s="7391"/>
      <c r="AJ25" s="7391"/>
      <c r="AK25" s="7391"/>
      <c r="AL25" s="7391"/>
      <c r="AM25" s="7391"/>
      <c r="AN25" s="7391"/>
      <c r="AO25" s="7391"/>
      <c r="AP25" s="2757"/>
      <c r="AQ25" s="989"/>
      <c r="AR25" s="4017" t="str">
        <f>IF($AR$23,"Attach a statement to your return","")</f>
        <v/>
      </c>
      <c r="AS25" s="1289"/>
      <c r="AT25" s="1289"/>
      <c r="BG25" s="3013"/>
      <c r="BH25" s="2595"/>
      <c r="BI25" s="2595"/>
      <c r="BJ25" s="2595"/>
      <c r="BK25" s="2595"/>
      <c r="BL25" s="2595"/>
      <c r="BM25" s="2595"/>
      <c r="BN25" s="2595"/>
      <c r="BO25" s="2595"/>
      <c r="BP25" s="2595"/>
    </row>
    <row r="26" spans="1:68" ht="14.25" customHeight="1">
      <c r="A26" s="2757"/>
      <c r="B26" s="3092" t="s">
        <v>2342</v>
      </c>
      <c r="C26" s="3090"/>
      <c r="D26" s="3059"/>
      <c r="E26" s="3088"/>
      <c r="F26" s="3088"/>
      <c r="G26" s="3088"/>
      <c r="H26" s="3088"/>
      <c r="I26" s="3089"/>
      <c r="J26" s="3087"/>
      <c r="K26" s="3088"/>
      <c r="L26" s="3088"/>
      <c r="M26" s="3088"/>
      <c r="N26" s="3088"/>
      <c r="O26" s="3088"/>
      <c r="P26" s="3088"/>
      <c r="Q26" s="3088"/>
      <c r="R26" s="3091" t="s">
        <v>2341</v>
      </c>
      <c r="S26" s="3088"/>
      <c r="T26" s="3093"/>
      <c r="U26" s="3089"/>
      <c r="V26" s="7334" t="s">
        <v>143</v>
      </c>
      <c r="W26" s="7387"/>
      <c r="X26" s="7387"/>
      <c r="Y26" s="7387"/>
      <c r="Z26" s="7387"/>
      <c r="AA26" s="7387"/>
      <c r="AB26" s="7387"/>
      <c r="AC26" s="7335"/>
      <c r="AD26" s="7388" t="s">
        <v>288</v>
      </c>
      <c r="AE26" s="7389"/>
      <c r="AF26" s="7389"/>
      <c r="AG26" s="7389"/>
      <c r="AH26" s="7389"/>
      <c r="AI26" s="7390"/>
      <c r="AJ26" s="7388" t="s">
        <v>144</v>
      </c>
      <c r="AK26" s="7389"/>
      <c r="AL26" s="7389"/>
      <c r="AM26" s="7389"/>
      <c r="AN26" s="7389"/>
      <c r="AO26" s="7389"/>
      <c r="AP26" s="2757"/>
      <c r="AR26" s="4017" t="str">
        <f>IF($AR$23,"describing the property.","")</f>
        <v/>
      </c>
      <c r="AS26" s="1289"/>
      <c r="AT26" s="1289"/>
      <c r="AZ26" s="42" t="b">
        <f>IF(AND($D$20="",OR($V$27&gt;0,$V$28&gt;0)),TRUE,FALSE)</f>
        <v>0</v>
      </c>
      <c r="BA26" s="42" t="b">
        <f>IF(AND($D$21="",OR($AD$27&gt;0,$AD$28&gt;0)),TRUE,FALSE)</f>
        <v>0</v>
      </c>
      <c r="BB26" s="42" t="b">
        <f>IF(AND($D$22="",OR($AJ$27&gt;0,$AJ$28&gt;0)),TRUE,FALSE)</f>
        <v>0</v>
      </c>
      <c r="BG26" s="3013"/>
      <c r="BH26" s="2595"/>
      <c r="BI26" s="2595"/>
      <c r="BJ26" s="2595"/>
      <c r="BK26" s="2595"/>
      <c r="BL26" s="2595"/>
      <c r="BM26" s="2595"/>
      <c r="BN26" s="2595"/>
      <c r="BO26" s="2595"/>
      <c r="BP26" s="2595"/>
    </row>
    <row r="27" spans="1:68" ht="14.25" customHeight="1">
      <c r="A27" s="2757"/>
      <c r="B27" s="7373">
        <v>3</v>
      </c>
      <c r="C27" s="7374"/>
      <c r="D27" s="3094" t="s">
        <v>747</v>
      </c>
      <c r="E27" s="3088"/>
      <c r="F27" s="3088"/>
      <c r="G27" s="3088"/>
      <c r="H27" s="3088"/>
      <c r="I27" s="3088"/>
      <c r="J27" s="3088"/>
      <c r="K27" s="3088"/>
      <c r="L27" s="3088"/>
      <c r="M27" s="3088"/>
      <c r="N27" s="3088"/>
      <c r="O27" s="3088"/>
      <c r="P27" s="3088"/>
      <c r="Q27" s="3088"/>
      <c r="R27" s="3088"/>
      <c r="S27" s="3488" t="s">
        <v>568</v>
      </c>
      <c r="T27" s="7334">
        <v>3</v>
      </c>
      <c r="U27" s="7335"/>
      <c r="V27" s="7375"/>
      <c r="W27" s="7376"/>
      <c r="X27" s="7376"/>
      <c r="Y27" s="7376"/>
      <c r="Z27" s="7376"/>
      <c r="AA27" s="7376"/>
      <c r="AB27" s="7376"/>
      <c r="AC27" s="7377"/>
      <c r="AD27" s="7375"/>
      <c r="AE27" s="7376"/>
      <c r="AF27" s="7376"/>
      <c r="AG27" s="7376"/>
      <c r="AH27" s="7376"/>
      <c r="AI27" s="7377"/>
      <c r="AJ27" s="7375"/>
      <c r="AK27" s="7376"/>
      <c r="AL27" s="7376"/>
      <c r="AM27" s="7376"/>
      <c r="AN27" s="7376"/>
      <c r="AO27" s="7376"/>
      <c r="AP27" s="2757"/>
      <c r="AR27" s="1289"/>
      <c r="AS27" s="1289"/>
      <c r="AT27" s="1289"/>
      <c r="BG27" s="3013"/>
      <c r="BH27" s="2595"/>
      <c r="BI27" s="2595"/>
      <c r="BJ27" s="2595"/>
      <c r="BK27" s="2595"/>
      <c r="BL27" s="2595"/>
      <c r="BM27" s="2595"/>
      <c r="BN27" s="2595"/>
      <c r="BO27" s="2595"/>
      <c r="BP27" s="2595"/>
    </row>
    <row r="28" spans="1:68" ht="14.25" customHeight="1">
      <c r="A28" s="2757"/>
      <c r="B28" s="7373">
        <v>4</v>
      </c>
      <c r="C28" s="7374"/>
      <c r="D28" s="3094" t="s">
        <v>2343</v>
      </c>
      <c r="E28" s="3088"/>
      <c r="F28" s="3088"/>
      <c r="G28" s="3088"/>
      <c r="H28" s="3088"/>
      <c r="I28" s="3088"/>
      <c r="J28" s="3088"/>
      <c r="K28" s="3088"/>
      <c r="L28" s="3088"/>
      <c r="M28" s="3088"/>
      <c r="N28" s="3088"/>
      <c r="O28" s="3088"/>
      <c r="P28" s="3088"/>
      <c r="Q28" s="3088"/>
      <c r="R28" s="3088"/>
      <c r="S28" s="3488" t="s">
        <v>802</v>
      </c>
      <c r="T28" s="7334">
        <v>4</v>
      </c>
      <c r="U28" s="7335"/>
      <c r="V28" s="7375"/>
      <c r="W28" s="7376"/>
      <c r="X28" s="7376"/>
      <c r="Y28" s="7376"/>
      <c r="Z28" s="7376"/>
      <c r="AA28" s="7376"/>
      <c r="AB28" s="7376"/>
      <c r="AC28" s="7377"/>
      <c r="AD28" s="7375"/>
      <c r="AE28" s="7376"/>
      <c r="AF28" s="7376"/>
      <c r="AG28" s="7376"/>
      <c r="AH28" s="7376"/>
      <c r="AI28" s="7377"/>
      <c r="AJ28" s="7375"/>
      <c r="AK28" s="7376"/>
      <c r="AL28" s="7376"/>
      <c r="AM28" s="7376"/>
      <c r="AN28" s="7376"/>
      <c r="AO28" s="7376"/>
      <c r="AP28" s="2757"/>
      <c r="BG28" s="3013"/>
      <c r="BH28" s="2595"/>
      <c r="BI28" s="2595"/>
      <c r="BJ28" s="2595"/>
      <c r="BK28" s="2595"/>
      <c r="BL28" s="2595"/>
      <c r="BM28" s="2595"/>
      <c r="BN28" s="2595"/>
      <c r="BO28" s="2595"/>
      <c r="BP28" s="2595"/>
    </row>
    <row r="29" spans="1:68" ht="14.25" customHeight="1">
      <c r="A29" s="2757"/>
      <c r="B29" s="3100" t="s">
        <v>665</v>
      </c>
      <c r="C29" s="3096"/>
      <c r="D29" s="3073"/>
      <c r="E29" s="3097"/>
      <c r="F29" s="3140"/>
      <c r="G29" s="3140" t="str">
        <f>IF(OR($AZ$26,$BA$26,$BB$26),"Please enter property type in Line 1b.","")</f>
        <v/>
      </c>
      <c r="H29" s="3097"/>
      <c r="I29" s="3097"/>
      <c r="J29" s="3097"/>
      <c r="K29" s="3097"/>
      <c r="L29" s="3097"/>
      <c r="M29" s="3097"/>
      <c r="N29" s="3097"/>
      <c r="O29" s="3097"/>
      <c r="P29" s="3097"/>
      <c r="Q29" s="3097"/>
      <c r="R29" s="3097"/>
      <c r="S29" s="3097"/>
      <c r="T29" s="3098"/>
      <c r="U29" s="3099"/>
      <c r="V29" s="7378" t="str">
        <f>IF(D20="","",LOOKUP(D20,$AX$17:$AX$24,$AY$17:$AY$24))</f>
        <v/>
      </c>
      <c r="W29" s="7379"/>
      <c r="X29" s="7379"/>
      <c r="Y29" s="7379"/>
      <c r="Z29" s="7379"/>
      <c r="AA29" s="7379"/>
      <c r="AB29" s="7379"/>
      <c r="AC29" s="7155"/>
      <c r="AD29" s="7378" t="str">
        <f>IF(D21="","",LOOKUP(D21,$AX$17:$AX$24,$AY$17:$AY$24))</f>
        <v/>
      </c>
      <c r="AE29" s="7379"/>
      <c r="AF29" s="7379"/>
      <c r="AG29" s="7379"/>
      <c r="AH29" s="7379"/>
      <c r="AI29" s="7155"/>
      <c r="AJ29" s="7378" t="str">
        <f>IF(D22="","",LOOKUP(D22,$AX$17:$AX$24,$AY$17:$AY$24))</f>
        <v/>
      </c>
      <c r="AK29" s="7379"/>
      <c r="AL29" s="7379"/>
      <c r="AM29" s="7379"/>
      <c r="AN29" s="7379"/>
      <c r="AO29" s="7379"/>
      <c r="AP29" s="2757"/>
      <c r="BG29" s="3013"/>
      <c r="BH29" s="2595"/>
      <c r="BI29" s="2595"/>
      <c r="BJ29" s="2595"/>
      <c r="BK29" s="2595"/>
      <c r="BL29" s="2595"/>
      <c r="BM29" s="2595"/>
      <c r="BN29" s="2595"/>
      <c r="BO29" s="2595"/>
      <c r="BP29" s="2595"/>
    </row>
    <row r="30" spans="1:68" ht="14.25" customHeight="1">
      <c r="A30" s="2757"/>
      <c r="B30" s="7333">
        <v>5</v>
      </c>
      <c r="C30" s="7263"/>
      <c r="D30" s="3081" t="s">
        <v>666</v>
      </c>
      <c r="E30" s="2213"/>
      <c r="F30" s="2213"/>
      <c r="G30" s="2213"/>
      <c r="H30" s="2213"/>
      <c r="I30" s="2213"/>
      <c r="J30" s="2213"/>
      <c r="K30" s="2213"/>
      <c r="L30" s="2213"/>
      <c r="M30" s="2213"/>
      <c r="N30" s="2213"/>
      <c r="O30" s="2213"/>
      <c r="P30" s="2213"/>
      <c r="Q30" s="2213"/>
      <c r="R30" s="2213"/>
      <c r="S30" s="3489" t="s">
        <v>453</v>
      </c>
      <c r="T30" s="7350">
        <v>5</v>
      </c>
      <c r="U30" s="7351"/>
      <c r="V30" s="7368"/>
      <c r="W30" s="7368"/>
      <c r="X30" s="7368"/>
      <c r="Y30" s="7368"/>
      <c r="Z30" s="7368"/>
      <c r="AA30" s="7368"/>
      <c r="AB30" s="7368"/>
      <c r="AC30" s="7369"/>
      <c r="AD30" s="7370"/>
      <c r="AE30" s="7368"/>
      <c r="AF30" s="7368"/>
      <c r="AG30" s="7368"/>
      <c r="AH30" s="7368"/>
      <c r="AI30" s="7369"/>
      <c r="AJ30" s="7370"/>
      <c r="AK30" s="7368"/>
      <c r="AL30" s="7368"/>
      <c r="AM30" s="7368"/>
      <c r="AN30" s="7368"/>
      <c r="AO30" s="7368"/>
      <c r="AP30" s="2757"/>
      <c r="BG30" s="3013"/>
      <c r="BH30" s="2595"/>
      <c r="BI30" s="2595"/>
      <c r="BJ30" s="2595"/>
      <c r="BK30" s="2595"/>
      <c r="BL30" s="2595"/>
      <c r="BM30" s="2595"/>
      <c r="BN30" s="2595"/>
      <c r="BO30" s="2595"/>
      <c r="BP30" s="2595"/>
    </row>
    <row r="31" spans="1:68" ht="14.25" customHeight="1">
      <c r="A31" s="2757"/>
      <c r="B31" s="7333">
        <v>6</v>
      </c>
      <c r="C31" s="7263"/>
      <c r="D31" s="3081" t="s">
        <v>685</v>
      </c>
      <c r="E31" s="2213"/>
      <c r="F31" s="2213"/>
      <c r="G31" s="2213"/>
      <c r="H31" s="2213"/>
      <c r="I31" s="2213"/>
      <c r="J31" s="2213"/>
      <c r="K31" s="2213"/>
      <c r="L31" s="2213"/>
      <c r="M31" s="2213"/>
      <c r="N31" s="2213"/>
      <c r="O31" s="2213"/>
      <c r="P31" s="2213"/>
      <c r="Q31" s="2213"/>
      <c r="R31" s="2213"/>
      <c r="S31" s="3489" t="s">
        <v>560</v>
      </c>
      <c r="T31" s="7350">
        <v>6</v>
      </c>
      <c r="U31" s="7351"/>
      <c r="V31" s="7368"/>
      <c r="W31" s="7368"/>
      <c r="X31" s="7368"/>
      <c r="Y31" s="7368"/>
      <c r="Z31" s="7368"/>
      <c r="AA31" s="7368"/>
      <c r="AB31" s="7368"/>
      <c r="AC31" s="7369"/>
      <c r="AD31" s="7370"/>
      <c r="AE31" s="7368"/>
      <c r="AF31" s="7368"/>
      <c r="AG31" s="7368"/>
      <c r="AH31" s="7368"/>
      <c r="AI31" s="7369"/>
      <c r="AJ31" s="7370"/>
      <c r="AK31" s="7368"/>
      <c r="AL31" s="7368"/>
      <c r="AM31" s="7368"/>
      <c r="AN31" s="7368"/>
      <c r="AO31" s="7368"/>
      <c r="AP31" s="2757"/>
      <c r="BG31" s="3013"/>
      <c r="BH31" s="2595"/>
      <c r="BI31" s="2595"/>
      <c r="BJ31" s="2595"/>
      <c r="BK31" s="2595"/>
      <c r="BL31" s="2595"/>
      <c r="BM31" s="2595"/>
      <c r="BN31" s="2595"/>
      <c r="BO31" s="2595"/>
      <c r="BP31" s="2595"/>
    </row>
    <row r="32" spans="1:68" ht="14.25" customHeight="1">
      <c r="A32" s="2757"/>
      <c r="B32" s="7333">
        <v>7</v>
      </c>
      <c r="C32" s="7263"/>
      <c r="D32" s="3081" t="s">
        <v>667</v>
      </c>
      <c r="E32" s="2213"/>
      <c r="F32" s="2213"/>
      <c r="G32" s="2213"/>
      <c r="H32" s="2213"/>
      <c r="I32" s="2213"/>
      <c r="J32" s="2213"/>
      <c r="K32" s="2213"/>
      <c r="L32" s="2213"/>
      <c r="M32" s="2213"/>
      <c r="N32" s="2213"/>
      <c r="O32" s="2213"/>
      <c r="P32" s="2213"/>
      <c r="Q32" s="2213"/>
      <c r="R32" s="2213"/>
      <c r="S32" s="3489" t="s">
        <v>571</v>
      </c>
      <c r="T32" s="7350">
        <v>7</v>
      </c>
      <c r="U32" s="7351"/>
      <c r="V32" s="7368"/>
      <c r="W32" s="7368"/>
      <c r="X32" s="7368"/>
      <c r="Y32" s="7368"/>
      <c r="Z32" s="7368"/>
      <c r="AA32" s="7368"/>
      <c r="AB32" s="7368"/>
      <c r="AC32" s="7369"/>
      <c r="AD32" s="7370"/>
      <c r="AE32" s="7368"/>
      <c r="AF32" s="7368"/>
      <c r="AG32" s="7368"/>
      <c r="AH32" s="7368"/>
      <c r="AI32" s="7369"/>
      <c r="AJ32" s="7370"/>
      <c r="AK32" s="7368"/>
      <c r="AL32" s="7368"/>
      <c r="AM32" s="7368"/>
      <c r="AN32" s="7368"/>
      <c r="AO32" s="7368"/>
      <c r="AP32" s="2757"/>
      <c r="BG32" s="3013"/>
      <c r="BH32" s="2595"/>
      <c r="BI32" s="2595"/>
      <c r="BJ32" s="2595"/>
      <c r="BK32" s="2595"/>
      <c r="BL32" s="2595"/>
      <c r="BM32" s="2595"/>
      <c r="BN32" s="2595"/>
      <c r="BO32" s="2595"/>
      <c r="BP32" s="2595"/>
    </row>
    <row r="33" spans="1:68" ht="14.25" customHeight="1">
      <c r="A33" s="2757"/>
      <c r="B33" s="7333">
        <v>8</v>
      </c>
      <c r="C33" s="7263"/>
      <c r="D33" s="3081" t="s">
        <v>668</v>
      </c>
      <c r="E33" s="2213"/>
      <c r="F33" s="2213"/>
      <c r="G33" s="2213"/>
      <c r="H33" s="2213"/>
      <c r="I33" s="2213"/>
      <c r="J33" s="2213"/>
      <c r="K33" s="2213"/>
      <c r="L33" s="2213"/>
      <c r="M33" s="2213"/>
      <c r="N33" s="2213"/>
      <c r="O33" s="2213"/>
      <c r="P33" s="2213"/>
      <c r="Q33" s="2213"/>
      <c r="R33" s="2213"/>
      <c r="S33" s="3489" t="s">
        <v>374</v>
      </c>
      <c r="T33" s="7350">
        <v>8</v>
      </c>
      <c r="U33" s="7351"/>
      <c r="V33" s="7368"/>
      <c r="W33" s="7368"/>
      <c r="X33" s="7368"/>
      <c r="Y33" s="7368"/>
      <c r="Z33" s="7368"/>
      <c r="AA33" s="7368"/>
      <c r="AB33" s="7368"/>
      <c r="AC33" s="7369"/>
      <c r="AD33" s="7370"/>
      <c r="AE33" s="7368"/>
      <c r="AF33" s="7368"/>
      <c r="AG33" s="7368"/>
      <c r="AH33" s="7368"/>
      <c r="AI33" s="7369"/>
      <c r="AJ33" s="7370"/>
      <c r="AK33" s="7368"/>
      <c r="AL33" s="7368"/>
      <c r="AM33" s="7368"/>
      <c r="AN33" s="7368"/>
      <c r="AO33" s="7368"/>
      <c r="AP33" s="2757"/>
      <c r="BG33" s="3013"/>
      <c r="BH33" s="2595"/>
      <c r="BI33" s="2595"/>
      <c r="BJ33" s="2595"/>
      <c r="BK33" s="2595"/>
      <c r="BL33" s="2595"/>
      <c r="BM33" s="2595"/>
      <c r="BN33" s="2595"/>
      <c r="BO33" s="2595"/>
      <c r="BP33" s="2595"/>
    </row>
    <row r="34" spans="1:68" ht="14.25" customHeight="1">
      <c r="A34" s="2757"/>
      <c r="B34" s="7333">
        <v>9</v>
      </c>
      <c r="C34" s="7263"/>
      <c r="D34" s="3081" t="s">
        <v>669</v>
      </c>
      <c r="E34" s="2213"/>
      <c r="F34" s="2213"/>
      <c r="G34" s="2213"/>
      <c r="H34" s="2213"/>
      <c r="I34" s="2213"/>
      <c r="J34" s="2213"/>
      <c r="K34" s="2213"/>
      <c r="L34" s="2213"/>
      <c r="M34" s="2213"/>
      <c r="N34" s="2213"/>
      <c r="O34" s="2213"/>
      <c r="P34" s="2213"/>
      <c r="Q34" s="2213"/>
      <c r="R34" s="2213"/>
      <c r="S34" s="3489" t="s">
        <v>567</v>
      </c>
      <c r="T34" s="7350">
        <v>9</v>
      </c>
      <c r="U34" s="7351"/>
      <c r="V34" s="7368"/>
      <c r="W34" s="7368"/>
      <c r="X34" s="7368"/>
      <c r="Y34" s="7368"/>
      <c r="Z34" s="7368"/>
      <c r="AA34" s="7368"/>
      <c r="AB34" s="7368"/>
      <c r="AC34" s="7369"/>
      <c r="AD34" s="7370"/>
      <c r="AE34" s="7368"/>
      <c r="AF34" s="7368"/>
      <c r="AG34" s="7368"/>
      <c r="AH34" s="7368"/>
      <c r="AI34" s="7369"/>
      <c r="AJ34" s="7370"/>
      <c r="AK34" s="7368"/>
      <c r="AL34" s="7368"/>
      <c r="AM34" s="7368"/>
      <c r="AN34" s="7368"/>
      <c r="AO34" s="7368"/>
      <c r="AP34" s="2757"/>
      <c r="BG34" s="3013"/>
      <c r="BH34" s="2595"/>
      <c r="BI34" s="2595"/>
      <c r="BJ34" s="2595"/>
      <c r="BK34" s="2595"/>
      <c r="BL34" s="2595"/>
      <c r="BM34" s="2595"/>
      <c r="BN34" s="2595"/>
      <c r="BO34" s="2595"/>
      <c r="BP34" s="2595"/>
    </row>
    <row r="35" spans="1:68" ht="14.25" customHeight="1">
      <c r="A35" s="2757"/>
      <c r="B35" s="7333">
        <v>10</v>
      </c>
      <c r="C35" s="7263"/>
      <c r="D35" s="3081" t="s">
        <v>670</v>
      </c>
      <c r="E35" s="2213"/>
      <c r="F35" s="2213"/>
      <c r="G35" s="2213"/>
      <c r="H35" s="2213"/>
      <c r="I35" s="2213"/>
      <c r="J35" s="2213"/>
      <c r="K35" s="2213"/>
      <c r="L35" s="2213"/>
      <c r="M35" s="2213"/>
      <c r="N35" s="2213"/>
      <c r="O35" s="2213"/>
      <c r="P35" s="2213"/>
      <c r="Q35" s="2213"/>
      <c r="R35" s="2213"/>
      <c r="S35" s="3489" t="s">
        <v>629</v>
      </c>
      <c r="T35" s="7350">
        <v>10</v>
      </c>
      <c r="U35" s="7351"/>
      <c r="V35" s="7368"/>
      <c r="W35" s="7368"/>
      <c r="X35" s="7368"/>
      <c r="Y35" s="7368"/>
      <c r="Z35" s="7368"/>
      <c r="AA35" s="7368"/>
      <c r="AB35" s="7368"/>
      <c r="AC35" s="7369"/>
      <c r="AD35" s="7370"/>
      <c r="AE35" s="7368"/>
      <c r="AF35" s="7368"/>
      <c r="AG35" s="7368"/>
      <c r="AH35" s="7368"/>
      <c r="AI35" s="7369"/>
      <c r="AJ35" s="7370"/>
      <c r="AK35" s="7368"/>
      <c r="AL35" s="7368"/>
      <c r="AM35" s="7368"/>
      <c r="AN35" s="7368"/>
      <c r="AO35" s="7368"/>
      <c r="AP35" s="2757"/>
      <c r="BG35" s="3013"/>
      <c r="BH35" s="2595"/>
      <c r="BI35" s="2595"/>
      <c r="BJ35" s="2595"/>
      <c r="BK35" s="2595"/>
      <c r="BL35" s="2595"/>
      <c r="BM35" s="2595"/>
      <c r="BN35" s="2595"/>
      <c r="BO35" s="2595"/>
      <c r="BP35" s="2595"/>
    </row>
    <row r="36" spans="1:68" ht="14.25" customHeight="1">
      <c r="A36" s="2757"/>
      <c r="B36" s="7333">
        <v>11</v>
      </c>
      <c r="C36" s="7263"/>
      <c r="D36" s="3081" t="s">
        <v>671</v>
      </c>
      <c r="E36" s="2213"/>
      <c r="F36" s="2213"/>
      <c r="G36" s="2213"/>
      <c r="H36" s="2213"/>
      <c r="I36" s="2213"/>
      <c r="J36" s="2213"/>
      <c r="K36" s="2213"/>
      <c r="L36" s="2213"/>
      <c r="M36" s="2213"/>
      <c r="N36" s="2213"/>
      <c r="O36" s="2213"/>
      <c r="P36" s="2213"/>
      <c r="Q36" s="2213"/>
      <c r="R36" s="2213"/>
      <c r="S36" s="3489" t="s">
        <v>802</v>
      </c>
      <c r="T36" s="7350">
        <v>11</v>
      </c>
      <c r="U36" s="7351"/>
      <c r="V36" s="7368"/>
      <c r="W36" s="7368"/>
      <c r="X36" s="7368"/>
      <c r="Y36" s="7368"/>
      <c r="Z36" s="7368"/>
      <c r="AA36" s="7368"/>
      <c r="AB36" s="7368"/>
      <c r="AC36" s="7369"/>
      <c r="AD36" s="7370"/>
      <c r="AE36" s="7368"/>
      <c r="AF36" s="7368"/>
      <c r="AG36" s="7368"/>
      <c r="AH36" s="7368"/>
      <c r="AI36" s="7369"/>
      <c r="AJ36" s="7370"/>
      <c r="AK36" s="7368"/>
      <c r="AL36" s="7368"/>
      <c r="AM36" s="7368"/>
      <c r="AN36" s="7368"/>
      <c r="AO36" s="7368"/>
      <c r="AP36" s="2757"/>
      <c r="BG36" s="3013"/>
      <c r="BH36" s="2595"/>
      <c r="BI36" s="2595"/>
      <c r="BJ36" s="2595"/>
      <c r="BK36" s="2595"/>
      <c r="BL36" s="2595"/>
      <c r="BM36" s="2595"/>
      <c r="BN36" s="2595"/>
      <c r="BO36" s="2595"/>
      <c r="BP36" s="2595"/>
    </row>
    <row r="37" spans="1:68" ht="14.25" customHeight="1">
      <c r="A37" s="2757"/>
      <c r="B37" s="7333">
        <v>12</v>
      </c>
      <c r="C37" s="7263"/>
      <c r="D37" s="3081" t="s">
        <v>686</v>
      </c>
      <c r="E37" s="2213"/>
      <c r="F37" s="2213"/>
      <c r="G37" s="2213"/>
      <c r="H37" s="2213"/>
      <c r="I37" s="2213"/>
      <c r="J37" s="2213"/>
      <c r="K37" s="2213"/>
      <c r="L37" s="2213"/>
      <c r="M37" s="2213"/>
      <c r="N37" s="2213"/>
      <c r="O37" s="2213"/>
      <c r="P37" s="2213"/>
      <c r="Q37" s="2213"/>
      <c r="R37" s="2213"/>
      <c r="S37" s="2951"/>
      <c r="T37" s="7350">
        <v>12</v>
      </c>
      <c r="U37" s="7351"/>
      <c r="V37" s="7368"/>
      <c r="W37" s="7368"/>
      <c r="X37" s="7368"/>
      <c r="Y37" s="7368"/>
      <c r="Z37" s="7368"/>
      <c r="AA37" s="7368"/>
      <c r="AB37" s="7368"/>
      <c r="AC37" s="7369"/>
      <c r="AD37" s="7370"/>
      <c r="AE37" s="7368"/>
      <c r="AF37" s="7368"/>
      <c r="AG37" s="7368"/>
      <c r="AH37" s="7368"/>
      <c r="AI37" s="7369"/>
      <c r="AJ37" s="7370"/>
      <c r="AK37" s="7368"/>
      <c r="AL37" s="7368"/>
      <c r="AM37" s="7368"/>
      <c r="AN37" s="7368"/>
      <c r="AO37" s="7368"/>
      <c r="AP37" s="2757"/>
      <c r="BG37" s="3013"/>
      <c r="BH37" s="2595"/>
      <c r="BI37" s="2595"/>
      <c r="BJ37" s="2595"/>
      <c r="BK37" s="2595"/>
      <c r="BL37" s="2595"/>
      <c r="BM37" s="2595"/>
      <c r="BN37" s="2595"/>
      <c r="BO37" s="2595"/>
      <c r="BP37" s="2595"/>
    </row>
    <row r="38" spans="1:68" ht="14.25" customHeight="1">
      <c r="A38" s="2757"/>
      <c r="B38" s="7333">
        <v>13</v>
      </c>
      <c r="C38" s="7263"/>
      <c r="D38" s="3081" t="s">
        <v>2754</v>
      </c>
      <c r="E38" s="2213"/>
      <c r="F38" s="2213"/>
      <c r="G38" s="2213"/>
      <c r="H38" s="2213"/>
      <c r="I38" s="2213"/>
      <c r="J38" s="2213"/>
      <c r="K38" s="2213"/>
      <c r="L38" s="2213"/>
      <c r="M38" s="2213"/>
      <c r="N38" s="2213"/>
      <c r="O38" s="2213"/>
      <c r="P38" s="2213"/>
      <c r="Q38" s="2213"/>
      <c r="R38" s="2213"/>
      <c r="S38" s="3489" t="s">
        <v>374</v>
      </c>
      <c r="T38" s="7350">
        <v>13</v>
      </c>
      <c r="U38" s="7351"/>
      <c r="V38" s="7368"/>
      <c r="W38" s="7368"/>
      <c r="X38" s="7368"/>
      <c r="Y38" s="7368"/>
      <c r="Z38" s="7368"/>
      <c r="AA38" s="7368"/>
      <c r="AB38" s="7368"/>
      <c r="AC38" s="7369"/>
      <c r="AD38" s="7370"/>
      <c r="AE38" s="7368"/>
      <c r="AF38" s="7368"/>
      <c r="AG38" s="7368"/>
      <c r="AH38" s="7368"/>
      <c r="AI38" s="7369"/>
      <c r="AJ38" s="7370"/>
      <c r="AK38" s="7368"/>
      <c r="AL38" s="7368"/>
      <c r="AM38" s="7368"/>
      <c r="AN38" s="7368"/>
      <c r="AO38" s="7368"/>
      <c r="AP38" s="2757"/>
      <c r="BG38" s="3013"/>
      <c r="BH38" s="2595"/>
      <c r="BI38" s="2595"/>
      <c r="BJ38" s="2595"/>
      <c r="BK38" s="2595"/>
      <c r="BL38" s="2595"/>
      <c r="BM38" s="2595"/>
      <c r="BN38" s="2595"/>
      <c r="BO38" s="2595"/>
      <c r="BP38" s="2595"/>
    </row>
    <row r="39" spans="1:68" ht="14.25" customHeight="1">
      <c r="A39" s="2757"/>
      <c r="B39" s="7333">
        <v>14</v>
      </c>
      <c r="C39" s="7263"/>
      <c r="D39" s="3081" t="s">
        <v>672</v>
      </c>
      <c r="E39" s="2213"/>
      <c r="F39" s="2213"/>
      <c r="G39" s="2213"/>
      <c r="H39" s="2213"/>
      <c r="I39" s="2213"/>
      <c r="J39" s="2213"/>
      <c r="K39" s="2213"/>
      <c r="L39" s="2213"/>
      <c r="M39" s="2213"/>
      <c r="N39" s="2213"/>
      <c r="O39" s="2213"/>
      <c r="P39" s="2213"/>
      <c r="Q39" s="2213"/>
      <c r="R39" s="2213"/>
      <c r="S39" s="3489" t="s">
        <v>567</v>
      </c>
      <c r="T39" s="7350">
        <v>14</v>
      </c>
      <c r="U39" s="7351"/>
      <c r="V39" s="7368"/>
      <c r="W39" s="7368"/>
      <c r="X39" s="7368"/>
      <c r="Y39" s="7368"/>
      <c r="Z39" s="7368"/>
      <c r="AA39" s="7368"/>
      <c r="AB39" s="7368"/>
      <c r="AC39" s="7369"/>
      <c r="AD39" s="7370"/>
      <c r="AE39" s="7368"/>
      <c r="AF39" s="7368"/>
      <c r="AG39" s="7368"/>
      <c r="AH39" s="7368"/>
      <c r="AI39" s="7369"/>
      <c r="AJ39" s="7370"/>
      <c r="AK39" s="7368"/>
      <c r="AL39" s="7368"/>
      <c r="AM39" s="7368"/>
      <c r="AN39" s="7368"/>
      <c r="AO39" s="7368"/>
      <c r="AP39" s="2757"/>
      <c r="BG39" s="3013"/>
      <c r="BH39" s="2595"/>
      <c r="BI39" s="2595"/>
      <c r="BJ39" s="2595"/>
      <c r="BK39" s="2595"/>
      <c r="BL39" s="2595"/>
      <c r="BM39" s="2595"/>
      <c r="BN39" s="2595"/>
      <c r="BO39" s="2595"/>
      <c r="BP39" s="2595"/>
    </row>
    <row r="40" spans="1:68" ht="14.25" customHeight="1">
      <c r="A40" s="2757"/>
      <c r="B40" s="7333">
        <v>15</v>
      </c>
      <c r="C40" s="7263"/>
      <c r="D40" s="3081" t="s">
        <v>673</v>
      </c>
      <c r="E40" s="2213"/>
      <c r="F40" s="2213"/>
      <c r="G40" s="2213"/>
      <c r="H40" s="2213"/>
      <c r="I40" s="2213"/>
      <c r="J40" s="2213"/>
      <c r="K40" s="2213"/>
      <c r="L40" s="2213"/>
      <c r="M40" s="2213"/>
      <c r="N40" s="2213"/>
      <c r="O40" s="2213"/>
      <c r="P40" s="2213"/>
      <c r="Q40" s="2213"/>
      <c r="R40" s="2213"/>
      <c r="S40" s="3489" t="s">
        <v>567</v>
      </c>
      <c r="T40" s="7350">
        <v>15</v>
      </c>
      <c r="U40" s="7351"/>
      <c r="V40" s="7368"/>
      <c r="W40" s="7368"/>
      <c r="X40" s="7368"/>
      <c r="Y40" s="7368"/>
      <c r="Z40" s="7368"/>
      <c r="AA40" s="7368"/>
      <c r="AB40" s="7368"/>
      <c r="AC40" s="7369"/>
      <c r="AD40" s="7370"/>
      <c r="AE40" s="7368"/>
      <c r="AF40" s="7368"/>
      <c r="AG40" s="7368"/>
      <c r="AH40" s="7368"/>
      <c r="AI40" s="7369"/>
      <c r="AJ40" s="7370"/>
      <c r="AK40" s="7368"/>
      <c r="AL40" s="7368"/>
      <c r="AM40" s="7368"/>
      <c r="AN40" s="7368"/>
      <c r="AO40" s="7368"/>
      <c r="AP40" s="2757"/>
      <c r="BG40" s="3013"/>
      <c r="BH40" s="2595"/>
      <c r="BI40" s="2595"/>
      <c r="BJ40" s="2595"/>
      <c r="BK40" s="2595"/>
      <c r="BL40" s="2595"/>
      <c r="BM40" s="2595"/>
      <c r="BN40" s="2595"/>
      <c r="BO40" s="2595"/>
      <c r="BP40" s="2595"/>
    </row>
    <row r="41" spans="1:68" ht="14.25" customHeight="1">
      <c r="A41" s="2757"/>
      <c r="B41" s="7333">
        <v>16</v>
      </c>
      <c r="C41" s="7263"/>
      <c r="D41" s="3081" t="s">
        <v>674</v>
      </c>
      <c r="E41" s="2213"/>
      <c r="F41" s="2213"/>
      <c r="G41" s="2213"/>
      <c r="H41" s="2213"/>
      <c r="I41" s="2213"/>
      <c r="J41" s="2213"/>
      <c r="K41" s="2213"/>
      <c r="L41" s="2213"/>
      <c r="M41" s="2213"/>
      <c r="N41" s="2213"/>
      <c r="O41" s="2213"/>
      <c r="P41" s="2213"/>
      <c r="Q41" s="2213"/>
      <c r="R41" s="2213"/>
      <c r="S41" s="3489" t="s">
        <v>2126</v>
      </c>
      <c r="T41" s="7350">
        <v>16</v>
      </c>
      <c r="U41" s="7351"/>
      <c r="V41" s="7368"/>
      <c r="W41" s="7368"/>
      <c r="X41" s="7368"/>
      <c r="Y41" s="7368"/>
      <c r="Z41" s="7368"/>
      <c r="AA41" s="7368"/>
      <c r="AB41" s="7368"/>
      <c r="AC41" s="7369"/>
      <c r="AD41" s="7370"/>
      <c r="AE41" s="7368"/>
      <c r="AF41" s="7368"/>
      <c r="AG41" s="7368"/>
      <c r="AH41" s="7368"/>
      <c r="AI41" s="7369"/>
      <c r="AJ41" s="7370"/>
      <c r="AK41" s="7368"/>
      <c r="AL41" s="7368"/>
      <c r="AM41" s="7368"/>
      <c r="AN41" s="7368"/>
      <c r="AO41" s="7368"/>
      <c r="AP41" s="2757"/>
      <c r="BG41" s="3013"/>
      <c r="BH41" s="2595"/>
      <c r="BI41" s="2595"/>
      <c r="BJ41" s="2595"/>
      <c r="BK41" s="2595"/>
      <c r="BL41" s="2595"/>
      <c r="BM41" s="2595"/>
      <c r="BN41" s="2595"/>
      <c r="BO41" s="2595"/>
      <c r="BP41" s="2595"/>
    </row>
    <row r="42" spans="1:68" ht="14.25" customHeight="1">
      <c r="A42" s="2757"/>
      <c r="B42" s="7333">
        <v>17</v>
      </c>
      <c r="C42" s="7263"/>
      <c r="D42" s="3081" t="s">
        <v>675</v>
      </c>
      <c r="E42" s="2213"/>
      <c r="F42" s="2213"/>
      <c r="G42" s="2213"/>
      <c r="H42" s="2213"/>
      <c r="I42" s="2213"/>
      <c r="J42" s="2213"/>
      <c r="K42" s="2213"/>
      <c r="L42" s="2213"/>
      <c r="M42" s="2213"/>
      <c r="N42" s="2213"/>
      <c r="O42" s="2213"/>
      <c r="P42" s="2213"/>
      <c r="Q42" s="2213"/>
      <c r="R42" s="2213"/>
      <c r="S42" s="3489" t="s">
        <v>2126</v>
      </c>
      <c r="T42" s="7350">
        <v>17</v>
      </c>
      <c r="U42" s="7351"/>
      <c r="V42" s="7368"/>
      <c r="W42" s="7368"/>
      <c r="X42" s="7368"/>
      <c r="Y42" s="7368"/>
      <c r="Z42" s="7368"/>
      <c r="AA42" s="7368"/>
      <c r="AB42" s="7368"/>
      <c r="AC42" s="7369"/>
      <c r="AD42" s="7370"/>
      <c r="AE42" s="7368"/>
      <c r="AF42" s="7368"/>
      <c r="AG42" s="7368"/>
      <c r="AH42" s="7368"/>
      <c r="AI42" s="7369"/>
      <c r="AJ42" s="7370"/>
      <c r="AK42" s="7368"/>
      <c r="AL42" s="7368"/>
      <c r="AM42" s="7368"/>
      <c r="AN42" s="7368"/>
      <c r="AO42" s="7368"/>
      <c r="AP42" s="2757"/>
      <c r="AQ42" s="385"/>
      <c r="AR42" s="385"/>
      <c r="AS42" s="385"/>
      <c r="AT42" s="385"/>
      <c r="AU42" s="385"/>
      <c r="BG42" s="3013"/>
      <c r="BH42" s="2595"/>
      <c r="BI42" s="2595"/>
      <c r="BJ42" s="2595"/>
      <c r="BK42" s="2595"/>
      <c r="BL42" s="2595"/>
      <c r="BM42" s="2595"/>
      <c r="BN42" s="2595"/>
      <c r="BO42" s="2595"/>
      <c r="BP42" s="2595"/>
    </row>
    <row r="43" spans="1:68" ht="14.25" customHeight="1">
      <c r="A43" s="2757"/>
      <c r="B43" s="7333">
        <v>18</v>
      </c>
      <c r="C43" s="7263"/>
      <c r="D43" s="3081" t="s">
        <v>676</v>
      </c>
      <c r="E43" s="2213"/>
      <c r="F43" s="2213"/>
      <c r="G43" s="2213"/>
      <c r="H43" s="2213"/>
      <c r="I43" s="2213"/>
      <c r="J43" s="2213"/>
      <c r="K43" s="2213"/>
      <c r="L43" s="2213"/>
      <c r="M43" s="2213"/>
      <c r="N43" s="2213"/>
      <c r="O43" s="2213"/>
      <c r="P43" s="2213"/>
      <c r="Q43" s="2213"/>
      <c r="R43" s="2213"/>
      <c r="S43" s="3489" t="s">
        <v>629</v>
      </c>
      <c r="T43" s="7350">
        <v>18</v>
      </c>
      <c r="U43" s="7351"/>
      <c r="V43" s="7368"/>
      <c r="W43" s="7368"/>
      <c r="X43" s="7368"/>
      <c r="Y43" s="7368"/>
      <c r="Z43" s="7368"/>
      <c r="AA43" s="7368"/>
      <c r="AB43" s="7368"/>
      <c r="AC43" s="7369"/>
      <c r="AD43" s="7370"/>
      <c r="AE43" s="7368"/>
      <c r="AF43" s="7368"/>
      <c r="AG43" s="7368"/>
      <c r="AH43" s="7368"/>
      <c r="AI43" s="7369"/>
      <c r="AJ43" s="7370"/>
      <c r="AK43" s="7368"/>
      <c r="AL43" s="7368"/>
      <c r="AM43" s="7368"/>
      <c r="AN43" s="7368"/>
      <c r="AO43" s="7368"/>
      <c r="AP43" s="2757"/>
      <c r="AQ43" s="385"/>
      <c r="AR43" s="7191" t="s">
        <v>1842</v>
      </c>
      <c r="AS43" s="7371"/>
      <c r="AT43" s="7371"/>
      <c r="AU43" s="385"/>
      <c r="BG43" s="3013"/>
      <c r="BH43" s="2595"/>
      <c r="BI43" s="2595"/>
      <c r="BJ43" s="2595"/>
      <c r="BK43" s="2595"/>
      <c r="BL43" s="2595"/>
      <c r="BM43" s="2595"/>
      <c r="BN43" s="2595"/>
      <c r="BO43" s="2595"/>
      <c r="BP43" s="2595"/>
    </row>
    <row r="44" spans="1:68" ht="14.25" customHeight="1">
      <c r="A44" s="2757"/>
      <c r="B44" s="7333">
        <v>19</v>
      </c>
      <c r="C44" s="7263"/>
      <c r="D44" s="3081" t="s">
        <v>2344</v>
      </c>
      <c r="E44" s="2213"/>
      <c r="F44" s="2213"/>
      <c r="G44" s="2213"/>
      <c r="H44" s="7372"/>
      <c r="I44" s="7372"/>
      <c r="J44" s="7372"/>
      <c r="K44" s="7372"/>
      <c r="L44" s="7372"/>
      <c r="M44" s="7372"/>
      <c r="N44" s="7372"/>
      <c r="O44" s="7372"/>
      <c r="P44" s="7372"/>
      <c r="Q44" s="7372"/>
      <c r="R44" s="7372"/>
      <c r="S44" s="2951"/>
      <c r="T44" s="7350">
        <v>19</v>
      </c>
      <c r="U44" s="7351"/>
      <c r="V44" s="7368"/>
      <c r="W44" s="7368"/>
      <c r="X44" s="7368"/>
      <c r="Y44" s="7368"/>
      <c r="Z44" s="7368"/>
      <c r="AA44" s="7368"/>
      <c r="AB44" s="7368"/>
      <c r="AC44" s="7369"/>
      <c r="AD44" s="7370"/>
      <c r="AE44" s="7368"/>
      <c r="AF44" s="7368"/>
      <c r="AG44" s="7368"/>
      <c r="AH44" s="7368"/>
      <c r="AI44" s="7369"/>
      <c r="AJ44" s="7370"/>
      <c r="AK44" s="7368"/>
      <c r="AL44" s="7368"/>
      <c r="AM44" s="7368"/>
      <c r="AN44" s="7368"/>
      <c r="AO44" s="7368"/>
      <c r="AP44" s="2757"/>
      <c r="AQ44" s="385"/>
      <c r="AR44" s="385"/>
      <c r="AS44" s="385"/>
      <c r="AT44" s="385"/>
      <c r="AU44" s="385"/>
      <c r="BG44" s="3013"/>
      <c r="BH44" s="2595"/>
      <c r="BI44" s="2595"/>
      <c r="BJ44" s="2595"/>
      <c r="BK44" s="2595"/>
      <c r="BL44" s="2595"/>
      <c r="BM44" s="2595"/>
      <c r="BN44" s="2595"/>
      <c r="BO44" s="2595"/>
      <c r="BP44" s="2595"/>
    </row>
    <row r="45" spans="1:68" ht="14.25" customHeight="1">
      <c r="A45" s="2757"/>
      <c r="B45" s="7333">
        <v>20</v>
      </c>
      <c r="C45" s="7263"/>
      <c r="D45" s="3081" t="s">
        <v>687</v>
      </c>
      <c r="E45" s="2213"/>
      <c r="F45" s="2213"/>
      <c r="G45" s="2213"/>
      <c r="H45" s="2213"/>
      <c r="I45" s="2213"/>
      <c r="J45" s="2213"/>
      <c r="K45" s="2213"/>
      <c r="L45" s="2213"/>
      <c r="M45" s="2213"/>
      <c r="N45" s="2213"/>
      <c r="O45" s="2213"/>
      <c r="P45" s="2213"/>
      <c r="Q45" s="2213"/>
      <c r="R45" s="2213"/>
      <c r="S45" s="3489" t="s">
        <v>573</v>
      </c>
      <c r="T45" s="7350">
        <v>20</v>
      </c>
      <c r="U45" s="7351"/>
      <c r="V45" s="7348">
        <f>IF(AR45&lt;&gt;"",ROUND(AR45,0),ROUND(SUM(V30:AC44),0))</f>
        <v>0</v>
      </c>
      <c r="W45" s="7348"/>
      <c r="X45" s="7348"/>
      <c r="Y45" s="7348"/>
      <c r="Z45" s="7348"/>
      <c r="AA45" s="7348"/>
      <c r="AB45" s="7348"/>
      <c r="AC45" s="7349"/>
      <c r="AD45" s="7347">
        <f>IF(AS45&lt;&gt;"",ROUND(AS45,0),ROUND(SUM(AD30:AI44),0))</f>
        <v>0</v>
      </c>
      <c r="AE45" s="7348"/>
      <c r="AF45" s="7348"/>
      <c r="AG45" s="7348"/>
      <c r="AH45" s="7348"/>
      <c r="AI45" s="7349"/>
      <c r="AJ45" s="7362">
        <f>IF(AT45&lt;&gt;"",ROUND(AT45,0),ROUND(SUM(AJ30:AO44),0))</f>
        <v>0</v>
      </c>
      <c r="AK45" s="7336"/>
      <c r="AL45" s="7336"/>
      <c r="AM45" s="7336"/>
      <c r="AN45" s="7336"/>
      <c r="AO45" s="7336"/>
      <c r="AP45" s="2757"/>
      <c r="AQ45" s="385"/>
      <c r="AR45" s="3148"/>
      <c r="AS45" s="3148"/>
      <c r="AT45" s="3148"/>
      <c r="AU45" s="385"/>
      <c r="BG45" s="3013"/>
      <c r="BH45" s="2595"/>
      <c r="BI45" s="2595"/>
      <c r="BJ45" s="2595"/>
      <c r="BK45" s="2595"/>
      <c r="BL45" s="2595"/>
      <c r="BM45" s="2595"/>
      <c r="BN45" s="2595"/>
      <c r="BO45" s="2595"/>
      <c r="BP45" s="2595"/>
    </row>
    <row r="46" spans="1:68" ht="14.25" customHeight="1">
      <c r="A46" s="2757"/>
      <c r="B46" s="7333">
        <v>21</v>
      </c>
      <c r="C46" s="7263"/>
      <c r="D46" s="3081" t="s">
        <v>2758</v>
      </c>
      <c r="E46" s="2213"/>
      <c r="F46" s="2213"/>
      <c r="G46" s="2213"/>
      <c r="H46" s="2213"/>
      <c r="I46" s="2213"/>
      <c r="J46" s="2213"/>
      <c r="K46" s="2213"/>
      <c r="L46" s="2213"/>
      <c r="M46" s="2213"/>
      <c r="N46" s="2213"/>
      <c r="O46" s="2213"/>
      <c r="P46" s="2213"/>
      <c r="Q46" s="2213"/>
      <c r="R46" s="2213"/>
      <c r="S46" s="2951"/>
      <c r="T46" s="7363"/>
      <c r="U46" s="7364"/>
      <c r="V46" s="7365"/>
      <c r="W46" s="7366"/>
      <c r="X46" s="7366"/>
      <c r="Y46" s="7366"/>
      <c r="Z46" s="7366"/>
      <c r="AA46" s="7366"/>
      <c r="AB46" s="7366"/>
      <c r="AC46" s="7367"/>
      <c r="AD46" s="7365"/>
      <c r="AE46" s="7366"/>
      <c r="AF46" s="7366"/>
      <c r="AG46" s="7366"/>
      <c r="AH46" s="7366"/>
      <c r="AI46" s="7367"/>
      <c r="AJ46" s="7365"/>
      <c r="AK46" s="7366"/>
      <c r="AL46" s="7366"/>
      <c r="AM46" s="7366"/>
      <c r="AN46" s="7366"/>
      <c r="AO46" s="7366"/>
      <c r="AP46" s="2757"/>
      <c r="AQ46" s="385"/>
      <c r="AR46" s="385"/>
      <c r="AS46" s="385"/>
      <c r="AT46" s="385"/>
      <c r="AU46" s="385"/>
      <c r="AX46" s="147"/>
      <c r="AY46" s="7360" t="s">
        <v>143</v>
      </c>
      <c r="AZ46" s="7361"/>
      <c r="BA46" s="7360" t="s">
        <v>288</v>
      </c>
      <c r="BB46" s="7361"/>
      <c r="BC46" s="7360" t="s">
        <v>144</v>
      </c>
      <c r="BD46" s="7361"/>
      <c r="BG46" s="3013"/>
      <c r="BH46" s="2595"/>
      <c r="BI46" s="2595"/>
      <c r="BJ46" s="2595"/>
      <c r="BK46" s="2595"/>
      <c r="BL46" s="2595"/>
      <c r="BM46" s="2595"/>
      <c r="BN46" s="2595"/>
      <c r="BO46" s="2595"/>
      <c r="BP46" s="2595"/>
    </row>
    <row r="47" spans="1:68" ht="14.25" customHeight="1">
      <c r="A47" s="2757"/>
      <c r="B47" s="7333"/>
      <c r="C47" s="7263"/>
      <c r="D47" s="3081" t="s">
        <v>2757</v>
      </c>
      <c r="E47" s="2213"/>
      <c r="F47" s="2213"/>
      <c r="G47" s="2213"/>
      <c r="H47" s="2213"/>
      <c r="I47" s="2213"/>
      <c r="J47" s="2213"/>
      <c r="K47" s="2213"/>
      <c r="L47" s="2213"/>
      <c r="M47" s="2213"/>
      <c r="N47" s="2213"/>
      <c r="O47" s="2213"/>
      <c r="P47" s="2213"/>
      <c r="Q47" s="2213"/>
      <c r="R47" s="2213"/>
      <c r="S47" s="2951"/>
      <c r="T47" s="7354"/>
      <c r="U47" s="7355"/>
      <c r="V47" s="7356"/>
      <c r="W47" s="7357"/>
      <c r="X47" s="7357"/>
      <c r="Y47" s="7357"/>
      <c r="Z47" s="7357"/>
      <c r="AA47" s="7357"/>
      <c r="AB47" s="7357"/>
      <c r="AC47" s="7358"/>
      <c r="AD47" s="7356"/>
      <c r="AE47" s="7357"/>
      <c r="AF47" s="7357"/>
      <c r="AG47" s="7357"/>
      <c r="AH47" s="7357"/>
      <c r="AI47" s="7358"/>
      <c r="AJ47" s="7356"/>
      <c r="AK47" s="7357"/>
      <c r="AL47" s="7357"/>
      <c r="AM47" s="7357"/>
      <c r="AN47" s="7357"/>
      <c r="AO47" s="7357"/>
      <c r="AP47" s="2757"/>
      <c r="AQ47" s="385"/>
      <c r="AR47" s="385"/>
      <c r="AS47" s="385"/>
      <c r="AT47" s="385"/>
      <c r="AU47" s="385"/>
      <c r="AX47" s="147"/>
      <c r="AY47" s="1142" t="s">
        <v>699</v>
      </c>
      <c r="AZ47" s="1142" t="s">
        <v>700</v>
      </c>
      <c r="BA47" s="1142" t="s">
        <v>699</v>
      </c>
      <c r="BB47" s="1142" t="s">
        <v>700</v>
      </c>
      <c r="BC47" s="1142" t="s">
        <v>699</v>
      </c>
      <c r="BD47" s="1142" t="s">
        <v>700</v>
      </c>
      <c r="BG47" s="3013"/>
      <c r="BH47" s="2595"/>
      <c r="BI47" s="2595"/>
      <c r="BJ47" s="2595"/>
      <c r="BK47" s="2595"/>
      <c r="BL47" s="2595"/>
      <c r="BM47" s="2595"/>
      <c r="BN47" s="2595"/>
      <c r="BO47" s="2595"/>
      <c r="BP47" s="2595"/>
    </row>
    <row r="48" spans="1:68" ht="14.25" customHeight="1">
      <c r="A48" s="2757"/>
      <c r="B48" s="7333"/>
      <c r="C48" s="7263"/>
      <c r="D48" s="3081" t="s">
        <v>2756</v>
      </c>
      <c r="E48" s="2213"/>
      <c r="F48" s="2213"/>
      <c r="G48" s="2213"/>
      <c r="H48" s="2213"/>
      <c r="I48" s="2213"/>
      <c r="J48" s="2213"/>
      <c r="K48" s="2213"/>
      <c r="L48" s="2213"/>
      <c r="M48" s="2213"/>
      <c r="N48" s="2213"/>
      <c r="O48" s="2213"/>
      <c r="P48" s="2213"/>
      <c r="Q48" s="2213"/>
      <c r="R48" s="2213"/>
      <c r="S48" s="3489" t="s">
        <v>276</v>
      </c>
      <c r="T48" s="7350">
        <v>21</v>
      </c>
      <c r="U48" s="7351"/>
      <c r="V48" s="7347">
        <f>IF(AR48&lt;&gt;"",ROUND(AR48,0),ROUND(SUM(V27,V28,-V45),0))</f>
        <v>0</v>
      </c>
      <c r="W48" s="7348"/>
      <c r="X48" s="7348"/>
      <c r="Y48" s="7348"/>
      <c r="Z48" s="7348"/>
      <c r="AA48" s="7348"/>
      <c r="AB48" s="7348"/>
      <c r="AC48" s="7349"/>
      <c r="AD48" s="7347">
        <f>IF(AS48&lt;&gt;"",ROUND(AS48,0),ROUND(SUM(AD27,AD28,-AD45),0))</f>
        <v>0</v>
      </c>
      <c r="AE48" s="7348"/>
      <c r="AF48" s="7348"/>
      <c r="AG48" s="7348"/>
      <c r="AH48" s="7348"/>
      <c r="AI48" s="7349"/>
      <c r="AJ48" s="7347">
        <f>IF(AT48&lt;&gt;"",ROUND(AT48,0),ROUND(SUM(AJ27,AJ28,-AJ45),0))</f>
        <v>0</v>
      </c>
      <c r="AK48" s="7348"/>
      <c r="AL48" s="7348"/>
      <c r="AM48" s="7348"/>
      <c r="AN48" s="7348"/>
      <c r="AO48" s="7348"/>
      <c r="AP48" s="2757"/>
      <c r="AQ48" s="385"/>
      <c r="AR48" s="3148"/>
      <c r="AS48" s="3148"/>
      <c r="AT48" s="3148"/>
      <c r="AU48" s="385"/>
      <c r="AX48" s="1144" t="s">
        <v>702</v>
      </c>
      <c r="AY48" s="1141">
        <f>IF(V48&gt;0,V48,0)</f>
        <v>0</v>
      </c>
      <c r="AZ48" s="1141">
        <f>IF(V48&lt;0,V48,0)</f>
        <v>0</v>
      </c>
      <c r="BA48" s="1141">
        <f>IF(AD48&gt;0,AD48,0)</f>
        <v>0</v>
      </c>
      <c r="BB48" s="1141">
        <f>IF(AD48&lt;0,AD48,0)</f>
        <v>0</v>
      </c>
      <c r="BC48" s="1141">
        <f>IF(AJ48&gt;0,AJ48,0)</f>
        <v>0</v>
      </c>
      <c r="BD48" s="1141">
        <f>IF(AJ48&lt;0,AJ48,0)</f>
        <v>0</v>
      </c>
      <c r="BG48" s="3013"/>
      <c r="BH48" s="2595"/>
      <c r="BI48" s="2595"/>
      <c r="BJ48" s="2595"/>
      <c r="BK48" s="2595"/>
      <c r="BL48" s="2595"/>
      <c r="BM48" s="2595"/>
      <c r="BN48" s="2595"/>
      <c r="BO48" s="2595"/>
      <c r="BP48" s="2595"/>
    </row>
    <row r="49" spans="1:68" ht="14.25" customHeight="1">
      <c r="A49" s="2757"/>
      <c r="B49" s="7333">
        <v>22</v>
      </c>
      <c r="C49" s="7263"/>
      <c r="D49" s="3081" t="s">
        <v>2345</v>
      </c>
      <c r="E49" s="2213"/>
      <c r="F49" s="2213"/>
      <c r="G49" s="2213"/>
      <c r="H49" s="2213"/>
      <c r="I49" s="2213"/>
      <c r="J49" s="2213"/>
      <c r="K49" s="2213"/>
      <c r="L49" s="2213"/>
      <c r="M49" s="2213"/>
      <c r="N49" s="2213"/>
      <c r="O49" s="2213"/>
      <c r="P49" s="2213"/>
      <c r="Q49" s="2213"/>
      <c r="R49" s="2213"/>
      <c r="S49" s="2951"/>
      <c r="T49" s="7354"/>
      <c r="U49" s="7355"/>
      <c r="V49" s="7356"/>
      <c r="W49" s="7357"/>
      <c r="X49" s="7357"/>
      <c r="Y49" s="7357"/>
      <c r="Z49" s="7357"/>
      <c r="AA49" s="7357"/>
      <c r="AB49" s="7357"/>
      <c r="AC49" s="7358"/>
      <c r="AD49" s="7356"/>
      <c r="AE49" s="7357"/>
      <c r="AF49" s="7357"/>
      <c r="AG49" s="7357"/>
      <c r="AH49" s="7357"/>
      <c r="AI49" s="7358"/>
      <c r="AJ49" s="7356"/>
      <c r="AK49" s="7357"/>
      <c r="AL49" s="7357"/>
      <c r="AM49" s="7357"/>
      <c r="AN49" s="7357"/>
      <c r="AO49" s="7357"/>
      <c r="AP49" s="2757"/>
      <c r="AQ49" s="385"/>
      <c r="AR49" s="385"/>
      <c r="AS49" s="385"/>
      <c r="AT49" s="385"/>
      <c r="AU49" s="385"/>
      <c r="AX49" s="1144" t="s">
        <v>677</v>
      </c>
      <c r="AY49" s="1160" t="s">
        <v>709</v>
      </c>
      <c r="AZ49" s="1141">
        <f>IF(W50&lt;&gt;"",-W50,0)</f>
        <v>0</v>
      </c>
      <c r="BA49" s="1160" t="s">
        <v>709</v>
      </c>
      <c r="BB49" s="1141">
        <f>IF(AE50&lt;&gt;"",-AE50,0)</f>
        <v>0</v>
      </c>
      <c r="BC49" s="1160" t="s">
        <v>709</v>
      </c>
      <c r="BD49" s="1141">
        <f>IF(AK50&lt;&gt;"",-AK50,0)</f>
        <v>0</v>
      </c>
      <c r="BG49" s="3013"/>
      <c r="BH49" s="2595"/>
      <c r="BI49" s="2595"/>
      <c r="BJ49" s="2595"/>
      <c r="BK49" s="2595"/>
      <c r="BL49" s="2595"/>
      <c r="BM49" s="2595"/>
      <c r="BN49" s="2595"/>
      <c r="BO49" s="2595"/>
      <c r="BP49" s="2595"/>
    </row>
    <row r="50" spans="1:68" ht="14.25" customHeight="1">
      <c r="A50" s="2757"/>
      <c r="B50" s="7333"/>
      <c r="C50" s="7263"/>
      <c r="D50" s="3081" t="s">
        <v>2755</v>
      </c>
      <c r="E50" s="2213"/>
      <c r="F50" s="2213"/>
      <c r="G50" s="2213"/>
      <c r="H50" s="2213"/>
      <c r="I50" s="2213"/>
      <c r="J50" s="2213"/>
      <c r="K50" s="2213"/>
      <c r="L50" s="2213"/>
      <c r="M50" s="2213"/>
      <c r="N50" s="2213"/>
      <c r="O50" s="2213"/>
      <c r="P50" s="2213"/>
      <c r="Q50" s="2213"/>
      <c r="R50" s="2213"/>
      <c r="S50" s="3489" t="s">
        <v>629</v>
      </c>
      <c r="T50" s="7350">
        <v>22</v>
      </c>
      <c r="U50" s="7351"/>
      <c r="V50" s="3152" t="s">
        <v>916</v>
      </c>
      <c r="W50" s="7348" t="str">
        <f>IF(AND(AR50&lt;0,AR50&lt;&gt;""),-ROUND(AR50,0),IF(AND(AR50&gt;=0,AR50&lt;&gt;""),ROUND(AR50,0),IF(AND(D20&lt;&gt;6,V48&lt;0),ROUND(-V48,0),"")))</f>
        <v/>
      </c>
      <c r="X50" s="7359"/>
      <c r="Y50" s="7359"/>
      <c r="Z50" s="7359"/>
      <c r="AA50" s="7359"/>
      <c r="AB50" s="7359"/>
      <c r="AC50" s="3151" t="s">
        <v>917</v>
      </c>
      <c r="AD50" s="3152" t="s">
        <v>916</v>
      </c>
      <c r="AE50" s="7348" t="str">
        <f>IF(AND(AS50&lt;0,AS50&lt;&gt;""),-ROUND(AS50,0),IF(AND(AS50&gt;=0,AS50&lt;&gt;""),ROUND(AS50,0),IF(AND(D21&lt;&gt;6,AD48&lt;0),ROUND(-AD48,0),"")))</f>
        <v/>
      </c>
      <c r="AF50" s="7359"/>
      <c r="AG50" s="7359"/>
      <c r="AH50" s="7359"/>
      <c r="AI50" s="3151" t="s">
        <v>917</v>
      </c>
      <c r="AJ50" s="3152" t="s">
        <v>916</v>
      </c>
      <c r="AK50" s="7348" t="str">
        <f>IF(AND(AT50&lt;0,AT50&lt;&gt;""),-ROUND(AT50,0),IF(AND(AT50&gt;=0,AT50&lt;&gt;""),ROUND(AT50,0),IF(AND(D22&lt;&gt;6,AJ48&lt;0),ROUND(-AJ48,0),"")))</f>
        <v/>
      </c>
      <c r="AL50" s="7359"/>
      <c r="AM50" s="7359"/>
      <c r="AN50" s="7359"/>
      <c r="AO50" s="3150" t="s">
        <v>917</v>
      </c>
      <c r="AP50" s="2757"/>
      <c r="AQ50" s="385"/>
      <c r="AR50" s="3148"/>
      <c r="AS50" s="3148"/>
      <c r="AT50" s="3148"/>
      <c r="AU50" s="385"/>
      <c r="AX50" s="1144"/>
      <c r="AY50" s="1143" t="s">
        <v>701</v>
      </c>
      <c r="AZ50" s="1141">
        <f>IF(D20=6,AZ48,0)</f>
        <v>0</v>
      </c>
      <c r="BA50"/>
      <c r="BB50" s="1141">
        <f>IF(D21=6,BB48,0)</f>
        <v>0</v>
      </c>
      <c r="BC50"/>
      <c r="BD50" s="1141">
        <f>IF(D22=6,BD48,0)</f>
        <v>0</v>
      </c>
      <c r="BG50" s="3013"/>
      <c r="BH50" s="2595"/>
      <c r="BI50" s="2595"/>
      <c r="BJ50" s="2595"/>
      <c r="BK50" s="2595"/>
      <c r="BL50" s="2595"/>
      <c r="BM50" s="2595"/>
      <c r="BN50" s="2595"/>
      <c r="BO50" s="2595"/>
      <c r="BP50" s="2595"/>
    </row>
    <row r="51" spans="1:68" ht="14.25" customHeight="1">
      <c r="A51" s="2757"/>
      <c r="B51" s="7333" t="s">
        <v>688</v>
      </c>
      <c r="C51" s="7263"/>
      <c r="D51" s="3081" t="s">
        <v>748</v>
      </c>
      <c r="E51" s="2213"/>
      <c r="F51" s="2213"/>
      <c r="G51" s="2213"/>
      <c r="H51" s="2213"/>
      <c r="I51" s="2213"/>
      <c r="J51" s="2213"/>
      <c r="K51" s="2213"/>
      <c r="L51" s="2213"/>
      <c r="M51" s="2213"/>
      <c r="N51" s="2213"/>
      <c r="O51" s="2213"/>
      <c r="P51" s="2213"/>
      <c r="Q51" s="2213"/>
      <c r="R51" s="2213"/>
      <c r="S51" s="2213"/>
      <c r="T51" s="2213"/>
      <c r="U51" s="2213"/>
      <c r="V51" s="2213"/>
      <c r="W51" s="2213"/>
      <c r="X51" s="2213"/>
      <c r="Y51" s="2213"/>
      <c r="Z51" s="2213"/>
      <c r="AA51" s="3489" t="s">
        <v>529</v>
      </c>
      <c r="AB51" s="7334" t="s">
        <v>688</v>
      </c>
      <c r="AC51" s="7335"/>
      <c r="AD51" s="7347">
        <f>IF(AR51&lt;&gt;"",ROUND(AR51,0),ROUND(BC23,0))</f>
        <v>0</v>
      </c>
      <c r="AE51" s="7348"/>
      <c r="AF51" s="7348"/>
      <c r="AG51" s="7348"/>
      <c r="AH51" s="7348"/>
      <c r="AI51" s="7349"/>
      <c r="AJ51" s="2757"/>
      <c r="AK51" s="2757"/>
      <c r="AL51" s="2757"/>
      <c r="AM51" s="2757"/>
      <c r="AN51" s="2757"/>
      <c r="AO51" s="2757"/>
      <c r="AP51" s="2757"/>
      <c r="AQ51" s="385"/>
      <c r="AR51" s="3148"/>
      <c r="AS51" s="385"/>
      <c r="AT51" s="385"/>
      <c r="AU51" s="385"/>
      <c r="AX51" s="147"/>
      <c r="AY51" s="1143" t="s">
        <v>703</v>
      </c>
      <c r="AZ51" s="1141">
        <f>IF(D20&lt;&gt;6,AZ48,0)</f>
        <v>0</v>
      </c>
      <c r="BA51"/>
      <c r="BB51" s="1141">
        <f>IF(D21&lt;&gt;6,BB48,0)</f>
        <v>0</v>
      </c>
      <c r="BC51"/>
      <c r="BD51" s="1141">
        <f>IF(D22&lt;&gt;6,BD48,0)</f>
        <v>0</v>
      </c>
      <c r="BG51" s="3013"/>
      <c r="BH51" s="2595"/>
      <c r="BI51" s="2595"/>
      <c r="BJ51" s="2595"/>
      <c r="BK51" s="2595"/>
      <c r="BL51" s="2595"/>
      <c r="BM51" s="2595"/>
      <c r="BN51" s="2595"/>
      <c r="BO51" s="2595"/>
      <c r="BP51" s="2595"/>
    </row>
    <row r="52" spans="1:68" ht="14.25" customHeight="1">
      <c r="A52" s="2757"/>
      <c r="B52" s="7345" t="s">
        <v>47</v>
      </c>
      <c r="C52" s="7346"/>
      <c r="D52" s="3081" t="s">
        <v>690</v>
      </c>
      <c r="E52" s="2213"/>
      <c r="F52" s="2213"/>
      <c r="G52" s="2213"/>
      <c r="H52" s="2213"/>
      <c r="I52" s="2213"/>
      <c r="J52" s="2213"/>
      <c r="K52" s="2213"/>
      <c r="L52" s="2213"/>
      <c r="M52" s="2213"/>
      <c r="N52" s="2213"/>
      <c r="O52" s="2213"/>
      <c r="P52" s="2213"/>
      <c r="Q52" s="2213"/>
      <c r="R52" s="2213"/>
      <c r="S52" s="2213"/>
      <c r="T52" s="2213"/>
      <c r="U52" s="2213"/>
      <c r="V52" s="2213"/>
      <c r="W52" s="2213"/>
      <c r="X52" s="2213"/>
      <c r="Y52" s="2213"/>
      <c r="Z52" s="2213"/>
      <c r="AA52" s="3489" t="s">
        <v>573</v>
      </c>
      <c r="AB52" s="7334" t="s">
        <v>689</v>
      </c>
      <c r="AC52" s="7335"/>
      <c r="AD52" s="7347">
        <f>IF(AR52&lt;&gt;"",ROUND(AR52,0),ROUND(BC24,0))</f>
        <v>0</v>
      </c>
      <c r="AE52" s="7348"/>
      <c r="AF52" s="7348"/>
      <c r="AG52" s="7348"/>
      <c r="AH52" s="7348"/>
      <c r="AI52" s="7349"/>
      <c r="AJ52" s="2757"/>
      <c r="AK52" s="2757"/>
      <c r="AL52" s="2757"/>
      <c r="AM52" s="2757"/>
      <c r="AN52" s="2757"/>
      <c r="AO52" s="2757"/>
      <c r="AP52" s="2757"/>
      <c r="AQ52" s="385"/>
      <c r="AR52" s="3148"/>
      <c r="AS52" s="385"/>
      <c r="AT52" s="385"/>
      <c r="AU52" s="385"/>
      <c r="BG52" s="3013"/>
      <c r="BH52" s="2595"/>
      <c r="BI52" s="2595"/>
      <c r="BJ52" s="2595"/>
      <c r="BK52" s="2595"/>
      <c r="BL52" s="2595"/>
      <c r="BM52" s="2595"/>
      <c r="BN52" s="2595"/>
      <c r="BO52" s="2595"/>
      <c r="BP52" s="2595"/>
    </row>
    <row r="53" spans="1:68" ht="14.25" customHeight="1">
      <c r="A53" s="2757"/>
      <c r="B53" s="7345" t="s">
        <v>48</v>
      </c>
      <c r="C53" s="7346"/>
      <c r="D53" s="3081" t="s">
        <v>691</v>
      </c>
      <c r="E53" s="2213"/>
      <c r="F53" s="2213"/>
      <c r="G53" s="2213"/>
      <c r="H53" s="2213"/>
      <c r="I53" s="2213"/>
      <c r="J53" s="2213"/>
      <c r="K53" s="2213"/>
      <c r="L53" s="2213"/>
      <c r="M53" s="2213"/>
      <c r="N53" s="2213"/>
      <c r="O53" s="2213"/>
      <c r="P53" s="2213"/>
      <c r="Q53" s="2213"/>
      <c r="R53" s="2213"/>
      <c r="S53" s="2213"/>
      <c r="T53" s="2213"/>
      <c r="U53" s="2213"/>
      <c r="V53" s="2213"/>
      <c r="W53" s="2213"/>
      <c r="X53" s="2213"/>
      <c r="Y53" s="2213"/>
      <c r="Z53" s="2213"/>
      <c r="AA53" s="3489" t="s">
        <v>560</v>
      </c>
      <c r="AB53" s="7334" t="s">
        <v>694</v>
      </c>
      <c r="AC53" s="7335"/>
      <c r="AD53" s="7347">
        <f>IF(AR53&lt;&gt;"",ROUND(AR53,0),ROUND(SUM(V37,AD37,AJ37),0))</f>
        <v>0</v>
      </c>
      <c r="AE53" s="7348"/>
      <c r="AF53" s="7348"/>
      <c r="AG53" s="7348"/>
      <c r="AH53" s="7348"/>
      <c r="AI53" s="7349"/>
      <c r="AJ53" s="2757"/>
      <c r="AK53" s="2757"/>
      <c r="AL53" s="2757"/>
      <c r="AM53" s="2757"/>
      <c r="AN53" s="2757"/>
      <c r="AO53" s="2757"/>
      <c r="AP53" s="2757"/>
      <c r="AQ53" s="385"/>
      <c r="AR53" s="3148"/>
      <c r="AS53" s="385"/>
      <c r="AT53" s="385"/>
      <c r="AU53" s="385"/>
      <c r="BG53" s="3013"/>
      <c r="BH53" s="2595"/>
      <c r="BI53" s="2595"/>
      <c r="BJ53" s="2595"/>
      <c r="BK53" s="2595"/>
      <c r="BL53" s="2595"/>
      <c r="BM53" s="2595"/>
      <c r="BN53" s="2595"/>
      <c r="BO53" s="2595"/>
      <c r="BP53" s="2595"/>
    </row>
    <row r="54" spans="1:68" ht="14.25" customHeight="1">
      <c r="A54" s="2757"/>
      <c r="B54" s="7345" t="s">
        <v>92</v>
      </c>
      <c r="C54" s="7346"/>
      <c r="D54" s="3081" t="s">
        <v>692</v>
      </c>
      <c r="E54" s="2213"/>
      <c r="F54" s="2213"/>
      <c r="G54" s="2213"/>
      <c r="H54" s="2213"/>
      <c r="I54" s="2213"/>
      <c r="J54" s="2213"/>
      <c r="K54" s="2213"/>
      <c r="L54" s="2213"/>
      <c r="M54" s="2213"/>
      <c r="N54" s="2213"/>
      <c r="O54" s="2213"/>
      <c r="P54" s="2213"/>
      <c r="Q54" s="2213"/>
      <c r="R54" s="2213"/>
      <c r="S54" s="2213"/>
      <c r="T54" s="2213"/>
      <c r="U54" s="2213"/>
      <c r="V54" s="2213"/>
      <c r="W54" s="2213"/>
      <c r="X54" s="2213"/>
      <c r="Y54" s="2213"/>
      <c r="Z54" s="2213"/>
      <c r="AA54" s="3489" t="s">
        <v>560</v>
      </c>
      <c r="AB54" s="7334" t="s">
        <v>695</v>
      </c>
      <c r="AC54" s="7335"/>
      <c r="AD54" s="7347">
        <f>IF(AR54&lt;&gt;"",ROUND(AR54,0),ROUND(SUM(V43,AD43,AJ43),0))</f>
        <v>0</v>
      </c>
      <c r="AE54" s="7348"/>
      <c r="AF54" s="7348"/>
      <c r="AG54" s="7348"/>
      <c r="AH54" s="7348"/>
      <c r="AI54" s="7349"/>
      <c r="AJ54" s="2757"/>
      <c r="AK54" s="2757"/>
      <c r="AL54" s="2757"/>
      <c r="AM54" s="2757"/>
      <c r="AN54" s="2757"/>
      <c r="AO54" s="2757"/>
      <c r="AP54" s="2757"/>
      <c r="AQ54" s="385"/>
      <c r="AR54" s="3148"/>
      <c r="AS54" s="385"/>
      <c r="AT54" s="385"/>
      <c r="AU54" s="385"/>
      <c r="BG54" s="3013"/>
      <c r="BH54" s="2595"/>
      <c r="BI54" s="2595"/>
      <c r="BJ54" s="2595"/>
      <c r="BK54" s="2595"/>
      <c r="BL54" s="2595"/>
      <c r="BM54" s="2595"/>
      <c r="BN54" s="2595"/>
      <c r="BO54" s="2595"/>
      <c r="BP54" s="2595"/>
    </row>
    <row r="55" spans="1:68" ht="14.25" customHeight="1">
      <c r="A55" s="2757"/>
      <c r="B55" s="7345" t="s">
        <v>964</v>
      </c>
      <c r="C55" s="7346"/>
      <c r="D55" s="3081" t="s">
        <v>693</v>
      </c>
      <c r="E55" s="2213"/>
      <c r="F55" s="2213"/>
      <c r="G55" s="2213"/>
      <c r="H55" s="2213"/>
      <c r="I55" s="2213"/>
      <c r="J55" s="2213"/>
      <c r="K55" s="2213"/>
      <c r="L55" s="2213"/>
      <c r="M55" s="2213"/>
      <c r="N55" s="2213"/>
      <c r="O55" s="2213"/>
      <c r="P55" s="2213"/>
      <c r="Q55" s="2213"/>
      <c r="R55" s="2213"/>
      <c r="S55" s="2213"/>
      <c r="T55" s="2213"/>
      <c r="U55" s="2213"/>
      <c r="V55" s="2213"/>
      <c r="W55" s="2213"/>
      <c r="X55" s="2213"/>
      <c r="Y55" s="2213"/>
      <c r="Z55" s="2213"/>
      <c r="AA55" s="3489" t="s">
        <v>560</v>
      </c>
      <c r="AB55" s="7334" t="s">
        <v>696</v>
      </c>
      <c r="AC55" s="7335"/>
      <c r="AD55" s="7347">
        <f>IF(AR55&lt;&gt;"",ROUND(AR55,0),ROUND(SUM(V45,AD45,AJ45),0))</f>
        <v>0</v>
      </c>
      <c r="AE55" s="7348"/>
      <c r="AF55" s="7348"/>
      <c r="AG55" s="7348"/>
      <c r="AH55" s="7348"/>
      <c r="AI55" s="7349"/>
      <c r="AJ55" s="2757"/>
      <c r="AK55" s="2757"/>
      <c r="AL55" s="2757"/>
      <c r="AM55" s="2757"/>
      <c r="AN55" s="2757"/>
      <c r="AO55" s="2757"/>
      <c r="AP55" s="2757"/>
      <c r="AQ55" s="385"/>
      <c r="AR55" s="3148"/>
      <c r="AS55" s="385"/>
      <c r="AT55" s="385"/>
      <c r="AU55" s="385"/>
      <c r="BG55" s="3013"/>
      <c r="BH55" s="2595"/>
      <c r="BI55" s="2595"/>
      <c r="BJ55" s="2595"/>
      <c r="BK55" s="2595"/>
      <c r="BL55" s="2595"/>
      <c r="BM55" s="2595"/>
      <c r="BN55" s="2595"/>
      <c r="BO55" s="2595"/>
      <c r="BP55" s="2595"/>
    </row>
    <row r="56" spans="1:68" ht="14.25" customHeight="1">
      <c r="A56" s="2757"/>
      <c r="B56" s="7333">
        <v>24</v>
      </c>
      <c r="C56" s="7263"/>
      <c r="D56" s="3081" t="s">
        <v>2346</v>
      </c>
      <c r="E56" s="2213"/>
      <c r="F56" s="2213"/>
      <c r="G56" s="2213"/>
      <c r="H56" s="2213"/>
      <c r="I56" s="2213"/>
      <c r="J56" s="2213"/>
      <c r="K56" s="2213"/>
      <c r="L56" s="2213"/>
      <c r="M56" s="2213"/>
      <c r="N56" s="2213"/>
      <c r="O56" s="2213"/>
      <c r="P56" s="2213"/>
      <c r="Q56" s="2213"/>
      <c r="R56" s="2213"/>
      <c r="S56" s="2213"/>
      <c r="T56" s="2213"/>
      <c r="U56" s="2213"/>
      <c r="V56" s="2213"/>
      <c r="W56" s="2213"/>
      <c r="X56" s="2213"/>
      <c r="Y56" s="2213"/>
      <c r="Z56" s="2213"/>
      <c r="AA56" s="2213"/>
      <c r="AB56" s="2213"/>
      <c r="AC56" s="2213"/>
      <c r="AD56" s="2213"/>
      <c r="AE56" s="2213"/>
      <c r="AF56" s="2213"/>
      <c r="AG56" s="3489" t="s">
        <v>698</v>
      </c>
      <c r="AH56" s="7350">
        <v>24</v>
      </c>
      <c r="AI56" s="7351"/>
      <c r="AJ56" s="7352">
        <f>IF(AR56&lt;&gt;"",ROUND(AR56,0),ROUND(SUM(AY48,BA48,BC48),0))</f>
        <v>0</v>
      </c>
      <c r="AK56" s="7353"/>
      <c r="AL56" s="7353"/>
      <c r="AM56" s="7353"/>
      <c r="AN56" s="7353"/>
      <c r="AO56" s="7353"/>
      <c r="AP56" s="2757"/>
      <c r="AQ56" s="385"/>
      <c r="AR56" s="3148"/>
      <c r="AS56" s="385"/>
      <c r="AT56" s="385"/>
      <c r="AU56" s="385"/>
      <c r="BG56" s="3013"/>
      <c r="BH56" s="2595"/>
      <c r="BI56" s="2595"/>
      <c r="BJ56" s="2595"/>
      <c r="BK56" s="2595"/>
      <c r="BL56" s="2595"/>
      <c r="BM56" s="2595"/>
      <c r="BN56" s="2595"/>
      <c r="BO56" s="2595"/>
      <c r="BP56" s="2595"/>
    </row>
    <row r="57" spans="1:68" ht="14.25" customHeight="1">
      <c r="A57" s="2757"/>
      <c r="B57" s="7333">
        <v>25</v>
      </c>
      <c r="C57" s="7263"/>
      <c r="D57" s="3104" t="s">
        <v>2347</v>
      </c>
      <c r="E57" s="2213"/>
      <c r="F57" s="2213"/>
      <c r="G57" s="2213"/>
      <c r="H57" s="2213"/>
      <c r="I57" s="2213"/>
      <c r="J57" s="2213"/>
      <c r="K57" s="2213"/>
      <c r="L57" s="2213"/>
      <c r="M57" s="2213"/>
      <c r="N57" s="2213"/>
      <c r="O57" s="2213"/>
      <c r="P57" s="2213"/>
      <c r="Q57" s="2213"/>
      <c r="R57" s="2213"/>
      <c r="S57" s="2213"/>
      <c r="T57" s="2213"/>
      <c r="U57" s="2213"/>
      <c r="V57" s="2213"/>
      <c r="W57" s="2213"/>
      <c r="X57" s="2213"/>
      <c r="Y57" s="2213"/>
      <c r="Z57" s="2213"/>
      <c r="AA57" s="2213"/>
      <c r="AB57" s="2213"/>
      <c r="AC57" s="2213"/>
      <c r="AD57" s="2213"/>
      <c r="AE57" s="2213"/>
      <c r="AF57" s="2213"/>
      <c r="AG57" s="2213"/>
      <c r="AH57" s="7334">
        <v>25</v>
      </c>
      <c r="AI57" s="7335"/>
      <c r="AJ57" s="3153" t="s">
        <v>916</v>
      </c>
      <c r="AK57" s="7336">
        <f>-AK58</f>
        <v>0</v>
      </c>
      <c r="AL57" s="7337"/>
      <c r="AM57" s="7337"/>
      <c r="AN57" s="7337"/>
      <c r="AO57" s="3154" t="s">
        <v>917</v>
      </c>
      <c r="AP57" s="2757"/>
      <c r="AQ57" s="385"/>
      <c r="AR57" s="3148"/>
      <c r="AS57" s="385"/>
      <c r="AT57" s="385"/>
      <c r="AU57" s="385"/>
      <c r="BG57" s="3013"/>
      <c r="BH57" s="2595"/>
      <c r="BI57" s="2595"/>
      <c r="BJ57" s="2595"/>
      <c r="BK57" s="2595"/>
      <c r="BL57" s="2595"/>
      <c r="BM57" s="2595"/>
      <c r="BN57" s="2595"/>
      <c r="BO57" s="2595"/>
      <c r="BP57" s="2595"/>
    </row>
    <row r="58" spans="1:68" ht="14.25" customHeight="1">
      <c r="A58" s="2757"/>
      <c r="B58" s="7333">
        <v>26</v>
      </c>
      <c r="C58" s="7263"/>
      <c r="D58" s="3081" t="s">
        <v>2759</v>
      </c>
      <c r="E58" s="2213"/>
      <c r="F58" s="2213"/>
      <c r="G58" s="2213"/>
      <c r="H58" s="2213"/>
      <c r="I58" s="2213"/>
      <c r="J58" s="2213"/>
      <c r="K58" s="2213"/>
      <c r="L58" s="2213"/>
      <c r="M58" s="2213"/>
      <c r="N58" s="2213"/>
      <c r="O58" s="2213"/>
      <c r="P58" s="2213"/>
      <c r="Q58" s="2213"/>
      <c r="R58" s="2213"/>
      <c r="S58" s="2213"/>
      <c r="T58" s="2974"/>
      <c r="U58" s="3102"/>
      <c r="V58" s="3103"/>
      <c r="W58" s="3103"/>
      <c r="X58" s="3103"/>
      <c r="Y58" s="3103"/>
      <c r="Z58" s="3103"/>
      <c r="AA58" s="3103"/>
      <c r="AB58" s="3103"/>
      <c r="AC58" s="3103"/>
      <c r="AD58" s="3103"/>
      <c r="AE58" s="3103"/>
      <c r="AF58" s="3103"/>
      <c r="AG58" s="3103"/>
      <c r="AH58" s="3105"/>
      <c r="AI58" s="3106"/>
      <c r="AJ58" s="3103"/>
      <c r="AK58" s="7344">
        <f>IF(AND(AR57&lt;&gt;"",AR57&gt;=0),-ROUND(AR57,0),IF(AND(AR57&lt;&gt;"",AR57&lt;0),ROUND(AR57,0),SUM(AZ49,AZ50,BB49,BB50,BD49,BD50)))</f>
        <v>0</v>
      </c>
      <c r="AL58" s="7344"/>
      <c r="AM58" s="7344"/>
      <c r="AN58" s="7344"/>
      <c r="AO58" s="3103"/>
      <c r="AP58" s="2757"/>
      <c r="AQ58" s="385"/>
      <c r="AR58" s="385"/>
      <c r="AS58" s="385"/>
      <c r="AT58" s="385"/>
      <c r="AU58" s="385"/>
      <c r="BG58" s="3013"/>
      <c r="BH58" s="2595"/>
      <c r="BI58" s="2595"/>
      <c r="BJ58" s="2595"/>
      <c r="BK58" s="2595"/>
      <c r="BL58" s="2595"/>
      <c r="BM58" s="2595"/>
      <c r="BN58" s="2595"/>
      <c r="BO58" s="2595"/>
      <c r="BP58" s="2595"/>
    </row>
    <row r="59" spans="1:68" ht="14.25" customHeight="1">
      <c r="A59" s="2757"/>
      <c r="B59" s="7333"/>
      <c r="C59" s="7263"/>
      <c r="D59" s="3081" t="s">
        <v>2348</v>
      </c>
      <c r="E59" s="2213"/>
      <c r="F59" s="2213"/>
      <c r="G59" s="2213"/>
      <c r="H59" s="2213"/>
      <c r="I59" s="2213"/>
      <c r="J59" s="2213"/>
      <c r="K59" s="2213"/>
      <c r="L59" s="2213"/>
      <c r="M59" s="2213"/>
      <c r="N59" s="2213"/>
      <c r="O59" s="2213"/>
      <c r="P59" s="2213"/>
      <c r="Q59" s="2213"/>
      <c r="R59" s="2213"/>
      <c r="S59" s="2213"/>
      <c r="T59" s="2974"/>
      <c r="U59" s="3102"/>
      <c r="V59" s="3103"/>
      <c r="W59" s="3103"/>
      <c r="X59" s="3103"/>
      <c r="Y59" s="3103"/>
      <c r="Z59" s="3103"/>
      <c r="AA59" s="3103"/>
      <c r="AB59" s="3103"/>
      <c r="AC59" s="3103"/>
      <c r="AD59" s="3103"/>
      <c r="AE59" s="3103"/>
      <c r="AF59" s="3103"/>
      <c r="AG59" s="3103"/>
      <c r="AH59" s="3107"/>
      <c r="AI59" s="3108"/>
      <c r="AJ59" s="3103"/>
      <c r="AK59" s="3103"/>
      <c r="AL59" s="3103"/>
      <c r="AM59" s="3103"/>
      <c r="AN59" s="3103"/>
      <c r="AO59" s="3103"/>
      <c r="AP59" s="2757"/>
      <c r="AQ59" s="385"/>
      <c r="AR59" s="385"/>
      <c r="AS59" s="385"/>
      <c r="AT59" s="385"/>
      <c r="AU59" s="385"/>
      <c r="BG59" s="3013"/>
      <c r="BH59" s="2595"/>
      <c r="BI59" s="2595"/>
      <c r="BJ59" s="2595"/>
      <c r="BK59" s="2595"/>
      <c r="BL59" s="2595"/>
      <c r="BM59" s="2595"/>
      <c r="BN59" s="2595"/>
      <c r="BO59" s="2595"/>
      <c r="BP59" s="2595"/>
    </row>
    <row r="60" spans="1:68" ht="14.25" customHeight="1" thickBot="1">
      <c r="A60" s="2757"/>
      <c r="B60" s="3109"/>
      <c r="C60" s="3110"/>
      <c r="D60" s="4644" t="s">
        <v>4412</v>
      </c>
      <c r="E60" s="3111"/>
      <c r="F60" s="3111"/>
      <c r="G60" s="3111"/>
      <c r="H60" s="3111"/>
      <c r="I60" s="3111"/>
      <c r="J60" s="3111"/>
      <c r="K60" s="3111"/>
      <c r="L60" s="3111"/>
      <c r="M60" s="3111"/>
      <c r="N60" s="3111"/>
      <c r="O60" s="3111"/>
      <c r="P60" s="3111"/>
      <c r="Q60" s="3111"/>
      <c r="R60" s="3111"/>
      <c r="S60" s="3111"/>
      <c r="T60" s="3111"/>
      <c r="U60" s="3111"/>
      <c r="V60" s="3111"/>
      <c r="W60" s="3111"/>
      <c r="X60" s="3111"/>
      <c r="Y60" s="3111"/>
      <c r="Z60" s="3111"/>
      <c r="AA60" s="3111"/>
      <c r="AB60" s="3112"/>
      <c r="AC60" s="3113"/>
      <c r="AD60" s="3114"/>
      <c r="AE60" s="3114"/>
      <c r="AF60" s="3114"/>
      <c r="AG60" s="3491" t="s">
        <v>1037</v>
      </c>
      <c r="AH60" s="7338">
        <v>26</v>
      </c>
      <c r="AI60" s="7339"/>
      <c r="AJ60" s="7340">
        <f>IF(AR60&lt;&gt;"",ROUND(AR60,0),SUM(AJ56,AK58))</f>
        <v>0</v>
      </c>
      <c r="AK60" s="7341"/>
      <c r="AL60" s="7341"/>
      <c r="AM60" s="7341"/>
      <c r="AN60" s="7341"/>
      <c r="AO60" s="7341"/>
      <c r="AP60" s="2757"/>
      <c r="AQ60" s="385"/>
      <c r="AR60" s="3141"/>
      <c r="AS60" s="385"/>
      <c r="AT60" s="385"/>
      <c r="AU60" s="385"/>
      <c r="BG60" s="3013"/>
      <c r="BH60" s="2595"/>
      <c r="BI60" s="2595"/>
      <c r="BJ60" s="2595"/>
      <c r="BK60" s="2595"/>
      <c r="BL60" s="2595"/>
      <c r="BM60" s="2595"/>
      <c r="BN60" s="2595"/>
      <c r="BO60" s="2595"/>
      <c r="BP60" s="2595"/>
    </row>
    <row r="61" spans="1:68" ht="14.25" customHeight="1">
      <c r="A61" s="2757"/>
      <c r="B61" s="3074" t="s">
        <v>1045</v>
      </c>
      <c r="C61" s="3101"/>
      <c r="D61" s="3081"/>
      <c r="E61" s="2213"/>
      <c r="F61" s="2213"/>
      <c r="G61" s="2213"/>
      <c r="H61" s="2213"/>
      <c r="I61" s="2213"/>
      <c r="J61" s="2213"/>
      <c r="K61" s="2213"/>
      <c r="L61" s="2213"/>
      <c r="M61" s="2213"/>
      <c r="N61" s="2213"/>
      <c r="O61" s="2213"/>
      <c r="P61" s="2213"/>
      <c r="Q61" s="2213"/>
      <c r="R61" s="2213"/>
      <c r="S61" s="2213"/>
      <c r="T61" s="2213"/>
      <c r="U61" s="2213"/>
      <c r="V61" s="2213"/>
      <c r="W61" s="2213"/>
      <c r="X61" s="2213"/>
      <c r="Y61" s="2213" t="s">
        <v>678</v>
      </c>
      <c r="Z61" s="2213"/>
      <c r="AA61" s="2213"/>
      <c r="AB61" s="2974"/>
      <c r="AC61" s="3102"/>
      <c r="AD61" s="3103"/>
      <c r="AE61" s="3103"/>
      <c r="AF61" s="3103"/>
      <c r="AG61" s="3103"/>
      <c r="AH61" s="3103"/>
      <c r="AI61" s="3103"/>
      <c r="AJ61" s="1179"/>
      <c r="AK61" s="1179"/>
      <c r="AL61" s="1179"/>
      <c r="AM61" s="1179"/>
      <c r="AN61" s="1179"/>
      <c r="AO61" s="1560" t="str">
        <f>"Schedule E (Form 1040) "&amp;TaxYear</f>
        <v>Schedule E (Form 1040) 2021</v>
      </c>
      <c r="AP61" s="2757"/>
      <c r="AQ61" s="385"/>
      <c r="AR61" s="385"/>
      <c r="AS61" s="385"/>
      <c r="AT61" s="385"/>
      <c r="AU61" s="385"/>
      <c r="BG61" s="3013"/>
      <c r="BH61" s="2595"/>
      <c r="BI61" s="2595"/>
      <c r="BJ61" s="2595"/>
      <c r="BK61" s="2595"/>
      <c r="BL61" s="2595"/>
      <c r="BM61" s="2595"/>
      <c r="BN61" s="2595"/>
      <c r="BO61" s="2595"/>
      <c r="BP61" s="2595"/>
    </row>
    <row r="62" spans="1:68" ht="21" customHeight="1">
      <c r="A62" s="2757"/>
      <c r="B62" s="2782" t="str">
        <f>"Schedule E (Form 1040) "&amp;TaxYear</f>
        <v>Schedule E (Form 1040) 2021</v>
      </c>
      <c r="C62" s="1553"/>
      <c r="D62" s="1553"/>
      <c r="E62" s="1553"/>
      <c r="F62" s="1553"/>
      <c r="G62" s="1553"/>
      <c r="H62" s="1553"/>
      <c r="I62" s="3134"/>
      <c r="J62" s="1553"/>
      <c r="K62" s="1553"/>
      <c r="L62" s="1553"/>
      <c r="M62" s="1553"/>
      <c r="N62" s="1553"/>
      <c r="O62" s="1553"/>
      <c r="P62" s="3135"/>
      <c r="Q62" s="1553"/>
      <c r="R62" s="1553"/>
      <c r="S62" s="1553"/>
      <c r="T62" s="1553"/>
      <c r="U62" s="1553"/>
      <c r="V62" s="1553"/>
      <c r="W62" s="1553"/>
      <c r="X62" s="1553"/>
      <c r="Y62" s="1553"/>
      <c r="Z62" s="1553"/>
      <c r="AA62" s="2782" t="s">
        <v>473</v>
      </c>
      <c r="AB62" s="1553"/>
      <c r="AC62" s="1553"/>
      <c r="AD62" s="1553"/>
      <c r="AE62" s="1553"/>
      <c r="AF62" s="1553"/>
      <c r="AG62" s="7440">
        <v>13</v>
      </c>
      <c r="AH62" s="7440"/>
      <c r="AI62" s="1553"/>
      <c r="AJ62" s="1553"/>
      <c r="AK62" s="1553"/>
      <c r="AL62" s="1553"/>
      <c r="AM62" s="1553"/>
      <c r="AN62" s="1553"/>
      <c r="AO62" s="3120" t="s">
        <v>160</v>
      </c>
      <c r="AP62" s="2757"/>
      <c r="BG62" s="3013"/>
      <c r="BH62" s="2595"/>
      <c r="BI62" s="2595"/>
      <c r="BJ62" s="2595"/>
      <c r="BK62" s="2595"/>
      <c r="BL62" s="2595"/>
      <c r="BM62" s="2595"/>
      <c r="BN62" s="2595"/>
      <c r="BO62" s="2595"/>
      <c r="BP62" s="2595"/>
    </row>
    <row r="63" spans="1:68" ht="12.75" customHeight="1">
      <c r="A63" s="2757"/>
      <c r="B63" s="1262" t="s">
        <v>3266</v>
      </c>
      <c r="C63" s="1262"/>
      <c r="D63" s="1262"/>
      <c r="E63" s="1262"/>
      <c r="F63" s="1262"/>
      <c r="G63" s="1262"/>
      <c r="H63" s="1262" t="s">
        <v>3267</v>
      </c>
      <c r="I63" s="1262"/>
      <c r="J63" s="1179"/>
      <c r="K63" s="1179"/>
      <c r="L63" s="1179"/>
      <c r="M63" s="1179"/>
      <c r="N63" s="1179"/>
      <c r="O63" s="1179"/>
      <c r="P63" s="1179"/>
      <c r="Q63" s="1179"/>
      <c r="R63" s="1179"/>
      <c r="S63" s="1179"/>
      <c r="T63" s="1179"/>
      <c r="U63" s="1179"/>
      <c r="V63" s="1179"/>
      <c r="W63" s="1179"/>
      <c r="X63" s="1179"/>
      <c r="Y63" s="1179"/>
      <c r="Z63" s="1179"/>
      <c r="AA63" s="1179"/>
      <c r="AB63" s="1179"/>
      <c r="AC63" s="1179"/>
      <c r="AD63" s="1179"/>
      <c r="AE63" s="1179"/>
      <c r="AF63" s="7342" t="s">
        <v>89</v>
      </c>
      <c r="AG63" s="7343"/>
      <c r="AH63" s="7343"/>
      <c r="AI63" s="7343"/>
      <c r="AJ63" s="7343"/>
      <c r="AK63" s="7343"/>
      <c r="AL63" s="7343"/>
      <c r="AM63" s="7343"/>
      <c r="AN63" s="7343"/>
      <c r="AO63" s="7343"/>
      <c r="AP63" s="2757"/>
      <c r="AR63" s="1286" t="b">
        <f>OR(AND(AF64&lt;&gt;"",AF64=AG8),AND(B8&lt;&gt;"",B64&lt;&gt;""))</f>
        <v>0</v>
      </c>
      <c r="BG63" s="3013"/>
      <c r="BH63" s="2595"/>
      <c r="BI63" s="2595"/>
      <c r="BJ63" s="2595"/>
      <c r="BK63" s="2595"/>
      <c r="BL63" s="2595"/>
      <c r="BM63" s="2595"/>
      <c r="BN63" s="2595"/>
      <c r="BO63" s="2595"/>
      <c r="BP63" s="2595"/>
    </row>
    <row r="64" spans="1:68" ht="16.5" customHeight="1">
      <c r="A64" s="2757"/>
      <c r="B64" s="7321"/>
      <c r="C64" s="7321"/>
      <c r="D64" s="7321"/>
      <c r="E64" s="7321"/>
      <c r="F64" s="7321"/>
      <c r="G64" s="7321"/>
      <c r="H64" s="7321"/>
      <c r="I64" s="7321"/>
      <c r="J64" s="7321"/>
      <c r="K64" s="7321"/>
      <c r="L64" s="7321"/>
      <c r="M64" s="7321"/>
      <c r="N64" s="7321"/>
      <c r="O64" s="7321"/>
      <c r="P64" s="7321"/>
      <c r="Q64" s="7321"/>
      <c r="R64" s="7321"/>
      <c r="S64" s="7321"/>
      <c r="T64" s="7321"/>
      <c r="U64" s="7321"/>
      <c r="V64" s="7321"/>
      <c r="W64" s="7321"/>
      <c r="X64" s="7321"/>
      <c r="Y64" s="7321"/>
      <c r="Z64" s="7321"/>
      <c r="AA64" s="7321"/>
      <c r="AB64" s="7321"/>
      <c r="AC64" s="7321"/>
      <c r="AD64" s="7321"/>
      <c r="AE64" s="7322"/>
      <c r="AF64" s="6359"/>
      <c r="AG64" s="7323"/>
      <c r="AH64" s="7323"/>
      <c r="AI64" s="7323"/>
      <c r="AJ64" s="7323"/>
      <c r="AK64" s="7323"/>
      <c r="AL64" s="7323"/>
      <c r="AM64" s="7323"/>
      <c r="AN64" s="7323"/>
      <c r="AO64" s="7323"/>
      <c r="AP64" s="3023"/>
      <c r="AQ64" s="2528" t="str">
        <f>IF($AR63,"Hide emphasis.","")</f>
        <v/>
      </c>
      <c r="AR64" s="2528"/>
      <c r="BG64" s="3013"/>
      <c r="BH64" s="2595"/>
      <c r="BI64" s="2595"/>
      <c r="BJ64" s="2595"/>
      <c r="BK64" s="2595"/>
      <c r="BL64" s="2595"/>
      <c r="BM64" s="2595"/>
      <c r="BN64" s="2595"/>
      <c r="BO64" s="2595"/>
      <c r="BP64" s="2595"/>
    </row>
    <row r="65" spans="1:69" ht="15" customHeight="1">
      <c r="A65" s="2757"/>
      <c r="B65" s="2686" t="s">
        <v>2349</v>
      </c>
      <c r="C65" s="1179"/>
      <c r="D65" s="1179"/>
      <c r="E65" s="1179"/>
      <c r="F65" s="1179"/>
      <c r="G65" s="1179"/>
      <c r="H65" s="1179"/>
      <c r="I65" s="1179"/>
      <c r="J65" s="1179"/>
      <c r="K65" s="1179"/>
      <c r="L65" s="1179"/>
      <c r="M65" s="1179"/>
      <c r="N65" s="1179"/>
      <c r="O65" s="1179"/>
      <c r="P65" s="1179"/>
      <c r="Q65" s="1179"/>
      <c r="R65" s="1179"/>
      <c r="S65" s="1179"/>
      <c r="T65" s="1179"/>
      <c r="U65" s="1179"/>
      <c r="V65" s="1179"/>
      <c r="W65" s="1179"/>
      <c r="X65" s="1179"/>
      <c r="Y65" s="1179"/>
      <c r="Z65" s="1179"/>
      <c r="AA65" s="1179"/>
      <c r="AB65" s="1179"/>
      <c r="AC65" s="1179"/>
      <c r="AD65" s="1179"/>
      <c r="AE65" s="1179"/>
      <c r="AF65" s="1179"/>
      <c r="AG65" s="1179"/>
      <c r="AH65" s="1179"/>
      <c r="AI65" s="1179"/>
      <c r="AJ65" s="1179"/>
      <c r="AK65" s="1179"/>
      <c r="AL65" s="1179"/>
      <c r="AM65" s="1179"/>
      <c r="AN65" s="1179"/>
      <c r="AO65" s="1179"/>
      <c r="AP65" s="2757"/>
      <c r="BG65" s="3013"/>
      <c r="BH65" s="2595"/>
      <c r="BI65" s="2595"/>
      <c r="BJ65" s="2595"/>
      <c r="BK65" s="2595"/>
      <c r="BL65" s="2595"/>
      <c r="BM65" s="2595"/>
      <c r="BN65" s="2595"/>
      <c r="BO65" s="2595"/>
      <c r="BP65" s="2595"/>
    </row>
    <row r="66" spans="1:69" s="2689" customFormat="1" ht="17.25" customHeight="1">
      <c r="A66" s="2758"/>
      <c r="B66" s="7220" t="s">
        <v>118</v>
      </c>
      <c r="C66" s="7220"/>
      <c r="D66" s="7221"/>
      <c r="E66" s="1396"/>
      <c r="F66" s="3071" t="s">
        <v>2350</v>
      </c>
      <c r="G66" s="1396"/>
      <c r="H66" s="1396"/>
      <c r="I66" s="1396"/>
      <c r="J66" s="1396"/>
      <c r="K66" s="1396"/>
      <c r="L66" s="1396"/>
      <c r="M66" s="1396"/>
      <c r="N66" s="1396"/>
      <c r="O66" s="1396"/>
      <c r="P66" s="1396"/>
      <c r="Q66" s="1396"/>
      <c r="R66" s="1396"/>
      <c r="S66" s="1396"/>
      <c r="T66" s="1396"/>
      <c r="U66" s="1396"/>
      <c r="V66" s="1396"/>
      <c r="W66" s="1396"/>
      <c r="X66" s="3072"/>
      <c r="Y66" s="1396"/>
      <c r="Z66" s="1396"/>
      <c r="AA66" s="1396"/>
      <c r="AB66" s="1396"/>
      <c r="AC66" s="1396"/>
      <c r="AD66" s="1396"/>
      <c r="AE66" s="1396"/>
      <c r="AF66" s="1396"/>
      <c r="AG66" s="1396"/>
      <c r="AH66" s="1396"/>
      <c r="AI66" s="1396"/>
      <c r="AJ66" s="1396"/>
      <c r="AK66" s="1396"/>
      <c r="AL66" s="1396"/>
      <c r="AM66" s="1396"/>
      <c r="AN66" s="1396"/>
      <c r="AO66" s="1396"/>
      <c r="AP66" s="2757"/>
      <c r="AX66" s="42"/>
      <c r="AY66" s="42"/>
      <c r="AZ66" s="42"/>
      <c r="BA66" s="42"/>
      <c r="BB66" s="42"/>
      <c r="BC66" s="42"/>
      <c r="BD66" s="42"/>
      <c r="BG66" s="3013"/>
      <c r="BH66" s="2595"/>
      <c r="BI66" s="2595"/>
      <c r="BJ66" s="2595"/>
      <c r="BK66" s="2595"/>
      <c r="BL66" s="2595"/>
      <c r="BM66" s="2595"/>
      <c r="BN66" s="2595"/>
      <c r="BO66" s="2595"/>
      <c r="BP66" s="2595"/>
      <c r="BQ66" s="3402"/>
    </row>
    <row r="67" spans="1:69" ht="12.75" customHeight="1">
      <c r="A67" s="2757"/>
      <c r="B67" s="1179"/>
      <c r="C67" s="1179"/>
      <c r="D67" s="1179"/>
      <c r="E67" s="1179"/>
      <c r="F67" s="1276" t="s">
        <v>2760</v>
      </c>
      <c r="G67" s="1179"/>
      <c r="H67" s="1179"/>
      <c r="I67" s="1179"/>
      <c r="J67" s="1179"/>
      <c r="K67" s="1179"/>
      <c r="L67" s="1179"/>
      <c r="M67" s="1179"/>
      <c r="N67" s="1179"/>
      <c r="O67" s="1179"/>
      <c r="P67" s="1179"/>
      <c r="Q67" s="1179"/>
      <c r="R67" s="1179"/>
      <c r="S67" s="1179"/>
      <c r="T67" s="1179"/>
      <c r="U67" s="1179"/>
      <c r="V67" s="1179"/>
      <c r="W67" s="1179"/>
      <c r="X67" s="1179"/>
      <c r="Y67" s="1179"/>
      <c r="Z67" s="1179"/>
      <c r="AA67" s="1179"/>
      <c r="AB67" s="1179"/>
      <c r="AC67" s="1179"/>
      <c r="AD67" s="1179"/>
      <c r="AE67" s="1179"/>
      <c r="AF67" s="1179"/>
      <c r="AG67" s="1179"/>
      <c r="AH67" s="1179"/>
      <c r="AI67" s="1179"/>
      <c r="AJ67" s="1179"/>
      <c r="AK67" s="1179"/>
      <c r="AL67" s="1179"/>
      <c r="AM67" s="1179"/>
      <c r="AN67" s="1179"/>
      <c r="AO67" s="1179"/>
      <c r="AP67" s="2757"/>
      <c r="BG67" s="3013"/>
      <c r="BH67" s="2595"/>
      <c r="BI67" s="2595"/>
      <c r="BJ67" s="2595"/>
      <c r="BK67" s="2595"/>
      <c r="BL67" s="2595"/>
      <c r="BM67" s="2595"/>
      <c r="BN67" s="2595"/>
      <c r="BO67" s="2595"/>
      <c r="BP67" s="2595"/>
    </row>
    <row r="68" spans="1:69" ht="12.75" customHeight="1">
      <c r="A68" s="2757"/>
      <c r="B68" s="1179"/>
      <c r="C68" s="1179"/>
      <c r="D68" s="1179"/>
      <c r="E68" s="1179"/>
      <c r="F68" s="1276" t="s">
        <v>2351</v>
      </c>
      <c r="G68" s="1179"/>
      <c r="H68" s="1179"/>
      <c r="I68" s="1179"/>
      <c r="J68" s="1179"/>
      <c r="K68" s="1179"/>
      <c r="L68" s="1179"/>
      <c r="M68" s="1179"/>
      <c r="N68" s="1179"/>
      <c r="O68" s="1179"/>
      <c r="P68" s="1179"/>
      <c r="Q68" s="1179"/>
      <c r="R68" s="1179"/>
      <c r="S68" s="1179"/>
      <c r="T68" s="1179"/>
      <c r="U68" s="1179"/>
      <c r="V68" s="1179"/>
      <c r="W68" s="1179"/>
      <c r="X68" s="1179"/>
      <c r="Y68" s="1179"/>
      <c r="Z68" s="1179"/>
      <c r="AA68" s="1179"/>
      <c r="AB68" s="1179"/>
      <c r="AC68" s="1179"/>
      <c r="AD68" s="1179"/>
      <c r="AE68" s="1179"/>
      <c r="AF68" s="1179"/>
      <c r="AG68" s="1179"/>
      <c r="AH68" s="1179"/>
      <c r="AI68" s="1179"/>
      <c r="AJ68" s="1179"/>
      <c r="AK68" s="1179"/>
      <c r="AL68" s="1179"/>
      <c r="AM68" s="1179"/>
      <c r="AN68" s="1179"/>
      <c r="AO68" s="1179"/>
      <c r="AP68" s="2757"/>
      <c r="AX68" s="2689"/>
      <c r="AY68" s="2689"/>
      <c r="AZ68" s="2689"/>
      <c r="BA68" s="2689"/>
      <c r="BB68" s="2689"/>
      <c r="BC68" s="2689"/>
      <c r="BD68" s="2689"/>
      <c r="BG68" s="3013"/>
      <c r="BH68" s="2595"/>
      <c r="BI68" s="2595"/>
      <c r="BJ68" s="2595"/>
      <c r="BK68" s="2595"/>
      <c r="BL68" s="2595"/>
      <c r="BM68" s="2595"/>
      <c r="BN68" s="2595"/>
      <c r="BO68" s="2595"/>
      <c r="BP68" s="2595"/>
    </row>
    <row r="69" spans="1:69" ht="12.75" customHeight="1">
      <c r="A69" s="2757"/>
      <c r="B69" s="1553"/>
      <c r="C69" s="1553"/>
      <c r="D69" s="1553"/>
      <c r="E69" s="1553"/>
      <c r="F69" s="1707" t="s">
        <v>2352</v>
      </c>
      <c r="G69" s="1553"/>
      <c r="H69" s="1553"/>
      <c r="I69" s="1553"/>
      <c r="J69" s="1553"/>
      <c r="K69" s="1553"/>
      <c r="L69" s="1553"/>
      <c r="M69" s="1553"/>
      <c r="N69" s="1553"/>
      <c r="O69" s="1553"/>
      <c r="P69" s="1553"/>
      <c r="Q69" s="1553"/>
      <c r="R69" s="1553"/>
      <c r="S69" s="1553"/>
      <c r="T69" s="1553"/>
      <c r="U69" s="1553"/>
      <c r="V69" s="1553"/>
      <c r="W69" s="1553"/>
      <c r="X69" s="1553"/>
      <c r="Y69" s="1553"/>
      <c r="Z69" s="1553"/>
      <c r="AA69" s="1553"/>
      <c r="AB69" s="1553"/>
      <c r="AC69" s="1553"/>
      <c r="AD69" s="1553"/>
      <c r="AE69" s="1553"/>
      <c r="AF69" s="1553"/>
      <c r="AG69" s="1553"/>
      <c r="AH69" s="1553"/>
      <c r="AI69" s="1553"/>
      <c r="AJ69" s="1553"/>
      <c r="AK69" s="1553"/>
      <c r="AL69" s="1553"/>
      <c r="AM69" s="1553"/>
      <c r="AN69" s="1553"/>
      <c r="AO69" s="1553"/>
      <c r="AP69" s="2757"/>
      <c r="BG69" s="3013"/>
      <c r="BH69" s="2595"/>
      <c r="BI69" s="2595"/>
      <c r="BJ69" s="2595"/>
      <c r="BK69" s="2595"/>
      <c r="BL69" s="2595"/>
      <c r="BM69" s="2595"/>
      <c r="BN69" s="2595"/>
      <c r="BO69" s="2595"/>
      <c r="BP69" s="2595"/>
    </row>
    <row r="70" spans="1:69" ht="18.75" customHeight="1">
      <c r="A70" s="2757"/>
      <c r="B70" s="7250">
        <v>27</v>
      </c>
      <c r="C70" s="6371"/>
      <c r="D70" s="1179"/>
      <c r="E70" s="2686" t="s">
        <v>4046</v>
      </c>
      <c r="F70" s="1276"/>
      <c r="G70" s="1179"/>
      <c r="H70" s="1179"/>
      <c r="I70" s="1179"/>
      <c r="J70" s="1179"/>
      <c r="K70" s="1179"/>
      <c r="L70" s="1179"/>
      <c r="M70" s="1179"/>
      <c r="N70" s="1179"/>
      <c r="O70" s="1179"/>
      <c r="P70" s="1179"/>
      <c r="Q70" s="1179"/>
      <c r="R70" s="1179"/>
      <c r="S70" s="1179"/>
      <c r="T70" s="1179"/>
      <c r="U70" s="1179"/>
      <c r="V70" s="1179"/>
      <c r="W70" s="1179"/>
      <c r="X70" s="1179"/>
      <c r="Y70" s="1179"/>
      <c r="Z70" s="1179"/>
      <c r="AA70" s="1179"/>
      <c r="AB70" s="1179"/>
      <c r="AC70" s="1179"/>
      <c r="AD70" s="1179"/>
      <c r="AE70" s="1179"/>
      <c r="AF70" s="1179"/>
      <c r="AG70" s="1179"/>
      <c r="AH70" s="1179"/>
      <c r="AI70" s="1179"/>
      <c r="AJ70" s="1179"/>
      <c r="AK70" s="1179"/>
      <c r="AL70" s="1179"/>
      <c r="AM70" s="1179"/>
      <c r="AN70" s="1179"/>
      <c r="AO70" s="1179"/>
      <c r="AP70" s="2757"/>
      <c r="BG70" s="3013"/>
      <c r="BH70" s="2595"/>
      <c r="BI70" s="2595"/>
      <c r="BJ70" s="2595"/>
      <c r="BK70" s="2595"/>
      <c r="BL70" s="2595"/>
      <c r="BM70" s="2595"/>
      <c r="BN70" s="2595"/>
      <c r="BO70" s="2595"/>
      <c r="BP70" s="2595"/>
    </row>
    <row r="71" spans="1:69" ht="12.75" customHeight="1">
      <c r="A71" s="2757"/>
      <c r="B71" s="2974"/>
      <c r="C71" s="1699"/>
      <c r="D71" s="1179"/>
      <c r="E71" s="2686" t="s">
        <v>4048</v>
      </c>
      <c r="F71" s="1276"/>
      <c r="G71" s="1179"/>
      <c r="H71" s="1179"/>
      <c r="I71" s="1179"/>
      <c r="J71" s="1179"/>
      <c r="K71" s="1179"/>
      <c r="L71" s="1179"/>
      <c r="M71" s="1179"/>
      <c r="N71" s="1179"/>
      <c r="O71" s="1179"/>
      <c r="P71" s="1179"/>
      <c r="Q71" s="1179"/>
      <c r="R71" s="1179"/>
      <c r="S71" s="1179"/>
      <c r="T71" s="1179"/>
      <c r="U71" s="1179"/>
      <c r="V71" s="1179"/>
      <c r="W71" s="1179"/>
      <c r="X71" s="1179"/>
      <c r="Y71" s="1179"/>
      <c r="Z71" s="1179"/>
      <c r="AA71" s="1179"/>
      <c r="AB71" s="1179"/>
      <c r="AC71" s="1179"/>
      <c r="AD71" s="1179"/>
      <c r="AE71" s="1179"/>
      <c r="AF71" s="1179"/>
      <c r="AG71" s="1179"/>
      <c r="AH71" s="1179"/>
      <c r="AI71" s="1179"/>
      <c r="AJ71" s="1179"/>
      <c r="AK71" s="1179"/>
      <c r="AL71" s="1179"/>
      <c r="AM71" s="1179"/>
      <c r="AN71" s="1179"/>
      <c r="AO71" s="1179"/>
      <c r="AP71" s="2757"/>
      <c r="BG71" s="3013"/>
      <c r="BH71" s="2595"/>
      <c r="BI71" s="2595"/>
      <c r="BJ71" s="2595"/>
      <c r="BK71" s="2595"/>
      <c r="BL71" s="2595"/>
      <c r="BM71" s="2595"/>
      <c r="BN71" s="2595"/>
      <c r="BO71" s="2595"/>
      <c r="BP71" s="2595"/>
    </row>
    <row r="72" spans="1:69" ht="12.75" customHeight="1">
      <c r="A72" s="2757"/>
      <c r="B72" s="1179"/>
      <c r="C72" s="1179"/>
      <c r="D72" s="1179"/>
      <c r="E72" s="2686" t="s">
        <v>4047</v>
      </c>
      <c r="F72" s="1276"/>
      <c r="G72" s="1179"/>
      <c r="H72" s="1179"/>
      <c r="I72" s="1179"/>
      <c r="J72" s="1179"/>
      <c r="K72" s="1179"/>
      <c r="L72" s="1179"/>
      <c r="M72" s="1179"/>
      <c r="N72" s="1179"/>
      <c r="O72" s="1179"/>
      <c r="P72" s="1179"/>
      <c r="Q72" s="1179"/>
      <c r="R72" s="1179"/>
      <c r="S72" s="1179"/>
      <c r="T72" s="1179"/>
      <c r="U72" s="1179"/>
      <c r="V72" s="1179"/>
      <c r="W72" s="1179"/>
      <c r="X72" s="1179"/>
      <c r="Y72" s="1179"/>
      <c r="Z72" s="1179"/>
      <c r="AA72" s="1179"/>
      <c r="AB72" s="1179"/>
      <c r="AC72" s="1179"/>
      <c r="AD72" s="1179"/>
      <c r="AE72" s="1179"/>
      <c r="AF72" s="1179"/>
      <c r="AG72" s="1179"/>
      <c r="AH72" s="1179"/>
      <c r="AI72" s="3489" t="s">
        <v>802</v>
      </c>
      <c r="AJ72" s="1180"/>
      <c r="AK72" s="2786" t="s">
        <v>2336</v>
      </c>
      <c r="AL72" s="2335"/>
      <c r="AM72" s="1180"/>
      <c r="AN72" s="2786" t="s">
        <v>511</v>
      </c>
      <c r="AO72" s="2335"/>
      <c r="AP72" s="2757"/>
      <c r="BG72" s="3013"/>
      <c r="BH72" s="2595"/>
      <c r="BI72" s="2595"/>
      <c r="BJ72" s="2595"/>
      <c r="BK72" s="2595"/>
      <c r="BL72" s="2595"/>
      <c r="BM72" s="2595"/>
      <c r="BN72" s="2595"/>
      <c r="BO72" s="2595"/>
      <c r="BP72" s="2595"/>
    </row>
    <row r="73" spans="1:69" ht="4.5" customHeight="1">
      <c r="A73" s="2757"/>
      <c r="B73" s="1553"/>
      <c r="C73" s="1553"/>
      <c r="D73" s="1553"/>
      <c r="E73" s="1553"/>
      <c r="F73" s="1707"/>
      <c r="G73" s="1553"/>
      <c r="H73" s="1553"/>
      <c r="I73" s="1553"/>
      <c r="J73" s="1553"/>
      <c r="K73" s="1553"/>
      <c r="L73" s="1553"/>
      <c r="M73" s="1553"/>
      <c r="N73" s="1553"/>
      <c r="O73" s="1553"/>
      <c r="P73" s="1553"/>
      <c r="Q73" s="1553"/>
      <c r="R73" s="1553"/>
      <c r="S73" s="1553"/>
      <c r="T73" s="1553"/>
      <c r="U73" s="1553"/>
      <c r="V73" s="1553"/>
      <c r="W73" s="1553"/>
      <c r="X73" s="1553"/>
      <c r="Y73" s="1553"/>
      <c r="Z73" s="1553"/>
      <c r="AA73" s="1553"/>
      <c r="AB73" s="1553"/>
      <c r="AC73" s="1553"/>
      <c r="AD73" s="1553"/>
      <c r="AE73" s="1553"/>
      <c r="AF73" s="1553"/>
      <c r="AG73" s="1553"/>
      <c r="AH73" s="1553"/>
      <c r="AI73" s="1553"/>
      <c r="AJ73" s="1553"/>
      <c r="AK73" s="1553"/>
      <c r="AL73" s="1553"/>
      <c r="AM73" s="1553"/>
      <c r="AN73" s="1553"/>
      <c r="AO73" s="1553"/>
      <c r="AP73" s="2757"/>
      <c r="BG73" s="3013"/>
      <c r="BH73" s="2595"/>
      <c r="BI73" s="2595"/>
      <c r="BJ73" s="2595"/>
      <c r="BK73" s="2595"/>
      <c r="BL73" s="2595"/>
      <c r="BM73" s="2595"/>
      <c r="BN73" s="2595"/>
      <c r="BO73" s="2595"/>
      <c r="BP73" s="2595"/>
    </row>
    <row r="74" spans="1:69" ht="12.75" customHeight="1">
      <c r="A74" s="2757"/>
      <c r="B74" s="1179"/>
      <c r="C74" s="1179"/>
      <c r="D74" s="1179"/>
      <c r="E74" s="1179"/>
      <c r="F74" s="1276"/>
      <c r="G74" s="1179"/>
      <c r="H74" s="1179"/>
      <c r="I74" s="1179"/>
      <c r="J74" s="1179"/>
      <c r="K74" s="1179"/>
      <c r="L74" s="1179"/>
      <c r="M74" s="1179"/>
      <c r="N74" s="1179"/>
      <c r="O74" s="7324" t="s">
        <v>2354</v>
      </c>
      <c r="P74" s="7325"/>
      <c r="Q74" s="7325"/>
      <c r="R74" s="7325"/>
      <c r="S74" s="7326"/>
      <c r="T74" s="7324" t="s">
        <v>2355</v>
      </c>
      <c r="U74" s="7325"/>
      <c r="V74" s="7325"/>
      <c r="W74" s="7325"/>
      <c r="X74" s="7326"/>
      <c r="Y74" s="7324" t="s">
        <v>2356</v>
      </c>
      <c r="Z74" s="7325"/>
      <c r="AA74" s="7325"/>
      <c r="AB74" s="7325"/>
      <c r="AC74" s="7325"/>
      <c r="AD74" s="7325"/>
      <c r="AE74" s="7326"/>
      <c r="AF74" s="7324" t="s">
        <v>2358</v>
      </c>
      <c r="AG74" s="7325"/>
      <c r="AH74" s="7325"/>
      <c r="AI74" s="7325"/>
      <c r="AJ74" s="7326"/>
      <c r="AK74" s="7324" t="s">
        <v>2357</v>
      </c>
      <c r="AL74" s="7325"/>
      <c r="AM74" s="7325"/>
      <c r="AN74" s="7325"/>
      <c r="AO74" s="7325"/>
      <c r="AP74" s="2757"/>
      <c r="BG74" s="3013"/>
      <c r="BH74" s="2595"/>
      <c r="BI74" s="2595"/>
      <c r="BJ74" s="2595"/>
      <c r="BK74" s="2595"/>
      <c r="BL74" s="2595"/>
      <c r="BM74" s="2595"/>
      <c r="BN74" s="2595"/>
      <c r="BO74" s="2595"/>
      <c r="BP74" s="2595"/>
    </row>
    <row r="75" spans="1:69" ht="12.75" customHeight="1">
      <c r="A75" s="2757"/>
      <c r="B75" s="7250">
        <v>28</v>
      </c>
      <c r="C75" s="6371"/>
      <c r="D75" s="1179"/>
      <c r="E75" s="1179"/>
      <c r="F75" s="1179"/>
      <c r="G75" s="1179"/>
      <c r="H75" s="1276" t="s">
        <v>2353</v>
      </c>
      <c r="I75" s="1179"/>
      <c r="J75" s="1179"/>
      <c r="K75" s="1179"/>
      <c r="L75" s="1179"/>
      <c r="M75" s="1179"/>
      <c r="N75" s="1179"/>
      <c r="O75" s="7327"/>
      <c r="P75" s="7328"/>
      <c r="Q75" s="7328"/>
      <c r="R75" s="7328"/>
      <c r="S75" s="7329"/>
      <c r="T75" s="7327"/>
      <c r="U75" s="7328"/>
      <c r="V75" s="7328"/>
      <c r="W75" s="7328"/>
      <c r="X75" s="7329"/>
      <c r="Y75" s="7327"/>
      <c r="Z75" s="7328"/>
      <c r="AA75" s="7328"/>
      <c r="AB75" s="7328"/>
      <c r="AC75" s="7328"/>
      <c r="AD75" s="7328"/>
      <c r="AE75" s="7329"/>
      <c r="AF75" s="7327"/>
      <c r="AG75" s="7328"/>
      <c r="AH75" s="7328"/>
      <c r="AI75" s="7328"/>
      <c r="AJ75" s="7329"/>
      <c r="AK75" s="7327"/>
      <c r="AL75" s="7328"/>
      <c r="AM75" s="7328"/>
      <c r="AN75" s="7328"/>
      <c r="AO75" s="7328"/>
      <c r="AP75" s="2757"/>
      <c r="BG75" s="3013"/>
      <c r="BH75" s="2595"/>
      <c r="BI75" s="2595"/>
      <c r="BJ75" s="2595"/>
      <c r="BK75" s="2595"/>
      <c r="BL75" s="2595"/>
      <c r="BM75" s="2595"/>
      <c r="BN75" s="2595"/>
      <c r="BO75" s="2595"/>
      <c r="BP75" s="2595"/>
    </row>
    <row r="76" spans="1:69" ht="12.75" customHeight="1">
      <c r="A76" s="2757"/>
      <c r="B76" s="1553"/>
      <c r="C76" s="1553"/>
      <c r="D76" s="1553"/>
      <c r="E76" s="1553"/>
      <c r="F76" s="1553"/>
      <c r="G76" s="1553"/>
      <c r="H76" s="1553"/>
      <c r="I76" s="1553"/>
      <c r="J76" s="1553"/>
      <c r="K76" s="1553"/>
      <c r="L76" s="1553"/>
      <c r="M76" s="1553"/>
      <c r="N76" s="1553"/>
      <c r="O76" s="7330"/>
      <c r="P76" s="7331"/>
      <c r="Q76" s="7331"/>
      <c r="R76" s="7331"/>
      <c r="S76" s="7332"/>
      <c r="T76" s="7330"/>
      <c r="U76" s="7331"/>
      <c r="V76" s="7331"/>
      <c r="W76" s="7331"/>
      <c r="X76" s="7332"/>
      <c r="Y76" s="7330"/>
      <c r="Z76" s="7331"/>
      <c r="AA76" s="7331"/>
      <c r="AB76" s="7331"/>
      <c r="AC76" s="7331"/>
      <c r="AD76" s="7331"/>
      <c r="AE76" s="7332"/>
      <c r="AF76" s="7330"/>
      <c r="AG76" s="7331"/>
      <c r="AH76" s="7331"/>
      <c r="AI76" s="7331"/>
      <c r="AJ76" s="7332"/>
      <c r="AK76" s="7330"/>
      <c r="AL76" s="7331"/>
      <c r="AM76" s="7331"/>
      <c r="AN76" s="7331"/>
      <c r="AO76" s="7331"/>
      <c r="AP76" s="2757"/>
      <c r="BG76" s="3013"/>
      <c r="BH76" s="2595"/>
      <c r="BI76" s="2595"/>
      <c r="BJ76" s="2595"/>
      <c r="BK76" s="2595"/>
      <c r="BL76" s="2595"/>
      <c r="BM76" s="2595"/>
      <c r="BN76" s="2595"/>
      <c r="BO76" s="2595"/>
      <c r="BP76" s="2595"/>
    </row>
    <row r="77" spans="1:69" ht="13.5" customHeight="1">
      <c r="A77" s="2757"/>
      <c r="B77" s="3123" t="s">
        <v>143</v>
      </c>
      <c r="C77" s="7310"/>
      <c r="D77" s="7311"/>
      <c r="E77" s="7311"/>
      <c r="F77" s="7311"/>
      <c r="G77" s="7311"/>
      <c r="H77" s="7311"/>
      <c r="I77" s="7311"/>
      <c r="J77" s="7311"/>
      <c r="K77" s="7311"/>
      <c r="L77" s="7311"/>
      <c r="M77" s="7311"/>
      <c r="N77" s="7312"/>
      <c r="O77" s="6543"/>
      <c r="P77" s="7313"/>
      <c r="Q77" s="7313"/>
      <c r="R77" s="7313"/>
      <c r="S77" s="7314"/>
      <c r="T77" s="3121"/>
      <c r="U77" s="1554"/>
      <c r="V77" s="1180"/>
      <c r="W77" s="1554"/>
      <c r="X77" s="3122"/>
      <c r="Y77" s="7210"/>
      <c r="Z77" s="7211"/>
      <c r="AA77" s="7211"/>
      <c r="AB77" s="7211"/>
      <c r="AC77" s="7211"/>
      <c r="AD77" s="7211"/>
      <c r="AE77" s="7212"/>
      <c r="AF77" s="3121"/>
      <c r="AG77" s="1554"/>
      <c r="AH77" s="1180"/>
      <c r="AI77" s="1554"/>
      <c r="AJ77" s="3122"/>
      <c r="AK77" s="3121"/>
      <c r="AL77" s="1554"/>
      <c r="AM77" s="1180"/>
      <c r="AN77" s="1554"/>
      <c r="AO77" s="1554"/>
      <c r="AP77" s="2757"/>
      <c r="BG77" s="3013"/>
      <c r="BH77" s="2595"/>
      <c r="BI77" s="2595"/>
      <c r="BJ77" s="2595"/>
      <c r="BK77" s="2595"/>
      <c r="BL77" s="2595"/>
      <c r="BM77" s="2595"/>
      <c r="BN77" s="2595"/>
      <c r="BO77" s="2595"/>
      <c r="BP77" s="2595"/>
    </row>
    <row r="78" spans="1:69" ht="13.5" customHeight="1">
      <c r="A78" s="2757"/>
      <c r="B78" s="3123" t="s">
        <v>288</v>
      </c>
      <c r="C78" s="7310"/>
      <c r="D78" s="7311"/>
      <c r="E78" s="7311"/>
      <c r="F78" s="7311"/>
      <c r="G78" s="7311"/>
      <c r="H78" s="7311"/>
      <c r="I78" s="7311"/>
      <c r="J78" s="7311"/>
      <c r="K78" s="7311"/>
      <c r="L78" s="7311"/>
      <c r="M78" s="7311"/>
      <c r="N78" s="7312"/>
      <c r="O78" s="6543"/>
      <c r="P78" s="7313"/>
      <c r="Q78" s="7313"/>
      <c r="R78" s="7313"/>
      <c r="S78" s="7314"/>
      <c r="T78" s="3121"/>
      <c r="U78" s="1554"/>
      <c r="V78" s="1180"/>
      <c r="W78" s="1554"/>
      <c r="X78" s="3122"/>
      <c r="Y78" s="7210"/>
      <c r="Z78" s="7211"/>
      <c r="AA78" s="7211"/>
      <c r="AB78" s="7211"/>
      <c r="AC78" s="7211"/>
      <c r="AD78" s="7211"/>
      <c r="AE78" s="7212"/>
      <c r="AF78" s="3121"/>
      <c r="AG78" s="1554"/>
      <c r="AH78" s="1180"/>
      <c r="AI78" s="1554"/>
      <c r="AJ78" s="3122"/>
      <c r="AK78" s="3121"/>
      <c r="AL78" s="1554"/>
      <c r="AM78" s="1180"/>
      <c r="AN78" s="1554"/>
      <c r="AO78" s="1554"/>
      <c r="AP78" s="2757"/>
      <c r="BG78" s="3013"/>
      <c r="BH78" s="2595"/>
      <c r="BI78" s="2595"/>
      <c r="BJ78" s="2595"/>
      <c r="BK78" s="2595"/>
      <c r="BL78" s="2595"/>
      <c r="BM78" s="2595"/>
      <c r="BN78" s="2595"/>
      <c r="BO78" s="2595"/>
      <c r="BP78" s="2595"/>
    </row>
    <row r="79" spans="1:69" ht="13.5" customHeight="1">
      <c r="A79" s="2757"/>
      <c r="B79" s="3123" t="s">
        <v>144</v>
      </c>
      <c r="C79" s="7310"/>
      <c r="D79" s="7311"/>
      <c r="E79" s="7311"/>
      <c r="F79" s="7311"/>
      <c r="G79" s="7311"/>
      <c r="H79" s="7311"/>
      <c r="I79" s="7311"/>
      <c r="J79" s="7311"/>
      <c r="K79" s="7311"/>
      <c r="L79" s="7311"/>
      <c r="M79" s="7311"/>
      <c r="N79" s="7312"/>
      <c r="O79" s="6543"/>
      <c r="P79" s="7313"/>
      <c r="Q79" s="7313"/>
      <c r="R79" s="7313"/>
      <c r="S79" s="7314"/>
      <c r="T79" s="3121"/>
      <c r="U79" s="1554"/>
      <c r="V79" s="1180"/>
      <c r="W79" s="1554"/>
      <c r="X79" s="3122"/>
      <c r="Y79" s="7210"/>
      <c r="Z79" s="7211"/>
      <c r="AA79" s="7211"/>
      <c r="AB79" s="7211"/>
      <c r="AC79" s="7211"/>
      <c r="AD79" s="7211"/>
      <c r="AE79" s="7212"/>
      <c r="AF79" s="3121"/>
      <c r="AG79" s="1554"/>
      <c r="AH79" s="1180"/>
      <c r="AI79" s="1554"/>
      <c r="AJ79" s="3122"/>
      <c r="AK79" s="3121"/>
      <c r="AL79" s="1554"/>
      <c r="AM79" s="1180"/>
      <c r="AN79" s="1554"/>
      <c r="AO79" s="1554"/>
      <c r="AP79" s="2757"/>
      <c r="BG79" s="3013"/>
      <c r="BH79" s="2595"/>
      <c r="BI79" s="2595"/>
      <c r="BJ79" s="2595"/>
      <c r="BK79" s="2595"/>
      <c r="BL79" s="2595"/>
      <c r="BM79" s="2595"/>
      <c r="BN79" s="2595"/>
      <c r="BO79" s="2595"/>
      <c r="BP79" s="2595"/>
    </row>
    <row r="80" spans="1:69" ht="13.5" customHeight="1">
      <c r="A80" s="2757"/>
      <c r="B80" s="3123" t="s">
        <v>290</v>
      </c>
      <c r="C80" s="7310"/>
      <c r="D80" s="7311"/>
      <c r="E80" s="7311"/>
      <c r="F80" s="7311"/>
      <c r="G80" s="7311"/>
      <c r="H80" s="7311"/>
      <c r="I80" s="7311"/>
      <c r="J80" s="7311"/>
      <c r="K80" s="7311"/>
      <c r="L80" s="7311"/>
      <c r="M80" s="7311"/>
      <c r="N80" s="7312"/>
      <c r="O80" s="6543"/>
      <c r="P80" s="7313"/>
      <c r="Q80" s="7313"/>
      <c r="R80" s="7313"/>
      <c r="S80" s="7314"/>
      <c r="T80" s="3121"/>
      <c r="U80" s="1554"/>
      <c r="V80" s="1180"/>
      <c r="W80" s="1554"/>
      <c r="X80" s="3122"/>
      <c r="Y80" s="7210"/>
      <c r="Z80" s="7211"/>
      <c r="AA80" s="7211"/>
      <c r="AB80" s="7211"/>
      <c r="AC80" s="7211"/>
      <c r="AD80" s="7211"/>
      <c r="AE80" s="7212"/>
      <c r="AF80" s="3121"/>
      <c r="AG80" s="1554"/>
      <c r="AH80" s="1180"/>
      <c r="AI80" s="1554"/>
      <c r="AJ80" s="3122"/>
      <c r="AK80" s="3121"/>
      <c r="AL80" s="1554"/>
      <c r="AM80" s="1180"/>
      <c r="AN80" s="1554"/>
      <c r="AO80" s="1554"/>
      <c r="AP80" s="2757"/>
      <c r="BG80" s="3013"/>
      <c r="BH80" s="2595"/>
      <c r="BI80" s="2595"/>
      <c r="BJ80" s="2595"/>
      <c r="BK80" s="2595"/>
      <c r="BL80" s="2595"/>
      <c r="BM80" s="2595"/>
      <c r="BN80" s="2595"/>
      <c r="BO80" s="2595"/>
      <c r="BP80" s="2595"/>
    </row>
    <row r="81" spans="1:69" ht="17.25" customHeight="1">
      <c r="A81" s="2757"/>
      <c r="B81" s="7196" t="s">
        <v>679</v>
      </c>
      <c r="C81" s="7315"/>
      <c r="D81" s="7315"/>
      <c r="E81" s="7315"/>
      <c r="F81" s="7315"/>
      <c r="G81" s="7315"/>
      <c r="H81" s="7315"/>
      <c r="I81" s="7315"/>
      <c r="J81" s="7315"/>
      <c r="K81" s="7315"/>
      <c r="L81" s="7315"/>
      <c r="M81" s="7315"/>
      <c r="N81" s="7315"/>
      <c r="O81" s="7315"/>
      <c r="P81" s="7315"/>
      <c r="Q81" s="7315"/>
      <c r="R81" s="6672"/>
      <c r="S81" s="7287" t="s">
        <v>680</v>
      </c>
      <c r="T81" s="7316"/>
      <c r="U81" s="7316"/>
      <c r="V81" s="7316"/>
      <c r="W81" s="7316"/>
      <c r="X81" s="7316"/>
      <c r="Y81" s="7316"/>
      <c r="Z81" s="7316"/>
      <c r="AA81" s="7316"/>
      <c r="AB81" s="7316"/>
      <c r="AC81" s="7316"/>
      <c r="AD81" s="7316"/>
      <c r="AE81" s="7316"/>
      <c r="AF81" s="7316"/>
      <c r="AG81" s="7316"/>
      <c r="AH81" s="7316"/>
      <c r="AI81" s="7316"/>
      <c r="AJ81" s="7316"/>
      <c r="AK81" s="7316"/>
      <c r="AL81" s="7316"/>
      <c r="AM81" s="7316"/>
      <c r="AN81" s="7316"/>
      <c r="AO81" s="7316"/>
      <c r="AP81" s="2757"/>
      <c r="BG81" s="3013"/>
      <c r="BH81" s="2595"/>
      <c r="BI81" s="2595"/>
      <c r="BJ81" s="2595"/>
      <c r="BK81" s="2595"/>
      <c r="BL81" s="2595"/>
      <c r="BM81" s="2595"/>
      <c r="BN81" s="2595"/>
      <c r="BO81" s="2595"/>
      <c r="BP81" s="2595"/>
    </row>
    <row r="82" spans="1:69" ht="12.75" customHeight="1">
      <c r="A82" s="2757"/>
      <c r="B82" s="1574"/>
      <c r="C82" s="7317" t="s">
        <v>2359</v>
      </c>
      <c r="D82" s="7242"/>
      <c r="E82" s="7242"/>
      <c r="F82" s="7242"/>
      <c r="G82" s="7242"/>
      <c r="H82" s="7242"/>
      <c r="I82" s="7242"/>
      <c r="J82" s="7243"/>
      <c r="K82" s="7241" t="s">
        <v>2360</v>
      </c>
      <c r="L82" s="7242"/>
      <c r="M82" s="7242"/>
      <c r="N82" s="7242"/>
      <c r="O82" s="7242"/>
      <c r="P82" s="7242"/>
      <c r="Q82" s="7242"/>
      <c r="R82" s="7242"/>
      <c r="S82" s="7318" t="s">
        <v>3498</v>
      </c>
      <c r="T82" s="7242"/>
      <c r="U82" s="7242"/>
      <c r="V82" s="7242"/>
      <c r="W82" s="7242"/>
      <c r="X82" s="7242"/>
      <c r="Y82" s="7243"/>
      <c r="Z82" s="7241" t="s">
        <v>2361</v>
      </c>
      <c r="AA82" s="7242"/>
      <c r="AB82" s="7242"/>
      <c r="AC82" s="7242"/>
      <c r="AD82" s="7242"/>
      <c r="AE82" s="7242"/>
      <c r="AF82" s="7242"/>
      <c r="AG82" s="7243"/>
      <c r="AH82" s="7241" t="s">
        <v>2362</v>
      </c>
      <c r="AI82" s="7242"/>
      <c r="AJ82" s="7242"/>
      <c r="AK82" s="7242"/>
      <c r="AL82" s="7242"/>
      <c r="AM82" s="7242"/>
      <c r="AN82" s="7242"/>
      <c r="AO82" s="7242"/>
      <c r="AP82" s="2757"/>
      <c r="BG82" s="3013"/>
      <c r="BH82" s="2595"/>
      <c r="BI82" s="2595"/>
      <c r="BJ82" s="2595"/>
      <c r="BK82" s="2595"/>
      <c r="BL82" s="2595"/>
      <c r="BM82" s="2595"/>
      <c r="BN82" s="2595"/>
      <c r="BO82" s="2595"/>
      <c r="BP82" s="2595"/>
    </row>
    <row r="83" spans="1:69" ht="12.75" customHeight="1">
      <c r="A83" s="2757"/>
      <c r="B83" s="1179"/>
      <c r="C83" s="7245"/>
      <c r="D83" s="7245"/>
      <c r="E83" s="7245"/>
      <c r="F83" s="7245"/>
      <c r="G83" s="7245"/>
      <c r="H83" s="7245"/>
      <c r="I83" s="7245"/>
      <c r="J83" s="7246"/>
      <c r="K83" s="7244"/>
      <c r="L83" s="7245"/>
      <c r="M83" s="7245"/>
      <c r="N83" s="7245"/>
      <c r="O83" s="7245"/>
      <c r="P83" s="7245"/>
      <c r="Q83" s="7245"/>
      <c r="R83" s="7245"/>
      <c r="S83" s="7319"/>
      <c r="T83" s="7245"/>
      <c r="U83" s="7245"/>
      <c r="V83" s="7245"/>
      <c r="W83" s="7245"/>
      <c r="X83" s="7245"/>
      <c r="Y83" s="7246"/>
      <c r="Z83" s="7244"/>
      <c r="AA83" s="7245"/>
      <c r="AB83" s="7245"/>
      <c r="AC83" s="7245"/>
      <c r="AD83" s="7245"/>
      <c r="AE83" s="7245"/>
      <c r="AF83" s="7245"/>
      <c r="AG83" s="7246"/>
      <c r="AH83" s="7244"/>
      <c r="AI83" s="7245"/>
      <c r="AJ83" s="7245"/>
      <c r="AK83" s="7245"/>
      <c r="AL83" s="7245"/>
      <c r="AM83" s="7245"/>
      <c r="AN83" s="7245"/>
      <c r="AO83" s="7245"/>
      <c r="AP83" s="2757"/>
      <c r="BG83" s="3013"/>
      <c r="BH83" s="2595"/>
      <c r="BI83" s="2595"/>
      <c r="BJ83" s="2595"/>
      <c r="BK83" s="2595"/>
      <c r="BL83" s="2595"/>
      <c r="BM83" s="2595"/>
      <c r="BN83" s="2595"/>
      <c r="BO83" s="2595"/>
      <c r="BP83" s="2595"/>
    </row>
    <row r="84" spans="1:69" ht="12.75" customHeight="1">
      <c r="A84" s="2757"/>
      <c r="B84" s="1553"/>
      <c r="C84" s="7248"/>
      <c r="D84" s="7248"/>
      <c r="E84" s="7248"/>
      <c r="F84" s="7248"/>
      <c r="G84" s="7248"/>
      <c r="H84" s="7248"/>
      <c r="I84" s="7248"/>
      <c r="J84" s="7249"/>
      <c r="K84" s="7247"/>
      <c r="L84" s="7248"/>
      <c r="M84" s="7248"/>
      <c r="N84" s="7248"/>
      <c r="O84" s="7248"/>
      <c r="P84" s="7248"/>
      <c r="Q84" s="7248"/>
      <c r="R84" s="7248"/>
      <c r="S84" s="7320"/>
      <c r="T84" s="7248"/>
      <c r="U84" s="7248"/>
      <c r="V84" s="7248"/>
      <c r="W84" s="7248"/>
      <c r="X84" s="7248"/>
      <c r="Y84" s="7249"/>
      <c r="Z84" s="7247"/>
      <c r="AA84" s="7248"/>
      <c r="AB84" s="7248"/>
      <c r="AC84" s="7248"/>
      <c r="AD84" s="7248"/>
      <c r="AE84" s="7248"/>
      <c r="AF84" s="7248"/>
      <c r="AG84" s="7249"/>
      <c r="AH84" s="7247"/>
      <c r="AI84" s="7248"/>
      <c r="AJ84" s="7248"/>
      <c r="AK84" s="7248"/>
      <c r="AL84" s="7248"/>
      <c r="AM84" s="7248"/>
      <c r="AN84" s="7248"/>
      <c r="AO84" s="7248"/>
      <c r="AP84" s="2757"/>
      <c r="BG84" s="3013"/>
      <c r="BH84" s="2595"/>
      <c r="BI84" s="2595"/>
      <c r="BJ84" s="2595"/>
      <c r="BK84" s="2595"/>
      <c r="BL84" s="2595"/>
      <c r="BM84" s="2595"/>
      <c r="BN84" s="2595"/>
      <c r="BO84" s="2595"/>
      <c r="BP84" s="2595"/>
    </row>
    <row r="85" spans="1:69" ht="13.5" customHeight="1">
      <c r="A85" s="2757"/>
      <c r="B85" s="3124" t="s">
        <v>143</v>
      </c>
      <c r="C85" s="7214"/>
      <c r="D85" s="7215"/>
      <c r="E85" s="7215"/>
      <c r="F85" s="7215"/>
      <c r="G85" s="7215"/>
      <c r="H85" s="7215"/>
      <c r="I85" s="7215"/>
      <c r="J85" s="7216"/>
      <c r="K85" s="7214"/>
      <c r="L85" s="7215"/>
      <c r="M85" s="7215"/>
      <c r="N85" s="7215"/>
      <c r="O85" s="7215"/>
      <c r="P85" s="7215"/>
      <c r="Q85" s="7215"/>
      <c r="R85" s="7309"/>
      <c r="S85" s="7214"/>
      <c r="T85" s="7215"/>
      <c r="U85" s="7215"/>
      <c r="V85" s="7215"/>
      <c r="W85" s="7215"/>
      <c r="X85" s="7215"/>
      <c r="Y85" s="7215"/>
      <c r="Z85" s="7214"/>
      <c r="AA85" s="7215"/>
      <c r="AB85" s="7215"/>
      <c r="AC85" s="7215"/>
      <c r="AD85" s="7215"/>
      <c r="AE85" s="7215"/>
      <c r="AF85" s="7215"/>
      <c r="AG85" s="7216"/>
      <c r="AH85" s="7214"/>
      <c r="AI85" s="7215"/>
      <c r="AJ85" s="7215"/>
      <c r="AK85" s="7215"/>
      <c r="AL85" s="7215"/>
      <c r="AM85" s="7215"/>
      <c r="AN85" s="7215"/>
      <c r="AO85" s="7215"/>
      <c r="AP85" s="2757"/>
      <c r="BG85" s="3013"/>
      <c r="BH85" s="2595"/>
      <c r="BI85" s="2595"/>
      <c r="BJ85" s="2595"/>
      <c r="BK85" s="2595"/>
      <c r="BL85" s="2595"/>
      <c r="BM85" s="2595"/>
      <c r="BN85" s="2595"/>
      <c r="BO85" s="2595"/>
      <c r="BP85" s="2595"/>
    </row>
    <row r="86" spans="1:69" ht="13.5" customHeight="1">
      <c r="A86" s="2757"/>
      <c r="B86" s="3123" t="s">
        <v>288</v>
      </c>
      <c r="C86" s="7214"/>
      <c r="D86" s="7215"/>
      <c r="E86" s="7215"/>
      <c r="F86" s="7215"/>
      <c r="G86" s="7215"/>
      <c r="H86" s="7215"/>
      <c r="I86" s="7215"/>
      <c r="J86" s="7216"/>
      <c r="K86" s="7214"/>
      <c r="L86" s="7215"/>
      <c r="M86" s="7215"/>
      <c r="N86" s="7215"/>
      <c r="O86" s="7215"/>
      <c r="P86" s="7215"/>
      <c r="Q86" s="7215"/>
      <c r="R86" s="7309"/>
      <c r="S86" s="7214"/>
      <c r="T86" s="7215"/>
      <c r="U86" s="7215"/>
      <c r="V86" s="7215"/>
      <c r="W86" s="7215"/>
      <c r="X86" s="7215"/>
      <c r="Y86" s="7215"/>
      <c r="Z86" s="7214"/>
      <c r="AA86" s="7215"/>
      <c r="AB86" s="7215"/>
      <c r="AC86" s="7215"/>
      <c r="AD86" s="7215"/>
      <c r="AE86" s="7215"/>
      <c r="AF86" s="7215"/>
      <c r="AG86" s="7216"/>
      <c r="AH86" s="7214"/>
      <c r="AI86" s="7215"/>
      <c r="AJ86" s="7215"/>
      <c r="AK86" s="7215"/>
      <c r="AL86" s="7215"/>
      <c r="AM86" s="7215"/>
      <c r="AN86" s="7215"/>
      <c r="AO86" s="7215"/>
      <c r="AP86" s="2757"/>
      <c r="BG86" s="3013"/>
      <c r="BH86" s="2595"/>
      <c r="BI86" s="2595"/>
      <c r="BJ86" s="2595"/>
      <c r="BK86" s="2595"/>
      <c r="BL86" s="2595"/>
      <c r="BM86" s="2595"/>
      <c r="BN86" s="2595"/>
      <c r="BO86" s="2595"/>
      <c r="BP86" s="2595"/>
    </row>
    <row r="87" spans="1:69" ht="13.5" customHeight="1">
      <c r="A87" s="2757"/>
      <c r="B87" s="3123" t="s">
        <v>144</v>
      </c>
      <c r="C87" s="7214"/>
      <c r="D87" s="7215"/>
      <c r="E87" s="7215"/>
      <c r="F87" s="7215"/>
      <c r="G87" s="7215"/>
      <c r="H87" s="7215"/>
      <c r="I87" s="7215"/>
      <c r="J87" s="7216"/>
      <c r="K87" s="7214"/>
      <c r="L87" s="7215"/>
      <c r="M87" s="7215"/>
      <c r="N87" s="7215"/>
      <c r="O87" s="7215"/>
      <c r="P87" s="7215"/>
      <c r="Q87" s="7215"/>
      <c r="R87" s="7309"/>
      <c r="S87" s="7214"/>
      <c r="T87" s="7215"/>
      <c r="U87" s="7215"/>
      <c r="V87" s="7215"/>
      <c r="W87" s="7215"/>
      <c r="X87" s="7215"/>
      <c r="Y87" s="7215"/>
      <c r="Z87" s="7214"/>
      <c r="AA87" s="7215"/>
      <c r="AB87" s="7215"/>
      <c r="AC87" s="7215"/>
      <c r="AD87" s="7215"/>
      <c r="AE87" s="7215"/>
      <c r="AF87" s="7215"/>
      <c r="AG87" s="7216"/>
      <c r="AH87" s="7214"/>
      <c r="AI87" s="7215"/>
      <c r="AJ87" s="7215"/>
      <c r="AK87" s="7215"/>
      <c r="AL87" s="7215"/>
      <c r="AM87" s="7215"/>
      <c r="AN87" s="7215"/>
      <c r="AO87" s="7215"/>
      <c r="AP87" s="2757"/>
      <c r="BG87" s="3013"/>
      <c r="BH87" s="2595"/>
      <c r="BI87" s="2595"/>
      <c r="BJ87" s="2595"/>
      <c r="BK87" s="2595"/>
      <c r="BL87" s="2595"/>
      <c r="BM87" s="2595"/>
      <c r="BN87" s="2595"/>
      <c r="BO87" s="2595"/>
      <c r="BP87" s="2595"/>
    </row>
    <row r="88" spans="1:69" ht="13.5" customHeight="1">
      <c r="A88" s="2757"/>
      <c r="B88" s="3123" t="s">
        <v>290</v>
      </c>
      <c r="C88" s="7214"/>
      <c r="D88" s="7215"/>
      <c r="E88" s="7215"/>
      <c r="F88" s="7215"/>
      <c r="G88" s="7215"/>
      <c r="H88" s="7215"/>
      <c r="I88" s="7215"/>
      <c r="J88" s="7216"/>
      <c r="K88" s="7214"/>
      <c r="L88" s="7215"/>
      <c r="M88" s="7215"/>
      <c r="N88" s="7215"/>
      <c r="O88" s="7215"/>
      <c r="P88" s="7215"/>
      <c r="Q88" s="7215"/>
      <c r="R88" s="7309"/>
      <c r="S88" s="7214"/>
      <c r="T88" s="7215"/>
      <c r="U88" s="7215"/>
      <c r="V88" s="7215"/>
      <c r="W88" s="7215"/>
      <c r="X88" s="7215"/>
      <c r="Y88" s="7215"/>
      <c r="Z88" s="7214"/>
      <c r="AA88" s="7215"/>
      <c r="AB88" s="7215"/>
      <c r="AC88" s="7215"/>
      <c r="AD88" s="7215"/>
      <c r="AE88" s="7215"/>
      <c r="AF88" s="7215"/>
      <c r="AG88" s="7216"/>
      <c r="AH88" s="7214"/>
      <c r="AI88" s="7215"/>
      <c r="AJ88" s="7215"/>
      <c r="AK88" s="7215"/>
      <c r="AL88" s="7215"/>
      <c r="AM88" s="7215"/>
      <c r="AN88" s="7215"/>
      <c r="AO88" s="7215"/>
      <c r="AP88" s="2757"/>
      <c r="BG88" s="3013"/>
      <c r="BH88" s="2595"/>
      <c r="BI88" s="2595"/>
      <c r="BJ88" s="2595"/>
      <c r="BK88" s="2595"/>
      <c r="BL88" s="2595"/>
      <c r="BM88" s="2595"/>
      <c r="BN88" s="2595"/>
      <c r="BO88" s="2595"/>
      <c r="BP88" s="2595"/>
    </row>
    <row r="89" spans="1:69" ht="13.5" customHeight="1">
      <c r="A89" s="2757"/>
      <c r="B89" s="7196" t="s">
        <v>1662</v>
      </c>
      <c r="C89" s="7196"/>
      <c r="D89" s="3490"/>
      <c r="E89" s="3490" t="s">
        <v>2363</v>
      </c>
      <c r="F89" s="1190"/>
      <c r="G89" s="3020"/>
      <c r="H89" s="3020"/>
      <c r="I89" s="3020"/>
      <c r="J89" s="1191"/>
      <c r="K89" s="7251">
        <f>ROUND(SUM(K85:K88),0)</f>
        <v>0</v>
      </c>
      <c r="L89" s="7252"/>
      <c r="M89" s="7252"/>
      <c r="N89" s="7252"/>
      <c r="O89" s="7252"/>
      <c r="P89" s="7252"/>
      <c r="Q89" s="7252"/>
      <c r="R89" s="7253"/>
      <c r="S89" s="7297"/>
      <c r="T89" s="7298"/>
      <c r="U89" s="7298"/>
      <c r="V89" s="7298"/>
      <c r="W89" s="7298"/>
      <c r="X89" s="7298"/>
      <c r="Y89" s="7298"/>
      <c r="Z89" s="3020"/>
      <c r="AA89" s="3020"/>
      <c r="AB89" s="3020"/>
      <c r="AC89" s="3020"/>
      <c r="AD89" s="3020"/>
      <c r="AE89" s="3020"/>
      <c r="AF89" s="3020"/>
      <c r="AG89" s="1191"/>
      <c r="AH89" s="7218">
        <f>ROUND(SUM(AH85:AH88),0)</f>
        <v>0</v>
      </c>
      <c r="AI89" s="7299"/>
      <c r="AJ89" s="7299"/>
      <c r="AK89" s="7299"/>
      <c r="AL89" s="7299"/>
      <c r="AM89" s="7299"/>
      <c r="AN89" s="7299"/>
      <c r="AO89" s="7299"/>
      <c r="AP89" s="2757"/>
      <c r="BG89" s="3013"/>
      <c r="BH89" s="2595"/>
      <c r="BI89" s="2595"/>
      <c r="BJ89" s="2595"/>
      <c r="BK89" s="2595"/>
      <c r="BL89" s="2595"/>
      <c r="BM89" s="2595"/>
      <c r="BN89" s="2595"/>
      <c r="BO89" s="2595"/>
      <c r="BP89" s="2595"/>
    </row>
    <row r="90" spans="1:69" ht="13.5" customHeight="1">
      <c r="A90" s="2757"/>
      <c r="B90" s="7254" t="s">
        <v>47</v>
      </c>
      <c r="C90" s="7254"/>
      <c r="D90" s="2686"/>
      <c r="E90" s="3490" t="s">
        <v>2363</v>
      </c>
      <c r="F90" s="7218">
        <f>ROUND(SUM(C85:C88),0)</f>
        <v>0</v>
      </c>
      <c r="G90" s="7299"/>
      <c r="H90" s="7299"/>
      <c r="I90" s="7299"/>
      <c r="J90" s="7300"/>
      <c r="K90" s="7301"/>
      <c r="L90" s="7302"/>
      <c r="M90" s="7302"/>
      <c r="N90" s="7302"/>
      <c r="O90" s="7302"/>
      <c r="P90" s="7302"/>
      <c r="Q90" s="7302"/>
      <c r="R90" s="7303"/>
      <c r="S90" s="7304">
        <f>ROUND(SUM(S85:S88),0)</f>
        <v>0</v>
      </c>
      <c r="T90" s="7252"/>
      <c r="U90" s="7252"/>
      <c r="V90" s="7252"/>
      <c r="W90" s="7252"/>
      <c r="X90" s="7252"/>
      <c r="Y90" s="7305"/>
      <c r="Z90" s="7306">
        <f>ROUND(SUM(Z85:Z88),0)</f>
        <v>0</v>
      </c>
      <c r="AA90" s="7306"/>
      <c r="AB90" s="7306"/>
      <c r="AC90" s="7306"/>
      <c r="AD90" s="7306"/>
      <c r="AE90" s="7306"/>
      <c r="AF90" s="7306"/>
      <c r="AG90" s="7306"/>
      <c r="AH90" s="7307"/>
      <c r="AI90" s="7307"/>
      <c r="AJ90" s="7307"/>
      <c r="AK90" s="7307"/>
      <c r="AL90" s="7307"/>
      <c r="AM90" s="7307"/>
      <c r="AN90" s="7307"/>
      <c r="AO90" s="7308"/>
      <c r="AP90" s="2757"/>
      <c r="BG90" s="3013"/>
      <c r="BH90" s="2595"/>
      <c r="BI90" s="2595"/>
      <c r="BJ90" s="2595"/>
      <c r="BK90" s="2595"/>
      <c r="BL90" s="2595"/>
      <c r="BM90" s="2595"/>
      <c r="BN90" s="2595"/>
      <c r="BO90" s="2595"/>
      <c r="BP90" s="2595"/>
    </row>
    <row r="91" spans="1:69" ht="12.75" customHeight="1">
      <c r="A91" s="2757"/>
      <c r="B91" s="7191">
        <v>30</v>
      </c>
      <c r="C91" s="7191"/>
      <c r="D91" s="2686" t="s">
        <v>2364</v>
      </c>
      <c r="E91" s="1179"/>
      <c r="F91" s="1179"/>
      <c r="G91" s="1179"/>
      <c r="H91" s="1179"/>
      <c r="I91" s="1179"/>
      <c r="J91" s="1179"/>
      <c r="K91" s="1179"/>
      <c r="L91" s="1179"/>
      <c r="M91" s="1179"/>
      <c r="N91" s="1179"/>
      <c r="O91" s="1179"/>
      <c r="P91" s="1179"/>
      <c r="Q91" s="1179"/>
      <c r="R91" s="1179"/>
      <c r="S91" s="1179"/>
      <c r="T91" s="1179"/>
      <c r="U91" s="1179"/>
      <c r="V91" s="1179"/>
      <c r="W91" s="1179"/>
      <c r="X91" s="1179"/>
      <c r="Y91" s="1179"/>
      <c r="Z91" s="1179"/>
      <c r="AA91" s="1179"/>
      <c r="AB91" s="1179"/>
      <c r="AC91" s="1179"/>
      <c r="AD91" s="1179"/>
      <c r="AE91" s="3489" t="s">
        <v>428</v>
      </c>
      <c r="AF91" s="7288">
        <v>30</v>
      </c>
      <c r="AG91" s="7289"/>
      <c r="AH91" s="7224">
        <f>SUM(K89,AH89)</f>
        <v>0</v>
      </c>
      <c r="AI91" s="7290"/>
      <c r="AJ91" s="7290"/>
      <c r="AK91" s="7290"/>
      <c r="AL91" s="7290"/>
      <c r="AM91" s="7290"/>
      <c r="AN91" s="7290"/>
      <c r="AO91" s="7290"/>
      <c r="AP91" s="2757"/>
      <c r="AQ91" s="385"/>
      <c r="AR91" s="385"/>
      <c r="AS91" s="385"/>
      <c r="BG91" s="3013"/>
      <c r="BH91" s="2595"/>
      <c r="BI91" s="2595"/>
      <c r="BJ91" s="2595"/>
      <c r="BK91" s="2595"/>
      <c r="BL91" s="2595"/>
      <c r="BM91" s="2595"/>
      <c r="BN91" s="2595"/>
      <c r="BO91" s="2595"/>
      <c r="BP91" s="2595"/>
    </row>
    <row r="92" spans="1:69" ht="12.75" customHeight="1" thickBot="1">
      <c r="A92" s="2757"/>
      <c r="B92" s="7191">
        <v>31</v>
      </c>
      <c r="C92" s="7191"/>
      <c r="D92" s="2686" t="s">
        <v>2365</v>
      </c>
      <c r="E92" s="1179"/>
      <c r="F92" s="1179"/>
      <c r="G92" s="1179"/>
      <c r="H92" s="1179"/>
      <c r="I92" s="1179"/>
      <c r="J92" s="1179"/>
      <c r="K92" s="1179"/>
      <c r="L92" s="1179"/>
      <c r="M92" s="1179"/>
      <c r="N92" s="1179"/>
      <c r="O92" s="1179"/>
      <c r="P92" s="1179"/>
      <c r="Q92" s="1179"/>
      <c r="R92" s="1179"/>
      <c r="S92" s="1179"/>
      <c r="T92" s="1179"/>
      <c r="U92" s="1179"/>
      <c r="V92" s="1179"/>
      <c r="W92" s="1179"/>
      <c r="X92" s="1179"/>
      <c r="Y92" s="1179"/>
      <c r="Z92" s="1179"/>
      <c r="AA92" s="1179"/>
      <c r="AB92" s="1179"/>
      <c r="AC92" s="1179"/>
      <c r="AD92" s="1179"/>
      <c r="AE92" s="3489" t="s">
        <v>94</v>
      </c>
      <c r="AF92" s="7288">
        <v>31</v>
      </c>
      <c r="AG92" s="7289"/>
      <c r="AH92" s="3494" t="s">
        <v>916</v>
      </c>
      <c r="AI92" s="7291">
        <f>SUM(F90,S90,Z90)</f>
        <v>0</v>
      </c>
      <c r="AJ92" s="7141"/>
      <c r="AK92" s="7141"/>
      <c r="AL92" s="7141"/>
      <c r="AM92" s="7141"/>
      <c r="AN92" s="7141"/>
      <c r="AO92" s="3495" t="s">
        <v>917</v>
      </c>
      <c r="AP92" s="2757"/>
      <c r="AQ92" s="385"/>
      <c r="AR92" s="2410" t="s">
        <v>91</v>
      </c>
      <c r="AS92" s="385"/>
      <c r="BG92" s="3013"/>
      <c r="BH92" s="2595"/>
      <c r="BI92" s="2595"/>
      <c r="BJ92" s="2595"/>
      <c r="BK92" s="2595"/>
      <c r="BL92" s="2595"/>
      <c r="BM92" s="2595"/>
      <c r="BN92" s="2595"/>
      <c r="BO92" s="2595"/>
      <c r="BP92" s="2595"/>
    </row>
    <row r="93" spans="1:69" ht="12.75" customHeight="1" thickBot="1">
      <c r="A93" s="2757"/>
      <c r="B93" s="7292">
        <v>32</v>
      </c>
      <c r="C93" s="7292"/>
      <c r="D93" s="4231" t="s">
        <v>2366</v>
      </c>
      <c r="E93" s="1280"/>
      <c r="F93" s="1280"/>
      <c r="G93" s="1280"/>
      <c r="H93" s="1280"/>
      <c r="I93" s="1280"/>
      <c r="J93" s="1280"/>
      <c r="K93" s="1280"/>
      <c r="L93" s="1280"/>
      <c r="M93" s="1280"/>
      <c r="N93" s="1280"/>
      <c r="O93" s="1280"/>
      <c r="P93" s="1280"/>
      <c r="Q93" s="1280"/>
      <c r="R93" s="1280"/>
      <c r="S93" s="1280"/>
      <c r="T93" s="1280"/>
      <c r="U93" s="1280"/>
      <c r="V93" s="1280"/>
      <c r="W93" s="1280"/>
      <c r="X93" s="1280"/>
      <c r="Y93" s="1280"/>
      <c r="Z93" s="1280"/>
      <c r="AA93" s="1280"/>
      <c r="AB93" s="1280"/>
      <c r="AC93" s="1280"/>
      <c r="AD93" s="1280"/>
      <c r="AE93" s="3491" t="s">
        <v>697</v>
      </c>
      <c r="AF93" s="7293">
        <v>32</v>
      </c>
      <c r="AG93" s="7294"/>
      <c r="AH93" s="7295">
        <f>IF(AR93&lt;&gt;"",ROUND(AR93,0),SUM(AH91,-AI92))</f>
        <v>0</v>
      </c>
      <c r="AI93" s="7296"/>
      <c r="AJ93" s="7296"/>
      <c r="AK93" s="7296"/>
      <c r="AL93" s="7296"/>
      <c r="AM93" s="7296"/>
      <c r="AN93" s="7296"/>
      <c r="AO93" s="7296"/>
      <c r="AP93" s="2757"/>
      <c r="AQ93" s="385"/>
      <c r="AR93" s="3141"/>
      <c r="AS93" s="385"/>
      <c r="BG93" s="3013"/>
      <c r="BH93" s="2595"/>
      <c r="BI93" s="2595"/>
      <c r="BJ93" s="2595"/>
      <c r="BK93" s="2595"/>
      <c r="BL93" s="2595"/>
      <c r="BM93" s="2595"/>
      <c r="BN93" s="2595"/>
      <c r="BO93" s="2595"/>
      <c r="BP93" s="2595"/>
    </row>
    <row r="94" spans="1:69" s="2689" customFormat="1" ht="17.25" customHeight="1">
      <c r="A94" s="2758"/>
      <c r="B94" s="7274" t="s">
        <v>319</v>
      </c>
      <c r="C94" s="7274"/>
      <c r="D94" s="7275"/>
      <c r="E94" s="1397"/>
      <c r="F94" s="3493" t="s">
        <v>2367</v>
      </c>
      <c r="G94" s="1397"/>
      <c r="H94" s="1397"/>
      <c r="I94" s="1397"/>
      <c r="J94" s="1397"/>
      <c r="K94" s="1397"/>
      <c r="L94" s="1397"/>
      <c r="M94" s="1397"/>
      <c r="N94" s="1397"/>
      <c r="O94" s="1397"/>
      <c r="P94" s="1397"/>
      <c r="Q94" s="1397"/>
      <c r="R94" s="1397"/>
      <c r="S94" s="1397"/>
      <c r="T94" s="1397"/>
      <c r="U94" s="1397"/>
      <c r="V94" s="1397"/>
      <c r="W94" s="1397"/>
      <c r="X94" s="2791"/>
      <c r="Y94" s="1397"/>
      <c r="Z94" s="1397"/>
      <c r="AA94" s="1397"/>
      <c r="AB94" s="1397"/>
      <c r="AC94" s="1397"/>
      <c r="AD94" s="1397"/>
      <c r="AE94" s="1397"/>
      <c r="AF94" s="1397"/>
      <c r="AG94" s="1397"/>
      <c r="AH94" s="1397"/>
      <c r="AI94" s="1397"/>
      <c r="AJ94" s="1397"/>
      <c r="AK94" s="1397"/>
      <c r="AL94" s="1397"/>
      <c r="AM94" s="1397"/>
      <c r="AN94" s="1397"/>
      <c r="AO94" s="1397"/>
      <c r="AP94" s="2757"/>
      <c r="AQ94" s="385"/>
      <c r="AR94" s="385"/>
      <c r="AS94" s="385"/>
      <c r="AX94" s="42"/>
      <c r="AY94" s="42"/>
      <c r="AZ94" s="42"/>
      <c r="BA94" s="42"/>
      <c r="BB94" s="42"/>
      <c r="BC94" s="42"/>
      <c r="BD94" s="42"/>
      <c r="BG94" s="3013"/>
      <c r="BH94" s="2595"/>
      <c r="BI94" s="2595"/>
      <c r="BJ94" s="2595"/>
      <c r="BK94" s="2595"/>
      <c r="BL94" s="2595"/>
      <c r="BM94" s="2595"/>
      <c r="BN94" s="2595"/>
      <c r="BO94" s="2595"/>
      <c r="BP94" s="2595"/>
      <c r="BQ94" s="3402"/>
    </row>
    <row r="95" spans="1:69" ht="12.75" customHeight="1">
      <c r="A95" s="2757"/>
      <c r="B95" s="1574"/>
      <c r="C95" s="1574"/>
      <c r="D95" s="1574"/>
      <c r="E95" s="1574"/>
      <c r="F95" s="1574"/>
      <c r="G95" s="1574"/>
      <c r="H95" s="1574"/>
      <c r="I95" s="1574"/>
      <c r="J95" s="1574"/>
      <c r="K95" s="1574"/>
      <c r="L95" s="1574"/>
      <c r="M95" s="1574"/>
      <c r="N95" s="1574"/>
      <c r="O95" s="1574"/>
      <c r="P95" s="1574"/>
      <c r="Q95" s="1574"/>
      <c r="R95" s="1574"/>
      <c r="S95" s="1574"/>
      <c r="T95" s="1574"/>
      <c r="U95" s="1574"/>
      <c r="V95" s="1574"/>
      <c r="W95" s="1574"/>
      <c r="X95" s="1574"/>
      <c r="Y95" s="1574"/>
      <c r="Z95" s="1574"/>
      <c r="AA95" s="1574"/>
      <c r="AB95" s="1574"/>
      <c r="AC95" s="1574"/>
      <c r="AD95" s="1574"/>
      <c r="AE95" s="1574"/>
      <c r="AF95" s="1574"/>
      <c r="AG95" s="1575"/>
      <c r="AH95" s="7241" t="s">
        <v>2368</v>
      </c>
      <c r="AI95" s="7276"/>
      <c r="AJ95" s="7276"/>
      <c r="AK95" s="7276"/>
      <c r="AL95" s="7276"/>
      <c r="AM95" s="7276"/>
      <c r="AN95" s="7276"/>
      <c r="AO95" s="7276"/>
      <c r="AP95" s="2757"/>
      <c r="BG95" s="3013"/>
      <c r="BH95" s="2595"/>
      <c r="BI95" s="2595"/>
      <c r="BJ95" s="2595"/>
      <c r="BK95" s="2595"/>
      <c r="BL95" s="2595"/>
      <c r="BM95" s="2595"/>
      <c r="BN95" s="2595"/>
      <c r="BO95" s="2595"/>
      <c r="BP95" s="2595"/>
    </row>
    <row r="96" spans="1:69" ht="12.75" customHeight="1">
      <c r="A96" s="2757"/>
      <c r="B96" s="7250">
        <v>33</v>
      </c>
      <c r="C96" s="6371"/>
      <c r="D96" s="1179"/>
      <c r="E96" s="1179"/>
      <c r="F96" s="1179"/>
      <c r="G96" s="1179"/>
      <c r="H96" s="1179"/>
      <c r="I96" s="1179"/>
      <c r="J96" s="1179"/>
      <c r="K96" s="1179"/>
      <c r="L96" s="1179"/>
      <c r="M96" s="1179"/>
      <c r="N96" s="1179"/>
      <c r="O96" s="1179"/>
      <c r="P96" s="1276" t="s">
        <v>2353</v>
      </c>
      <c r="Q96" s="1179"/>
      <c r="R96" s="1179"/>
      <c r="S96" s="1179"/>
      <c r="T96" s="1179"/>
      <c r="U96" s="1179"/>
      <c r="V96" s="1179"/>
      <c r="W96" s="1179"/>
      <c r="X96" s="1179"/>
      <c r="Y96" s="1179"/>
      <c r="Z96" s="1179"/>
      <c r="AA96" s="1179"/>
      <c r="AB96" s="1179"/>
      <c r="AC96" s="1179"/>
      <c r="AD96" s="1179"/>
      <c r="AE96" s="1179"/>
      <c r="AF96" s="1179"/>
      <c r="AG96" s="1583"/>
      <c r="AH96" s="7277"/>
      <c r="AI96" s="7179"/>
      <c r="AJ96" s="7179"/>
      <c r="AK96" s="7179"/>
      <c r="AL96" s="7179"/>
      <c r="AM96" s="7179"/>
      <c r="AN96" s="7179"/>
      <c r="AO96" s="7179"/>
      <c r="AP96" s="2757"/>
      <c r="AX96" s="2689"/>
      <c r="AY96" s="2689"/>
      <c r="AZ96" s="2689"/>
      <c r="BA96" s="2689"/>
      <c r="BB96" s="2689"/>
      <c r="BC96" s="2689"/>
      <c r="BD96" s="2689"/>
      <c r="BG96" s="3013"/>
      <c r="BH96" s="2595"/>
      <c r="BI96" s="2595"/>
      <c r="BJ96" s="2595"/>
      <c r="BK96" s="2595"/>
      <c r="BL96" s="2595"/>
      <c r="BM96" s="2595"/>
      <c r="BN96" s="2595"/>
      <c r="BO96" s="2595"/>
      <c r="BP96" s="2595"/>
    </row>
    <row r="97" spans="1:69" ht="12.75" customHeight="1">
      <c r="A97" s="2757"/>
      <c r="B97" s="1553"/>
      <c r="C97" s="1553"/>
      <c r="D97" s="1553"/>
      <c r="E97" s="1553"/>
      <c r="F97" s="1553"/>
      <c r="G97" s="1553"/>
      <c r="H97" s="1553"/>
      <c r="I97" s="1553"/>
      <c r="J97" s="1553"/>
      <c r="K97" s="1553"/>
      <c r="L97" s="1553"/>
      <c r="M97" s="1553"/>
      <c r="N97" s="1553"/>
      <c r="O97" s="1553"/>
      <c r="P97" s="1553"/>
      <c r="Q97" s="1553"/>
      <c r="R97" s="1553"/>
      <c r="S97" s="1553"/>
      <c r="T97" s="1553"/>
      <c r="U97" s="1553"/>
      <c r="V97" s="1553"/>
      <c r="W97" s="1553"/>
      <c r="X97" s="1553"/>
      <c r="Y97" s="1553"/>
      <c r="Z97" s="1553"/>
      <c r="AA97" s="1553"/>
      <c r="AB97" s="1553"/>
      <c r="AC97" s="1553"/>
      <c r="AD97" s="1553"/>
      <c r="AE97" s="1553"/>
      <c r="AF97" s="1553"/>
      <c r="AG97" s="3008"/>
      <c r="AH97" s="7278"/>
      <c r="AI97" s="6763"/>
      <c r="AJ97" s="6763"/>
      <c r="AK97" s="6763"/>
      <c r="AL97" s="6763"/>
      <c r="AM97" s="6763"/>
      <c r="AN97" s="6763"/>
      <c r="AO97" s="6763"/>
      <c r="AP97" s="2757"/>
      <c r="BG97" s="3013"/>
      <c r="BH97" s="2595"/>
      <c r="BI97" s="2595"/>
      <c r="BJ97" s="2595"/>
      <c r="BK97" s="2595"/>
      <c r="BL97" s="2595"/>
      <c r="BM97" s="2595"/>
      <c r="BN97" s="2595"/>
      <c r="BO97" s="2595"/>
      <c r="BP97" s="2595"/>
    </row>
    <row r="98" spans="1:69" ht="13.5" customHeight="1">
      <c r="A98" s="2757"/>
      <c r="B98" s="3124" t="s">
        <v>143</v>
      </c>
      <c r="C98" s="7279"/>
      <c r="D98" s="7280"/>
      <c r="E98" s="7280"/>
      <c r="F98" s="7280"/>
      <c r="G98" s="7280"/>
      <c r="H98" s="7280"/>
      <c r="I98" s="7280"/>
      <c r="J98" s="7280"/>
      <c r="K98" s="7281"/>
      <c r="L98" s="7281"/>
      <c r="M98" s="7281"/>
      <c r="N98" s="7281"/>
      <c r="O98" s="7281"/>
      <c r="P98" s="7281"/>
      <c r="Q98" s="7281"/>
      <c r="R98" s="7281"/>
      <c r="S98" s="7281"/>
      <c r="T98" s="7281"/>
      <c r="U98" s="7281"/>
      <c r="V98" s="7281"/>
      <c r="W98" s="7281"/>
      <c r="X98" s="7281"/>
      <c r="Y98" s="7281"/>
      <c r="Z98" s="7281"/>
      <c r="AA98" s="7281"/>
      <c r="AB98" s="7281"/>
      <c r="AC98" s="7281"/>
      <c r="AD98" s="7281"/>
      <c r="AE98" s="7281"/>
      <c r="AF98" s="7281"/>
      <c r="AG98" s="7282"/>
      <c r="AH98" s="7283"/>
      <c r="AI98" s="7284"/>
      <c r="AJ98" s="7284"/>
      <c r="AK98" s="7284"/>
      <c r="AL98" s="7284"/>
      <c r="AM98" s="7284"/>
      <c r="AN98" s="7284"/>
      <c r="AO98" s="7284"/>
      <c r="AP98" s="2757"/>
      <c r="BG98" s="3013"/>
      <c r="BH98" s="2595"/>
      <c r="BI98" s="2595"/>
      <c r="BJ98" s="2595"/>
      <c r="BK98" s="2595"/>
      <c r="BL98" s="2595"/>
      <c r="BM98" s="2595"/>
      <c r="BN98" s="2595"/>
      <c r="BO98" s="2595"/>
      <c r="BP98" s="2595"/>
    </row>
    <row r="99" spans="1:69" ht="13.5" customHeight="1">
      <c r="A99" s="2757"/>
      <c r="B99" s="3123" t="s">
        <v>288</v>
      </c>
      <c r="C99" s="7279"/>
      <c r="D99" s="7280"/>
      <c r="E99" s="7280"/>
      <c r="F99" s="7280"/>
      <c r="G99" s="7280"/>
      <c r="H99" s="7280"/>
      <c r="I99" s="7280"/>
      <c r="J99" s="7280"/>
      <c r="K99" s="7281"/>
      <c r="L99" s="7281"/>
      <c r="M99" s="7281"/>
      <c r="N99" s="7281"/>
      <c r="O99" s="7281"/>
      <c r="P99" s="7281"/>
      <c r="Q99" s="7281"/>
      <c r="R99" s="7281"/>
      <c r="S99" s="7281"/>
      <c r="T99" s="7281"/>
      <c r="U99" s="7281"/>
      <c r="V99" s="7281"/>
      <c r="W99" s="7281"/>
      <c r="X99" s="7281"/>
      <c r="Y99" s="7281"/>
      <c r="Z99" s="7281"/>
      <c r="AA99" s="7281"/>
      <c r="AB99" s="7281"/>
      <c r="AC99" s="7281"/>
      <c r="AD99" s="7281"/>
      <c r="AE99" s="7281"/>
      <c r="AF99" s="7281"/>
      <c r="AG99" s="7282"/>
      <c r="AH99" s="7283"/>
      <c r="AI99" s="7284"/>
      <c r="AJ99" s="7284"/>
      <c r="AK99" s="7284"/>
      <c r="AL99" s="7284"/>
      <c r="AM99" s="7284"/>
      <c r="AN99" s="7284"/>
      <c r="AO99" s="7284"/>
      <c r="AP99" s="2757"/>
      <c r="BG99" s="3013"/>
      <c r="BH99" s="2595"/>
      <c r="BI99" s="2595"/>
      <c r="BJ99" s="2595"/>
      <c r="BK99" s="2595"/>
      <c r="BL99" s="2595"/>
      <c r="BM99" s="2595"/>
      <c r="BN99" s="2595"/>
      <c r="BO99" s="2595"/>
      <c r="BP99" s="2595"/>
    </row>
    <row r="100" spans="1:69" ht="17.25" customHeight="1">
      <c r="A100" s="2757"/>
      <c r="B100" s="7285" t="s">
        <v>679</v>
      </c>
      <c r="C100" s="6206"/>
      <c r="D100" s="6206"/>
      <c r="E100" s="6206"/>
      <c r="F100" s="6206"/>
      <c r="G100" s="6206"/>
      <c r="H100" s="6206"/>
      <c r="I100" s="6206"/>
      <c r="J100" s="6206"/>
      <c r="K100" s="6206"/>
      <c r="L100" s="6206"/>
      <c r="M100" s="6206"/>
      <c r="N100" s="6206"/>
      <c r="O100" s="6206"/>
      <c r="P100" s="6206"/>
      <c r="Q100" s="6206"/>
      <c r="R100" s="6206"/>
      <c r="S100" s="6206"/>
      <c r="T100" s="6206"/>
      <c r="U100" s="6206"/>
      <c r="V100" s="6206"/>
      <c r="W100" s="6206"/>
      <c r="X100" s="7286"/>
      <c r="Y100" s="7287" t="s">
        <v>680</v>
      </c>
      <c r="Z100" s="6206"/>
      <c r="AA100" s="6206"/>
      <c r="AB100" s="6206"/>
      <c r="AC100" s="6206"/>
      <c r="AD100" s="6206"/>
      <c r="AE100" s="6206"/>
      <c r="AF100" s="6206"/>
      <c r="AG100" s="6206"/>
      <c r="AH100" s="6206"/>
      <c r="AI100" s="6206"/>
      <c r="AJ100" s="6206"/>
      <c r="AK100" s="6206"/>
      <c r="AL100" s="6206"/>
      <c r="AM100" s="6206"/>
      <c r="AN100" s="6206"/>
      <c r="AO100" s="6206"/>
      <c r="AP100" s="2757"/>
      <c r="BG100" s="3013"/>
      <c r="BH100" s="2595"/>
      <c r="BI100" s="2595"/>
      <c r="BJ100" s="2595"/>
      <c r="BK100" s="2595"/>
      <c r="BL100" s="2595"/>
      <c r="BM100" s="2595"/>
      <c r="BN100" s="2595"/>
      <c r="BO100" s="2595"/>
      <c r="BP100" s="2595"/>
    </row>
    <row r="101" spans="1:69" ht="12.75" customHeight="1">
      <c r="A101" s="2757"/>
      <c r="B101" s="7257" t="s">
        <v>2372</v>
      </c>
      <c r="C101" s="6720"/>
      <c r="D101" s="6720"/>
      <c r="E101" s="6720"/>
      <c r="F101" s="6720"/>
      <c r="G101" s="6720"/>
      <c r="H101" s="6720"/>
      <c r="I101" s="6720"/>
      <c r="J101" s="6720"/>
      <c r="K101" s="6720"/>
      <c r="L101" s="6720"/>
      <c r="M101" s="6720"/>
      <c r="N101" s="7258"/>
      <c r="O101" s="7261" t="s">
        <v>2370</v>
      </c>
      <c r="P101" s="6869"/>
      <c r="Q101" s="6869"/>
      <c r="R101" s="6869"/>
      <c r="S101" s="6869"/>
      <c r="T101" s="6869"/>
      <c r="U101" s="6869"/>
      <c r="V101" s="6869"/>
      <c r="W101" s="6869"/>
      <c r="X101" s="6869"/>
      <c r="Y101" s="7266" t="s">
        <v>2369</v>
      </c>
      <c r="Z101" s="6720"/>
      <c r="AA101" s="6720"/>
      <c r="AB101" s="6720"/>
      <c r="AC101" s="6720"/>
      <c r="AD101" s="6720"/>
      <c r="AE101" s="6720"/>
      <c r="AF101" s="6720"/>
      <c r="AG101" s="7258"/>
      <c r="AH101" s="7261" t="s">
        <v>2371</v>
      </c>
      <c r="AI101" s="6869"/>
      <c r="AJ101" s="6869"/>
      <c r="AK101" s="6869"/>
      <c r="AL101" s="6869"/>
      <c r="AM101" s="6869"/>
      <c r="AN101" s="6869"/>
      <c r="AO101" s="6869"/>
      <c r="AP101" s="2757"/>
      <c r="BG101" s="3013"/>
      <c r="BH101" s="2595"/>
      <c r="BI101" s="2595"/>
      <c r="BJ101" s="2595"/>
      <c r="BK101" s="2595"/>
      <c r="BL101" s="2595"/>
      <c r="BM101" s="2595"/>
      <c r="BN101" s="2595"/>
      <c r="BO101" s="2595"/>
      <c r="BP101" s="2595"/>
    </row>
    <row r="102" spans="1:69" ht="12.75" customHeight="1">
      <c r="A102" s="2757"/>
      <c r="B102" s="6618"/>
      <c r="C102" s="6618"/>
      <c r="D102" s="6618"/>
      <c r="E102" s="6618"/>
      <c r="F102" s="6618"/>
      <c r="G102" s="6618"/>
      <c r="H102" s="6618"/>
      <c r="I102" s="6618"/>
      <c r="J102" s="6618"/>
      <c r="K102" s="6618"/>
      <c r="L102" s="6618"/>
      <c r="M102" s="6618"/>
      <c r="N102" s="7259"/>
      <c r="O102" s="7262"/>
      <c r="P102" s="7263"/>
      <c r="Q102" s="7263"/>
      <c r="R102" s="7263"/>
      <c r="S102" s="7263"/>
      <c r="T102" s="7263"/>
      <c r="U102" s="7263"/>
      <c r="V102" s="7263"/>
      <c r="W102" s="7263"/>
      <c r="X102" s="7263"/>
      <c r="Y102" s="6721"/>
      <c r="Z102" s="6618"/>
      <c r="AA102" s="6618"/>
      <c r="AB102" s="6618"/>
      <c r="AC102" s="6618"/>
      <c r="AD102" s="6618"/>
      <c r="AE102" s="6618"/>
      <c r="AF102" s="6618"/>
      <c r="AG102" s="7259"/>
      <c r="AH102" s="7262"/>
      <c r="AI102" s="7263"/>
      <c r="AJ102" s="7263"/>
      <c r="AK102" s="7263"/>
      <c r="AL102" s="7263"/>
      <c r="AM102" s="7263"/>
      <c r="AN102" s="7263"/>
      <c r="AO102" s="7263"/>
      <c r="AP102" s="2757"/>
      <c r="BG102" s="3013"/>
      <c r="BH102" s="2595"/>
      <c r="BI102" s="2595"/>
      <c r="BJ102" s="2595"/>
      <c r="BK102" s="2595"/>
      <c r="BL102" s="2595"/>
      <c r="BM102" s="2595"/>
      <c r="BN102" s="2595"/>
      <c r="BO102" s="2595"/>
      <c r="BP102" s="2595"/>
    </row>
    <row r="103" spans="1:69" ht="12.75" customHeight="1">
      <c r="A103" s="2757"/>
      <c r="B103" s="6616"/>
      <c r="C103" s="6616"/>
      <c r="D103" s="6616"/>
      <c r="E103" s="6616"/>
      <c r="F103" s="6616"/>
      <c r="G103" s="6616"/>
      <c r="H103" s="6616"/>
      <c r="I103" s="6616"/>
      <c r="J103" s="6616"/>
      <c r="K103" s="6616"/>
      <c r="L103" s="6616"/>
      <c r="M103" s="6616"/>
      <c r="N103" s="7260"/>
      <c r="O103" s="7264"/>
      <c r="P103" s="7265"/>
      <c r="Q103" s="7265"/>
      <c r="R103" s="7265"/>
      <c r="S103" s="7265"/>
      <c r="T103" s="7265"/>
      <c r="U103" s="7265"/>
      <c r="V103" s="7265"/>
      <c r="W103" s="7265"/>
      <c r="X103" s="7265"/>
      <c r="Y103" s="7267"/>
      <c r="Z103" s="6616"/>
      <c r="AA103" s="6616"/>
      <c r="AB103" s="6616"/>
      <c r="AC103" s="6616"/>
      <c r="AD103" s="6616"/>
      <c r="AE103" s="6616"/>
      <c r="AF103" s="6616"/>
      <c r="AG103" s="7260"/>
      <c r="AH103" s="7264"/>
      <c r="AI103" s="7265"/>
      <c r="AJ103" s="7265"/>
      <c r="AK103" s="7265"/>
      <c r="AL103" s="7265"/>
      <c r="AM103" s="7265"/>
      <c r="AN103" s="7265"/>
      <c r="AO103" s="7265"/>
      <c r="AP103" s="2757"/>
      <c r="BG103" s="3013"/>
      <c r="BH103" s="2595"/>
      <c r="BI103" s="2595"/>
      <c r="BJ103" s="2595"/>
      <c r="BK103" s="2595"/>
      <c r="BL103" s="2595"/>
      <c r="BM103" s="2595"/>
      <c r="BN103" s="2595"/>
      <c r="BO103" s="2595"/>
      <c r="BP103" s="2595"/>
    </row>
    <row r="104" spans="1:69" ht="13.5" customHeight="1">
      <c r="A104" s="2757"/>
      <c r="B104" s="3124" t="s">
        <v>143</v>
      </c>
      <c r="C104" s="7199"/>
      <c r="D104" s="7200"/>
      <c r="E104" s="7200"/>
      <c r="F104" s="7200"/>
      <c r="G104" s="7200"/>
      <c r="H104" s="7200"/>
      <c r="I104" s="7200"/>
      <c r="J104" s="7200"/>
      <c r="K104" s="7200"/>
      <c r="L104" s="7200"/>
      <c r="M104" s="7200"/>
      <c r="N104" s="7268"/>
      <c r="O104" s="7269"/>
      <c r="P104" s="7270"/>
      <c r="Q104" s="7270"/>
      <c r="R104" s="7270"/>
      <c r="S104" s="7270"/>
      <c r="T104" s="7270"/>
      <c r="U104" s="7270"/>
      <c r="V104" s="7270"/>
      <c r="W104" s="7270"/>
      <c r="X104" s="7271"/>
      <c r="Y104" s="7272"/>
      <c r="Z104" s="7273"/>
      <c r="AA104" s="7273"/>
      <c r="AB104" s="7273"/>
      <c r="AC104" s="7273"/>
      <c r="AD104" s="7273"/>
      <c r="AE104" s="7273"/>
      <c r="AF104" s="7273"/>
      <c r="AG104" s="7273"/>
      <c r="AH104" s="7273"/>
      <c r="AI104" s="7273"/>
      <c r="AJ104" s="7273"/>
      <c r="AK104" s="7273"/>
      <c r="AL104" s="7273"/>
      <c r="AM104" s="7273"/>
      <c r="AN104" s="7273"/>
      <c r="AO104" s="7269"/>
      <c r="AP104" s="2757"/>
      <c r="BG104" s="3013"/>
      <c r="BH104" s="2595"/>
      <c r="BI104" s="2595"/>
      <c r="BJ104" s="2595"/>
      <c r="BK104" s="2595"/>
      <c r="BL104" s="2595"/>
      <c r="BM104" s="2595"/>
      <c r="BN104" s="2595"/>
      <c r="BO104" s="2595"/>
      <c r="BP104" s="2595"/>
    </row>
    <row r="105" spans="1:69" ht="13.5" customHeight="1">
      <c r="A105" s="2757"/>
      <c r="B105" s="3124" t="s">
        <v>288</v>
      </c>
      <c r="C105" s="7199"/>
      <c r="D105" s="7200"/>
      <c r="E105" s="7200"/>
      <c r="F105" s="7200"/>
      <c r="G105" s="7200"/>
      <c r="H105" s="7200"/>
      <c r="I105" s="7200"/>
      <c r="J105" s="7200"/>
      <c r="K105" s="7200"/>
      <c r="L105" s="7200"/>
      <c r="M105" s="7200"/>
      <c r="N105" s="7268"/>
      <c r="O105" s="7269"/>
      <c r="P105" s="7270"/>
      <c r="Q105" s="7270"/>
      <c r="R105" s="7270"/>
      <c r="S105" s="7270"/>
      <c r="T105" s="7270"/>
      <c r="U105" s="7270"/>
      <c r="V105" s="7270"/>
      <c r="W105" s="7270"/>
      <c r="X105" s="7271"/>
      <c r="Y105" s="7272"/>
      <c r="Z105" s="7273"/>
      <c r="AA105" s="7273"/>
      <c r="AB105" s="7273"/>
      <c r="AC105" s="7273"/>
      <c r="AD105" s="7273"/>
      <c r="AE105" s="7273"/>
      <c r="AF105" s="7273"/>
      <c r="AG105" s="7273"/>
      <c r="AH105" s="7273"/>
      <c r="AI105" s="7273"/>
      <c r="AJ105" s="7273"/>
      <c r="AK105" s="7273"/>
      <c r="AL105" s="7273"/>
      <c r="AM105" s="7273"/>
      <c r="AN105" s="7273"/>
      <c r="AO105" s="7269"/>
      <c r="AP105" s="2757"/>
      <c r="BG105" s="3013"/>
      <c r="BH105" s="2595"/>
      <c r="BI105" s="2595"/>
      <c r="BJ105" s="2595"/>
      <c r="BK105" s="2595"/>
      <c r="BL105" s="2595"/>
      <c r="BM105" s="2595"/>
      <c r="BN105" s="2595"/>
      <c r="BO105" s="2595"/>
      <c r="BP105" s="2595"/>
    </row>
    <row r="106" spans="1:69" ht="13.5" customHeight="1">
      <c r="A106" s="2757"/>
      <c r="B106" s="7196" t="s">
        <v>2373</v>
      </c>
      <c r="C106" s="7196"/>
      <c r="D106" s="2686" t="s">
        <v>2363</v>
      </c>
      <c r="E106" s="1179"/>
      <c r="F106" s="1190"/>
      <c r="G106" s="3020"/>
      <c r="H106" s="3020"/>
      <c r="I106" s="3020"/>
      <c r="J106" s="3020"/>
      <c r="K106" s="3020"/>
      <c r="L106" s="3020"/>
      <c r="M106" s="3020"/>
      <c r="N106" s="1191"/>
      <c r="O106" s="7251">
        <f>ROUND(SUM(O104:O105),0)</f>
        <v>0</v>
      </c>
      <c r="P106" s="7252"/>
      <c r="Q106" s="7252"/>
      <c r="R106" s="7252"/>
      <c r="S106" s="7252"/>
      <c r="T106" s="7252"/>
      <c r="U106" s="7252"/>
      <c r="V106" s="7252"/>
      <c r="W106" s="7252"/>
      <c r="X106" s="7253"/>
      <c r="Y106" s="3125"/>
      <c r="Z106" s="3020"/>
      <c r="AA106" s="3020"/>
      <c r="AB106" s="3020"/>
      <c r="AC106" s="3020"/>
      <c r="AD106" s="3020"/>
      <c r="AE106" s="3020"/>
      <c r="AF106" s="3020"/>
      <c r="AG106" s="1191"/>
      <c r="AH106" s="7218">
        <f>ROUND(SUM(AH104:AH105),0)</f>
        <v>0</v>
      </c>
      <c r="AI106" s="7219"/>
      <c r="AJ106" s="7219"/>
      <c r="AK106" s="7219"/>
      <c r="AL106" s="7219"/>
      <c r="AM106" s="7219"/>
      <c r="AN106" s="7219"/>
      <c r="AO106" s="7219"/>
      <c r="AP106" s="2757"/>
      <c r="BG106" s="3013"/>
      <c r="BH106" s="2595"/>
      <c r="BI106" s="2595"/>
      <c r="BJ106" s="2595"/>
      <c r="BK106" s="2595"/>
      <c r="BL106" s="2595"/>
      <c r="BM106" s="2595"/>
      <c r="BN106" s="2595"/>
      <c r="BO106" s="2595"/>
      <c r="BP106" s="2595"/>
    </row>
    <row r="107" spans="1:69" ht="13.5" customHeight="1">
      <c r="A107" s="2757"/>
      <c r="B107" s="7254" t="s">
        <v>47</v>
      </c>
      <c r="C107" s="7254"/>
      <c r="D107" s="2686" t="s">
        <v>2363</v>
      </c>
      <c r="E107" s="1179"/>
      <c r="F107" s="7218">
        <f>ROUND(SUM(C104:C105),0)</f>
        <v>0</v>
      </c>
      <c r="G107" s="7255"/>
      <c r="H107" s="7255"/>
      <c r="I107" s="7255"/>
      <c r="J107" s="7255"/>
      <c r="K107" s="7255"/>
      <c r="L107" s="7255"/>
      <c r="M107" s="7255"/>
      <c r="N107" s="7256"/>
      <c r="O107" s="3126"/>
      <c r="P107" s="3005"/>
      <c r="Q107" s="3005"/>
      <c r="R107" s="3005"/>
      <c r="S107" s="3005"/>
      <c r="T107" s="3005"/>
      <c r="U107" s="3005"/>
      <c r="V107" s="3005"/>
      <c r="W107" s="3005"/>
      <c r="X107" s="3127"/>
      <c r="Y107" s="7218">
        <f>ROUND(SUM(Y104:Y105),0)</f>
        <v>0</v>
      </c>
      <c r="Z107" s="7255"/>
      <c r="AA107" s="7255"/>
      <c r="AB107" s="7255"/>
      <c r="AC107" s="7255"/>
      <c r="AD107" s="7255"/>
      <c r="AE107" s="7255"/>
      <c r="AF107" s="7255"/>
      <c r="AG107" s="7256"/>
      <c r="AH107" s="1190"/>
      <c r="AI107" s="3020"/>
      <c r="AJ107" s="3020"/>
      <c r="AK107" s="3020"/>
      <c r="AL107" s="3020"/>
      <c r="AM107" s="3020"/>
      <c r="AN107" s="3020"/>
      <c r="AO107" s="3020"/>
      <c r="AP107" s="2757"/>
      <c r="BG107" s="3013"/>
      <c r="BH107" s="2595"/>
      <c r="BI107" s="2595"/>
      <c r="BJ107" s="2595"/>
      <c r="BK107" s="2595"/>
      <c r="BL107" s="2595"/>
      <c r="BM107" s="2595"/>
      <c r="BN107" s="2595"/>
      <c r="BO107" s="2595"/>
      <c r="BP107" s="2595"/>
    </row>
    <row r="108" spans="1:69" ht="13.5" customHeight="1">
      <c r="A108" s="2757"/>
      <c r="B108" s="7191">
        <v>35</v>
      </c>
      <c r="C108" s="7191"/>
      <c r="D108" s="2686" t="s">
        <v>2374</v>
      </c>
      <c r="E108" s="1179"/>
      <c r="F108" s="1179"/>
      <c r="G108" s="1179"/>
      <c r="H108" s="1179"/>
      <c r="I108" s="1179"/>
      <c r="J108" s="1179"/>
      <c r="K108" s="1179"/>
      <c r="L108" s="1179"/>
      <c r="M108" s="1179"/>
      <c r="N108" s="1179"/>
      <c r="O108" s="1179"/>
      <c r="P108" s="1179"/>
      <c r="Q108" s="1179"/>
      <c r="R108" s="1179"/>
      <c r="S108" s="1179"/>
      <c r="T108" s="1179"/>
      <c r="U108" s="1179"/>
      <c r="V108" s="1179"/>
      <c r="W108" s="1179"/>
      <c r="X108" s="1179"/>
      <c r="Y108" s="1179"/>
      <c r="Z108" s="1179"/>
      <c r="AA108" s="1179"/>
      <c r="AB108" s="1179"/>
      <c r="AC108" s="1179"/>
      <c r="AD108" s="1179"/>
      <c r="AE108" s="1179"/>
      <c r="AF108" s="1179"/>
      <c r="AG108" s="3489" t="s">
        <v>633</v>
      </c>
      <c r="AH108" s="7197">
        <v>35</v>
      </c>
      <c r="AI108" s="7222"/>
      <c r="AJ108" s="7224">
        <f>SUM(O106,AH106)</f>
        <v>0</v>
      </c>
      <c r="AK108" s="7225"/>
      <c r="AL108" s="7225"/>
      <c r="AM108" s="7225"/>
      <c r="AN108" s="7225"/>
      <c r="AO108" s="7225"/>
      <c r="AP108" s="2757"/>
      <c r="BG108" s="3013"/>
      <c r="BH108" s="2595"/>
      <c r="BI108" s="2595"/>
      <c r="BJ108" s="2595"/>
      <c r="BK108" s="2595"/>
      <c r="BL108" s="2595"/>
      <c r="BM108" s="2595"/>
      <c r="BN108" s="2595"/>
      <c r="BO108" s="2595"/>
      <c r="BP108" s="2595"/>
    </row>
    <row r="109" spans="1:69" ht="13.5" customHeight="1">
      <c r="A109" s="2757"/>
      <c r="B109" s="7191">
        <v>36</v>
      </c>
      <c r="C109" s="7191"/>
      <c r="D109" s="2686" t="s">
        <v>2375</v>
      </c>
      <c r="E109" s="1179"/>
      <c r="F109" s="1179"/>
      <c r="G109" s="1179"/>
      <c r="H109" s="1179"/>
      <c r="I109" s="1179"/>
      <c r="J109" s="1179"/>
      <c r="K109" s="1179"/>
      <c r="L109" s="1179"/>
      <c r="M109" s="1179"/>
      <c r="N109" s="1179"/>
      <c r="O109" s="1179"/>
      <c r="P109" s="1179"/>
      <c r="Q109" s="1179"/>
      <c r="R109" s="1179"/>
      <c r="S109" s="1179"/>
      <c r="T109" s="1179"/>
      <c r="U109" s="1179"/>
      <c r="V109" s="1179"/>
      <c r="W109" s="1179"/>
      <c r="X109" s="1179"/>
      <c r="Y109" s="1179"/>
      <c r="Z109" s="1179"/>
      <c r="AA109" s="1179"/>
      <c r="AB109" s="1179"/>
      <c r="AC109" s="1179"/>
      <c r="AD109" s="1179"/>
      <c r="AE109" s="1179"/>
      <c r="AF109" s="1179"/>
      <c r="AG109" s="3489" t="s">
        <v>633</v>
      </c>
      <c r="AH109" s="7197">
        <v>36</v>
      </c>
      <c r="AI109" s="7222"/>
      <c r="AJ109" s="3136" t="s">
        <v>916</v>
      </c>
      <c r="AK109" s="7202">
        <f>SUM(F107,Y107)</f>
        <v>0</v>
      </c>
      <c r="AL109" s="7223"/>
      <c r="AM109" s="7223"/>
      <c r="AN109" s="7223"/>
      <c r="AO109" s="3149" t="s">
        <v>917</v>
      </c>
      <c r="AP109" s="2757"/>
      <c r="BG109" s="3013"/>
      <c r="BH109" s="2595"/>
      <c r="BI109" s="2595"/>
      <c r="BJ109" s="2595"/>
      <c r="BK109" s="2595"/>
      <c r="BL109" s="2595"/>
      <c r="BM109" s="2595"/>
      <c r="BN109" s="2595"/>
      <c r="BO109" s="2595"/>
      <c r="BP109" s="2595"/>
    </row>
    <row r="110" spans="1:69" ht="13.5" customHeight="1">
      <c r="A110" s="2757"/>
      <c r="B110" s="7217">
        <v>37</v>
      </c>
      <c r="C110" s="7217"/>
      <c r="D110" s="2791" t="s">
        <v>2376</v>
      </c>
      <c r="E110" s="1553"/>
      <c r="F110" s="1553"/>
      <c r="G110" s="1553"/>
      <c r="H110" s="1553"/>
      <c r="I110" s="1553"/>
      <c r="J110" s="1553"/>
      <c r="K110" s="1553"/>
      <c r="L110" s="1553"/>
      <c r="M110" s="1553"/>
      <c r="N110" s="1553"/>
      <c r="O110" s="1553"/>
      <c r="P110" s="1553"/>
      <c r="Q110" s="1553"/>
      <c r="R110" s="1553"/>
      <c r="S110" s="1553"/>
      <c r="T110" s="1553"/>
      <c r="U110" s="1553"/>
      <c r="V110" s="1553"/>
      <c r="W110" s="1553"/>
      <c r="X110" s="1553"/>
      <c r="Y110" s="1553"/>
      <c r="Z110" s="1553"/>
      <c r="AA110" s="1553"/>
      <c r="AB110" s="1553"/>
      <c r="AC110" s="1553"/>
      <c r="AD110" s="1553"/>
      <c r="AE110" s="1553"/>
      <c r="AF110" s="1553"/>
      <c r="AG110" s="3492" t="s">
        <v>571</v>
      </c>
      <c r="AH110" s="7197">
        <v>37</v>
      </c>
      <c r="AI110" s="7222"/>
      <c r="AJ110" s="7224">
        <f>SUM(AJ108,-AK109)</f>
        <v>0</v>
      </c>
      <c r="AK110" s="7225"/>
      <c r="AL110" s="7225"/>
      <c r="AM110" s="7225"/>
      <c r="AN110" s="7225"/>
      <c r="AO110" s="7225"/>
      <c r="AP110" s="2757"/>
      <c r="BG110" s="3013"/>
      <c r="BH110" s="2595"/>
      <c r="BI110" s="2595"/>
      <c r="BJ110" s="2595"/>
      <c r="BK110" s="2595"/>
      <c r="BL110" s="2595"/>
      <c r="BM110" s="2595"/>
      <c r="BN110" s="2595"/>
      <c r="BO110" s="2595"/>
      <c r="BP110" s="2595"/>
    </row>
    <row r="111" spans="1:69" s="2689" customFormat="1" ht="17.25" customHeight="1">
      <c r="A111" s="2758"/>
      <c r="B111" s="7220" t="s">
        <v>470</v>
      </c>
      <c r="C111" s="7220"/>
      <c r="D111" s="7221"/>
      <c r="E111" s="2690"/>
      <c r="F111" s="2778" t="s">
        <v>2377</v>
      </c>
      <c r="G111" s="2690"/>
      <c r="H111" s="2690"/>
      <c r="I111" s="2690"/>
      <c r="J111" s="2690"/>
      <c r="K111" s="2690"/>
      <c r="L111" s="2690"/>
      <c r="M111" s="2690"/>
      <c r="N111" s="2690"/>
      <c r="O111" s="2690"/>
      <c r="P111" s="2690"/>
      <c r="Q111" s="2690"/>
      <c r="R111" s="2690"/>
      <c r="S111" s="2690"/>
      <c r="T111" s="2690"/>
      <c r="U111" s="2690"/>
      <c r="V111" s="2690"/>
      <c r="W111" s="2690"/>
      <c r="X111" s="2688"/>
      <c r="Y111" s="2690"/>
      <c r="Z111" s="2690"/>
      <c r="AA111" s="2690"/>
      <c r="AB111" s="2690"/>
      <c r="AC111" s="2690"/>
      <c r="AD111" s="2690"/>
      <c r="AE111" s="2690"/>
      <c r="AF111" s="2690"/>
      <c r="AG111" s="1397"/>
      <c r="AH111" s="2690"/>
      <c r="AI111" s="2690"/>
      <c r="AJ111" s="2690"/>
      <c r="AK111" s="2690"/>
      <c r="AL111" s="2690"/>
      <c r="AM111" s="2690"/>
      <c r="AN111" s="2690"/>
      <c r="AO111" s="2690"/>
      <c r="AP111" s="2757"/>
      <c r="AX111" s="42"/>
      <c r="AY111" s="42"/>
      <c r="AZ111" s="42"/>
      <c r="BA111" s="42"/>
      <c r="BB111" s="42"/>
      <c r="BC111" s="42"/>
      <c r="BD111" s="42"/>
      <c r="BG111" s="3013"/>
      <c r="BH111" s="2595"/>
      <c r="BI111" s="2595"/>
      <c r="BJ111" s="2595"/>
      <c r="BK111" s="2595"/>
      <c r="BL111" s="2595"/>
      <c r="BM111" s="2595"/>
      <c r="BN111" s="2595"/>
      <c r="BO111" s="2595"/>
      <c r="BP111" s="2595"/>
      <c r="BQ111" s="3402"/>
    </row>
    <row r="112" spans="1:69" ht="12.75" customHeight="1">
      <c r="A112" s="2757"/>
      <c r="B112" s="1574"/>
      <c r="C112" s="3058"/>
      <c r="D112" s="7226" t="s">
        <v>2379</v>
      </c>
      <c r="E112" s="7227"/>
      <c r="F112" s="7227"/>
      <c r="G112" s="7227"/>
      <c r="H112" s="7227"/>
      <c r="I112" s="7227"/>
      <c r="J112" s="7228"/>
      <c r="K112" s="7233" t="s">
        <v>2378</v>
      </c>
      <c r="L112" s="7234"/>
      <c r="M112" s="7234"/>
      <c r="N112" s="7234"/>
      <c r="O112" s="7234"/>
      <c r="P112" s="7234"/>
      <c r="Q112" s="7234"/>
      <c r="R112" s="7234"/>
      <c r="S112" s="7237" t="s">
        <v>2380</v>
      </c>
      <c r="T112" s="7238"/>
      <c r="U112" s="7238"/>
      <c r="V112" s="7238"/>
      <c r="W112" s="7238"/>
      <c r="X112" s="7238"/>
      <c r="Y112" s="7238"/>
      <c r="Z112" s="7241" t="s">
        <v>2381</v>
      </c>
      <c r="AA112" s="7242"/>
      <c r="AB112" s="7242"/>
      <c r="AC112" s="7242"/>
      <c r="AD112" s="7242"/>
      <c r="AE112" s="7242"/>
      <c r="AF112" s="7242"/>
      <c r="AG112" s="7243"/>
      <c r="AH112" s="7241" t="s">
        <v>2382</v>
      </c>
      <c r="AI112" s="7242"/>
      <c r="AJ112" s="7242"/>
      <c r="AK112" s="7242"/>
      <c r="AL112" s="7242"/>
      <c r="AM112" s="7242"/>
      <c r="AN112" s="7242"/>
      <c r="AO112" s="7242"/>
      <c r="AP112" s="2757"/>
      <c r="BG112" s="3013"/>
      <c r="BH112" s="2595"/>
      <c r="BI112" s="2595"/>
      <c r="BJ112" s="2595"/>
      <c r="BK112" s="2595"/>
      <c r="BL112" s="2595"/>
      <c r="BM112" s="2595"/>
      <c r="BN112" s="2595"/>
      <c r="BO112" s="2595"/>
      <c r="BP112" s="2595"/>
    </row>
    <row r="113" spans="1:69" ht="12.75" customHeight="1">
      <c r="A113" s="2757"/>
      <c r="B113" s="7250">
        <v>38</v>
      </c>
      <c r="C113" s="6371"/>
      <c r="D113" s="7229"/>
      <c r="E113" s="7229"/>
      <c r="F113" s="7229"/>
      <c r="G113" s="7229"/>
      <c r="H113" s="7229"/>
      <c r="I113" s="7229"/>
      <c r="J113" s="7230"/>
      <c r="K113" s="7235"/>
      <c r="L113" s="7235"/>
      <c r="M113" s="7235"/>
      <c r="N113" s="7235"/>
      <c r="O113" s="7235"/>
      <c r="P113" s="7235"/>
      <c r="Q113" s="7235"/>
      <c r="R113" s="7235"/>
      <c r="S113" s="7239"/>
      <c r="T113" s="7239"/>
      <c r="U113" s="7239"/>
      <c r="V113" s="7239"/>
      <c r="W113" s="7239"/>
      <c r="X113" s="7239"/>
      <c r="Y113" s="7239"/>
      <c r="Z113" s="7244"/>
      <c r="AA113" s="7245"/>
      <c r="AB113" s="7245"/>
      <c r="AC113" s="7245"/>
      <c r="AD113" s="7245"/>
      <c r="AE113" s="7245"/>
      <c r="AF113" s="7245"/>
      <c r="AG113" s="7246"/>
      <c r="AH113" s="7244"/>
      <c r="AI113" s="7245"/>
      <c r="AJ113" s="7245"/>
      <c r="AK113" s="7245"/>
      <c r="AL113" s="7245"/>
      <c r="AM113" s="7245"/>
      <c r="AN113" s="7245"/>
      <c r="AO113" s="7245"/>
      <c r="AP113" s="2757"/>
      <c r="AX113" s="2689"/>
      <c r="AY113" s="2689"/>
      <c r="AZ113" s="2689"/>
      <c r="BA113" s="2689"/>
      <c r="BB113" s="2689"/>
      <c r="BC113" s="2689"/>
      <c r="BD113" s="2689"/>
      <c r="BG113" s="3013"/>
      <c r="BH113" s="2595"/>
      <c r="BI113" s="2595"/>
      <c r="BJ113" s="2595"/>
      <c r="BK113" s="2595"/>
      <c r="BL113" s="2595"/>
      <c r="BM113" s="2595"/>
      <c r="BN113" s="2595"/>
      <c r="BO113" s="2595"/>
      <c r="BP113" s="2595"/>
    </row>
    <row r="114" spans="1:69" ht="12.75" customHeight="1">
      <c r="A114" s="2757"/>
      <c r="B114" s="1553"/>
      <c r="C114" s="3057"/>
      <c r="D114" s="7231"/>
      <c r="E114" s="7231"/>
      <c r="F114" s="7231"/>
      <c r="G114" s="7231"/>
      <c r="H114" s="7231"/>
      <c r="I114" s="7231"/>
      <c r="J114" s="7232"/>
      <c r="K114" s="7236"/>
      <c r="L114" s="7236"/>
      <c r="M114" s="7236"/>
      <c r="N114" s="7236"/>
      <c r="O114" s="7236"/>
      <c r="P114" s="7236"/>
      <c r="Q114" s="7236"/>
      <c r="R114" s="7236"/>
      <c r="S114" s="7240"/>
      <c r="T114" s="7240"/>
      <c r="U114" s="7240"/>
      <c r="V114" s="7240"/>
      <c r="W114" s="7240"/>
      <c r="X114" s="7240"/>
      <c r="Y114" s="7240"/>
      <c r="Z114" s="7247"/>
      <c r="AA114" s="7248"/>
      <c r="AB114" s="7248"/>
      <c r="AC114" s="7248"/>
      <c r="AD114" s="7248"/>
      <c r="AE114" s="7248"/>
      <c r="AF114" s="7248"/>
      <c r="AG114" s="7249"/>
      <c r="AH114" s="7247"/>
      <c r="AI114" s="7248"/>
      <c r="AJ114" s="7248"/>
      <c r="AK114" s="7248"/>
      <c r="AL114" s="7248"/>
      <c r="AM114" s="7248"/>
      <c r="AN114" s="7248"/>
      <c r="AO114" s="7248"/>
      <c r="AP114" s="2757"/>
      <c r="AQ114" s="385"/>
      <c r="AR114" s="385"/>
      <c r="AS114" s="385"/>
      <c r="BG114" s="3013"/>
      <c r="BH114" s="2595"/>
      <c r="BI114" s="2595"/>
      <c r="BJ114" s="2595"/>
      <c r="BK114" s="2595"/>
      <c r="BL114" s="2595"/>
      <c r="BM114" s="2595"/>
      <c r="BN114" s="2595"/>
      <c r="BO114" s="2595"/>
      <c r="BP114" s="2595"/>
    </row>
    <row r="115" spans="1:69" ht="12.75" customHeight="1">
      <c r="A115" s="2757"/>
      <c r="B115" s="7207"/>
      <c r="C115" s="7208"/>
      <c r="D115" s="7208"/>
      <c r="E115" s="7208"/>
      <c r="F115" s="7208"/>
      <c r="G115" s="7208"/>
      <c r="H115" s="7208"/>
      <c r="I115" s="7208"/>
      <c r="J115" s="7209"/>
      <c r="K115" s="7210"/>
      <c r="L115" s="7211"/>
      <c r="M115" s="7211"/>
      <c r="N115" s="7211"/>
      <c r="O115" s="7211"/>
      <c r="P115" s="7211"/>
      <c r="Q115" s="7211"/>
      <c r="R115" s="7212"/>
      <c r="S115" s="7213"/>
      <c r="T115" s="7213"/>
      <c r="U115" s="7213"/>
      <c r="V115" s="7213"/>
      <c r="W115" s="7213"/>
      <c r="X115" s="7213"/>
      <c r="Y115" s="7213"/>
      <c r="Z115" s="7214"/>
      <c r="AA115" s="7215"/>
      <c r="AB115" s="7215"/>
      <c r="AC115" s="7215"/>
      <c r="AD115" s="7215"/>
      <c r="AE115" s="7215"/>
      <c r="AF115" s="7215"/>
      <c r="AG115" s="7216"/>
      <c r="AH115" s="7214"/>
      <c r="AI115" s="7215"/>
      <c r="AJ115" s="7215"/>
      <c r="AK115" s="7215"/>
      <c r="AL115" s="7215"/>
      <c r="AM115" s="7215"/>
      <c r="AN115" s="7215"/>
      <c r="AO115" s="7215"/>
      <c r="AP115" s="2757"/>
      <c r="AQ115" s="385"/>
      <c r="AR115" s="2410" t="s">
        <v>91</v>
      </c>
      <c r="AS115" s="385"/>
      <c r="BG115" s="3013"/>
      <c r="BH115" s="2595"/>
      <c r="BI115" s="2595"/>
      <c r="BJ115" s="2595"/>
      <c r="BK115" s="2595"/>
      <c r="BL115" s="2595"/>
      <c r="BM115" s="2595"/>
      <c r="BN115" s="2595"/>
      <c r="BO115" s="2595"/>
      <c r="BP115" s="2595"/>
    </row>
    <row r="116" spans="1:69" ht="13.5" customHeight="1">
      <c r="A116" s="2757"/>
      <c r="B116" s="7217">
        <v>39</v>
      </c>
      <c r="C116" s="7217"/>
      <c r="D116" s="2791" t="s">
        <v>2383</v>
      </c>
      <c r="E116" s="1553"/>
      <c r="F116" s="1553"/>
      <c r="G116" s="1553"/>
      <c r="H116" s="1553"/>
      <c r="I116" s="1553"/>
      <c r="J116" s="1553"/>
      <c r="K116" s="1553"/>
      <c r="L116" s="1553"/>
      <c r="M116" s="1553"/>
      <c r="N116" s="1553"/>
      <c r="O116" s="1553"/>
      <c r="P116" s="1553"/>
      <c r="Q116" s="1553"/>
      <c r="R116" s="1553"/>
      <c r="S116" s="1553"/>
      <c r="T116" s="1553"/>
      <c r="U116" s="1553"/>
      <c r="V116" s="1553"/>
      <c r="W116" s="1553"/>
      <c r="X116" s="1553"/>
      <c r="Y116" s="1553"/>
      <c r="Z116" s="1553"/>
      <c r="AA116" s="1553"/>
      <c r="AB116" s="1553"/>
      <c r="AC116" s="1553"/>
      <c r="AD116" s="1553"/>
      <c r="AE116" s="1553"/>
      <c r="AF116" s="1553"/>
      <c r="AG116" s="3008"/>
      <c r="AH116" s="7197">
        <v>39</v>
      </c>
      <c r="AI116" s="7198"/>
      <c r="AJ116" s="7218">
        <f>IF(AR116&lt;&gt;"",ROUND(AR116,0),ROUND(SUM(Z115,AH115),0))</f>
        <v>0</v>
      </c>
      <c r="AK116" s="7219"/>
      <c r="AL116" s="7219"/>
      <c r="AM116" s="7219"/>
      <c r="AN116" s="7219"/>
      <c r="AO116" s="7219"/>
      <c r="AP116" s="2757"/>
      <c r="AQ116" s="385"/>
      <c r="AR116" s="3141"/>
      <c r="AS116" s="385"/>
      <c r="BG116" s="3013"/>
      <c r="BH116" s="2595"/>
      <c r="BI116" s="2595"/>
      <c r="BJ116" s="2595"/>
      <c r="BK116" s="2595"/>
      <c r="BL116" s="2595"/>
      <c r="BM116" s="2595"/>
      <c r="BN116" s="2595"/>
      <c r="BO116" s="2595"/>
      <c r="BP116" s="2595"/>
    </row>
    <row r="117" spans="1:69" s="2689" customFormat="1" ht="17.25" customHeight="1">
      <c r="A117" s="2758"/>
      <c r="B117" s="7220" t="s">
        <v>123</v>
      </c>
      <c r="C117" s="7220"/>
      <c r="D117" s="7221"/>
      <c r="E117" s="2690"/>
      <c r="F117" s="4645" t="s">
        <v>2384</v>
      </c>
      <c r="G117" s="2690"/>
      <c r="H117" s="2690"/>
      <c r="I117" s="2690"/>
      <c r="J117" s="2690"/>
      <c r="K117" s="2690"/>
      <c r="L117" s="2690"/>
      <c r="M117" s="2690"/>
      <c r="N117" s="2690"/>
      <c r="O117" s="2690"/>
      <c r="P117" s="2690"/>
      <c r="Q117" s="2690"/>
      <c r="R117" s="2690"/>
      <c r="S117" s="2690"/>
      <c r="T117" s="2690"/>
      <c r="U117" s="2690"/>
      <c r="V117" s="2690"/>
      <c r="W117" s="2690"/>
      <c r="X117" s="2688"/>
      <c r="Y117" s="2690"/>
      <c r="Z117" s="2690"/>
      <c r="AA117" s="2690"/>
      <c r="AB117" s="2690"/>
      <c r="AC117" s="2690"/>
      <c r="AD117" s="2690"/>
      <c r="AE117" s="2690"/>
      <c r="AF117" s="2690"/>
      <c r="AG117" s="2690"/>
      <c r="AH117" s="2690"/>
      <c r="AI117" s="2690"/>
      <c r="AJ117" s="2690"/>
      <c r="AK117" s="2690"/>
      <c r="AL117" s="2690"/>
      <c r="AM117" s="2690"/>
      <c r="AN117" s="2690"/>
      <c r="AO117" s="2690"/>
      <c r="AP117" s="2757"/>
      <c r="AQ117" s="385"/>
      <c r="AR117" s="385"/>
      <c r="AS117" s="385"/>
      <c r="AX117" s="42"/>
      <c r="AY117" s="42"/>
      <c r="AZ117" s="42"/>
      <c r="BA117" s="42"/>
      <c r="BB117" s="42"/>
      <c r="BC117" s="42"/>
      <c r="BD117" s="42"/>
      <c r="BG117" s="3013"/>
      <c r="BH117" s="2595"/>
      <c r="BI117" s="2595"/>
      <c r="BJ117" s="2595"/>
      <c r="BK117" s="2595"/>
      <c r="BL117" s="2595"/>
      <c r="BM117" s="2595"/>
      <c r="BN117" s="2595"/>
      <c r="BO117" s="2595"/>
      <c r="BP117" s="2595"/>
      <c r="BQ117" s="3402"/>
    </row>
    <row r="118" spans="1:69" ht="13.5" customHeight="1">
      <c r="A118" s="2757"/>
      <c r="B118" s="7196">
        <v>40</v>
      </c>
      <c r="C118" s="7196"/>
      <c r="D118" s="3072" t="s">
        <v>2385</v>
      </c>
      <c r="E118" s="1574"/>
      <c r="F118" s="1574"/>
      <c r="G118" s="1574"/>
      <c r="H118" s="1574"/>
      <c r="I118" s="1574"/>
      <c r="J118" s="1574"/>
      <c r="K118" s="1574"/>
      <c r="L118" s="1574"/>
      <c r="M118" s="1574"/>
      <c r="N118" s="1574"/>
      <c r="O118" s="1574"/>
      <c r="P118" s="1574"/>
      <c r="Q118" s="1574"/>
      <c r="R118" s="1574"/>
      <c r="S118" s="1574"/>
      <c r="T118" s="1574"/>
      <c r="U118" s="1574"/>
      <c r="V118" s="1574"/>
      <c r="W118" s="1574"/>
      <c r="X118" s="1574"/>
      <c r="Y118" s="1574"/>
      <c r="Z118" s="1574"/>
      <c r="AA118" s="1574"/>
      <c r="AB118" s="1574"/>
      <c r="AC118" s="1574"/>
      <c r="AD118" s="1574"/>
      <c r="AE118" s="1574"/>
      <c r="AF118" s="1574"/>
      <c r="AG118" s="1575"/>
      <c r="AH118" s="7197">
        <v>40</v>
      </c>
      <c r="AI118" s="7198"/>
      <c r="AJ118" s="7199"/>
      <c r="AK118" s="7200"/>
      <c r="AL118" s="7200"/>
      <c r="AM118" s="7200"/>
      <c r="AN118" s="7200"/>
      <c r="AO118" s="7200"/>
      <c r="AP118" s="2757"/>
      <c r="AQ118" s="385"/>
      <c r="AR118" s="385"/>
      <c r="AS118" s="385"/>
      <c r="BG118" s="3013"/>
      <c r="BH118" s="2595"/>
      <c r="BI118" s="2595"/>
      <c r="BJ118" s="2595"/>
      <c r="BK118" s="2595"/>
      <c r="BL118" s="2595"/>
      <c r="BM118" s="2595"/>
      <c r="BN118" s="2595"/>
      <c r="BO118" s="2595"/>
      <c r="BP118" s="2595"/>
    </row>
    <row r="119" spans="1:69" ht="13.5" customHeight="1">
      <c r="A119" s="2757"/>
      <c r="B119" s="7191">
        <v>41</v>
      </c>
      <c r="C119" s="7191"/>
      <c r="D119" s="1262" t="s">
        <v>4049</v>
      </c>
      <c r="E119" s="1179"/>
      <c r="F119" s="1179"/>
      <c r="G119" s="1179"/>
      <c r="H119" s="1179"/>
      <c r="I119" s="1179"/>
      <c r="J119" s="1179"/>
      <c r="K119" s="1179"/>
      <c r="L119" s="1179"/>
      <c r="M119" s="1179"/>
      <c r="N119" s="1179"/>
      <c r="O119" s="1179"/>
      <c r="P119" s="1179"/>
      <c r="Q119" s="1179"/>
      <c r="R119" s="1179"/>
      <c r="S119" s="1179"/>
      <c r="T119" s="1179"/>
      <c r="U119" s="1179"/>
      <c r="V119" s="1179"/>
      <c r="W119" s="1179"/>
      <c r="X119" s="1179"/>
      <c r="Y119" s="1179"/>
      <c r="Z119" s="1179"/>
      <c r="AA119" s="1179"/>
      <c r="AB119" s="1179"/>
      <c r="AC119" s="1179"/>
      <c r="AD119" s="1179"/>
      <c r="AE119" s="1179"/>
      <c r="AF119" s="1179"/>
      <c r="AG119" s="1583"/>
      <c r="AH119" s="7197">
        <v>41</v>
      </c>
      <c r="AI119" s="7198"/>
      <c r="AJ119" s="7201">
        <f>IF(AR119&lt;&gt;"",ROUND(AR119,0),IF(SchE3_Completed,SUM(SchE3_Line26,SchE3_Line32,SchE3_Line37,SchE3_Line39,ROUND(SchE3_Line40,0)),0))</f>
        <v>0</v>
      </c>
      <c r="AK119" s="7202"/>
      <c r="AL119" s="7202"/>
      <c r="AM119" s="7202"/>
      <c r="AN119" s="7202"/>
      <c r="AO119" s="7202"/>
      <c r="AP119" s="2757"/>
      <c r="AQ119" s="385"/>
      <c r="AR119" s="3141"/>
      <c r="AS119" s="385"/>
      <c r="AV119" s="42" t="b">
        <f>OR(SchE3_Line32&lt;&gt;0,SchE3_Line37&lt;&gt;0,SchE3_Line39&lt;&gt;0,SchE3_Line40&lt;&gt;0)</f>
        <v>0</v>
      </c>
      <c r="AX119" s="2689"/>
      <c r="AY119" s="2689"/>
      <c r="AZ119" s="2689"/>
      <c r="BA119" s="2689"/>
      <c r="BB119" s="2689"/>
      <c r="BC119" s="2689"/>
      <c r="BD119" s="2689"/>
      <c r="BG119" s="3013"/>
      <c r="BH119" s="2595"/>
      <c r="BI119" s="2595"/>
      <c r="BJ119" s="2595"/>
      <c r="BK119" s="2595"/>
      <c r="BL119" s="2595"/>
      <c r="BM119" s="2595"/>
      <c r="BN119" s="2595"/>
      <c r="BO119" s="2595"/>
      <c r="BP119" s="2595"/>
    </row>
    <row r="120" spans="1:69" ht="12.75" customHeight="1">
      <c r="A120" s="2757"/>
      <c r="B120" s="7191">
        <v>42</v>
      </c>
      <c r="C120" s="7191"/>
      <c r="D120" s="2686" t="s">
        <v>2762</v>
      </c>
      <c r="E120" s="1179"/>
      <c r="F120" s="1179"/>
      <c r="G120" s="1179"/>
      <c r="H120" s="1179"/>
      <c r="I120" s="1179"/>
      <c r="J120" s="1179"/>
      <c r="K120" s="1179"/>
      <c r="L120" s="1179"/>
      <c r="M120" s="1179"/>
      <c r="N120" s="1179"/>
      <c r="O120" s="1179"/>
      <c r="P120" s="1179"/>
      <c r="Q120" s="1179"/>
      <c r="R120" s="1179"/>
      <c r="S120" s="1179"/>
      <c r="T120" s="1179"/>
      <c r="U120" s="1179"/>
      <c r="V120" s="1179"/>
      <c r="W120" s="1179"/>
      <c r="X120" s="1179"/>
      <c r="Y120" s="1825"/>
      <c r="Z120" s="2705"/>
      <c r="AA120" s="2705"/>
      <c r="AB120" s="2705"/>
      <c r="AC120" s="2705"/>
      <c r="AD120" s="2705"/>
      <c r="AE120" s="2705"/>
      <c r="AF120" s="2705"/>
      <c r="AG120" s="1826"/>
      <c r="AH120" s="1562"/>
      <c r="AI120" s="1562"/>
      <c r="AJ120" s="1562"/>
      <c r="AK120" s="1562"/>
      <c r="AL120" s="1562"/>
      <c r="AM120" s="1562"/>
      <c r="AN120" s="1562"/>
      <c r="AO120" s="1562"/>
      <c r="AP120" s="2757"/>
      <c r="AQ120" s="385"/>
      <c r="AR120" s="385"/>
      <c r="AS120" s="385"/>
      <c r="AV120" s="3155">
        <f>IF(SchE3_Completed,SchE3_Line41,SchE3_Line26)</f>
        <v>0</v>
      </c>
      <c r="BG120" s="3013"/>
      <c r="BH120" s="2595"/>
      <c r="BI120" s="2595"/>
      <c r="BJ120" s="2595"/>
      <c r="BK120" s="2595"/>
      <c r="BL120" s="2595"/>
      <c r="BM120" s="2595"/>
      <c r="BN120" s="2595"/>
      <c r="BO120" s="2595"/>
      <c r="BP120" s="2595"/>
    </row>
    <row r="121" spans="1:69" ht="12.75" customHeight="1">
      <c r="A121" s="2757"/>
      <c r="B121" s="2772"/>
      <c r="C121" s="1179"/>
      <c r="D121" s="1276" t="s">
        <v>749</v>
      </c>
      <c r="E121" s="1179"/>
      <c r="F121" s="1179"/>
      <c r="G121" s="1179"/>
      <c r="H121" s="1179"/>
      <c r="I121" s="1179"/>
      <c r="J121" s="1179"/>
      <c r="K121" s="1179"/>
      <c r="L121" s="1179"/>
      <c r="M121" s="1179"/>
      <c r="N121" s="1179"/>
      <c r="O121" s="1179"/>
      <c r="P121" s="1179"/>
      <c r="Q121" s="1179"/>
      <c r="R121" s="1179"/>
      <c r="S121" s="1179"/>
      <c r="T121" s="1179"/>
      <c r="U121" s="1179"/>
      <c r="V121" s="1179"/>
      <c r="W121" s="1179"/>
      <c r="X121" s="1179"/>
      <c r="Y121" s="1827"/>
      <c r="Z121" s="1562"/>
      <c r="AA121" s="1562"/>
      <c r="AB121" s="1562"/>
      <c r="AC121" s="1562"/>
      <c r="AD121" s="1562"/>
      <c r="AE121" s="1562"/>
      <c r="AF121" s="1562"/>
      <c r="AG121" s="1828"/>
      <c r="AH121" s="1562"/>
      <c r="AI121" s="1562"/>
      <c r="AJ121" s="1562"/>
      <c r="AK121" s="1562"/>
      <c r="AL121" s="1562"/>
      <c r="AM121" s="1562"/>
      <c r="AN121" s="1562"/>
      <c r="AO121" s="1562"/>
      <c r="AP121" s="2757"/>
      <c r="BG121" s="3013"/>
      <c r="BH121" s="2595"/>
      <c r="BI121" s="2595"/>
      <c r="BJ121" s="2595"/>
      <c r="BK121" s="2595"/>
      <c r="BL121" s="2595"/>
      <c r="BM121" s="2595"/>
      <c r="BN121" s="2595"/>
      <c r="BO121" s="2595"/>
      <c r="BP121" s="2595"/>
    </row>
    <row r="122" spans="1:69" ht="12.75" customHeight="1">
      <c r="A122" s="2757"/>
      <c r="B122" s="2772"/>
      <c r="C122" s="1179"/>
      <c r="D122" s="1276" t="s">
        <v>2386</v>
      </c>
      <c r="E122" s="1179"/>
      <c r="F122" s="1179"/>
      <c r="G122" s="1179"/>
      <c r="H122" s="1179"/>
      <c r="I122" s="1179"/>
      <c r="J122" s="1179"/>
      <c r="K122" s="1179"/>
      <c r="L122" s="1179"/>
      <c r="M122" s="1179"/>
      <c r="N122" s="1179"/>
      <c r="O122" s="1179"/>
      <c r="P122" s="1179"/>
      <c r="Q122" s="1179"/>
      <c r="R122" s="1179"/>
      <c r="S122" s="1179"/>
      <c r="T122" s="1179"/>
      <c r="U122" s="1179"/>
      <c r="V122" s="1179"/>
      <c r="W122" s="1179"/>
      <c r="X122" s="1179"/>
      <c r="Y122" s="1827"/>
      <c r="Z122" s="1562"/>
      <c r="AA122" s="1562"/>
      <c r="AB122" s="1562"/>
      <c r="AC122" s="1562"/>
      <c r="AD122" s="1562"/>
      <c r="AE122" s="1562"/>
      <c r="AF122" s="1562"/>
      <c r="AG122" s="1828"/>
      <c r="AH122" s="1562"/>
      <c r="AI122" s="1562"/>
      <c r="AJ122" s="1562"/>
      <c r="AK122" s="1562"/>
      <c r="AL122" s="1562"/>
      <c r="AM122" s="1562"/>
      <c r="AN122" s="1562"/>
      <c r="AO122" s="1562"/>
      <c r="AP122" s="2757"/>
      <c r="BG122" s="3013"/>
      <c r="BH122" s="2595"/>
      <c r="BI122" s="2595"/>
      <c r="BJ122" s="2595"/>
      <c r="BK122" s="2595"/>
      <c r="BL122" s="2595"/>
      <c r="BM122" s="2595"/>
      <c r="BN122" s="2595"/>
      <c r="BO122" s="2595"/>
      <c r="BP122" s="2595"/>
    </row>
    <row r="123" spans="1:69" ht="13.5" customHeight="1">
      <c r="A123" s="2757"/>
      <c r="B123" s="2772"/>
      <c r="C123" s="1179"/>
      <c r="D123" s="1179" t="s">
        <v>2387</v>
      </c>
      <c r="E123" s="1179"/>
      <c r="F123" s="1179"/>
      <c r="G123" s="1179"/>
      <c r="H123" s="1179"/>
      <c r="I123" s="1179"/>
      <c r="J123" s="1179"/>
      <c r="K123" s="1179"/>
      <c r="L123" s="1179"/>
      <c r="M123" s="1179"/>
      <c r="N123" s="1179"/>
      <c r="O123" s="1179"/>
      <c r="P123" s="1179"/>
      <c r="Q123" s="1179"/>
      <c r="R123" s="1179"/>
      <c r="S123" s="1179"/>
      <c r="T123" s="1179"/>
      <c r="U123" s="1179"/>
      <c r="V123" s="1179"/>
      <c r="W123" s="1179"/>
      <c r="X123" s="1560" t="s">
        <v>2761</v>
      </c>
      <c r="Y123" s="7203">
        <v>42</v>
      </c>
      <c r="Z123" s="7204"/>
      <c r="AA123" s="7205"/>
      <c r="AB123" s="7206"/>
      <c r="AC123" s="7206"/>
      <c r="AD123" s="7206"/>
      <c r="AE123" s="7206"/>
      <c r="AF123" s="7206"/>
      <c r="AG123" s="7206"/>
      <c r="AH123" s="1562"/>
      <c r="AI123" s="1562"/>
      <c r="AJ123" s="1562"/>
      <c r="AK123" s="1562"/>
      <c r="AL123" s="1562"/>
      <c r="AM123" s="1562"/>
      <c r="AN123" s="1562"/>
      <c r="AO123" s="1562"/>
      <c r="AP123" s="2757"/>
      <c r="BG123" s="3013"/>
      <c r="BH123" s="2595"/>
      <c r="BI123" s="2595"/>
      <c r="BJ123" s="2595"/>
      <c r="BK123" s="2595"/>
      <c r="BL123" s="2595"/>
      <c r="BM123" s="2595"/>
      <c r="BN123" s="2595"/>
      <c r="BO123" s="2595"/>
      <c r="BP123" s="2595"/>
    </row>
    <row r="124" spans="1:69" ht="12.75" customHeight="1">
      <c r="A124" s="2757"/>
      <c r="B124" s="7191">
        <v>43</v>
      </c>
      <c r="C124" s="7191"/>
      <c r="D124" s="1276" t="s">
        <v>4796</v>
      </c>
      <c r="E124" s="1179"/>
      <c r="F124" s="1179"/>
      <c r="G124" s="1179"/>
      <c r="H124" s="1179"/>
      <c r="I124" s="1179"/>
      <c r="J124" s="1179"/>
      <c r="K124" s="1179"/>
      <c r="L124" s="1179"/>
      <c r="M124" s="1179"/>
      <c r="N124" s="1179"/>
      <c r="O124" s="1179"/>
      <c r="P124" s="1179"/>
      <c r="Q124" s="1179"/>
      <c r="R124" s="1179"/>
      <c r="S124" s="1179"/>
      <c r="T124" s="1179"/>
      <c r="U124" s="1179"/>
      <c r="V124" s="1179"/>
      <c r="W124" s="1179"/>
      <c r="X124" s="1179"/>
      <c r="Y124" s="1825"/>
      <c r="Z124" s="2705"/>
      <c r="AA124" s="2705"/>
      <c r="AB124" s="2705"/>
      <c r="AC124" s="2705"/>
      <c r="AD124" s="2705"/>
      <c r="AE124" s="2705"/>
      <c r="AF124" s="2705"/>
      <c r="AG124" s="1826"/>
      <c r="AH124" s="1562"/>
      <c r="AI124" s="1562"/>
      <c r="AJ124" s="1562"/>
      <c r="AK124" s="1562"/>
      <c r="AL124" s="1562"/>
      <c r="AM124" s="1562"/>
      <c r="AN124" s="1562"/>
      <c r="AO124" s="1562"/>
      <c r="AP124" s="2757"/>
      <c r="BG124" s="3013"/>
      <c r="BH124" s="2595"/>
      <c r="BI124" s="2595"/>
      <c r="BJ124" s="2595"/>
      <c r="BK124" s="2595"/>
      <c r="BL124" s="2595"/>
      <c r="BM124" s="2595"/>
      <c r="BN124" s="2595"/>
      <c r="BO124" s="2595"/>
      <c r="BP124" s="2595"/>
    </row>
    <row r="125" spans="1:69" ht="12.75" customHeight="1">
      <c r="A125" s="2757"/>
      <c r="B125" s="2772"/>
      <c r="C125" s="1179"/>
      <c r="D125" s="2246" t="s">
        <v>4800</v>
      </c>
      <c r="E125" s="1179"/>
      <c r="F125" s="1179"/>
      <c r="G125" s="1179"/>
      <c r="H125" s="1179"/>
      <c r="I125" s="1179"/>
      <c r="J125" s="1179"/>
      <c r="K125" s="1179"/>
      <c r="L125" s="1179"/>
      <c r="M125" s="1179"/>
      <c r="N125" s="1179"/>
      <c r="O125" s="1179"/>
      <c r="P125" s="1179"/>
      <c r="Q125" s="1179"/>
      <c r="R125" s="1179"/>
      <c r="S125" s="1179"/>
      <c r="T125" s="1179"/>
      <c r="U125" s="1179"/>
      <c r="V125" s="1179"/>
      <c r="W125" s="1179"/>
      <c r="X125" s="1179"/>
      <c r="Y125" s="1827"/>
      <c r="Z125" s="1562"/>
      <c r="AA125" s="1562"/>
      <c r="AB125" s="1562"/>
      <c r="AC125" s="1562"/>
      <c r="AD125" s="1562"/>
      <c r="AE125" s="1562"/>
      <c r="AF125" s="1562"/>
      <c r="AG125" s="1828"/>
      <c r="AH125" s="1562"/>
      <c r="AI125" s="1562"/>
      <c r="AJ125" s="1562"/>
      <c r="AK125" s="1562"/>
      <c r="AL125" s="1562"/>
      <c r="AM125" s="1562"/>
      <c r="AN125" s="1562"/>
      <c r="AO125" s="1562"/>
      <c r="AP125" s="2757"/>
      <c r="BG125" s="3013"/>
      <c r="BH125" s="2595"/>
      <c r="BI125" s="2595"/>
      <c r="BJ125" s="2595"/>
      <c r="BK125" s="2595"/>
      <c r="BL125" s="2595"/>
      <c r="BM125" s="2595"/>
      <c r="BN125" s="2595"/>
      <c r="BO125" s="2595"/>
      <c r="BP125" s="2595"/>
    </row>
    <row r="126" spans="1:69" ht="12.75" customHeight="1">
      <c r="A126" s="2757"/>
      <c r="B126" s="2772"/>
      <c r="C126" s="1179"/>
      <c r="D126" s="1276" t="s">
        <v>4797</v>
      </c>
      <c r="E126" s="1179"/>
      <c r="F126" s="1179"/>
      <c r="G126" s="1179"/>
      <c r="H126" s="1179"/>
      <c r="I126" s="1179"/>
      <c r="J126" s="1179"/>
      <c r="K126" s="1179"/>
      <c r="L126" s="1179"/>
      <c r="M126" s="1179"/>
      <c r="N126" s="1179"/>
      <c r="O126" s="1179"/>
      <c r="P126" s="1179"/>
      <c r="Q126" s="1179"/>
      <c r="R126" s="1179"/>
      <c r="S126" s="1179"/>
      <c r="T126" s="1179"/>
      <c r="U126" s="1179"/>
      <c r="V126" s="1179"/>
      <c r="W126" s="1179"/>
      <c r="X126" s="1179"/>
      <c r="Y126" s="1827"/>
      <c r="Z126" s="1562"/>
      <c r="AA126" s="1562"/>
      <c r="AB126" s="1562"/>
      <c r="AC126" s="1562"/>
      <c r="AD126" s="1562"/>
      <c r="AE126" s="1562"/>
      <c r="AF126" s="1562"/>
      <c r="AG126" s="1828"/>
      <c r="AH126" s="1562"/>
      <c r="AI126" s="1562"/>
      <c r="AJ126" s="1562"/>
      <c r="AK126" s="1562"/>
      <c r="AL126" s="1562"/>
      <c r="AM126" s="1562"/>
      <c r="AN126" s="1562"/>
      <c r="AO126" s="1562"/>
      <c r="AP126" s="2757"/>
      <c r="BG126" s="3013"/>
      <c r="BH126" s="2595"/>
      <c r="BI126" s="2595"/>
      <c r="BJ126" s="2595"/>
      <c r="BK126" s="2595"/>
      <c r="BL126" s="2595"/>
      <c r="BM126" s="2595"/>
      <c r="BN126" s="2595"/>
      <c r="BO126" s="2595"/>
      <c r="BP126" s="2595"/>
    </row>
    <row r="127" spans="1:69" ht="13.5" customHeight="1" thickBot="1">
      <c r="A127" s="2757"/>
      <c r="B127" s="3129"/>
      <c r="C127" s="1280"/>
      <c r="D127" s="1704" t="s">
        <v>4798</v>
      </c>
      <c r="E127" s="1280"/>
      <c r="F127" s="1280"/>
      <c r="G127" s="1280"/>
      <c r="H127" s="1280"/>
      <c r="I127" s="1280"/>
      <c r="J127" s="1280"/>
      <c r="K127" s="1280"/>
      <c r="L127" s="1280"/>
      <c r="M127" s="1280"/>
      <c r="N127" s="1280"/>
      <c r="O127" s="1280"/>
      <c r="P127" s="1280"/>
      <c r="Q127" s="1280"/>
      <c r="R127" s="1280"/>
      <c r="S127" s="1280"/>
      <c r="T127" s="1280"/>
      <c r="U127" s="1280"/>
      <c r="V127" s="1280"/>
      <c r="W127" s="1280"/>
      <c r="X127" s="3307" t="s">
        <v>3499</v>
      </c>
      <c r="Y127" s="7192">
        <v>43</v>
      </c>
      <c r="Z127" s="7193"/>
      <c r="AA127" s="7194"/>
      <c r="AB127" s="7195"/>
      <c r="AC127" s="7195"/>
      <c r="AD127" s="7195"/>
      <c r="AE127" s="7195"/>
      <c r="AF127" s="7195"/>
      <c r="AG127" s="7195"/>
      <c r="AH127" s="3130"/>
      <c r="AI127" s="3130"/>
      <c r="AJ127" s="3130"/>
      <c r="AK127" s="3130"/>
      <c r="AL127" s="3130"/>
      <c r="AM127" s="3130"/>
      <c r="AN127" s="3130"/>
      <c r="AO127" s="3130"/>
      <c r="AP127" s="2757"/>
      <c r="BG127" s="3013"/>
      <c r="BH127" s="2595"/>
      <c r="BI127" s="2595"/>
      <c r="BJ127" s="2595"/>
      <c r="BK127" s="2595"/>
      <c r="BL127" s="2595"/>
      <c r="BM127" s="2595"/>
      <c r="BN127" s="2595"/>
      <c r="BO127" s="2595"/>
      <c r="BP127" s="2595"/>
    </row>
    <row r="128" spans="1:69" ht="12.75" customHeight="1">
      <c r="A128" s="2757"/>
      <c r="B128" s="2772"/>
      <c r="C128" s="1179"/>
      <c r="D128" s="1179"/>
      <c r="E128" s="1179"/>
      <c r="F128" s="1179"/>
      <c r="G128" s="1179"/>
      <c r="H128" s="1179"/>
      <c r="I128" s="1179"/>
      <c r="J128" s="1179"/>
      <c r="K128" s="1179"/>
      <c r="L128" s="1179"/>
      <c r="M128" s="1179"/>
      <c r="N128" s="1179"/>
      <c r="O128" s="1179"/>
      <c r="P128" s="1179"/>
      <c r="Q128" s="1179"/>
      <c r="R128" s="1179"/>
      <c r="S128" s="1179"/>
      <c r="T128" s="1179"/>
      <c r="U128" s="1179"/>
      <c r="V128" s="1179"/>
      <c r="W128" s="1179"/>
      <c r="X128" s="1179"/>
      <c r="Y128" s="1179"/>
      <c r="Z128" s="1179"/>
      <c r="AA128" s="1179"/>
      <c r="AB128" s="1179"/>
      <c r="AC128" s="1179"/>
      <c r="AD128" s="1179"/>
      <c r="AE128" s="1179"/>
      <c r="AF128" s="1179"/>
      <c r="AG128" s="1179"/>
      <c r="AH128" s="1179"/>
      <c r="AI128" s="1179"/>
      <c r="AJ128" s="1179"/>
      <c r="AK128" s="1179"/>
      <c r="AL128" s="1179"/>
      <c r="AM128" s="1179"/>
      <c r="AN128" s="1179"/>
      <c r="AO128" s="3115" t="str">
        <f>"Schedule E (Form 1040) "&amp;TaxYear</f>
        <v>Schedule E (Form 1040) 2021</v>
      </c>
      <c r="AP128" s="2757"/>
      <c r="BG128" s="3013"/>
      <c r="BH128" s="2595"/>
      <c r="BI128" s="2595"/>
      <c r="BJ128" s="2595"/>
      <c r="BK128" s="2595"/>
      <c r="BL128" s="2595"/>
      <c r="BM128" s="2595"/>
      <c r="BN128" s="2595"/>
      <c r="BO128" s="2595"/>
      <c r="BP128" s="2595"/>
    </row>
    <row r="129" spans="1:69" ht="18" customHeight="1">
      <c r="A129" s="2757"/>
      <c r="B129" s="7435" t="s">
        <v>3496</v>
      </c>
      <c r="C129" s="7436"/>
      <c r="D129" s="7436"/>
      <c r="E129" s="7436"/>
      <c r="F129" s="7436"/>
      <c r="G129" s="7437"/>
      <c r="H129" s="3062"/>
      <c r="I129" s="1179"/>
      <c r="J129" s="1179"/>
      <c r="K129" s="1179"/>
      <c r="L129" s="1179"/>
      <c r="M129" s="3064"/>
      <c r="N129" s="1179"/>
      <c r="O129" s="1179"/>
      <c r="P129" s="1179"/>
      <c r="Q129" s="1179"/>
      <c r="R129" s="1179"/>
      <c r="S129" s="1179"/>
      <c r="T129" s="1179"/>
      <c r="U129" s="1179"/>
      <c r="V129" s="1179"/>
      <c r="W129" s="1179"/>
      <c r="X129" s="1179"/>
      <c r="Y129" s="1179"/>
      <c r="Z129" s="1179"/>
      <c r="AA129" s="1179"/>
      <c r="AB129" s="1179"/>
      <c r="AC129" s="1179"/>
      <c r="AD129" s="1179"/>
      <c r="AE129" s="1179"/>
      <c r="AF129" s="1179"/>
      <c r="AG129" s="1179"/>
      <c r="AH129" s="1179"/>
      <c r="AI129" s="7413" t="s">
        <v>152</v>
      </c>
      <c r="AJ129" s="7414"/>
      <c r="AK129" s="7414"/>
      <c r="AL129" s="7414"/>
      <c r="AM129" s="7414"/>
      <c r="AN129" s="7414"/>
      <c r="AO129" s="7414"/>
      <c r="AP129" s="2757"/>
      <c r="BG129" s="3217" t="s">
        <v>2763</v>
      </c>
      <c r="BH129" s="2595"/>
      <c r="BI129" s="2595"/>
      <c r="BJ129" s="2595"/>
      <c r="BK129" s="2595"/>
      <c r="BL129" s="2595"/>
      <c r="BM129" s="2595"/>
      <c r="BN129" s="2595"/>
      <c r="BO129" s="2595"/>
      <c r="BP129" s="2595"/>
    </row>
    <row r="130" spans="1:69" ht="30" customHeight="1">
      <c r="A130" s="2757"/>
      <c r="B130" s="7415" t="s">
        <v>3973</v>
      </c>
      <c r="C130" s="7416"/>
      <c r="D130" s="7416"/>
      <c r="E130" s="7416"/>
      <c r="F130" s="7416"/>
      <c r="G130" s="7417"/>
      <c r="H130" s="4844" t="s">
        <v>663</v>
      </c>
      <c r="I130" s="3117"/>
      <c r="J130" s="3117"/>
      <c r="K130" s="3117"/>
      <c r="L130" s="3117"/>
      <c r="M130" s="3117"/>
      <c r="N130" s="3117"/>
      <c r="O130" s="3117"/>
      <c r="P130" s="3117"/>
      <c r="Q130" s="3117"/>
      <c r="R130" s="3117"/>
      <c r="S130" s="3117"/>
      <c r="T130" s="3117"/>
      <c r="U130" s="3117"/>
      <c r="V130" s="3117"/>
      <c r="W130" s="3117"/>
      <c r="X130" s="3117"/>
      <c r="Y130" s="3117"/>
      <c r="Z130" s="3117"/>
      <c r="AA130" s="3117"/>
      <c r="AB130" s="3117"/>
      <c r="AC130" s="3117"/>
      <c r="AD130" s="3117"/>
      <c r="AE130" s="3117"/>
      <c r="AF130" s="3117"/>
      <c r="AG130" s="3117"/>
      <c r="AH130" s="3118"/>
      <c r="AI130" s="7418">
        <f>TaxYear</f>
        <v>2021</v>
      </c>
      <c r="AJ130" s="7419"/>
      <c r="AK130" s="7419"/>
      <c r="AL130" s="7419"/>
      <c r="AM130" s="7419"/>
      <c r="AN130" s="7419"/>
      <c r="AO130" s="7419"/>
      <c r="AP130" s="2757"/>
      <c r="BG130" s="3013"/>
      <c r="BH130" s="2595"/>
      <c r="BI130" s="2595"/>
      <c r="BJ130" s="2595"/>
      <c r="BK130" s="2595"/>
      <c r="BL130" s="2595"/>
      <c r="BM130" s="2595"/>
      <c r="BN130" s="2595"/>
      <c r="BO130" s="2595"/>
      <c r="BP130" s="2595"/>
    </row>
    <row r="131" spans="1:69">
      <c r="A131" s="2757"/>
      <c r="B131" s="7422" t="s">
        <v>2334</v>
      </c>
      <c r="C131" s="6764"/>
      <c r="D131" s="6764"/>
      <c r="E131" s="6764"/>
      <c r="F131" s="6764"/>
      <c r="G131" s="7423"/>
      <c r="H131" s="3133" t="str">
        <f>"(From rental real estate, royalties, partnerships, S corporations, estates, trusts, REMICs, etc.)"</f>
        <v>(From rental real estate, royalties, partnerships, S corporations, estates, trusts, REMICs, etc.)</v>
      </c>
      <c r="I131" s="1811"/>
      <c r="J131" s="1811"/>
      <c r="K131" s="1811"/>
      <c r="L131" s="1811"/>
      <c r="M131" s="1811"/>
      <c r="N131" s="1811"/>
      <c r="O131" s="1811"/>
      <c r="P131" s="1811"/>
      <c r="Q131" s="1811"/>
      <c r="R131" s="1811"/>
      <c r="S131" s="1811"/>
      <c r="T131" s="3116"/>
      <c r="U131" s="1811"/>
      <c r="V131" s="1811"/>
      <c r="W131" s="1811"/>
      <c r="X131" s="1811"/>
      <c r="Y131" s="1811"/>
      <c r="Z131" s="1811"/>
      <c r="AA131" s="1811"/>
      <c r="AB131" s="1811"/>
      <c r="AC131" s="1811"/>
      <c r="AD131" s="1811"/>
      <c r="AE131" s="1811"/>
      <c r="AF131" s="1811"/>
      <c r="AG131" s="1811"/>
      <c r="AH131" s="1811"/>
      <c r="AI131" s="7420"/>
      <c r="AJ131" s="7421"/>
      <c r="AK131" s="7421"/>
      <c r="AL131" s="7421"/>
      <c r="AM131" s="7421"/>
      <c r="AN131" s="7421"/>
      <c r="AO131" s="7421"/>
      <c r="AP131" s="2757"/>
      <c r="BG131" s="3013"/>
      <c r="BH131" s="2595"/>
      <c r="BI131" s="2595"/>
      <c r="BJ131" s="2595"/>
      <c r="BK131" s="2595"/>
      <c r="BL131" s="2595"/>
      <c r="BM131" s="2595"/>
      <c r="BN131" s="2595"/>
      <c r="BO131" s="2595"/>
      <c r="BP131" s="2595"/>
    </row>
    <row r="132" spans="1:69">
      <c r="A132" s="2757"/>
      <c r="B132" s="7422"/>
      <c r="C132" s="6764"/>
      <c r="D132" s="6764"/>
      <c r="E132" s="6764"/>
      <c r="F132" s="6764"/>
      <c r="G132" s="7423"/>
      <c r="H132" s="1278"/>
      <c r="I132" s="1179"/>
      <c r="J132" s="1179"/>
      <c r="K132" s="1179"/>
      <c r="L132" s="1179"/>
      <c r="M132" s="1179"/>
      <c r="N132" s="1179"/>
      <c r="O132" s="1179"/>
      <c r="P132" s="1179"/>
      <c r="Q132" s="1179"/>
      <c r="R132" s="1179"/>
      <c r="S132" s="1179"/>
      <c r="T132" s="1444" t="s">
        <v>3497</v>
      </c>
      <c r="U132" s="1179"/>
      <c r="V132" s="1179"/>
      <c r="W132" s="1179"/>
      <c r="X132" s="1179"/>
      <c r="Y132" s="1179"/>
      <c r="Z132" s="1179"/>
      <c r="AA132" s="1179"/>
      <c r="AB132" s="1179"/>
      <c r="AC132" s="1179"/>
      <c r="AD132" s="1179"/>
      <c r="AE132" s="1179"/>
      <c r="AF132" s="1179"/>
      <c r="AG132" s="1179"/>
      <c r="AH132" s="1179"/>
      <c r="AI132" s="3131"/>
      <c r="AJ132" s="7425" t="s">
        <v>2070</v>
      </c>
      <c r="AK132" s="7189"/>
      <c r="AL132" s="7189"/>
      <c r="AM132" s="7189"/>
      <c r="AN132" s="3063"/>
      <c r="AO132" s="3063"/>
      <c r="AP132" s="2757"/>
      <c r="BG132" s="3013"/>
      <c r="BH132" s="2595"/>
      <c r="BI132" s="2595"/>
      <c r="BJ132" s="2595"/>
      <c r="BK132" s="2595"/>
      <c r="BL132" s="2595"/>
      <c r="BM132" s="2595"/>
      <c r="BN132" s="2595"/>
      <c r="BO132" s="2595"/>
      <c r="BP132" s="2595"/>
    </row>
    <row r="133" spans="1:69" ht="14.25" customHeight="1" thickBot="1">
      <c r="A133" s="2757"/>
      <c r="B133" s="6765"/>
      <c r="C133" s="6765"/>
      <c r="D133" s="6765"/>
      <c r="E133" s="6765"/>
      <c r="F133" s="6765"/>
      <c r="G133" s="7424"/>
      <c r="H133" s="3065" t="s">
        <v>2753</v>
      </c>
      <c r="I133" s="3016"/>
      <c r="J133" s="3016"/>
      <c r="K133" s="3016"/>
      <c r="L133" s="3016"/>
      <c r="M133" s="3016"/>
      <c r="N133" s="3016"/>
      <c r="O133" s="3016"/>
      <c r="P133" s="3016"/>
      <c r="Q133" s="3016"/>
      <c r="R133" s="3016"/>
      <c r="S133" s="3016"/>
      <c r="T133" s="3016"/>
      <c r="U133" s="3016"/>
      <c r="V133" s="3016"/>
      <c r="W133" s="3016"/>
      <c r="X133" s="3016"/>
      <c r="Y133" s="3016"/>
      <c r="Z133" s="3016"/>
      <c r="AA133" s="3016"/>
      <c r="AB133" s="3016"/>
      <c r="AC133" s="3016"/>
      <c r="AD133" s="3016"/>
      <c r="AE133" s="3016"/>
      <c r="AF133" s="3016"/>
      <c r="AG133" s="3016"/>
      <c r="AH133" s="3016"/>
      <c r="AI133" s="3132"/>
      <c r="AJ133" s="7426"/>
      <c r="AK133" s="7426"/>
      <c r="AL133" s="7426"/>
      <c r="AM133" s="7426"/>
      <c r="AN133" s="7427">
        <v>13</v>
      </c>
      <c r="AO133" s="7428"/>
      <c r="AP133" s="2757"/>
      <c r="BG133" s="3013"/>
      <c r="BH133" s="2595"/>
      <c r="BI133" s="2595"/>
      <c r="BJ133" s="2595"/>
      <c r="BK133" s="2595"/>
      <c r="BL133" s="2595"/>
      <c r="BM133" s="2595"/>
      <c r="BN133" s="2595"/>
      <c r="BO133" s="2595"/>
      <c r="BP133" s="2595"/>
    </row>
    <row r="134" spans="1:69">
      <c r="A134" s="2757"/>
      <c r="B134" s="1276" t="s">
        <v>55</v>
      </c>
      <c r="C134" s="1179"/>
      <c r="D134" s="1179"/>
      <c r="E134" s="1179"/>
      <c r="F134" s="1179"/>
      <c r="G134" s="1179"/>
      <c r="H134" s="1179"/>
      <c r="I134" s="1179"/>
      <c r="J134" s="1179"/>
      <c r="K134" s="1179"/>
      <c r="L134" s="1179"/>
      <c r="M134" s="1179"/>
      <c r="N134" s="1179"/>
      <c r="O134" s="1179"/>
      <c r="P134" s="1179"/>
      <c r="Q134" s="1179"/>
      <c r="R134" s="1179"/>
      <c r="S134" s="1179"/>
      <c r="T134" s="1179"/>
      <c r="U134" s="1179"/>
      <c r="V134" s="1179"/>
      <c r="W134" s="1179"/>
      <c r="X134" s="1179"/>
      <c r="Y134" s="1179"/>
      <c r="Z134" s="1179"/>
      <c r="AA134" s="1179"/>
      <c r="AB134" s="1179"/>
      <c r="AC134" s="1179"/>
      <c r="AD134" s="1179"/>
      <c r="AE134" s="1179"/>
      <c r="AF134" s="1179"/>
      <c r="AG134" s="7429" t="s">
        <v>89</v>
      </c>
      <c r="AH134" s="7430"/>
      <c r="AI134" s="7430"/>
      <c r="AJ134" s="7430"/>
      <c r="AK134" s="7430"/>
      <c r="AL134" s="7430"/>
      <c r="AM134" s="7430"/>
      <c r="AN134" s="7430"/>
      <c r="AO134" s="7430"/>
      <c r="AP134" s="2757"/>
      <c r="BG134" s="3013"/>
      <c r="BH134" s="2595"/>
      <c r="BI134" s="2595"/>
      <c r="BJ134" s="2595"/>
      <c r="BK134" s="2595"/>
      <c r="BL134" s="2595"/>
      <c r="BM134" s="2595"/>
      <c r="BN134" s="2595"/>
      <c r="BO134" s="2595"/>
      <c r="BP134" s="2595"/>
    </row>
    <row r="135" spans="1:69" ht="9.75" customHeight="1">
      <c r="A135" s="2757"/>
      <c r="B135" s="6635" t="str">
        <f>Names</f>
        <v/>
      </c>
      <c r="C135" s="6636"/>
      <c r="D135" s="6636"/>
      <c r="E135" s="6636"/>
      <c r="F135" s="6636"/>
      <c r="G135" s="6636"/>
      <c r="H135" s="6636"/>
      <c r="I135" s="6636"/>
      <c r="J135" s="6636"/>
      <c r="K135" s="6636"/>
      <c r="L135" s="6636"/>
      <c r="M135" s="6636"/>
      <c r="N135" s="6636"/>
      <c r="O135" s="6636"/>
      <c r="P135" s="6636"/>
      <c r="Q135" s="6636"/>
      <c r="R135" s="6636"/>
      <c r="S135" s="6636"/>
      <c r="T135" s="6636"/>
      <c r="U135" s="6636"/>
      <c r="V135" s="6636"/>
      <c r="W135" s="6636"/>
      <c r="X135" s="6636"/>
      <c r="Y135" s="6636"/>
      <c r="Z135" s="6636"/>
      <c r="AA135" s="6636"/>
      <c r="AB135" s="6636"/>
      <c r="AC135" s="6636"/>
      <c r="AD135" s="6636"/>
      <c r="AE135" s="6636"/>
      <c r="AF135" s="6637"/>
      <c r="AG135" s="7431">
        <f>IF(NoSSN,"",SS_Yours)</f>
        <v>1010001</v>
      </c>
      <c r="AH135" s="7432"/>
      <c r="AI135" s="7432"/>
      <c r="AJ135" s="7432"/>
      <c r="AK135" s="7432"/>
      <c r="AL135" s="7432"/>
      <c r="AM135" s="7432"/>
      <c r="AN135" s="7432"/>
      <c r="AO135" s="7432"/>
      <c r="AP135" s="2757"/>
      <c r="BG135" s="3013"/>
      <c r="BH135" s="2595"/>
      <c r="BI135" s="2595"/>
      <c r="BJ135" s="2595"/>
      <c r="BK135" s="2595"/>
      <c r="BL135" s="2595"/>
      <c r="BM135" s="2595"/>
      <c r="BN135" s="2595"/>
      <c r="BO135" s="2595"/>
      <c r="BP135" s="2595"/>
    </row>
    <row r="136" spans="1:69" ht="9.75" customHeight="1">
      <c r="A136" s="2757"/>
      <c r="B136" s="6290"/>
      <c r="C136" s="6290"/>
      <c r="D136" s="6290"/>
      <c r="E136" s="6290"/>
      <c r="F136" s="6290"/>
      <c r="G136" s="6290"/>
      <c r="H136" s="6290"/>
      <c r="I136" s="6290"/>
      <c r="J136" s="6290"/>
      <c r="K136" s="6290"/>
      <c r="L136" s="6290"/>
      <c r="M136" s="6290"/>
      <c r="N136" s="6290"/>
      <c r="O136" s="6290"/>
      <c r="P136" s="6290"/>
      <c r="Q136" s="6290"/>
      <c r="R136" s="6290"/>
      <c r="S136" s="6290"/>
      <c r="T136" s="6290"/>
      <c r="U136" s="6290"/>
      <c r="V136" s="6290"/>
      <c r="W136" s="6290"/>
      <c r="X136" s="6290"/>
      <c r="Y136" s="6290"/>
      <c r="Z136" s="6290"/>
      <c r="AA136" s="6290"/>
      <c r="AB136" s="6290"/>
      <c r="AC136" s="6290"/>
      <c r="AD136" s="6290"/>
      <c r="AE136" s="6290"/>
      <c r="AF136" s="6638"/>
      <c r="AG136" s="7433"/>
      <c r="AH136" s="7434"/>
      <c r="AI136" s="7434"/>
      <c r="AJ136" s="7434"/>
      <c r="AK136" s="7434"/>
      <c r="AL136" s="7434"/>
      <c r="AM136" s="7434"/>
      <c r="AN136" s="7434"/>
      <c r="AO136" s="7434"/>
      <c r="AP136" s="2757"/>
      <c r="BG136" s="3013"/>
      <c r="BH136" s="2595"/>
      <c r="BI136" s="2595"/>
      <c r="BJ136" s="2595"/>
      <c r="BK136" s="2595"/>
      <c r="BL136" s="2595"/>
      <c r="BM136" s="2595"/>
      <c r="BN136" s="2595"/>
      <c r="BO136" s="2595"/>
      <c r="BP136" s="2595"/>
    </row>
    <row r="137" spans="1:69" s="2689" customFormat="1" ht="17.25" customHeight="1">
      <c r="A137" s="2758"/>
      <c r="B137" s="7220" t="s">
        <v>51</v>
      </c>
      <c r="C137" s="7220"/>
      <c r="D137" s="7221"/>
      <c r="E137" s="1396"/>
      <c r="F137" s="3071" t="s">
        <v>664</v>
      </c>
      <c r="G137" s="1396"/>
      <c r="H137" s="1396"/>
      <c r="I137" s="1396"/>
      <c r="J137" s="1396"/>
      <c r="K137" s="1396"/>
      <c r="L137" s="1396"/>
      <c r="M137" s="1396"/>
      <c r="N137" s="1396"/>
      <c r="O137" s="1396"/>
      <c r="P137" s="1396"/>
      <c r="Q137" s="1396"/>
      <c r="R137" s="1396"/>
      <c r="S137" s="1396"/>
      <c r="T137" s="1396"/>
      <c r="U137" s="1396"/>
      <c r="V137" s="1396"/>
      <c r="W137" s="1396"/>
      <c r="X137" s="3072" t="s">
        <v>2335</v>
      </c>
      <c r="Y137" s="1396"/>
      <c r="Z137" s="1396"/>
      <c r="AA137" s="1396"/>
      <c r="AB137" s="1396"/>
      <c r="AC137" s="1396"/>
      <c r="AD137" s="1396"/>
      <c r="AE137" s="1396"/>
      <c r="AF137" s="1396"/>
      <c r="AG137" s="1396"/>
      <c r="AH137" s="1396"/>
      <c r="AI137" s="1396"/>
      <c r="AJ137" s="1396"/>
      <c r="AK137" s="1396"/>
      <c r="AL137" s="1396"/>
      <c r="AM137" s="1396"/>
      <c r="AN137" s="1396"/>
      <c r="AO137" s="1396"/>
      <c r="AP137" s="2757"/>
      <c r="BG137" s="3013"/>
      <c r="BH137" s="2595"/>
      <c r="BI137" s="2595"/>
      <c r="BJ137" s="2595"/>
      <c r="BK137" s="2595"/>
      <c r="BL137" s="2595"/>
      <c r="BM137" s="2595"/>
      <c r="BN137" s="2595"/>
      <c r="BO137" s="2595"/>
      <c r="BP137" s="2595"/>
      <c r="BQ137" s="3402"/>
    </row>
    <row r="138" spans="1:69" ht="15.75">
      <c r="A138" s="2757"/>
      <c r="B138" s="3069"/>
      <c r="C138" s="3069"/>
      <c r="D138" s="3070"/>
      <c r="E138" s="1777"/>
      <c r="F138" s="2217" t="s">
        <v>4795</v>
      </c>
      <c r="G138" s="3068"/>
      <c r="H138" s="3068"/>
      <c r="I138" s="3068"/>
      <c r="J138" s="3068"/>
      <c r="K138" s="3068"/>
      <c r="L138" s="3068"/>
      <c r="M138" s="1777"/>
      <c r="N138" s="3068"/>
      <c r="O138" s="3068"/>
      <c r="P138" s="3068"/>
      <c r="Q138" s="3068"/>
      <c r="R138" s="3068"/>
      <c r="S138" s="3068"/>
      <c r="T138" s="3068"/>
      <c r="U138" s="3068"/>
      <c r="V138" s="3068"/>
      <c r="W138" s="3068"/>
      <c r="X138" s="3068"/>
      <c r="Y138" s="3068"/>
      <c r="Z138" s="3068"/>
      <c r="AA138" s="3068"/>
      <c r="AB138" s="3068"/>
      <c r="AC138" s="3068"/>
      <c r="AD138" s="1777"/>
      <c r="AE138" s="3068"/>
      <c r="AF138" s="3068"/>
      <c r="AG138" s="3068"/>
      <c r="AH138" s="3068"/>
      <c r="AI138" s="3068"/>
      <c r="AJ138" s="3068"/>
      <c r="AK138" s="3068"/>
      <c r="AL138" s="3068"/>
      <c r="AM138" s="3068"/>
      <c r="AN138" s="3068"/>
      <c r="AO138" s="3068"/>
      <c r="AP138" s="2757"/>
      <c r="BG138" s="3013"/>
      <c r="BH138" s="2595"/>
      <c r="BI138" s="2595"/>
      <c r="BJ138" s="2595"/>
      <c r="BK138" s="2595"/>
      <c r="BL138" s="2595"/>
      <c r="BM138" s="2595"/>
      <c r="BN138" s="2595"/>
      <c r="BO138" s="2595"/>
      <c r="BP138" s="2595"/>
    </row>
    <row r="139" spans="1:69" ht="15.75">
      <c r="A139" s="2757"/>
      <c r="B139" s="7393" t="s">
        <v>143</v>
      </c>
      <c r="C139" s="7408"/>
      <c r="D139" s="3073" t="str">
        <f>"Did you make any payments in "&amp;TaxYear&amp;" that would require you to file Form(s) 1099?  See instructions"</f>
        <v>Did you make any payments in 2021 that would require you to file Form(s) 1099?  See instructions</v>
      </c>
      <c r="E139" s="2335"/>
      <c r="F139" s="2335"/>
      <c r="G139" s="2335"/>
      <c r="H139" s="2335"/>
      <c r="I139" s="2335"/>
      <c r="J139" s="2335"/>
      <c r="K139" s="2335"/>
      <c r="L139" s="2335"/>
      <c r="M139" s="2335"/>
      <c r="N139" s="2335"/>
      <c r="O139" s="2335"/>
      <c r="P139" s="2335"/>
      <c r="Q139" s="2335"/>
      <c r="R139" s="2335"/>
      <c r="S139" s="2335"/>
      <c r="T139" s="2335"/>
      <c r="U139" s="2335"/>
      <c r="V139" s="2335"/>
      <c r="W139" s="2335"/>
      <c r="X139" s="2335"/>
      <c r="Y139" s="2335"/>
      <c r="Z139" s="2335"/>
      <c r="AA139" s="2335"/>
      <c r="AB139" s="2335"/>
      <c r="AC139" s="2335"/>
      <c r="AD139" s="2335"/>
      <c r="AE139" s="2335"/>
      <c r="AF139" s="2335"/>
      <c r="AG139" s="2335"/>
      <c r="AH139" s="2335"/>
      <c r="AI139" s="2335"/>
      <c r="AJ139" s="1180"/>
      <c r="AK139" s="2786" t="s">
        <v>2336</v>
      </c>
      <c r="AL139" s="2335"/>
      <c r="AM139" s="1180"/>
      <c r="AN139" s="2786" t="s">
        <v>511</v>
      </c>
      <c r="AO139" s="2335"/>
      <c r="AP139" s="2757"/>
      <c r="BG139" s="3013"/>
      <c r="BH139" s="2595"/>
      <c r="BI139" s="2595"/>
      <c r="BJ139" s="2595"/>
      <c r="BK139" s="2595"/>
      <c r="BL139" s="2595"/>
      <c r="BM139" s="2595"/>
      <c r="BN139" s="2595"/>
      <c r="BO139" s="2595"/>
      <c r="BP139" s="2595"/>
    </row>
    <row r="140" spans="1:69" ht="15.75">
      <c r="A140" s="2757"/>
      <c r="B140" s="7409" t="s">
        <v>288</v>
      </c>
      <c r="C140" s="7410"/>
      <c r="D140" s="2803" t="s">
        <v>681</v>
      </c>
      <c r="E140" s="3068"/>
      <c r="F140" s="3068"/>
      <c r="G140" s="3068"/>
      <c r="H140" s="3068"/>
      <c r="I140" s="3068"/>
      <c r="J140" s="3068"/>
      <c r="K140" s="3068"/>
      <c r="L140" s="3068"/>
      <c r="M140" s="3068"/>
      <c r="N140" s="3068"/>
      <c r="O140" s="3068"/>
      <c r="P140" s="3068"/>
      <c r="Q140" s="3068"/>
      <c r="R140" s="3068"/>
      <c r="S140" s="3068"/>
      <c r="T140" s="3068"/>
      <c r="U140" s="3068"/>
      <c r="V140" s="3068"/>
      <c r="W140" s="3068"/>
      <c r="X140" s="3068"/>
      <c r="Y140" s="3068"/>
      <c r="Z140" s="3068"/>
      <c r="AA140" s="3068"/>
      <c r="AB140" s="3068"/>
      <c r="AC140" s="3068"/>
      <c r="AD140" s="3068"/>
      <c r="AE140" s="3068"/>
      <c r="AF140" s="3068"/>
      <c r="AG140" s="3068"/>
      <c r="AH140" s="3068"/>
      <c r="AI140" s="3068"/>
      <c r="AJ140" s="1180"/>
      <c r="AK140" s="1572" t="s">
        <v>2336</v>
      </c>
      <c r="AL140" s="3068"/>
      <c r="AM140" s="1180"/>
      <c r="AN140" s="1572" t="s">
        <v>511</v>
      </c>
      <c r="AO140" s="3068"/>
      <c r="AP140" s="2757"/>
      <c r="BG140" s="3013"/>
      <c r="BH140" s="2595"/>
      <c r="BI140" s="2595"/>
      <c r="BJ140" s="2595"/>
      <c r="BK140" s="2595"/>
      <c r="BL140" s="2595"/>
      <c r="BM140" s="2595"/>
      <c r="BN140" s="2595"/>
      <c r="BO140" s="2595"/>
      <c r="BP140" s="2595"/>
    </row>
    <row r="141" spans="1:69" ht="15.75">
      <c r="A141" s="2757"/>
      <c r="B141" s="7380" t="s">
        <v>12</v>
      </c>
      <c r="C141" s="7411"/>
      <c r="D141" s="3059" t="s">
        <v>746</v>
      </c>
      <c r="E141" s="3075"/>
      <c r="F141" s="3075"/>
      <c r="G141" s="3075"/>
      <c r="H141" s="3075"/>
      <c r="I141" s="3075"/>
      <c r="J141" s="3075"/>
      <c r="K141" s="3075"/>
      <c r="L141" s="3075"/>
      <c r="M141" s="3075"/>
      <c r="N141" s="3075"/>
      <c r="O141" s="3075"/>
      <c r="P141" s="3075"/>
      <c r="Q141" s="3075"/>
      <c r="R141" s="3075"/>
      <c r="S141" s="3075"/>
      <c r="T141" s="3075"/>
      <c r="U141" s="3075"/>
      <c r="V141" s="3075"/>
      <c r="W141" s="3075"/>
      <c r="X141" s="3075"/>
      <c r="Y141" s="3075"/>
      <c r="Z141" s="3075"/>
      <c r="AA141" s="3075"/>
      <c r="AB141" s="3075"/>
      <c r="AC141" s="3075"/>
      <c r="AD141" s="3075"/>
      <c r="AE141" s="3075"/>
      <c r="AF141" s="3075"/>
      <c r="AG141" s="3075"/>
      <c r="AH141" s="3075"/>
      <c r="AI141" s="3075"/>
      <c r="AJ141" s="3075"/>
      <c r="AK141" s="3075"/>
      <c r="AL141" s="3075"/>
      <c r="AM141" s="3075"/>
      <c r="AN141" s="3075"/>
      <c r="AO141" s="3075"/>
      <c r="AP141" s="2757"/>
      <c r="BG141" s="3013"/>
      <c r="BH141" s="2595"/>
      <c r="BI141" s="2595"/>
      <c r="BJ141" s="2595"/>
      <c r="BK141" s="2595"/>
      <c r="BL141" s="2595"/>
      <c r="BM141" s="2595"/>
      <c r="BN141" s="2595"/>
      <c r="BO141" s="2595"/>
      <c r="BP141" s="2595"/>
    </row>
    <row r="142" spans="1:69" ht="15.75">
      <c r="A142" s="2757"/>
      <c r="B142" s="7380" t="s">
        <v>143</v>
      </c>
      <c r="C142" s="7198"/>
      <c r="D142" s="7412"/>
      <c r="E142" s="6807"/>
      <c r="F142" s="6807"/>
      <c r="G142" s="6807"/>
      <c r="H142" s="6807"/>
      <c r="I142" s="6807"/>
      <c r="J142" s="6807"/>
      <c r="K142" s="6807"/>
      <c r="L142" s="6807"/>
      <c r="M142" s="6807"/>
      <c r="N142" s="6807"/>
      <c r="O142" s="6807"/>
      <c r="P142" s="6807"/>
      <c r="Q142" s="6807"/>
      <c r="R142" s="6807"/>
      <c r="S142" s="6807"/>
      <c r="T142" s="6807"/>
      <c r="U142" s="6807"/>
      <c r="V142" s="6807"/>
      <c r="W142" s="6807"/>
      <c r="X142" s="6807"/>
      <c r="Y142" s="6807"/>
      <c r="Z142" s="6807"/>
      <c r="AA142" s="6807"/>
      <c r="AB142" s="6807"/>
      <c r="AC142" s="6807"/>
      <c r="AD142" s="6807"/>
      <c r="AE142" s="6807"/>
      <c r="AF142" s="6807"/>
      <c r="AG142" s="6807"/>
      <c r="AH142" s="6807"/>
      <c r="AI142" s="6807"/>
      <c r="AJ142" s="6807"/>
      <c r="AK142" s="6807"/>
      <c r="AL142" s="6807"/>
      <c r="AM142" s="6807"/>
      <c r="AN142" s="6807"/>
      <c r="AO142" s="6807"/>
      <c r="AP142" s="2757"/>
      <c r="BG142" s="3013"/>
      <c r="BH142" s="2595"/>
      <c r="BI142" s="2595"/>
      <c r="BJ142" s="2595"/>
      <c r="BK142" s="2595"/>
      <c r="BL142" s="2595"/>
      <c r="BM142" s="2595"/>
      <c r="BN142" s="2595"/>
      <c r="BO142" s="2595"/>
      <c r="BP142" s="2595"/>
    </row>
    <row r="143" spans="1:69" ht="15.75">
      <c r="A143" s="2757"/>
      <c r="B143" s="7380" t="s">
        <v>288</v>
      </c>
      <c r="C143" s="7198"/>
      <c r="D143" s="7412"/>
      <c r="E143" s="6807"/>
      <c r="F143" s="6807"/>
      <c r="G143" s="6807"/>
      <c r="H143" s="6807"/>
      <c r="I143" s="6807"/>
      <c r="J143" s="6807"/>
      <c r="K143" s="6807"/>
      <c r="L143" s="6807"/>
      <c r="M143" s="6807"/>
      <c r="N143" s="6807"/>
      <c r="O143" s="6807"/>
      <c r="P143" s="6807"/>
      <c r="Q143" s="6807"/>
      <c r="R143" s="6807"/>
      <c r="S143" s="6807"/>
      <c r="T143" s="6807"/>
      <c r="U143" s="6807"/>
      <c r="V143" s="6807"/>
      <c r="W143" s="6807"/>
      <c r="X143" s="6807"/>
      <c r="Y143" s="6807"/>
      <c r="Z143" s="6807"/>
      <c r="AA143" s="6807"/>
      <c r="AB143" s="6807"/>
      <c r="AC143" s="6807"/>
      <c r="AD143" s="6807"/>
      <c r="AE143" s="6807"/>
      <c r="AF143" s="6807"/>
      <c r="AG143" s="6807"/>
      <c r="AH143" s="6807"/>
      <c r="AI143" s="6807"/>
      <c r="AJ143" s="6807"/>
      <c r="AK143" s="6807"/>
      <c r="AL143" s="6807"/>
      <c r="AM143" s="6807"/>
      <c r="AN143" s="6807"/>
      <c r="AO143" s="6807"/>
      <c r="AP143" s="2757"/>
      <c r="BG143" s="3013"/>
      <c r="BH143" s="2595"/>
      <c r="BI143" s="2595"/>
      <c r="BJ143" s="2595"/>
      <c r="BK143" s="2595"/>
      <c r="BL143" s="2595"/>
      <c r="BM143" s="2595"/>
      <c r="BN143" s="2595"/>
      <c r="BO143" s="2595"/>
      <c r="BP143" s="2595"/>
    </row>
    <row r="144" spans="1:69" ht="15.75">
      <c r="A144" s="2757"/>
      <c r="B144" s="7380" t="s">
        <v>144</v>
      </c>
      <c r="C144" s="7198"/>
      <c r="D144" s="7412"/>
      <c r="E144" s="6807"/>
      <c r="F144" s="6807"/>
      <c r="G144" s="6807"/>
      <c r="H144" s="6807"/>
      <c r="I144" s="6807"/>
      <c r="J144" s="6807"/>
      <c r="K144" s="6807"/>
      <c r="L144" s="6807"/>
      <c r="M144" s="6807"/>
      <c r="N144" s="6807"/>
      <c r="O144" s="6807"/>
      <c r="P144" s="6807"/>
      <c r="Q144" s="6807"/>
      <c r="R144" s="6807"/>
      <c r="S144" s="6807"/>
      <c r="T144" s="6807"/>
      <c r="U144" s="6807"/>
      <c r="V144" s="6807"/>
      <c r="W144" s="6807"/>
      <c r="X144" s="6807"/>
      <c r="Y144" s="6807"/>
      <c r="Z144" s="6807"/>
      <c r="AA144" s="6807"/>
      <c r="AB144" s="6807"/>
      <c r="AC144" s="6807"/>
      <c r="AD144" s="6807"/>
      <c r="AE144" s="6807"/>
      <c r="AF144" s="6807"/>
      <c r="AG144" s="6807"/>
      <c r="AH144" s="6807"/>
      <c r="AI144" s="6807"/>
      <c r="AJ144" s="6807"/>
      <c r="AK144" s="6807"/>
      <c r="AL144" s="6807"/>
      <c r="AM144" s="6807"/>
      <c r="AN144" s="6807"/>
      <c r="AO144" s="6807"/>
      <c r="AP144" s="2757"/>
      <c r="AX144" s="42">
        <v>1</v>
      </c>
      <c r="AY144" s="42" t="s">
        <v>1084</v>
      </c>
      <c r="BG144" s="3013"/>
      <c r="BH144" s="2595"/>
      <c r="BI144" s="2595"/>
      <c r="BJ144" s="2595"/>
      <c r="BK144" s="2595"/>
      <c r="BL144" s="2595"/>
      <c r="BM144" s="2595"/>
      <c r="BN144" s="2595"/>
      <c r="BO144" s="2595"/>
      <c r="BP144" s="2595"/>
    </row>
    <row r="145" spans="1:68" ht="15.75" customHeight="1">
      <c r="A145" s="2757"/>
      <c r="B145" s="7393" t="s">
        <v>15</v>
      </c>
      <c r="C145" s="7394"/>
      <c r="D145" s="7261" t="s">
        <v>2337</v>
      </c>
      <c r="E145" s="7395"/>
      <c r="F145" s="7395"/>
      <c r="G145" s="7395"/>
      <c r="H145" s="7396"/>
      <c r="I145" s="7363">
        <v>2</v>
      </c>
      <c r="J145" s="7400"/>
      <c r="K145" s="7401" t="s">
        <v>4045</v>
      </c>
      <c r="L145" s="7086"/>
      <c r="M145" s="7086"/>
      <c r="N145" s="7086"/>
      <c r="O145" s="7086"/>
      <c r="P145" s="7086"/>
      <c r="Q145" s="7086"/>
      <c r="R145" s="7086"/>
      <c r="S145" s="7086"/>
      <c r="T145" s="7086"/>
      <c r="U145" s="7086"/>
      <c r="V145" s="7086"/>
      <c r="W145" s="7086"/>
      <c r="X145" s="3066"/>
      <c r="Y145" s="3066"/>
      <c r="Z145" s="3066"/>
      <c r="AA145" s="7402" t="s">
        <v>2338</v>
      </c>
      <c r="AB145" s="7403"/>
      <c r="AC145" s="7403"/>
      <c r="AD145" s="7403"/>
      <c r="AE145" s="7404"/>
      <c r="AF145" s="7402" t="s">
        <v>683</v>
      </c>
      <c r="AG145" s="7403"/>
      <c r="AH145" s="7403"/>
      <c r="AI145" s="7403"/>
      <c r="AJ145" s="7404"/>
      <c r="AK145" s="7402" t="s">
        <v>682</v>
      </c>
      <c r="AL145" s="7403"/>
      <c r="AM145" s="7403"/>
      <c r="AN145" s="7403"/>
      <c r="AO145" s="7403"/>
      <c r="AP145" s="2757"/>
      <c r="AX145" s="42">
        <v>2</v>
      </c>
      <c r="AY145" s="42" t="s">
        <v>1085</v>
      </c>
      <c r="BG145" s="3013"/>
      <c r="BH145" s="2595"/>
      <c r="BI145" s="2595"/>
      <c r="BJ145" s="2595"/>
      <c r="BK145" s="2595"/>
      <c r="BL145" s="2595"/>
      <c r="BM145" s="2595"/>
      <c r="BN145" s="2595"/>
      <c r="BO145" s="2595"/>
      <c r="BP145" s="2595"/>
    </row>
    <row r="146" spans="1:68" ht="14.25" customHeight="1">
      <c r="A146" s="2757"/>
      <c r="B146" s="3076"/>
      <c r="C146" s="3077"/>
      <c r="D146" s="7397"/>
      <c r="E146" s="7398"/>
      <c r="F146" s="7398"/>
      <c r="G146" s="7398"/>
      <c r="H146" s="7399"/>
      <c r="I146" s="3067"/>
      <c r="J146" s="2335"/>
      <c r="K146" s="6792"/>
      <c r="L146" s="6792"/>
      <c r="M146" s="6792"/>
      <c r="N146" s="6792"/>
      <c r="O146" s="6792"/>
      <c r="P146" s="6792"/>
      <c r="Q146" s="6792"/>
      <c r="R146" s="6792"/>
      <c r="S146" s="6792"/>
      <c r="T146" s="6792"/>
      <c r="U146" s="6792"/>
      <c r="V146" s="6792"/>
      <c r="W146" s="6792"/>
      <c r="X146" s="2335"/>
      <c r="Y146" s="2335"/>
      <c r="Z146" s="2335"/>
      <c r="AA146" s="7405"/>
      <c r="AB146" s="7406"/>
      <c r="AC146" s="7406"/>
      <c r="AD146" s="7406"/>
      <c r="AE146" s="7407"/>
      <c r="AF146" s="7405"/>
      <c r="AG146" s="7406"/>
      <c r="AH146" s="7406"/>
      <c r="AI146" s="7406"/>
      <c r="AJ146" s="7407"/>
      <c r="AK146" s="7405"/>
      <c r="AL146" s="7406"/>
      <c r="AM146" s="7406"/>
      <c r="AN146" s="7406"/>
      <c r="AO146" s="7406"/>
      <c r="AP146" s="2757"/>
      <c r="AV146" s="3142">
        <f>IF(LeapYear,366,365)</f>
        <v>365</v>
      </c>
      <c r="AW146" s="3143"/>
      <c r="AX146" s="42">
        <v>3</v>
      </c>
      <c r="AY146" s="42" t="s">
        <v>1346</v>
      </c>
      <c r="BE146" s="2845" t="s">
        <v>1345</v>
      </c>
      <c r="BG146" s="3013"/>
      <c r="BH146" s="2595"/>
      <c r="BI146" s="2595"/>
      <c r="BJ146" s="2595"/>
      <c r="BK146" s="2595"/>
      <c r="BL146" s="2595"/>
      <c r="BM146" s="2595"/>
      <c r="BN146" s="2595"/>
      <c r="BO146" s="2595"/>
      <c r="BP146" s="2595"/>
    </row>
    <row r="147" spans="1:68" ht="15.75">
      <c r="A147" s="2757"/>
      <c r="B147" s="7380" t="s">
        <v>143</v>
      </c>
      <c r="C147" s="7198"/>
      <c r="D147" s="7381"/>
      <c r="E147" s="7382"/>
      <c r="F147" s="7382"/>
      <c r="G147" s="7382"/>
      <c r="H147" s="7383"/>
      <c r="I147" s="1582"/>
      <c r="J147" s="1179"/>
      <c r="K147" s="6792"/>
      <c r="L147" s="6792"/>
      <c r="M147" s="6792"/>
      <c r="N147" s="6792"/>
      <c r="O147" s="6792"/>
      <c r="P147" s="6792"/>
      <c r="Q147" s="6792"/>
      <c r="R147" s="6792"/>
      <c r="S147" s="6792"/>
      <c r="T147" s="6792"/>
      <c r="U147" s="6792"/>
      <c r="V147" s="6792"/>
      <c r="W147" s="6792"/>
      <c r="X147" s="7384" t="s">
        <v>143</v>
      </c>
      <c r="Y147" s="7385"/>
      <c r="Z147" s="7386"/>
      <c r="AA147" s="6543"/>
      <c r="AB147" s="7313"/>
      <c r="AC147" s="7313"/>
      <c r="AD147" s="7313"/>
      <c r="AE147" s="7314"/>
      <c r="AF147" s="6543"/>
      <c r="AG147" s="7313"/>
      <c r="AH147" s="7313"/>
      <c r="AI147" s="7313"/>
      <c r="AJ147" s="7314"/>
      <c r="AK147" s="3078"/>
      <c r="AL147" s="3079"/>
      <c r="AM147" s="1180"/>
      <c r="AN147" s="3079"/>
      <c r="AO147" s="3079"/>
      <c r="AP147" s="2757"/>
      <c r="AR147" s="1286" t="b">
        <f>D147=8</f>
        <v>0</v>
      </c>
      <c r="AV147" s="3144" t="b">
        <f>AA147&gt;$AV$19</f>
        <v>0</v>
      </c>
      <c r="AW147" s="3145" t="b">
        <f>AF147&gt;$AV$19</f>
        <v>0</v>
      </c>
      <c r="AX147" s="42">
        <v>4</v>
      </c>
      <c r="AY147" s="42" t="s">
        <v>1086</v>
      </c>
      <c r="BE147" s="2846" t="b">
        <f>IF(AND(D147&lt;&gt;"",OR(D147&lt;1,D147&gt;8,ISERROR(V156))),TRUE,FALSE)</f>
        <v>0</v>
      </c>
      <c r="BG147" s="3013"/>
      <c r="BH147" s="2595"/>
      <c r="BI147" s="2595"/>
      <c r="BJ147" s="2595"/>
      <c r="BK147" s="2595"/>
      <c r="BL147" s="2595"/>
      <c r="BM147" s="2595"/>
      <c r="BN147" s="2595"/>
      <c r="BO147" s="2595"/>
      <c r="BP147" s="2595"/>
    </row>
    <row r="148" spans="1:68" ht="15.75">
      <c r="A148" s="2757"/>
      <c r="B148" s="7380" t="s">
        <v>288</v>
      </c>
      <c r="C148" s="7198"/>
      <c r="D148" s="7381"/>
      <c r="E148" s="7382"/>
      <c r="F148" s="7382"/>
      <c r="G148" s="7382"/>
      <c r="H148" s="7383"/>
      <c r="I148" s="1582"/>
      <c r="J148" s="1179"/>
      <c r="K148" s="6792"/>
      <c r="L148" s="6792"/>
      <c r="M148" s="6792"/>
      <c r="N148" s="6792"/>
      <c r="O148" s="6792"/>
      <c r="P148" s="6792"/>
      <c r="Q148" s="6792"/>
      <c r="R148" s="6792"/>
      <c r="S148" s="6792"/>
      <c r="T148" s="6792"/>
      <c r="U148" s="6792"/>
      <c r="V148" s="6792"/>
      <c r="W148" s="6792"/>
      <c r="X148" s="7384" t="s">
        <v>288</v>
      </c>
      <c r="Y148" s="7385"/>
      <c r="Z148" s="7386"/>
      <c r="AA148" s="6543"/>
      <c r="AB148" s="7313"/>
      <c r="AC148" s="7313"/>
      <c r="AD148" s="7313"/>
      <c r="AE148" s="7314"/>
      <c r="AF148" s="6543"/>
      <c r="AG148" s="7313"/>
      <c r="AH148" s="7313"/>
      <c r="AI148" s="7313"/>
      <c r="AJ148" s="7314"/>
      <c r="AK148" s="3078"/>
      <c r="AL148" s="3079"/>
      <c r="AM148" s="1180"/>
      <c r="AN148" s="3079"/>
      <c r="AO148" s="3079"/>
      <c r="AP148" s="2757"/>
      <c r="AR148" s="1286" t="b">
        <f>D148=8</f>
        <v>0</v>
      </c>
      <c r="AV148" s="3144" t="b">
        <f>AA148&gt;$AV$19</f>
        <v>0</v>
      </c>
      <c r="AW148" s="3145" t="b">
        <f>AF148&gt;$AV$19</f>
        <v>0</v>
      </c>
      <c r="AX148" s="42">
        <v>5</v>
      </c>
      <c r="AY148" s="42" t="s">
        <v>1087</v>
      </c>
      <c r="BE148" s="2846" t="b">
        <f>IF(AND(D148&lt;&gt;"",OR(D148&lt;1,D148&gt;8,ISERROR(AD156))),TRUE,FALSE)</f>
        <v>0</v>
      </c>
      <c r="BG148" s="3013"/>
      <c r="BH148" s="2595"/>
      <c r="BI148" s="2595"/>
      <c r="BJ148" s="2595"/>
      <c r="BK148" s="2595"/>
      <c r="BL148" s="2595"/>
      <c r="BM148" s="2595"/>
      <c r="BN148" s="2595"/>
      <c r="BO148" s="2595"/>
      <c r="BP148" s="2595"/>
    </row>
    <row r="149" spans="1:68" ht="15.75">
      <c r="A149" s="2757"/>
      <c r="B149" s="7380" t="s">
        <v>144</v>
      </c>
      <c r="C149" s="7198"/>
      <c r="D149" s="7381"/>
      <c r="E149" s="7382"/>
      <c r="F149" s="7382"/>
      <c r="G149" s="7382"/>
      <c r="H149" s="7383"/>
      <c r="I149" s="1586"/>
      <c r="J149" s="1553"/>
      <c r="K149" s="1448"/>
      <c r="L149" s="1553"/>
      <c r="M149" s="1553"/>
      <c r="N149" s="1553"/>
      <c r="O149" s="1553"/>
      <c r="P149" s="1553"/>
      <c r="Q149" s="1553"/>
      <c r="R149" s="1553"/>
      <c r="S149" s="1553"/>
      <c r="T149" s="1553"/>
      <c r="U149" s="1553"/>
      <c r="V149" s="1553"/>
      <c r="W149" s="1553"/>
      <c r="X149" s="7384" t="s">
        <v>144</v>
      </c>
      <c r="Y149" s="7385"/>
      <c r="Z149" s="7386"/>
      <c r="AA149" s="6543"/>
      <c r="AB149" s="7313"/>
      <c r="AC149" s="7313"/>
      <c r="AD149" s="7313"/>
      <c r="AE149" s="7314"/>
      <c r="AF149" s="6543"/>
      <c r="AG149" s="7313"/>
      <c r="AH149" s="7313"/>
      <c r="AI149" s="7313"/>
      <c r="AJ149" s="7314"/>
      <c r="AK149" s="3078"/>
      <c r="AL149" s="3079"/>
      <c r="AM149" s="1180"/>
      <c r="AN149" s="3079"/>
      <c r="AO149" s="3079"/>
      <c r="AP149" s="2757"/>
      <c r="AR149" s="1286" t="b">
        <f>D149=8</f>
        <v>0</v>
      </c>
      <c r="AV149" s="3146" t="b">
        <f>AA149&gt;$AV$19</f>
        <v>0</v>
      </c>
      <c r="AW149" s="3147" t="b">
        <f>AF149&gt;$AV$19</f>
        <v>0</v>
      </c>
      <c r="AX149" s="42">
        <v>6</v>
      </c>
      <c r="AY149" s="42" t="s">
        <v>1088</v>
      </c>
      <c r="AZ149" s="3138" t="s">
        <v>143</v>
      </c>
      <c r="BA149" s="3138" t="s">
        <v>288</v>
      </c>
      <c r="BB149" s="3138" t="s">
        <v>144</v>
      </c>
      <c r="BC149" s="3138" t="s">
        <v>202</v>
      </c>
      <c r="BE149" s="2846" t="b">
        <f>IF(AND(D149&lt;&gt;"",OR(D149&lt;1,D149&gt;8,ISERROR(AJ156))),TRUE,FALSE)</f>
        <v>0</v>
      </c>
      <c r="BG149" s="3013"/>
      <c r="BH149" s="2595"/>
      <c r="BI149" s="2595"/>
      <c r="BJ149" s="2595"/>
      <c r="BK149" s="2595"/>
      <c r="BL149" s="2595"/>
      <c r="BM149" s="2595"/>
      <c r="BN149" s="2595"/>
      <c r="BO149" s="2595"/>
      <c r="BP149" s="2595"/>
    </row>
    <row r="150" spans="1:68" ht="14.25" customHeight="1">
      <c r="A150" s="2757"/>
      <c r="B150" s="3082" t="s">
        <v>684</v>
      </c>
      <c r="C150" s="3080"/>
      <c r="D150" s="2246"/>
      <c r="E150" s="2213"/>
      <c r="F150" s="2213"/>
      <c r="G150" s="2213"/>
      <c r="H150" s="2213"/>
      <c r="I150" s="3139" t="str">
        <f>IF(BE150,"The 'Type of Property' must be entered as a number (1 - 8).","")</f>
        <v/>
      </c>
      <c r="J150" s="2213"/>
      <c r="K150" s="2213"/>
      <c r="L150" s="2213"/>
      <c r="M150" s="2213"/>
      <c r="N150" s="2213"/>
      <c r="O150" s="2213"/>
      <c r="P150" s="2213"/>
      <c r="Q150" s="2213"/>
      <c r="R150" s="2213"/>
      <c r="S150" s="2213"/>
      <c r="T150" s="2213"/>
      <c r="U150" s="2213"/>
      <c r="V150" s="2213"/>
      <c r="W150" s="2213"/>
      <c r="X150" s="2213"/>
      <c r="Y150" s="2213"/>
      <c r="Z150" s="2213"/>
      <c r="AA150" s="2213"/>
      <c r="AB150" s="2213"/>
      <c r="AC150" s="2213"/>
      <c r="AD150" s="3139" t="str">
        <f>IF(OR(AV147,AV148,AV149,AW147,AW148,AW149),"Must be "&amp;AV146&amp;" or less.","")</f>
        <v/>
      </c>
      <c r="AE150" s="2213"/>
      <c r="AF150" s="2213"/>
      <c r="AG150" s="2213"/>
      <c r="AH150" s="2213"/>
      <c r="AI150" s="2213"/>
      <c r="AJ150" s="2213"/>
      <c r="AK150" s="2213"/>
      <c r="AL150" s="2213"/>
      <c r="AM150" s="2213"/>
      <c r="AN150" s="2213"/>
      <c r="AO150" s="2213"/>
      <c r="AP150" s="2757"/>
      <c r="AR150" s="1286" t="b">
        <f>OR(AR147:AR149)</f>
        <v>0</v>
      </c>
      <c r="AX150" s="42">
        <v>7</v>
      </c>
      <c r="AY150" s="42" t="s">
        <v>1089</v>
      </c>
      <c r="AZ150" s="42">
        <f>IF(D147&lt;&gt;6,V154,0)</f>
        <v>0</v>
      </c>
      <c r="BA150" s="42">
        <f>IF(D148&lt;&gt;6,AD154,0)</f>
        <v>0</v>
      </c>
      <c r="BB150" s="42">
        <f>IF(D149&lt;&gt;6,AJ154,0)</f>
        <v>0</v>
      </c>
      <c r="BC150" s="42">
        <f>SUM(AZ150:BB150)</f>
        <v>0</v>
      </c>
      <c r="BE150" s="2846" t="b">
        <f>OR(BE147,BE148,BE149)</f>
        <v>0</v>
      </c>
      <c r="BG150" s="3013"/>
      <c r="BH150" s="2595"/>
      <c r="BI150" s="2595"/>
      <c r="BJ150" s="2595"/>
      <c r="BK150" s="2595"/>
      <c r="BL150" s="2595"/>
      <c r="BM150" s="2595"/>
      <c r="BN150" s="2595"/>
      <c r="BO150" s="2595"/>
      <c r="BP150" s="2595"/>
    </row>
    <row r="151" spans="1:68" ht="14.25" customHeight="1">
      <c r="A151" s="2757"/>
      <c r="B151" s="3080">
        <v>1</v>
      </c>
      <c r="C151" s="3081" t="s">
        <v>1084</v>
      </c>
      <c r="D151" s="2246"/>
      <c r="E151" s="2213"/>
      <c r="F151" s="2213"/>
      <c r="G151" s="2213"/>
      <c r="H151" s="2213"/>
      <c r="I151" s="2213"/>
      <c r="J151" s="2213"/>
      <c r="K151" s="3084">
        <v>3</v>
      </c>
      <c r="L151" s="3083" t="s">
        <v>2339</v>
      </c>
      <c r="M151" s="2213"/>
      <c r="N151" s="2213"/>
      <c r="O151" s="2213"/>
      <c r="P151" s="2213"/>
      <c r="Q151" s="2213"/>
      <c r="R151" s="2213"/>
      <c r="S151" s="2213"/>
      <c r="T151" s="2213"/>
      <c r="U151" s="3084">
        <v>5</v>
      </c>
      <c r="V151" s="3083" t="s">
        <v>1087</v>
      </c>
      <c r="W151" s="2213"/>
      <c r="X151" s="2213"/>
      <c r="Y151" s="2213"/>
      <c r="Z151" s="3084"/>
      <c r="AA151" s="3084">
        <v>7</v>
      </c>
      <c r="AB151" s="3083" t="s">
        <v>1089</v>
      </c>
      <c r="AC151" s="2213"/>
      <c r="AD151" s="2213"/>
      <c r="AE151" s="2213"/>
      <c r="AF151" s="2213"/>
      <c r="AG151" s="2213"/>
      <c r="AH151" s="2213"/>
      <c r="AI151" s="2213"/>
      <c r="AJ151" s="2213"/>
      <c r="AK151" s="2213"/>
      <c r="AL151" s="2213"/>
      <c r="AM151" s="2213"/>
      <c r="AN151" s="2213"/>
      <c r="AO151" s="2213"/>
      <c r="AP151" s="2757"/>
      <c r="AX151" s="42">
        <v>8</v>
      </c>
      <c r="AY151" s="42" t="s">
        <v>402</v>
      </c>
      <c r="AZ151" s="42">
        <f>IF(D147=6,V155,0)</f>
        <v>0</v>
      </c>
      <c r="BA151" s="42">
        <f>IF(D148=6,AD155,0)</f>
        <v>0</v>
      </c>
      <c r="BB151" s="42">
        <f>IF(D149=6,AJ155,0)</f>
        <v>0</v>
      </c>
      <c r="BC151" s="42">
        <f>SUM(AZ151:BB151)</f>
        <v>0</v>
      </c>
      <c r="BE151" s="2847"/>
      <c r="BG151" s="3013"/>
      <c r="BH151" s="2595"/>
      <c r="BI151" s="2595"/>
      <c r="BJ151" s="2595"/>
      <c r="BK151" s="2595"/>
      <c r="BL151" s="2595"/>
      <c r="BM151" s="2595"/>
      <c r="BN151" s="2595"/>
      <c r="BO151" s="2595"/>
      <c r="BP151" s="2595"/>
    </row>
    <row r="152" spans="1:68" ht="14.25" customHeight="1">
      <c r="A152" s="2757"/>
      <c r="B152" s="3085">
        <v>2</v>
      </c>
      <c r="C152" s="3095" t="s">
        <v>1085</v>
      </c>
      <c r="D152" s="2803"/>
      <c r="E152" s="2217"/>
      <c r="F152" s="2217"/>
      <c r="G152" s="2217"/>
      <c r="H152" s="2217"/>
      <c r="I152" s="2217"/>
      <c r="J152" s="2217"/>
      <c r="K152" s="3086">
        <v>4</v>
      </c>
      <c r="L152" s="3137" t="s">
        <v>1086</v>
      </c>
      <c r="M152" s="2217"/>
      <c r="N152" s="2217"/>
      <c r="O152" s="2217"/>
      <c r="P152" s="2217"/>
      <c r="Q152" s="2217"/>
      <c r="R152" s="2217"/>
      <c r="S152" s="2217"/>
      <c r="T152" s="2217"/>
      <c r="U152" s="3086">
        <v>6</v>
      </c>
      <c r="V152" s="3137" t="s">
        <v>1088</v>
      </c>
      <c r="W152" s="2217"/>
      <c r="X152" s="2217"/>
      <c r="Y152" s="2217"/>
      <c r="Z152" s="3086"/>
      <c r="AA152" s="3086">
        <v>8</v>
      </c>
      <c r="AB152" s="3137" t="s">
        <v>2340</v>
      </c>
      <c r="AC152" s="2217"/>
      <c r="AD152" s="2217"/>
      <c r="AE152" s="2217"/>
      <c r="AF152" s="2217"/>
      <c r="AG152" s="7391"/>
      <c r="AH152" s="7392"/>
      <c r="AI152" s="7392"/>
      <c r="AJ152" s="7392"/>
      <c r="AK152" s="7392"/>
      <c r="AL152" s="7392"/>
      <c r="AM152" s="7392"/>
      <c r="AN152" s="7392"/>
      <c r="AO152" s="7392"/>
      <c r="AP152" s="2757"/>
      <c r="AQ152" s="989"/>
      <c r="AR152" s="4017" t="str">
        <f>IF($AR$150,"Attach a statement to your return","")</f>
        <v/>
      </c>
      <c r="AS152" s="989"/>
      <c r="BG152" s="3013"/>
      <c r="BH152" s="2595"/>
      <c r="BI152" s="2595"/>
      <c r="BJ152" s="2595"/>
      <c r="BK152" s="2595"/>
      <c r="BL152" s="2595"/>
      <c r="BM152" s="2595"/>
      <c r="BN152" s="2595"/>
      <c r="BO152" s="2595"/>
      <c r="BP152" s="2595"/>
    </row>
    <row r="153" spans="1:68" ht="14.25" customHeight="1">
      <c r="A153" s="2757"/>
      <c r="B153" s="3092" t="s">
        <v>2342</v>
      </c>
      <c r="C153" s="3090"/>
      <c r="D153" s="3059"/>
      <c r="E153" s="3088"/>
      <c r="F153" s="3088"/>
      <c r="G153" s="3088"/>
      <c r="H153" s="3088"/>
      <c r="I153" s="3089"/>
      <c r="J153" s="3087"/>
      <c r="K153" s="3088"/>
      <c r="L153" s="3088"/>
      <c r="M153" s="3088"/>
      <c r="N153" s="3088"/>
      <c r="O153" s="3088"/>
      <c r="P153" s="3088"/>
      <c r="Q153" s="3088"/>
      <c r="R153" s="3091" t="s">
        <v>2341</v>
      </c>
      <c r="S153" s="3088"/>
      <c r="T153" s="3093"/>
      <c r="U153" s="3089"/>
      <c r="V153" s="7334" t="s">
        <v>143</v>
      </c>
      <c r="W153" s="7387"/>
      <c r="X153" s="7387"/>
      <c r="Y153" s="7387"/>
      <c r="Z153" s="7387"/>
      <c r="AA153" s="7387"/>
      <c r="AB153" s="7387"/>
      <c r="AC153" s="7335"/>
      <c r="AD153" s="7388" t="s">
        <v>288</v>
      </c>
      <c r="AE153" s="7389"/>
      <c r="AF153" s="7389"/>
      <c r="AG153" s="7389"/>
      <c r="AH153" s="7389"/>
      <c r="AI153" s="7390"/>
      <c r="AJ153" s="7388" t="s">
        <v>144</v>
      </c>
      <c r="AK153" s="7389"/>
      <c r="AL153" s="7389"/>
      <c r="AM153" s="7389"/>
      <c r="AN153" s="7389"/>
      <c r="AO153" s="7389"/>
      <c r="AP153" s="2757"/>
      <c r="AR153" s="4017" t="str">
        <f>IF($AR$150,"describing the property.","")</f>
        <v/>
      </c>
      <c r="AZ153" s="42" t="b">
        <f>IF(AND($D$20="",OR($V$27&gt;0,$V$28&gt;0)),TRUE,FALSE)</f>
        <v>0</v>
      </c>
      <c r="BA153" s="42" t="b">
        <f>IF(AND($D$21="",OR($AD$27&gt;0,$AD$28&gt;0)),TRUE,FALSE)</f>
        <v>0</v>
      </c>
      <c r="BB153" s="42" t="b">
        <f>IF(AND($D$22="",OR($AJ$27&gt;0,$AJ$28&gt;0)),TRUE,FALSE)</f>
        <v>0</v>
      </c>
      <c r="BG153" s="3013"/>
      <c r="BH153" s="2595"/>
      <c r="BI153" s="2595"/>
      <c r="BJ153" s="2595"/>
      <c r="BK153" s="2595"/>
      <c r="BL153" s="2595"/>
      <c r="BM153" s="2595"/>
      <c r="BN153" s="2595"/>
      <c r="BO153" s="2595"/>
      <c r="BP153" s="2595"/>
    </row>
    <row r="154" spans="1:68" ht="14.25" customHeight="1">
      <c r="A154" s="2757"/>
      <c r="B154" s="7373">
        <v>3</v>
      </c>
      <c r="C154" s="7374"/>
      <c r="D154" s="3094" t="s">
        <v>747</v>
      </c>
      <c r="E154" s="3088"/>
      <c r="F154" s="3088"/>
      <c r="G154" s="3088"/>
      <c r="H154" s="3088"/>
      <c r="I154" s="3088"/>
      <c r="J154" s="3088"/>
      <c r="K154" s="3088"/>
      <c r="L154" s="3088"/>
      <c r="M154" s="3088"/>
      <c r="N154" s="3088"/>
      <c r="O154" s="3088"/>
      <c r="P154" s="3088"/>
      <c r="Q154" s="3088"/>
      <c r="R154" s="3088"/>
      <c r="S154" s="3488" t="s">
        <v>568</v>
      </c>
      <c r="T154" s="7334">
        <v>3</v>
      </c>
      <c r="U154" s="7335"/>
      <c r="V154" s="7375"/>
      <c r="W154" s="7376"/>
      <c r="X154" s="7376"/>
      <c r="Y154" s="7376"/>
      <c r="Z154" s="7376"/>
      <c r="AA154" s="7376"/>
      <c r="AB154" s="7376"/>
      <c r="AC154" s="7377"/>
      <c r="AD154" s="7375"/>
      <c r="AE154" s="7376"/>
      <c r="AF154" s="7376"/>
      <c r="AG154" s="7376"/>
      <c r="AH154" s="7376"/>
      <c r="AI154" s="7377"/>
      <c r="AJ154" s="7375"/>
      <c r="AK154" s="7376"/>
      <c r="AL154" s="7376"/>
      <c r="AM154" s="7376"/>
      <c r="AN154" s="7376"/>
      <c r="AO154" s="7376"/>
      <c r="AP154" s="2757"/>
      <c r="BG154" s="3013"/>
      <c r="BH154" s="2595"/>
      <c r="BI154" s="2595"/>
      <c r="BJ154" s="2595"/>
      <c r="BK154" s="2595"/>
      <c r="BL154" s="2595"/>
      <c r="BM154" s="2595"/>
      <c r="BN154" s="2595"/>
      <c r="BO154" s="2595"/>
      <c r="BP154" s="2595"/>
    </row>
    <row r="155" spans="1:68" ht="14.25" customHeight="1">
      <c r="A155" s="2757"/>
      <c r="B155" s="7373">
        <v>4</v>
      </c>
      <c r="C155" s="7374"/>
      <c r="D155" s="3094" t="s">
        <v>2343</v>
      </c>
      <c r="E155" s="3088"/>
      <c r="F155" s="3088"/>
      <c r="G155" s="3088"/>
      <c r="H155" s="3088"/>
      <c r="I155" s="3088"/>
      <c r="J155" s="3088"/>
      <c r="K155" s="3088"/>
      <c r="L155" s="3088"/>
      <c r="M155" s="3088"/>
      <c r="N155" s="3088"/>
      <c r="O155" s="3088"/>
      <c r="P155" s="3088"/>
      <c r="Q155" s="3088"/>
      <c r="R155" s="3088"/>
      <c r="S155" s="3488" t="s">
        <v>802</v>
      </c>
      <c r="T155" s="7334">
        <v>4</v>
      </c>
      <c r="U155" s="7335"/>
      <c r="V155" s="7375"/>
      <c r="W155" s="7376"/>
      <c r="X155" s="7376"/>
      <c r="Y155" s="7376"/>
      <c r="Z155" s="7376"/>
      <c r="AA155" s="7376"/>
      <c r="AB155" s="7376"/>
      <c r="AC155" s="7377"/>
      <c r="AD155" s="7375"/>
      <c r="AE155" s="7376"/>
      <c r="AF155" s="7376"/>
      <c r="AG155" s="7376"/>
      <c r="AH155" s="7376"/>
      <c r="AI155" s="7377"/>
      <c r="AJ155" s="7375"/>
      <c r="AK155" s="7376"/>
      <c r="AL155" s="7376"/>
      <c r="AM155" s="7376"/>
      <c r="AN155" s="7376"/>
      <c r="AO155" s="7376"/>
      <c r="AP155" s="2757"/>
      <c r="BG155" s="3013"/>
      <c r="BH155" s="2595"/>
      <c r="BI155" s="2595"/>
      <c r="BJ155" s="2595"/>
      <c r="BK155" s="2595"/>
      <c r="BL155" s="2595"/>
      <c r="BM155" s="2595"/>
      <c r="BN155" s="2595"/>
      <c r="BO155" s="2595"/>
      <c r="BP155" s="2595"/>
    </row>
    <row r="156" spans="1:68" ht="14.25" customHeight="1">
      <c r="A156" s="2757"/>
      <c r="B156" s="3100" t="s">
        <v>665</v>
      </c>
      <c r="C156" s="3096"/>
      <c r="D156" s="3073"/>
      <c r="E156" s="3097"/>
      <c r="F156" s="3140"/>
      <c r="G156" s="3140" t="str">
        <f>IF(OR($AZ$26,$BA$26,$BB$26),"Please enter property type in Line 1b.","")</f>
        <v/>
      </c>
      <c r="H156" s="3097"/>
      <c r="I156" s="3097"/>
      <c r="J156" s="3097"/>
      <c r="K156" s="3097"/>
      <c r="L156" s="3097"/>
      <c r="M156" s="3097"/>
      <c r="N156" s="3097"/>
      <c r="O156" s="3097"/>
      <c r="P156" s="3097"/>
      <c r="Q156" s="3097"/>
      <c r="R156" s="3097"/>
      <c r="S156" s="3097"/>
      <c r="T156" s="3098"/>
      <c r="U156" s="3099"/>
      <c r="V156" s="7378" t="str">
        <f>IF(D147="","",LOOKUP(D147,$AX$17:$AX$24,$AY$17:$AY$24))</f>
        <v/>
      </c>
      <c r="W156" s="7379"/>
      <c r="X156" s="7379"/>
      <c r="Y156" s="7379"/>
      <c r="Z156" s="7379"/>
      <c r="AA156" s="7379"/>
      <c r="AB156" s="7379"/>
      <c r="AC156" s="7155"/>
      <c r="AD156" s="7378" t="str">
        <f>IF(D148="","",LOOKUP(D148,$AX$17:$AX$24,$AY$17:$AY$24))</f>
        <v/>
      </c>
      <c r="AE156" s="7379"/>
      <c r="AF156" s="7379"/>
      <c r="AG156" s="7379"/>
      <c r="AH156" s="7379"/>
      <c r="AI156" s="7155"/>
      <c r="AJ156" s="7378" t="str">
        <f>IF(D149="","",LOOKUP(D149,$AX$17:$AX$24,$AY$17:$AY$24))</f>
        <v/>
      </c>
      <c r="AK156" s="7379"/>
      <c r="AL156" s="7379"/>
      <c r="AM156" s="7379"/>
      <c r="AN156" s="7379"/>
      <c r="AO156" s="7379"/>
      <c r="AP156" s="2757"/>
      <c r="BG156" s="3013"/>
      <c r="BH156" s="2595"/>
      <c r="BI156" s="2595"/>
      <c r="BJ156" s="2595"/>
      <c r="BK156" s="2595"/>
      <c r="BL156" s="2595"/>
      <c r="BM156" s="2595"/>
      <c r="BN156" s="2595"/>
      <c r="BO156" s="2595"/>
      <c r="BP156" s="2595"/>
    </row>
    <row r="157" spans="1:68" ht="14.25" customHeight="1">
      <c r="A157" s="2757"/>
      <c r="B157" s="7333">
        <v>5</v>
      </c>
      <c r="C157" s="7263"/>
      <c r="D157" s="3081" t="s">
        <v>666</v>
      </c>
      <c r="E157" s="2213"/>
      <c r="F157" s="2213"/>
      <c r="G157" s="2213"/>
      <c r="H157" s="2213"/>
      <c r="I157" s="2213"/>
      <c r="J157" s="2213"/>
      <c r="K157" s="2213"/>
      <c r="L157" s="2213"/>
      <c r="M157" s="2213"/>
      <c r="N157" s="2213"/>
      <c r="O157" s="2213"/>
      <c r="P157" s="2213"/>
      <c r="Q157" s="2213"/>
      <c r="R157" s="2213"/>
      <c r="S157" s="3489" t="s">
        <v>453</v>
      </c>
      <c r="T157" s="7350">
        <v>5</v>
      </c>
      <c r="U157" s="7351"/>
      <c r="V157" s="7368"/>
      <c r="W157" s="7368"/>
      <c r="X157" s="7368"/>
      <c r="Y157" s="7368"/>
      <c r="Z157" s="7368"/>
      <c r="AA157" s="7368"/>
      <c r="AB157" s="7368"/>
      <c r="AC157" s="7369"/>
      <c r="AD157" s="7370"/>
      <c r="AE157" s="7368"/>
      <c r="AF157" s="7368"/>
      <c r="AG157" s="7368"/>
      <c r="AH157" s="7368"/>
      <c r="AI157" s="7369"/>
      <c r="AJ157" s="7370"/>
      <c r="AK157" s="7368"/>
      <c r="AL157" s="7368"/>
      <c r="AM157" s="7368"/>
      <c r="AN157" s="7368"/>
      <c r="AO157" s="7368"/>
      <c r="AP157" s="2757"/>
      <c r="BG157" s="3013"/>
      <c r="BH157" s="2595"/>
      <c r="BI157" s="2595"/>
      <c r="BJ157" s="2595"/>
      <c r="BK157" s="2595"/>
      <c r="BL157" s="2595"/>
      <c r="BM157" s="2595"/>
      <c r="BN157" s="2595"/>
      <c r="BO157" s="2595"/>
      <c r="BP157" s="2595"/>
    </row>
    <row r="158" spans="1:68" ht="14.25" customHeight="1">
      <c r="A158" s="2757"/>
      <c r="B158" s="7333">
        <v>6</v>
      </c>
      <c r="C158" s="7263"/>
      <c r="D158" s="3081" t="s">
        <v>685</v>
      </c>
      <c r="E158" s="2213"/>
      <c r="F158" s="2213"/>
      <c r="G158" s="2213"/>
      <c r="H158" s="2213"/>
      <c r="I158" s="2213"/>
      <c r="J158" s="2213"/>
      <c r="K158" s="2213"/>
      <c r="L158" s="2213"/>
      <c r="M158" s="2213"/>
      <c r="N158" s="2213"/>
      <c r="O158" s="2213"/>
      <c r="P158" s="2213"/>
      <c r="Q158" s="2213"/>
      <c r="R158" s="2213"/>
      <c r="S158" s="3489" t="s">
        <v>560</v>
      </c>
      <c r="T158" s="7350">
        <v>6</v>
      </c>
      <c r="U158" s="7351"/>
      <c r="V158" s="7368"/>
      <c r="W158" s="7368"/>
      <c r="X158" s="7368"/>
      <c r="Y158" s="7368"/>
      <c r="Z158" s="7368"/>
      <c r="AA158" s="7368"/>
      <c r="AB158" s="7368"/>
      <c r="AC158" s="7369"/>
      <c r="AD158" s="7370"/>
      <c r="AE158" s="7368"/>
      <c r="AF158" s="7368"/>
      <c r="AG158" s="7368"/>
      <c r="AH158" s="7368"/>
      <c r="AI158" s="7369"/>
      <c r="AJ158" s="7370"/>
      <c r="AK158" s="7368"/>
      <c r="AL158" s="7368"/>
      <c r="AM158" s="7368"/>
      <c r="AN158" s="7368"/>
      <c r="AO158" s="7368"/>
      <c r="AP158" s="2757"/>
      <c r="BG158" s="3013"/>
      <c r="BH158" s="2595"/>
      <c r="BI158" s="2595"/>
      <c r="BJ158" s="2595"/>
      <c r="BK158" s="2595"/>
      <c r="BL158" s="2595"/>
      <c r="BM158" s="2595"/>
      <c r="BN158" s="2595"/>
      <c r="BO158" s="2595"/>
      <c r="BP158" s="2595"/>
    </row>
    <row r="159" spans="1:68" ht="14.25" customHeight="1">
      <c r="A159" s="2757"/>
      <c r="B159" s="7333">
        <v>7</v>
      </c>
      <c r="C159" s="7263"/>
      <c r="D159" s="3081" t="s">
        <v>667</v>
      </c>
      <c r="E159" s="2213"/>
      <c r="F159" s="2213"/>
      <c r="G159" s="2213"/>
      <c r="H159" s="2213"/>
      <c r="I159" s="2213"/>
      <c r="J159" s="2213"/>
      <c r="K159" s="2213"/>
      <c r="L159" s="2213"/>
      <c r="M159" s="2213"/>
      <c r="N159" s="2213"/>
      <c r="O159" s="2213"/>
      <c r="P159" s="2213"/>
      <c r="Q159" s="2213"/>
      <c r="R159" s="2213"/>
      <c r="S159" s="3489" t="s">
        <v>571</v>
      </c>
      <c r="T159" s="7350">
        <v>7</v>
      </c>
      <c r="U159" s="7351"/>
      <c r="V159" s="7368"/>
      <c r="W159" s="7368"/>
      <c r="X159" s="7368"/>
      <c r="Y159" s="7368"/>
      <c r="Z159" s="7368"/>
      <c r="AA159" s="7368"/>
      <c r="AB159" s="7368"/>
      <c r="AC159" s="7369"/>
      <c r="AD159" s="7370"/>
      <c r="AE159" s="7368"/>
      <c r="AF159" s="7368"/>
      <c r="AG159" s="7368"/>
      <c r="AH159" s="7368"/>
      <c r="AI159" s="7369"/>
      <c r="AJ159" s="7370"/>
      <c r="AK159" s="7368"/>
      <c r="AL159" s="7368"/>
      <c r="AM159" s="7368"/>
      <c r="AN159" s="7368"/>
      <c r="AO159" s="7368"/>
      <c r="AP159" s="2757"/>
      <c r="BG159" s="3013"/>
      <c r="BH159" s="2595"/>
      <c r="BI159" s="2595"/>
      <c r="BJ159" s="2595"/>
      <c r="BK159" s="2595"/>
      <c r="BL159" s="2595"/>
      <c r="BM159" s="2595"/>
      <c r="BN159" s="2595"/>
      <c r="BO159" s="2595"/>
      <c r="BP159" s="2595"/>
    </row>
    <row r="160" spans="1:68" ht="14.25" customHeight="1">
      <c r="A160" s="2757"/>
      <c r="B160" s="7333">
        <v>8</v>
      </c>
      <c r="C160" s="7263"/>
      <c r="D160" s="3081" t="s">
        <v>668</v>
      </c>
      <c r="E160" s="2213"/>
      <c r="F160" s="2213"/>
      <c r="G160" s="2213"/>
      <c r="H160" s="2213"/>
      <c r="I160" s="2213"/>
      <c r="J160" s="2213"/>
      <c r="K160" s="2213"/>
      <c r="L160" s="2213"/>
      <c r="M160" s="2213"/>
      <c r="N160" s="2213"/>
      <c r="O160" s="2213"/>
      <c r="P160" s="2213"/>
      <c r="Q160" s="2213"/>
      <c r="R160" s="2213"/>
      <c r="S160" s="3489" t="s">
        <v>374</v>
      </c>
      <c r="T160" s="7350">
        <v>8</v>
      </c>
      <c r="U160" s="7351"/>
      <c r="V160" s="7368"/>
      <c r="W160" s="7368"/>
      <c r="X160" s="7368"/>
      <c r="Y160" s="7368"/>
      <c r="Z160" s="7368"/>
      <c r="AA160" s="7368"/>
      <c r="AB160" s="7368"/>
      <c r="AC160" s="7369"/>
      <c r="AD160" s="7370"/>
      <c r="AE160" s="7368"/>
      <c r="AF160" s="7368"/>
      <c r="AG160" s="7368"/>
      <c r="AH160" s="7368"/>
      <c r="AI160" s="7369"/>
      <c r="AJ160" s="7370"/>
      <c r="AK160" s="7368"/>
      <c r="AL160" s="7368"/>
      <c r="AM160" s="7368"/>
      <c r="AN160" s="7368"/>
      <c r="AO160" s="7368"/>
      <c r="AP160" s="2757"/>
      <c r="BG160" s="3013"/>
      <c r="BH160" s="2595"/>
      <c r="BI160" s="2595"/>
      <c r="BJ160" s="2595"/>
      <c r="BK160" s="2595"/>
      <c r="BL160" s="2595"/>
      <c r="BM160" s="2595"/>
      <c r="BN160" s="2595"/>
      <c r="BO160" s="2595"/>
      <c r="BP160" s="2595"/>
    </row>
    <row r="161" spans="1:68" ht="14.25" customHeight="1">
      <c r="A161" s="2757"/>
      <c r="B161" s="7333">
        <v>9</v>
      </c>
      <c r="C161" s="7263"/>
      <c r="D161" s="3081" t="s">
        <v>669</v>
      </c>
      <c r="E161" s="2213"/>
      <c r="F161" s="2213"/>
      <c r="G161" s="2213"/>
      <c r="H161" s="2213"/>
      <c r="I161" s="2213"/>
      <c r="J161" s="2213"/>
      <c r="K161" s="2213"/>
      <c r="L161" s="2213"/>
      <c r="M161" s="2213"/>
      <c r="N161" s="2213"/>
      <c r="O161" s="2213"/>
      <c r="P161" s="2213"/>
      <c r="Q161" s="2213"/>
      <c r="R161" s="2213"/>
      <c r="S161" s="3489" t="s">
        <v>567</v>
      </c>
      <c r="T161" s="7350">
        <v>9</v>
      </c>
      <c r="U161" s="7351"/>
      <c r="V161" s="7368"/>
      <c r="W161" s="7368"/>
      <c r="X161" s="7368"/>
      <c r="Y161" s="7368"/>
      <c r="Z161" s="7368"/>
      <c r="AA161" s="7368"/>
      <c r="AB161" s="7368"/>
      <c r="AC161" s="7369"/>
      <c r="AD161" s="7370"/>
      <c r="AE161" s="7368"/>
      <c r="AF161" s="7368"/>
      <c r="AG161" s="7368"/>
      <c r="AH161" s="7368"/>
      <c r="AI161" s="7369"/>
      <c r="AJ161" s="7370"/>
      <c r="AK161" s="7368"/>
      <c r="AL161" s="7368"/>
      <c r="AM161" s="7368"/>
      <c r="AN161" s="7368"/>
      <c r="AO161" s="7368"/>
      <c r="AP161" s="2757"/>
      <c r="BG161" s="3013"/>
      <c r="BH161" s="2595"/>
      <c r="BI161" s="2595"/>
      <c r="BJ161" s="2595"/>
      <c r="BK161" s="2595"/>
      <c r="BL161" s="2595"/>
      <c r="BM161" s="2595"/>
      <c r="BN161" s="2595"/>
      <c r="BO161" s="2595"/>
      <c r="BP161" s="2595"/>
    </row>
    <row r="162" spans="1:68" ht="14.25" customHeight="1">
      <c r="A162" s="2757"/>
      <c r="B162" s="7333">
        <v>10</v>
      </c>
      <c r="C162" s="7263"/>
      <c r="D162" s="3081" t="s">
        <v>670</v>
      </c>
      <c r="E162" s="2213"/>
      <c r="F162" s="2213"/>
      <c r="G162" s="2213"/>
      <c r="H162" s="2213"/>
      <c r="I162" s="2213"/>
      <c r="J162" s="2213"/>
      <c r="K162" s="2213"/>
      <c r="L162" s="2213"/>
      <c r="M162" s="2213"/>
      <c r="N162" s="2213"/>
      <c r="O162" s="2213"/>
      <c r="P162" s="2213"/>
      <c r="Q162" s="2213"/>
      <c r="R162" s="2213"/>
      <c r="S162" s="3489" t="s">
        <v>629</v>
      </c>
      <c r="T162" s="7350">
        <v>10</v>
      </c>
      <c r="U162" s="7351"/>
      <c r="V162" s="7368"/>
      <c r="W162" s="7368"/>
      <c r="X162" s="7368"/>
      <c r="Y162" s="7368"/>
      <c r="Z162" s="7368"/>
      <c r="AA162" s="7368"/>
      <c r="AB162" s="7368"/>
      <c r="AC162" s="7369"/>
      <c r="AD162" s="7370"/>
      <c r="AE162" s="7368"/>
      <c r="AF162" s="7368"/>
      <c r="AG162" s="7368"/>
      <c r="AH162" s="7368"/>
      <c r="AI162" s="7369"/>
      <c r="AJ162" s="7370"/>
      <c r="AK162" s="7368"/>
      <c r="AL162" s="7368"/>
      <c r="AM162" s="7368"/>
      <c r="AN162" s="7368"/>
      <c r="AO162" s="7368"/>
      <c r="AP162" s="2757"/>
      <c r="BG162" s="3013"/>
      <c r="BH162" s="2595"/>
      <c r="BI162" s="2595"/>
      <c r="BJ162" s="2595"/>
      <c r="BK162" s="2595"/>
      <c r="BL162" s="2595"/>
      <c r="BM162" s="2595"/>
      <c r="BN162" s="2595"/>
      <c r="BO162" s="2595"/>
      <c r="BP162" s="2595"/>
    </row>
    <row r="163" spans="1:68" ht="14.25" customHeight="1">
      <c r="A163" s="2757"/>
      <c r="B163" s="7333">
        <v>11</v>
      </c>
      <c r="C163" s="7263"/>
      <c r="D163" s="3081" t="s">
        <v>671</v>
      </c>
      <c r="E163" s="2213"/>
      <c r="F163" s="2213"/>
      <c r="G163" s="2213"/>
      <c r="H163" s="2213"/>
      <c r="I163" s="2213"/>
      <c r="J163" s="2213"/>
      <c r="K163" s="2213"/>
      <c r="L163" s="2213"/>
      <c r="M163" s="2213"/>
      <c r="N163" s="2213"/>
      <c r="O163" s="2213"/>
      <c r="P163" s="2213"/>
      <c r="Q163" s="2213"/>
      <c r="R163" s="2213"/>
      <c r="S163" s="3489" t="s">
        <v>802</v>
      </c>
      <c r="T163" s="7350">
        <v>11</v>
      </c>
      <c r="U163" s="7351"/>
      <c r="V163" s="7368"/>
      <c r="W163" s="7368"/>
      <c r="X163" s="7368"/>
      <c r="Y163" s="7368"/>
      <c r="Z163" s="7368"/>
      <c r="AA163" s="7368"/>
      <c r="AB163" s="7368"/>
      <c r="AC163" s="7369"/>
      <c r="AD163" s="7370"/>
      <c r="AE163" s="7368"/>
      <c r="AF163" s="7368"/>
      <c r="AG163" s="7368"/>
      <c r="AH163" s="7368"/>
      <c r="AI163" s="7369"/>
      <c r="AJ163" s="7370"/>
      <c r="AK163" s="7368"/>
      <c r="AL163" s="7368"/>
      <c r="AM163" s="7368"/>
      <c r="AN163" s="7368"/>
      <c r="AO163" s="7368"/>
      <c r="AP163" s="2757"/>
      <c r="BG163" s="3013"/>
      <c r="BH163" s="2595"/>
      <c r="BI163" s="2595"/>
      <c r="BJ163" s="2595"/>
      <c r="BK163" s="2595"/>
      <c r="BL163" s="2595"/>
      <c r="BM163" s="2595"/>
      <c r="BN163" s="2595"/>
      <c r="BO163" s="2595"/>
      <c r="BP163" s="2595"/>
    </row>
    <row r="164" spans="1:68" ht="14.25" customHeight="1">
      <c r="A164" s="2757"/>
      <c r="B164" s="7333">
        <v>12</v>
      </c>
      <c r="C164" s="7263"/>
      <c r="D164" s="3081" t="s">
        <v>686</v>
      </c>
      <c r="E164" s="2213"/>
      <c r="F164" s="2213"/>
      <c r="G164" s="2213"/>
      <c r="H164" s="2213"/>
      <c r="I164" s="2213"/>
      <c r="J164" s="2213"/>
      <c r="K164" s="2213"/>
      <c r="L164" s="2213"/>
      <c r="M164" s="2213"/>
      <c r="N164" s="2213"/>
      <c r="O164" s="2213"/>
      <c r="P164" s="2213"/>
      <c r="Q164" s="2213"/>
      <c r="R164" s="2213"/>
      <c r="S164" s="2951"/>
      <c r="T164" s="7350">
        <v>12</v>
      </c>
      <c r="U164" s="7351"/>
      <c r="V164" s="7368"/>
      <c r="W164" s="7368"/>
      <c r="X164" s="7368"/>
      <c r="Y164" s="7368"/>
      <c r="Z164" s="7368"/>
      <c r="AA164" s="7368"/>
      <c r="AB164" s="7368"/>
      <c r="AC164" s="7369"/>
      <c r="AD164" s="7370"/>
      <c r="AE164" s="7368"/>
      <c r="AF164" s="7368"/>
      <c r="AG164" s="7368"/>
      <c r="AH164" s="7368"/>
      <c r="AI164" s="7369"/>
      <c r="AJ164" s="7370"/>
      <c r="AK164" s="7368"/>
      <c r="AL164" s="7368"/>
      <c r="AM164" s="7368"/>
      <c r="AN164" s="7368"/>
      <c r="AO164" s="7368"/>
      <c r="AP164" s="2757"/>
      <c r="BG164" s="3013"/>
      <c r="BH164" s="2595"/>
      <c r="BI164" s="2595"/>
      <c r="BJ164" s="2595"/>
      <c r="BK164" s="2595"/>
      <c r="BL164" s="2595"/>
      <c r="BM164" s="2595"/>
      <c r="BN164" s="2595"/>
      <c r="BO164" s="2595"/>
      <c r="BP164" s="2595"/>
    </row>
    <row r="165" spans="1:68" ht="14.25" customHeight="1">
      <c r="A165" s="2757"/>
      <c r="B165" s="7333">
        <v>13</v>
      </c>
      <c r="C165" s="7263"/>
      <c r="D165" s="3081" t="s">
        <v>2754</v>
      </c>
      <c r="E165" s="2213"/>
      <c r="F165" s="2213"/>
      <c r="G165" s="2213"/>
      <c r="H165" s="2213"/>
      <c r="I165" s="2213"/>
      <c r="J165" s="2213"/>
      <c r="K165" s="2213"/>
      <c r="L165" s="2213"/>
      <c r="M165" s="2213"/>
      <c r="N165" s="2213"/>
      <c r="O165" s="2213"/>
      <c r="P165" s="2213"/>
      <c r="Q165" s="2213"/>
      <c r="R165" s="2213"/>
      <c r="S165" s="3489" t="s">
        <v>374</v>
      </c>
      <c r="T165" s="7350">
        <v>13</v>
      </c>
      <c r="U165" s="7351"/>
      <c r="V165" s="7368"/>
      <c r="W165" s="7368"/>
      <c r="X165" s="7368"/>
      <c r="Y165" s="7368"/>
      <c r="Z165" s="7368"/>
      <c r="AA165" s="7368"/>
      <c r="AB165" s="7368"/>
      <c r="AC165" s="7369"/>
      <c r="AD165" s="7370"/>
      <c r="AE165" s="7368"/>
      <c r="AF165" s="7368"/>
      <c r="AG165" s="7368"/>
      <c r="AH165" s="7368"/>
      <c r="AI165" s="7369"/>
      <c r="AJ165" s="7370"/>
      <c r="AK165" s="7368"/>
      <c r="AL165" s="7368"/>
      <c r="AM165" s="7368"/>
      <c r="AN165" s="7368"/>
      <c r="AO165" s="7368"/>
      <c r="AP165" s="2757"/>
      <c r="BG165" s="3013"/>
      <c r="BH165" s="2595"/>
      <c r="BI165" s="2595"/>
      <c r="BJ165" s="2595"/>
      <c r="BK165" s="2595"/>
      <c r="BL165" s="2595"/>
      <c r="BM165" s="2595"/>
      <c r="BN165" s="2595"/>
      <c r="BO165" s="2595"/>
      <c r="BP165" s="2595"/>
    </row>
    <row r="166" spans="1:68" ht="14.25" customHeight="1">
      <c r="A166" s="2757"/>
      <c r="B166" s="7333">
        <v>14</v>
      </c>
      <c r="C166" s="7263"/>
      <c r="D166" s="3081" t="s">
        <v>672</v>
      </c>
      <c r="E166" s="2213"/>
      <c r="F166" s="2213"/>
      <c r="G166" s="2213"/>
      <c r="H166" s="2213"/>
      <c r="I166" s="2213"/>
      <c r="J166" s="2213"/>
      <c r="K166" s="2213"/>
      <c r="L166" s="2213"/>
      <c r="M166" s="2213"/>
      <c r="N166" s="2213"/>
      <c r="O166" s="2213"/>
      <c r="P166" s="2213"/>
      <c r="Q166" s="2213"/>
      <c r="R166" s="2213"/>
      <c r="S166" s="3489" t="s">
        <v>567</v>
      </c>
      <c r="T166" s="7350">
        <v>14</v>
      </c>
      <c r="U166" s="7351"/>
      <c r="V166" s="7368"/>
      <c r="W166" s="7368"/>
      <c r="X166" s="7368"/>
      <c r="Y166" s="7368"/>
      <c r="Z166" s="7368"/>
      <c r="AA166" s="7368"/>
      <c r="AB166" s="7368"/>
      <c r="AC166" s="7369"/>
      <c r="AD166" s="7370"/>
      <c r="AE166" s="7368"/>
      <c r="AF166" s="7368"/>
      <c r="AG166" s="7368"/>
      <c r="AH166" s="7368"/>
      <c r="AI166" s="7369"/>
      <c r="AJ166" s="7370"/>
      <c r="AK166" s="7368"/>
      <c r="AL166" s="7368"/>
      <c r="AM166" s="7368"/>
      <c r="AN166" s="7368"/>
      <c r="AO166" s="7368"/>
      <c r="AP166" s="2757"/>
      <c r="BG166" s="3013"/>
      <c r="BH166" s="2595"/>
      <c r="BI166" s="2595"/>
      <c r="BJ166" s="2595"/>
      <c r="BK166" s="2595"/>
      <c r="BL166" s="2595"/>
      <c r="BM166" s="2595"/>
      <c r="BN166" s="2595"/>
      <c r="BO166" s="2595"/>
      <c r="BP166" s="2595"/>
    </row>
    <row r="167" spans="1:68" ht="14.25" customHeight="1">
      <c r="A167" s="2757"/>
      <c r="B167" s="7333">
        <v>15</v>
      </c>
      <c r="C167" s="7263"/>
      <c r="D167" s="3081" t="s">
        <v>673</v>
      </c>
      <c r="E167" s="2213"/>
      <c r="F167" s="2213"/>
      <c r="G167" s="2213"/>
      <c r="H167" s="2213"/>
      <c r="I167" s="2213"/>
      <c r="J167" s="2213"/>
      <c r="K167" s="2213"/>
      <c r="L167" s="2213"/>
      <c r="M167" s="2213"/>
      <c r="N167" s="2213"/>
      <c r="O167" s="2213"/>
      <c r="P167" s="2213"/>
      <c r="Q167" s="2213"/>
      <c r="R167" s="2213"/>
      <c r="S167" s="3489" t="s">
        <v>567</v>
      </c>
      <c r="T167" s="7350">
        <v>15</v>
      </c>
      <c r="U167" s="7351"/>
      <c r="V167" s="7368"/>
      <c r="W167" s="7368"/>
      <c r="X167" s="7368"/>
      <c r="Y167" s="7368"/>
      <c r="Z167" s="7368"/>
      <c r="AA167" s="7368"/>
      <c r="AB167" s="7368"/>
      <c r="AC167" s="7369"/>
      <c r="AD167" s="7370"/>
      <c r="AE167" s="7368"/>
      <c r="AF167" s="7368"/>
      <c r="AG167" s="7368"/>
      <c r="AH167" s="7368"/>
      <c r="AI167" s="7369"/>
      <c r="AJ167" s="7370"/>
      <c r="AK167" s="7368"/>
      <c r="AL167" s="7368"/>
      <c r="AM167" s="7368"/>
      <c r="AN167" s="7368"/>
      <c r="AO167" s="7368"/>
      <c r="AP167" s="2757"/>
      <c r="BG167" s="3013"/>
      <c r="BH167" s="2595"/>
      <c r="BI167" s="2595"/>
      <c r="BJ167" s="2595"/>
      <c r="BK167" s="2595"/>
      <c r="BL167" s="2595"/>
      <c r="BM167" s="2595"/>
      <c r="BN167" s="2595"/>
      <c r="BO167" s="2595"/>
      <c r="BP167" s="2595"/>
    </row>
    <row r="168" spans="1:68" ht="14.25" customHeight="1">
      <c r="A168" s="2757"/>
      <c r="B168" s="7333">
        <v>16</v>
      </c>
      <c r="C168" s="7263"/>
      <c r="D168" s="3081" t="s">
        <v>674</v>
      </c>
      <c r="E168" s="2213"/>
      <c r="F168" s="2213"/>
      <c r="G168" s="2213"/>
      <c r="H168" s="2213"/>
      <c r="I168" s="2213"/>
      <c r="J168" s="2213"/>
      <c r="K168" s="2213"/>
      <c r="L168" s="2213"/>
      <c r="M168" s="2213"/>
      <c r="N168" s="2213"/>
      <c r="O168" s="2213"/>
      <c r="P168" s="2213"/>
      <c r="Q168" s="2213"/>
      <c r="R168" s="2213"/>
      <c r="S168" s="3489" t="s">
        <v>2126</v>
      </c>
      <c r="T168" s="7350">
        <v>16</v>
      </c>
      <c r="U168" s="7351"/>
      <c r="V168" s="7368"/>
      <c r="W168" s="7368"/>
      <c r="X168" s="7368"/>
      <c r="Y168" s="7368"/>
      <c r="Z168" s="7368"/>
      <c r="AA168" s="7368"/>
      <c r="AB168" s="7368"/>
      <c r="AC168" s="7369"/>
      <c r="AD168" s="7370"/>
      <c r="AE168" s="7368"/>
      <c r="AF168" s="7368"/>
      <c r="AG168" s="7368"/>
      <c r="AH168" s="7368"/>
      <c r="AI168" s="7369"/>
      <c r="AJ168" s="7370"/>
      <c r="AK168" s="7368"/>
      <c r="AL168" s="7368"/>
      <c r="AM168" s="7368"/>
      <c r="AN168" s="7368"/>
      <c r="AO168" s="7368"/>
      <c r="AP168" s="2757"/>
      <c r="BG168" s="3013"/>
      <c r="BH168" s="2595"/>
      <c r="BI168" s="2595"/>
      <c r="BJ168" s="2595"/>
      <c r="BK168" s="2595"/>
      <c r="BL168" s="2595"/>
      <c r="BM168" s="2595"/>
      <c r="BN168" s="2595"/>
      <c r="BO168" s="2595"/>
      <c r="BP168" s="2595"/>
    </row>
    <row r="169" spans="1:68" ht="14.25" customHeight="1">
      <c r="A169" s="2757"/>
      <c r="B169" s="7333">
        <v>17</v>
      </c>
      <c r="C169" s="7263"/>
      <c r="D169" s="3081" t="s">
        <v>675</v>
      </c>
      <c r="E169" s="2213"/>
      <c r="F169" s="2213"/>
      <c r="G169" s="2213"/>
      <c r="H169" s="2213"/>
      <c r="I169" s="2213"/>
      <c r="J169" s="2213"/>
      <c r="K169" s="2213"/>
      <c r="L169" s="2213"/>
      <c r="M169" s="2213"/>
      <c r="N169" s="2213"/>
      <c r="O169" s="2213"/>
      <c r="P169" s="2213"/>
      <c r="Q169" s="2213"/>
      <c r="R169" s="2213"/>
      <c r="S169" s="3489" t="s">
        <v>2126</v>
      </c>
      <c r="T169" s="7350">
        <v>17</v>
      </c>
      <c r="U169" s="7351"/>
      <c r="V169" s="7368"/>
      <c r="W169" s="7368"/>
      <c r="X169" s="7368"/>
      <c r="Y169" s="7368"/>
      <c r="Z169" s="7368"/>
      <c r="AA169" s="7368"/>
      <c r="AB169" s="7368"/>
      <c r="AC169" s="7369"/>
      <c r="AD169" s="7370"/>
      <c r="AE169" s="7368"/>
      <c r="AF169" s="7368"/>
      <c r="AG169" s="7368"/>
      <c r="AH169" s="7368"/>
      <c r="AI169" s="7369"/>
      <c r="AJ169" s="7370"/>
      <c r="AK169" s="7368"/>
      <c r="AL169" s="7368"/>
      <c r="AM169" s="7368"/>
      <c r="AN169" s="7368"/>
      <c r="AO169" s="7368"/>
      <c r="AP169" s="2757"/>
      <c r="AQ169" s="385"/>
      <c r="AR169" s="385"/>
      <c r="AS169" s="385"/>
      <c r="AT169" s="385"/>
      <c r="AU169" s="385"/>
      <c r="BG169" s="3013"/>
      <c r="BH169" s="2595"/>
      <c r="BI169" s="2595"/>
      <c r="BJ169" s="2595"/>
      <c r="BK169" s="2595"/>
      <c r="BL169" s="2595"/>
      <c r="BM169" s="2595"/>
      <c r="BN169" s="2595"/>
      <c r="BO169" s="2595"/>
      <c r="BP169" s="2595"/>
    </row>
    <row r="170" spans="1:68" ht="14.25" customHeight="1">
      <c r="A170" s="2757"/>
      <c r="B170" s="7333">
        <v>18</v>
      </c>
      <c r="C170" s="7263"/>
      <c r="D170" s="3081" t="s">
        <v>676</v>
      </c>
      <c r="E170" s="2213"/>
      <c r="F170" s="2213"/>
      <c r="G170" s="2213"/>
      <c r="H170" s="2213"/>
      <c r="I170" s="2213"/>
      <c r="J170" s="2213"/>
      <c r="K170" s="2213"/>
      <c r="L170" s="2213"/>
      <c r="M170" s="2213"/>
      <c r="N170" s="2213"/>
      <c r="O170" s="2213"/>
      <c r="P170" s="2213"/>
      <c r="Q170" s="2213"/>
      <c r="R170" s="2213"/>
      <c r="S170" s="3489" t="s">
        <v>629</v>
      </c>
      <c r="T170" s="7350">
        <v>18</v>
      </c>
      <c r="U170" s="7351"/>
      <c r="V170" s="7368"/>
      <c r="W170" s="7368"/>
      <c r="X170" s="7368"/>
      <c r="Y170" s="7368"/>
      <c r="Z170" s="7368"/>
      <c r="AA170" s="7368"/>
      <c r="AB170" s="7368"/>
      <c r="AC170" s="7369"/>
      <c r="AD170" s="7370"/>
      <c r="AE170" s="7368"/>
      <c r="AF170" s="7368"/>
      <c r="AG170" s="7368"/>
      <c r="AH170" s="7368"/>
      <c r="AI170" s="7369"/>
      <c r="AJ170" s="7370"/>
      <c r="AK170" s="7368"/>
      <c r="AL170" s="7368"/>
      <c r="AM170" s="7368"/>
      <c r="AN170" s="7368"/>
      <c r="AO170" s="7368"/>
      <c r="AP170" s="2757"/>
      <c r="AQ170" s="385"/>
      <c r="AR170" s="7191" t="s">
        <v>1842</v>
      </c>
      <c r="AS170" s="7371"/>
      <c r="AT170" s="7371"/>
      <c r="AU170" s="385"/>
      <c r="BG170" s="3013"/>
      <c r="BH170" s="2595"/>
      <c r="BI170" s="2595"/>
      <c r="BJ170" s="2595"/>
      <c r="BK170" s="2595"/>
      <c r="BL170" s="2595"/>
      <c r="BM170" s="2595"/>
      <c r="BN170" s="2595"/>
      <c r="BO170" s="2595"/>
      <c r="BP170" s="2595"/>
    </row>
    <row r="171" spans="1:68" ht="14.25" customHeight="1">
      <c r="A171" s="2757"/>
      <c r="B171" s="7333">
        <v>19</v>
      </c>
      <c r="C171" s="7263"/>
      <c r="D171" s="3081" t="s">
        <v>2344</v>
      </c>
      <c r="E171" s="2213"/>
      <c r="F171" s="2213"/>
      <c r="G171" s="2213"/>
      <c r="H171" s="7372"/>
      <c r="I171" s="7372"/>
      <c r="J171" s="7372"/>
      <c r="K171" s="7372"/>
      <c r="L171" s="7372"/>
      <c r="M171" s="7372"/>
      <c r="N171" s="7372"/>
      <c r="O171" s="7372"/>
      <c r="P171" s="7372"/>
      <c r="Q171" s="7372"/>
      <c r="R171" s="7372"/>
      <c r="S171" s="2951"/>
      <c r="T171" s="7350">
        <v>19</v>
      </c>
      <c r="U171" s="7351"/>
      <c r="V171" s="7368"/>
      <c r="W171" s="7368"/>
      <c r="X171" s="7368"/>
      <c r="Y171" s="7368"/>
      <c r="Z171" s="7368"/>
      <c r="AA171" s="7368"/>
      <c r="AB171" s="7368"/>
      <c r="AC171" s="7369"/>
      <c r="AD171" s="7370"/>
      <c r="AE171" s="7368"/>
      <c r="AF171" s="7368"/>
      <c r="AG171" s="7368"/>
      <c r="AH171" s="7368"/>
      <c r="AI171" s="7369"/>
      <c r="AJ171" s="7370"/>
      <c r="AK171" s="7368"/>
      <c r="AL171" s="7368"/>
      <c r="AM171" s="7368"/>
      <c r="AN171" s="7368"/>
      <c r="AO171" s="7368"/>
      <c r="AP171" s="2757"/>
      <c r="AQ171" s="385"/>
      <c r="AR171" s="385"/>
      <c r="AS171" s="385"/>
      <c r="AT171" s="385"/>
      <c r="AU171" s="385"/>
      <c r="BG171" s="3013"/>
      <c r="BH171" s="2595"/>
      <c r="BI171" s="2595"/>
      <c r="BJ171" s="2595"/>
      <c r="BK171" s="2595"/>
      <c r="BL171" s="2595"/>
      <c r="BM171" s="2595"/>
      <c r="BN171" s="2595"/>
      <c r="BO171" s="2595"/>
      <c r="BP171" s="2595"/>
    </row>
    <row r="172" spans="1:68" ht="14.25" customHeight="1">
      <c r="A172" s="2757"/>
      <c r="B172" s="7333">
        <v>20</v>
      </c>
      <c r="C172" s="7263"/>
      <c r="D172" s="3081" t="s">
        <v>687</v>
      </c>
      <c r="E172" s="2213"/>
      <c r="F172" s="2213"/>
      <c r="G172" s="2213"/>
      <c r="H172" s="2213"/>
      <c r="I172" s="2213"/>
      <c r="J172" s="2213"/>
      <c r="K172" s="2213"/>
      <c r="L172" s="2213"/>
      <c r="M172" s="2213"/>
      <c r="N172" s="2213"/>
      <c r="O172" s="2213"/>
      <c r="P172" s="2213"/>
      <c r="Q172" s="2213"/>
      <c r="R172" s="2213"/>
      <c r="S172" s="3489" t="s">
        <v>573</v>
      </c>
      <c r="T172" s="7350">
        <v>20</v>
      </c>
      <c r="U172" s="7351"/>
      <c r="V172" s="7348">
        <f>IF(AR172&lt;&gt;"",ROUND(AR172,0),ROUND(SUM(V157:AC171),0))</f>
        <v>0</v>
      </c>
      <c r="W172" s="7348"/>
      <c r="X172" s="7348"/>
      <c r="Y172" s="7348"/>
      <c r="Z172" s="7348"/>
      <c r="AA172" s="7348"/>
      <c r="AB172" s="7348"/>
      <c r="AC172" s="7349"/>
      <c r="AD172" s="7347">
        <f>IF(AS172&lt;&gt;"",ROUND(AS172,0),ROUND(SUM(AD157:AI171),0))</f>
        <v>0</v>
      </c>
      <c r="AE172" s="7348"/>
      <c r="AF172" s="7348"/>
      <c r="AG172" s="7348"/>
      <c r="AH172" s="7348"/>
      <c r="AI172" s="7349"/>
      <c r="AJ172" s="7362">
        <f>IF(AT172&lt;&gt;"",ROUND(AT172,0),ROUND(SUM(AJ157:AO171),0))</f>
        <v>0</v>
      </c>
      <c r="AK172" s="7336"/>
      <c r="AL172" s="7336"/>
      <c r="AM172" s="7336"/>
      <c r="AN172" s="7336"/>
      <c r="AO172" s="7336"/>
      <c r="AP172" s="2757"/>
      <c r="AQ172" s="385"/>
      <c r="AR172" s="3148"/>
      <c r="AS172" s="3148"/>
      <c r="AT172" s="3148"/>
      <c r="AU172" s="385"/>
      <c r="BG172" s="3013"/>
      <c r="BH172" s="2595"/>
      <c r="BI172" s="2595"/>
      <c r="BJ172" s="2595"/>
      <c r="BK172" s="2595"/>
      <c r="BL172" s="2595"/>
      <c r="BM172" s="2595"/>
      <c r="BN172" s="2595"/>
      <c r="BO172" s="2595"/>
      <c r="BP172" s="2595"/>
    </row>
    <row r="173" spans="1:68" ht="14.25" customHeight="1">
      <c r="A173" s="2757"/>
      <c r="B173" s="7333">
        <v>21</v>
      </c>
      <c r="C173" s="7263"/>
      <c r="D173" s="3081" t="s">
        <v>2758</v>
      </c>
      <c r="E173" s="2213"/>
      <c r="F173" s="2213"/>
      <c r="G173" s="2213"/>
      <c r="H173" s="2213"/>
      <c r="I173" s="2213"/>
      <c r="J173" s="2213"/>
      <c r="K173" s="2213"/>
      <c r="L173" s="2213"/>
      <c r="M173" s="2213"/>
      <c r="N173" s="2213"/>
      <c r="O173" s="2213"/>
      <c r="P173" s="2213"/>
      <c r="Q173" s="2213"/>
      <c r="R173" s="2213"/>
      <c r="S173" s="2951"/>
      <c r="T173" s="7363"/>
      <c r="U173" s="7364"/>
      <c r="V173" s="7365"/>
      <c r="W173" s="7366"/>
      <c r="X173" s="7366"/>
      <c r="Y173" s="7366"/>
      <c r="Z173" s="7366"/>
      <c r="AA173" s="7366"/>
      <c r="AB173" s="7366"/>
      <c r="AC173" s="7367"/>
      <c r="AD173" s="7365"/>
      <c r="AE173" s="7366"/>
      <c r="AF173" s="7366"/>
      <c r="AG173" s="7366"/>
      <c r="AH173" s="7366"/>
      <c r="AI173" s="7367"/>
      <c r="AJ173" s="7365"/>
      <c r="AK173" s="7366"/>
      <c r="AL173" s="7366"/>
      <c r="AM173" s="7366"/>
      <c r="AN173" s="7366"/>
      <c r="AO173" s="7366"/>
      <c r="AP173" s="2757"/>
      <c r="AQ173" s="385"/>
      <c r="AR173" s="385"/>
      <c r="AS173" s="385"/>
      <c r="AT173" s="385"/>
      <c r="AU173" s="385"/>
      <c r="AX173" s="147"/>
      <c r="AY173" s="7360" t="s">
        <v>143</v>
      </c>
      <c r="AZ173" s="7361"/>
      <c r="BA173" s="7360" t="s">
        <v>288</v>
      </c>
      <c r="BB173" s="7361"/>
      <c r="BC173" s="7360" t="s">
        <v>144</v>
      </c>
      <c r="BD173" s="7361"/>
      <c r="BG173" s="3013"/>
      <c r="BH173" s="2595"/>
      <c r="BI173" s="2595"/>
      <c r="BJ173" s="2595"/>
      <c r="BK173" s="2595"/>
      <c r="BL173" s="2595"/>
      <c r="BM173" s="2595"/>
      <c r="BN173" s="2595"/>
      <c r="BO173" s="2595"/>
      <c r="BP173" s="2595"/>
    </row>
    <row r="174" spans="1:68" ht="14.25" customHeight="1">
      <c r="A174" s="2757"/>
      <c r="B174" s="7333"/>
      <c r="C174" s="7263"/>
      <c r="D174" s="3081" t="s">
        <v>2757</v>
      </c>
      <c r="E174" s="2213"/>
      <c r="F174" s="2213"/>
      <c r="G174" s="2213"/>
      <c r="H174" s="2213"/>
      <c r="I174" s="2213"/>
      <c r="J174" s="2213"/>
      <c r="K174" s="2213"/>
      <c r="L174" s="2213"/>
      <c r="M174" s="2213"/>
      <c r="N174" s="2213"/>
      <c r="O174" s="2213"/>
      <c r="P174" s="2213"/>
      <c r="Q174" s="2213"/>
      <c r="R174" s="2213"/>
      <c r="S174" s="2951"/>
      <c r="T174" s="7354"/>
      <c r="U174" s="7355"/>
      <c r="V174" s="7356"/>
      <c r="W174" s="7357"/>
      <c r="X174" s="7357"/>
      <c r="Y174" s="7357"/>
      <c r="Z174" s="7357"/>
      <c r="AA174" s="7357"/>
      <c r="AB174" s="7357"/>
      <c r="AC174" s="7358"/>
      <c r="AD174" s="7356"/>
      <c r="AE174" s="7357"/>
      <c r="AF174" s="7357"/>
      <c r="AG174" s="7357"/>
      <c r="AH174" s="7357"/>
      <c r="AI174" s="7358"/>
      <c r="AJ174" s="7356"/>
      <c r="AK174" s="7357"/>
      <c r="AL174" s="7357"/>
      <c r="AM174" s="7357"/>
      <c r="AN174" s="7357"/>
      <c r="AO174" s="7357"/>
      <c r="AP174" s="2757"/>
      <c r="AQ174" s="385"/>
      <c r="AR174" s="385"/>
      <c r="AS174" s="385"/>
      <c r="AT174" s="385"/>
      <c r="AU174" s="385"/>
      <c r="AX174" s="147"/>
      <c r="AY174" s="1142" t="s">
        <v>699</v>
      </c>
      <c r="AZ174" s="1142" t="s">
        <v>700</v>
      </c>
      <c r="BA174" s="1142" t="s">
        <v>699</v>
      </c>
      <c r="BB174" s="1142" t="s">
        <v>700</v>
      </c>
      <c r="BC174" s="1142" t="s">
        <v>699</v>
      </c>
      <c r="BD174" s="1142" t="s">
        <v>700</v>
      </c>
      <c r="BG174" s="3013"/>
      <c r="BH174" s="2595"/>
      <c r="BI174" s="2595"/>
      <c r="BJ174" s="2595"/>
      <c r="BK174" s="2595"/>
      <c r="BL174" s="2595"/>
      <c r="BM174" s="2595"/>
      <c r="BN174" s="2595"/>
      <c r="BO174" s="2595"/>
      <c r="BP174" s="2595"/>
    </row>
    <row r="175" spans="1:68" ht="14.25" customHeight="1">
      <c r="A175" s="2757"/>
      <c r="B175" s="7333"/>
      <c r="C175" s="7263"/>
      <c r="D175" s="3081" t="s">
        <v>2756</v>
      </c>
      <c r="E175" s="2213"/>
      <c r="F175" s="2213"/>
      <c r="G175" s="2213"/>
      <c r="H175" s="2213"/>
      <c r="I175" s="2213"/>
      <c r="J175" s="2213"/>
      <c r="K175" s="2213"/>
      <c r="L175" s="2213"/>
      <c r="M175" s="2213"/>
      <c r="N175" s="2213"/>
      <c r="O175" s="2213"/>
      <c r="P175" s="2213"/>
      <c r="Q175" s="2213"/>
      <c r="R175" s="2213"/>
      <c r="S175" s="3489" t="s">
        <v>276</v>
      </c>
      <c r="T175" s="7350">
        <v>21</v>
      </c>
      <c r="U175" s="7351"/>
      <c r="V175" s="7347">
        <f>IF(AR175&lt;&gt;"",ROUND(AR175,0),ROUND(SUM(V154,V155,-V172),0))</f>
        <v>0</v>
      </c>
      <c r="W175" s="7348"/>
      <c r="X175" s="7348"/>
      <c r="Y175" s="7348"/>
      <c r="Z175" s="7348"/>
      <c r="AA175" s="7348"/>
      <c r="AB175" s="7348"/>
      <c r="AC175" s="7349"/>
      <c r="AD175" s="7347">
        <f>IF(AS175&lt;&gt;"",ROUND(AS175,0),ROUND(SUM(AD154,AD155,-AD172),0))</f>
        <v>0</v>
      </c>
      <c r="AE175" s="7348"/>
      <c r="AF175" s="7348"/>
      <c r="AG175" s="7348"/>
      <c r="AH175" s="7348"/>
      <c r="AI175" s="7349"/>
      <c r="AJ175" s="7347">
        <f>IF(AT175&lt;&gt;"",ROUND(AT175,0),ROUND(SUM(AJ154,AJ155,-AJ172),0))</f>
        <v>0</v>
      </c>
      <c r="AK175" s="7348"/>
      <c r="AL175" s="7348"/>
      <c r="AM175" s="7348"/>
      <c r="AN175" s="7348"/>
      <c r="AO175" s="7348"/>
      <c r="AP175" s="2757"/>
      <c r="AQ175" s="385"/>
      <c r="AR175" s="3148"/>
      <c r="AS175" s="3148"/>
      <c r="AT175" s="3148"/>
      <c r="AU175" s="385"/>
      <c r="AX175" s="1144" t="s">
        <v>702</v>
      </c>
      <c r="AY175" s="1141">
        <f>IF(V175&gt;0,V175,0)</f>
        <v>0</v>
      </c>
      <c r="AZ175" s="1141">
        <f>IF(V175&lt;0,V175,0)</f>
        <v>0</v>
      </c>
      <c r="BA175" s="1141">
        <f>IF(AD175&gt;0,AD175,0)</f>
        <v>0</v>
      </c>
      <c r="BB175" s="1141">
        <f>IF(AD175&lt;0,AD175,0)</f>
        <v>0</v>
      </c>
      <c r="BC175" s="1141">
        <f>IF(AJ175&gt;0,AJ175,0)</f>
        <v>0</v>
      </c>
      <c r="BD175" s="1141">
        <f>IF(AJ175&lt;0,AJ175,0)</f>
        <v>0</v>
      </c>
      <c r="BG175" s="3013"/>
      <c r="BH175" s="2595"/>
      <c r="BI175" s="2595"/>
      <c r="BJ175" s="2595"/>
      <c r="BK175" s="2595"/>
      <c r="BL175" s="2595"/>
      <c r="BM175" s="2595"/>
      <c r="BN175" s="2595"/>
      <c r="BO175" s="2595"/>
      <c r="BP175" s="2595"/>
    </row>
    <row r="176" spans="1:68" ht="14.25" customHeight="1">
      <c r="A176" s="2757"/>
      <c r="B176" s="7333">
        <v>22</v>
      </c>
      <c r="C176" s="7263"/>
      <c r="D176" s="3081" t="s">
        <v>2345</v>
      </c>
      <c r="E176" s="2213"/>
      <c r="F176" s="2213"/>
      <c r="G176" s="2213"/>
      <c r="H176" s="2213"/>
      <c r="I176" s="2213"/>
      <c r="J176" s="2213"/>
      <c r="K176" s="2213"/>
      <c r="L176" s="2213"/>
      <c r="M176" s="2213"/>
      <c r="N176" s="2213"/>
      <c r="O176" s="2213"/>
      <c r="P176" s="2213"/>
      <c r="Q176" s="2213"/>
      <c r="R176" s="2213"/>
      <c r="S176" s="2951"/>
      <c r="T176" s="7354"/>
      <c r="U176" s="7355"/>
      <c r="V176" s="7356"/>
      <c r="W176" s="7357"/>
      <c r="X176" s="7357"/>
      <c r="Y176" s="7357"/>
      <c r="Z176" s="7357"/>
      <c r="AA176" s="7357"/>
      <c r="AB176" s="7357"/>
      <c r="AC176" s="7358"/>
      <c r="AD176" s="7356"/>
      <c r="AE176" s="7357"/>
      <c r="AF176" s="7357"/>
      <c r="AG176" s="7357"/>
      <c r="AH176" s="7357"/>
      <c r="AI176" s="7358"/>
      <c r="AJ176" s="7356"/>
      <c r="AK176" s="7357"/>
      <c r="AL176" s="7357"/>
      <c r="AM176" s="7357"/>
      <c r="AN176" s="7357"/>
      <c r="AO176" s="7357"/>
      <c r="AP176" s="2757"/>
      <c r="AQ176" s="385"/>
      <c r="AR176" s="385"/>
      <c r="AS176" s="385"/>
      <c r="AT176" s="385"/>
      <c r="AU176" s="385"/>
      <c r="AX176" s="1144" t="s">
        <v>677</v>
      </c>
      <c r="AY176" s="1160" t="s">
        <v>709</v>
      </c>
      <c r="AZ176" s="1141">
        <f>IF(W177&lt;&gt;"",-W177,0)</f>
        <v>0</v>
      </c>
      <c r="BA176" s="1160" t="s">
        <v>709</v>
      </c>
      <c r="BB176" s="1141">
        <f>IF(AE177&lt;&gt;"",-AE177,0)</f>
        <v>0</v>
      </c>
      <c r="BC176" s="1160" t="s">
        <v>709</v>
      </c>
      <c r="BD176" s="1141">
        <f>IF(AK177&lt;&gt;"",-AK177,0)</f>
        <v>0</v>
      </c>
      <c r="BG176" s="3013"/>
      <c r="BH176" s="2595"/>
      <c r="BI176" s="2595"/>
      <c r="BJ176" s="2595"/>
      <c r="BK176" s="2595"/>
      <c r="BL176" s="2595"/>
      <c r="BM176" s="2595"/>
      <c r="BN176" s="2595"/>
      <c r="BO176" s="2595"/>
      <c r="BP176" s="2595"/>
    </row>
    <row r="177" spans="1:68" ht="14.25" customHeight="1">
      <c r="A177" s="2757"/>
      <c r="B177" s="7333"/>
      <c r="C177" s="7263"/>
      <c r="D177" s="3081" t="s">
        <v>2755</v>
      </c>
      <c r="E177" s="2213"/>
      <c r="F177" s="2213"/>
      <c r="G177" s="2213"/>
      <c r="H177" s="2213"/>
      <c r="I177" s="2213"/>
      <c r="J177" s="2213"/>
      <c r="K177" s="2213"/>
      <c r="L177" s="2213"/>
      <c r="M177" s="2213"/>
      <c r="N177" s="2213"/>
      <c r="O177" s="2213"/>
      <c r="P177" s="2213"/>
      <c r="Q177" s="2213"/>
      <c r="R177" s="2213"/>
      <c r="S177" s="3489" t="s">
        <v>560</v>
      </c>
      <c r="T177" s="7350">
        <v>22</v>
      </c>
      <c r="U177" s="7351"/>
      <c r="V177" s="3152" t="s">
        <v>916</v>
      </c>
      <c r="W177" s="7348" t="str">
        <f>IF(AND(AR177&lt;0,AR177&lt;&gt;""),-ROUND(AR177,0),IF(AND(AR177&gt;=0,AR177&lt;&gt;""),ROUND(AR177,0),IF(AND(D147&lt;&gt;6,V175&lt;0),ROUND(-V175,0),"")))</f>
        <v/>
      </c>
      <c r="X177" s="7359"/>
      <c r="Y177" s="7359"/>
      <c r="Z177" s="7359"/>
      <c r="AA177" s="7359"/>
      <c r="AB177" s="7359"/>
      <c r="AC177" s="3151" t="s">
        <v>917</v>
      </c>
      <c r="AD177" s="3152" t="s">
        <v>916</v>
      </c>
      <c r="AE177" s="7348" t="str">
        <f>IF(AND(AS177&lt;0,AS177&lt;&gt;""),-ROUND(AS177,0),IF(AND(AS177&gt;=0,AS177&lt;&gt;""),ROUND(AS177,0),IF(AND(D148&lt;&gt;6,AD175&lt;0),ROUND(-AD175,0),"")))</f>
        <v/>
      </c>
      <c r="AF177" s="7359"/>
      <c r="AG177" s="7359"/>
      <c r="AH177" s="7359"/>
      <c r="AI177" s="3151" t="s">
        <v>917</v>
      </c>
      <c r="AJ177" s="3152" t="s">
        <v>916</v>
      </c>
      <c r="AK177" s="7348" t="str">
        <f>IF(AND(AT177&lt;0,AT177&lt;&gt;""),-ROUND(AT177,0),IF(AND(AT177&gt;=0,AT177&lt;&gt;""),ROUND(AT177,0),IF(AND(D149&lt;&gt;6,AJ175&lt;0),ROUND(-AJ175,0),"")))</f>
        <v/>
      </c>
      <c r="AL177" s="7359"/>
      <c r="AM177" s="7359"/>
      <c r="AN177" s="7359"/>
      <c r="AO177" s="3150" t="s">
        <v>917</v>
      </c>
      <c r="AP177" s="2757"/>
      <c r="AQ177" s="385"/>
      <c r="AR177" s="3148"/>
      <c r="AS177" s="3148"/>
      <c r="AT177" s="3148"/>
      <c r="AU177" s="385"/>
      <c r="AX177" s="1144"/>
      <c r="AY177" s="1143" t="s">
        <v>701</v>
      </c>
      <c r="AZ177" s="1141">
        <f>IF(D147=6,AZ175,0)</f>
        <v>0</v>
      </c>
      <c r="BA177"/>
      <c r="BB177" s="1141">
        <f>IF(D148=6,BB175,0)</f>
        <v>0</v>
      </c>
      <c r="BC177"/>
      <c r="BD177" s="1141">
        <f>IF(D149=6,BD175,0)</f>
        <v>0</v>
      </c>
      <c r="BG177" s="3013"/>
      <c r="BH177" s="2595"/>
      <c r="BI177" s="2595"/>
      <c r="BJ177" s="2595"/>
      <c r="BK177" s="2595"/>
      <c r="BL177" s="2595"/>
      <c r="BM177" s="2595"/>
      <c r="BN177" s="2595"/>
      <c r="BO177" s="2595"/>
      <c r="BP177" s="2595"/>
    </row>
    <row r="178" spans="1:68" ht="14.25" customHeight="1">
      <c r="A178" s="2757"/>
      <c r="B178" s="7333" t="s">
        <v>688</v>
      </c>
      <c r="C178" s="7263"/>
      <c r="D178" s="3081" t="s">
        <v>748</v>
      </c>
      <c r="E178" s="2213"/>
      <c r="F178" s="2213"/>
      <c r="G178" s="2213"/>
      <c r="H178" s="2213"/>
      <c r="I178" s="2213"/>
      <c r="J178" s="2213"/>
      <c r="K178" s="2213"/>
      <c r="L178" s="2213"/>
      <c r="M178" s="2213"/>
      <c r="N178" s="2213"/>
      <c r="O178" s="2213"/>
      <c r="P178" s="2213"/>
      <c r="Q178" s="2213"/>
      <c r="R178" s="2213"/>
      <c r="S178" s="2213"/>
      <c r="T178" s="2213"/>
      <c r="U178" s="2213"/>
      <c r="V178" s="2213"/>
      <c r="W178" s="2213"/>
      <c r="X178" s="2213"/>
      <c r="Y178" s="2213"/>
      <c r="Z178" s="2213"/>
      <c r="AA178" s="3489" t="s">
        <v>529</v>
      </c>
      <c r="AB178" s="7334" t="s">
        <v>688</v>
      </c>
      <c r="AC178" s="7335"/>
      <c r="AD178" s="7347">
        <f>IF(AR178&lt;&gt;"",ROUND(AR178,0),ROUND(BC150,0))</f>
        <v>0</v>
      </c>
      <c r="AE178" s="7348"/>
      <c r="AF178" s="7348"/>
      <c r="AG178" s="7348"/>
      <c r="AH178" s="7348"/>
      <c r="AI178" s="7349"/>
      <c r="AJ178" s="2757"/>
      <c r="AK178" s="2757"/>
      <c r="AL178" s="2757"/>
      <c r="AM178" s="2757"/>
      <c r="AN178" s="2757"/>
      <c r="AO178" s="2757"/>
      <c r="AP178" s="2757"/>
      <c r="AQ178" s="385"/>
      <c r="AR178" s="3148"/>
      <c r="AS178" s="385"/>
      <c r="AT178" s="385"/>
      <c r="AU178" s="385"/>
      <c r="AX178" s="147"/>
      <c r="AY178" s="1143" t="s">
        <v>703</v>
      </c>
      <c r="AZ178" s="1141">
        <f>IF(D147&lt;&gt;6,AZ175,0)</f>
        <v>0</v>
      </c>
      <c r="BA178"/>
      <c r="BB178" s="1141">
        <f>IF(D148&lt;&gt;6,BB175,0)</f>
        <v>0</v>
      </c>
      <c r="BC178"/>
      <c r="BD178" s="1141">
        <f>IF(D149&lt;&gt;6,BD175,0)</f>
        <v>0</v>
      </c>
      <c r="BG178" s="3013"/>
      <c r="BH178" s="2595"/>
      <c r="BI178" s="2595"/>
      <c r="BJ178" s="2595"/>
      <c r="BK178" s="2595"/>
      <c r="BL178" s="2595"/>
      <c r="BM178" s="2595"/>
      <c r="BN178" s="2595"/>
      <c r="BO178" s="2595"/>
      <c r="BP178" s="2595"/>
    </row>
    <row r="179" spans="1:68" ht="14.25" customHeight="1">
      <c r="A179" s="2757"/>
      <c r="B179" s="7345" t="s">
        <v>47</v>
      </c>
      <c r="C179" s="7346"/>
      <c r="D179" s="3081" t="s">
        <v>690</v>
      </c>
      <c r="E179" s="2213"/>
      <c r="F179" s="2213"/>
      <c r="G179" s="2213"/>
      <c r="H179" s="2213"/>
      <c r="I179" s="2213"/>
      <c r="J179" s="2213"/>
      <c r="K179" s="2213"/>
      <c r="L179" s="2213"/>
      <c r="M179" s="2213"/>
      <c r="N179" s="2213"/>
      <c r="O179" s="2213"/>
      <c r="P179" s="2213"/>
      <c r="Q179" s="2213"/>
      <c r="R179" s="2213"/>
      <c r="S179" s="2213"/>
      <c r="T179" s="2213"/>
      <c r="U179" s="2213"/>
      <c r="V179" s="2213"/>
      <c r="W179" s="2213"/>
      <c r="X179" s="2213"/>
      <c r="Y179" s="2213"/>
      <c r="Z179" s="2213"/>
      <c r="AA179" s="3489" t="s">
        <v>573</v>
      </c>
      <c r="AB179" s="7334" t="s">
        <v>689</v>
      </c>
      <c r="AC179" s="7335"/>
      <c r="AD179" s="7347">
        <f>IF(AR179&lt;&gt;"",ROUND(AR179,0),ROUND(BC151,0))</f>
        <v>0</v>
      </c>
      <c r="AE179" s="7348"/>
      <c r="AF179" s="7348"/>
      <c r="AG179" s="7348"/>
      <c r="AH179" s="7348"/>
      <c r="AI179" s="7349"/>
      <c r="AJ179" s="2757"/>
      <c r="AK179" s="2757"/>
      <c r="AL179" s="2757"/>
      <c r="AM179" s="2757"/>
      <c r="AN179" s="2757"/>
      <c r="AO179" s="2757"/>
      <c r="AP179" s="2757"/>
      <c r="AQ179" s="385"/>
      <c r="AR179" s="3148"/>
      <c r="AS179" s="385"/>
      <c r="AT179" s="385"/>
      <c r="AU179" s="385"/>
      <c r="BG179" s="3013"/>
      <c r="BH179" s="2595"/>
      <c r="BI179" s="2595"/>
      <c r="BJ179" s="2595"/>
      <c r="BK179" s="2595"/>
      <c r="BL179" s="2595"/>
      <c r="BM179" s="2595"/>
      <c r="BN179" s="2595"/>
      <c r="BO179" s="2595"/>
      <c r="BP179" s="2595"/>
    </row>
    <row r="180" spans="1:68" ht="14.25" customHeight="1">
      <c r="A180" s="2757"/>
      <c r="B180" s="7345" t="s">
        <v>48</v>
      </c>
      <c r="C180" s="7346"/>
      <c r="D180" s="3081" t="s">
        <v>691</v>
      </c>
      <c r="E180" s="2213"/>
      <c r="F180" s="2213"/>
      <c r="G180" s="2213"/>
      <c r="H180" s="2213"/>
      <c r="I180" s="2213"/>
      <c r="J180" s="2213"/>
      <c r="K180" s="2213"/>
      <c r="L180" s="2213"/>
      <c r="M180" s="2213"/>
      <c r="N180" s="2213"/>
      <c r="O180" s="2213"/>
      <c r="P180" s="2213"/>
      <c r="Q180" s="2213"/>
      <c r="R180" s="2213"/>
      <c r="S180" s="2213"/>
      <c r="T180" s="2213"/>
      <c r="U180" s="2213"/>
      <c r="V180" s="2213"/>
      <c r="W180" s="2213"/>
      <c r="X180" s="2213"/>
      <c r="Y180" s="2213"/>
      <c r="Z180" s="2213"/>
      <c r="AA180" s="3489" t="s">
        <v>560</v>
      </c>
      <c r="AB180" s="7334" t="s">
        <v>694</v>
      </c>
      <c r="AC180" s="7335"/>
      <c r="AD180" s="7347">
        <f>IF(AR180&lt;&gt;"",ROUND(AR180,0),ROUND(SUM(V164,AD164,AJ164),0))</f>
        <v>0</v>
      </c>
      <c r="AE180" s="7348"/>
      <c r="AF180" s="7348"/>
      <c r="AG180" s="7348"/>
      <c r="AH180" s="7348"/>
      <c r="AI180" s="7349"/>
      <c r="AJ180" s="2757"/>
      <c r="AK180" s="2757"/>
      <c r="AL180" s="2757"/>
      <c r="AM180" s="2757"/>
      <c r="AN180" s="2757"/>
      <c r="AO180" s="2757"/>
      <c r="AP180" s="2757"/>
      <c r="AQ180" s="385"/>
      <c r="AR180" s="3148"/>
      <c r="AS180" s="385"/>
      <c r="AT180" s="385"/>
      <c r="AU180" s="385"/>
      <c r="BG180" s="3013"/>
      <c r="BH180" s="2595"/>
      <c r="BI180" s="2595"/>
      <c r="BJ180" s="2595"/>
      <c r="BK180" s="2595"/>
      <c r="BL180" s="2595"/>
      <c r="BM180" s="2595"/>
      <c r="BN180" s="2595"/>
      <c r="BO180" s="2595"/>
      <c r="BP180" s="2595"/>
    </row>
    <row r="181" spans="1:68" ht="14.25" customHeight="1">
      <c r="A181" s="2757"/>
      <c r="B181" s="7345" t="s">
        <v>92</v>
      </c>
      <c r="C181" s="7346"/>
      <c r="D181" s="3081" t="s">
        <v>692</v>
      </c>
      <c r="E181" s="2213"/>
      <c r="F181" s="2213"/>
      <c r="G181" s="2213"/>
      <c r="H181" s="2213"/>
      <c r="I181" s="2213"/>
      <c r="J181" s="2213"/>
      <c r="K181" s="2213"/>
      <c r="L181" s="2213"/>
      <c r="M181" s="2213"/>
      <c r="N181" s="2213"/>
      <c r="O181" s="2213"/>
      <c r="P181" s="2213"/>
      <c r="Q181" s="2213"/>
      <c r="R181" s="2213"/>
      <c r="S181" s="2213"/>
      <c r="T181" s="2213"/>
      <c r="U181" s="2213"/>
      <c r="V181" s="2213"/>
      <c r="W181" s="2213"/>
      <c r="X181" s="2213"/>
      <c r="Y181" s="2213"/>
      <c r="Z181" s="2213"/>
      <c r="AA181" s="3489" t="s">
        <v>560</v>
      </c>
      <c r="AB181" s="7334" t="s">
        <v>695</v>
      </c>
      <c r="AC181" s="7335"/>
      <c r="AD181" s="7347">
        <f>IF(AR181&lt;&gt;"",ROUND(AR181,0),ROUND(SUM(V170,AD170,AJ170),0))</f>
        <v>0</v>
      </c>
      <c r="AE181" s="7348"/>
      <c r="AF181" s="7348"/>
      <c r="AG181" s="7348"/>
      <c r="AH181" s="7348"/>
      <c r="AI181" s="7349"/>
      <c r="AJ181" s="2757"/>
      <c r="AK181" s="2757"/>
      <c r="AL181" s="2757"/>
      <c r="AM181" s="2757"/>
      <c r="AN181" s="2757"/>
      <c r="AO181" s="2757"/>
      <c r="AP181" s="2757"/>
      <c r="AQ181" s="385"/>
      <c r="AR181" s="3148"/>
      <c r="AS181" s="385"/>
      <c r="AT181" s="385"/>
      <c r="AU181" s="385"/>
      <c r="BG181" s="3013"/>
      <c r="BH181" s="2595"/>
      <c r="BI181" s="2595"/>
      <c r="BJ181" s="2595"/>
      <c r="BK181" s="2595"/>
      <c r="BL181" s="2595"/>
      <c r="BM181" s="2595"/>
      <c r="BN181" s="2595"/>
      <c r="BO181" s="2595"/>
      <c r="BP181" s="2595"/>
    </row>
    <row r="182" spans="1:68" ht="14.25" customHeight="1">
      <c r="A182" s="2757"/>
      <c r="B182" s="7345" t="s">
        <v>964</v>
      </c>
      <c r="C182" s="7346"/>
      <c r="D182" s="3081" t="s">
        <v>693</v>
      </c>
      <c r="E182" s="2213"/>
      <c r="F182" s="2213"/>
      <c r="G182" s="2213"/>
      <c r="H182" s="2213"/>
      <c r="I182" s="2213"/>
      <c r="J182" s="2213"/>
      <c r="K182" s="2213"/>
      <c r="L182" s="2213"/>
      <c r="M182" s="2213"/>
      <c r="N182" s="2213"/>
      <c r="O182" s="2213"/>
      <c r="P182" s="2213"/>
      <c r="Q182" s="2213"/>
      <c r="R182" s="2213"/>
      <c r="S182" s="2213"/>
      <c r="T182" s="2213"/>
      <c r="U182" s="2213"/>
      <c r="V182" s="2213"/>
      <c r="W182" s="2213"/>
      <c r="X182" s="2213"/>
      <c r="Y182" s="2213"/>
      <c r="Z182" s="2213"/>
      <c r="AA182" s="3489" t="s">
        <v>560</v>
      </c>
      <c r="AB182" s="7334" t="s">
        <v>696</v>
      </c>
      <c r="AC182" s="7335"/>
      <c r="AD182" s="7347">
        <f>IF(AR182&lt;&gt;"",ROUND(AR182,0),ROUND(SUM(V172,AD172,AJ172),0))</f>
        <v>0</v>
      </c>
      <c r="AE182" s="7348"/>
      <c r="AF182" s="7348"/>
      <c r="AG182" s="7348"/>
      <c r="AH182" s="7348"/>
      <c r="AI182" s="7349"/>
      <c r="AJ182" s="2757"/>
      <c r="AK182" s="2757"/>
      <c r="AL182" s="2757"/>
      <c r="AM182" s="2757"/>
      <c r="AN182" s="2757"/>
      <c r="AO182" s="2757"/>
      <c r="AP182" s="2757"/>
      <c r="AQ182" s="385"/>
      <c r="AR182" s="3148"/>
      <c r="AS182" s="385"/>
      <c r="AT182" s="385"/>
      <c r="AU182" s="385"/>
      <c r="BG182" s="3013"/>
      <c r="BH182" s="2595"/>
      <c r="BI182" s="2595"/>
      <c r="BJ182" s="2595"/>
      <c r="BK182" s="2595"/>
      <c r="BL182" s="2595"/>
      <c r="BM182" s="2595"/>
      <c r="BN182" s="2595"/>
      <c r="BO182" s="2595"/>
      <c r="BP182" s="2595"/>
    </row>
    <row r="183" spans="1:68" ht="14.25" customHeight="1">
      <c r="A183" s="2757"/>
      <c r="B183" s="7333">
        <v>24</v>
      </c>
      <c r="C183" s="7263"/>
      <c r="D183" s="3081" t="s">
        <v>2346</v>
      </c>
      <c r="E183" s="2213"/>
      <c r="F183" s="2213"/>
      <c r="G183" s="2213"/>
      <c r="H183" s="2213"/>
      <c r="I183" s="2213"/>
      <c r="J183" s="2213"/>
      <c r="K183" s="2213"/>
      <c r="L183" s="2213"/>
      <c r="M183" s="2213"/>
      <c r="N183" s="2213"/>
      <c r="O183" s="2213"/>
      <c r="P183" s="2213"/>
      <c r="Q183" s="2213"/>
      <c r="R183" s="2213"/>
      <c r="S183" s="2213"/>
      <c r="T183" s="2213"/>
      <c r="U183" s="2213"/>
      <c r="V183" s="2213"/>
      <c r="W183" s="2213"/>
      <c r="X183" s="2213"/>
      <c r="Y183" s="2213"/>
      <c r="Z183" s="2213"/>
      <c r="AA183" s="2213"/>
      <c r="AB183" s="2213"/>
      <c r="AC183" s="2213"/>
      <c r="AD183" s="2213"/>
      <c r="AE183" s="2213"/>
      <c r="AF183" s="2213"/>
      <c r="AG183" s="3489" t="s">
        <v>698</v>
      </c>
      <c r="AH183" s="7350">
        <v>24</v>
      </c>
      <c r="AI183" s="7351"/>
      <c r="AJ183" s="7352">
        <f>IF(AR183&lt;&gt;"",ROUND(AR183,0),ROUND(SUM(AY175,BA175,BC175),0))</f>
        <v>0</v>
      </c>
      <c r="AK183" s="7353"/>
      <c r="AL183" s="7353"/>
      <c r="AM183" s="7353"/>
      <c r="AN183" s="7353"/>
      <c r="AO183" s="7353"/>
      <c r="AP183" s="2757"/>
      <c r="AQ183" s="385"/>
      <c r="AR183" s="3148"/>
      <c r="AS183" s="385"/>
      <c r="AT183" s="385"/>
      <c r="AU183" s="385"/>
      <c r="BG183" s="3013"/>
      <c r="BH183" s="2595"/>
      <c r="BI183" s="2595"/>
      <c r="BJ183" s="2595"/>
      <c r="BK183" s="2595"/>
      <c r="BL183" s="2595"/>
      <c r="BM183" s="2595"/>
      <c r="BN183" s="2595"/>
      <c r="BO183" s="2595"/>
      <c r="BP183" s="2595"/>
    </row>
    <row r="184" spans="1:68" ht="14.25" customHeight="1">
      <c r="A184" s="2757"/>
      <c r="B184" s="7333">
        <v>25</v>
      </c>
      <c r="C184" s="7263"/>
      <c r="D184" s="3104" t="s">
        <v>2347</v>
      </c>
      <c r="E184" s="2213"/>
      <c r="F184" s="2213"/>
      <c r="G184" s="2213"/>
      <c r="H184" s="2213"/>
      <c r="I184" s="2213"/>
      <c r="J184" s="2213"/>
      <c r="K184" s="2213"/>
      <c r="L184" s="2213"/>
      <c r="M184" s="2213"/>
      <c r="N184" s="2213"/>
      <c r="O184" s="2213"/>
      <c r="P184" s="2213"/>
      <c r="Q184" s="2213"/>
      <c r="R184" s="2213"/>
      <c r="S184" s="2213"/>
      <c r="T184" s="2213"/>
      <c r="U184" s="2213"/>
      <c r="V184" s="2213"/>
      <c r="W184" s="2213"/>
      <c r="X184" s="2213"/>
      <c r="Y184" s="2213"/>
      <c r="Z184" s="2213"/>
      <c r="AA184" s="2213"/>
      <c r="AB184" s="2213"/>
      <c r="AC184" s="2213"/>
      <c r="AD184" s="2213"/>
      <c r="AE184" s="2213"/>
      <c r="AF184" s="2213"/>
      <c r="AG184" s="2213"/>
      <c r="AH184" s="7334">
        <v>25</v>
      </c>
      <c r="AI184" s="7335"/>
      <c r="AJ184" s="3153" t="s">
        <v>916</v>
      </c>
      <c r="AK184" s="7336">
        <f>-AK185</f>
        <v>0</v>
      </c>
      <c r="AL184" s="7337"/>
      <c r="AM184" s="7337"/>
      <c r="AN184" s="7337"/>
      <c r="AO184" s="3154" t="s">
        <v>917</v>
      </c>
      <c r="AP184" s="2757"/>
      <c r="AQ184" s="385"/>
      <c r="AR184" s="3148"/>
      <c r="AS184" s="385"/>
      <c r="AT184" s="385"/>
      <c r="AU184" s="385"/>
      <c r="BG184" s="3013"/>
      <c r="BH184" s="2595"/>
      <c r="BI184" s="2595"/>
      <c r="BJ184" s="2595"/>
      <c r="BK184" s="2595"/>
      <c r="BL184" s="2595"/>
      <c r="BM184" s="2595"/>
      <c r="BN184" s="2595"/>
      <c r="BO184" s="2595"/>
      <c r="BP184" s="2595"/>
    </row>
    <row r="185" spans="1:68" ht="14.25" customHeight="1">
      <c r="A185" s="2757"/>
      <c r="B185" s="7333">
        <v>26</v>
      </c>
      <c r="C185" s="7263"/>
      <c r="D185" s="3081" t="s">
        <v>2759</v>
      </c>
      <c r="E185" s="2213"/>
      <c r="F185" s="2213"/>
      <c r="G185" s="2213"/>
      <c r="H185" s="2213"/>
      <c r="I185" s="2213"/>
      <c r="J185" s="2213"/>
      <c r="K185" s="2213"/>
      <c r="L185" s="2213"/>
      <c r="M185" s="2213"/>
      <c r="N185" s="2213"/>
      <c r="O185" s="2213"/>
      <c r="P185" s="2213"/>
      <c r="Q185" s="2213"/>
      <c r="R185" s="2213"/>
      <c r="S185" s="2213"/>
      <c r="T185" s="2974"/>
      <c r="U185" s="3102"/>
      <c r="V185" s="3103"/>
      <c r="W185" s="3103"/>
      <c r="X185" s="3103"/>
      <c r="Y185" s="3103"/>
      <c r="Z185" s="3103"/>
      <c r="AA185" s="3103"/>
      <c r="AB185" s="3103"/>
      <c r="AC185" s="3103"/>
      <c r="AD185" s="3103"/>
      <c r="AE185" s="3103"/>
      <c r="AF185" s="3103"/>
      <c r="AG185" s="3103"/>
      <c r="AH185" s="3105"/>
      <c r="AI185" s="3106"/>
      <c r="AJ185" s="3103"/>
      <c r="AK185" s="7344">
        <f>IF(AND(AR184&lt;&gt;"",AR184&gt;=0),-ROUND(AR184,0),IF(AND(AR184&lt;&gt;"",AR184&lt;0),ROUND(AR184,0),SUM(AZ176,AZ177,BB176,BB177,BD176,BD177)))</f>
        <v>0</v>
      </c>
      <c r="AL185" s="7344"/>
      <c r="AM185" s="7344"/>
      <c r="AN185" s="7344"/>
      <c r="AO185" s="3103"/>
      <c r="AP185" s="2757"/>
      <c r="AQ185" s="385"/>
      <c r="AR185" s="385"/>
      <c r="AS185" s="385"/>
      <c r="AT185" s="385"/>
      <c r="AU185" s="385"/>
      <c r="BG185" s="3013"/>
      <c r="BH185" s="2595"/>
      <c r="BI185" s="2595"/>
      <c r="BJ185" s="2595"/>
      <c r="BK185" s="2595"/>
      <c r="BL185" s="2595"/>
      <c r="BM185" s="2595"/>
      <c r="BN185" s="2595"/>
      <c r="BO185" s="2595"/>
      <c r="BP185" s="2595"/>
    </row>
    <row r="186" spans="1:68" ht="14.25" customHeight="1">
      <c r="A186" s="2757"/>
      <c r="B186" s="7333"/>
      <c r="C186" s="7263"/>
      <c r="D186" s="3081" t="s">
        <v>2348</v>
      </c>
      <c r="E186" s="2213"/>
      <c r="F186" s="2213"/>
      <c r="G186" s="2213"/>
      <c r="H186" s="2213"/>
      <c r="I186" s="2213"/>
      <c r="J186" s="2213"/>
      <c r="K186" s="2213"/>
      <c r="L186" s="2213"/>
      <c r="M186" s="2213"/>
      <c r="N186" s="2213"/>
      <c r="O186" s="2213"/>
      <c r="P186" s="2213"/>
      <c r="Q186" s="2213"/>
      <c r="R186" s="2213"/>
      <c r="S186" s="2213"/>
      <c r="T186" s="2974"/>
      <c r="U186" s="3102"/>
      <c r="V186" s="3103"/>
      <c r="W186" s="3103"/>
      <c r="X186" s="3103"/>
      <c r="Y186" s="3103"/>
      <c r="Z186" s="3103"/>
      <c r="AA186" s="3103"/>
      <c r="AB186" s="3103"/>
      <c r="AC186" s="3103"/>
      <c r="AD186" s="3103"/>
      <c r="AE186" s="3103"/>
      <c r="AF186" s="3103"/>
      <c r="AG186" s="3103"/>
      <c r="AH186" s="3107"/>
      <c r="AI186" s="3108"/>
      <c r="AJ186" s="3103"/>
      <c r="AK186" s="3103"/>
      <c r="AL186" s="3103"/>
      <c r="AM186" s="3103"/>
      <c r="AN186" s="3103"/>
      <c r="AO186" s="3103"/>
      <c r="AP186" s="2757"/>
      <c r="AQ186" s="385"/>
      <c r="AR186" s="385"/>
      <c r="AS186" s="385"/>
      <c r="AT186" s="385"/>
      <c r="AU186" s="385"/>
      <c r="BG186" s="3013"/>
      <c r="BH186" s="2595"/>
      <c r="BI186" s="2595"/>
      <c r="BJ186" s="2595"/>
      <c r="BK186" s="2595"/>
      <c r="BL186" s="2595"/>
      <c r="BM186" s="2595"/>
      <c r="BN186" s="2595"/>
      <c r="BO186" s="2595"/>
      <c r="BP186" s="2595"/>
    </row>
    <row r="187" spans="1:68" ht="14.25" customHeight="1" thickBot="1">
      <c r="A187" s="2757"/>
      <c r="B187" s="3109"/>
      <c r="C187" s="3110"/>
      <c r="D187" s="4644" t="s">
        <v>4412</v>
      </c>
      <c r="E187" s="3111"/>
      <c r="F187" s="3111"/>
      <c r="G187" s="3111"/>
      <c r="H187" s="3111"/>
      <c r="I187" s="3111"/>
      <c r="J187" s="3111"/>
      <c r="K187" s="3111"/>
      <c r="L187" s="3111"/>
      <c r="M187" s="3111"/>
      <c r="N187" s="3111"/>
      <c r="O187" s="3111"/>
      <c r="P187" s="3111"/>
      <c r="Q187" s="3111"/>
      <c r="R187" s="3111"/>
      <c r="S187" s="3111"/>
      <c r="T187" s="3111"/>
      <c r="U187" s="3111"/>
      <c r="V187" s="3111"/>
      <c r="W187" s="3111"/>
      <c r="X187" s="3111"/>
      <c r="Y187" s="3111"/>
      <c r="Z187" s="3111"/>
      <c r="AA187" s="3111"/>
      <c r="AB187" s="3112"/>
      <c r="AC187" s="3113"/>
      <c r="AD187" s="3114"/>
      <c r="AE187" s="3114"/>
      <c r="AF187" s="3114"/>
      <c r="AG187" s="3491" t="s">
        <v>1037</v>
      </c>
      <c r="AH187" s="7338">
        <v>26</v>
      </c>
      <c r="AI187" s="7339"/>
      <c r="AJ187" s="7340">
        <f>IF(AR187&lt;&gt;"",ROUND(AR187,0),SUM(AJ183,AK185))</f>
        <v>0</v>
      </c>
      <c r="AK187" s="7341"/>
      <c r="AL187" s="7341"/>
      <c r="AM187" s="7341"/>
      <c r="AN187" s="7341"/>
      <c r="AO187" s="7341"/>
      <c r="AP187" s="2757"/>
      <c r="AQ187" s="385"/>
      <c r="AR187" s="3141"/>
      <c r="AS187" s="385"/>
      <c r="AT187" s="385"/>
      <c r="AU187" s="385"/>
      <c r="BG187" s="3013"/>
      <c r="BH187" s="2595"/>
      <c r="BI187" s="2595"/>
      <c r="BJ187" s="2595"/>
      <c r="BK187" s="2595"/>
      <c r="BL187" s="2595"/>
      <c r="BM187" s="2595"/>
      <c r="BN187" s="2595"/>
      <c r="BO187" s="2595"/>
      <c r="BP187" s="2595"/>
    </row>
    <row r="188" spans="1:68" ht="14.25" customHeight="1">
      <c r="A188" s="2757"/>
      <c r="B188" s="3074" t="s">
        <v>1045</v>
      </c>
      <c r="C188" s="3101"/>
      <c r="D188" s="3081"/>
      <c r="E188" s="2213"/>
      <c r="F188" s="2213"/>
      <c r="G188" s="2213"/>
      <c r="H188" s="2213"/>
      <c r="I188" s="2213"/>
      <c r="J188" s="2213"/>
      <c r="K188" s="2213"/>
      <c r="L188" s="2213"/>
      <c r="M188" s="2213"/>
      <c r="N188" s="2213"/>
      <c r="O188" s="2213"/>
      <c r="P188" s="2213"/>
      <c r="Q188" s="2213"/>
      <c r="R188" s="2213"/>
      <c r="S188" s="2213"/>
      <c r="T188" s="2213"/>
      <c r="U188" s="2213"/>
      <c r="V188" s="2213"/>
      <c r="W188" s="2213"/>
      <c r="X188" s="2213"/>
      <c r="Y188" s="2213" t="s">
        <v>678</v>
      </c>
      <c r="Z188" s="2213"/>
      <c r="AA188" s="2213"/>
      <c r="AB188" s="2974"/>
      <c r="AC188" s="3102"/>
      <c r="AD188" s="3103"/>
      <c r="AE188" s="3103"/>
      <c r="AF188" s="3103"/>
      <c r="AG188" s="3103"/>
      <c r="AH188" s="3103"/>
      <c r="AI188" s="3103"/>
      <c r="AJ188" s="1179"/>
      <c r="AK188" s="1179"/>
      <c r="AL188" s="1179"/>
      <c r="AM188" s="1179"/>
      <c r="AN188" s="1179"/>
      <c r="AO188" s="1560" t="str">
        <f>"Schedule E (Form 1040) "&amp;TaxYear</f>
        <v>Schedule E (Form 1040) 2021</v>
      </c>
      <c r="AP188" s="2757"/>
      <c r="AQ188" s="385"/>
      <c r="AR188" s="385"/>
      <c r="AS188" s="385"/>
      <c r="AT188" s="385"/>
      <c r="AU188" s="385"/>
      <c r="BG188" s="3013"/>
      <c r="BH188" s="2595"/>
      <c r="BI188" s="2595"/>
      <c r="BJ188" s="2595"/>
      <c r="BK188" s="2595"/>
      <c r="BL188" s="2595"/>
      <c r="BM188" s="2595"/>
      <c r="BN188" s="2595"/>
      <c r="BO188" s="2595"/>
      <c r="BP188" s="2595"/>
    </row>
    <row r="189" spans="1:68" ht="21" customHeight="1">
      <c r="A189" s="2757"/>
      <c r="B189" s="2782" t="str">
        <f>"Schedule E (Form 1040) "&amp;TaxYear</f>
        <v>Schedule E (Form 1040) 2021</v>
      </c>
      <c r="C189" s="1553"/>
      <c r="D189" s="1553"/>
      <c r="E189" s="1553"/>
      <c r="F189" s="1553"/>
      <c r="G189" s="1553"/>
      <c r="H189" s="1553"/>
      <c r="I189" s="3134"/>
      <c r="J189" s="1553"/>
      <c r="K189" s="1553"/>
      <c r="L189" s="1553"/>
      <c r="M189" s="1553"/>
      <c r="N189" s="1553"/>
      <c r="O189" s="1553"/>
      <c r="P189" s="3135"/>
      <c r="Q189" s="1553"/>
      <c r="R189" s="1553"/>
      <c r="S189" s="1553"/>
      <c r="T189" s="1553"/>
      <c r="U189" s="1553"/>
      <c r="V189" s="1553"/>
      <c r="W189" s="1553"/>
      <c r="X189" s="1553"/>
      <c r="Y189" s="1553"/>
      <c r="Z189" s="1553"/>
      <c r="AA189" s="2782" t="s">
        <v>473</v>
      </c>
      <c r="AB189" s="1553"/>
      <c r="AC189" s="1553"/>
      <c r="AD189" s="1553"/>
      <c r="AE189" s="1553"/>
      <c r="AF189" s="1553"/>
      <c r="AG189" s="3119">
        <v>13</v>
      </c>
      <c r="AH189" s="1553"/>
      <c r="AI189" s="1553"/>
      <c r="AJ189" s="1553"/>
      <c r="AK189" s="1553"/>
      <c r="AL189" s="1553"/>
      <c r="AM189" s="1553"/>
      <c r="AN189" s="1553"/>
      <c r="AO189" s="3120" t="s">
        <v>160</v>
      </c>
      <c r="AP189" s="2757"/>
      <c r="BG189" s="3013"/>
      <c r="BH189" s="2595"/>
      <c r="BI189" s="2595"/>
      <c r="BJ189" s="2595"/>
      <c r="BK189" s="2595"/>
      <c r="BL189" s="2595"/>
      <c r="BM189" s="2595"/>
      <c r="BN189" s="2595"/>
      <c r="BO189" s="2595"/>
      <c r="BP189" s="2595"/>
    </row>
    <row r="190" spans="1:68" ht="12.75" customHeight="1">
      <c r="A190" s="2757"/>
      <c r="B190" s="1262" t="s">
        <v>3266</v>
      </c>
      <c r="C190" s="1262"/>
      <c r="D190" s="1262"/>
      <c r="E190" s="1262"/>
      <c r="F190" s="1262"/>
      <c r="G190" s="1262"/>
      <c r="H190" s="1262" t="s">
        <v>3267</v>
      </c>
      <c r="I190" s="1179"/>
      <c r="J190" s="1179"/>
      <c r="K190" s="1179"/>
      <c r="L190" s="1179"/>
      <c r="M190" s="1179"/>
      <c r="N190" s="1179"/>
      <c r="O190" s="1179"/>
      <c r="P190" s="1179"/>
      <c r="Q190" s="1179"/>
      <c r="R190" s="1179"/>
      <c r="S190" s="1179"/>
      <c r="T190" s="1179"/>
      <c r="U190" s="1179"/>
      <c r="V190" s="1179"/>
      <c r="W190" s="1179"/>
      <c r="X190" s="1179"/>
      <c r="Y190" s="1179"/>
      <c r="Z190" s="1179"/>
      <c r="AA190" s="1179"/>
      <c r="AB190" s="1179"/>
      <c r="AC190" s="1179"/>
      <c r="AD190" s="1179"/>
      <c r="AE190" s="1179"/>
      <c r="AF190" s="7342" t="s">
        <v>89</v>
      </c>
      <c r="AG190" s="7343"/>
      <c r="AH190" s="7343"/>
      <c r="AI190" s="7343"/>
      <c r="AJ190" s="7343"/>
      <c r="AK190" s="7343"/>
      <c r="AL190" s="7343"/>
      <c r="AM190" s="7343"/>
      <c r="AN190" s="7343"/>
      <c r="AO190" s="7343"/>
      <c r="AP190" s="2757"/>
      <c r="AR190" s="1286" t="b">
        <f>OR(AND(AF191&lt;&gt;"",AF191=AG135),AND(B135&lt;&gt;"",B191&lt;&gt;""))</f>
        <v>0</v>
      </c>
      <c r="BG190" s="3013"/>
      <c r="BH190" s="2595"/>
      <c r="BI190" s="2595"/>
      <c r="BJ190" s="2595"/>
      <c r="BK190" s="2595"/>
      <c r="BL190" s="2595"/>
      <c r="BM190" s="2595"/>
      <c r="BN190" s="2595"/>
      <c r="BO190" s="2595"/>
      <c r="BP190" s="2595"/>
    </row>
    <row r="191" spans="1:68" ht="16.5" customHeight="1">
      <c r="A191" s="2757"/>
      <c r="B191" s="7321"/>
      <c r="C191" s="7321"/>
      <c r="D191" s="7321"/>
      <c r="E191" s="7321"/>
      <c r="F191" s="7321"/>
      <c r="G191" s="7321"/>
      <c r="H191" s="7321"/>
      <c r="I191" s="7321"/>
      <c r="J191" s="7321"/>
      <c r="K191" s="7321"/>
      <c r="L191" s="7321"/>
      <c r="M191" s="7321"/>
      <c r="N191" s="7321"/>
      <c r="O191" s="7321"/>
      <c r="P191" s="7321"/>
      <c r="Q191" s="7321"/>
      <c r="R191" s="7321"/>
      <c r="S191" s="7321"/>
      <c r="T191" s="7321"/>
      <c r="U191" s="7321"/>
      <c r="V191" s="7321"/>
      <c r="W191" s="7321"/>
      <c r="X191" s="7321"/>
      <c r="Y191" s="7321"/>
      <c r="Z191" s="7321"/>
      <c r="AA191" s="7321"/>
      <c r="AB191" s="7321"/>
      <c r="AC191" s="7321"/>
      <c r="AD191" s="7321"/>
      <c r="AE191" s="7322"/>
      <c r="AF191" s="6359"/>
      <c r="AG191" s="7323"/>
      <c r="AH191" s="7323"/>
      <c r="AI191" s="7323"/>
      <c r="AJ191" s="7323"/>
      <c r="AK191" s="7323"/>
      <c r="AL191" s="7323"/>
      <c r="AM191" s="7323"/>
      <c r="AN191" s="7323"/>
      <c r="AO191" s="7323"/>
      <c r="AP191" s="3023"/>
      <c r="AQ191" s="2528" t="str">
        <f>IF($AR190,"Hide emphasis.","")</f>
        <v/>
      </c>
      <c r="AR191" s="2528"/>
      <c r="BG191" s="3013"/>
      <c r="BH191" s="2595"/>
      <c r="BI191" s="2595"/>
      <c r="BJ191" s="2595"/>
      <c r="BK191" s="2595"/>
      <c r="BL191" s="2595"/>
      <c r="BM191" s="2595"/>
      <c r="BN191" s="2595"/>
      <c r="BO191" s="2595"/>
      <c r="BP191" s="2595"/>
    </row>
    <row r="192" spans="1:68" ht="15" customHeight="1">
      <c r="A192" s="2757"/>
      <c r="B192" s="2686" t="s">
        <v>2349</v>
      </c>
      <c r="C192" s="1179"/>
      <c r="D192" s="1179"/>
      <c r="E192" s="1179"/>
      <c r="F192" s="1179"/>
      <c r="G192" s="1179"/>
      <c r="H192" s="1179"/>
      <c r="I192" s="1179"/>
      <c r="J192" s="1179"/>
      <c r="K192" s="1179"/>
      <c r="L192" s="1179"/>
      <c r="M192" s="1179"/>
      <c r="N192" s="1179"/>
      <c r="O192" s="1179"/>
      <c r="P192" s="1179"/>
      <c r="Q192" s="1179"/>
      <c r="R192" s="1179"/>
      <c r="S192" s="1179"/>
      <c r="T192" s="1179"/>
      <c r="U192" s="1179"/>
      <c r="V192" s="1179"/>
      <c r="W192" s="1179"/>
      <c r="X192" s="1179"/>
      <c r="Y192" s="1179"/>
      <c r="Z192" s="1179"/>
      <c r="AA192" s="1179"/>
      <c r="AB192" s="1179"/>
      <c r="AC192" s="1179"/>
      <c r="AD192" s="1179"/>
      <c r="AE192" s="1179"/>
      <c r="AF192" s="1179"/>
      <c r="AG192" s="1179"/>
      <c r="AH192" s="1179"/>
      <c r="AI192" s="1179"/>
      <c r="AJ192" s="1179"/>
      <c r="AK192" s="1179"/>
      <c r="AL192" s="1179"/>
      <c r="AM192" s="1179"/>
      <c r="AN192" s="1179"/>
      <c r="AO192" s="1179"/>
      <c r="AP192" s="2757"/>
      <c r="BG192" s="3013"/>
      <c r="BH192" s="2595"/>
      <c r="BI192" s="2595"/>
      <c r="BJ192" s="2595"/>
      <c r="BK192" s="2595"/>
      <c r="BL192" s="2595"/>
      <c r="BM192" s="2595"/>
      <c r="BN192" s="2595"/>
      <c r="BO192" s="2595"/>
      <c r="BP192" s="2595"/>
    </row>
    <row r="193" spans="1:69" s="2689" customFormat="1" ht="17.25" customHeight="1">
      <c r="A193" s="2758"/>
      <c r="B193" s="7220" t="s">
        <v>118</v>
      </c>
      <c r="C193" s="7220"/>
      <c r="D193" s="7221"/>
      <c r="E193" s="1396"/>
      <c r="F193" s="3071" t="s">
        <v>2350</v>
      </c>
      <c r="G193" s="1396"/>
      <c r="H193" s="1396"/>
      <c r="I193" s="1396"/>
      <c r="J193" s="1396"/>
      <c r="K193" s="1396"/>
      <c r="L193" s="1396"/>
      <c r="M193" s="1396"/>
      <c r="N193" s="1396"/>
      <c r="O193" s="1396"/>
      <c r="P193" s="1396"/>
      <c r="Q193" s="1396"/>
      <c r="R193" s="1396"/>
      <c r="S193" s="1396"/>
      <c r="T193" s="1396"/>
      <c r="U193" s="1396"/>
      <c r="V193" s="1396"/>
      <c r="W193" s="1396"/>
      <c r="X193" s="3072"/>
      <c r="Y193" s="1396"/>
      <c r="Z193" s="1396"/>
      <c r="AA193" s="1396"/>
      <c r="AB193" s="1396"/>
      <c r="AC193" s="1396"/>
      <c r="AD193" s="1396"/>
      <c r="AE193" s="1396"/>
      <c r="AF193" s="1396"/>
      <c r="AG193" s="1396"/>
      <c r="AH193" s="1396"/>
      <c r="AI193" s="1396"/>
      <c r="AJ193" s="1396"/>
      <c r="AK193" s="1396"/>
      <c r="AL193" s="1396"/>
      <c r="AM193" s="1396"/>
      <c r="AN193" s="1396"/>
      <c r="AO193" s="1396"/>
      <c r="AP193" s="2757"/>
      <c r="AX193" s="42"/>
      <c r="AY193" s="42"/>
      <c r="AZ193" s="42"/>
      <c r="BA193" s="42"/>
      <c r="BB193" s="42"/>
      <c r="BC193" s="42"/>
      <c r="BD193" s="42"/>
      <c r="BG193" s="3013"/>
      <c r="BH193" s="2595"/>
      <c r="BI193" s="2595"/>
      <c r="BJ193" s="2595"/>
      <c r="BK193" s="2595"/>
      <c r="BL193" s="2595"/>
      <c r="BM193" s="2595"/>
      <c r="BN193" s="2595"/>
      <c r="BO193" s="2595"/>
      <c r="BP193" s="2595"/>
      <c r="BQ193" s="3402"/>
    </row>
    <row r="194" spans="1:69" ht="12.75" customHeight="1">
      <c r="A194" s="2757"/>
      <c r="B194" s="1179"/>
      <c r="C194" s="1179"/>
      <c r="D194" s="1179"/>
      <c r="E194" s="1179"/>
      <c r="F194" s="1276" t="s">
        <v>2760</v>
      </c>
      <c r="G194" s="1179"/>
      <c r="H194" s="1179"/>
      <c r="I194" s="1179"/>
      <c r="J194" s="1179"/>
      <c r="K194" s="1179"/>
      <c r="L194" s="1179"/>
      <c r="M194" s="1179"/>
      <c r="N194" s="1179"/>
      <c r="O194" s="1179"/>
      <c r="P194" s="1179"/>
      <c r="Q194" s="1179"/>
      <c r="R194" s="1179"/>
      <c r="S194" s="1179"/>
      <c r="T194" s="1179"/>
      <c r="U194" s="1179"/>
      <c r="V194" s="1179"/>
      <c r="W194" s="1179"/>
      <c r="X194" s="1179"/>
      <c r="Y194" s="1179"/>
      <c r="Z194" s="1179"/>
      <c r="AA194" s="1179"/>
      <c r="AB194" s="1179"/>
      <c r="AC194" s="1179"/>
      <c r="AD194" s="1179"/>
      <c r="AE194" s="1179"/>
      <c r="AF194" s="1179"/>
      <c r="AG194" s="1179"/>
      <c r="AH194" s="1179"/>
      <c r="AI194" s="1179"/>
      <c r="AJ194" s="1179"/>
      <c r="AK194" s="1179"/>
      <c r="AL194" s="1179"/>
      <c r="AM194" s="1179"/>
      <c r="AN194" s="1179"/>
      <c r="AO194" s="1179"/>
      <c r="AP194" s="2757"/>
      <c r="BG194" s="3013"/>
      <c r="BH194" s="2595"/>
      <c r="BI194" s="2595"/>
      <c r="BJ194" s="2595"/>
      <c r="BK194" s="2595"/>
      <c r="BL194" s="2595"/>
      <c r="BM194" s="2595"/>
      <c r="BN194" s="2595"/>
      <c r="BO194" s="2595"/>
      <c r="BP194" s="2595"/>
    </row>
    <row r="195" spans="1:69" ht="12.75" customHeight="1">
      <c r="A195" s="2757"/>
      <c r="B195" s="1179"/>
      <c r="C195" s="1179"/>
      <c r="D195" s="1179"/>
      <c r="E195" s="1179"/>
      <c r="F195" s="1276" t="s">
        <v>2351</v>
      </c>
      <c r="G195" s="1179"/>
      <c r="H195" s="1179"/>
      <c r="I195" s="1179"/>
      <c r="J195" s="1179"/>
      <c r="K195" s="1179"/>
      <c r="L195" s="1179"/>
      <c r="M195" s="1179"/>
      <c r="N195" s="1179"/>
      <c r="O195" s="1179"/>
      <c r="P195" s="1179"/>
      <c r="Q195" s="1179"/>
      <c r="R195" s="1179"/>
      <c r="S195" s="1179"/>
      <c r="T195" s="1179"/>
      <c r="U195" s="1179"/>
      <c r="V195" s="1179"/>
      <c r="W195" s="1179"/>
      <c r="X195" s="1179"/>
      <c r="Y195" s="1179"/>
      <c r="Z195" s="1179"/>
      <c r="AA195" s="1179"/>
      <c r="AB195" s="1179"/>
      <c r="AC195" s="1179"/>
      <c r="AD195" s="1179"/>
      <c r="AE195" s="1179"/>
      <c r="AF195" s="1179"/>
      <c r="AG195" s="1179"/>
      <c r="AH195" s="1179"/>
      <c r="AI195" s="1179"/>
      <c r="AJ195" s="1179"/>
      <c r="AK195" s="1179"/>
      <c r="AL195" s="1179"/>
      <c r="AM195" s="1179"/>
      <c r="AN195" s="1179"/>
      <c r="AO195" s="1179"/>
      <c r="AP195" s="2757"/>
      <c r="AX195" s="2689"/>
      <c r="AY195" s="2689"/>
      <c r="AZ195" s="2689"/>
      <c r="BA195" s="2689"/>
      <c r="BB195" s="2689"/>
      <c r="BC195" s="2689"/>
      <c r="BD195" s="2689"/>
      <c r="BG195" s="3013"/>
      <c r="BH195" s="2595"/>
      <c r="BI195" s="2595"/>
      <c r="BJ195" s="2595"/>
      <c r="BK195" s="2595"/>
      <c r="BL195" s="2595"/>
      <c r="BM195" s="2595"/>
      <c r="BN195" s="2595"/>
      <c r="BO195" s="2595"/>
      <c r="BP195" s="2595"/>
    </row>
    <row r="196" spans="1:69" ht="12.75" customHeight="1">
      <c r="A196" s="2757"/>
      <c r="B196" s="1553"/>
      <c r="C196" s="1553"/>
      <c r="D196" s="1553"/>
      <c r="E196" s="1553"/>
      <c r="F196" s="1707" t="s">
        <v>2352</v>
      </c>
      <c r="G196" s="1553"/>
      <c r="H196" s="1553"/>
      <c r="I196" s="1553"/>
      <c r="J196" s="1553"/>
      <c r="K196" s="1553"/>
      <c r="L196" s="1553"/>
      <c r="M196" s="1553"/>
      <c r="N196" s="1553"/>
      <c r="O196" s="1553"/>
      <c r="P196" s="1553"/>
      <c r="Q196" s="1553"/>
      <c r="R196" s="1553"/>
      <c r="S196" s="1553"/>
      <c r="T196" s="1553"/>
      <c r="U196" s="1553"/>
      <c r="V196" s="1553"/>
      <c r="W196" s="1553"/>
      <c r="X196" s="1553"/>
      <c r="Y196" s="1553"/>
      <c r="Z196" s="1553"/>
      <c r="AA196" s="1553"/>
      <c r="AB196" s="1553"/>
      <c r="AC196" s="1553"/>
      <c r="AD196" s="1553"/>
      <c r="AE196" s="1553"/>
      <c r="AF196" s="1553"/>
      <c r="AG196" s="1553"/>
      <c r="AH196" s="1553"/>
      <c r="AI196" s="1553"/>
      <c r="AJ196" s="1553"/>
      <c r="AK196" s="1553"/>
      <c r="AL196" s="1553"/>
      <c r="AM196" s="1553"/>
      <c r="AN196" s="1553"/>
      <c r="AO196" s="1553"/>
      <c r="AP196" s="2757"/>
      <c r="BG196" s="3013"/>
      <c r="BH196" s="2595"/>
      <c r="BI196" s="2595"/>
      <c r="BJ196" s="2595"/>
      <c r="BK196" s="2595"/>
      <c r="BL196" s="2595"/>
      <c r="BM196" s="2595"/>
      <c r="BN196" s="2595"/>
      <c r="BO196" s="2595"/>
      <c r="BP196" s="2595"/>
    </row>
    <row r="197" spans="1:69" ht="18.75" customHeight="1">
      <c r="A197" s="2757"/>
      <c r="B197" s="7250">
        <v>27</v>
      </c>
      <c r="C197" s="6371"/>
      <c r="D197" s="1179"/>
      <c r="E197" s="2686" t="s">
        <v>4046</v>
      </c>
      <c r="F197" s="1276"/>
      <c r="G197" s="1179"/>
      <c r="H197" s="1179"/>
      <c r="I197" s="1179"/>
      <c r="J197" s="1179"/>
      <c r="K197" s="1179"/>
      <c r="L197" s="1179"/>
      <c r="M197" s="1179"/>
      <c r="N197" s="1179"/>
      <c r="O197" s="1179"/>
      <c r="P197" s="1179"/>
      <c r="Q197" s="1179"/>
      <c r="R197" s="1179"/>
      <c r="S197" s="1179"/>
      <c r="T197" s="1179"/>
      <c r="U197" s="1179"/>
      <c r="V197" s="1179"/>
      <c r="W197" s="1179"/>
      <c r="X197" s="1179"/>
      <c r="Y197" s="1179"/>
      <c r="Z197" s="1179"/>
      <c r="AA197" s="1179"/>
      <c r="AB197" s="1179"/>
      <c r="AC197" s="1179"/>
      <c r="AD197" s="1179"/>
      <c r="AE197" s="1179"/>
      <c r="AF197" s="1179"/>
      <c r="AG197" s="1179"/>
      <c r="AH197" s="1179"/>
      <c r="AI197" s="1179"/>
      <c r="AJ197" s="1179"/>
      <c r="AK197" s="1179"/>
      <c r="AL197" s="1179"/>
      <c r="AM197" s="1179"/>
      <c r="AN197" s="1179"/>
      <c r="AO197" s="1179"/>
      <c r="AP197" s="2757"/>
      <c r="BG197" s="3013"/>
      <c r="BH197" s="2595"/>
      <c r="BI197" s="2595"/>
      <c r="BJ197" s="2595"/>
      <c r="BK197" s="2595"/>
      <c r="BL197" s="2595"/>
      <c r="BM197" s="2595"/>
      <c r="BN197" s="2595"/>
      <c r="BO197" s="2595"/>
      <c r="BP197" s="2595"/>
    </row>
    <row r="198" spans="1:69" ht="12.75" customHeight="1">
      <c r="A198" s="2757"/>
      <c r="B198" s="2974"/>
      <c r="C198" s="1699"/>
      <c r="D198" s="1179"/>
      <c r="E198" s="2686" t="s">
        <v>4048</v>
      </c>
      <c r="F198" s="1276"/>
      <c r="G198" s="1179"/>
      <c r="H198" s="1179"/>
      <c r="I198" s="1179"/>
      <c r="J198" s="1179"/>
      <c r="K198" s="1179"/>
      <c r="L198" s="1179"/>
      <c r="M198" s="1179"/>
      <c r="N198" s="1179"/>
      <c r="O198" s="1179"/>
      <c r="P198" s="1179"/>
      <c r="Q198" s="1179"/>
      <c r="R198" s="1179"/>
      <c r="S198" s="1179"/>
      <c r="T198" s="1179"/>
      <c r="U198" s="1179"/>
      <c r="V198" s="1179"/>
      <c r="W198" s="1179"/>
      <c r="X198" s="1179"/>
      <c r="Y198" s="1179"/>
      <c r="Z198" s="1179"/>
      <c r="AA198" s="1179"/>
      <c r="AB198" s="1179"/>
      <c r="AC198" s="1179"/>
      <c r="AD198" s="1179"/>
      <c r="AE198" s="1179"/>
      <c r="AF198" s="1179"/>
      <c r="AG198" s="1179"/>
      <c r="AH198" s="1179"/>
      <c r="AI198" s="1179"/>
      <c r="AJ198" s="1179"/>
      <c r="AK198" s="1179"/>
      <c r="AL198" s="1179"/>
      <c r="AM198" s="1179"/>
      <c r="AN198" s="1179"/>
      <c r="AO198" s="1179"/>
      <c r="AP198" s="2757"/>
      <c r="BG198" s="3013"/>
      <c r="BH198" s="2595"/>
      <c r="BI198" s="2595"/>
      <c r="BJ198" s="2595"/>
      <c r="BK198" s="2595"/>
      <c r="BL198" s="2595"/>
      <c r="BM198" s="2595"/>
      <c r="BN198" s="2595"/>
      <c r="BO198" s="2595"/>
      <c r="BP198" s="2595"/>
    </row>
    <row r="199" spans="1:69" ht="12.75" customHeight="1">
      <c r="A199" s="2757"/>
      <c r="B199" s="1179"/>
      <c r="C199" s="1179"/>
      <c r="D199" s="1179"/>
      <c r="E199" s="2686" t="s">
        <v>4047</v>
      </c>
      <c r="F199" s="1276"/>
      <c r="G199" s="1179"/>
      <c r="H199" s="1179"/>
      <c r="I199" s="1179"/>
      <c r="J199" s="1179"/>
      <c r="K199" s="1179"/>
      <c r="L199" s="1179"/>
      <c r="M199" s="1179"/>
      <c r="N199" s="1179"/>
      <c r="O199" s="1179"/>
      <c r="P199" s="1179"/>
      <c r="Q199" s="1179"/>
      <c r="R199" s="1179"/>
      <c r="S199" s="1179"/>
      <c r="T199" s="1179"/>
      <c r="U199" s="1179"/>
      <c r="V199" s="1179"/>
      <c r="W199" s="1179"/>
      <c r="X199" s="1179"/>
      <c r="Y199" s="1179"/>
      <c r="Z199" s="1179"/>
      <c r="AA199" s="1179"/>
      <c r="AB199" s="1179"/>
      <c r="AC199" s="1179"/>
      <c r="AD199" s="1179"/>
      <c r="AE199" s="1179"/>
      <c r="AF199" s="1179"/>
      <c r="AG199" s="1179"/>
      <c r="AH199" s="1179"/>
      <c r="AI199" s="1179"/>
      <c r="AJ199" s="1180"/>
      <c r="AK199" s="2786" t="s">
        <v>2336</v>
      </c>
      <c r="AL199" s="2335"/>
      <c r="AM199" s="1180"/>
      <c r="AN199" s="2786" t="s">
        <v>511</v>
      </c>
      <c r="AO199" s="2335"/>
      <c r="AP199" s="2757"/>
      <c r="BG199" s="3013"/>
      <c r="BH199" s="2595"/>
      <c r="BI199" s="2595"/>
      <c r="BJ199" s="2595"/>
      <c r="BK199" s="2595"/>
      <c r="BL199" s="2595"/>
      <c r="BM199" s="2595"/>
      <c r="BN199" s="2595"/>
      <c r="BO199" s="2595"/>
      <c r="BP199" s="2595"/>
    </row>
    <row r="200" spans="1:69" ht="4.5" customHeight="1">
      <c r="A200" s="2757"/>
      <c r="B200" s="1553"/>
      <c r="C200" s="1553"/>
      <c r="D200" s="1553"/>
      <c r="E200" s="1553"/>
      <c r="F200" s="1707"/>
      <c r="G200" s="1553"/>
      <c r="H200" s="1553"/>
      <c r="I200" s="1553"/>
      <c r="J200" s="1553"/>
      <c r="K200" s="1553"/>
      <c r="L200" s="1553"/>
      <c r="M200" s="1553"/>
      <c r="N200" s="1553"/>
      <c r="O200" s="1553"/>
      <c r="P200" s="1553"/>
      <c r="Q200" s="1553"/>
      <c r="R200" s="1553"/>
      <c r="S200" s="1553"/>
      <c r="T200" s="1553"/>
      <c r="U200" s="1553"/>
      <c r="V200" s="1553"/>
      <c r="W200" s="1553"/>
      <c r="X200" s="1553"/>
      <c r="Y200" s="1553"/>
      <c r="Z200" s="1553"/>
      <c r="AA200" s="1553"/>
      <c r="AB200" s="1553"/>
      <c r="AC200" s="1553"/>
      <c r="AD200" s="1553"/>
      <c r="AE200" s="1553"/>
      <c r="AF200" s="1553"/>
      <c r="AG200" s="1553"/>
      <c r="AH200" s="1553"/>
      <c r="AI200" s="1553"/>
      <c r="AJ200" s="1553"/>
      <c r="AK200" s="1553"/>
      <c r="AL200" s="1553"/>
      <c r="AM200" s="1553"/>
      <c r="AN200" s="1553"/>
      <c r="AO200" s="1553"/>
      <c r="AP200" s="2757"/>
      <c r="BG200" s="3013"/>
      <c r="BH200" s="2595"/>
      <c r="BI200" s="2595"/>
      <c r="BJ200" s="2595"/>
      <c r="BK200" s="2595"/>
      <c r="BL200" s="2595"/>
      <c r="BM200" s="2595"/>
      <c r="BN200" s="2595"/>
      <c r="BO200" s="2595"/>
      <c r="BP200" s="2595"/>
    </row>
    <row r="201" spans="1:69" ht="12.75" customHeight="1">
      <c r="A201" s="2757"/>
      <c r="B201" s="1179"/>
      <c r="C201" s="1179"/>
      <c r="D201" s="1179"/>
      <c r="E201" s="1179"/>
      <c r="F201" s="1276"/>
      <c r="G201" s="1179"/>
      <c r="H201" s="1179"/>
      <c r="I201" s="1179"/>
      <c r="J201" s="1179"/>
      <c r="K201" s="1179"/>
      <c r="L201" s="1179"/>
      <c r="M201" s="1179"/>
      <c r="N201" s="1179"/>
      <c r="O201" s="7324" t="s">
        <v>2354</v>
      </c>
      <c r="P201" s="7325"/>
      <c r="Q201" s="7325"/>
      <c r="R201" s="7325"/>
      <c r="S201" s="7326"/>
      <c r="T201" s="7324" t="s">
        <v>2355</v>
      </c>
      <c r="U201" s="7325"/>
      <c r="V201" s="7325"/>
      <c r="W201" s="7325"/>
      <c r="X201" s="7326"/>
      <c r="Y201" s="7324" t="s">
        <v>2356</v>
      </c>
      <c r="Z201" s="7325"/>
      <c r="AA201" s="7325"/>
      <c r="AB201" s="7325"/>
      <c r="AC201" s="7325"/>
      <c r="AD201" s="7325"/>
      <c r="AE201" s="7326"/>
      <c r="AF201" s="7324" t="s">
        <v>2358</v>
      </c>
      <c r="AG201" s="7325"/>
      <c r="AH201" s="7325"/>
      <c r="AI201" s="7325"/>
      <c r="AJ201" s="7326"/>
      <c r="AK201" s="7324" t="s">
        <v>2357</v>
      </c>
      <c r="AL201" s="7325"/>
      <c r="AM201" s="7325"/>
      <c r="AN201" s="7325"/>
      <c r="AO201" s="7325"/>
      <c r="AP201" s="2757"/>
      <c r="BG201" s="3013"/>
      <c r="BH201" s="2595"/>
      <c r="BI201" s="2595"/>
      <c r="BJ201" s="2595"/>
      <c r="BK201" s="2595"/>
      <c r="BL201" s="2595"/>
      <c r="BM201" s="2595"/>
      <c r="BN201" s="2595"/>
      <c r="BO201" s="2595"/>
      <c r="BP201" s="2595"/>
    </row>
    <row r="202" spans="1:69" ht="12.75" customHeight="1">
      <c r="A202" s="2757"/>
      <c r="B202" s="7250">
        <v>28</v>
      </c>
      <c r="C202" s="6371"/>
      <c r="D202" s="1179"/>
      <c r="E202" s="1179"/>
      <c r="F202" s="1179"/>
      <c r="G202" s="1179"/>
      <c r="H202" s="1276" t="s">
        <v>2353</v>
      </c>
      <c r="I202" s="1179"/>
      <c r="J202" s="1179"/>
      <c r="K202" s="1179"/>
      <c r="L202" s="1179"/>
      <c r="M202" s="1179"/>
      <c r="N202" s="1179"/>
      <c r="O202" s="7327"/>
      <c r="P202" s="7328"/>
      <c r="Q202" s="7328"/>
      <c r="R202" s="7328"/>
      <c r="S202" s="7329"/>
      <c r="T202" s="7327"/>
      <c r="U202" s="7328"/>
      <c r="V202" s="7328"/>
      <c r="W202" s="7328"/>
      <c r="X202" s="7329"/>
      <c r="Y202" s="7327"/>
      <c r="Z202" s="7328"/>
      <c r="AA202" s="7328"/>
      <c r="AB202" s="7328"/>
      <c r="AC202" s="7328"/>
      <c r="AD202" s="7328"/>
      <c r="AE202" s="7329"/>
      <c r="AF202" s="7327"/>
      <c r="AG202" s="7328"/>
      <c r="AH202" s="7328"/>
      <c r="AI202" s="7328"/>
      <c r="AJ202" s="7329"/>
      <c r="AK202" s="7327"/>
      <c r="AL202" s="7328"/>
      <c r="AM202" s="7328"/>
      <c r="AN202" s="7328"/>
      <c r="AO202" s="7328"/>
      <c r="AP202" s="2757"/>
      <c r="BG202" s="3013"/>
      <c r="BH202" s="2595"/>
      <c r="BI202" s="2595"/>
      <c r="BJ202" s="2595"/>
      <c r="BK202" s="2595"/>
      <c r="BL202" s="2595"/>
      <c r="BM202" s="2595"/>
      <c r="BN202" s="2595"/>
      <c r="BO202" s="2595"/>
      <c r="BP202" s="2595"/>
    </row>
    <row r="203" spans="1:69" ht="12.75" customHeight="1">
      <c r="A203" s="2757"/>
      <c r="B203" s="1553"/>
      <c r="C203" s="1553"/>
      <c r="D203" s="1553"/>
      <c r="E203" s="1553"/>
      <c r="F203" s="1553"/>
      <c r="G203" s="1553"/>
      <c r="H203" s="1553"/>
      <c r="I203" s="1553"/>
      <c r="J203" s="1553"/>
      <c r="K203" s="1553"/>
      <c r="L203" s="1553"/>
      <c r="M203" s="1553"/>
      <c r="N203" s="1553"/>
      <c r="O203" s="7330"/>
      <c r="P203" s="7331"/>
      <c r="Q203" s="7331"/>
      <c r="R203" s="7331"/>
      <c r="S203" s="7332"/>
      <c r="T203" s="7330"/>
      <c r="U203" s="7331"/>
      <c r="V203" s="7331"/>
      <c r="W203" s="7331"/>
      <c r="X203" s="7332"/>
      <c r="Y203" s="7330"/>
      <c r="Z203" s="7331"/>
      <c r="AA203" s="7331"/>
      <c r="AB203" s="7331"/>
      <c r="AC203" s="7331"/>
      <c r="AD203" s="7331"/>
      <c r="AE203" s="7332"/>
      <c r="AF203" s="7330"/>
      <c r="AG203" s="7331"/>
      <c r="AH203" s="7331"/>
      <c r="AI203" s="7331"/>
      <c r="AJ203" s="7332"/>
      <c r="AK203" s="7330"/>
      <c r="AL203" s="7331"/>
      <c r="AM203" s="7331"/>
      <c r="AN203" s="7331"/>
      <c r="AO203" s="7331"/>
      <c r="AP203" s="2757"/>
      <c r="BG203" s="3013"/>
      <c r="BH203" s="2595"/>
      <c r="BI203" s="2595"/>
      <c r="BJ203" s="2595"/>
      <c r="BK203" s="2595"/>
      <c r="BL203" s="2595"/>
      <c r="BM203" s="2595"/>
      <c r="BN203" s="2595"/>
      <c r="BO203" s="2595"/>
      <c r="BP203" s="2595"/>
    </row>
    <row r="204" spans="1:69" ht="13.5" customHeight="1">
      <c r="A204" s="2757"/>
      <c r="B204" s="3123" t="s">
        <v>143</v>
      </c>
      <c r="C204" s="7310"/>
      <c r="D204" s="7311"/>
      <c r="E204" s="7311"/>
      <c r="F204" s="7311"/>
      <c r="G204" s="7311"/>
      <c r="H204" s="7311"/>
      <c r="I204" s="7311"/>
      <c r="J204" s="7311"/>
      <c r="K204" s="7311"/>
      <c r="L204" s="7311"/>
      <c r="M204" s="7311"/>
      <c r="N204" s="7312"/>
      <c r="O204" s="6543"/>
      <c r="P204" s="7313"/>
      <c r="Q204" s="7313"/>
      <c r="R204" s="7313"/>
      <c r="S204" s="7314"/>
      <c r="T204" s="3121"/>
      <c r="U204" s="1554"/>
      <c r="V204" s="1180"/>
      <c r="W204" s="1554"/>
      <c r="X204" s="3122"/>
      <c r="Y204" s="7210"/>
      <c r="Z204" s="7211"/>
      <c r="AA204" s="7211"/>
      <c r="AB204" s="7211"/>
      <c r="AC204" s="7211"/>
      <c r="AD204" s="7211"/>
      <c r="AE204" s="7212"/>
      <c r="AF204" s="3121"/>
      <c r="AG204" s="1554"/>
      <c r="AH204" s="1180"/>
      <c r="AI204" s="1554"/>
      <c r="AJ204" s="3122"/>
      <c r="AK204" s="3121"/>
      <c r="AL204" s="1554"/>
      <c r="AM204" s="1180"/>
      <c r="AN204" s="1554"/>
      <c r="AO204" s="1554"/>
      <c r="AP204" s="2757"/>
      <c r="BG204" s="3013"/>
      <c r="BH204" s="2595"/>
      <c r="BI204" s="2595"/>
      <c r="BJ204" s="2595"/>
      <c r="BK204" s="2595"/>
      <c r="BL204" s="2595"/>
      <c r="BM204" s="2595"/>
      <c r="BN204" s="2595"/>
      <c r="BO204" s="2595"/>
      <c r="BP204" s="2595"/>
    </row>
    <row r="205" spans="1:69" ht="13.5" customHeight="1">
      <c r="A205" s="2757"/>
      <c r="B205" s="3123" t="s">
        <v>288</v>
      </c>
      <c r="C205" s="7310"/>
      <c r="D205" s="7311"/>
      <c r="E205" s="7311"/>
      <c r="F205" s="7311"/>
      <c r="G205" s="7311"/>
      <c r="H205" s="7311"/>
      <c r="I205" s="7311"/>
      <c r="J205" s="7311"/>
      <c r="K205" s="7311"/>
      <c r="L205" s="7311"/>
      <c r="M205" s="7311"/>
      <c r="N205" s="7312"/>
      <c r="O205" s="6543"/>
      <c r="P205" s="7313"/>
      <c r="Q205" s="7313"/>
      <c r="R205" s="7313"/>
      <c r="S205" s="7314"/>
      <c r="T205" s="3121"/>
      <c r="U205" s="1554"/>
      <c r="V205" s="1180"/>
      <c r="W205" s="1554"/>
      <c r="X205" s="3122"/>
      <c r="Y205" s="7210"/>
      <c r="Z205" s="7211"/>
      <c r="AA205" s="7211"/>
      <c r="AB205" s="7211"/>
      <c r="AC205" s="7211"/>
      <c r="AD205" s="7211"/>
      <c r="AE205" s="7212"/>
      <c r="AF205" s="3121"/>
      <c r="AG205" s="1554"/>
      <c r="AH205" s="1180"/>
      <c r="AI205" s="1554"/>
      <c r="AJ205" s="3122"/>
      <c r="AK205" s="3121"/>
      <c r="AL205" s="1554"/>
      <c r="AM205" s="1180"/>
      <c r="AN205" s="1554"/>
      <c r="AO205" s="1554"/>
      <c r="AP205" s="2757"/>
      <c r="BG205" s="3013"/>
      <c r="BH205" s="2595"/>
      <c r="BI205" s="2595"/>
      <c r="BJ205" s="2595"/>
      <c r="BK205" s="2595"/>
      <c r="BL205" s="2595"/>
      <c r="BM205" s="2595"/>
      <c r="BN205" s="2595"/>
      <c r="BO205" s="2595"/>
      <c r="BP205" s="2595"/>
    </row>
    <row r="206" spans="1:69" ht="13.5" customHeight="1">
      <c r="A206" s="2757"/>
      <c r="B206" s="3123" t="s">
        <v>144</v>
      </c>
      <c r="C206" s="7310"/>
      <c r="D206" s="7311"/>
      <c r="E206" s="7311"/>
      <c r="F206" s="7311"/>
      <c r="G206" s="7311"/>
      <c r="H206" s="7311"/>
      <c r="I206" s="7311"/>
      <c r="J206" s="7311"/>
      <c r="K206" s="7311"/>
      <c r="L206" s="7311"/>
      <c r="M206" s="7311"/>
      <c r="N206" s="7312"/>
      <c r="O206" s="6543"/>
      <c r="P206" s="7313"/>
      <c r="Q206" s="7313"/>
      <c r="R206" s="7313"/>
      <c r="S206" s="7314"/>
      <c r="T206" s="3121"/>
      <c r="U206" s="1554"/>
      <c r="V206" s="1180"/>
      <c r="W206" s="1554"/>
      <c r="X206" s="3122"/>
      <c r="Y206" s="7210"/>
      <c r="Z206" s="7211"/>
      <c r="AA206" s="7211"/>
      <c r="AB206" s="7211"/>
      <c r="AC206" s="7211"/>
      <c r="AD206" s="7211"/>
      <c r="AE206" s="7212"/>
      <c r="AF206" s="3121"/>
      <c r="AG206" s="1554"/>
      <c r="AH206" s="1180"/>
      <c r="AI206" s="1554"/>
      <c r="AJ206" s="3122"/>
      <c r="AK206" s="3121"/>
      <c r="AL206" s="1554"/>
      <c r="AM206" s="1180"/>
      <c r="AN206" s="1554"/>
      <c r="AO206" s="1554"/>
      <c r="AP206" s="2757"/>
      <c r="BG206" s="3013"/>
      <c r="BH206" s="2595"/>
      <c r="BI206" s="2595"/>
      <c r="BJ206" s="2595"/>
      <c r="BK206" s="2595"/>
      <c r="BL206" s="2595"/>
      <c r="BM206" s="2595"/>
      <c r="BN206" s="2595"/>
      <c r="BO206" s="2595"/>
      <c r="BP206" s="2595"/>
    </row>
    <row r="207" spans="1:69" ht="13.5" customHeight="1">
      <c r="A207" s="2757"/>
      <c r="B207" s="3123" t="s">
        <v>290</v>
      </c>
      <c r="C207" s="7310"/>
      <c r="D207" s="7311"/>
      <c r="E207" s="7311"/>
      <c r="F207" s="7311"/>
      <c r="G207" s="7311"/>
      <c r="H207" s="7311"/>
      <c r="I207" s="7311"/>
      <c r="J207" s="7311"/>
      <c r="K207" s="7311"/>
      <c r="L207" s="7311"/>
      <c r="M207" s="7311"/>
      <c r="N207" s="7312"/>
      <c r="O207" s="6543"/>
      <c r="P207" s="7313"/>
      <c r="Q207" s="7313"/>
      <c r="R207" s="7313"/>
      <c r="S207" s="7314"/>
      <c r="T207" s="3121"/>
      <c r="U207" s="1554"/>
      <c r="V207" s="1180"/>
      <c r="W207" s="1554"/>
      <c r="X207" s="3122"/>
      <c r="Y207" s="7210"/>
      <c r="Z207" s="7211"/>
      <c r="AA207" s="7211"/>
      <c r="AB207" s="7211"/>
      <c r="AC207" s="7211"/>
      <c r="AD207" s="7211"/>
      <c r="AE207" s="7212"/>
      <c r="AF207" s="3121"/>
      <c r="AG207" s="1554"/>
      <c r="AH207" s="1180"/>
      <c r="AI207" s="1554"/>
      <c r="AJ207" s="3122"/>
      <c r="AK207" s="3121"/>
      <c r="AL207" s="1554"/>
      <c r="AM207" s="1180"/>
      <c r="AN207" s="1554"/>
      <c r="AO207" s="1554"/>
      <c r="AP207" s="2757"/>
      <c r="BG207" s="3013"/>
      <c r="BH207" s="2595"/>
      <c r="BI207" s="2595"/>
      <c r="BJ207" s="2595"/>
      <c r="BK207" s="2595"/>
      <c r="BL207" s="2595"/>
      <c r="BM207" s="2595"/>
      <c r="BN207" s="2595"/>
      <c r="BO207" s="2595"/>
      <c r="BP207" s="2595"/>
    </row>
    <row r="208" spans="1:69" ht="17.25" customHeight="1">
      <c r="A208" s="2757"/>
      <c r="B208" s="7196" t="s">
        <v>679</v>
      </c>
      <c r="C208" s="7315"/>
      <c r="D208" s="7315"/>
      <c r="E208" s="7315"/>
      <c r="F208" s="7315"/>
      <c r="G208" s="7315"/>
      <c r="H208" s="7315"/>
      <c r="I208" s="7315"/>
      <c r="J208" s="7315"/>
      <c r="K208" s="7315"/>
      <c r="L208" s="7315"/>
      <c r="M208" s="7315"/>
      <c r="N208" s="7315"/>
      <c r="O208" s="7315"/>
      <c r="P208" s="7315"/>
      <c r="Q208" s="7315"/>
      <c r="R208" s="6672"/>
      <c r="S208" s="7287" t="s">
        <v>680</v>
      </c>
      <c r="T208" s="7316"/>
      <c r="U208" s="7316"/>
      <c r="V208" s="7316"/>
      <c r="W208" s="7316"/>
      <c r="X208" s="7316"/>
      <c r="Y208" s="7316"/>
      <c r="Z208" s="7316"/>
      <c r="AA208" s="7316"/>
      <c r="AB208" s="7316"/>
      <c r="AC208" s="7316"/>
      <c r="AD208" s="7316"/>
      <c r="AE208" s="7316"/>
      <c r="AF208" s="7316"/>
      <c r="AG208" s="7316"/>
      <c r="AH208" s="7316"/>
      <c r="AI208" s="7316"/>
      <c r="AJ208" s="7316"/>
      <c r="AK208" s="7316"/>
      <c r="AL208" s="7316"/>
      <c r="AM208" s="7316"/>
      <c r="AN208" s="7316"/>
      <c r="AO208" s="7316"/>
      <c r="AP208" s="2757"/>
      <c r="BG208" s="3013"/>
      <c r="BH208" s="2595"/>
      <c r="BI208" s="2595"/>
      <c r="BJ208" s="2595"/>
      <c r="BK208" s="2595"/>
      <c r="BL208" s="2595"/>
      <c r="BM208" s="2595"/>
      <c r="BN208" s="2595"/>
      <c r="BO208" s="2595"/>
      <c r="BP208" s="2595"/>
    </row>
    <row r="209" spans="1:69" ht="12.75" customHeight="1">
      <c r="A209" s="2757"/>
      <c r="B209" s="1574"/>
      <c r="C209" s="7317" t="s">
        <v>2359</v>
      </c>
      <c r="D209" s="7242"/>
      <c r="E209" s="7242"/>
      <c r="F209" s="7242"/>
      <c r="G209" s="7242"/>
      <c r="H209" s="7242"/>
      <c r="I209" s="7242"/>
      <c r="J209" s="7243"/>
      <c r="K209" s="7241" t="s">
        <v>2360</v>
      </c>
      <c r="L209" s="7242"/>
      <c r="M209" s="7242"/>
      <c r="N209" s="7242"/>
      <c r="O209" s="7242"/>
      <c r="P209" s="7242"/>
      <c r="Q209" s="7242"/>
      <c r="R209" s="7242"/>
      <c r="S209" s="7318" t="s">
        <v>3498</v>
      </c>
      <c r="T209" s="7242"/>
      <c r="U209" s="7242"/>
      <c r="V209" s="7242"/>
      <c r="W209" s="7242"/>
      <c r="X209" s="7242"/>
      <c r="Y209" s="7243"/>
      <c r="Z209" s="7241" t="s">
        <v>2361</v>
      </c>
      <c r="AA209" s="7242"/>
      <c r="AB209" s="7242"/>
      <c r="AC209" s="7242"/>
      <c r="AD209" s="7242"/>
      <c r="AE209" s="7242"/>
      <c r="AF209" s="7242"/>
      <c r="AG209" s="7243"/>
      <c r="AH209" s="7241" t="s">
        <v>2362</v>
      </c>
      <c r="AI209" s="7242"/>
      <c r="AJ209" s="7242"/>
      <c r="AK209" s="7242"/>
      <c r="AL209" s="7242"/>
      <c r="AM209" s="7242"/>
      <c r="AN209" s="7242"/>
      <c r="AO209" s="7242"/>
      <c r="AP209" s="2757"/>
      <c r="BG209" s="3013"/>
      <c r="BH209" s="2595"/>
      <c r="BI209" s="2595"/>
      <c r="BJ209" s="2595"/>
      <c r="BK209" s="2595"/>
      <c r="BL209" s="2595"/>
      <c r="BM209" s="2595"/>
      <c r="BN209" s="2595"/>
      <c r="BO209" s="2595"/>
      <c r="BP209" s="2595"/>
    </row>
    <row r="210" spans="1:69" ht="12.75" customHeight="1">
      <c r="A210" s="2757"/>
      <c r="B210" s="1179"/>
      <c r="C210" s="7245"/>
      <c r="D210" s="7245"/>
      <c r="E210" s="7245"/>
      <c r="F210" s="7245"/>
      <c r="G210" s="7245"/>
      <c r="H210" s="7245"/>
      <c r="I210" s="7245"/>
      <c r="J210" s="7246"/>
      <c r="K210" s="7244"/>
      <c r="L210" s="7245"/>
      <c r="M210" s="7245"/>
      <c r="N210" s="7245"/>
      <c r="O210" s="7245"/>
      <c r="P210" s="7245"/>
      <c r="Q210" s="7245"/>
      <c r="R210" s="7245"/>
      <c r="S210" s="7319"/>
      <c r="T210" s="7245"/>
      <c r="U210" s="7245"/>
      <c r="V210" s="7245"/>
      <c r="W210" s="7245"/>
      <c r="X210" s="7245"/>
      <c r="Y210" s="7246"/>
      <c r="Z210" s="7244"/>
      <c r="AA210" s="7245"/>
      <c r="AB210" s="7245"/>
      <c r="AC210" s="7245"/>
      <c r="AD210" s="7245"/>
      <c r="AE210" s="7245"/>
      <c r="AF210" s="7245"/>
      <c r="AG210" s="7246"/>
      <c r="AH210" s="7244"/>
      <c r="AI210" s="7245"/>
      <c r="AJ210" s="7245"/>
      <c r="AK210" s="7245"/>
      <c r="AL210" s="7245"/>
      <c r="AM210" s="7245"/>
      <c r="AN210" s="7245"/>
      <c r="AO210" s="7245"/>
      <c r="AP210" s="2757"/>
      <c r="BG210" s="3013"/>
      <c r="BH210" s="2595"/>
      <c r="BI210" s="2595"/>
      <c r="BJ210" s="2595"/>
      <c r="BK210" s="2595"/>
      <c r="BL210" s="2595"/>
      <c r="BM210" s="2595"/>
      <c r="BN210" s="2595"/>
      <c r="BO210" s="2595"/>
      <c r="BP210" s="2595"/>
    </row>
    <row r="211" spans="1:69" ht="12.75" customHeight="1">
      <c r="A211" s="2757"/>
      <c r="B211" s="1553"/>
      <c r="C211" s="7248"/>
      <c r="D211" s="7248"/>
      <c r="E211" s="7248"/>
      <c r="F211" s="7248"/>
      <c r="G211" s="7248"/>
      <c r="H211" s="7248"/>
      <c r="I211" s="7248"/>
      <c r="J211" s="7249"/>
      <c r="K211" s="7247"/>
      <c r="L211" s="7248"/>
      <c r="M211" s="7248"/>
      <c r="N211" s="7248"/>
      <c r="O211" s="7248"/>
      <c r="P211" s="7248"/>
      <c r="Q211" s="7248"/>
      <c r="R211" s="7248"/>
      <c r="S211" s="7320"/>
      <c r="T211" s="7248"/>
      <c r="U211" s="7248"/>
      <c r="V211" s="7248"/>
      <c r="W211" s="7248"/>
      <c r="X211" s="7248"/>
      <c r="Y211" s="7249"/>
      <c r="Z211" s="7247"/>
      <c r="AA211" s="7248"/>
      <c r="AB211" s="7248"/>
      <c r="AC211" s="7248"/>
      <c r="AD211" s="7248"/>
      <c r="AE211" s="7248"/>
      <c r="AF211" s="7248"/>
      <c r="AG211" s="7249"/>
      <c r="AH211" s="7247"/>
      <c r="AI211" s="7248"/>
      <c r="AJ211" s="7248"/>
      <c r="AK211" s="7248"/>
      <c r="AL211" s="7248"/>
      <c r="AM211" s="7248"/>
      <c r="AN211" s="7248"/>
      <c r="AO211" s="7248"/>
      <c r="AP211" s="2757"/>
      <c r="BG211" s="3013"/>
      <c r="BH211" s="2595"/>
      <c r="BI211" s="2595"/>
      <c r="BJ211" s="2595"/>
      <c r="BK211" s="2595"/>
      <c r="BL211" s="2595"/>
      <c r="BM211" s="2595"/>
      <c r="BN211" s="2595"/>
      <c r="BO211" s="2595"/>
      <c r="BP211" s="2595"/>
    </row>
    <row r="212" spans="1:69" ht="13.5" customHeight="1">
      <c r="A212" s="2757"/>
      <c r="B212" s="3124" t="s">
        <v>143</v>
      </c>
      <c r="C212" s="7214"/>
      <c r="D212" s="7215"/>
      <c r="E212" s="7215"/>
      <c r="F212" s="7215"/>
      <c r="G212" s="7215"/>
      <c r="H212" s="7215"/>
      <c r="I212" s="7215"/>
      <c r="J212" s="7216"/>
      <c r="K212" s="7214"/>
      <c r="L212" s="7215"/>
      <c r="M212" s="7215"/>
      <c r="N212" s="7215"/>
      <c r="O212" s="7215"/>
      <c r="P212" s="7215"/>
      <c r="Q212" s="7215"/>
      <c r="R212" s="7309"/>
      <c r="S212" s="7214"/>
      <c r="T212" s="7215"/>
      <c r="U212" s="7215"/>
      <c r="V212" s="7215"/>
      <c r="W212" s="7215"/>
      <c r="X212" s="7215"/>
      <c r="Y212" s="7215"/>
      <c r="Z212" s="7214"/>
      <c r="AA212" s="7215"/>
      <c r="AB212" s="7215"/>
      <c r="AC212" s="7215"/>
      <c r="AD212" s="7215"/>
      <c r="AE212" s="7215"/>
      <c r="AF212" s="7215"/>
      <c r="AG212" s="7216"/>
      <c r="AH212" s="7214"/>
      <c r="AI212" s="7215"/>
      <c r="AJ212" s="7215"/>
      <c r="AK212" s="7215"/>
      <c r="AL212" s="7215"/>
      <c r="AM212" s="7215"/>
      <c r="AN212" s="7215"/>
      <c r="AO212" s="7215"/>
      <c r="AP212" s="2757"/>
      <c r="BG212" s="3013"/>
      <c r="BH212" s="2595"/>
      <c r="BI212" s="2595"/>
      <c r="BJ212" s="2595"/>
      <c r="BK212" s="2595"/>
      <c r="BL212" s="2595"/>
      <c r="BM212" s="2595"/>
      <c r="BN212" s="2595"/>
      <c r="BO212" s="2595"/>
      <c r="BP212" s="2595"/>
    </row>
    <row r="213" spans="1:69" ht="13.5" customHeight="1">
      <c r="A213" s="2757"/>
      <c r="B213" s="3123" t="s">
        <v>288</v>
      </c>
      <c r="C213" s="7214"/>
      <c r="D213" s="7215"/>
      <c r="E213" s="7215"/>
      <c r="F213" s="7215"/>
      <c r="G213" s="7215"/>
      <c r="H213" s="7215"/>
      <c r="I213" s="7215"/>
      <c r="J213" s="7216"/>
      <c r="K213" s="7214"/>
      <c r="L213" s="7215"/>
      <c r="M213" s="7215"/>
      <c r="N213" s="7215"/>
      <c r="O213" s="7215"/>
      <c r="P213" s="7215"/>
      <c r="Q213" s="7215"/>
      <c r="R213" s="7309"/>
      <c r="S213" s="7214"/>
      <c r="T213" s="7215"/>
      <c r="U213" s="7215"/>
      <c r="V213" s="7215"/>
      <c r="W213" s="7215"/>
      <c r="X213" s="7215"/>
      <c r="Y213" s="7215"/>
      <c r="Z213" s="7214"/>
      <c r="AA213" s="7215"/>
      <c r="AB213" s="7215"/>
      <c r="AC213" s="7215"/>
      <c r="AD213" s="7215"/>
      <c r="AE213" s="7215"/>
      <c r="AF213" s="7215"/>
      <c r="AG213" s="7216"/>
      <c r="AH213" s="7214"/>
      <c r="AI213" s="7215"/>
      <c r="AJ213" s="7215"/>
      <c r="AK213" s="7215"/>
      <c r="AL213" s="7215"/>
      <c r="AM213" s="7215"/>
      <c r="AN213" s="7215"/>
      <c r="AO213" s="7215"/>
      <c r="AP213" s="2757"/>
      <c r="BG213" s="3013"/>
      <c r="BH213" s="2595"/>
      <c r="BI213" s="2595"/>
      <c r="BJ213" s="2595"/>
      <c r="BK213" s="2595"/>
      <c r="BL213" s="2595"/>
      <c r="BM213" s="2595"/>
      <c r="BN213" s="2595"/>
      <c r="BO213" s="2595"/>
      <c r="BP213" s="2595"/>
    </row>
    <row r="214" spans="1:69" ht="13.5" customHeight="1">
      <c r="A214" s="2757"/>
      <c r="B214" s="3123" t="s">
        <v>144</v>
      </c>
      <c r="C214" s="7214"/>
      <c r="D214" s="7215"/>
      <c r="E214" s="7215"/>
      <c r="F214" s="7215"/>
      <c r="G214" s="7215"/>
      <c r="H214" s="7215"/>
      <c r="I214" s="7215"/>
      <c r="J214" s="7216"/>
      <c r="K214" s="7214"/>
      <c r="L214" s="7215"/>
      <c r="M214" s="7215"/>
      <c r="N214" s="7215"/>
      <c r="O214" s="7215"/>
      <c r="P214" s="7215"/>
      <c r="Q214" s="7215"/>
      <c r="R214" s="7309"/>
      <c r="S214" s="7214"/>
      <c r="T214" s="7215"/>
      <c r="U214" s="7215"/>
      <c r="V214" s="7215"/>
      <c r="W214" s="7215"/>
      <c r="X214" s="7215"/>
      <c r="Y214" s="7215"/>
      <c r="Z214" s="7214"/>
      <c r="AA214" s="7215"/>
      <c r="AB214" s="7215"/>
      <c r="AC214" s="7215"/>
      <c r="AD214" s="7215"/>
      <c r="AE214" s="7215"/>
      <c r="AF214" s="7215"/>
      <c r="AG214" s="7216"/>
      <c r="AH214" s="7214"/>
      <c r="AI214" s="7215"/>
      <c r="AJ214" s="7215"/>
      <c r="AK214" s="7215"/>
      <c r="AL214" s="7215"/>
      <c r="AM214" s="7215"/>
      <c r="AN214" s="7215"/>
      <c r="AO214" s="7215"/>
      <c r="AP214" s="2757"/>
      <c r="BG214" s="3013"/>
      <c r="BH214" s="2595"/>
      <c r="BI214" s="2595"/>
      <c r="BJ214" s="2595"/>
      <c r="BK214" s="2595"/>
      <c r="BL214" s="2595"/>
      <c r="BM214" s="2595"/>
      <c r="BN214" s="2595"/>
      <c r="BO214" s="2595"/>
      <c r="BP214" s="2595"/>
    </row>
    <row r="215" spans="1:69" ht="13.5" customHeight="1">
      <c r="A215" s="2757"/>
      <c r="B215" s="3123" t="s">
        <v>290</v>
      </c>
      <c r="C215" s="7214"/>
      <c r="D215" s="7215"/>
      <c r="E215" s="7215"/>
      <c r="F215" s="7215"/>
      <c r="G215" s="7215"/>
      <c r="H215" s="7215"/>
      <c r="I215" s="7215"/>
      <c r="J215" s="7216"/>
      <c r="K215" s="7214"/>
      <c r="L215" s="7215"/>
      <c r="M215" s="7215"/>
      <c r="N215" s="7215"/>
      <c r="O215" s="7215"/>
      <c r="P215" s="7215"/>
      <c r="Q215" s="7215"/>
      <c r="R215" s="7309"/>
      <c r="S215" s="7214"/>
      <c r="T215" s="7215"/>
      <c r="U215" s="7215"/>
      <c r="V215" s="7215"/>
      <c r="W215" s="7215"/>
      <c r="X215" s="7215"/>
      <c r="Y215" s="7215"/>
      <c r="Z215" s="7214"/>
      <c r="AA215" s="7215"/>
      <c r="AB215" s="7215"/>
      <c r="AC215" s="7215"/>
      <c r="AD215" s="7215"/>
      <c r="AE215" s="7215"/>
      <c r="AF215" s="7215"/>
      <c r="AG215" s="7216"/>
      <c r="AH215" s="7214"/>
      <c r="AI215" s="7215"/>
      <c r="AJ215" s="7215"/>
      <c r="AK215" s="7215"/>
      <c r="AL215" s="7215"/>
      <c r="AM215" s="7215"/>
      <c r="AN215" s="7215"/>
      <c r="AO215" s="7215"/>
      <c r="AP215" s="2757"/>
      <c r="BG215" s="3013"/>
      <c r="BH215" s="2595"/>
      <c r="BI215" s="2595"/>
      <c r="BJ215" s="2595"/>
      <c r="BK215" s="2595"/>
      <c r="BL215" s="2595"/>
      <c r="BM215" s="2595"/>
      <c r="BN215" s="2595"/>
      <c r="BO215" s="2595"/>
      <c r="BP215" s="2595"/>
    </row>
    <row r="216" spans="1:69" ht="13.5" customHeight="1">
      <c r="A216" s="2757"/>
      <c r="B216" s="7196" t="s">
        <v>1662</v>
      </c>
      <c r="C216" s="7196"/>
      <c r="D216" s="3490"/>
      <c r="E216" s="3490" t="s">
        <v>2363</v>
      </c>
      <c r="F216" s="1190"/>
      <c r="G216" s="3020"/>
      <c r="H216" s="3020"/>
      <c r="I216" s="3020"/>
      <c r="J216" s="1191"/>
      <c r="K216" s="7251">
        <f>ROUND(SUM(K212:K215),0)</f>
        <v>0</v>
      </c>
      <c r="L216" s="7252"/>
      <c r="M216" s="7252"/>
      <c r="N216" s="7252"/>
      <c r="O216" s="7252"/>
      <c r="P216" s="7252"/>
      <c r="Q216" s="7252"/>
      <c r="R216" s="7253"/>
      <c r="S216" s="7297"/>
      <c r="T216" s="7298"/>
      <c r="U216" s="7298"/>
      <c r="V216" s="7298"/>
      <c r="W216" s="7298"/>
      <c r="X216" s="7298"/>
      <c r="Y216" s="7298"/>
      <c r="Z216" s="3020"/>
      <c r="AA216" s="3020"/>
      <c r="AB216" s="3020"/>
      <c r="AC216" s="3020"/>
      <c r="AD216" s="3020"/>
      <c r="AE216" s="3020"/>
      <c r="AF216" s="3020"/>
      <c r="AG216" s="1191"/>
      <c r="AH216" s="7218">
        <f>ROUND(SUM(AH212:AH215),0)</f>
        <v>0</v>
      </c>
      <c r="AI216" s="7299"/>
      <c r="AJ216" s="7299"/>
      <c r="AK216" s="7299"/>
      <c r="AL216" s="7299"/>
      <c r="AM216" s="7299"/>
      <c r="AN216" s="7299"/>
      <c r="AO216" s="7299"/>
      <c r="AP216" s="2757"/>
      <c r="BG216" s="3013"/>
      <c r="BH216" s="2595"/>
      <c r="BI216" s="2595"/>
      <c r="BJ216" s="2595"/>
      <c r="BK216" s="2595"/>
      <c r="BL216" s="2595"/>
      <c r="BM216" s="2595"/>
      <c r="BN216" s="2595"/>
      <c r="BO216" s="2595"/>
      <c r="BP216" s="2595"/>
    </row>
    <row r="217" spans="1:69" ht="13.5" customHeight="1">
      <c r="A217" s="2757"/>
      <c r="B217" s="7254" t="s">
        <v>47</v>
      </c>
      <c r="C217" s="7254"/>
      <c r="D217" s="2686"/>
      <c r="E217" s="3490" t="s">
        <v>2363</v>
      </c>
      <c r="F217" s="7218">
        <f>ROUND(SUM(C212:C215),0)</f>
        <v>0</v>
      </c>
      <c r="G217" s="7299"/>
      <c r="H217" s="7299"/>
      <c r="I217" s="7299"/>
      <c r="J217" s="7300"/>
      <c r="K217" s="7301"/>
      <c r="L217" s="7302"/>
      <c r="M217" s="7302"/>
      <c r="N217" s="7302"/>
      <c r="O217" s="7302"/>
      <c r="P217" s="7302"/>
      <c r="Q217" s="7302"/>
      <c r="R217" s="7303"/>
      <c r="S217" s="7304">
        <f>ROUND(SUM(S212:S215),0)</f>
        <v>0</v>
      </c>
      <c r="T217" s="7252"/>
      <c r="U217" s="7252"/>
      <c r="V217" s="7252"/>
      <c r="W217" s="7252"/>
      <c r="X217" s="7252"/>
      <c r="Y217" s="7305"/>
      <c r="Z217" s="7306">
        <f>ROUND(SUM(Z212:Z215),0)</f>
        <v>0</v>
      </c>
      <c r="AA217" s="7306"/>
      <c r="AB217" s="7306"/>
      <c r="AC217" s="7306"/>
      <c r="AD217" s="7306"/>
      <c r="AE217" s="7306"/>
      <c r="AF217" s="7306"/>
      <c r="AG217" s="7306"/>
      <c r="AH217" s="7307"/>
      <c r="AI217" s="7307"/>
      <c r="AJ217" s="7307"/>
      <c r="AK217" s="7307"/>
      <c r="AL217" s="7307"/>
      <c r="AM217" s="7307"/>
      <c r="AN217" s="7307"/>
      <c r="AO217" s="7308"/>
      <c r="AP217" s="2757"/>
      <c r="BG217" s="3013"/>
      <c r="BH217" s="2595"/>
      <c r="BI217" s="2595"/>
      <c r="BJ217" s="2595"/>
      <c r="BK217" s="2595"/>
      <c r="BL217" s="2595"/>
      <c r="BM217" s="2595"/>
      <c r="BN217" s="2595"/>
      <c r="BO217" s="2595"/>
      <c r="BP217" s="2595"/>
    </row>
    <row r="218" spans="1:69" ht="12.75" customHeight="1">
      <c r="A218" s="2757"/>
      <c r="B218" s="7191">
        <v>30</v>
      </c>
      <c r="C218" s="7191"/>
      <c r="D218" s="2686" t="s">
        <v>2364</v>
      </c>
      <c r="E218" s="1179"/>
      <c r="F218" s="1179"/>
      <c r="G218" s="1179"/>
      <c r="H218" s="1179"/>
      <c r="I218" s="1179"/>
      <c r="J218" s="1179"/>
      <c r="K218" s="1179"/>
      <c r="L218" s="1179"/>
      <c r="M218" s="1179"/>
      <c r="N218" s="1179"/>
      <c r="O218" s="1179"/>
      <c r="P218" s="1179"/>
      <c r="Q218" s="1179"/>
      <c r="R218" s="1179"/>
      <c r="S218" s="1179"/>
      <c r="T218" s="1179"/>
      <c r="U218" s="1179"/>
      <c r="V218" s="1179"/>
      <c r="W218" s="1179"/>
      <c r="X218" s="1179"/>
      <c r="Y218" s="1179"/>
      <c r="Z218" s="1179"/>
      <c r="AA218" s="1179"/>
      <c r="AB218" s="1179"/>
      <c r="AC218" s="1179"/>
      <c r="AD218" s="1179"/>
      <c r="AE218" s="3489" t="s">
        <v>428</v>
      </c>
      <c r="AF218" s="7288">
        <v>30</v>
      </c>
      <c r="AG218" s="7289"/>
      <c r="AH218" s="7224">
        <f>SUM(K216,AH216)</f>
        <v>0</v>
      </c>
      <c r="AI218" s="7290"/>
      <c r="AJ218" s="7290"/>
      <c r="AK218" s="7290"/>
      <c r="AL218" s="7290"/>
      <c r="AM218" s="7290"/>
      <c r="AN218" s="7290"/>
      <c r="AO218" s="7290"/>
      <c r="AP218" s="2757"/>
      <c r="AQ218" s="385"/>
      <c r="AR218" s="385"/>
      <c r="AS218" s="385"/>
      <c r="BG218" s="3013"/>
      <c r="BH218" s="2595"/>
      <c r="BI218" s="2595"/>
      <c r="BJ218" s="2595"/>
      <c r="BK218" s="2595"/>
      <c r="BL218" s="2595"/>
      <c r="BM218" s="2595"/>
      <c r="BN218" s="2595"/>
      <c r="BO218" s="2595"/>
      <c r="BP218" s="2595"/>
    </row>
    <row r="219" spans="1:69" ht="12.75" customHeight="1" thickBot="1">
      <c r="A219" s="2757"/>
      <c r="B219" s="7191">
        <v>31</v>
      </c>
      <c r="C219" s="7191"/>
      <c r="D219" s="2686" t="s">
        <v>2365</v>
      </c>
      <c r="E219" s="1179"/>
      <c r="F219" s="1179"/>
      <c r="G219" s="1179"/>
      <c r="H219" s="1179"/>
      <c r="I219" s="1179"/>
      <c r="J219" s="1179"/>
      <c r="K219" s="1179"/>
      <c r="L219" s="1179"/>
      <c r="M219" s="1179"/>
      <c r="N219" s="1179"/>
      <c r="O219" s="1179"/>
      <c r="P219" s="1179"/>
      <c r="Q219" s="1179"/>
      <c r="R219" s="1179"/>
      <c r="S219" s="1179"/>
      <c r="T219" s="1179"/>
      <c r="U219" s="1179"/>
      <c r="V219" s="1179"/>
      <c r="W219" s="1179"/>
      <c r="X219" s="1179"/>
      <c r="Y219" s="1179"/>
      <c r="Z219" s="1179"/>
      <c r="AA219" s="1179"/>
      <c r="AB219" s="1179"/>
      <c r="AC219" s="1179"/>
      <c r="AD219" s="1179"/>
      <c r="AE219" s="3489" t="s">
        <v>94</v>
      </c>
      <c r="AF219" s="7288">
        <v>31</v>
      </c>
      <c r="AG219" s="7289"/>
      <c r="AH219" s="3494" t="s">
        <v>916</v>
      </c>
      <c r="AI219" s="7291">
        <f>SUM(F217,S217,Z217)</f>
        <v>0</v>
      </c>
      <c r="AJ219" s="7141"/>
      <c r="AK219" s="7141"/>
      <c r="AL219" s="7141"/>
      <c r="AM219" s="7141"/>
      <c r="AN219" s="7141"/>
      <c r="AO219" s="3495" t="s">
        <v>917</v>
      </c>
      <c r="AP219" s="2757"/>
      <c r="AQ219" s="385"/>
      <c r="AR219" s="2410" t="s">
        <v>91</v>
      </c>
      <c r="AS219" s="385"/>
      <c r="BG219" s="3013"/>
      <c r="BH219" s="2595"/>
      <c r="BI219" s="2595"/>
      <c r="BJ219" s="2595"/>
      <c r="BK219" s="2595"/>
      <c r="BL219" s="2595"/>
      <c r="BM219" s="2595"/>
      <c r="BN219" s="2595"/>
      <c r="BO219" s="2595"/>
      <c r="BP219" s="2595"/>
    </row>
    <row r="220" spans="1:69" ht="12.75" customHeight="1" thickBot="1">
      <c r="A220" s="2757"/>
      <c r="B220" s="7292">
        <v>32</v>
      </c>
      <c r="C220" s="7292"/>
      <c r="D220" s="4231" t="s">
        <v>2366</v>
      </c>
      <c r="E220" s="1280"/>
      <c r="F220" s="1280"/>
      <c r="G220" s="1280"/>
      <c r="H220" s="1280"/>
      <c r="I220" s="1280"/>
      <c r="J220" s="1280"/>
      <c r="K220" s="1280"/>
      <c r="L220" s="1280"/>
      <c r="M220" s="1280"/>
      <c r="N220" s="1280"/>
      <c r="O220" s="1280"/>
      <c r="P220" s="1280"/>
      <c r="Q220" s="1280"/>
      <c r="R220" s="1280"/>
      <c r="S220" s="1280"/>
      <c r="T220" s="1280"/>
      <c r="U220" s="1280"/>
      <c r="V220" s="1280"/>
      <c r="W220" s="1280"/>
      <c r="X220" s="1280"/>
      <c r="Y220" s="1280"/>
      <c r="Z220" s="1280"/>
      <c r="AA220" s="1280"/>
      <c r="AB220" s="1280"/>
      <c r="AC220" s="1280"/>
      <c r="AD220" s="1280"/>
      <c r="AE220" s="3491" t="s">
        <v>697</v>
      </c>
      <c r="AF220" s="7293">
        <v>32</v>
      </c>
      <c r="AG220" s="7294"/>
      <c r="AH220" s="7295">
        <f>IF(AR220&lt;&gt;"",ROUND(AR220,0),SUM(AH218,-AI219))</f>
        <v>0</v>
      </c>
      <c r="AI220" s="7296"/>
      <c r="AJ220" s="7296"/>
      <c r="AK220" s="7296"/>
      <c r="AL220" s="7296"/>
      <c r="AM220" s="7296"/>
      <c r="AN220" s="7296"/>
      <c r="AO220" s="7296"/>
      <c r="AP220" s="2757"/>
      <c r="AQ220" s="385"/>
      <c r="AR220" s="3141"/>
      <c r="AS220" s="385"/>
      <c r="BG220" s="3013"/>
      <c r="BH220" s="2595"/>
      <c r="BI220" s="2595"/>
      <c r="BJ220" s="2595"/>
      <c r="BK220" s="2595"/>
      <c r="BL220" s="2595"/>
      <c r="BM220" s="2595"/>
      <c r="BN220" s="2595"/>
      <c r="BO220" s="2595"/>
      <c r="BP220" s="2595"/>
    </row>
    <row r="221" spans="1:69" s="2689" customFormat="1" ht="17.25" customHeight="1">
      <c r="A221" s="2758"/>
      <c r="B221" s="7274" t="s">
        <v>319</v>
      </c>
      <c r="C221" s="7274"/>
      <c r="D221" s="7275"/>
      <c r="E221" s="1397"/>
      <c r="F221" s="3493" t="s">
        <v>2367</v>
      </c>
      <c r="G221" s="1397"/>
      <c r="H221" s="1397"/>
      <c r="I221" s="1397"/>
      <c r="J221" s="1397"/>
      <c r="K221" s="1397"/>
      <c r="L221" s="1397"/>
      <c r="M221" s="1397"/>
      <c r="N221" s="1397"/>
      <c r="O221" s="1397"/>
      <c r="P221" s="1397"/>
      <c r="Q221" s="1397"/>
      <c r="R221" s="1397"/>
      <c r="S221" s="1397"/>
      <c r="T221" s="1397"/>
      <c r="U221" s="1397"/>
      <c r="V221" s="1397"/>
      <c r="W221" s="1397"/>
      <c r="X221" s="2791"/>
      <c r="Y221" s="1397"/>
      <c r="Z221" s="1397"/>
      <c r="AA221" s="1397"/>
      <c r="AB221" s="1397"/>
      <c r="AC221" s="1397"/>
      <c r="AD221" s="1397"/>
      <c r="AE221" s="1397"/>
      <c r="AF221" s="1397"/>
      <c r="AG221" s="1397"/>
      <c r="AH221" s="1397"/>
      <c r="AI221" s="1397"/>
      <c r="AJ221" s="1397"/>
      <c r="AK221" s="1397"/>
      <c r="AL221" s="1397"/>
      <c r="AM221" s="1397"/>
      <c r="AN221" s="1397"/>
      <c r="AO221" s="1397"/>
      <c r="AP221" s="2757"/>
      <c r="AQ221" s="385"/>
      <c r="AR221" s="385"/>
      <c r="AS221" s="385"/>
      <c r="AX221" s="42"/>
      <c r="AY221" s="42"/>
      <c r="AZ221" s="42"/>
      <c r="BA221" s="42"/>
      <c r="BB221" s="42"/>
      <c r="BC221" s="42"/>
      <c r="BD221" s="42"/>
      <c r="BG221" s="3013"/>
      <c r="BH221" s="2595"/>
      <c r="BI221" s="2595"/>
      <c r="BJ221" s="2595"/>
      <c r="BK221" s="2595"/>
      <c r="BL221" s="2595"/>
      <c r="BM221" s="2595"/>
      <c r="BN221" s="2595"/>
      <c r="BO221" s="2595"/>
      <c r="BP221" s="2595"/>
      <c r="BQ221" s="3402"/>
    </row>
    <row r="222" spans="1:69" ht="12.75" customHeight="1">
      <c r="A222" s="2757"/>
      <c r="B222" s="1574"/>
      <c r="C222" s="1574"/>
      <c r="D222" s="1574"/>
      <c r="E222" s="1574"/>
      <c r="F222" s="1574"/>
      <c r="G222" s="1574"/>
      <c r="H222" s="1574"/>
      <c r="I222" s="1574"/>
      <c r="J222" s="1574"/>
      <c r="K222" s="1574"/>
      <c r="L222" s="1574"/>
      <c r="M222" s="1574"/>
      <c r="N222" s="1574"/>
      <c r="O222" s="1574"/>
      <c r="P222" s="1574"/>
      <c r="Q222" s="1574"/>
      <c r="R222" s="1574"/>
      <c r="S222" s="1574"/>
      <c r="T222" s="1574"/>
      <c r="U222" s="1574"/>
      <c r="V222" s="1574"/>
      <c r="W222" s="1574"/>
      <c r="X222" s="1574"/>
      <c r="Y222" s="1574"/>
      <c r="Z222" s="1574"/>
      <c r="AA222" s="1574"/>
      <c r="AB222" s="1574"/>
      <c r="AC222" s="1574"/>
      <c r="AD222" s="1574"/>
      <c r="AE222" s="1574"/>
      <c r="AF222" s="1574"/>
      <c r="AG222" s="1575"/>
      <c r="AH222" s="7241" t="s">
        <v>2368</v>
      </c>
      <c r="AI222" s="7276"/>
      <c r="AJ222" s="7276"/>
      <c r="AK222" s="7276"/>
      <c r="AL222" s="7276"/>
      <c r="AM222" s="7276"/>
      <c r="AN222" s="7276"/>
      <c r="AO222" s="7276"/>
      <c r="AP222" s="2757"/>
      <c r="BG222" s="3013"/>
      <c r="BH222" s="2595"/>
      <c r="BI222" s="2595"/>
      <c r="BJ222" s="2595"/>
      <c r="BK222" s="2595"/>
      <c r="BL222" s="2595"/>
      <c r="BM222" s="2595"/>
      <c r="BN222" s="2595"/>
      <c r="BO222" s="2595"/>
      <c r="BP222" s="2595"/>
    </row>
    <row r="223" spans="1:69" ht="12.75" customHeight="1">
      <c r="A223" s="2757"/>
      <c r="B223" s="7250">
        <v>33</v>
      </c>
      <c r="C223" s="6371"/>
      <c r="D223" s="1179"/>
      <c r="E223" s="1179"/>
      <c r="F223" s="1179"/>
      <c r="G223" s="1179"/>
      <c r="H223" s="1179"/>
      <c r="I223" s="1179"/>
      <c r="J223" s="1179"/>
      <c r="K223" s="1179"/>
      <c r="L223" s="1179"/>
      <c r="M223" s="1179"/>
      <c r="N223" s="1179"/>
      <c r="O223" s="1179"/>
      <c r="P223" s="1276" t="s">
        <v>2353</v>
      </c>
      <c r="Q223" s="1179"/>
      <c r="R223" s="1179"/>
      <c r="S223" s="1179"/>
      <c r="T223" s="1179"/>
      <c r="U223" s="1179"/>
      <c r="V223" s="1179"/>
      <c r="W223" s="1179"/>
      <c r="X223" s="1179"/>
      <c r="Y223" s="1179"/>
      <c r="Z223" s="1179"/>
      <c r="AA223" s="1179"/>
      <c r="AB223" s="1179"/>
      <c r="AC223" s="1179"/>
      <c r="AD223" s="1179"/>
      <c r="AE223" s="1179"/>
      <c r="AF223" s="1179"/>
      <c r="AG223" s="1583"/>
      <c r="AH223" s="7277"/>
      <c r="AI223" s="7179"/>
      <c r="AJ223" s="7179"/>
      <c r="AK223" s="7179"/>
      <c r="AL223" s="7179"/>
      <c r="AM223" s="7179"/>
      <c r="AN223" s="7179"/>
      <c r="AO223" s="7179"/>
      <c r="AP223" s="2757"/>
      <c r="AX223" s="2689"/>
      <c r="AY223" s="2689"/>
      <c r="AZ223" s="2689"/>
      <c r="BA223" s="2689"/>
      <c r="BB223" s="2689"/>
      <c r="BC223" s="2689"/>
      <c r="BD223" s="2689"/>
      <c r="BG223" s="3013"/>
      <c r="BH223" s="2595"/>
      <c r="BI223" s="2595"/>
      <c r="BJ223" s="2595"/>
      <c r="BK223" s="2595"/>
      <c r="BL223" s="2595"/>
      <c r="BM223" s="2595"/>
      <c r="BN223" s="2595"/>
      <c r="BO223" s="2595"/>
      <c r="BP223" s="2595"/>
    </row>
    <row r="224" spans="1:69" ht="12.75" customHeight="1">
      <c r="A224" s="2757"/>
      <c r="B224" s="1553"/>
      <c r="C224" s="1553"/>
      <c r="D224" s="1553"/>
      <c r="E224" s="1553"/>
      <c r="F224" s="1553"/>
      <c r="G224" s="1553"/>
      <c r="H224" s="1553"/>
      <c r="I224" s="1553"/>
      <c r="J224" s="1553"/>
      <c r="K224" s="1553"/>
      <c r="L224" s="1553"/>
      <c r="M224" s="1553"/>
      <c r="N224" s="1553"/>
      <c r="O224" s="1553"/>
      <c r="P224" s="1553"/>
      <c r="Q224" s="1553"/>
      <c r="R224" s="1553"/>
      <c r="S224" s="1553"/>
      <c r="T224" s="1553"/>
      <c r="U224" s="1553"/>
      <c r="V224" s="1553"/>
      <c r="W224" s="1553"/>
      <c r="X224" s="1553"/>
      <c r="Y224" s="1553"/>
      <c r="Z224" s="1553"/>
      <c r="AA224" s="1553"/>
      <c r="AB224" s="1553"/>
      <c r="AC224" s="1553"/>
      <c r="AD224" s="1553"/>
      <c r="AE224" s="1553"/>
      <c r="AF224" s="1553"/>
      <c r="AG224" s="3008"/>
      <c r="AH224" s="7278"/>
      <c r="AI224" s="6763"/>
      <c r="AJ224" s="6763"/>
      <c r="AK224" s="6763"/>
      <c r="AL224" s="6763"/>
      <c r="AM224" s="6763"/>
      <c r="AN224" s="6763"/>
      <c r="AO224" s="6763"/>
      <c r="AP224" s="2757"/>
      <c r="BG224" s="3013"/>
      <c r="BH224" s="2595"/>
      <c r="BI224" s="2595"/>
      <c r="BJ224" s="2595"/>
      <c r="BK224" s="2595"/>
      <c r="BL224" s="2595"/>
      <c r="BM224" s="2595"/>
      <c r="BN224" s="2595"/>
      <c r="BO224" s="2595"/>
      <c r="BP224" s="2595"/>
    </row>
    <row r="225" spans="1:69" ht="13.5" customHeight="1">
      <c r="A225" s="2757"/>
      <c r="B225" s="3124" t="s">
        <v>143</v>
      </c>
      <c r="C225" s="7279"/>
      <c r="D225" s="7280"/>
      <c r="E225" s="7280"/>
      <c r="F225" s="7280"/>
      <c r="G225" s="7280"/>
      <c r="H225" s="7280"/>
      <c r="I225" s="7280"/>
      <c r="J225" s="7280"/>
      <c r="K225" s="7281"/>
      <c r="L225" s="7281"/>
      <c r="M225" s="7281"/>
      <c r="N225" s="7281"/>
      <c r="O225" s="7281"/>
      <c r="P225" s="7281"/>
      <c r="Q225" s="7281"/>
      <c r="R225" s="7281"/>
      <c r="S225" s="7281"/>
      <c r="T225" s="7281"/>
      <c r="U225" s="7281"/>
      <c r="V225" s="7281"/>
      <c r="W225" s="7281"/>
      <c r="X225" s="7281"/>
      <c r="Y225" s="7281"/>
      <c r="Z225" s="7281"/>
      <c r="AA225" s="7281"/>
      <c r="AB225" s="7281"/>
      <c r="AC225" s="7281"/>
      <c r="AD225" s="7281"/>
      <c r="AE225" s="7281"/>
      <c r="AF225" s="7281"/>
      <c r="AG225" s="7282"/>
      <c r="AH225" s="7283"/>
      <c r="AI225" s="7284"/>
      <c r="AJ225" s="7284"/>
      <c r="AK225" s="7284"/>
      <c r="AL225" s="7284"/>
      <c r="AM225" s="7284"/>
      <c r="AN225" s="7284"/>
      <c r="AO225" s="7284"/>
      <c r="AP225" s="2757"/>
      <c r="BG225" s="3013"/>
      <c r="BH225" s="2595"/>
      <c r="BI225" s="2595"/>
      <c r="BJ225" s="2595"/>
      <c r="BK225" s="2595"/>
      <c r="BL225" s="2595"/>
      <c r="BM225" s="2595"/>
      <c r="BN225" s="2595"/>
      <c r="BO225" s="2595"/>
      <c r="BP225" s="2595"/>
    </row>
    <row r="226" spans="1:69" ht="13.5" customHeight="1">
      <c r="A226" s="2757"/>
      <c r="B226" s="3123" t="s">
        <v>288</v>
      </c>
      <c r="C226" s="7279"/>
      <c r="D226" s="7280"/>
      <c r="E226" s="7280"/>
      <c r="F226" s="7280"/>
      <c r="G226" s="7280"/>
      <c r="H226" s="7280"/>
      <c r="I226" s="7280"/>
      <c r="J226" s="7280"/>
      <c r="K226" s="7281"/>
      <c r="L226" s="7281"/>
      <c r="M226" s="7281"/>
      <c r="N226" s="7281"/>
      <c r="O226" s="7281"/>
      <c r="P226" s="7281"/>
      <c r="Q226" s="7281"/>
      <c r="R226" s="7281"/>
      <c r="S226" s="7281"/>
      <c r="T226" s="7281"/>
      <c r="U226" s="7281"/>
      <c r="V226" s="7281"/>
      <c r="W226" s="7281"/>
      <c r="X226" s="7281"/>
      <c r="Y226" s="7281"/>
      <c r="Z226" s="7281"/>
      <c r="AA226" s="7281"/>
      <c r="AB226" s="7281"/>
      <c r="AC226" s="7281"/>
      <c r="AD226" s="7281"/>
      <c r="AE226" s="7281"/>
      <c r="AF226" s="7281"/>
      <c r="AG226" s="7282"/>
      <c r="AH226" s="7283"/>
      <c r="AI226" s="7284"/>
      <c r="AJ226" s="7284"/>
      <c r="AK226" s="7284"/>
      <c r="AL226" s="7284"/>
      <c r="AM226" s="7284"/>
      <c r="AN226" s="7284"/>
      <c r="AO226" s="7284"/>
      <c r="AP226" s="2757"/>
      <c r="BG226" s="3013"/>
      <c r="BH226" s="2595"/>
      <c r="BI226" s="2595"/>
      <c r="BJ226" s="2595"/>
      <c r="BK226" s="2595"/>
      <c r="BL226" s="2595"/>
      <c r="BM226" s="2595"/>
      <c r="BN226" s="2595"/>
      <c r="BO226" s="2595"/>
      <c r="BP226" s="2595"/>
    </row>
    <row r="227" spans="1:69" ht="17.25" customHeight="1">
      <c r="A227" s="2757"/>
      <c r="B227" s="7285" t="s">
        <v>679</v>
      </c>
      <c r="C227" s="6206"/>
      <c r="D227" s="6206"/>
      <c r="E227" s="6206"/>
      <c r="F227" s="6206"/>
      <c r="G227" s="6206"/>
      <c r="H227" s="6206"/>
      <c r="I227" s="6206"/>
      <c r="J227" s="6206"/>
      <c r="K227" s="6206"/>
      <c r="L227" s="6206"/>
      <c r="M227" s="6206"/>
      <c r="N227" s="6206"/>
      <c r="O227" s="6206"/>
      <c r="P227" s="6206"/>
      <c r="Q227" s="6206"/>
      <c r="R227" s="6206"/>
      <c r="S227" s="6206"/>
      <c r="T227" s="6206"/>
      <c r="U227" s="6206"/>
      <c r="V227" s="6206"/>
      <c r="W227" s="6206"/>
      <c r="X227" s="7286"/>
      <c r="Y227" s="7287" t="s">
        <v>680</v>
      </c>
      <c r="Z227" s="6206"/>
      <c r="AA227" s="6206"/>
      <c r="AB227" s="6206"/>
      <c r="AC227" s="6206"/>
      <c r="AD227" s="6206"/>
      <c r="AE227" s="6206"/>
      <c r="AF227" s="6206"/>
      <c r="AG227" s="6206"/>
      <c r="AH227" s="6206"/>
      <c r="AI227" s="6206"/>
      <c r="AJ227" s="6206"/>
      <c r="AK227" s="6206"/>
      <c r="AL227" s="6206"/>
      <c r="AM227" s="6206"/>
      <c r="AN227" s="6206"/>
      <c r="AO227" s="6206"/>
      <c r="AP227" s="2757"/>
      <c r="BG227" s="3013"/>
      <c r="BH227" s="2595"/>
      <c r="BI227" s="2595"/>
      <c r="BJ227" s="2595"/>
      <c r="BK227" s="2595"/>
      <c r="BL227" s="2595"/>
      <c r="BM227" s="2595"/>
      <c r="BN227" s="2595"/>
      <c r="BO227" s="2595"/>
      <c r="BP227" s="2595"/>
    </row>
    <row r="228" spans="1:69" ht="12.75" customHeight="1">
      <c r="A228" s="2757"/>
      <c r="B228" s="7257" t="s">
        <v>2372</v>
      </c>
      <c r="C228" s="6720"/>
      <c r="D228" s="6720"/>
      <c r="E228" s="6720"/>
      <c r="F228" s="6720"/>
      <c r="G228" s="6720"/>
      <c r="H228" s="6720"/>
      <c r="I228" s="6720"/>
      <c r="J228" s="6720"/>
      <c r="K228" s="6720"/>
      <c r="L228" s="6720"/>
      <c r="M228" s="6720"/>
      <c r="N228" s="7258"/>
      <c r="O228" s="7261" t="s">
        <v>2370</v>
      </c>
      <c r="P228" s="6869"/>
      <c r="Q228" s="6869"/>
      <c r="R228" s="6869"/>
      <c r="S228" s="6869"/>
      <c r="T228" s="6869"/>
      <c r="U228" s="6869"/>
      <c r="V228" s="6869"/>
      <c r="W228" s="6869"/>
      <c r="X228" s="6869"/>
      <c r="Y228" s="7266" t="s">
        <v>2369</v>
      </c>
      <c r="Z228" s="6720"/>
      <c r="AA228" s="6720"/>
      <c r="AB228" s="6720"/>
      <c r="AC228" s="6720"/>
      <c r="AD228" s="6720"/>
      <c r="AE228" s="6720"/>
      <c r="AF228" s="6720"/>
      <c r="AG228" s="7258"/>
      <c r="AH228" s="7261" t="s">
        <v>2371</v>
      </c>
      <c r="AI228" s="6869"/>
      <c r="AJ228" s="6869"/>
      <c r="AK228" s="6869"/>
      <c r="AL228" s="6869"/>
      <c r="AM228" s="6869"/>
      <c r="AN228" s="6869"/>
      <c r="AO228" s="6869"/>
      <c r="AP228" s="2757"/>
      <c r="BG228" s="3013"/>
      <c r="BH228" s="2595"/>
      <c r="BI228" s="2595"/>
      <c r="BJ228" s="2595"/>
      <c r="BK228" s="2595"/>
      <c r="BL228" s="2595"/>
      <c r="BM228" s="2595"/>
      <c r="BN228" s="2595"/>
      <c r="BO228" s="2595"/>
      <c r="BP228" s="2595"/>
    </row>
    <row r="229" spans="1:69" ht="12.75" customHeight="1">
      <c r="A229" s="2757"/>
      <c r="B229" s="6618"/>
      <c r="C229" s="6618"/>
      <c r="D229" s="6618"/>
      <c r="E229" s="6618"/>
      <c r="F229" s="6618"/>
      <c r="G229" s="6618"/>
      <c r="H229" s="6618"/>
      <c r="I229" s="6618"/>
      <c r="J229" s="6618"/>
      <c r="K229" s="6618"/>
      <c r="L229" s="6618"/>
      <c r="M229" s="6618"/>
      <c r="N229" s="7259"/>
      <c r="O229" s="7262"/>
      <c r="P229" s="7263"/>
      <c r="Q229" s="7263"/>
      <c r="R229" s="7263"/>
      <c r="S229" s="7263"/>
      <c r="T229" s="7263"/>
      <c r="U229" s="7263"/>
      <c r="V229" s="7263"/>
      <c r="W229" s="7263"/>
      <c r="X229" s="7263"/>
      <c r="Y229" s="6721"/>
      <c r="Z229" s="6618"/>
      <c r="AA229" s="6618"/>
      <c r="AB229" s="6618"/>
      <c r="AC229" s="6618"/>
      <c r="AD229" s="6618"/>
      <c r="AE229" s="6618"/>
      <c r="AF229" s="6618"/>
      <c r="AG229" s="7259"/>
      <c r="AH229" s="7262"/>
      <c r="AI229" s="7263"/>
      <c r="AJ229" s="7263"/>
      <c r="AK229" s="7263"/>
      <c r="AL229" s="7263"/>
      <c r="AM229" s="7263"/>
      <c r="AN229" s="7263"/>
      <c r="AO229" s="7263"/>
      <c r="AP229" s="2757"/>
      <c r="BG229" s="3013"/>
      <c r="BH229" s="2595"/>
      <c r="BI229" s="2595"/>
      <c r="BJ229" s="2595"/>
      <c r="BK229" s="2595"/>
      <c r="BL229" s="2595"/>
      <c r="BM229" s="2595"/>
      <c r="BN229" s="2595"/>
      <c r="BO229" s="2595"/>
      <c r="BP229" s="2595"/>
    </row>
    <row r="230" spans="1:69" ht="12.75" customHeight="1">
      <c r="A230" s="2757"/>
      <c r="B230" s="6616"/>
      <c r="C230" s="6616"/>
      <c r="D230" s="6616"/>
      <c r="E230" s="6616"/>
      <c r="F230" s="6616"/>
      <c r="G230" s="6616"/>
      <c r="H230" s="6616"/>
      <c r="I230" s="6616"/>
      <c r="J230" s="6616"/>
      <c r="K230" s="6616"/>
      <c r="L230" s="6616"/>
      <c r="M230" s="6616"/>
      <c r="N230" s="7260"/>
      <c r="O230" s="7264"/>
      <c r="P230" s="7265"/>
      <c r="Q230" s="7265"/>
      <c r="R230" s="7265"/>
      <c r="S230" s="7265"/>
      <c r="T230" s="7265"/>
      <c r="U230" s="7265"/>
      <c r="V230" s="7265"/>
      <c r="W230" s="7265"/>
      <c r="X230" s="7265"/>
      <c r="Y230" s="7267"/>
      <c r="Z230" s="6616"/>
      <c r="AA230" s="6616"/>
      <c r="AB230" s="6616"/>
      <c r="AC230" s="6616"/>
      <c r="AD230" s="6616"/>
      <c r="AE230" s="6616"/>
      <c r="AF230" s="6616"/>
      <c r="AG230" s="7260"/>
      <c r="AH230" s="7264"/>
      <c r="AI230" s="7265"/>
      <c r="AJ230" s="7265"/>
      <c r="AK230" s="7265"/>
      <c r="AL230" s="7265"/>
      <c r="AM230" s="7265"/>
      <c r="AN230" s="7265"/>
      <c r="AO230" s="7265"/>
      <c r="AP230" s="2757"/>
      <c r="BG230" s="3013"/>
      <c r="BH230" s="2595"/>
      <c r="BI230" s="2595"/>
      <c r="BJ230" s="2595"/>
      <c r="BK230" s="2595"/>
      <c r="BL230" s="2595"/>
      <c r="BM230" s="2595"/>
      <c r="BN230" s="2595"/>
      <c r="BO230" s="2595"/>
      <c r="BP230" s="2595"/>
    </row>
    <row r="231" spans="1:69" ht="13.5" customHeight="1">
      <c r="A231" s="2757"/>
      <c r="B231" s="3124" t="s">
        <v>143</v>
      </c>
      <c r="C231" s="7199"/>
      <c r="D231" s="7200"/>
      <c r="E231" s="7200"/>
      <c r="F231" s="7200"/>
      <c r="G231" s="7200"/>
      <c r="H231" s="7200"/>
      <c r="I231" s="7200"/>
      <c r="J231" s="7200"/>
      <c r="K231" s="7200"/>
      <c r="L231" s="7200"/>
      <c r="M231" s="7200"/>
      <c r="N231" s="7268"/>
      <c r="O231" s="7269"/>
      <c r="P231" s="7270"/>
      <c r="Q231" s="7270"/>
      <c r="R231" s="7270"/>
      <c r="S231" s="7270"/>
      <c r="T231" s="7270"/>
      <c r="U231" s="7270"/>
      <c r="V231" s="7270"/>
      <c r="W231" s="7270"/>
      <c r="X231" s="7271"/>
      <c r="Y231" s="7272"/>
      <c r="Z231" s="7273"/>
      <c r="AA231" s="7273"/>
      <c r="AB231" s="7273"/>
      <c r="AC231" s="7273"/>
      <c r="AD231" s="7273"/>
      <c r="AE231" s="7273"/>
      <c r="AF231" s="7273"/>
      <c r="AG231" s="7273"/>
      <c r="AH231" s="7273"/>
      <c r="AI231" s="7273"/>
      <c r="AJ231" s="7273"/>
      <c r="AK231" s="7273"/>
      <c r="AL231" s="7273"/>
      <c r="AM231" s="7273"/>
      <c r="AN231" s="7273"/>
      <c r="AO231" s="7269"/>
      <c r="AP231" s="2757"/>
      <c r="BG231" s="3013"/>
      <c r="BH231" s="2595"/>
      <c r="BI231" s="2595"/>
      <c r="BJ231" s="2595"/>
      <c r="BK231" s="2595"/>
      <c r="BL231" s="2595"/>
      <c r="BM231" s="2595"/>
      <c r="BN231" s="2595"/>
      <c r="BO231" s="2595"/>
      <c r="BP231" s="2595"/>
    </row>
    <row r="232" spans="1:69" ht="13.5" customHeight="1">
      <c r="A232" s="2757"/>
      <c r="B232" s="3124" t="s">
        <v>288</v>
      </c>
      <c r="C232" s="7199"/>
      <c r="D232" s="7200"/>
      <c r="E232" s="7200"/>
      <c r="F232" s="7200"/>
      <c r="G232" s="7200"/>
      <c r="H232" s="7200"/>
      <c r="I232" s="7200"/>
      <c r="J232" s="7200"/>
      <c r="K232" s="7200"/>
      <c r="L232" s="7200"/>
      <c r="M232" s="7200"/>
      <c r="N232" s="7268"/>
      <c r="O232" s="7269"/>
      <c r="P232" s="7270"/>
      <c r="Q232" s="7270"/>
      <c r="R232" s="7270"/>
      <c r="S232" s="7270"/>
      <c r="T232" s="7270"/>
      <c r="U232" s="7270"/>
      <c r="V232" s="7270"/>
      <c r="W232" s="7270"/>
      <c r="X232" s="7271"/>
      <c r="Y232" s="7272"/>
      <c r="Z232" s="7273"/>
      <c r="AA232" s="7273"/>
      <c r="AB232" s="7273"/>
      <c r="AC232" s="7273"/>
      <c r="AD232" s="7273"/>
      <c r="AE232" s="7273"/>
      <c r="AF232" s="7273"/>
      <c r="AG232" s="7273"/>
      <c r="AH232" s="7273"/>
      <c r="AI232" s="7273"/>
      <c r="AJ232" s="7273"/>
      <c r="AK232" s="7273"/>
      <c r="AL232" s="7273"/>
      <c r="AM232" s="7273"/>
      <c r="AN232" s="7273"/>
      <c r="AO232" s="7269"/>
      <c r="AP232" s="2757"/>
      <c r="BG232" s="3013"/>
      <c r="BH232" s="2595"/>
      <c r="BI232" s="2595"/>
      <c r="BJ232" s="2595"/>
      <c r="BK232" s="2595"/>
      <c r="BL232" s="2595"/>
      <c r="BM232" s="2595"/>
      <c r="BN232" s="2595"/>
      <c r="BO232" s="2595"/>
      <c r="BP232" s="2595"/>
    </row>
    <row r="233" spans="1:69" ht="13.5" customHeight="1">
      <c r="A233" s="2757"/>
      <c r="B233" s="7196" t="s">
        <v>2373</v>
      </c>
      <c r="C233" s="7196"/>
      <c r="D233" s="2686" t="s">
        <v>2363</v>
      </c>
      <c r="E233" s="1179"/>
      <c r="F233" s="1190"/>
      <c r="G233" s="3020"/>
      <c r="H233" s="3020"/>
      <c r="I233" s="3020"/>
      <c r="J233" s="3020"/>
      <c r="K233" s="3020"/>
      <c r="L233" s="3020"/>
      <c r="M233" s="3020"/>
      <c r="N233" s="1191"/>
      <c r="O233" s="7251">
        <f>ROUND(SUM(O231:O232),0)</f>
        <v>0</v>
      </c>
      <c r="P233" s="7252"/>
      <c r="Q233" s="7252"/>
      <c r="R233" s="7252"/>
      <c r="S233" s="7252"/>
      <c r="T233" s="7252"/>
      <c r="U233" s="7252"/>
      <c r="V233" s="7252"/>
      <c r="W233" s="7252"/>
      <c r="X233" s="7253"/>
      <c r="Y233" s="3125"/>
      <c r="Z233" s="3020"/>
      <c r="AA233" s="3020"/>
      <c r="AB233" s="3020"/>
      <c r="AC233" s="3020"/>
      <c r="AD233" s="3020"/>
      <c r="AE233" s="3020"/>
      <c r="AF233" s="3020"/>
      <c r="AG233" s="1191"/>
      <c r="AH233" s="7218">
        <f>ROUND(SUM(AH231:AH232),0)</f>
        <v>0</v>
      </c>
      <c r="AI233" s="7219"/>
      <c r="AJ233" s="7219"/>
      <c r="AK233" s="7219"/>
      <c r="AL233" s="7219"/>
      <c r="AM233" s="7219"/>
      <c r="AN233" s="7219"/>
      <c r="AO233" s="7219"/>
      <c r="AP233" s="2757"/>
      <c r="BG233" s="3013"/>
      <c r="BH233" s="2595"/>
      <c r="BI233" s="2595"/>
      <c r="BJ233" s="2595"/>
      <c r="BK233" s="2595"/>
      <c r="BL233" s="2595"/>
      <c r="BM233" s="2595"/>
      <c r="BN233" s="2595"/>
      <c r="BO233" s="2595"/>
      <c r="BP233" s="2595"/>
    </row>
    <row r="234" spans="1:69" ht="13.5" customHeight="1">
      <c r="A234" s="2757"/>
      <c r="B234" s="7254" t="s">
        <v>47</v>
      </c>
      <c r="C234" s="7254"/>
      <c r="D234" s="2686" t="s">
        <v>2363</v>
      </c>
      <c r="E234" s="1179"/>
      <c r="F234" s="7218">
        <f>ROUND(SUM(C231:C232),0)</f>
        <v>0</v>
      </c>
      <c r="G234" s="7255"/>
      <c r="H234" s="7255"/>
      <c r="I234" s="7255"/>
      <c r="J234" s="7255"/>
      <c r="K234" s="7255"/>
      <c r="L234" s="7255"/>
      <c r="M234" s="7255"/>
      <c r="N234" s="7256"/>
      <c r="O234" s="3126"/>
      <c r="P234" s="3005"/>
      <c r="Q234" s="3005"/>
      <c r="R234" s="3005"/>
      <c r="S234" s="3005"/>
      <c r="T234" s="3005"/>
      <c r="U234" s="3005"/>
      <c r="V234" s="3005"/>
      <c r="W234" s="3005"/>
      <c r="X234" s="3127"/>
      <c r="Y234" s="7218">
        <f>ROUND(SUM(Y231:Y232),0)</f>
        <v>0</v>
      </c>
      <c r="Z234" s="7255"/>
      <c r="AA234" s="7255"/>
      <c r="AB234" s="7255"/>
      <c r="AC234" s="7255"/>
      <c r="AD234" s="7255"/>
      <c r="AE234" s="7255"/>
      <c r="AF234" s="7255"/>
      <c r="AG234" s="7256"/>
      <c r="AH234" s="1190"/>
      <c r="AI234" s="3020"/>
      <c r="AJ234" s="3020"/>
      <c r="AK234" s="3020"/>
      <c r="AL234" s="3020"/>
      <c r="AM234" s="3020"/>
      <c r="AN234" s="3020"/>
      <c r="AO234" s="3020"/>
      <c r="AP234" s="2757"/>
      <c r="BG234" s="3013"/>
      <c r="BH234" s="2595"/>
      <c r="BI234" s="2595"/>
      <c r="BJ234" s="2595"/>
      <c r="BK234" s="2595"/>
      <c r="BL234" s="2595"/>
      <c r="BM234" s="2595"/>
      <c r="BN234" s="2595"/>
      <c r="BO234" s="2595"/>
      <c r="BP234" s="2595"/>
    </row>
    <row r="235" spans="1:69" ht="13.5" customHeight="1">
      <c r="A235" s="2757"/>
      <c r="B235" s="7191">
        <v>35</v>
      </c>
      <c r="C235" s="7191"/>
      <c r="D235" s="2686" t="s">
        <v>2374</v>
      </c>
      <c r="E235" s="1179"/>
      <c r="F235" s="1179"/>
      <c r="G235" s="1179"/>
      <c r="H235" s="1179"/>
      <c r="I235" s="1179"/>
      <c r="J235" s="1179"/>
      <c r="K235" s="1179"/>
      <c r="L235" s="1179"/>
      <c r="M235" s="1179"/>
      <c r="N235" s="1179"/>
      <c r="O235" s="1179"/>
      <c r="P235" s="1179"/>
      <c r="Q235" s="1179"/>
      <c r="R235" s="1179"/>
      <c r="S235" s="1179"/>
      <c r="T235" s="1179"/>
      <c r="U235" s="1179"/>
      <c r="V235" s="1179"/>
      <c r="W235" s="1179"/>
      <c r="X235" s="1179"/>
      <c r="Y235" s="1179"/>
      <c r="Z235" s="1179"/>
      <c r="AA235" s="1179"/>
      <c r="AB235" s="1179"/>
      <c r="AC235" s="1179"/>
      <c r="AD235" s="1179"/>
      <c r="AE235" s="1179"/>
      <c r="AF235" s="1179"/>
      <c r="AG235" s="3489" t="s">
        <v>633</v>
      </c>
      <c r="AH235" s="7197">
        <v>35</v>
      </c>
      <c r="AI235" s="7222"/>
      <c r="AJ235" s="7224">
        <f>SUM(O233,AH233)</f>
        <v>0</v>
      </c>
      <c r="AK235" s="7225"/>
      <c r="AL235" s="7225"/>
      <c r="AM235" s="7225"/>
      <c r="AN235" s="7225"/>
      <c r="AO235" s="7225"/>
      <c r="AP235" s="2757"/>
      <c r="BG235" s="3013"/>
      <c r="BH235" s="2595"/>
      <c r="BI235" s="2595"/>
      <c r="BJ235" s="2595"/>
      <c r="BK235" s="2595"/>
      <c r="BL235" s="2595"/>
      <c r="BM235" s="2595"/>
      <c r="BN235" s="2595"/>
      <c r="BO235" s="2595"/>
      <c r="BP235" s="2595"/>
    </row>
    <row r="236" spans="1:69" ht="13.5" customHeight="1">
      <c r="A236" s="2757"/>
      <c r="B236" s="7191">
        <v>36</v>
      </c>
      <c r="C236" s="7191"/>
      <c r="D236" s="2686" t="s">
        <v>2375</v>
      </c>
      <c r="E236" s="1179"/>
      <c r="F236" s="1179"/>
      <c r="G236" s="1179"/>
      <c r="H236" s="1179"/>
      <c r="I236" s="1179"/>
      <c r="J236" s="1179"/>
      <c r="K236" s="1179"/>
      <c r="L236" s="1179"/>
      <c r="M236" s="1179"/>
      <c r="N236" s="1179"/>
      <c r="O236" s="1179"/>
      <c r="P236" s="1179"/>
      <c r="Q236" s="1179"/>
      <c r="R236" s="1179"/>
      <c r="S236" s="1179"/>
      <c r="T236" s="1179"/>
      <c r="U236" s="1179"/>
      <c r="V236" s="1179"/>
      <c r="W236" s="1179"/>
      <c r="X236" s="1179"/>
      <c r="Y236" s="1179"/>
      <c r="Z236" s="1179"/>
      <c r="AA236" s="1179"/>
      <c r="AB236" s="1179"/>
      <c r="AC236" s="1179"/>
      <c r="AD236" s="1179"/>
      <c r="AE236" s="1179"/>
      <c r="AF236" s="1179"/>
      <c r="AG236" s="3489" t="s">
        <v>633</v>
      </c>
      <c r="AH236" s="7197">
        <v>36</v>
      </c>
      <c r="AI236" s="7222"/>
      <c r="AJ236" s="3136" t="s">
        <v>916</v>
      </c>
      <c r="AK236" s="7202">
        <f>SUM(F234,Y234)</f>
        <v>0</v>
      </c>
      <c r="AL236" s="7223"/>
      <c r="AM236" s="7223"/>
      <c r="AN236" s="7223"/>
      <c r="AO236" s="3149" t="s">
        <v>917</v>
      </c>
      <c r="AP236" s="2757"/>
      <c r="BG236" s="3013"/>
      <c r="BH236" s="2595"/>
      <c r="BI236" s="2595"/>
      <c r="BJ236" s="2595"/>
      <c r="BK236" s="2595"/>
      <c r="BL236" s="2595"/>
      <c r="BM236" s="2595"/>
      <c r="BN236" s="2595"/>
      <c r="BO236" s="2595"/>
      <c r="BP236" s="2595"/>
    </row>
    <row r="237" spans="1:69" ht="13.5" customHeight="1">
      <c r="A237" s="2757"/>
      <c r="B237" s="7217">
        <v>37</v>
      </c>
      <c r="C237" s="7217"/>
      <c r="D237" s="2791" t="s">
        <v>2376</v>
      </c>
      <c r="E237" s="1553"/>
      <c r="F237" s="1553"/>
      <c r="G237" s="1553"/>
      <c r="H237" s="1553"/>
      <c r="I237" s="1553"/>
      <c r="J237" s="1553"/>
      <c r="K237" s="1553"/>
      <c r="L237" s="1553"/>
      <c r="M237" s="1553"/>
      <c r="N237" s="1553"/>
      <c r="O237" s="1553"/>
      <c r="P237" s="1553"/>
      <c r="Q237" s="1553"/>
      <c r="R237" s="1553"/>
      <c r="S237" s="1553"/>
      <c r="T237" s="1553"/>
      <c r="U237" s="1553"/>
      <c r="V237" s="1553"/>
      <c r="W237" s="1553"/>
      <c r="X237" s="1553"/>
      <c r="Y237" s="1553"/>
      <c r="Z237" s="1553"/>
      <c r="AA237" s="1553"/>
      <c r="AB237" s="1553"/>
      <c r="AC237" s="1553"/>
      <c r="AD237" s="1553"/>
      <c r="AE237" s="1553"/>
      <c r="AF237" s="1553"/>
      <c r="AG237" s="3492" t="s">
        <v>571</v>
      </c>
      <c r="AH237" s="7197">
        <v>37</v>
      </c>
      <c r="AI237" s="7222"/>
      <c r="AJ237" s="7224">
        <f>SUM(AJ235,-AK236)</f>
        <v>0</v>
      </c>
      <c r="AK237" s="7225"/>
      <c r="AL237" s="7225"/>
      <c r="AM237" s="7225"/>
      <c r="AN237" s="7225"/>
      <c r="AO237" s="7225"/>
      <c r="AP237" s="2757"/>
      <c r="BG237" s="3013"/>
      <c r="BH237" s="2595"/>
      <c r="BI237" s="2595"/>
      <c r="BJ237" s="2595"/>
      <c r="BK237" s="2595"/>
      <c r="BL237" s="2595"/>
      <c r="BM237" s="2595"/>
      <c r="BN237" s="2595"/>
      <c r="BO237" s="2595"/>
      <c r="BP237" s="2595"/>
    </row>
    <row r="238" spans="1:69" s="2689" customFormat="1" ht="17.25" customHeight="1">
      <c r="A238" s="2758"/>
      <c r="B238" s="7220" t="s">
        <v>470</v>
      </c>
      <c r="C238" s="7220"/>
      <c r="D238" s="7221"/>
      <c r="E238" s="2690"/>
      <c r="F238" s="2778" t="s">
        <v>2377</v>
      </c>
      <c r="G238" s="2690"/>
      <c r="H238" s="2690"/>
      <c r="I238" s="2690"/>
      <c r="J238" s="2690"/>
      <c r="K238" s="2690"/>
      <c r="L238" s="2690"/>
      <c r="M238" s="2690"/>
      <c r="N238" s="2690"/>
      <c r="O238" s="2690"/>
      <c r="P238" s="2690"/>
      <c r="Q238" s="2690"/>
      <c r="R238" s="2690"/>
      <c r="S238" s="2690"/>
      <c r="T238" s="2690"/>
      <c r="U238" s="2690"/>
      <c r="V238" s="2690"/>
      <c r="W238" s="2690"/>
      <c r="X238" s="2688"/>
      <c r="Y238" s="2690"/>
      <c r="Z238" s="2690"/>
      <c r="AA238" s="2690"/>
      <c r="AB238" s="2690"/>
      <c r="AC238" s="2690"/>
      <c r="AD238" s="2690"/>
      <c r="AE238" s="2690"/>
      <c r="AF238" s="2690"/>
      <c r="AG238" s="1397"/>
      <c r="AH238" s="2690"/>
      <c r="AI238" s="2690"/>
      <c r="AJ238" s="2690"/>
      <c r="AK238" s="2690"/>
      <c r="AL238" s="2690"/>
      <c r="AM238" s="2690"/>
      <c r="AN238" s="2690"/>
      <c r="AO238" s="2690"/>
      <c r="AP238" s="2757"/>
      <c r="AX238" s="42"/>
      <c r="AY238" s="42"/>
      <c r="AZ238" s="42"/>
      <c r="BA238" s="42"/>
      <c r="BB238" s="42"/>
      <c r="BC238" s="42"/>
      <c r="BD238" s="42"/>
      <c r="BG238" s="3013"/>
      <c r="BH238" s="2595"/>
      <c r="BI238" s="2595"/>
      <c r="BJ238" s="2595"/>
      <c r="BK238" s="2595"/>
      <c r="BL238" s="2595"/>
      <c r="BM238" s="2595"/>
      <c r="BN238" s="2595"/>
      <c r="BO238" s="2595"/>
      <c r="BP238" s="2595"/>
      <c r="BQ238" s="3402"/>
    </row>
    <row r="239" spans="1:69" ht="12.75" customHeight="1">
      <c r="A239" s="2757"/>
      <c r="B239" s="1574"/>
      <c r="C239" s="3058"/>
      <c r="D239" s="7226" t="s">
        <v>2379</v>
      </c>
      <c r="E239" s="7227"/>
      <c r="F239" s="7227"/>
      <c r="G239" s="7227"/>
      <c r="H239" s="7227"/>
      <c r="I239" s="7227"/>
      <c r="J239" s="7228"/>
      <c r="K239" s="7233" t="s">
        <v>2378</v>
      </c>
      <c r="L239" s="7234"/>
      <c r="M239" s="7234"/>
      <c r="N239" s="7234"/>
      <c r="O239" s="7234"/>
      <c r="P239" s="7234"/>
      <c r="Q239" s="7234"/>
      <c r="R239" s="7234"/>
      <c r="S239" s="7237" t="s">
        <v>2380</v>
      </c>
      <c r="T239" s="7238"/>
      <c r="U239" s="7238"/>
      <c r="V239" s="7238"/>
      <c r="W239" s="7238"/>
      <c r="X239" s="7238"/>
      <c r="Y239" s="7238"/>
      <c r="Z239" s="7241" t="s">
        <v>2381</v>
      </c>
      <c r="AA239" s="7242"/>
      <c r="AB239" s="7242"/>
      <c r="AC239" s="7242"/>
      <c r="AD239" s="7242"/>
      <c r="AE239" s="7242"/>
      <c r="AF239" s="7242"/>
      <c r="AG239" s="7243"/>
      <c r="AH239" s="7241" t="s">
        <v>2382</v>
      </c>
      <c r="AI239" s="7242"/>
      <c r="AJ239" s="7242"/>
      <c r="AK239" s="7242"/>
      <c r="AL239" s="7242"/>
      <c r="AM239" s="7242"/>
      <c r="AN239" s="7242"/>
      <c r="AO239" s="7242"/>
      <c r="AP239" s="2757"/>
      <c r="BG239" s="3013"/>
      <c r="BH239" s="2595"/>
      <c r="BI239" s="2595"/>
      <c r="BJ239" s="2595"/>
      <c r="BK239" s="2595"/>
      <c r="BL239" s="2595"/>
      <c r="BM239" s="2595"/>
      <c r="BN239" s="2595"/>
      <c r="BO239" s="2595"/>
      <c r="BP239" s="2595"/>
    </row>
    <row r="240" spans="1:69" ht="12.75" customHeight="1">
      <c r="A240" s="2757"/>
      <c r="B240" s="7250">
        <v>38</v>
      </c>
      <c r="C240" s="6371"/>
      <c r="D240" s="7229"/>
      <c r="E240" s="7229"/>
      <c r="F240" s="7229"/>
      <c r="G240" s="7229"/>
      <c r="H240" s="7229"/>
      <c r="I240" s="7229"/>
      <c r="J240" s="7230"/>
      <c r="K240" s="7235"/>
      <c r="L240" s="7235"/>
      <c r="M240" s="7235"/>
      <c r="N240" s="7235"/>
      <c r="O240" s="7235"/>
      <c r="P240" s="7235"/>
      <c r="Q240" s="7235"/>
      <c r="R240" s="7235"/>
      <c r="S240" s="7239"/>
      <c r="T240" s="7239"/>
      <c r="U240" s="7239"/>
      <c r="V240" s="7239"/>
      <c r="W240" s="7239"/>
      <c r="X240" s="7239"/>
      <c r="Y240" s="7239"/>
      <c r="Z240" s="7244"/>
      <c r="AA240" s="7245"/>
      <c r="AB240" s="7245"/>
      <c r="AC240" s="7245"/>
      <c r="AD240" s="7245"/>
      <c r="AE240" s="7245"/>
      <c r="AF240" s="7245"/>
      <c r="AG240" s="7246"/>
      <c r="AH240" s="7244"/>
      <c r="AI240" s="7245"/>
      <c r="AJ240" s="7245"/>
      <c r="AK240" s="7245"/>
      <c r="AL240" s="7245"/>
      <c r="AM240" s="7245"/>
      <c r="AN240" s="7245"/>
      <c r="AO240" s="7245"/>
      <c r="AP240" s="2757"/>
      <c r="AX240" s="2689"/>
      <c r="AY240" s="2689"/>
      <c r="AZ240" s="2689"/>
      <c r="BA240" s="2689"/>
      <c r="BB240" s="2689"/>
      <c r="BC240" s="2689"/>
      <c r="BD240" s="2689"/>
      <c r="BG240" s="3013"/>
      <c r="BH240" s="2595"/>
      <c r="BI240" s="2595"/>
      <c r="BJ240" s="2595"/>
      <c r="BK240" s="2595"/>
      <c r="BL240" s="2595"/>
      <c r="BM240" s="2595"/>
      <c r="BN240" s="2595"/>
      <c r="BO240" s="2595"/>
      <c r="BP240" s="2595"/>
    </row>
    <row r="241" spans="1:69" ht="12.75" customHeight="1">
      <c r="A241" s="2757"/>
      <c r="B241" s="1553"/>
      <c r="C241" s="3057"/>
      <c r="D241" s="7231"/>
      <c r="E241" s="7231"/>
      <c r="F241" s="7231"/>
      <c r="G241" s="7231"/>
      <c r="H241" s="7231"/>
      <c r="I241" s="7231"/>
      <c r="J241" s="7232"/>
      <c r="K241" s="7236"/>
      <c r="L241" s="7236"/>
      <c r="M241" s="7236"/>
      <c r="N241" s="7236"/>
      <c r="O241" s="7236"/>
      <c r="P241" s="7236"/>
      <c r="Q241" s="7236"/>
      <c r="R241" s="7236"/>
      <c r="S241" s="7240"/>
      <c r="T241" s="7240"/>
      <c r="U241" s="7240"/>
      <c r="V241" s="7240"/>
      <c r="W241" s="7240"/>
      <c r="X241" s="7240"/>
      <c r="Y241" s="7240"/>
      <c r="Z241" s="7247"/>
      <c r="AA241" s="7248"/>
      <c r="AB241" s="7248"/>
      <c r="AC241" s="7248"/>
      <c r="AD241" s="7248"/>
      <c r="AE241" s="7248"/>
      <c r="AF241" s="7248"/>
      <c r="AG241" s="7249"/>
      <c r="AH241" s="7247"/>
      <c r="AI241" s="7248"/>
      <c r="AJ241" s="7248"/>
      <c r="AK241" s="7248"/>
      <c r="AL241" s="7248"/>
      <c r="AM241" s="7248"/>
      <c r="AN241" s="7248"/>
      <c r="AO241" s="7248"/>
      <c r="AP241" s="2757"/>
      <c r="AQ241" s="385"/>
      <c r="AR241" s="385"/>
      <c r="AS241" s="385"/>
      <c r="BG241" s="3013"/>
      <c r="BH241" s="2595"/>
      <c r="BI241" s="2595"/>
      <c r="BJ241" s="2595"/>
      <c r="BK241" s="2595"/>
      <c r="BL241" s="2595"/>
      <c r="BM241" s="2595"/>
      <c r="BN241" s="2595"/>
      <c r="BO241" s="2595"/>
      <c r="BP241" s="2595"/>
    </row>
    <row r="242" spans="1:69" ht="12.75" customHeight="1">
      <c r="A242" s="2757"/>
      <c r="B242" s="7207"/>
      <c r="C242" s="7208"/>
      <c r="D242" s="7208"/>
      <c r="E242" s="7208"/>
      <c r="F242" s="7208"/>
      <c r="G242" s="7208"/>
      <c r="H242" s="7208"/>
      <c r="I242" s="7208"/>
      <c r="J242" s="7209"/>
      <c r="K242" s="7210"/>
      <c r="L242" s="7211"/>
      <c r="M242" s="7211"/>
      <c r="N242" s="7211"/>
      <c r="O242" s="7211"/>
      <c r="P242" s="7211"/>
      <c r="Q242" s="7211"/>
      <c r="R242" s="7212"/>
      <c r="S242" s="7213"/>
      <c r="T242" s="7213"/>
      <c r="U242" s="7213"/>
      <c r="V242" s="7213"/>
      <c r="W242" s="7213"/>
      <c r="X242" s="7213"/>
      <c r="Y242" s="7213"/>
      <c r="Z242" s="7214"/>
      <c r="AA242" s="7215"/>
      <c r="AB242" s="7215"/>
      <c r="AC242" s="7215"/>
      <c r="AD242" s="7215"/>
      <c r="AE242" s="7215"/>
      <c r="AF242" s="7215"/>
      <c r="AG242" s="7216"/>
      <c r="AH242" s="7214"/>
      <c r="AI242" s="7215"/>
      <c r="AJ242" s="7215"/>
      <c r="AK242" s="7215"/>
      <c r="AL242" s="7215"/>
      <c r="AM242" s="7215"/>
      <c r="AN242" s="7215"/>
      <c r="AO242" s="7215"/>
      <c r="AP242" s="2757"/>
      <c r="AQ242" s="385"/>
      <c r="AR242" s="2410" t="s">
        <v>91</v>
      </c>
      <c r="AS242" s="385"/>
      <c r="BG242" s="3013"/>
      <c r="BH242" s="2595"/>
      <c r="BI242" s="2595"/>
      <c r="BJ242" s="2595"/>
      <c r="BK242" s="2595"/>
      <c r="BL242" s="2595"/>
      <c r="BM242" s="2595"/>
      <c r="BN242" s="2595"/>
      <c r="BO242" s="2595"/>
      <c r="BP242" s="2595"/>
    </row>
    <row r="243" spans="1:69" ht="13.5" customHeight="1">
      <c r="A243" s="2757"/>
      <c r="B243" s="7217">
        <v>39</v>
      </c>
      <c r="C243" s="7217"/>
      <c r="D243" s="2791" t="s">
        <v>2383</v>
      </c>
      <c r="E243" s="1553"/>
      <c r="F243" s="1553"/>
      <c r="G243" s="1553"/>
      <c r="H243" s="1553"/>
      <c r="I243" s="1553"/>
      <c r="J243" s="1553"/>
      <c r="K243" s="1553"/>
      <c r="L243" s="1553"/>
      <c r="M243" s="1553"/>
      <c r="N243" s="1553"/>
      <c r="O243" s="1553"/>
      <c r="P243" s="1553"/>
      <c r="Q243" s="1553"/>
      <c r="R243" s="1553"/>
      <c r="S243" s="1553"/>
      <c r="T243" s="1553"/>
      <c r="U243" s="1553"/>
      <c r="V243" s="1553"/>
      <c r="W243" s="1553"/>
      <c r="X243" s="1553"/>
      <c r="Y243" s="1553"/>
      <c r="Z243" s="1553"/>
      <c r="AA243" s="1553"/>
      <c r="AB243" s="1553"/>
      <c r="AC243" s="1553"/>
      <c r="AD243" s="1553"/>
      <c r="AE243" s="1553"/>
      <c r="AF243" s="1553"/>
      <c r="AG243" s="3008"/>
      <c r="AH243" s="7197">
        <v>39</v>
      </c>
      <c r="AI243" s="7198"/>
      <c r="AJ243" s="7218">
        <f>IF(AR243&lt;&gt;"",ROUND(AR243,0),ROUND(SUM(Z242,AH242),0))</f>
        <v>0</v>
      </c>
      <c r="AK243" s="7219"/>
      <c r="AL243" s="7219"/>
      <c r="AM243" s="7219"/>
      <c r="AN243" s="7219"/>
      <c r="AO243" s="7219"/>
      <c r="AP243" s="2757"/>
      <c r="AQ243" s="385"/>
      <c r="AR243" s="3141"/>
      <c r="AS243" s="385"/>
      <c r="BG243" s="3013"/>
      <c r="BH243" s="2595"/>
      <c r="BI243" s="2595"/>
      <c r="BJ243" s="2595"/>
      <c r="BK243" s="2595"/>
      <c r="BL243" s="2595"/>
      <c r="BM243" s="2595"/>
      <c r="BN243" s="2595"/>
      <c r="BO243" s="2595"/>
      <c r="BP243" s="2595"/>
    </row>
    <row r="244" spans="1:69" s="2689" customFormat="1" ht="17.25" customHeight="1">
      <c r="A244" s="2758"/>
      <c r="B244" s="7220" t="s">
        <v>123</v>
      </c>
      <c r="C244" s="7220"/>
      <c r="D244" s="7221"/>
      <c r="E244" s="2690"/>
      <c r="F244" s="2778" t="s">
        <v>2384</v>
      </c>
      <c r="G244" s="2690"/>
      <c r="H244" s="2690"/>
      <c r="I244" s="2690"/>
      <c r="J244" s="2690"/>
      <c r="K244" s="2690"/>
      <c r="L244" s="2690"/>
      <c r="M244" s="2690"/>
      <c r="N244" s="2690"/>
      <c r="O244" s="2690"/>
      <c r="P244" s="2690"/>
      <c r="Q244" s="2690"/>
      <c r="R244" s="2690"/>
      <c r="S244" s="2690"/>
      <c r="T244" s="2690"/>
      <c r="U244" s="2690"/>
      <c r="V244" s="2690"/>
      <c r="W244" s="2690"/>
      <c r="X244" s="2688"/>
      <c r="Y244" s="2690"/>
      <c r="Z244" s="2690"/>
      <c r="AA244" s="2690"/>
      <c r="AB244" s="2690"/>
      <c r="AC244" s="2690"/>
      <c r="AD244" s="2690"/>
      <c r="AE244" s="2690"/>
      <c r="AF244" s="2690"/>
      <c r="AG244" s="2690"/>
      <c r="AH244" s="2690"/>
      <c r="AI244" s="2690"/>
      <c r="AJ244" s="2690"/>
      <c r="AK244" s="2690"/>
      <c r="AL244" s="2690"/>
      <c r="AM244" s="2690"/>
      <c r="AN244" s="2690"/>
      <c r="AO244" s="2690"/>
      <c r="AP244" s="2757"/>
      <c r="AQ244" s="385"/>
      <c r="AR244" s="385"/>
      <c r="AS244" s="385"/>
      <c r="AX244" s="42"/>
      <c r="AY244" s="42"/>
      <c r="AZ244" s="42"/>
      <c r="BA244" s="42"/>
      <c r="BB244" s="42"/>
      <c r="BC244" s="42"/>
      <c r="BD244" s="42"/>
      <c r="BG244" s="3013"/>
      <c r="BH244" s="2595"/>
      <c r="BI244" s="2595"/>
      <c r="BJ244" s="2595"/>
      <c r="BK244" s="2595"/>
      <c r="BL244" s="2595"/>
      <c r="BM244" s="2595"/>
      <c r="BN244" s="2595"/>
      <c r="BO244" s="2595"/>
      <c r="BP244" s="2595"/>
      <c r="BQ244" s="3402"/>
    </row>
    <row r="245" spans="1:69" ht="13.5" customHeight="1">
      <c r="A245" s="2757"/>
      <c r="B245" s="7196">
        <v>40</v>
      </c>
      <c r="C245" s="7196"/>
      <c r="D245" s="3072" t="s">
        <v>2385</v>
      </c>
      <c r="E245" s="1574"/>
      <c r="F245" s="1574"/>
      <c r="G245" s="1574"/>
      <c r="H245" s="1574"/>
      <c r="I245" s="1574"/>
      <c r="J245" s="1574"/>
      <c r="K245" s="1574"/>
      <c r="L245" s="1574"/>
      <c r="M245" s="1574"/>
      <c r="N245" s="1574"/>
      <c r="O245" s="1574"/>
      <c r="P245" s="1574"/>
      <c r="Q245" s="1574"/>
      <c r="R245" s="1574"/>
      <c r="S245" s="1574"/>
      <c r="T245" s="1574"/>
      <c r="U245" s="1574"/>
      <c r="V245" s="1574"/>
      <c r="W245" s="1574"/>
      <c r="X245" s="1574"/>
      <c r="Y245" s="1574"/>
      <c r="Z245" s="1574"/>
      <c r="AA245" s="1574"/>
      <c r="AB245" s="1574"/>
      <c r="AC245" s="1574"/>
      <c r="AD245" s="1574"/>
      <c r="AE245" s="1574"/>
      <c r="AF245" s="1574"/>
      <c r="AG245" s="1575"/>
      <c r="AH245" s="7197">
        <v>40</v>
      </c>
      <c r="AI245" s="7198"/>
      <c r="AJ245" s="7199"/>
      <c r="AK245" s="7200"/>
      <c r="AL245" s="7200"/>
      <c r="AM245" s="7200"/>
      <c r="AN245" s="7200"/>
      <c r="AO245" s="7200"/>
      <c r="AP245" s="2757"/>
      <c r="AQ245" s="385"/>
      <c r="AR245" s="385"/>
      <c r="AS245" s="385"/>
      <c r="BG245" s="3013"/>
      <c r="BH245" s="2595"/>
      <c r="BI245" s="2595"/>
      <c r="BJ245" s="2595"/>
      <c r="BK245" s="2595"/>
      <c r="BL245" s="2595"/>
      <c r="BM245" s="2595"/>
      <c r="BN245" s="2595"/>
      <c r="BO245" s="2595"/>
      <c r="BP245" s="2595"/>
    </row>
    <row r="246" spans="1:69" ht="13.5" customHeight="1">
      <c r="A246" s="2757"/>
      <c r="B246" s="7191">
        <v>41</v>
      </c>
      <c r="C246" s="7191"/>
      <c r="D246" s="1262" t="s">
        <v>4049</v>
      </c>
      <c r="E246" s="1179"/>
      <c r="F246" s="1179"/>
      <c r="G246" s="1179"/>
      <c r="H246" s="1179"/>
      <c r="I246" s="1179"/>
      <c r="J246" s="1179"/>
      <c r="K246" s="1179"/>
      <c r="L246" s="1179"/>
      <c r="M246" s="1179"/>
      <c r="N246" s="1179"/>
      <c r="O246" s="1179"/>
      <c r="P246" s="1179"/>
      <c r="Q246" s="1179"/>
      <c r="R246" s="1179"/>
      <c r="S246" s="1179"/>
      <c r="T246" s="1179"/>
      <c r="U246" s="1179"/>
      <c r="V246" s="1179"/>
      <c r="W246" s="1179"/>
      <c r="X246" s="1179"/>
      <c r="Y246" s="1179"/>
      <c r="Z246" s="1179"/>
      <c r="AA246" s="1179"/>
      <c r="AB246" s="1179"/>
      <c r="AC246" s="1179"/>
      <c r="AD246" s="1179"/>
      <c r="AE246" s="1179"/>
      <c r="AF246" s="1179"/>
      <c r="AG246" s="1583"/>
      <c r="AH246" s="7197">
        <v>41</v>
      </c>
      <c r="AI246" s="7198"/>
      <c r="AJ246" s="7201">
        <f>IF(AR246&lt;&gt;"",ROUND(AR246,0),IF(SchE4_Completed,SUM(SchE4_Line26,SchE4_Line32,SchE4_Line37,SchE4_Line39,ROUND(SchE4_Line40,0)),0))</f>
        <v>0</v>
      </c>
      <c r="AK246" s="7202"/>
      <c r="AL246" s="7202"/>
      <c r="AM246" s="7202"/>
      <c r="AN246" s="7202"/>
      <c r="AO246" s="7202"/>
      <c r="AP246" s="2757"/>
      <c r="AQ246" s="385"/>
      <c r="AR246" s="3141"/>
      <c r="AS246" s="385"/>
      <c r="AV246" s="42" t="b">
        <f>OR(SchE4_Line32&lt;&gt;0,SchE4_Line37&lt;&gt;0,SchE4_Line39&lt;&gt;0,SchE4_Line40&lt;&gt;0)</f>
        <v>0</v>
      </c>
      <c r="AX246" s="2689"/>
      <c r="AY246" s="2689"/>
      <c r="AZ246" s="2689"/>
      <c r="BA246" s="2689"/>
      <c r="BB246" s="2689"/>
      <c r="BC246" s="2689"/>
      <c r="BD246" s="2689"/>
      <c r="BG246" s="3013"/>
      <c r="BH246" s="2595"/>
      <c r="BI246" s="2595"/>
      <c r="BJ246" s="2595"/>
      <c r="BK246" s="2595"/>
      <c r="BL246" s="2595"/>
      <c r="BM246" s="2595"/>
      <c r="BN246" s="2595"/>
      <c r="BO246" s="2595"/>
      <c r="BP246" s="2595"/>
    </row>
    <row r="247" spans="1:69" ht="12.75" customHeight="1">
      <c r="A247" s="2757"/>
      <c r="B247" s="7191">
        <v>42</v>
      </c>
      <c r="C247" s="7191"/>
      <c r="D247" s="2686" t="s">
        <v>2762</v>
      </c>
      <c r="E247" s="1179"/>
      <c r="F247" s="1179"/>
      <c r="G247" s="1179"/>
      <c r="H247" s="1179"/>
      <c r="I247" s="1179"/>
      <c r="J247" s="1179"/>
      <c r="K247" s="1179"/>
      <c r="L247" s="1179"/>
      <c r="M247" s="1179"/>
      <c r="N247" s="1179"/>
      <c r="O247" s="1179"/>
      <c r="P247" s="1179"/>
      <c r="Q247" s="1179"/>
      <c r="R247" s="1179"/>
      <c r="S247" s="1179"/>
      <c r="T247" s="1179"/>
      <c r="U247" s="1179"/>
      <c r="V247" s="1179"/>
      <c r="W247" s="1179"/>
      <c r="X247" s="1179"/>
      <c r="Y247" s="1825"/>
      <c r="Z247" s="2705"/>
      <c r="AA247" s="2705"/>
      <c r="AB247" s="2705"/>
      <c r="AC247" s="2705"/>
      <c r="AD247" s="2705"/>
      <c r="AE247" s="2705"/>
      <c r="AF247" s="2705"/>
      <c r="AG247" s="1826"/>
      <c r="AH247" s="1562"/>
      <c r="AI247" s="1562"/>
      <c r="AJ247" s="1562"/>
      <c r="AK247" s="1562"/>
      <c r="AL247" s="1562"/>
      <c r="AM247" s="1562"/>
      <c r="AN247" s="1562"/>
      <c r="AO247" s="1562"/>
      <c r="AP247" s="2757"/>
      <c r="AQ247" s="385"/>
      <c r="AR247" s="385"/>
      <c r="AS247" s="385"/>
      <c r="AV247" s="3155">
        <f>IF(SchE4_Completed,SchE4_Line41,SchE4_Line26)</f>
        <v>0</v>
      </c>
      <c r="BG247" s="3013"/>
      <c r="BH247" s="2595"/>
      <c r="BI247" s="2595"/>
      <c r="BJ247" s="2595"/>
      <c r="BK247" s="2595"/>
      <c r="BL247" s="2595"/>
      <c r="BM247" s="2595"/>
      <c r="BN247" s="2595"/>
      <c r="BO247" s="2595"/>
      <c r="BP247" s="2595"/>
    </row>
    <row r="248" spans="1:69" ht="12.75" customHeight="1">
      <c r="A248" s="2757"/>
      <c r="B248" s="2772"/>
      <c r="C248" s="1179"/>
      <c r="D248" s="1276" t="s">
        <v>749</v>
      </c>
      <c r="E248" s="1179"/>
      <c r="F248" s="1179"/>
      <c r="G248" s="1179"/>
      <c r="H248" s="1179"/>
      <c r="I248" s="1179"/>
      <c r="J248" s="1179"/>
      <c r="K248" s="1179"/>
      <c r="L248" s="1179"/>
      <c r="M248" s="1179"/>
      <c r="N248" s="1179"/>
      <c r="O248" s="1179"/>
      <c r="P248" s="1179"/>
      <c r="Q248" s="1179"/>
      <c r="R248" s="1179"/>
      <c r="S248" s="1179"/>
      <c r="T248" s="1179"/>
      <c r="U248" s="1179"/>
      <c r="V248" s="1179"/>
      <c r="W248" s="1179"/>
      <c r="X248" s="1179"/>
      <c r="Y248" s="1827"/>
      <c r="Z248" s="1562"/>
      <c r="AA248" s="1562"/>
      <c r="AB248" s="1562"/>
      <c r="AC248" s="1562"/>
      <c r="AD248" s="1562"/>
      <c r="AE248" s="1562"/>
      <c r="AF248" s="1562"/>
      <c r="AG248" s="1828"/>
      <c r="AH248" s="1562"/>
      <c r="AI248" s="1562"/>
      <c r="AJ248" s="1562"/>
      <c r="AK248" s="1562"/>
      <c r="AL248" s="1562"/>
      <c r="AM248" s="1562"/>
      <c r="AN248" s="1562"/>
      <c r="AO248" s="1562"/>
      <c r="AP248" s="2757"/>
      <c r="BG248" s="3013"/>
      <c r="BH248" s="2595"/>
      <c r="BI248" s="2595"/>
      <c r="BJ248" s="2595"/>
      <c r="BK248" s="2595"/>
      <c r="BL248" s="2595"/>
      <c r="BM248" s="2595"/>
      <c r="BN248" s="2595"/>
      <c r="BO248" s="2595"/>
      <c r="BP248" s="2595"/>
    </row>
    <row r="249" spans="1:69" ht="12.75" customHeight="1">
      <c r="A249" s="2757"/>
      <c r="B249" s="2772"/>
      <c r="C249" s="1179"/>
      <c r="D249" s="1276" t="s">
        <v>2386</v>
      </c>
      <c r="E249" s="1179"/>
      <c r="F249" s="1179"/>
      <c r="G249" s="1179"/>
      <c r="H249" s="1179"/>
      <c r="I249" s="1179"/>
      <c r="J249" s="1179"/>
      <c r="K249" s="1179"/>
      <c r="L249" s="1179"/>
      <c r="M249" s="1179"/>
      <c r="N249" s="1179"/>
      <c r="O249" s="1179"/>
      <c r="P249" s="1179"/>
      <c r="Q249" s="1179"/>
      <c r="R249" s="1179"/>
      <c r="S249" s="1179"/>
      <c r="T249" s="1179"/>
      <c r="U249" s="1179"/>
      <c r="V249" s="1179"/>
      <c r="W249" s="1179"/>
      <c r="X249" s="1179"/>
      <c r="Y249" s="1827"/>
      <c r="Z249" s="1562"/>
      <c r="AA249" s="1562"/>
      <c r="AB249" s="1562"/>
      <c r="AC249" s="1562"/>
      <c r="AD249" s="1562"/>
      <c r="AE249" s="1562"/>
      <c r="AF249" s="1562"/>
      <c r="AG249" s="1828"/>
      <c r="AH249" s="1562"/>
      <c r="AI249" s="1562"/>
      <c r="AJ249" s="1562"/>
      <c r="AK249" s="1562"/>
      <c r="AL249" s="1562"/>
      <c r="AM249" s="1562"/>
      <c r="AN249" s="1562"/>
      <c r="AO249" s="1562"/>
      <c r="AP249" s="2757"/>
      <c r="BG249" s="3013"/>
      <c r="BH249" s="2595"/>
      <c r="BI249" s="2595"/>
      <c r="BJ249" s="2595"/>
      <c r="BK249" s="2595"/>
      <c r="BL249" s="2595"/>
      <c r="BM249" s="2595"/>
      <c r="BN249" s="2595"/>
      <c r="BO249" s="2595"/>
      <c r="BP249" s="2595"/>
    </row>
    <row r="250" spans="1:69" ht="13.5" customHeight="1">
      <c r="A250" s="2757"/>
      <c r="B250" s="2772"/>
      <c r="C250" s="1179"/>
      <c r="D250" s="1179" t="s">
        <v>2387</v>
      </c>
      <c r="E250" s="1179"/>
      <c r="F250" s="1179"/>
      <c r="G250" s="1179"/>
      <c r="H250" s="1179"/>
      <c r="I250" s="1179"/>
      <c r="J250" s="1179"/>
      <c r="K250" s="1179"/>
      <c r="L250" s="1179"/>
      <c r="M250" s="1179"/>
      <c r="N250" s="1179"/>
      <c r="O250" s="1179"/>
      <c r="P250" s="1179"/>
      <c r="Q250" s="1179"/>
      <c r="R250" s="1179"/>
      <c r="S250" s="1179"/>
      <c r="T250" s="1179"/>
      <c r="U250" s="1179"/>
      <c r="V250" s="1179"/>
      <c r="W250" s="1179"/>
      <c r="X250" s="1560" t="s">
        <v>4799</v>
      </c>
      <c r="Y250" s="7203">
        <v>42</v>
      </c>
      <c r="Z250" s="7204"/>
      <c r="AA250" s="7205"/>
      <c r="AB250" s="7206"/>
      <c r="AC250" s="7206"/>
      <c r="AD250" s="7206"/>
      <c r="AE250" s="7206"/>
      <c r="AF250" s="7206"/>
      <c r="AG250" s="7206"/>
      <c r="AH250" s="1562"/>
      <c r="AI250" s="1562"/>
      <c r="AJ250" s="1562"/>
      <c r="AK250" s="1562"/>
      <c r="AL250" s="1562"/>
      <c r="AM250" s="1562"/>
      <c r="AN250" s="1562"/>
      <c r="AO250" s="1562"/>
      <c r="AP250" s="2757"/>
      <c r="BG250" s="3013"/>
      <c r="BH250" s="2595"/>
      <c r="BI250" s="2595"/>
      <c r="BJ250" s="2595"/>
      <c r="BK250" s="2595"/>
      <c r="BL250" s="2595"/>
      <c r="BM250" s="2595"/>
      <c r="BN250" s="2595"/>
      <c r="BO250" s="2595"/>
      <c r="BP250" s="2595"/>
    </row>
    <row r="251" spans="1:69" ht="12.75" customHeight="1">
      <c r="A251" s="2757"/>
      <c r="B251" s="7191">
        <v>43</v>
      </c>
      <c r="C251" s="7191"/>
      <c r="D251" s="1276" t="s">
        <v>4796</v>
      </c>
      <c r="E251" s="1179"/>
      <c r="F251" s="1179"/>
      <c r="G251" s="1179"/>
      <c r="H251" s="1179"/>
      <c r="I251" s="1179"/>
      <c r="J251" s="1179"/>
      <c r="K251" s="1179"/>
      <c r="L251" s="1179"/>
      <c r="M251" s="1179"/>
      <c r="N251" s="1179"/>
      <c r="O251" s="1179"/>
      <c r="P251" s="1179"/>
      <c r="Q251" s="1179"/>
      <c r="R251" s="1179"/>
      <c r="S251" s="1179"/>
      <c r="T251" s="1179"/>
      <c r="U251" s="1179"/>
      <c r="V251" s="1179"/>
      <c r="W251" s="1179"/>
      <c r="X251" s="1179"/>
      <c r="Y251" s="1825"/>
      <c r="Z251" s="2705"/>
      <c r="AA251" s="2705"/>
      <c r="AB251" s="2705"/>
      <c r="AC251" s="2705"/>
      <c r="AD251" s="2705"/>
      <c r="AE251" s="2705"/>
      <c r="AF251" s="2705"/>
      <c r="AG251" s="1826"/>
      <c r="AH251" s="1562"/>
      <c r="AI251" s="1562"/>
      <c r="AJ251" s="1562"/>
      <c r="AK251" s="1562"/>
      <c r="AL251" s="1562"/>
      <c r="AM251" s="1562"/>
      <c r="AN251" s="1562"/>
      <c r="AO251" s="1562"/>
      <c r="AP251" s="2757"/>
      <c r="BG251" s="3013"/>
      <c r="BH251" s="2595"/>
      <c r="BI251" s="2595"/>
      <c r="BJ251" s="2595"/>
      <c r="BK251" s="2595"/>
      <c r="BL251" s="2595"/>
      <c r="BM251" s="2595"/>
      <c r="BN251" s="2595"/>
      <c r="BO251" s="2595"/>
      <c r="BP251" s="2595"/>
    </row>
    <row r="252" spans="1:69" ht="12.75" customHeight="1">
      <c r="A252" s="2757"/>
      <c r="B252" s="2772"/>
      <c r="C252" s="1179"/>
      <c r="D252" s="2246" t="s">
        <v>4800</v>
      </c>
      <c r="E252" s="1179"/>
      <c r="F252" s="1179"/>
      <c r="G252" s="1179"/>
      <c r="H252" s="1179"/>
      <c r="I252" s="1179"/>
      <c r="J252" s="1179"/>
      <c r="K252" s="1179"/>
      <c r="L252" s="1179"/>
      <c r="M252" s="1179"/>
      <c r="N252" s="1179"/>
      <c r="O252" s="1179"/>
      <c r="P252" s="1179"/>
      <c r="Q252" s="1179"/>
      <c r="R252" s="1179"/>
      <c r="S252" s="1179"/>
      <c r="T252" s="1179"/>
      <c r="U252" s="1179"/>
      <c r="V252" s="1179"/>
      <c r="W252" s="1179"/>
      <c r="X252" s="1179"/>
      <c r="Y252" s="1827"/>
      <c r="Z252" s="1562"/>
      <c r="AA252" s="1562"/>
      <c r="AB252" s="1562"/>
      <c r="AC252" s="1562"/>
      <c r="AD252" s="1562"/>
      <c r="AE252" s="1562"/>
      <c r="AF252" s="1562"/>
      <c r="AG252" s="1828"/>
      <c r="AH252" s="1562"/>
      <c r="AI252" s="1562"/>
      <c r="AJ252" s="1562"/>
      <c r="AK252" s="1562"/>
      <c r="AL252" s="1562"/>
      <c r="AM252" s="1562"/>
      <c r="AN252" s="1562"/>
      <c r="AO252" s="1562"/>
      <c r="AP252" s="2757"/>
      <c r="BG252" s="3013"/>
      <c r="BH252" s="2595"/>
      <c r="BI252" s="2595"/>
      <c r="BJ252" s="2595"/>
      <c r="BK252" s="2595"/>
      <c r="BL252" s="2595"/>
      <c r="BM252" s="2595"/>
      <c r="BN252" s="2595"/>
      <c r="BO252" s="2595"/>
      <c r="BP252" s="2595"/>
    </row>
    <row r="253" spans="1:69" ht="12.75" customHeight="1">
      <c r="A253" s="2757"/>
      <c r="B253" s="2772"/>
      <c r="C253" s="1179"/>
      <c r="D253" s="1276" t="s">
        <v>4797</v>
      </c>
      <c r="E253" s="1179"/>
      <c r="F253" s="1179"/>
      <c r="G253" s="1179"/>
      <c r="H253" s="1179"/>
      <c r="I253" s="1179"/>
      <c r="J253" s="1179"/>
      <c r="K253" s="1179"/>
      <c r="L253" s="1179"/>
      <c r="M253" s="1179"/>
      <c r="N253" s="1179"/>
      <c r="O253" s="1179"/>
      <c r="P253" s="1179"/>
      <c r="Q253" s="1179"/>
      <c r="R253" s="1179"/>
      <c r="S253" s="1179"/>
      <c r="T253" s="1179"/>
      <c r="U253" s="1179"/>
      <c r="V253" s="1179"/>
      <c r="W253" s="1179"/>
      <c r="X253" s="1179"/>
      <c r="Y253" s="1827"/>
      <c r="Z253" s="1562"/>
      <c r="AA253" s="1562"/>
      <c r="AB253" s="1562"/>
      <c r="AC253" s="1562"/>
      <c r="AD253" s="1562"/>
      <c r="AE253" s="1562"/>
      <c r="AF253" s="1562"/>
      <c r="AG253" s="1828"/>
      <c r="AH253" s="1562"/>
      <c r="AI253" s="1562"/>
      <c r="AJ253" s="1562"/>
      <c r="AK253" s="1562"/>
      <c r="AL253" s="1562"/>
      <c r="AM253" s="1562"/>
      <c r="AN253" s="1562"/>
      <c r="AO253" s="1562"/>
      <c r="AP253" s="2757"/>
      <c r="BG253" s="3013"/>
      <c r="BH253" s="2595"/>
      <c r="BI253" s="2595"/>
      <c r="BJ253" s="2595"/>
      <c r="BK253" s="2595"/>
      <c r="BL253" s="2595"/>
      <c r="BM253" s="2595"/>
      <c r="BN253" s="2595"/>
      <c r="BO253" s="2595"/>
      <c r="BP253" s="2595"/>
    </row>
    <row r="254" spans="1:69" ht="13.5" customHeight="1" thickBot="1">
      <c r="A254" s="2757"/>
      <c r="B254" s="3129"/>
      <c r="C254" s="1280"/>
      <c r="D254" s="1704" t="s">
        <v>4798</v>
      </c>
      <c r="E254" s="1280"/>
      <c r="F254" s="1280"/>
      <c r="G254" s="1280"/>
      <c r="H254" s="1280"/>
      <c r="I254" s="1280"/>
      <c r="J254" s="1280"/>
      <c r="K254" s="1280"/>
      <c r="L254" s="1280"/>
      <c r="M254" s="1280"/>
      <c r="N254" s="1280"/>
      <c r="O254" s="1280"/>
      <c r="P254" s="1280"/>
      <c r="Q254" s="1280"/>
      <c r="R254" s="1280"/>
      <c r="S254" s="1280"/>
      <c r="T254" s="1280"/>
      <c r="U254" s="1280"/>
      <c r="V254" s="1280"/>
      <c r="W254" s="1280"/>
      <c r="X254" s="3307" t="s">
        <v>2517</v>
      </c>
      <c r="Y254" s="7192">
        <v>43</v>
      </c>
      <c r="Z254" s="7193"/>
      <c r="AA254" s="7194"/>
      <c r="AB254" s="7195"/>
      <c r="AC254" s="7195"/>
      <c r="AD254" s="7195"/>
      <c r="AE254" s="7195"/>
      <c r="AF254" s="7195"/>
      <c r="AG254" s="7195"/>
      <c r="AH254" s="3130"/>
      <c r="AI254" s="3130"/>
      <c r="AJ254" s="3130"/>
      <c r="AK254" s="3130"/>
      <c r="AL254" s="3130"/>
      <c r="AM254" s="3130"/>
      <c r="AN254" s="3130"/>
      <c r="AO254" s="3130"/>
      <c r="AP254" s="2757"/>
      <c r="BG254" s="3013"/>
      <c r="BH254" s="2595"/>
      <c r="BI254" s="2595"/>
      <c r="BJ254" s="2595"/>
      <c r="BK254" s="2595"/>
      <c r="BL254" s="2595"/>
      <c r="BM254" s="2595"/>
      <c r="BN254" s="2595"/>
      <c r="BO254" s="2595"/>
      <c r="BP254" s="2595"/>
    </row>
    <row r="255" spans="1:69" ht="12.75" customHeight="1">
      <c r="A255" s="2757"/>
      <c r="B255" s="2772"/>
      <c r="C255" s="1179"/>
      <c r="D255" s="1179"/>
      <c r="E255" s="1179"/>
      <c r="F255" s="1179"/>
      <c r="G255" s="1179"/>
      <c r="H255" s="1179"/>
      <c r="I255" s="1179"/>
      <c r="J255" s="1179"/>
      <c r="K255" s="1179"/>
      <c r="L255" s="1179"/>
      <c r="M255" s="1179"/>
      <c r="N255" s="1179"/>
      <c r="O255" s="1179"/>
      <c r="P255" s="1179"/>
      <c r="Q255" s="1179"/>
      <c r="R255" s="1179"/>
      <c r="S255" s="1179"/>
      <c r="T255" s="1179"/>
      <c r="U255" s="1179"/>
      <c r="V255" s="1179"/>
      <c r="W255" s="1179"/>
      <c r="X255" s="1179"/>
      <c r="Y255" s="1179"/>
      <c r="Z255" s="1179"/>
      <c r="AA255" s="1179"/>
      <c r="AB255" s="1179"/>
      <c r="AC255" s="1179"/>
      <c r="AD255" s="1179"/>
      <c r="AE255" s="1179"/>
      <c r="AF255" s="1179"/>
      <c r="AG255" s="1179"/>
      <c r="AH255" s="1179"/>
      <c r="AI255" s="1179"/>
      <c r="AJ255" s="1179"/>
      <c r="AK255" s="1179"/>
      <c r="AL255" s="1179"/>
      <c r="AM255" s="1179"/>
      <c r="AN255" s="1179"/>
      <c r="AO255" s="3115" t="str">
        <f>"Schedule E (Form 1040) "&amp;TaxYear</f>
        <v>Schedule E (Form 1040) 2021</v>
      </c>
      <c r="AP255" s="2757"/>
      <c r="BG255" s="3013"/>
      <c r="BH255" s="2595"/>
      <c r="BI255" s="2595"/>
      <c r="BJ255" s="2595"/>
      <c r="BK255" s="2595"/>
      <c r="BL255" s="2595"/>
      <c r="BM255" s="2595"/>
      <c r="BN255" s="2595"/>
      <c r="BO255" s="2595"/>
      <c r="BP255" s="2595"/>
    </row>
    <row r="256" spans="1:69">
      <c r="A256" s="2757"/>
      <c r="B256" s="2757"/>
      <c r="C256" s="2757"/>
      <c r="D256" s="2757"/>
      <c r="E256" s="2757"/>
      <c r="F256" s="2757"/>
      <c r="G256" s="2757"/>
      <c r="H256" s="2757"/>
      <c r="I256" s="2757"/>
      <c r="J256" s="2757"/>
      <c r="K256" s="2757"/>
      <c r="L256" s="2757"/>
      <c r="M256" s="2757"/>
      <c r="N256" s="2757"/>
      <c r="O256" s="2757"/>
      <c r="P256" s="2757"/>
      <c r="Q256" s="2757"/>
      <c r="R256" s="2757"/>
      <c r="S256" s="2757"/>
      <c r="T256" s="2757"/>
      <c r="U256" s="2757"/>
      <c r="V256" s="2757"/>
      <c r="W256" s="2757"/>
      <c r="X256" s="2757"/>
      <c r="Y256" s="2757"/>
      <c r="Z256" s="2757"/>
      <c r="AA256" s="2757"/>
      <c r="AB256" s="2757"/>
      <c r="AC256" s="2757"/>
      <c r="AD256" s="2757"/>
      <c r="AE256" s="2757"/>
      <c r="AF256" s="2757"/>
      <c r="AG256" s="2757"/>
      <c r="AH256" s="2757"/>
      <c r="AI256" s="2757"/>
      <c r="AJ256" s="2757"/>
      <c r="AK256" s="2757"/>
      <c r="AL256" s="2757"/>
      <c r="AM256" s="2757"/>
      <c r="AN256" s="2757"/>
      <c r="AO256" s="2757"/>
      <c r="AP256" s="2757"/>
      <c r="BG256" s="3013"/>
      <c r="BH256" s="2595"/>
      <c r="BI256" s="2595"/>
      <c r="BJ256" s="2595"/>
      <c r="BK256" s="2595"/>
      <c r="BL256" s="2595"/>
      <c r="BM256" s="2595"/>
      <c r="BN256" s="2595"/>
      <c r="BO256" s="2595"/>
      <c r="BP256" s="2595"/>
    </row>
  </sheetData>
  <sheetProtection algorithmName="SHA-512" hashValue="qgGH0k8ZU2gHNFosaOKgD6lFE9HsV+P/A5YWmxRkMbnVd6+NhtPw1ihxjtUgXSVWAxWLqTf7l5fnFP8xi348gg==" saltValue="7527F5HLOpSqjJ4HkP488Q==" spinCount="100000" sheet="1" objects="1" scenarios="1"/>
  <mergeCells count="657">
    <mergeCell ref="B2:G2"/>
    <mergeCell ref="AI2:AO2"/>
    <mergeCell ref="B3:G3"/>
    <mergeCell ref="AI3:AO4"/>
    <mergeCell ref="B4:G6"/>
    <mergeCell ref="AJ5:AM6"/>
    <mergeCell ref="AN6:AO6"/>
    <mergeCell ref="B14:C14"/>
    <mergeCell ref="B15:C15"/>
    <mergeCell ref="D15:AO15"/>
    <mergeCell ref="B16:C16"/>
    <mergeCell ref="D16:AO16"/>
    <mergeCell ref="B17:C17"/>
    <mergeCell ref="D17:AO17"/>
    <mergeCell ref="AG7:AO7"/>
    <mergeCell ref="B8:AF9"/>
    <mergeCell ref="AG8:AO9"/>
    <mergeCell ref="B10:D10"/>
    <mergeCell ref="B12:C12"/>
    <mergeCell ref="B13:C13"/>
    <mergeCell ref="AF21:AJ21"/>
    <mergeCell ref="B22:C22"/>
    <mergeCell ref="D22:H22"/>
    <mergeCell ref="X22:Z22"/>
    <mergeCell ref="AA22:AE22"/>
    <mergeCell ref="AF22:AJ22"/>
    <mergeCell ref="AK18:AO19"/>
    <mergeCell ref="B20:C20"/>
    <mergeCell ref="D20:H20"/>
    <mergeCell ref="X20:Z20"/>
    <mergeCell ref="AA20:AE20"/>
    <mergeCell ref="AF20:AJ20"/>
    <mergeCell ref="B18:C18"/>
    <mergeCell ref="D18:H19"/>
    <mergeCell ref="I18:J18"/>
    <mergeCell ref="K18:W21"/>
    <mergeCell ref="AA18:AE19"/>
    <mergeCell ref="AF18:AJ19"/>
    <mergeCell ref="B21:C21"/>
    <mergeCell ref="D21:H21"/>
    <mergeCell ref="X21:Z21"/>
    <mergeCell ref="AA21:AE21"/>
    <mergeCell ref="B28:C28"/>
    <mergeCell ref="T28:U28"/>
    <mergeCell ref="V28:AC28"/>
    <mergeCell ref="AD28:AI28"/>
    <mergeCell ref="AJ28:AO28"/>
    <mergeCell ref="V29:AC29"/>
    <mergeCell ref="AD29:AI29"/>
    <mergeCell ref="AJ29:AO29"/>
    <mergeCell ref="AH25:AO25"/>
    <mergeCell ref="V26:AC26"/>
    <mergeCell ref="AD26:AI26"/>
    <mergeCell ref="AJ26:AO26"/>
    <mergeCell ref="B27:C27"/>
    <mergeCell ref="T27:U27"/>
    <mergeCell ref="V27:AC27"/>
    <mergeCell ref="AD27:AI27"/>
    <mergeCell ref="AJ27:AO27"/>
    <mergeCell ref="B30:C30"/>
    <mergeCell ref="T30:U30"/>
    <mergeCell ref="V30:AC30"/>
    <mergeCell ref="AD30:AI30"/>
    <mergeCell ref="AJ30:AO30"/>
    <mergeCell ref="B31:C31"/>
    <mergeCell ref="T31:U31"/>
    <mergeCell ref="V31:AC31"/>
    <mergeCell ref="AD31:AI31"/>
    <mergeCell ref="AJ31:AO31"/>
    <mergeCell ref="B32:C32"/>
    <mergeCell ref="T32:U32"/>
    <mergeCell ref="V32:AC32"/>
    <mergeCell ref="AD32:AI32"/>
    <mergeCell ref="AJ32:AO32"/>
    <mergeCell ref="B33:C33"/>
    <mergeCell ref="T33:U33"/>
    <mergeCell ref="V33:AC33"/>
    <mergeCell ref="AD33:AI33"/>
    <mergeCell ref="AJ33:AO33"/>
    <mergeCell ref="B34:C34"/>
    <mergeCell ref="T34:U34"/>
    <mergeCell ref="V34:AC34"/>
    <mergeCell ref="AD34:AI34"/>
    <mergeCell ref="AJ34:AO34"/>
    <mergeCell ref="B35:C35"/>
    <mergeCell ref="T35:U35"/>
    <mergeCell ref="V35:AC35"/>
    <mergeCell ref="AD35:AI35"/>
    <mergeCell ref="AJ35:AO35"/>
    <mergeCell ref="B36:C36"/>
    <mergeCell ref="T36:U36"/>
    <mergeCell ref="V36:AC36"/>
    <mergeCell ref="AD36:AI36"/>
    <mergeCell ref="AJ36:AO36"/>
    <mergeCell ref="B37:C37"/>
    <mergeCell ref="T37:U37"/>
    <mergeCell ref="V37:AC37"/>
    <mergeCell ref="AD37:AI37"/>
    <mergeCell ref="AJ37:AO37"/>
    <mergeCell ref="B38:C38"/>
    <mergeCell ref="T38:U38"/>
    <mergeCell ref="V38:AC38"/>
    <mergeCell ref="AD38:AI38"/>
    <mergeCell ref="AJ38:AO38"/>
    <mergeCell ref="B39:C39"/>
    <mergeCell ref="T39:U39"/>
    <mergeCell ref="V39:AC39"/>
    <mergeCell ref="AD39:AI39"/>
    <mergeCell ref="AJ39:AO39"/>
    <mergeCell ref="B40:C40"/>
    <mergeCell ref="T40:U40"/>
    <mergeCell ref="V40:AC40"/>
    <mergeCell ref="AD40:AI40"/>
    <mergeCell ref="AJ40:AO40"/>
    <mergeCell ref="B41:C41"/>
    <mergeCell ref="T41:U41"/>
    <mergeCell ref="V41:AC41"/>
    <mergeCell ref="AD41:AI41"/>
    <mergeCell ref="AJ41:AO41"/>
    <mergeCell ref="AR43:AT43"/>
    <mergeCell ref="B44:C44"/>
    <mergeCell ref="H44:R44"/>
    <mergeCell ref="T44:U44"/>
    <mergeCell ref="V44:AC44"/>
    <mergeCell ref="AD44:AI44"/>
    <mergeCell ref="AJ44:AO44"/>
    <mergeCell ref="B42:C42"/>
    <mergeCell ref="T42:U42"/>
    <mergeCell ref="V42:AC42"/>
    <mergeCell ref="AD42:AI42"/>
    <mergeCell ref="AJ42:AO42"/>
    <mergeCell ref="B43:C43"/>
    <mergeCell ref="T43:U43"/>
    <mergeCell ref="V43:AC43"/>
    <mergeCell ref="AD43:AI43"/>
    <mergeCell ref="AJ43:AO43"/>
    <mergeCell ref="AY46:AZ46"/>
    <mergeCell ref="BA46:BB46"/>
    <mergeCell ref="BC46:BD46"/>
    <mergeCell ref="B47:C47"/>
    <mergeCell ref="T47:U47"/>
    <mergeCell ref="V47:AC47"/>
    <mergeCell ref="AD47:AI47"/>
    <mergeCell ref="AJ47:AO47"/>
    <mergeCell ref="B45:C45"/>
    <mergeCell ref="T45:U45"/>
    <mergeCell ref="V45:AC45"/>
    <mergeCell ref="AD45:AI45"/>
    <mergeCell ref="AJ45:AO45"/>
    <mergeCell ref="B46:C46"/>
    <mergeCell ref="T46:U46"/>
    <mergeCell ref="V46:AC46"/>
    <mergeCell ref="AD46:AI46"/>
    <mergeCell ref="AJ46:AO46"/>
    <mergeCell ref="B50:C50"/>
    <mergeCell ref="T50:U50"/>
    <mergeCell ref="W50:AB50"/>
    <mergeCell ref="AE50:AH50"/>
    <mergeCell ref="AK50:AN50"/>
    <mergeCell ref="B51:C51"/>
    <mergeCell ref="AB51:AC51"/>
    <mergeCell ref="AD51:AI51"/>
    <mergeCell ref="B48:C48"/>
    <mergeCell ref="T48:U48"/>
    <mergeCell ref="V48:AC48"/>
    <mergeCell ref="AD48:AI48"/>
    <mergeCell ref="AJ48:AO48"/>
    <mergeCell ref="B49:C49"/>
    <mergeCell ref="T49:U49"/>
    <mergeCell ref="V49:AC49"/>
    <mergeCell ref="AD49:AI49"/>
    <mergeCell ref="AJ49:AO49"/>
    <mergeCell ref="B54:C54"/>
    <mergeCell ref="AB54:AC54"/>
    <mergeCell ref="AD54:AI54"/>
    <mergeCell ref="B55:C55"/>
    <mergeCell ref="AB55:AC55"/>
    <mergeCell ref="AD55:AI55"/>
    <mergeCell ref="B52:C52"/>
    <mergeCell ref="AB52:AC52"/>
    <mergeCell ref="AD52:AI52"/>
    <mergeCell ref="B53:C53"/>
    <mergeCell ref="AB53:AC53"/>
    <mergeCell ref="AD53:AI53"/>
    <mergeCell ref="B58:C58"/>
    <mergeCell ref="AK58:AN58"/>
    <mergeCell ref="B59:C59"/>
    <mergeCell ref="AH60:AI60"/>
    <mergeCell ref="AJ60:AO60"/>
    <mergeCell ref="AG62:AH62"/>
    <mergeCell ref="B56:C56"/>
    <mergeCell ref="AH56:AI56"/>
    <mergeCell ref="AJ56:AO56"/>
    <mergeCell ref="B57:C57"/>
    <mergeCell ref="AH57:AI57"/>
    <mergeCell ref="AK57:AN57"/>
    <mergeCell ref="B75:C75"/>
    <mergeCell ref="C77:N77"/>
    <mergeCell ref="O77:S77"/>
    <mergeCell ref="Y77:AE77"/>
    <mergeCell ref="C78:N78"/>
    <mergeCell ref="O78:S78"/>
    <mergeCell ref="Y78:AE78"/>
    <mergeCell ref="AF63:AO63"/>
    <mergeCell ref="B64:AE64"/>
    <mergeCell ref="AF64:AO64"/>
    <mergeCell ref="B66:D66"/>
    <mergeCell ref="B70:C70"/>
    <mergeCell ref="O74:S76"/>
    <mergeCell ref="T74:X76"/>
    <mergeCell ref="Y74:AE76"/>
    <mergeCell ref="AF74:AJ76"/>
    <mergeCell ref="AK74:AO76"/>
    <mergeCell ref="B81:R81"/>
    <mergeCell ref="S81:AO81"/>
    <mergeCell ref="C82:J84"/>
    <mergeCell ref="K82:R84"/>
    <mergeCell ref="S82:Y84"/>
    <mergeCell ref="Z82:AG84"/>
    <mergeCell ref="AH82:AO84"/>
    <mergeCell ref="C79:N79"/>
    <mergeCell ref="O79:S79"/>
    <mergeCell ref="Y79:AE79"/>
    <mergeCell ref="C80:N80"/>
    <mergeCell ref="O80:S80"/>
    <mergeCell ref="Y80:AE80"/>
    <mergeCell ref="C85:J85"/>
    <mergeCell ref="K85:R85"/>
    <mergeCell ref="S85:Y85"/>
    <mergeCell ref="Z85:AG85"/>
    <mergeCell ref="AH85:AO85"/>
    <mergeCell ref="C86:J86"/>
    <mergeCell ref="K86:R86"/>
    <mergeCell ref="S86:Y86"/>
    <mergeCell ref="Z86:AG86"/>
    <mergeCell ref="AH86:AO86"/>
    <mergeCell ref="C87:J87"/>
    <mergeCell ref="K87:R87"/>
    <mergeCell ref="S87:Y87"/>
    <mergeCell ref="Z87:AG87"/>
    <mergeCell ref="AH87:AO87"/>
    <mergeCell ref="C88:J88"/>
    <mergeCell ref="K88:R88"/>
    <mergeCell ref="S88:Y88"/>
    <mergeCell ref="Z88:AG88"/>
    <mergeCell ref="AH88:AO88"/>
    <mergeCell ref="B89:C89"/>
    <mergeCell ref="K89:R89"/>
    <mergeCell ref="S89:Y89"/>
    <mergeCell ref="AH89:AO89"/>
    <mergeCell ref="B90:C90"/>
    <mergeCell ref="F90:J90"/>
    <mergeCell ref="K90:R90"/>
    <mergeCell ref="S90:Y90"/>
    <mergeCell ref="Z90:AG90"/>
    <mergeCell ref="AH90:AO90"/>
    <mergeCell ref="B93:C93"/>
    <mergeCell ref="AF93:AG93"/>
    <mergeCell ref="AH93:AO93"/>
    <mergeCell ref="B94:D94"/>
    <mergeCell ref="AH95:AO97"/>
    <mergeCell ref="B96:C96"/>
    <mergeCell ref="B91:C91"/>
    <mergeCell ref="AF91:AG91"/>
    <mergeCell ref="AH91:AO91"/>
    <mergeCell ref="B92:C92"/>
    <mergeCell ref="AF92:AG92"/>
    <mergeCell ref="AI92:AN92"/>
    <mergeCell ref="B101:N103"/>
    <mergeCell ref="O101:X103"/>
    <mergeCell ref="Y101:AG103"/>
    <mergeCell ref="AH101:AO103"/>
    <mergeCell ref="C104:N104"/>
    <mergeCell ref="O104:X104"/>
    <mergeCell ref="Y104:AG104"/>
    <mergeCell ref="AH104:AO104"/>
    <mergeCell ref="C98:AG98"/>
    <mergeCell ref="AH98:AO98"/>
    <mergeCell ref="C99:AG99"/>
    <mergeCell ref="AH99:AO99"/>
    <mergeCell ref="B100:X100"/>
    <mergeCell ref="Y100:AO100"/>
    <mergeCell ref="B107:C107"/>
    <mergeCell ref="F107:N107"/>
    <mergeCell ref="Y107:AG107"/>
    <mergeCell ref="B108:C108"/>
    <mergeCell ref="AH108:AI108"/>
    <mergeCell ref="AJ108:AO108"/>
    <mergeCell ref="C105:N105"/>
    <mergeCell ref="O105:X105"/>
    <mergeCell ref="Y105:AG105"/>
    <mergeCell ref="AH105:AO105"/>
    <mergeCell ref="B106:C106"/>
    <mergeCell ref="O106:X106"/>
    <mergeCell ref="AH106:AO106"/>
    <mergeCell ref="B111:D111"/>
    <mergeCell ref="D112:J114"/>
    <mergeCell ref="K112:R114"/>
    <mergeCell ref="S112:Y114"/>
    <mergeCell ref="Z112:AG114"/>
    <mergeCell ref="AH112:AO114"/>
    <mergeCell ref="B113:C113"/>
    <mergeCell ref="B109:C109"/>
    <mergeCell ref="AH109:AI109"/>
    <mergeCell ref="AK109:AN109"/>
    <mergeCell ref="B110:C110"/>
    <mergeCell ref="AH110:AI110"/>
    <mergeCell ref="AJ110:AO110"/>
    <mergeCell ref="B117:D117"/>
    <mergeCell ref="B118:C118"/>
    <mergeCell ref="AH118:AI118"/>
    <mergeCell ref="AJ118:AO118"/>
    <mergeCell ref="B119:C119"/>
    <mergeCell ref="AH119:AI119"/>
    <mergeCell ref="AJ119:AO119"/>
    <mergeCell ref="B115:J115"/>
    <mergeCell ref="K115:R115"/>
    <mergeCell ref="S115:Y115"/>
    <mergeCell ref="Z115:AG115"/>
    <mergeCell ref="AH115:AO115"/>
    <mergeCell ref="B116:C116"/>
    <mergeCell ref="AH116:AI116"/>
    <mergeCell ref="AJ116:AO116"/>
    <mergeCell ref="B129:G129"/>
    <mergeCell ref="AI129:AO129"/>
    <mergeCell ref="B130:G130"/>
    <mergeCell ref="AI130:AO131"/>
    <mergeCell ref="B131:G133"/>
    <mergeCell ref="AJ132:AM133"/>
    <mergeCell ref="AN133:AO133"/>
    <mergeCell ref="B120:C120"/>
    <mergeCell ref="Y123:Z123"/>
    <mergeCell ref="AA123:AG123"/>
    <mergeCell ref="B124:C124"/>
    <mergeCell ref="Y127:Z127"/>
    <mergeCell ref="AA127:AG127"/>
    <mergeCell ref="B141:C141"/>
    <mergeCell ref="B142:C142"/>
    <mergeCell ref="D142:AO142"/>
    <mergeCell ref="B143:C143"/>
    <mergeCell ref="D143:AO143"/>
    <mergeCell ref="B144:C144"/>
    <mergeCell ref="D144:AO144"/>
    <mergeCell ref="AG134:AO134"/>
    <mergeCell ref="B135:AF136"/>
    <mergeCell ref="AG135:AO136"/>
    <mergeCell ref="B137:D137"/>
    <mergeCell ref="B139:C139"/>
    <mergeCell ref="B140:C140"/>
    <mergeCell ref="AF148:AJ148"/>
    <mergeCell ref="B149:C149"/>
    <mergeCell ref="D149:H149"/>
    <mergeCell ref="X149:Z149"/>
    <mergeCell ref="AA149:AE149"/>
    <mergeCell ref="AF149:AJ149"/>
    <mergeCell ref="AK145:AO146"/>
    <mergeCell ref="B147:C147"/>
    <mergeCell ref="D147:H147"/>
    <mergeCell ref="X147:Z147"/>
    <mergeCell ref="AA147:AE147"/>
    <mergeCell ref="AF147:AJ147"/>
    <mergeCell ref="B145:C145"/>
    <mergeCell ref="D145:H146"/>
    <mergeCell ref="I145:J145"/>
    <mergeCell ref="K145:W148"/>
    <mergeCell ref="AA145:AE146"/>
    <mergeCell ref="AF145:AJ146"/>
    <mergeCell ref="B148:C148"/>
    <mergeCell ref="D148:H148"/>
    <mergeCell ref="X148:Z148"/>
    <mergeCell ref="AA148:AE148"/>
    <mergeCell ref="B155:C155"/>
    <mergeCell ref="T155:U155"/>
    <mergeCell ref="V155:AC155"/>
    <mergeCell ref="AD155:AI155"/>
    <mergeCell ref="AJ155:AO155"/>
    <mergeCell ref="V156:AC156"/>
    <mergeCell ref="AD156:AI156"/>
    <mergeCell ref="AJ156:AO156"/>
    <mergeCell ref="AG152:AO152"/>
    <mergeCell ref="V153:AC153"/>
    <mergeCell ref="AD153:AI153"/>
    <mergeCell ref="AJ153:AO153"/>
    <mergeCell ref="B154:C154"/>
    <mergeCell ref="T154:U154"/>
    <mergeCell ref="V154:AC154"/>
    <mergeCell ref="AD154:AI154"/>
    <mergeCell ref="AJ154:AO154"/>
    <mergeCell ref="B157:C157"/>
    <mergeCell ref="T157:U157"/>
    <mergeCell ref="V157:AC157"/>
    <mergeCell ref="AD157:AI157"/>
    <mergeCell ref="AJ157:AO157"/>
    <mergeCell ref="B158:C158"/>
    <mergeCell ref="T158:U158"/>
    <mergeCell ref="V158:AC158"/>
    <mergeCell ref="AD158:AI158"/>
    <mergeCell ref="AJ158:AO158"/>
    <mergeCell ref="B159:C159"/>
    <mergeCell ref="T159:U159"/>
    <mergeCell ref="V159:AC159"/>
    <mergeCell ref="AD159:AI159"/>
    <mergeCell ref="AJ159:AO159"/>
    <mergeCell ref="B160:C160"/>
    <mergeCell ref="T160:U160"/>
    <mergeCell ref="V160:AC160"/>
    <mergeCell ref="AD160:AI160"/>
    <mergeCell ref="AJ160:AO160"/>
    <mergeCell ref="B161:C161"/>
    <mergeCell ref="T161:U161"/>
    <mergeCell ref="V161:AC161"/>
    <mergeCell ref="AD161:AI161"/>
    <mergeCell ref="AJ161:AO161"/>
    <mergeCell ref="B162:C162"/>
    <mergeCell ref="T162:U162"/>
    <mergeCell ref="V162:AC162"/>
    <mergeCell ref="AD162:AI162"/>
    <mergeCell ref="AJ162:AO162"/>
    <mergeCell ref="B163:C163"/>
    <mergeCell ref="T163:U163"/>
    <mergeCell ref="V163:AC163"/>
    <mergeCell ref="AD163:AI163"/>
    <mergeCell ref="AJ163:AO163"/>
    <mergeCell ref="B164:C164"/>
    <mergeCell ref="T164:U164"/>
    <mergeCell ref="V164:AC164"/>
    <mergeCell ref="AD164:AI164"/>
    <mergeCell ref="AJ164:AO164"/>
    <mergeCell ref="B165:C165"/>
    <mergeCell ref="T165:U165"/>
    <mergeCell ref="V165:AC165"/>
    <mergeCell ref="AD165:AI165"/>
    <mergeCell ref="AJ165:AO165"/>
    <mergeCell ref="B166:C166"/>
    <mergeCell ref="T166:U166"/>
    <mergeCell ref="V166:AC166"/>
    <mergeCell ref="AD166:AI166"/>
    <mergeCell ref="AJ166:AO166"/>
    <mergeCell ref="B167:C167"/>
    <mergeCell ref="T167:U167"/>
    <mergeCell ref="V167:AC167"/>
    <mergeCell ref="AD167:AI167"/>
    <mergeCell ref="AJ167:AO167"/>
    <mergeCell ref="B168:C168"/>
    <mergeCell ref="T168:U168"/>
    <mergeCell ref="V168:AC168"/>
    <mergeCell ref="AD168:AI168"/>
    <mergeCell ref="AJ168:AO168"/>
    <mergeCell ref="AR170:AT170"/>
    <mergeCell ref="B171:C171"/>
    <mergeCell ref="H171:R171"/>
    <mergeCell ref="T171:U171"/>
    <mergeCell ref="V171:AC171"/>
    <mergeCell ref="AD171:AI171"/>
    <mergeCell ref="AJ171:AO171"/>
    <mergeCell ref="B169:C169"/>
    <mergeCell ref="T169:U169"/>
    <mergeCell ref="V169:AC169"/>
    <mergeCell ref="AD169:AI169"/>
    <mergeCell ref="AJ169:AO169"/>
    <mergeCell ref="B170:C170"/>
    <mergeCell ref="T170:U170"/>
    <mergeCell ref="V170:AC170"/>
    <mergeCell ref="AD170:AI170"/>
    <mergeCell ref="AJ170:AO170"/>
    <mergeCell ref="AY173:AZ173"/>
    <mergeCell ref="BA173:BB173"/>
    <mergeCell ref="BC173:BD173"/>
    <mergeCell ref="B174:C174"/>
    <mergeCell ref="T174:U174"/>
    <mergeCell ref="V174:AC174"/>
    <mergeCell ref="AD174:AI174"/>
    <mergeCell ref="AJ174:AO174"/>
    <mergeCell ref="B172:C172"/>
    <mergeCell ref="T172:U172"/>
    <mergeCell ref="V172:AC172"/>
    <mergeCell ref="AD172:AI172"/>
    <mergeCell ref="AJ172:AO172"/>
    <mergeCell ref="B173:C173"/>
    <mergeCell ref="T173:U173"/>
    <mergeCell ref="V173:AC173"/>
    <mergeCell ref="AD173:AI173"/>
    <mergeCell ref="AJ173:AO173"/>
    <mergeCell ref="B177:C177"/>
    <mergeCell ref="T177:U177"/>
    <mergeCell ref="W177:AB177"/>
    <mergeCell ref="AE177:AH177"/>
    <mergeCell ref="AK177:AN177"/>
    <mergeCell ref="B178:C178"/>
    <mergeCell ref="AB178:AC178"/>
    <mergeCell ref="AD178:AI178"/>
    <mergeCell ref="B175:C175"/>
    <mergeCell ref="T175:U175"/>
    <mergeCell ref="V175:AC175"/>
    <mergeCell ref="AD175:AI175"/>
    <mergeCell ref="AJ175:AO175"/>
    <mergeCell ref="B176:C176"/>
    <mergeCell ref="T176:U176"/>
    <mergeCell ref="V176:AC176"/>
    <mergeCell ref="AD176:AI176"/>
    <mergeCell ref="AJ176:AO176"/>
    <mergeCell ref="B181:C181"/>
    <mergeCell ref="AB181:AC181"/>
    <mergeCell ref="AD181:AI181"/>
    <mergeCell ref="B182:C182"/>
    <mergeCell ref="AB182:AC182"/>
    <mergeCell ref="AD182:AI182"/>
    <mergeCell ref="B179:C179"/>
    <mergeCell ref="AB179:AC179"/>
    <mergeCell ref="AD179:AI179"/>
    <mergeCell ref="B180:C180"/>
    <mergeCell ref="AB180:AC180"/>
    <mergeCell ref="AD180:AI180"/>
    <mergeCell ref="B185:C185"/>
    <mergeCell ref="AK185:AN185"/>
    <mergeCell ref="B186:C186"/>
    <mergeCell ref="AH187:AI187"/>
    <mergeCell ref="AJ187:AO187"/>
    <mergeCell ref="AF190:AO190"/>
    <mergeCell ref="B183:C183"/>
    <mergeCell ref="AH183:AI183"/>
    <mergeCell ref="AJ183:AO183"/>
    <mergeCell ref="B184:C184"/>
    <mergeCell ref="AH184:AI184"/>
    <mergeCell ref="AK184:AN184"/>
    <mergeCell ref="C204:N204"/>
    <mergeCell ref="O204:S204"/>
    <mergeCell ref="Y204:AE204"/>
    <mergeCell ref="C205:N205"/>
    <mergeCell ref="O205:S205"/>
    <mergeCell ref="Y205:AE205"/>
    <mergeCell ref="B191:AE191"/>
    <mergeCell ref="AF191:AO191"/>
    <mergeCell ref="B193:D193"/>
    <mergeCell ref="B197:C197"/>
    <mergeCell ref="O201:S203"/>
    <mergeCell ref="T201:X203"/>
    <mergeCell ref="Y201:AE203"/>
    <mergeCell ref="AF201:AJ203"/>
    <mergeCell ref="AK201:AO203"/>
    <mergeCell ref="B202:C202"/>
    <mergeCell ref="B208:R208"/>
    <mergeCell ref="S208:AO208"/>
    <mergeCell ref="C209:J211"/>
    <mergeCell ref="K209:R211"/>
    <mergeCell ref="S209:Y211"/>
    <mergeCell ref="Z209:AG211"/>
    <mergeCell ref="AH209:AO211"/>
    <mergeCell ref="C206:N206"/>
    <mergeCell ref="O206:S206"/>
    <mergeCell ref="Y206:AE206"/>
    <mergeCell ref="C207:N207"/>
    <mergeCell ref="O207:S207"/>
    <mergeCell ref="Y207:AE207"/>
    <mergeCell ref="C212:J212"/>
    <mergeCell ref="K212:R212"/>
    <mergeCell ref="S212:Y212"/>
    <mergeCell ref="Z212:AG212"/>
    <mergeCell ref="AH212:AO212"/>
    <mergeCell ref="C213:J213"/>
    <mergeCell ref="K213:R213"/>
    <mergeCell ref="S213:Y213"/>
    <mergeCell ref="Z213:AG213"/>
    <mergeCell ref="AH213:AO213"/>
    <mergeCell ref="C214:J214"/>
    <mergeCell ref="K214:R214"/>
    <mergeCell ref="S214:Y214"/>
    <mergeCell ref="Z214:AG214"/>
    <mergeCell ref="AH214:AO214"/>
    <mergeCell ref="C215:J215"/>
    <mergeCell ref="K215:R215"/>
    <mergeCell ref="S215:Y215"/>
    <mergeCell ref="Z215:AG215"/>
    <mergeCell ref="AH215:AO215"/>
    <mergeCell ref="B216:C216"/>
    <mergeCell ref="K216:R216"/>
    <mergeCell ref="S216:Y216"/>
    <mergeCell ref="AH216:AO216"/>
    <mergeCell ref="B217:C217"/>
    <mergeCell ref="F217:J217"/>
    <mergeCell ref="K217:R217"/>
    <mergeCell ref="S217:Y217"/>
    <mergeCell ref="Z217:AG217"/>
    <mergeCell ref="AH217:AO217"/>
    <mergeCell ref="B220:C220"/>
    <mergeCell ref="AF220:AG220"/>
    <mergeCell ref="AH220:AO220"/>
    <mergeCell ref="B221:D221"/>
    <mergeCell ref="AH222:AO224"/>
    <mergeCell ref="B223:C223"/>
    <mergeCell ref="B218:C218"/>
    <mergeCell ref="AF218:AG218"/>
    <mergeCell ref="AH218:AO218"/>
    <mergeCell ref="B219:C219"/>
    <mergeCell ref="AF219:AG219"/>
    <mergeCell ref="AI219:AN219"/>
    <mergeCell ref="B228:N230"/>
    <mergeCell ref="O228:X230"/>
    <mergeCell ref="Y228:AG230"/>
    <mergeCell ref="AH228:AO230"/>
    <mergeCell ref="C231:N231"/>
    <mergeCell ref="O231:X231"/>
    <mergeCell ref="Y231:AG231"/>
    <mergeCell ref="AH231:AO231"/>
    <mergeCell ref="C225:AG225"/>
    <mergeCell ref="AH225:AO225"/>
    <mergeCell ref="C226:AG226"/>
    <mergeCell ref="AH226:AO226"/>
    <mergeCell ref="B227:X227"/>
    <mergeCell ref="Y227:AO227"/>
    <mergeCell ref="B234:C234"/>
    <mergeCell ref="F234:N234"/>
    <mergeCell ref="Y234:AG234"/>
    <mergeCell ref="B235:C235"/>
    <mergeCell ref="AH235:AI235"/>
    <mergeCell ref="AJ235:AO235"/>
    <mergeCell ref="C232:N232"/>
    <mergeCell ref="O232:X232"/>
    <mergeCell ref="Y232:AG232"/>
    <mergeCell ref="AH232:AO232"/>
    <mergeCell ref="B233:C233"/>
    <mergeCell ref="O233:X233"/>
    <mergeCell ref="AH233:AO233"/>
    <mergeCell ref="B238:D238"/>
    <mergeCell ref="D239:J241"/>
    <mergeCell ref="K239:R241"/>
    <mergeCell ref="S239:Y241"/>
    <mergeCell ref="Z239:AG241"/>
    <mergeCell ref="AH239:AO241"/>
    <mergeCell ref="B240:C240"/>
    <mergeCell ref="B236:C236"/>
    <mergeCell ref="AH236:AI236"/>
    <mergeCell ref="AK236:AN236"/>
    <mergeCell ref="B237:C237"/>
    <mergeCell ref="AH237:AI237"/>
    <mergeCell ref="AJ237:AO237"/>
    <mergeCell ref="AJ245:AO245"/>
    <mergeCell ref="B246:C246"/>
    <mergeCell ref="AH246:AI246"/>
    <mergeCell ref="AJ246:AO246"/>
    <mergeCell ref="B242:J242"/>
    <mergeCell ref="K242:R242"/>
    <mergeCell ref="S242:Y242"/>
    <mergeCell ref="Z242:AG242"/>
    <mergeCell ref="AH242:AO242"/>
    <mergeCell ref="B243:C243"/>
    <mergeCell ref="AH243:AI243"/>
    <mergeCell ref="AJ243:AO243"/>
    <mergeCell ref="B247:C247"/>
    <mergeCell ref="Y250:Z250"/>
    <mergeCell ref="AA250:AG250"/>
    <mergeCell ref="B251:C251"/>
    <mergeCell ref="Y254:Z254"/>
    <mergeCell ref="AA254:AG254"/>
    <mergeCell ref="B244:D244"/>
    <mergeCell ref="B245:C245"/>
    <mergeCell ref="AH245:AI245"/>
  </mergeCells>
  <conditionalFormatting sqref="B8 AG8">
    <cfRule type="expression" dxfId="1922" priority="112">
      <formula>NoColor</formula>
    </cfRule>
  </conditionalFormatting>
  <conditionalFormatting sqref="B135 AG135">
    <cfRule type="expression" dxfId="1921" priority="60">
      <formula>NoColor</formula>
    </cfRule>
  </conditionalFormatting>
  <conditionalFormatting sqref="B64:AO64">
    <cfRule type="expression" dxfId="1920" priority="91">
      <formula>NoColor</formula>
    </cfRule>
  </conditionalFormatting>
  <conditionalFormatting sqref="B115:AO115">
    <cfRule type="expression" dxfId="1919" priority="61">
      <formula>NoColor</formula>
    </cfRule>
  </conditionalFormatting>
  <conditionalFormatting sqref="B191:AO191">
    <cfRule type="expression" dxfId="1918" priority="6">
      <formula>NoColor</formula>
    </cfRule>
  </conditionalFormatting>
  <conditionalFormatting sqref="B242:AO242">
    <cfRule type="expression" dxfId="1917" priority="10">
      <formula>NoColor</formula>
    </cfRule>
  </conditionalFormatting>
  <conditionalFormatting sqref="C98:J99">
    <cfRule type="expression" dxfId="1916" priority="81">
      <formula>NoColor</formula>
    </cfRule>
  </conditionalFormatting>
  <conditionalFormatting sqref="C225:J226">
    <cfRule type="expression" dxfId="1915" priority="30">
      <formula>NoColor</formula>
    </cfRule>
  </conditionalFormatting>
  <conditionalFormatting sqref="C77:AO80">
    <cfRule type="expression" dxfId="1914" priority="90">
      <formula>NoColor</formula>
    </cfRule>
  </conditionalFormatting>
  <conditionalFormatting sqref="C85:AO88">
    <cfRule type="expression" dxfId="1913" priority="89">
      <formula>NoColor</formula>
    </cfRule>
  </conditionalFormatting>
  <conditionalFormatting sqref="C104:AO105">
    <cfRule type="expression" dxfId="1912" priority="79">
      <formula>NoColor</formula>
    </cfRule>
  </conditionalFormatting>
  <conditionalFormatting sqref="C204:AO207">
    <cfRule type="expression" dxfId="1911" priority="39">
      <formula>NoColor</formula>
    </cfRule>
  </conditionalFormatting>
  <conditionalFormatting sqref="C212:AO215">
    <cfRule type="expression" dxfId="1910" priority="38">
      <formula>NoColor</formula>
    </cfRule>
  </conditionalFormatting>
  <conditionalFormatting sqref="C231:AO232">
    <cfRule type="expression" dxfId="1909" priority="28">
      <formula>NoColor</formula>
    </cfRule>
  </conditionalFormatting>
  <conditionalFormatting sqref="D20:H22">
    <cfRule type="expression" dxfId="1908" priority="110">
      <formula>NoColor</formula>
    </cfRule>
  </conditionalFormatting>
  <conditionalFormatting sqref="D147:H149">
    <cfRule type="expression" dxfId="1907" priority="58">
      <formula>NoColor</formula>
    </cfRule>
  </conditionalFormatting>
  <conditionalFormatting sqref="D15:AO17">
    <cfRule type="expression" dxfId="1906" priority="111">
      <formula>NoColor</formula>
    </cfRule>
  </conditionalFormatting>
  <conditionalFormatting sqref="D142:AO144">
    <cfRule type="expression" dxfId="1905" priority="59">
      <formula>NoColor</formula>
    </cfRule>
  </conditionalFormatting>
  <conditionalFormatting sqref="F90:J90">
    <cfRule type="expression" dxfId="1904" priority="88">
      <formula>NoColor</formula>
    </cfRule>
  </conditionalFormatting>
  <conditionalFormatting sqref="F217:J217">
    <cfRule type="expression" dxfId="1903" priority="37">
      <formula>NoColor</formula>
    </cfRule>
  </conditionalFormatting>
  <conditionalFormatting sqref="F107:N107">
    <cfRule type="expression" dxfId="1902" priority="78">
      <formula>NoColor</formula>
    </cfRule>
  </conditionalFormatting>
  <conditionalFormatting sqref="F234:N234">
    <cfRule type="expression" dxfId="1901" priority="27">
      <formula>NoColor</formula>
    </cfRule>
  </conditionalFormatting>
  <conditionalFormatting sqref="H2">
    <cfRule type="expression" dxfId="1900" priority="62">
      <formula>NOT(Draft)</formula>
    </cfRule>
  </conditionalFormatting>
  <conditionalFormatting sqref="H129">
    <cfRule type="expression" dxfId="1899" priority="11">
      <formula>NOT(Draft)</formula>
    </cfRule>
  </conditionalFormatting>
  <conditionalFormatting sqref="H190">
    <cfRule type="expression" dxfId="1898" priority="1">
      <formula>AND($AR190,$AP191="",NOT(NoColor))</formula>
    </cfRule>
  </conditionalFormatting>
  <conditionalFormatting sqref="H63:I63">
    <cfRule type="expression" dxfId="1897" priority="2">
      <formula>AND($AR63,$AP64="",NOT(NoColor))</formula>
    </cfRule>
  </conditionalFormatting>
  <conditionalFormatting sqref="H44:R45">
    <cfRule type="expression" dxfId="1896" priority="99">
      <formula>NoColor</formula>
    </cfRule>
  </conditionalFormatting>
  <conditionalFormatting sqref="H171:R172">
    <cfRule type="expression" dxfId="1895" priority="47">
      <formula>NoColor</formula>
    </cfRule>
  </conditionalFormatting>
  <conditionalFormatting sqref="H56:AF56">
    <cfRule type="expression" dxfId="1894" priority="97">
      <formula>NoColor</formula>
    </cfRule>
  </conditionalFormatting>
  <conditionalFormatting sqref="H183:AF183">
    <cfRule type="expression" dxfId="1893" priority="45">
      <formula>NoColor</formula>
    </cfRule>
  </conditionalFormatting>
  <conditionalFormatting sqref="H57:AG57">
    <cfRule type="expression" dxfId="1892" priority="95">
      <formula>NoColor</formula>
    </cfRule>
  </conditionalFormatting>
  <conditionalFormatting sqref="H184:AG184">
    <cfRule type="expression" dxfId="1891" priority="43">
      <formula>NoColor</formula>
    </cfRule>
  </conditionalFormatting>
  <conditionalFormatting sqref="K89:R89">
    <cfRule type="expression" dxfId="1890" priority="87">
      <formula>NoColor</formula>
    </cfRule>
  </conditionalFormatting>
  <conditionalFormatting sqref="K216:R216">
    <cfRule type="expression" dxfId="1889" priority="36">
      <formula>NoColor</formula>
    </cfRule>
  </conditionalFormatting>
  <conditionalFormatting sqref="O106:X106">
    <cfRule type="expression" dxfId="1888" priority="77">
      <formula>NoColor</formula>
    </cfRule>
  </conditionalFormatting>
  <conditionalFormatting sqref="O233:X233">
    <cfRule type="expression" dxfId="1887" priority="26">
      <formula>NoColor</formula>
    </cfRule>
  </conditionalFormatting>
  <conditionalFormatting sqref="S90:AG90">
    <cfRule type="expression" dxfId="1886" priority="84">
      <formula>NoColor</formula>
    </cfRule>
  </conditionalFormatting>
  <conditionalFormatting sqref="S217:AG217">
    <cfRule type="expression" dxfId="1885" priority="33">
      <formula>NoColor</formula>
    </cfRule>
  </conditionalFormatting>
  <conditionalFormatting sqref="V50:W50 AC50:AE50 AI50:AK50 AO50">
    <cfRule type="expression" dxfId="1884" priority="101">
      <formula>NoColor</formula>
    </cfRule>
  </conditionalFormatting>
  <conditionalFormatting sqref="V177:W177 AC177:AE177 AI177:AK177 AO177">
    <cfRule type="expression" dxfId="1883" priority="49">
      <formula>NoColor</formula>
    </cfRule>
  </conditionalFormatting>
  <conditionalFormatting sqref="V29:AC29">
    <cfRule type="expression" dxfId="1882" priority="68">
      <formula>$BE$20</formula>
    </cfRule>
  </conditionalFormatting>
  <conditionalFormatting sqref="V156:AC156">
    <cfRule type="expression" dxfId="1881" priority="17">
      <formula>$BE$20</formula>
    </cfRule>
  </conditionalFormatting>
  <conditionalFormatting sqref="V27:AO28">
    <cfRule type="expression" dxfId="1880" priority="105">
      <formula>NoColor</formula>
    </cfRule>
  </conditionalFormatting>
  <conditionalFormatting sqref="V30:AO45">
    <cfRule type="expression" dxfId="1879" priority="103">
      <formula>NoColor</formula>
    </cfRule>
  </conditionalFormatting>
  <conditionalFormatting sqref="V48:AO48">
    <cfRule type="expression" dxfId="1878" priority="102">
      <formula>NoColor</formula>
    </cfRule>
  </conditionalFormatting>
  <conditionalFormatting sqref="V154:AO155">
    <cfRule type="expression" dxfId="1877" priority="53">
      <formula>NoColor</formula>
    </cfRule>
  </conditionalFormatting>
  <conditionalFormatting sqref="V157:AO172">
    <cfRule type="expression" dxfId="1876" priority="51">
      <formula>NoColor</formula>
    </cfRule>
  </conditionalFormatting>
  <conditionalFormatting sqref="V175:AO175">
    <cfRule type="expression" dxfId="1875" priority="50">
      <formula>NoColor</formula>
    </cfRule>
  </conditionalFormatting>
  <conditionalFormatting sqref="Y107:AG107">
    <cfRule type="expression" dxfId="1874" priority="76">
      <formula>NoColor</formula>
    </cfRule>
  </conditionalFormatting>
  <conditionalFormatting sqref="Y234:AG234">
    <cfRule type="expression" dxfId="1873" priority="25">
      <formula>NoColor</formula>
    </cfRule>
  </conditionalFormatting>
  <conditionalFormatting sqref="AA20:AE22">
    <cfRule type="expression" dxfId="1872" priority="64">
      <formula>AV20</formula>
    </cfRule>
  </conditionalFormatting>
  <conditionalFormatting sqref="AA147:AE149">
    <cfRule type="expression" dxfId="1871" priority="13">
      <formula>AV147</formula>
    </cfRule>
  </conditionalFormatting>
  <conditionalFormatting sqref="AA123:AG123">
    <cfRule type="expression" dxfId="1870" priority="70">
      <formula>NoColor</formula>
    </cfRule>
  </conditionalFormatting>
  <conditionalFormatting sqref="AA127:AG127">
    <cfRule type="expression" dxfId="1869" priority="69">
      <formula>NoColor</formula>
    </cfRule>
  </conditionalFormatting>
  <conditionalFormatting sqref="AA250:AG250">
    <cfRule type="expression" dxfId="1868" priority="19">
      <formula>NoColor</formula>
    </cfRule>
  </conditionalFormatting>
  <conditionalFormatting sqref="AA254:AG254">
    <cfRule type="expression" dxfId="1867" priority="18">
      <formula>NoColor</formula>
    </cfRule>
  </conditionalFormatting>
  <conditionalFormatting sqref="AA20:AJ22">
    <cfRule type="expression" dxfId="1866" priority="109">
      <formula>NoColor</formula>
    </cfRule>
  </conditionalFormatting>
  <conditionalFormatting sqref="AA147:AJ149">
    <cfRule type="expression" dxfId="1865" priority="57">
      <formula>NoColor</formula>
    </cfRule>
  </conditionalFormatting>
  <conditionalFormatting sqref="AD29:AI29">
    <cfRule type="expression" dxfId="1864" priority="67">
      <formula>$BE$21</formula>
    </cfRule>
  </conditionalFormatting>
  <conditionalFormatting sqref="AD51:AI55 AD60:AF60 AD61:AI61">
    <cfRule type="expression" dxfId="1863" priority="100">
      <formula>NoColor</formula>
    </cfRule>
  </conditionalFormatting>
  <conditionalFormatting sqref="AD156:AI156">
    <cfRule type="expression" dxfId="1862" priority="16">
      <formula>$BE$21</formula>
    </cfRule>
  </conditionalFormatting>
  <conditionalFormatting sqref="AD178:AI182 AD187:AF187 AD188:AI188">
    <cfRule type="expression" dxfId="1861" priority="48">
      <formula>NoColor</formula>
    </cfRule>
  </conditionalFormatting>
  <conditionalFormatting sqref="AF20:AJ22">
    <cfRule type="expression" dxfId="1860" priority="65">
      <formula>AW20</formula>
    </cfRule>
  </conditionalFormatting>
  <conditionalFormatting sqref="AF147:AJ149">
    <cfRule type="expression" dxfId="1859" priority="14">
      <formula>AW147</formula>
    </cfRule>
  </conditionalFormatting>
  <conditionalFormatting sqref="AG152:AO152">
    <cfRule type="expression" dxfId="1858" priority="7">
      <formula>OR(NoColor,NOT(AR150))</formula>
    </cfRule>
  </conditionalFormatting>
  <conditionalFormatting sqref="AH25:AO25">
    <cfRule type="expression" dxfId="1857" priority="8">
      <formula>OR(NoColor,NOT(AR$23))</formula>
    </cfRule>
  </conditionalFormatting>
  <conditionalFormatting sqref="AH89:AO89">
    <cfRule type="expression" dxfId="1856" priority="85">
      <formula>NoColor</formula>
    </cfRule>
  </conditionalFormatting>
  <conditionalFormatting sqref="AH91:AO91 AH92:AI92 AO92 AH93:AO93">
    <cfRule type="expression" dxfId="1855" priority="83">
      <formula>NoColor</formula>
    </cfRule>
  </conditionalFormatting>
  <conditionalFormatting sqref="AH98:AO99">
    <cfRule type="expression" dxfId="1854" priority="82">
      <formula>NoColor</formula>
    </cfRule>
  </conditionalFormatting>
  <conditionalFormatting sqref="AH106:AO106">
    <cfRule type="expression" dxfId="1853" priority="75">
      <formula>NoColor</formula>
    </cfRule>
  </conditionalFormatting>
  <conditionalFormatting sqref="AH216:AO216">
    <cfRule type="expression" dxfId="1852" priority="34">
      <formula>NoColor</formula>
    </cfRule>
  </conditionalFormatting>
  <conditionalFormatting sqref="AH218:AO218 AH219:AI219 AO219 AH220:AO220">
    <cfRule type="expression" dxfId="1851" priority="32">
      <formula>NoColor</formula>
    </cfRule>
  </conditionalFormatting>
  <conditionalFormatting sqref="AH225:AO226">
    <cfRule type="expression" dxfId="1850" priority="31">
      <formula>NoColor</formula>
    </cfRule>
  </conditionalFormatting>
  <conditionalFormatting sqref="AH233:AO233">
    <cfRule type="expression" dxfId="1849" priority="24">
      <formula>NoColor</formula>
    </cfRule>
  </conditionalFormatting>
  <conditionalFormatting sqref="AJ12">
    <cfRule type="expression" dxfId="1848" priority="63">
      <formula>NOT(Draft)</formula>
    </cfRule>
  </conditionalFormatting>
  <conditionalFormatting sqref="AJ12:AJ13">
    <cfRule type="expression" dxfId="1847" priority="107">
      <formula>NoColor</formula>
    </cfRule>
  </conditionalFormatting>
  <conditionalFormatting sqref="AJ72">
    <cfRule type="expression" dxfId="1846" priority="93">
      <formula>NoColor</formula>
    </cfRule>
  </conditionalFormatting>
  <conditionalFormatting sqref="AJ139">
    <cfRule type="expression" dxfId="1845" priority="12">
      <formula>NOT(Draft)</formula>
    </cfRule>
  </conditionalFormatting>
  <conditionalFormatting sqref="AJ139:AJ140">
    <cfRule type="expression" dxfId="1844" priority="55">
      <formula>NoColor</formula>
    </cfRule>
  </conditionalFormatting>
  <conditionalFormatting sqref="AJ199">
    <cfRule type="expression" dxfId="1843" priority="41">
      <formula>NoColor</formula>
    </cfRule>
  </conditionalFormatting>
  <conditionalFormatting sqref="AJ57:AK57">
    <cfRule type="expression" dxfId="1842" priority="9">
      <formula>NoColor</formula>
    </cfRule>
  </conditionalFormatting>
  <conditionalFormatting sqref="AJ184:AK184 AO184">
    <cfRule type="expression" dxfId="1841" priority="44">
      <formula>NoColor</formula>
    </cfRule>
  </conditionalFormatting>
  <conditionalFormatting sqref="AJ29:AO29">
    <cfRule type="expression" dxfId="1840" priority="66">
      <formula>$BE$22</formula>
    </cfRule>
  </conditionalFormatting>
  <conditionalFormatting sqref="AJ56:AO56">
    <cfRule type="expression" dxfId="1839" priority="98">
      <formula>NoColor</formula>
    </cfRule>
  </conditionalFormatting>
  <conditionalFormatting sqref="AJ60:AO60">
    <cfRule type="expression" dxfId="1838" priority="94">
      <formula>NoColor</formula>
    </cfRule>
  </conditionalFormatting>
  <conditionalFormatting sqref="AJ108:AO108 AJ109:AK109 AO109 AJ110:AO110">
    <cfRule type="expression" dxfId="1837" priority="74">
      <formula>NoColor</formula>
    </cfRule>
  </conditionalFormatting>
  <conditionalFormatting sqref="AJ116:AO116">
    <cfRule type="expression" dxfId="1836" priority="73">
      <formula>NoColor</formula>
    </cfRule>
  </conditionalFormatting>
  <conditionalFormatting sqref="AJ118:AO119">
    <cfRule type="expression" dxfId="1835" priority="71">
      <formula>NoColor</formula>
    </cfRule>
  </conditionalFormatting>
  <conditionalFormatting sqref="AJ156:AO156">
    <cfRule type="expression" dxfId="1834" priority="15">
      <formula>$BE$22</formula>
    </cfRule>
  </conditionalFormatting>
  <conditionalFormatting sqref="AJ183:AO183">
    <cfRule type="expression" dxfId="1833" priority="46">
      <formula>NoColor</formula>
    </cfRule>
  </conditionalFormatting>
  <conditionalFormatting sqref="AJ187:AO187">
    <cfRule type="expression" dxfId="1832" priority="42">
      <formula>NoColor</formula>
    </cfRule>
  </conditionalFormatting>
  <conditionalFormatting sqref="AJ235:AO235 AJ236:AK236 AO236 AJ237:AO237">
    <cfRule type="expression" dxfId="1831" priority="23">
      <formula>NoColor</formula>
    </cfRule>
  </conditionalFormatting>
  <conditionalFormatting sqref="AJ243:AO243">
    <cfRule type="expression" dxfId="1830" priority="22">
      <formula>NoColor</formula>
    </cfRule>
  </conditionalFormatting>
  <conditionalFormatting sqref="AJ245:AO246">
    <cfRule type="expression" dxfId="1829" priority="20">
      <formula>NoColor</formula>
    </cfRule>
  </conditionalFormatting>
  <conditionalFormatting sqref="AM12:AM13">
    <cfRule type="expression" dxfId="1828" priority="106">
      <formula>NoColor</formula>
    </cfRule>
  </conditionalFormatting>
  <conditionalFormatting sqref="AM20:AM22">
    <cfRule type="expression" dxfId="1827" priority="108">
      <formula>NoColor</formula>
    </cfRule>
  </conditionalFormatting>
  <conditionalFormatting sqref="AM72">
    <cfRule type="expression" dxfId="1826" priority="92">
      <formula>NoColor</formula>
    </cfRule>
  </conditionalFormatting>
  <conditionalFormatting sqref="AM139:AM140">
    <cfRule type="expression" dxfId="1825" priority="54">
      <formula>NoColor</formula>
    </cfRule>
  </conditionalFormatting>
  <conditionalFormatting sqref="AM147:AM149">
    <cfRule type="expression" dxfId="1824" priority="56">
      <formula>NoColor</formula>
    </cfRule>
  </conditionalFormatting>
  <conditionalFormatting sqref="AM199">
    <cfRule type="expression" dxfId="1823" priority="40">
      <formula>NoColor</formula>
    </cfRule>
  </conditionalFormatting>
  <conditionalFormatting sqref="AO57">
    <cfRule type="expression" dxfId="1822" priority="96">
      <formula>NoColor</formula>
    </cfRule>
  </conditionalFormatting>
  <conditionalFormatting sqref="AP64">
    <cfRule type="expression" dxfId="1821" priority="4">
      <formula>$AR63</formula>
    </cfRule>
  </conditionalFormatting>
  <conditionalFormatting sqref="AP191">
    <cfRule type="expression" dxfId="1820" priority="5">
      <formula>$AR190</formula>
    </cfRule>
  </conditionalFormatting>
  <pageMargins left="0.45" right="0.2" top="0.5" bottom="0.25" header="0" footer="0"/>
  <pageSetup scale="77" fitToHeight="0" orientation="portrait" r:id="rId1"/>
  <rowBreaks count="3" manualBreakCount="3">
    <brk id="61" min="1" max="40" man="1"/>
    <brk id="128" min="1" max="40" man="1"/>
    <brk id="188" min="1" max="40"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P125"/>
  <sheetViews>
    <sheetView zoomScaleNormal="100" workbookViewId="0"/>
  </sheetViews>
  <sheetFormatPr defaultRowHeight="12.75"/>
  <cols>
    <col min="1" max="1" width="2" customWidth="1"/>
    <col min="2" max="2" width="3.85546875" customWidth="1"/>
    <col min="3" max="3" width="4" customWidth="1"/>
    <col min="4" max="4" width="12" customWidth="1"/>
    <col min="5" max="5" width="11.7109375" customWidth="1"/>
    <col min="6" max="6" width="3" customWidth="1"/>
    <col min="7" max="7" width="6.28515625" customWidth="1"/>
    <col min="8" max="8" width="3.28515625" customWidth="1"/>
    <col min="9" max="9" width="3.85546875" customWidth="1"/>
    <col min="10" max="13" width="3.28515625" customWidth="1"/>
    <col min="14" max="14" width="2.28515625" customWidth="1"/>
    <col min="15" max="15" width="2.85546875" customWidth="1"/>
    <col min="16" max="16" width="4.85546875" customWidth="1"/>
    <col min="17" max="17" width="2.42578125" customWidth="1"/>
    <col min="18" max="18" width="11.7109375" customWidth="1"/>
    <col min="19" max="19" width="3.7109375" customWidth="1"/>
    <col min="20" max="23" width="3.42578125" customWidth="1"/>
    <col min="24" max="24" width="4" customWidth="1"/>
    <col min="25" max="28" width="3.42578125" customWidth="1"/>
    <col min="29" max="29" width="1.7109375" customWidth="1"/>
    <col min="30" max="30" width="13.85546875" style="42" customWidth="1"/>
    <col min="31" max="31" width="2.5703125" customWidth="1"/>
    <col min="32" max="32" width="15.42578125" customWidth="1"/>
    <col min="33" max="42" width="10.7109375" style="2595" customWidth="1"/>
  </cols>
  <sheetData>
    <row r="1" spans="1:33" ht="15.75" customHeight="1">
      <c r="A1" s="78"/>
      <c r="B1" s="78"/>
      <c r="C1" s="78"/>
      <c r="D1" s="78"/>
      <c r="E1" s="1009"/>
      <c r="F1" s="78"/>
      <c r="G1" s="78"/>
      <c r="H1" s="78"/>
      <c r="I1" s="78"/>
      <c r="J1" s="78"/>
      <c r="K1" s="78"/>
      <c r="L1" s="78"/>
      <c r="M1" s="78"/>
      <c r="N1" s="78"/>
      <c r="O1" s="78"/>
      <c r="P1" s="78"/>
      <c r="Q1" s="78"/>
      <c r="R1" s="78"/>
      <c r="S1" s="78"/>
      <c r="T1" s="78"/>
      <c r="U1" s="78"/>
      <c r="V1" s="78"/>
      <c r="W1" s="78"/>
      <c r="X1" s="78"/>
      <c r="Y1" s="78"/>
      <c r="Z1" s="78"/>
      <c r="AA1" s="78"/>
      <c r="AB1" s="78"/>
      <c r="AC1" s="588"/>
      <c r="AD1" s="385"/>
      <c r="AE1" s="588"/>
      <c r="AG1" s="2594" t="s">
        <v>2033</v>
      </c>
    </row>
    <row r="2" spans="1:33" ht="15.75" customHeight="1">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588"/>
      <c r="AD2" s="385"/>
      <c r="AE2" s="588"/>
    </row>
    <row r="3" spans="1:33" ht="10.5" customHeight="1">
      <c r="A3" s="78"/>
      <c r="B3" s="7484" t="s">
        <v>4110</v>
      </c>
      <c r="C3" s="7484"/>
      <c r="D3" s="7485"/>
      <c r="E3" s="3211"/>
      <c r="F3" s="1179"/>
      <c r="G3" s="1179"/>
      <c r="H3" s="1179"/>
      <c r="I3" s="1179"/>
      <c r="J3" s="1179"/>
      <c r="K3" s="1179"/>
      <c r="L3" s="1179"/>
      <c r="M3" s="1179"/>
      <c r="N3" s="1179"/>
      <c r="O3" s="1179"/>
      <c r="P3" s="1179"/>
      <c r="Q3" s="1179"/>
      <c r="R3" s="1179"/>
      <c r="S3" s="1179"/>
      <c r="T3" s="1179"/>
      <c r="U3" s="1179"/>
      <c r="V3" s="3212"/>
      <c r="W3" s="1179"/>
      <c r="X3" s="1461" t="s">
        <v>152</v>
      </c>
      <c r="Y3" s="1461"/>
      <c r="Z3" s="1462"/>
      <c r="AA3" s="1462"/>
      <c r="AB3" s="1462"/>
      <c r="AC3" s="588"/>
      <c r="AD3" s="7503" t="s">
        <v>4344</v>
      </c>
      <c r="AE3" s="588"/>
    </row>
    <row r="4" spans="1:33" ht="21.75" customHeight="1">
      <c r="A4" s="588"/>
      <c r="B4" s="7486"/>
      <c r="C4" s="7486"/>
      <c r="D4" s="7485"/>
      <c r="E4" s="7514" t="s">
        <v>922</v>
      </c>
      <c r="F4" s="7178"/>
      <c r="G4" s="7178"/>
      <c r="H4" s="7178"/>
      <c r="I4" s="7178"/>
      <c r="J4" s="7178"/>
      <c r="K4" s="7178"/>
      <c r="L4" s="7178"/>
      <c r="M4" s="7178"/>
      <c r="N4" s="7178"/>
      <c r="O4" s="7178"/>
      <c r="P4" s="7178"/>
      <c r="Q4" s="7178"/>
      <c r="R4" s="7178"/>
      <c r="S4" s="7178"/>
      <c r="T4" s="7178"/>
      <c r="U4" s="7178"/>
      <c r="V4" s="7178"/>
      <c r="W4" s="7515"/>
      <c r="X4" s="7521">
        <f>TaxYear</f>
        <v>2021</v>
      </c>
      <c r="Y4" s="7522"/>
      <c r="Z4" s="7522"/>
      <c r="AA4" s="7522"/>
      <c r="AB4" s="7522"/>
      <c r="AC4" s="588"/>
      <c r="AD4" s="7503"/>
      <c r="AE4" s="588"/>
    </row>
    <row r="5" spans="1:33" ht="9.75" customHeight="1" thickBot="1">
      <c r="A5" s="588"/>
      <c r="B5" s="7504" t="s">
        <v>2122</v>
      </c>
      <c r="C5" s="7504"/>
      <c r="D5" s="7505"/>
      <c r="E5" s="1491" t="s">
        <v>3500</v>
      </c>
      <c r="F5" s="1464"/>
      <c r="G5" s="1464"/>
      <c r="H5" s="1464"/>
      <c r="I5" s="1464"/>
      <c r="J5" s="1464"/>
      <c r="K5" s="1464"/>
      <c r="L5" s="1464"/>
      <c r="M5" s="1464"/>
      <c r="N5" s="1464"/>
      <c r="O5" s="1464"/>
      <c r="P5" s="1464"/>
      <c r="Q5" s="1464"/>
      <c r="R5" s="1464"/>
      <c r="S5" s="1464"/>
      <c r="T5" s="1464"/>
      <c r="U5" s="1464"/>
      <c r="V5" s="1464"/>
      <c r="W5" s="1464"/>
      <c r="X5" s="7523" t="s">
        <v>2946</v>
      </c>
      <c r="Y5" s="7524"/>
      <c r="Z5" s="7524"/>
      <c r="AA5" s="7524"/>
      <c r="AB5" s="7524"/>
      <c r="AC5" s="588"/>
      <c r="AD5" s="385"/>
      <c r="AE5" s="588"/>
    </row>
    <row r="6" spans="1:33" ht="12" customHeight="1" thickBot="1">
      <c r="A6" s="588"/>
      <c r="B6" s="7504"/>
      <c r="C6" s="7504"/>
      <c r="D6" s="7505"/>
      <c r="E6" s="7508" t="s">
        <v>2012</v>
      </c>
      <c r="F6" s="7509"/>
      <c r="G6" s="7509"/>
      <c r="H6" s="7509"/>
      <c r="I6" s="7509"/>
      <c r="J6" s="7509"/>
      <c r="K6" s="7509"/>
      <c r="L6" s="7509"/>
      <c r="M6" s="7509"/>
      <c r="N6" s="7509"/>
      <c r="O6" s="7509"/>
      <c r="P6" s="7509"/>
      <c r="Q6" s="7509"/>
      <c r="R6" s="7509"/>
      <c r="S6" s="7509"/>
      <c r="T6" s="7509"/>
      <c r="U6" s="7509"/>
      <c r="V6" s="7509"/>
      <c r="W6" s="7510"/>
      <c r="X6" s="7525"/>
      <c r="Y6" s="7524"/>
      <c r="Z6" s="7524"/>
      <c r="AA6" s="7524"/>
      <c r="AB6" s="7524"/>
      <c r="AC6" s="588"/>
      <c r="AD6" s="4784" t="s">
        <v>4345</v>
      </c>
      <c r="AE6" s="1860" t="str">
        <f>IF(AE8="","X","")</f>
        <v>X</v>
      </c>
    </row>
    <row r="7" spans="1:33" ht="6.75" customHeight="1" thickBot="1">
      <c r="A7" s="588"/>
      <c r="B7" s="7506"/>
      <c r="C7" s="7506"/>
      <c r="D7" s="7507"/>
      <c r="E7" s="7511"/>
      <c r="F7" s="7512"/>
      <c r="G7" s="7512"/>
      <c r="H7" s="7512"/>
      <c r="I7" s="7512"/>
      <c r="J7" s="7512"/>
      <c r="K7" s="7512"/>
      <c r="L7" s="7512"/>
      <c r="M7" s="7512"/>
      <c r="N7" s="7512"/>
      <c r="O7" s="7512"/>
      <c r="P7" s="7512"/>
      <c r="Q7" s="7512"/>
      <c r="R7" s="7512"/>
      <c r="S7" s="7512"/>
      <c r="T7" s="7512"/>
      <c r="U7" s="7512"/>
      <c r="V7" s="7512"/>
      <c r="W7" s="7513"/>
      <c r="X7" s="7526"/>
      <c r="Y7" s="7527"/>
      <c r="Z7" s="7527"/>
      <c r="AA7" s="7527"/>
      <c r="AB7" s="7527"/>
      <c r="AC7" s="588"/>
      <c r="AD7" s="385"/>
      <c r="AE7" s="588"/>
    </row>
    <row r="8" spans="1:33" ht="12" customHeight="1" thickBot="1">
      <c r="A8" s="588"/>
      <c r="B8" s="21" t="s">
        <v>924</v>
      </c>
      <c r="C8" s="164"/>
      <c r="D8" s="161"/>
      <c r="E8" s="161"/>
      <c r="F8" s="161"/>
      <c r="G8" s="134"/>
      <c r="H8" s="134"/>
      <c r="I8" s="135"/>
      <c r="J8" s="135"/>
      <c r="K8" s="135"/>
      <c r="L8" s="135"/>
      <c r="M8" s="135"/>
      <c r="N8" s="144"/>
      <c r="O8" s="144"/>
      <c r="P8" s="144"/>
      <c r="Q8" s="144"/>
      <c r="R8" s="153"/>
      <c r="S8" s="150"/>
      <c r="T8" s="170" t="s">
        <v>2947</v>
      </c>
      <c r="U8" s="135"/>
      <c r="V8" s="135"/>
      <c r="W8" s="135"/>
      <c r="X8" s="134"/>
      <c r="Y8" s="134"/>
      <c r="Z8" s="134"/>
      <c r="AA8" s="134"/>
      <c r="AB8" s="134"/>
      <c r="AC8" s="588"/>
      <c r="AD8" s="4784" t="s">
        <v>4346</v>
      </c>
      <c r="AE8" s="1181"/>
    </row>
    <row r="9" spans="1:33" ht="14.25" customHeight="1" thickBot="1">
      <c r="A9" s="588"/>
      <c r="B9" s="7046"/>
      <c r="C9" s="7528"/>
      <c r="D9" s="7480"/>
      <c r="E9" s="7480"/>
      <c r="F9" s="7480"/>
      <c r="G9" s="7479"/>
      <c r="H9" s="7479"/>
      <c r="I9" s="7479"/>
      <c r="J9" s="7479"/>
      <c r="K9" s="7479"/>
      <c r="L9" s="7479"/>
      <c r="M9" s="7479"/>
      <c r="N9" s="7480"/>
      <c r="O9" s="7480"/>
      <c r="P9" s="7480"/>
      <c r="Q9" s="7480"/>
      <c r="R9" s="7480"/>
      <c r="S9" s="7529"/>
      <c r="T9" s="7530">
        <f>IF(AE6&lt;&gt;"",SS_Yours,SS_Spouse)</f>
        <v>1010001</v>
      </c>
      <c r="U9" s="7531"/>
      <c r="V9" s="7531"/>
      <c r="W9" s="7531"/>
      <c r="X9" s="7531"/>
      <c r="Y9" s="7531"/>
      <c r="Z9" s="7531"/>
      <c r="AA9" s="7531"/>
      <c r="AB9" s="7532"/>
      <c r="AC9" s="588"/>
      <c r="AD9" s="385"/>
      <c r="AE9" s="588"/>
    </row>
    <row r="10" spans="1:33" ht="12.75" customHeight="1" thickTop="1">
      <c r="A10" s="588"/>
      <c r="B10" s="246" t="s">
        <v>143</v>
      </c>
      <c r="C10" s="164" t="s">
        <v>925</v>
      </c>
      <c r="D10" s="164"/>
      <c r="E10" s="169"/>
      <c r="F10" s="161"/>
      <c r="G10" s="991" t="s">
        <v>1035</v>
      </c>
      <c r="H10" s="58"/>
      <c r="I10" s="57"/>
      <c r="J10" s="57"/>
      <c r="K10" s="57"/>
      <c r="L10" s="57"/>
      <c r="M10" s="3710"/>
      <c r="N10" s="7533" t="s">
        <v>926</v>
      </c>
      <c r="O10" s="6636"/>
      <c r="P10" s="6636"/>
      <c r="Q10" s="6636"/>
      <c r="R10" s="6636"/>
      <c r="T10" s="4668" t="s">
        <v>4118</v>
      </c>
      <c r="U10" s="153"/>
      <c r="V10" s="153"/>
      <c r="W10" s="153"/>
      <c r="X10" s="1445"/>
      <c r="Y10" s="1445"/>
      <c r="Z10" s="1445"/>
      <c r="AA10" s="1445"/>
      <c r="AB10" s="1445"/>
      <c r="AC10" s="588"/>
      <c r="AD10" s="385"/>
      <c r="AE10" s="588"/>
    </row>
    <row r="11" spans="1:33" ht="12.75" customHeight="1">
      <c r="A11" s="588"/>
      <c r="B11" s="7478"/>
      <c r="C11" s="7478"/>
      <c r="D11" s="7479"/>
      <c r="E11" s="7479"/>
      <c r="F11" s="7479"/>
      <c r="G11" s="3711"/>
      <c r="H11" s="7457"/>
      <c r="I11" s="7457"/>
      <c r="J11" s="7457"/>
      <c r="K11" s="7457"/>
      <c r="L11" s="7457"/>
      <c r="M11" s="7482"/>
      <c r="N11" s="1444"/>
      <c r="O11" s="1443"/>
      <c r="P11" s="1446" t="s">
        <v>130</v>
      </c>
      <c r="Q11" s="1443"/>
      <c r="R11" s="1446" t="s">
        <v>131</v>
      </c>
      <c r="S11" s="1446"/>
      <c r="T11" s="7457"/>
      <c r="U11" s="7487"/>
      <c r="V11" s="7489"/>
      <c r="W11" s="7457"/>
      <c r="X11" s="7457"/>
      <c r="Y11" s="7457"/>
      <c r="Z11" s="7457"/>
      <c r="AA11" s="7457"/>
      <c r="AB11" s="7457"/>
      <c r="AC11" s="588"/>
      <c r="AD11" s="385"/>
      <c r="AE11" s="588"/>
    </row>
    <row r="12" spans="1:33" ht="4.5" customHeight="1" thickBot="1">
      <c r="A12" s="588"/>
      <c r="B12" s="7480"/>
      <c r="C12" s="7480"/>
      <c r="D12" s="7480"/>
      <c r="E12" s="7480"/>
      <c r="F12" s="7480"/>
      <c r="G12" s="3712"/>
      <c r="H12" s="7481"/>
      <c r="I12" s="7481"/>
      <c r="J12" s="7481"/>
      <c r="K12" s="7481"/>
      <c r="L12" s="7481"/>
      <c r="M12" s="7483"/>
      <c r="N12" s="1447"/>
      <c r="O12" s="1447"/>
      <c r="P12" s="1448"/>
      <c r="Q12" s="1447"/>
      <c r="R12" s="1447"/>
      <c r="S12" s="1447"/>
      <c r="T12" s="7458"/>
      <c r="U12" s="7488"/>
      <c r="V12" s="7490"/>
      <c r="W12" s="7458"/>
      <c r="X12" s="7458"/>
      <c r="Y12" s="7458"/>
      <c r="Z12" s="7458"/>
      <c r="AA12" s="7458"/>
      <c r="AB12" s="7458"/>
      <c r="AC12" s="588"/>
      <c r="AD12" s="385"/>
      <c r="AE12" s="588"/>
    </row>
    <row r="13" spans="1:33" ht="3.75" customHeight="1" thickTop="1">
      <c r="A13" s="588"/>
      <c r="B13" s="139"/>
      <c r="C13" s="139"/>
      <c r="D13" s="169"/>
      <c r="E13" s="169"/>
      <c r="F13" s="801"/>
      <c r="G13" s="134"/>
      <c r="H13" s="154"/>
      <c r="I13" s="802"/>
      <c r="J13" s="802"/>
      <c r="K13" s="802"/>
      <c r="L13" s="802"/>
      <c r="M13" s="802"/>
      <c r="N13" s="169"/>
      <c r="O13" s="172"/>
      <c r="P13" s="172"/>
      <c r="Q13" s="802"/>
      <c r="R13" s="169"/>
      <c r="S13" s="169"/>
      <c r="T13" s="169"/>
      <c r="U13" s="594"/>
      <c r="V13" s="803"/>
      <c r="W13" s="803"/>
      <c r="X13" s="803"/>
      <c r="Y13" s="803"/>
      <c r="Z13" s="803"/>
      <c r="AA13" s="803"/>
      <c r="AB13" s="803"/>
      <c r="AC13" s="588"/>
      <c r="AD13" s="385"/>
      <c r="AE13" s="588"/>
    </row>
    <row r="14" spans="1:33" ht="12.75" customHeight="1">
      <c r="A14" s="588"/>
      <c r="B14" s="162" t="s">
        <v>371</v>
      </c>
      <c r="C14" s="164" t="str">
        <f>"Did you “materially participate” in operation of this business during "&amp;TaxYear&amp;"?  If “No,” see instructions for limit on passive losses"</f>
        <v>Did you “materially participate” in operation of this business during 2021?  If “No,” see instructions for limit on passive losses</v>
      </c>
      <c r="D14" s="21"/>
      <c r="E14" s="21"/>
      <c r="F14" s="134"/>
      <c r="G14" s="134"/>
      <c r="H14" s="154"/>
      <c r="I14" s="134"/>
      <c r="J14" s="134"/>
      <c r="K14" s="134"/>
      <c r="L14" s="134"/>
      <c r="M14" s="134"/>
      <c r="N14" s="169"/>
      <c r="O14" s="172"/>
      <c r="P14" s="172"/>
      <c r="Q14" s="172"/>
      <c r="R14" s="134"/>
      <c r="S14" s="134"/>
      <c r="T14" s="169"/>
      <c r="U14" s="134"/>
      <c r="V14" s="134"/>
      <c r="W14" s="134"/>
      <c r="X14" s="1474"/>
      <c r="Y14" s="273" t="s">
        <v>271</v>
      </c>
      <c r="Z14" s="163"/>
      <c r="AA14" s="1474"/>
      <c r="AB14" s="273" t="s">
        <v>272</v>
      </c>
      <c r="AC14" s="588"/>
      <c r="AD14" s="385"/>
      <c r="AE14" s="588"/>
    </row>
    <row r="15" spans="1:33" ht="12.75" customHeight="1">
      <c r="A15" s="588"/>
      <c r="B15" s="162" t="s">
        <v>373</v>
      </c>
      <c r="C15" s="164" t="str">
        <f>"Did you make any payments in "&amp;TaxYear&amp;" that would require you to file Form(s) 1099 (see instructions)?"</f>
        <v>Did you make any payments in 2021 that would require you to file Form(s) 1099 (see instructions)?</v>
      </c>
      <c r="D15" s="164"/>
      <c r="E15" s="21"/>
      <c r="F15" s="134"/>
      <c r="G15" s="134"/>
      <c r="H15" s="154"/>
      <c r="I15" s="134"/>
      <c r="J15" s="134"/>
      <c r="K15" s="134"/>
      <c r="L15" s="134"/>
      <c r="M15" s="134"/>
      <c r="N15" s="169"/>
      <c r="O15" s="172"/>
      <c r="P15" s="172"/>
      <c r="Q15" s="172"/>
      <c r="R15" s="134"/>
      <c r="S15" s="134"/>
      <c r="T15" s="169"/>
      <c r="U15" s="134"/>
      <c r="V15" s="134"/>
      <c r="W15" s="596" t="s">
        <v>2013</v>
      </c>
      <c r="X15" s="1474"/>
      <c r="Y15" s="273" t="s">
        <v>271</v>
      </c>
      <c r="Z15" s="163"/>
      <c r="AA15" s="1474"/>
      <c r="AB15" s="273" t="s">
        <v>272</v>
      </c>
      <c r="AC15" s="588"/>
      <c r="AD15" s="385"/>
      <c r="AE15" s="588"/>
    </row>
    <row r="16" spans="1:33" ht="12.75" customHeight="1">
      <c r="A16" s="588"/>
      <c r="B16" s="162" t="s">
        <v>132</v>
      </c>
      <c r="C16" s="164" t="s">
        <v>603</v>
      </c>
      <c r="D16" s="164"/>
      <c r="E16" s="21"/>
      <c r="F16" s="134"/>
      <c r="G16" s="134"/>
      <c r="H16" s="154"/>
      <c r="I16" s="134"/>
      <c r="J16" s="134"/>
      <c r="K16" s="134"/>
      <c r="L16" s="134"/>
      <c r="M16" s="134"/>
      <c r="N16" s="169"/>
      <c r="O16" s="172"/>
      <c r="P16" s="172"/>
      <c r="Q16" s="172"/>
      <c r="R16" s="134"/>
      <c r="S16" s="134"/>
      <c r="T16" s="169"/>
      <c r="U16" s="134"/>
      <c r="V16" s="134"/>
      <c r="W16" s="596" t="s">
        <v>2014</v>
      </c>
      <c r="X16" s="1474"/>
      <c r="Y16" s="273" t="s">
        <v>271</v>
      </c>
      <c r="Z16" s="163"/>
      <c r="AA16" s="1474"/>
      <c r="AB16" s="273" t="s">
        <v>272</v>
      </c>
      <c r="AC16" s="588"/>
      <c r="AD16" s="1475" t="s">
        <v>90</v>
      </c>
      <c r="AE16" s="588"/>
    </row>
    <row r="17" spans="1:32" ht="3.75" customHeight="1">
      <c r="A17" s="588"/>
      <c r="B17" s="1476"/>
      <c r="C17" s="250"/>
      <c r="D17" s="250"/>
      <c r="E17" s="143"/>
      <c r="F17" s="17"/>
      <c r="G17" s="17"/>
      <c r="H17" s="1477"/>
      <c r="I17" s="17"/>
      <c r="J17" s="17"/>
      <c r="K17" s="17"/>
      <c r="L17" s="17"/>
      <c r="M17" s="17"/>
      <c r="N17" s="171"/>
      <c r="O17" s="1478"/>
      <c r="P17" s="1478"/>
      <c r="Q17" s="1478"/>
      <c r="R17" s="17"/>
      <c r="S17" s="17"/>
      <c r="T17" s="171"/>
      <c r="U17" s="17"/>
      <c r="V17" s="17"/>
      <c r="W17" s="17"/>
      <c r="X17" s="1479"/>
      <c r="Y17" s="627"/>
      <c r="Z17" s="1480"/>
      <c r="AA17" s="1479"/>
      <c r="AB17" s="627"/>
      <c r="AC17" s="588"/>
      <c r="AD17" s="1475"/>
      <c r="AE17" s="588"/>
    </row>
    <row r="18" spans="1:32" ht="15" customHeight="1">
      <c r="A18" s="588"/>
      <c r="B18" s="7516" t="s">
        <v>51</v>
      </c>
      <c r="C18" s="7517"/>
      <c r="D18" s="1449" t="s">
        <v>1033</v>
      </c>
      <c r="E18" s="173"/>
      <c r="F18" s="174"/>
      <c r="G18" s="175"/>
      <c r="H18" s="986"/>
      <c r="I18" s="1450" t="s">
        <v>927</v>
      </c>
      <c r="J18" s="986"/>
      <c r="K18" s="175"/>
      <c r="L18" s="175"/>
      <c r="M18" s="175"/>
      <c r="N18" s="176"/>
      <c r="O18" s="176"/>
      <c r="P18" s="176"/>
      <c r="Q18" s="176"/>
      <c r="R18" s="176"/>
      <c r="S18" s="176"/>
      <c r="T18" s="176"/>
      <c r="U18" s="175"/>
      <c r="V18" s="175"/>
      <c r="W18" s="177"/>
      <c r="X18" s="327"/>
      <c r="Y18" s="175"/>
      <c r="Z18" s="175"/>
      <c r="AA18" s="327"/>
      <c r="AB18" s="175"/>
      <c r="AC18" s="588"/>
      <c r="AD18" s="1283" t="s">
        <v>411</v>
      </c>
      <c r="AE18" s="588"/>
    </row>
    <row r="19" spans="1:32" ht="14.25" customHeight="1">
      <c r="A19" s="3820"/>
      <c r="B19" s="154" t="s">
        <v>12</v>
      </c>
      <c r="C19" s="392" t="s">
        <v>928</v>
      </c>
      <c r="D19" s="273"/>
      <c r="E19" s="273"/>
      <c r="F19" s="179"/>
      <c r="G19" s="179"/>
      <c r="H19" s="179"/>
      <c r="I19" s="179"/>
      <c r="J19" s="179"/>
      <c r="K19" s="179"/>
      <c r="L19" s="179"/>
      <c r="M19" s="179"/>
      <c r="N19" s="180"/>
      <c r="O19" s="180"/>
      <c r="P19" s="180"/>
      <c r="Q19" s="180"/>
      <c r="R19" s="596" t="s">
        <v>975</v>
      </c>
      <c r="S19" s="1349" t="s">
        <v>12</v>
      </c>
      <c r="T19" s="7518"/>
      <c r="U19" s="7519"/>
      <c r="V19" s="7519"/>
      <c r="W19" s="7520"/>
      <c r="X19" s="373"/>
      <c r="Y19" s="927"/>
      <c r="Z19" s="927"/>
      <c r="AA19" s="927"/>
      <c r="AB19" s="927"/>
      <c r="AC19" s="588"/>
      <c r="AD19" s="385"/>
      <c r="AE19" s="588"/>
    </row>
    <row r="20" spans="1:32" ht="14.25" customHeight="1">
      <c r="A20" s="3820"/>
      <c r="B20" s="154" t="s">
        <v>47</v>
      </c>
      <c r="C20" s="392" t="s">
        <v>929</v>
      </c>
      <c r="D20" s="273"/>
      <c r="E20" s="273"/>
      <c r="F20" s="179"/>
      <c r="G20" s="179"/>
      <c r="H20" s="179"/>
      <c r="I20" s="179"/>
      <c r="J20" s="179"/>
      <c r="K20" s="179"/>
      <c r="L20" s="179"/>
      <c r="M20" s="179"/>
      <c r="N20" s="180"/>
      <c r="O20" s="180"/>
      <c r="P20" s="180"/>
      <c r="Q20" s="180"/>
      <c r="R20" s="596" t="s">
        <v>4111</v>
      </c>
      <c r="S20" s="1349" t="s">
        <v>15</v>
      </c>
      <c r="T20" s="7518"/>
      <c r="U20" s="7519"/>
      <c r="V20" s="7519"/>
      <c r="W20" s="7520"/>
      <c r="X20" s="373"/>
      <c r="Y20" s="1454"/>
      <c r="Z20" s="7462"/>
      <c r="AA20" s="6371"/>
      <c r="AB20" s="6371"/>
      <c r="AC20" s="588"/>
      <c r="AD20" s="385"/>
      <c r="AE20" s="588"/>
    </row>
    <row r="21" spans="1:32" ht="14.25" customHeight="1">
      <c r="A21" s="3820"/>
      <c r="B21" s="154" t="s">
        <v>48</v>
      </c>
      <c r="C21" s="392" t="s">
        <v>930</v>
      </c>
      <c r="D21" s="273"/>
      <c r="E21" s="273"/>
      <c r="F21" s="179"/>
      <c r="G21" s="179"/>
      <c r="H21" s="179"/>
      <c r="I21" s="179"/>
      <c r="J21" s="179"/>
      <c r="K21" s="179"/>
      <c r="L21" s="179"/>
      <c r="M21" s="179"/>
      <c r="N21" s="180"/>
      <c r="O21" s="180"/>
      <c r="P21" s="180"/>
      <c r="Q21" s="180"/>
      <c r="R21" s="180"/>
      <c r="S21" s="180"/>
      <c r="T21" s="568"/>
      <c r="U21" s="179"/>
      <c r="V21" s="568"/>
      <c r="W21" s="596" t="s">
        <v>2015</v>
      </c>
      <c r="X21" s="333" t="s">
        <v>935</v>
      </c>
      <c r="Y21" s="7444">
        <f>IF(AD21&lt;&gt;"",ROUND(AD21,0),SUM(T19,-T20))</f>
        <v>0</v>
      </c>
      <c r="Z21" s="7453"/>
      <c r="AA21" s="6585"/>
      <c r="AB21" s="6585"/>
      <c r="AC21" s="588"/>
      <c r="AD21" s="578"/>
      <c r="AE21" s="588"/>
    </row>
    <row r="22" spans="1:32" ht="14.25" customHeight="1">
      <c r="A22" s="3820"/>
      <c r="B22" s="154" t="str">
        <f>"2  "</f>
        <v xml:space="preserve">2  </v>
      </c>
      <c r="C22" s="392" t="s">
        <v>931</v>
      </c>
      <c r="D22" s="273"/>
      <c r="E22" s="183"/>
      <c r="F22" s="179"/>
      <c r="G22" s="179"/>
      <c r="H22" s="179"/>
      <c r="I22" s="179"/>
      <c r="J22" s="179"/>
      <c r="K22" s="179"/>
      <c r="L22" s="179"/>
      <c r="M22" s="179"/>
      <c r="N22" s="180"/>
      <c r="O22" s="180"/>
      <c r="P22" s="180"/>
      <c r="Q22" s="180"/>
      <c r="R22" s="180"/>
      <c r="S22" s="180"/>
      <c r="T22" s="180"/>
      <c r="U22" s="179"/>
      <c r="V22" s="179"/>
      <c r="W22" s="596" t="s">
        <v>1052</v>
      </c>
      <c r="X22" s="333">
        <v>2</v>
      </c>
      <c r="Y22" s="6991"/>
      <c r="Z22" s="7166"/>
      <c r="AA22" s="7169"/>
      <c r="AB22" s="7169"/>
      <c r="AC22" s="588"/>
      <c r="AD22" s="385"/>
      <c r="AE22" s="588"/>
    </row>
    <row r="23" spans="1:32" ht="14.25" customHeight="1">
      <c r="A23" s="3820"/>
      <c r="B23" s="154" t="s">
        <v>932</v>
      </c>
      <c r="C23" s="1329" t="s">
        <v>933</v>
      </c>
      <c r="D23" s="993"/>
      <c r="E23" s="184"/>
      <c r="F23" s="184"/>
      <c r="G23" s="181"/>
      <c r="H23" s="181"/>
      <c r="I23" s="181"/>
      <c r="J23" s="181"/>
      <c r="K23" s="181"/>
      <c r="L23" s="181"/>
      <c r="M23" s="181"/>
      <c r="N23" s="184"/>
      <c r="O23" s="596" t="s">
        <v>3994</v>
      </c>
      <c r="P23" s="4652" t="s">
        <v>932</v>
      </c>
      <c r="Q23" s="6991"/>
      <c r="R23" s="7448"/>
      <c r="S23" s="4653" t="s">
        <v>934</v>
      </c>
      <c r="T23" s="7459" t="s">
        <v>280</v>
      </c>
      <c r="U23" s="7460"/>
      <c r="V23" s="7460"/>
      <c r="W23" s="7461"/>
      <c r="X23" s="332" t="s">
        <v>934</v>
      </c>
      <c r="Y23" s="6991"/>
      <c r="Z23" s="7166"/>
      <c r="AA23" s="7169"/>
      <c r="AB23" s="7169"/>
      <c r="AC23" s="588"/>
      <c r="AD23" s="385"/>
      <c r="AE23" s="588"/>
    </row>
    <row r="24" spans="1:32" ht="14.25" customHeight="1">
      <c r="A24" s="3820"/>
      <c r="B24" s="154" t="s">
        <v>116</v>
      </c>
      <c r="C24" s="1329" t="s">
        <v>936</v>
      </c>
      <c r="D24" s="993"/>
      <c r="E24" s="184"/>
      <c r="F24" s="184"/>
      <c r="G24" s="181"/>
      <c r="H24" s="181"/>
      <c r="I24" s="181"/>
      <c r="J24" s="181"/>
      <c r="K24" s="181"/>
      <c r="L24" s="181"/>
      <c r="M24" s="181"/>
      <c r="N24" s="184"/>
      <c r="O24" s="596" t="s">
        <v>3994</v>
      </c>
      <c r="P24" s="4652" t="s">
        <v>116</v>
      </c>
      <c r="Q24" s="7446">
        <f>IF(AD24&lt;&gt;"",ROUND(AD24,0),IF(AND(AgPMT_Other="",F1099G_MktGain=""),"",SUM(AgPMT_Other,F1099G_MktGain)))</f>
        <v>0</v>
      </c>
      <c r="R24" s="7447"/>
      <c r="S24" s="4653" t="s">
        <v>99</v>
      </c>
      <c r="T24" s="7459" t="s">
        <v>280</v>
      </c>
      <c r="U24" s="7460"/>
      <c r="V24" s="7460"/>
      <c r="W24" s="7461"/>
      <c r="X24" s="332" t="s">
        <v>99</v>
      </c>
      <c r="Y24" s="6991"/>
      <c r="Z24" s="7166"/>
      <c r="AA24" s="7169"/>
      <c r="AB24" s="7169"/>
      <c r="AC24" s="588"/>
      <c r="AD24" s="578"/>
      <c r="AE24" s="3281" t="str">
        <f>IF(AE26="","X","")</f>
        <v>X</v>
      </c>
    </row>
    <row r="25" spans="1:32" ht="14.25" customHeight="1">
      <c r="A25" s="3820"/>
      <c r="B25" s="154" t="s">
        <v>369</v>
      </c>
      <c r="C25" s="392" t="s">
        <v>937</v>
      </c>
      <c r="D25" s="273"/>
      <c r="E25" s="183"/>
      <c r="F25" s="179"/>
      <c r="G25" s="179"/>
      <c r="H25" s="179"/>
      <c r="I25" s="179"/>
      <c r="J25" s="179"/>
      <c r="K25" s="179"/>
      <c r="L25" s="179"/>
      <c r="M25" s="179"/>
      <c r="N25" s="180"/>
      <c r="O25" s="180"/>
      <c r="P25" s="180"/>
      <c r="Q25" s="180"/>
      <c r="R25" s="180"/>
      <c r="S25" s="180"/>
      <c r="T25" s="180"/>
      <c r="U25" s="179"/>
      <c r="V25" s="179"/>
      <c r="W25" s="596" t="s">
        <v>1052</v>
      </c>
      <c r="X25" s="333" t="s">
        <v>369</v>
      </c>
      <c r="Y25" s="6991"/>
      <c r="Z25" s="7166"/>
      <c r="AA25" s="7169"/>
      <c r="AB25" s="7169"/>
      <c r="AC25" s="588"/>
      <c r="AD25" s="4785"/>
      <c r="AE25" s="588"/>
      <c r="AF25" s="3"/>
    </row>
    <row r="26" spans="1:32" ht="14.25" customHeight="1">
      <c r="A26" s="3820"/>
      <c r="B26" s="154" t="s">
        <v>47</v>
      </c>
      <c r="C26" s="1329" t="s">
        <v>938</v>
      </c>
      <c r="D26" s="993"/>
      <c r="E26" s="184"/>
      <c r="F26" s="184"/>
      <c r="G26" s="181"/>
      <c r="H26" s="181"/>
      <c r="I26" s="181"/>
      <c r="J26" s="181"/>
      <c r="K26" s="181"/>
      <c r="L26" s="181"/>
      <c r="M26" s="181"/>
      <c r="N26" s="184"/>
      <c r="O26" s="596" t="s">
        <v>1050</v>
      </c>
      <c r="P26" s="4652" t="s">
        <v>370</v>
      </c>
      <c r="Q26" s="6991"/>
      <c r="R26" s="7448"/>
      <c r="S26" s="4653" t="s">
        <v>943</v>
      </c>
      <c r="T26" s="1452" t="s">
        <v>280</v>
      </c>
      <c r="U26" s="1452"/>
      <c r="V26" s="1453"/>
      <c r="W26" s="1453"/>
      <c r="X26" s="332" t="s">
        <v>943</v>
      </c>
      <c r="Y26" s="6991"/>
      <c r="Z26" s="7166"/>
      <c r="AA26" s="7169"/>
      <c r="AB26" s="7169"/>
      <c r="AC26" s="588"/>
      <c r="AD26" s="4785"/>
      <c r="AE26" s="3280"/>
    </row>
    <row r="27" spans="1:32" ht="14.25" customHeight="1">
      <c r="A27" s="3820"/>
      <c r="B27" s="154" t="str">
        <f>"6  "</f>
        <v xml:space="preserve">6  </v>
      </c>
      <c r="C27" s="392" t="s">
        <v>939</v>
      </c>
      <c r="D27" s="273"/>
      <c r="E27" s="183"/>
      <c r="F27" s="179"/>
      <c r="G27" s="179"/>
      <c r="H27" s="179"/>
      <c r="I27" s="179"/>
      <c r="J27" s="179"/>
      <c r="K27" s="179"/>
      <c r="L27" s="179"/>
      <c r="M27" s="179"/>
      <c r="N27" s="180"/>
      <c r="O27" s="180"/>
      <c r="P27" s="180"/>
      <c r="Q27" s="180"/>
      <c r="R27" s="180"/>
      <c r="S27" s="180"/>
      <c r="T27" s="180"/>
      <c r="U27" s="179"/>
      <c r="V27" s="179"/>
      <c r="W27" s="181"/>
      <c r="X27" s="373"/>
      <c r="Y27" s="7449"/>
      <c r="Z27" s="7450"/>
      <c r="AA27" s="7450"/>
      <c r="AB27" s="7450"/>
      <c r="AC27" s="588"/>
      <c r="AD27" s="4785"/>
      <c r="AE27" s="588"/>
      <c r="AF27" s="3"/>
    </row>
    <row r="28" spans="1:32" ht="14.25" customHeight="1">
      <c r="A28" s="3820"/>
      <c r="B28" s="154" t="s">
        <v>33</v>
      </c>
      <c r="C28" s="1329" t="str">
        <f>"Amount received in "&amp;TaxYear</f>
        <v>Amount received in 2021</v>
      </c>
      <c r="D28" s="993"/>
      <c r="E28" s="184"/>
      <c r="F28" s="184"/>
      <c r="G28" s="181"/>
      <c r="H28" s="181"/>
      <c r="I28" s="181"/>
      <c r="J28" s="181"/>
      <c r="K28" s="181"/>
      <c r="L28" s="181"/>
      <c r="M28" s="181"/>
      <c r="N28" s="184"/>
      <c r="O28" s="596" t="s">
        <v>4112</v>
      </c>
      <c r="P28" s="4652" t="s">
        <v>430</v>
      </c>
      <c r="Q28" s="7444">
        <f>IF(AD28&lt;&gt;"",ROUND(AD28,0),AgPMT_Disaster)</f>
        <v>0</v>
      </c>
      <c r="R28" s="7445"/>
      <c r="S28" s="4653" t="s">
        <v>940</v>
      </c>
      <c r="T28" s="1452" t="s">
        <v>280</v>
      </c>
      <c r="U28" s="1452"/>
      <c r="V28" s="1453"/>
      <c r="W28" s="1453"/>
      <c r="X28" s="332" t="s">
        <v>940</v>
      </c>
      <c r="Y28" s="6991"/>
      <c r="Z28" s="7166"/>
      <c r="AA28" s="7169"/>
      <c r="AB28" s="7169"/>
      <c r="AC28" s="588"/>
      <c r="AD28" s="578"/>
      <c r="AE28" s="588"/>
    </row>
    <row r="29" spans="1:32" ht="14.25" customHeight="1">
      <c r="A29" s="3820"/>
      <c r="B29" s="154" t="s">
        <v>48</v>
      </c>
      <c r="C29" s="1329" t="str">
        <f>"If election to defer to "&amp;TaxYear+1&amp;" is attached, check here"</f>
        <v>If election to defer to 2022 is attached, check here</v>
      </c>
      <c r="D29" s="993"/>
      <c r="E29" s="184"/>
      <c r="F29" s="184"/>
      <c r="G29" s="181"/>
      <c r="H29" s="181"/>
      <c r="I29" s="181"/>
      <c r="J29" s="181"/>
      <c r="K29" s="181"/>
      <c r="L29" s="184"/>
      <c r="M29" s="1456"/>
      <c r="N29" s="181"/>
      <c r="O29" s="184"/>
      <c r="P29" s="184"/>
      <c r="Q29" s="184"/>
      <c r="R29" s="184"/>
      <c r="S29" s="184"/>
      <c r="T29" s="184"/>
      <c r="U29" s="209" t="s">
        <v>4114</v>
      </c>
      <c r="V29" s="7454" t="str">
        <f>TaxYear-1&amp;" "</f>
        <v xml:space="preserve">2020 </v>
      </c>
      <c r="W29" s="6637"/>
      <c r="X29" s="332" t="s">
        <v>941</v>
      </c>
      <c r="Y29" s="6991"/>
      <c r="Z29" s="7166"/>
      <c r="AA29" s="7169"/>
      <c r="AB29" s="7169"/>
      <c r="AC29" s="588"/>
      <c r="AD29" s="385"/>
      <c r="AE29" s="588"/>
    </row>
    <row r="30" spans="1:32" ht="14.25" customHeight="1">
      <c r="A30" s="3820"/>
      <c r="B30" s="154" t="str">
        <f>"7  "</f>
        <v xml:space="preserve">7  </v>
      </c>
      <c r="C30" s="1329" t="s">
        <v>942</v>
      </c>
      <c r="D30" s="993"/>
      <c r="E30" s="186"/>
      <c r="F30" s="184"/>
      <c r="G30" s="181"/>
      <c r="H30" s="181"/>
      <c r="I30" s="181"/>
      <c r="J30" s="181"/>
      <c r="K30" s="181"/>
      <c r="L30" s="181"/>
      <c r="M30" s="181"/>
      <c r="N30" s="184"/>
      <c r="O30" s="184"/>
      <c r="P30" s="184"/>
      <c r="Q30" s="184"/>
      <c r="R30" s="184"/>
      <c r="S30" s="184"/>
      <c r="T30" s="184"/>
      <c r="U30" s="181"/>
      <c r="V30" s="181"/>
      <c r="W30" s="596" t="s">
        <v>4037</v>
      </c>
      <c r="X30" s="332">
        <v>7</v>
      </c>
      <c r="Y30" s="6991"/>
      <c r="Z30" s="7166"/>
      <c r="AA30" s="7169"/>
      <c r="AB30" s="7169"/>
      <c r="AC30" s="588"/>
      <c r="AD30" s="385"/>
      <c r="AE30" s="588"/>
    </row>
    <row r="31" spans="1:32" ht="14.25" customHeight="1">
      <c r="A31" s="3820"/>
      <c r="B31" s="154" t="str">
        <f>"8  "</f>
        <v xml:space="preserve">8  </v>
      </c>
      <c r="C31" s="1329" t="s">
        <v>944</v>
      </c>
      <c r="D31" s="993"/>
      <c r="E31" s="184"/>
      <c r="F31" s="184"/>
      <c r="G31" s="181"/>
      <c r="H31" s="181"/>
      <c r="I31" s="181"/>
      <c r="J31" s="181"/>
      <c r="K31" s="181"/>
      <c r="L31" s="181"/>
      <c r="M31" s="181"/>
      <c r="N31" s="184"/>
      <c r="O31" s="184"/>
      <c r="P31" s="184"/>
      <c r="Q31" s="184"/>
      <c r="R31" s="184"/>
      <c r="S31" s="184"/>
      <c r="T31" s="184"/>
      <c r="U31" s="181"/>
      <c r="V31" s="181"/>
      <c r="W31" s="596" t="s">
        <v>4113</v>
      </c>
      <c r="X31" s="332">
        <v>8</v>
      </c>
      <c r="Y31" s="6991"/>
      <c r="Z31" s="7166"/>
      <c r="AA31" s="7169"/>
      <c r="AB31" s="7169"/>
      <c r="AC31" s="588"/>
      <c r="AD31" s="385"/>
      <c r="AE31" s="588"/>
    </row>
    <row r="32" spans="1:32" ht="14.25" customHeight="1">
      <c r="A32" s="3820"/>
      <c r="B32" s="154" t="str">
        <f>"9  "</f>
        <v xml:space="preserve">9  </v>
      </c>
      <c r="C32" s="1329" t="s">
        <v>3037</v>
      </c>
      <c r="D32" s="993"/>
      <c r="E32" s="184"/>
      <c r="F32" s="184"/>
      <c r="G32" s="181"/>
      <c r="H32" s="181"/>
      <c r="I32" s="181"/>
      <c r="J32" s="181"/>
      <c r="K32" s="181"/>
      <c r="L32" s="181"/>
      <c r="M32" s="181"/>
      <c r="N32" s="184"/>
      <c r="O32" s="184"/>
      <c r="P32" s="184"/>
      <c r="Q32" s="184"/>
      <c r="R32" s="184"/>
      <c r="S32" s="184"/>
      <c r="T32" s="184"/>
      <c r="U32" s="181"/>
      <c r="V32" s="181"/>
      <c r="W32" s="184"/>
      <c r="X32" s="7463">
        <v>9</v>
      </c>
      <c r="Y32" s="7449"/>
      <c r="Z32" s="7450"/>
      <c r="AA32" s="7450"/>
      <c r="AB32" s="7450"/>
      <c r="AC32" s="588"/>
      <c r="AD32" s="385"/>
      <c r="AE32" s="588"/>
    </row>
    <row r="33" spans="1:31" ht="14.25" customHeight="1">
      <c r="A33" s="3820"/>
      <c r="B33" s="154"/>
      <c r="C33" s="1023" t="s">
        <v>2428</v>
      </c>
      <c r="D33" s="164"/>
      <c r="E33" s="190"/>
      <c r="F33" s="169"/>
      <c r="G33" s="179"/>
      <c r="H33" s="179"/>
      <c r="I33" s="187"/>
      <c r="J33" s="187"/>
      <c r="K33" s="187"/>
      <c r="L33" s="187"/>
      <c r="M33" s="187"/>
      <c r="N33" s="184"/>
      <c r="O33" s="184"/>
      <c r="P33" s="184"/>
      <c r="Q33" s="184"/>
      <c r="R33" s="188"/>
      <c r="S33" s="188"/>
      <c r="T33" s="184"/>
      <c r="U33" s="187"/>
      <c r="V33" s="187"/>
      <c r="W33" s="596" t="s">
        <v>2939</v>
      </c>
      <c r="X33" s="7464"/>
      <c r="Y33" s="7444">
        <f>IF(AD33&lt;&gt;"",ROUND(AD33,0),IF(ScheduleF_PartIII,Y94,ROUND(SUM(Y21,Y22,Y23,Y24,Y25,Y26,Y28,Y29,Y30,Y31),0)))</f>
        <v>0</v>
      </c>
      <c r="Z33" s="7453"/>
      <c r="AA33" s="6585"/>
      <c r="AB33" s="6585"/>
      <c r="AC33" s="588"/>
      <c r="AD33" s="578"/>
      <c r="AE33" s="588"/>
    </row>
    <row r="34" spans="1:31" ht="14.25" customHeight="1">
      <c r="A34" s="588"/>
      <c r="B34" s="7516" t="s">
        <v>118</v>
      </c>
      <c r="C34" s="7517"/>
      <c r="D34" s="3713" t="s">
        <v>1032</v>
      </c>
      <c r="E34" s="175"/>
      <c r="F34" s="175"/>
      <c r="G34" s="175"/>
      <c r="H34" s="175"/>
      <c r="I34" s="174"/>
      <c r="J34" s="174"/>
      <c r="K34" s="174"/>
      <c r="L34" s="1450"/>
      <c r="M34" s="1450"/>
      <c r="N34" s="1450" t="s">
        <v>2016</v>
      </c>
      <c r="O34" s="1450"/>
      <c r="P34" s="175"/>
      <c r="Q34" s="175"/>
      <c r="R34" s="175"/>
      <c r="S34" s="175"/>
      <c r="T34" s="175"/>
      <c r="U34" s="175"/>
      <c r="V34" s="175"/>
      <c r="W34" s="175"/>
      <c r="X34" s="175"/>
      <c r="Y34" s="175"/>
      <c r="Z34" s="175"/>
      <c r="AA34" s="383"/>
      <c r="AB34" s="383"/>
      <c r="AC34" s="588"/>
      <c r="AD34" s="385"/>
      <c r="AE34" s="588"/>
    </row>
    <row r="35" spans="1:31" ht="14.25" customHeight="1">
      <c r="A35" s="588"/>
      <c r="B35" s="246">
        <v>10</v>
      </c>
      <c r="C35" s="1023" t="s">
        <v>5297</v>
      </c>
      <c r="D35" s="1023"/>
      <c r="E35" s="191"/>
      <c r="F35" s="179"/>
      <c r="G35" s="179"/>
      <c r="H35" s="187"/>
      <c r="I35" s="1458"/>
      <c r="J35" s="7497"/>
      <c r="K35" s="7455"/>
      <c r="L35" s="7455"/>
      <c r="M35" s="7455"/>
      <c r="N35" s="7494">
        <v>23</v>
      </c>
      <c r="O35" s="7495"/>
      <c r="P35" s="178" t="s">
        <v>957</v>
      </c>
      <c r="Q35" s="326"/>
      <c r="R35" s="392"/>
      <c r="S35" s="392"/>
      <c r="T35" s="326"/>
      <c r="U35" s="326"/>
      <c r="V35" s="326"/>
      <c r="W35" s="326"/>
      <c r="X35" s="182">
        <v>23</v>
      </c>
      <c r="Y35" s="6991"/>
      <c r="Z35" s="7166"/>
      <c r="AA35" s="7169"/>
      <c r="AB35" s="7169"/>
      <c r="AC35" s="588"/>
      <c r="AD35" s="385"/>
      <c r="AE35" s="588"/>
    </row>
    <row r="36" spans="1:31" ht="14.25" customHeight="1">
      <c r="A36" s="588"/>
      <c r="B36" s="246"/>
      <c r="C36" s="1023" t="s">
        <v>1036</v>
      </c>
      <c r="D36" s="191"/>
      <c r="E36" s="191"/>
      <c r="F36" s="179"/>
      <c r="G36" s="179"/>
      <c r="H36" s="187"/>
      <c r="I36" s="333">
        <f>B35</f>
        <v>10</v>
      </c>
      <c r="J36" s="6991"/>
      <c r="K36" s="7166"/>
      <c r="L36" s="7169"/>
      <c r="M36" s="7169"/>
      <c r="N36" s="7476">
        <v>24</v>
      </c>
      <c r="O36" s="7477"/>
      <c r="P36" s="178" t="s">
        <v>608</v>
      </c>
      <c r="Q36" s="273"/>
      <c r="R36" s="192"/>
      <c r="S36" s="192"/>
      <c r="T36" s="193"/>
      <c r="U36" s="191"/>
      <c r="V36" s="191"/>
      <c r="W36" s="194"/>
      <c r="X36" s="373"/>
      <c r="Y36" s="7449"/>
      <c r="Z36" s="7455"/>
      <c r="AA36" s="7455"/>
      <c r="AB36" s="7455"/>
      <c r="AC36" s="588"/>
      <c r="AD36" s="385"/>
      <c r="AE36" s="588"/>
    </row>
    <row r="37" spans="1:31" ht="14.25" customHeight="1">
      <c r="A37" s="588"/>
      <c r="B37" s="246">
        <v>11</v>
      </c>
      <c r="C37" s="1023" t="s">
        <v>945</v>
      </c>
      <c r="D37" s="1023"/>
      <c r="E37" s="191"/>
      <c r="F37" s="179"/>
      <c r="G37" s="179"/>
      <c r="H37" s="568" t="s">
        <v>570</v>
      </c>
      <c r="I37" s="333">
        <v>11</v>
      </c>
      <c r="J37" s="6991"/>
      <c r="K37" s="7166"/>
      <c r="L37" s="7169"/>
      <c r="M37" s="7169"/>
      <c r="N37" s="7476" t="s">
        <v>33</v>
      </c>
      <c r="O37" s="7477"/>
      <c r="P37" s="392" t="s">
        <v>958</v>
      </c>
      <c r="Q37" s="1078"/>
      <c r="R37" s="1078"/>
      <c r="S37" s="1078"/>
      <c r="T37" s="193"/>
      <c r="U37" s="196"/>
      <c r="V37" s="196"/>
      <c r="W37" s="568" t="s">
        <v>697</v>
      </c>
      <c r="X37" s="4651" t="s">
        <v>171</v>
      </c>
      <c r="Y37" s="6991"/>
      <c r="Z37" s="7166"/>
      <c r="AA37" s="7169"/>
      <c r="AB37" s="7169"/>
      <c r="AC37" s="588"/>
      <c r="AD37" s="385"/>
      <c r="AE37" s="588"/>
    </row>
    <row r="38" spans="1:31" ht="14.25" customHeight="1">
      <c r="A38" s="588"/>
      <c r="B38" s="246">
        <v>12</v>
      </c>
      <c r="C38" s="1023" t="s">
        <v>946</v>
      </c>
      <c r="D38" s="1023"/>
      <c r="E38" s="191"/>
      <c r="F38" s="179"/>
      <c r="G38" s="179"/>
      <c r="H38" s="187"/>
      <c r="I38" s="337">
        <f>B38</f>
        <v>12</v>
      </c>
      <c r="J38" s="6991"/>
      <c r="K38" s="7166"/>
      <c r="L38" s="7169"/>
      <c r="M38" s="7169"/>
      <c r="N38" s="7476" t="s">
        <v>47</v>
      </c>
      <c r="O38" s="7477"/>
      <c r="P38" s="392" t="s">
        <v>959</v>
      </c>
      <c r="Q38" s="273"/>
      <c r="R38" s="192"/>
      <c r="S38" s="192"/>
      <c r="T38" s="193"/>
      <c r="U38" s="191"/>
      <c r="V38" s="191"/>
      <c r="W38" s="568" t="s">
        <v>535</v>
      </c>
      <c r="X38" s="4651" t="s">
        <v>60</v>
      </c>
      <c r="Y38" s="6991"/>
      <c r="Z38" s="7166"/>
      <c r="AA38" s="7169"/>
      <c r="AB38" s="7169"/>
      <c r="AC38" s="588"/>
      <c r="AD38" s="385"/>
      <c r="AE38" s="588"/>
    </row>
    <row r="39" spans="1:31" ht="14.25" customHeight="1">
      <c r="A39" s="588"/>
      <c r="B39" s="246">
        <v>13</v>
      </c>
      <c r="C39" s="1023" t="s">
        <v>947</v>
      </c>
      <c r="D39" s="1023"/>
      <c r="E39" s="191"/>
      <c r="F39" s="179"/>
      <c r="G39" s="179"/>
      <c r="H39" s="568" t="s">
        <v>626</v>
      </c>
      <c r="I39" s="333">
        <f>B39</f>
        <v>13</v>
      </c>
      <c r="J39" s="6991"/>
      <c r="K39" s="7166"/>
      <c r="L39" s="7169"/>
      <c r="M39" s="7169"/>
      <c r="N39" s="7476">
        <v>25</v>
      </c>
      <c r="O39" s="7477"/>
      <c r="P39" s="392" t="s">
        <v>23</v>
      </c>
      <c r="Q39" s="273"/>
      <c r="R39" s="178"/>
      <c r="S39" s="178"/>
      <c r="T39" s="194"/>
      <c r="U39" s="191"/>
      <c r="V39" s="191"/>
      <c r="W39" s="568" t="s">
        <v>535</v>
      </c>
      <c r="X39" s="332">
        <v>25</v>
      </c>
      <c r="Y39" s="6991"/>
      <c r="Z39" s="7166"/>
      <c r="AA39" s="7169"/>
      <c r="AB39" s="7169"/>
      <c r="AC39" s="588"/>
      <c r="AD39" s="385"/>
      <c r="AE39" s="588"/>
    </row>
    <row r="40" spans="1:31" ht="14.25" customHeight="1">
      <c r="A40" s="588"/>
      <c r="B40" s="246">
        <v>14</v>
      </c>
      <c r="C40" s="1023" t="s">
        <v>427</v>
      </c>
      <c r="D40" s="1023"/>
      <c r="E40" s="191"/>
      <c r="F40" s="179"/>
      <c r="G40" s="179"/>
      <c r="H40" s="187"/>
      <c r="I40" s="335"/>
      <c r="J40" s="7497"/>
      <c r="K40" s="7455"/>
      <c r="L40" s="7455"/>
      <c r="M40" s="7498"/>
      <c r="N40" s="7476">
        <v>26</v>
      </c>
      <c r="O40" s="7477"/>
      <c r="P40" s="178" t="s">
        <v>960</v>
      </c>
      <c r="Q40" s="273"/>
      <c r="R40" s="178"/>
      <c r="S40" s="178"/>
      <c r="T40" s="178"/>
      <c r="U40" s="178"/>
      <c r="V40" s="178"/>
      <c r="W40" s="568" t="s">
        <v>560</v>
      </c>
      <c r="X40" s="332">
        <v>26</v>
      </c>
      <c r="Y40" s="6991"/>
      <c r="Z40" s="7166"/>
      <c r="AA40" s="7169"/>
      <c r="AB40" s="7169"/>
      <c r="AC40" s="588"/>
      <c r="AD40" s="385"/>
      <c r="AE40" s="588"/>
    </row>
    <row r="41" spans="1:31" ht="14.25" customHeight="1">
      <c r="A41" s="588"/>
      <c r="B41" s="246"/>
      <c r="C41" s="1023" t="s">
        <v>948</v>
      </c>
      <c r="D41" s="1023"/>
      <c r="E41" s="191"/>
      <c r="F41" s="179"/>
      <c r="G41" s="179"/>
      <c r="H41" s="568" t="s">
        <v>607</v>
      </c>
      <c r="I41" s="333">
        <f>B40</f>
        <v>14</v>
      </c>
      <c r="J41" s="6991"/>
      <c r="K41" s="7166"/>
      <c r="L41" s="7169"/>
      <c r="M41" s="7169"/>
      <c r="N41" s="7476">
        <v>27</v>
      </c>
      <c r="O41" s="7477"/>
      <c r="P41" s="178" t="s">
        <v>961</v>
      </c>
      <c r="Q41" s="273"/>
      <c r="R41" s="178"/>
      <c r="S41" s="178"/>
      <c r="T41" s="178"/>
      <c r="U41" s="178"/>
      <c r="V41" s="178"/>
      <c r="W41" s="568" t="s">
        <v>535</v>
      </c>
      <c r="X41" s="332">
        <v>27</v>
      </c>
      <c r="Y41" s="6991"/>
      <c r="Z41" s="7166"/>
      <c r="AA41" s="7169"/>
      <c r="AB41" s="7169"/>
      <c r="AC41" s="588"/>
      <c r="AD41" s="385"/>
      <c r="AE41" s="588"/>
    </row>
    <row r="42" spans="1:31" ht="14.25" customHeight="1">
      <c r="A42" s="588"/>
      <c r="B42" s="246">
        <v>15</v>
      </c>
      <c r="C42" s="1023" t="s">
        <v>3501</v>
      </c>
      <c r="D42" s="191"/>
      <c r="E42" s="191"/>
      <c r="F42" s="179"/>
      <c r="G42" s="179"/>
      <c r="H42" s="187"/>
      <c r="I42" s="335"/>
      <c r="J42" s="7497"/>
      <c r="K42" s="7455"/>
      <c r="L42" s="7455"/>
      <c r="M42" s="7498"/>
      <c r="N42" s="7476">
        <v>28</v>
      </c>
      <c r="O42" s="7477"/>
      <c r="P42" s="178" t="s">
        <v>673</v>
      </c>
      <c r="Q42" s="273"/>
      <c r="R42" s="178"/>
      <c r="S42" s="178"/>
      <c r="T42" s="178"/>
      <c r="U42" s="178"/>
      <c r="V42" s="178"/>
      <c r="W42" s="568" t="s">
        <v>571</v>
      </c>
      <c r="X42" s="332">
        <v>28</v>
      </c>
      <c r="Y42" s="6991"/>
      <c r="Z42" s="7166"/>
      <c r="AA42" s="7169"/>
      <c r="AB42" s="7169"/>
      <c r="AC42" s="588"/>
      <c r="AD42" s="385"/>
      <c r="AE42" s="588"/>
    </row>
    <row r="43" spans="1:31" ht="14.25" customHeight="1">
      <c r="A43" s="588"/>
      <c r="B43" s="246"/>
      <c r="C43" s="1023" t="s">
        <v>3502</v>
      </c>
      <c r="D43" s="1023"/>
      <c r="E43" s="191"/>
      <c r="F43" s="179"/>
      <c r="G43" s="179"/>
      <c r="H43" s="568" t="s">
        <v>570</v>
      </c>
      <c r="I43" s="333">
        <f>B42</f>
        <v>15</v>
      </c>
      <c r="J43" s="6991"/>
      <c r="K43" s="7166"/>
      <c r="L43" s="7169"/>
      <c r="M43" s="7169"/>
      <c r="N43" s="7476">
        <v>29</v>
      </c>
      <c r="O43" s="7477"/>
      <c r="P43" s="392" t="s">
        <v>674</v>
      </c>
      <c r="Q43" s="273"/>
      <c r="R43" s="178"/>
      <c r="S43" s="178"/>
      <c r="T43" s="178"/>
      <c r="U43" s="178"/>
      <c r="V43" s="178"/>
      <c r="W43" s="568" t="s">
        <v>635</v>
      </c>
      <c r="X43" s="332">
        <v>29</v>
      </c>
      <c r="Y43" s="6991"/>
      <c r="Z43" s="7166"/>
      <c r="AA43" s="7169"/>
      <c r="AB43" s="7169"/>
      <c r="AC43" s="588"/>
      <c r="AD43" s="385"/>
      <c r="AE43" s="588"/>
    </row>
    <row r="44" spans="1:31" ht="14.25" customHeight="1">
      <c r="A44" s="588"/>
      <c r="B44" s="246">
        <v>16</v>
      </c>
      <c r="C44" s="1023" t="s">
        <v>949</v>
      </c>
      <c r="D44" s="1023"/>
      <c r="E44" s="191"/>
      <c r="F44" s="179"/>
      <c r="G44" s="179"/>
      <c r="H44" s="568" t="s">
        <v>1038</v>
      </c>
      <c r="I44" s="333">
        <f>B44</f>
        <v>16</v>
      </c>
      <c r="J44" s="6991"/>
      <c r="K44" s="7166"/>
      <c r="L44" s="7169"/>
      <c r="M44" s="7169"/>
      <c r="N44" s="7476">
        <v>30</v>
      </c>
      <c r="O44" s="7477"/>
      <c r="P44" s="178" t="s">
        <v>675</v>
      </c>
      <c r="Q44" s="273"/>
      <c r="R44" s="392"/>
      <c r="S44" s="392"/>
      <c r="T44" s="178"/>
      <c r="U44" s="178"/>
      <c r="V44" s="178"/>
      <c r="W44" s="568" t="s">
        <v>635</v>
      </c>
      <c r="X44" s="332">
        <v>30</v>
      </c>
      <c r="Y44" s="6991"/>
      <c r="Z44" s="7166"/>
      <c r="AA44" s="7169"/>
      <c r="AB44" s="7169"/>
      <c r="AC44" s="588"/>
      <c r="AD44" s="385"/>
      <c r="AE44" s="588"/>
    </row>
    <row r="45" spans="1:31" ht="14.25" customHeight="1">
      <c r="A45" s="588"/>
      <c r="B45" s="246">
        <v>17</v>
      </c>
      <c r="C45" s="191" t="s">
        <v>950</v>
      </c>
      <c r="D45" s="191"/>
      <c r="E45" s="191"/>
      <c r="F45" s="179"/>
      <c r="G45" s="179"/>
      <c r="H45" s="568" t="s">
        <v>1031</v>
      </c>
      <c r="I45" s="333">
        <f>B45</f>
        <v>17</v>
      </c>
      <c r="J45" s="6991"/>
      <c r="K45" s="7166"/>
      <c r="L45" s="7169"/>
      <c r="M45" s="7169"/>
      <c r="N45" s="7476">
        <v>31</v>
      </c>
      <c r="O45" s="7477"/>
      <c r="P45" s="178" t="s">
        <v>962</v>
      </c>
      <c r="Q45" s="273"/>
      <c r="R45" s="178"/>
      <c r="S45" s="178"/>
      <c r="T45" s="178"/>
      <c r="U45" s="178"/>
      <c r="V45" s="178"/>
      <c r="W45" s="178"/>
      <c r="X45" s="332">
        <v>31</v>
      </c>
      <c r="Y45" s="6991"/>
      <c r="Z45" s="7166"/>
      <c r="AA45" s="7169"/>
      <c r="AB45" s="7169"/>
      <c r="AC45" s="588"/>
      <c r="AD45" s="385"/>
      <c r="AE45" s="588"/>
    </row>
    <row r="46" spans="1:31" ht="14.25" customHeight="1">
      <c r="A46" s="588"/>
      <c r="B46" s="246">
        <v>18</v>
      </c>
      <c r="C46" s="1023" t="s">
        <v>951</v>
      </c>
      <c r="D46" s="1023"/>
      <c r="E46" s="191"/>
      <c r="F46" s="179"/>
      <c r="G46" s="179"/>
      <c r="H46" s="568" t="s">
        <v>560</v>
      </c>
      <c r="I46" s="333">
        <f>B46</f>
        <v>18</v>
      </c>
      <c r="J46" s="6991"/>
      <c r="K46" s="7166"/>
      <c r="L46" s="7169"/>
      <c r="M46" s="7169"/>
      <c r="N46" s="7476">
        <v>32</v>
      </c>
      <c r="O46" s="7477"/>
      <c r="P46" s="178" t="s">
        <v>963</v>
      </c>
      <c r="Q46" s="273"/>
      <c r="R46" s="178"/>
      <c r="S46" s="1460"/>
      <c r="T46" s="1145"/>
      <c r="U46" s="1145"/>
      <c r="V46" s="1145"/>
      <c r="W46" s="1145"/>
      <c r="X46" s="373"/>
      <c r="Y46" s="7449"/>
      <c r="Z46" s="7455"/>
      <c r="AA46" s="7455"/>
      <c r="AB46" s="7455"/>
      <c r="AC46" s="588"/>
      <c r="AD46" s="385"/>
      <c r="AE46" s="588"/>
    </row>
    <row r="47" spans="1:31" ht="14.25" customHeight="1">
      <c r="A47" s="588"/>
      <c r="B47" s="246">
        <v>19</v>
      </c>
      <c r="C47" s="191" t="s">
        <v>952</v>
      </c>
      <c r="D47" s="191"/>
      <c r="E47" s="191"/>
      <c r="F47" s="179"/>
      <c r="G47" s="179"/>
      <c r="H47" s="568" t="s">
        <v>445</v>
      </c>
      <c r="I47" s="333">
        <f>B47</f>
        <v>19</v>
      </c>
      <c r="J47" s="6991"/>
      <c r="K47" s="7166"/>
      <c r="L47" s="7169"/>
      <c r="M47" s="7169"/>
      <c r="N47" s="7476" t="s">
        <v>33</v>
      </c>
      <c r="O47" s="7477"/>
      <c r="P47" s="7491"/>
      <c r="Q47" s="7492"/>
      <c r="R47" s="7492"/>
      <c r="S47" s="7492"/>
      <c r="T47" s="7492"/>
      <c r="U47" s="7492"/>
      <c r="V47" s="7492"/>
      <c r="W47" s="7493"/>
      <c r="X47" s="332" t="s">
        <v>128</v>
      </c>
      <c r="Y47" s="6991"/>
      <c r="Z47" s="7166"/>
      <c r="AA47" s="7169"/>
      <c r="AB47" s="7169"/>
      <c r="AC47" s="588"/>
      <c r="AD47" s="385"/>
      <c r="AE47" s="588"/>
    </row>
    <row r="48" spans="1:31" ht="14.25" customHeight="1">
      <c r="A48" s="588"/>
      <c r="B48" s="246">
        <v>20</v>
      </c>
      <c r="C48" s="1023" t="s">
        <v>953</v>
      </c>
      <c r="D48" s="1023"/>
      <c r="E48" s="191"/>
      <c r="F48" s="179"/>
      <c r="G48" s="179"/>
      <c r="H48" s="568" t="s">
        <v>785</v>
      </c>
      <c r="I48" s="333">
        <f>B48</f>
        <v>20</v>
      </c>
      <c r="J48" s="6991"/>
      <c r="K48" s="7166"/>
      <c r="L48" s="7169"/>
      <c r="M48" s="7169"/>
      <c r="N48" s="7476" t="s">
        <v>47</v>
      </c>
      <c r="O48" s="7477"/>
      <c r="P48" s="7491"/>
      <c r="Q48" s="7492"/>
      <c r="R48" s="7492"/>
      <c r="S48" s="7492"/>
      <c r="T48" s="7492"/>
      <c r="U48" s="7492"/>
      <c r="V48" s="7492"/>
      <c r="W48" s="7493"/>
      <c r="X48" s="332" t="s">
        <v>304</v>
      </c>
      <c r="Y48" s="6991"/>
      <c r="Z48" s="7166"/>
      <c r="AA48" s="7169"/>
      <c r="AB48" s="7169"/>
      <c r="AC48" s="588"/>
      <c r="AD48" s="385"/>
      <c r="AE48" s="588"/>
    </row>
    <row r="49" spans="1:32" ht="14.25" customHeight="1">
      <c r="A49" s="588"/>
      <c r="B49" s="246">
        <v>21</v>
      </c>
      <c r="C49" s="1023" t="s">
        <v>259</v>
      </c>
      <c r="D49" s="1023"/>
      <c r="E49" s="191"/>
      <c r="F49" s="179"/>
      <c r="G49" s="179"/>
      <c r="H49" s="187"/>
      <c r="I49" s="373"/>
      <c r="J49" s="7497"/>
      <c r="K49" s="7455"/>
      <c r="L49" s="7455"/>
      <c r="M49" s="7498"/>
      <c r="N49" s="7476" t="s">
        <v>48</v>
      </c>
      <c r="O49" s="7477"/>
      <c r="P49" s="7491"/>
      <c r="Q49" s="7492"/>
      <c r="R49" s="7492"/>
      <c r="S49" s="7492"/>
      <c r="T49" s="7492"/>
      <c r="U49" s="7492"/>
      <c r="V49" s="7492"/>
      <c r="W49" s="7493"/>
      <c r="X49" s="332" t="s">
        <v>966</v>
      </c>
      <c r="Y49" s="6991"/>
      <c r="Z49" s="7166"/>
      <c r="AA49" s="7169"/>
      <c r="AB49" s="7169"/>
      <c r="AC49" s="588"/>
      <c r="AD49" s="385"/>
      <c r="AE49" s="588"/>
    </row>
    <row r="50" spans="1:32" ht="14.25" customHeight="1">
      <c r="A50" s="588"/>
      <c r="B50" s="154" t="s">
        <v>33</v>
      </c>
      <c r="C50" s="191" t="s">
        <v>356</v>
      </c>
      <c r="D50" s="191"/>
      <c r="E50" s="191"/>
      <c r="F50" s="179"/>
      <c r="G50" s="179"/>
      <c r="H50" s="187"/>
      <c r="I50" s="249" t="s">
        <v>954</v>
      </c>
      <c r="J50" s="6991"/>
      <c r="K50" s="7166"/>
      <c r="L50" s="7169"/>
      <c r="M50" s="7169"/>
      <c r="N50" s="7476" t="s">
        <v>92</v>
      </c>
      <c r="O50" s="7477"/>
      <c r="P50" s="7491"/>
      <c r="Q50" s="7492"/>
      <c r="R50" s="7492"/>
      <c r="S50" s="7492"/>
      <c r="T50" s="7492"/>
      <c r="U50" s="7492"/>
      <c r="V50" s="7492"/>
      <c r="W50" s="7493"/>
      <c r="X50" s="332" t="s">
        <v>967</v>
      </c>
      <c r="Y50" s="6991"/>
      <c r="Z50" s="7166"/>
      <c r="AA50" s="7169"/>
      <c r="AB50" s="7169"/>
      <c r="AC50" s="588"/>
      <c r="AD50" s="385"/>
      <c r="AE50" s="588"/>
    </row>
    <row r="51" spans="1:32" ht="14.25" customHeight="1">
      <c r="A51" s="588"/>
      <c r="B51" s="154" t="s">
        <v>47</v>
      </c>
      <c r="C51" s="1023" t="s">
        <v>402</v>
      </c>
      <c r="D51" s="1023"/>
      <c r="E51" s="191"/>
      <c r="F51" s="179"/>
      <c r="G51" s="179"/>
      <c r="H51" s="568" t="s">
        <v>636</v>
      </c>
      <c r="I51" s="249" t="s">
        <v>955</v>
      </c>
      <c r="J51" s="6991"/>
      <c r="K51" s="7166"/>
      <c r="L51" s="7169"/>
      <c r="M51" s="7169"/>
      <c r="N51" s="7476" t="s">
        <v>964</v>
      </c>
      <c r="O51" s="7477"/>
      <c r="P51" s="7491"/>
      <c r="Q51" s="7492"/>
      <c r="R51" s="7492"/>
      <c r="S51" s="7492"/>
      <c r="T51" s="7492"/>
      <c r="U51" s="7492"/>
      <c r="V51" s="7492"/>
      <c r="W51" s="7493"/>
      <c r="X51" s="332" t="s">
        <v>968</v>
      </c>
      <c r="Y51" s="6991"/>
      <c r="Z51" s="7166"/>
      <c r="AA51" s="7169"/>
      <c r="AB51" s="7169"/>
      <c r="AC51" s="588"/>
      <c r="AD51" s="385"/>
      <c r="AE51" s="588"/>
    </row>
    <row r="52" spans="1:32" ht="14.25" customHeight="1" thickBot="1">
      <c r="A52" s="588"/>
      <c r="B52" s="3817">
        <v>22</v>
      </c>
      <c r="C52" s="1080" t="s">
        <v>956</v>
      </c>
      <c r="D52" s="1080"/>
      <c r="E52" s="600"/>
      <c r="F52" s="203"/>
      <c r="G52" s="203"/>
      <c r="H52" s="1081"/>
      <c r="I52" s="4628">
        <v>22</v>
      </c>
      <c r="J52" s="7470"/>
      <c r="K52" s="7471"/>
      <c r="L52" s="7472"/>
      <c r="M52" s="7472"/>
      <c r="N52" s="7451" t="s">
        <v>965</v>
      </c>
      <c r="O52" s="7452"/>
      <c r="P52" s="7499"/>
      <c r="Q52" s="7500"/>
      <c r="R52" s="7500"/>
      <c r="S52" s="7500"/>
      <c r="T52" s="7500"/>
      <c r="U52" s="7500"/>
      <c r="V52" s="7500"/>
      <c r="W52" s="7501"/>
      <c r="X52" s="4629" t="s">
        <v>969</v>
      </c>
      <c r="Y52" s="7470"/>
      <c r="Z52" s="7471"/>
      <c r="AA52" s="7472"/>
      <c r="AB52" s="7472"/>
      <c r="AC52" s="588"/>
      <c r="AD52" s="385"/>
      <c r="AE52" s="588"/>
    </row>
    <row r="53" spans="1:32" ht="15" customHeight="1">
      <c r="A53" s="588"/>
      <c r="B53" s="4769">
        <v>33</v>
      </c>
      <c r="C53" s="4770" t="s">
        <v>3036</v>
      </c>
      <c r="D53" s="4771"/>
      <c r="E53" s="4771"/>
      <c r="F53" s="4772"/>
      <c r="G53" s="4773"/>
      <c r="H53" s="4773"/>
      <c r="I53" s="4773"/>
      <c r="J53" s="4773"/>
      <c r="K53" s="4773"/>
      <c r="L53" s="4773"/>
      <c r="M53" s="4773"/>
      <c r="N53" s="4772"/>
      <c r="O53" s="4772"/>
      <c r="P53" s="4772"/>
      <c r="Q53" s="4772"/>
      <c r="R53" s="4772"/>
      <c r="S53" s="4772"/>
      <c r="T53" s="4772"/>
      <c r="U53" s="4773"/>
      <c r="V53" s="4773"/>
      <c r="W53" s="4774" t="s">
        <v>743</v>
      </c>
      <c r="X53" s="4775">
        <v>33</v>
      </c>
      <c r="Y53" s="7473">
        <f>IF(AD53&lt;&gt;"",ROUND(AD53,0),ROUND(SUM(J36:M52,Y35:AB52),0))</f>
        <v>0</v>
      </c>
      <c r="Z53" s="7474"/>
      <c r="AA53" s="7475"/>
      <c r="AB53" s="7475"/>
      <c r="AC53" s="588"/>
      <c r="AD53" s="578"/>
      <c r="AE53" s="588"/>
    </row>
    <row r="54" spans="1:32" ht="15" customHeight="1">
      <c r="A54" s="588"/>
      <c r="B54" s="246">
        <v>34</v>
      </c>
      <c r="C54" s="1329" t="s">
        <v>2948</v>
      </c>
      <c r="D54" s="993"/>
      <c r="E54" s="184"/>
      <c r="F54" s="184"/>
      <c r="G54" s="181"/>
      <c r="H54" s="181"/>
      <c r="I54" s="181"/>
      <c r="J54" s="181"/>
      <c r="K54" s="181"/>
      <c r="L54" s="181"/>
      <c r="M54" s="181"/>
      <c r="N54" s="184"/>
      <c r="O54" s="184"/>
      <c r="P54" s="184"/>
      <c r="Q54" s="184"/>
      <c r="R54" s="184"/>
      <c r="S54" s="184"/>
      <c r="T54" s="184"/>
      <c r="U54" s="181"/>
      <c r="V54" s="181"/>
      <c r="W54" s="596" t="s">
        <v>2017</v>
      </c>
      <c r="X54" s="182">
        <v>34</v>
      </c>
      <c r="Y54" s="7444">
        <f>IF(AD54&lt;&gt;"",ROUND(AD54,0),SUM(Y33,-Y53))</f>
        <v>0</v>
      </c>
      <c r="Z54" s="7453"/>
      <c r="AA54" s="6585"/>
      <c r="AB54" s="6585"/>
      <c r="AC54" s="588"/>
      <c r="AD54" s="578"/>
      <c r="AE54" s="588"/>
    </row>
    <row r="55" spans="1:32" ht="14.25" customHeight="1">
      <c r="A55" s="588"/>
      <c r="B55" s="246"/>
      <c r="C55" s="214" t="s">
        <v>970</v>
      </c>
      <c r="D55" s="1329"/>
      <c r="E55" s="184"/>
      <c r="F55" s="184"/>
      <c r="G55" s="181"/>
      <c r="H55" s="181"/>
      <c r="I55" s="181"/>
      <c r="J55" s="181"/>
      <c r="K55" s="181"/>
      <c r="L55" s="181"/>
      <c r="M55" s="181"/>
      <c r="N55" s="184"/>
      <c r="O55" s="184"/>
      <c r="P55" s="184"/>
      <c r="Q55" s="184"/>
      <c r="R55" s="184"/>
      <c r="S55" s="184"/>
      <c r="T55" s="184"/>
      <c r="U55" s="181"/>
      <c r="V55" s="181"/>
      <c r="W55" s="181"/>
      <c r="X55" s="2721">
        <f>IF(X56&lt;&gt;"",1,0)</f>
        <v>0</v>
      </c>
      <c r="Y55" s="2722"/>
      <c r="Z55" s="2722"/>
      <c r="AA55" s="2721">
        <f>IF(AA56&lt;&gt;"",1,0)</f>
        <v>0</v>
      </c>
      <c r="AB55" s="2721">
        <f>SUM(X55,AA55)</f>
        <v>0</v>
      </c>
      <c r="AC55" s="588"/>
      <c r="AD55" s="385"/>
      <c r="AE55" s="588"/>
    </row>
    <row r="56" spans="1:32" ht="14.25" customHeight="1">
      <c r="A56" s="588"/>
      <c r="B56" s="246">
        <v>35</v>
      </c>
      <c r="C56" s="1329" t="s">
        <v>2429</v>
      </c>
      <c r="D56" s="1329"/>
      <c r="E56" s="184"/>
      <c r="F56" s="184"/>
      <c r="G56" s="181"/>
      <c r="H56" s="181"/>
      <c r="I56" s="181"/>
      <c r="J56" s="181"/>
      <c r="K56" s="181"/>
      <c r="L56" s="181"/>
      <c r="M56" s="181"/>
      <c r="N56" s="184"/>
      <c r="O56" s="184"/>
      <c r="P56" s="184"/>
      <c r="Q56" s="184"/>
      <c r="R56" s="184"/>
      <c r="S56" s="184"/>
      <c r="T56" s="184"/>
      <c r="U56" s="181"/>
      <c r="V56" s="181"/>
      <c r="W56" s="181"/>
      <c r="X56" s="181"/>
      <c r="Y56" s="181"/>
      <c r="Z56" s="181"/>
      <c r="AA56" s="181"/>
      <c r="AB56" s="181"/>
      <c r="AC56" s="588"/>
      <c r="AD56" s="4785"/>
      <c r="AE56" s="588"/>
    </row>
    <row r="57" spans="1:32" ht="14.25" customHeight="1">
      <c r="A57" s="588"/>
      <c r="B57" s="246">
        <v>36</v>
      </c>
      <c r="C57" s="1329" t="s">
        <v>971</v>
      </c>
      <c r="D57" s="1329"/>
      <c r="E57" s="184"/>
      <c r="F57" s="184"/>
      <c r="G57" s="181"/>
      <c r="H57" s="181"/>
      <c r="I57" s="181"/>
      <c r="J57" s="181"/>
      <c r="K57" s="181"/>
      <c r="L57" s="181"/>
      <c r="M57" s="181"/>
      <c r="N57" s="184"/>
      <c r="O57" s="184"/>
      <c r="P57" s="184"/>
      <c r="Q57" s="184"/>
      <c r="R57" s="184"/>
      <c r="S57" s="184"/>
      <c r="T57" s="184"/>
      <c r="U57" s="181"/>
      <c r="V57" s="181"/>
      <c r="W57" s="3213"/>
      <c r="X57" s="3214"/>
      <c r="Y57" s="3215"/>
      <c r="Z57" s="3215"/>
      <c r="AA57" s="3215"/>
      <c r="AB57" s="3215"/>
      <c r="AC57" s="588"/>
      <c r="AD57" s="4785"/>
      <c r="AE57" s="588"/>
      <c r="AF57" s="3"/>
    </row>
    <row r="58" spans="1:32" ht="12.75" customHeight="1">
      <c r="A58" s="588"/>
      <c r="B58" s="154" t="s">
        <v>33</v>
      </c>
      <c r="C58" s="1456"/>
      <c r="D58" s="392" t="s">
        <v>972</v>
      </c>
      <c r="E58" s="568"/>
      <c r="F58" s="273"/>
      <c r="G58" s="273"/>
      <c r="H58" s="568" t="s">
        <v>47</v>
      </c>
      <c r="I58" s="1456"/>
      <c r="J58" s="1023" t="s">
        <v>973</v>
      </c>
      <c r="K58" s="179"/>
      <c r="L58" s="568"/>
      <c r="M58" s="169"/>
      <c r="N58" s="169"/>
      <c r="O58" s="169"/>
      <c r="P58" s="169"/>
      <c r="Q58" s="169"/>
      <c r="R58" s="188"/>
      <c r="S58" s="188"/>
      <c r="T58" s="169"/>
      <c r="U58" s="179"/>
      <c r="V58" s="179"/>
      <c r="W58" s="184"/>
      <c r="X58" s="364"/>
      <c r="Y58" s="364"/>
      <c r="Z58" s="680"/>
      <c r="AA58" s="364"/>
      <c r="AB58" s="364"/>
      <c r="AC58" s="588"/>
      <c r="AD58" s="4785"/>
      <c r="AE58" s="588"/>
    </row>
    <row r="59" spans="1:32" ht="3.75" customHeight="1" thickBot="1">
      <c r="A59" s="588"/>
      <c r="B59" s="568"/>
      <c r="C59" s="568"/>
      <c r="D59" s="164"/>
      <c r="E59" s="169"/>
      <c r="F59" s="169"/>
      <c r="G59" s="179"/>
      <c r="H59" s="179"/>
      <c r="I59" s="179"/>
      <c r="J59" s="179"/>
      <c r="K59" s="179"/>
      <c r="L59" s="179"/>
      <c r="M59" s="179"/>
      <c r="N59" s="169"/>
      <c r="O59" s="169"/>
      <c r="P59" s="169"/>
      <c r="Q59" s="169"/>
      <c r="R59" s="188"/>
      <c r="S59" s="188"/>
      <c r="T59" s="169"/>
      <c r="U59" s="179"/>
      <c r="V59" s="179"/>
      <c r="W59" s="184"/>
      <c r="X59" s="364"/>
      <c r="Y59" s="364"/>
      <c r="Z59" s="680"/>
      <c r="AA59" s="364"/>
      <c r="AB59" s="364"/>
      <c r="AC59" s="588"/>
      <c r="AD59" s="4785"/>
      <c r="AE59" s="588"/>
    </row>
    <row r="60" spans="1:32" ht="22.5" customHeight="1">
      <c r="A60" s="588"/>
      <c r="B60" s="1907" t="s">
        <v>1045</v>
      </c>
      <c r="C60" s="504"/>
      <c r="D60" s="505"/>
      <c r="E60" s="505"/>
      <c r="F60" s="505"/>
      <c r="G60" s="506"/>
      <c r="H60" s="506"/>
      <c r="I60" s="506"/>
      <c r="J60" s="506"/>
      <c r="K60" s="506"/>
      <c r="L60" s="506"/>
      <c r="M60" s="506"/>
      <c r="N60" s="505"/>
      <c r="O60" s="505"/>
      <c r="P60" s="4654"/>
      <c r="Q60" s="4655"/>
      <c r="R60" s="4655" t="s">
        <v>974</v>
      </c>
      <c r="S60" s="1086"/>
      <c r="T60" s="505"/>
      <c r="U60" s="1086"/>
      <c r="V60" s="506"/>
      <c r="W60" s="507"/>
      <c r="X60" s="506"/>
      <c r="Y60" s="506"/>
      <c r="Z60" s="508"/>
      <c r="AA60" s="509"/>
      <c r="AB60" s="509" t="str">
        <f>"Schedule F (Form 1040)  "&amp;TaxYear</f>
        <v>Schedule F (Form 1040)  2021</v>
      </c>
      <c r="AC60" s="588"/>
      <c r="AD60" s="4785"/>
      <c r="AE60" s="588"/>
      <c r="AF60" s="1264"/>
    </row>
    <row r="61" spans="1:32" ht="19.5" customHeight="1" thickBot="1">
      <c r="A61" s="588"/>
      <c r="B61" s="3714" t="str">
        <f>"Schedule F (Form 1040) "&amp;TaxYear</f>
        <v>Schedule F (Form 1040) 2021</v>
      </c>
      <c r="C61" s="1481"/>
      <c r="D61" s="1481"/>
      <c r="E61" s="1481"/>
      <c r="F61" s="1481"/>
      <c r="G61" s="1481"/>
      <c r="H61" s="1481"/>
      <c r="I61" s="1481"/>
      <c r="J61" s="1481"/>
      <c r="K61" s="1481"/>
      <c r="L61" s="1481"/>
      <c r="M61" s="1481"/>
      <c r="N61" s="1481"/>
      <c r="O61" s="1481"/>
      <c r="P61" s="1481"/>
      <c r="Q61" s="1481"/>
      <c r="R61" s="1481"/>
      <c r="S61" s="1481"/>
      <c r="T61" s="1481"/>
      <c r="U61" s="1481"/>
      <c r="V61" s="1481"/>
      <c r="W61" s="1481"/>
      <c r="X61" s="1481"/>
      <c r="Y61" s="1482"/>
      <c r="Z61" s="1483"/>
      <c r="AA61" s="1483" t="s">
        <v>197</v>
      </c>
      <c r="AB61" s="1484" t="str">
        <f>"2"</f>
        <v>2</v>
      </c>
      <c r="AC61" s="588"/>
      <c r="AD61" s="385"/>
      <c r="AE61" s="588"/>
    </row>
    <row r="62" spans="1:32" ht="15.75" thickTop="1">
      <c r="A62" s="588"/>
      <c r="B62" s="7468" t="s">
        <v>319</v>
      </c>
      <c r="C62" s="7469"/>
      <c r="D62" s="1490" t="s">
        <v>1034</v>
      </c>
      <c r="E62" s="1485"/>
      <c r="F62" s="1485"/>
      <c r="G62" s="1485"/>
      <c r="H62" s="1485"/>
      <c r="I62" s="1485"/>
      <c r="J62" s="1485"/>
      <c r="K62" s="1485"/>
      <c r="L62" s="1485"/>
      <c r="M62" s="1485"/>
      <c r="N62" s="1485"/>
      <c r="O62" s="1485"/>
      <c r="P62" s="1485"/>
      <c r="Q62" s="1485"/>
      <c r="R62" s="1485"/>
      <c r="S62" s="1485"/>
      <c r="T62" s="1485"/>
      <c r="U62" s="1485"/>
      <c r="V62" s="1485"/>
      <c r="W62" s="1485"/>
      <c r="X62" s="1485"/>
      <c r="Y62" s="1485"/>
      <c r="Z62" s="1485"/>
      <c r="AA62" s="1485"/>
      <c r="AB62" s="1485"/>
      <c r="AC62" s="588"/>
      <c r="AD62" s="385"/>
      <c r="AE62" s="588"/>
    </row>
    <row r="63" spans="1:32" ht="9.75" customHeight="1">
      <c r="A63" s="588"/>
      <c r="B63" s="1023"/>
      <c r="C63" s="326"/>
      <c r="D63" s="326"/>
      <c r="E63" s="326"/>
      <c r="F63" s="326"/>
      <c r="G63" s="326"/>
      <c r="H63" s="326"/>
      <c r="I63" s="326"/>
      <c r="J63" s="326"/>
      <c r="K63" s="326"/>
      <c r="L63" s="326"/>
      <c r="M63" s="326"/>
      <c r="N63" s="326"/>
      <c r="O63" s="326"/>
      <c r="P63" s="326"/>
      <c r="Q63" s="326"/>
      <c r="R63" s="326"/>
      <c r="S63" s="326"/>
      <c r="T63" s="326"/>
      <c r="U63" s="326"/>
      <c r="V63" s="326"/>
      <c r="W63" s="326"/>
      <c r="X63" s="4657"/>
      <c r="Y63" s="326"/>
      <c r="Z63" s="326"/>
      <c r="AA63" s="326"/>
      <c r="AB63" s="326"/>
      <c r="AC63" s="588"/>
      <c r="AD63" s="385"/>
      <c r="AE63" s="588"/>
    </row>
    <row r="64" spans="1:32" ht="14.25" customHeight="1">
      <c r="A64" s="588"/>
      <c r="B64" s="246">
        <v>37</v>
      </c>
      <c r="C64" s="169" t="s">
        <v>976</v>
      </c>
      <c r="D64" s="169"/>
      <c r="E64" s="169"/>
      <c r="F64" s="169"/>
      <c r="G64" s="169"/>
      <c r="H64" s="169"/>
      <c r="I64" s="169"/>
      <c r="J64" s="169"/>
      <c r="K64" s="169"/>
      <c r="L64" s="169"/>
      <c r="M64" s="169"/>
      <c r="N64" s="169"/>
      <c r="O64" s="169"/>
      <c r="P64" s="169"/>
      <c r="Q64" s="169"/>
      <c r="R64" s="169"/>
      <c r="S64" s="169"/>
      <c r="T64" s="169"/>
      <c r="U64" s="169"/>
      <c r="V64" s="169"/>
      <c r="W64" s="596" t="s">
        <v>1052</v>
      </c>
      <c r="X64" s="332">
        <v>37</v>
      </c>
      <c r="Y64" s="6991"/>
      <c r="Z64" s="7166"/>
      <c r="AA64" s="7169"/>
      <c r="AB64" s="7169"/>
      <c r="AC64" s="588"/>
      <c r="AD64" s="385"/>
      <c r="AE64" s="588"/>
    </row>
    <row r="65" spans="1:31" ht="12" customHeight="1">
      <c r="A65" s="588"/>
      <c r="B65" s="246"/>
      <c r="C65" s="198"/>
      <c r="D65" s="169"/>
      <c r="E65" s="169"/>
      <c r="F65" s="169"/>
      <c r="G65" s="169"/>
      <c r="H65" s="169"/>
      <c r="I65" s="169"/>
      <c r="J65" s="169"/>
      <c r="K65" s="169"/>
      <c r="L65" s="169"/>
      <c r="M65" s="169"/>
      <c r="N65" s="169"/>
      <c r="O65" s="169"/>
      <c r="P65" s="169"/>
      <c r="Q65" s="169"/>
      <c r="R65" s="169"/>
      <c r="S65" s="169"/>
      <c r="T65" s="169"/>
      <c r="U65" s="169"/>
      <c r="V65" s="169"/>
      <c r="W65" s="169"/>
      <c r="X65" s="4657"/>
      <c r="Y65" s="169"/>
      <c r="Z65" s="169"/>
      <c r="AA65" s="169"/>
      <c r="AB65" s="169"/>
      <c r="AC65" s="588"/>
      <c r="AD65" s="385"/>
      <c r="AE65" s="588"/>
    </row>
    <row r="66" spans="1:31" ht="15" customHeight="1">
      <c r="A66" s="588"/>
      <c r="B66" s="246" t="s">
        <v>977</v>
      </c>
      <c r="C66" s="993" t="s">
        <v>933</v>
      </c>
      <c r="D66" s="993"/>
      <c r="E66" s="184"/>
      <c r="F66" s="184"/>
      <c r="G66" s="184"/>
      <c r="H66" s="184"/>
      <c r="I66" s="184"/>
      <c r="J66" s="184"/>
      <c r="K66" s="1470" t="s">
        <v>1041</v>
      </c>
      <c r="L66" s="1451" t="s">
        <v>977</v>
      </c>
      <c r="M66" s="6991"/>
      <c r="N66" s="7166"/>
      <c r="O66" s="7169"/>
      <c r="P66" s="7502"/>
      <c r="Q66" s="169"/>
      <c r="R66" s="3485" t="s">
        <v>978</v>
      </c>
      <c r="S66" s="1452" t="s">
        <v>280</v>
      </c>
      <c r="T66" s="1452"/>
      <c r="U66" s="1452"/>
      <c r="V66" s="1453"/>
      <c r="W66" s="596" t="s">
        <v>5298</v>
      </c>
      <c r="X66" s="332" t="s">
        <v>978</v>
      </c>
      <c r="Y66" s="6991"/>
      <c r="Z66" s="7166"/>
      <c r="AA66" s="7169"/>
      <c r="AB66" s="7169"/>
      <c r="AC66" s="588"/>
      <c r="AD66" s="385"/>
      <c r="AE66" s="588"/>
    </row>
    <row r="67" spans="1:31" ht="12.75" customHeight="1">
      <c r="A67" s="588"/>
      <c r="B67" s="246"/>
      <c r="C67" s="198"/>
      <c r="D67" s="993"/>
      <c r="E67" s="184"/>
      <c r="F67" s="184"/>
      <c r="G67" s="184"/>
      <c r="H67" s="184"/>
      <c r="I67" s="184"/>
      <c r="J67" s="184"/>
      <c r="K67" s="184"/>
      <c r="L67" s="184"/>
      <c r="M67" s="184"/>
      <c r="N67" s="184"/>
      <c r="O67" s="184"/>
      <c r="P67" s="169"/>
      <c r="Q67" s="169"/>
      <c r="R67" s="169"/>
      <c r="S67" s="184"/>
      <c r="T67" s="184"/>
      <c r="U67" s="184"/>
      <c r="V67" s="184"/>
      <c r="W67" s="184"/>
      <c r="X67" s="4657"/>
      <c r="Y67" s="184"/>
      <c r="Z67" s="212" t="str">
        <f>IF(AND(U67&lt;&gt;"",X67&lt;&gt;""),"Check ONLY one.","")</f>
        <v/>
      </c>
      <c r="AA67" s="184"/>
      <c r="AB67" s="184"/>
      <c r="AC67" s="588"/>
      <c r="AD67" s="385"/>
      <c r="AE67" s="588"/>
    </row>
    <row r="68" spans="1:31" ht="15" customHeight="1">
      <c r="A68" s="588"/>
      <c r="B68" s="246" t="s">
        <v>53</v>
      </c>
      <c r="C68" s="993" t="s">
        <v>979</v>
      </c>
      <c r="D68" s="993"/>
      <c r="E68" s="184"/>
      <c r="F68" s="184"/>
      <c r="G68" s="184"/>
      <c r="H68" s="184"/>
      <c r="I68" s="184"/>
      <c r="J68" s="184"/>
      <c r="K68" s="1470" t="s">
        <v>803</v>
      </c>
      <c r="L68" s="1451" t="s">
        <v>53</v>
      </c>
      <c r="M68" s="6991"/>
      <c r="N68" s="7166"/>
      <c r="O68" s="7169"/>
      <c r="P68" s="7502"/>
      <c r="Q68" s="169"/>
      <c r="R68" s="3485" t="s">
        <v>980</v>
      </c>
      <c r="S68" s="1452" t="s">
        <v>280</v>
      </c>
      <c r="T68" s="1452"/>
      <c r="U68" s="1452"/>
      <c r="V68" s="1453"/>
      <c r="W68" s="596" t="s">
        <v>5298</v>
      </c>
      <c r="X68" s="332" t="s">
        <v>980</v>
      </c>
      <c r="Y68" s="6991"/>
      <c r="Z68" s="7166"/>
      <c r="AA68" s="7169"/>
      <c r="AB68" s="7169"/>
      <c r="AC68" s="588"/>
      <c r="AD68" s="385"/>
      <c r="AE68" s="588"/>
    </row>
    <row r="69" spans="1:31" ht="12.75" customHeight="1">
      <c r="A69" s="588"/>
      <c r="B69" s="246"/>
      <c r="C69" s="198"/>
      <c r="D69" s="993"/>
      <c r="E69" s="184"/>
      <c r="F69" s="184"/>
      <c r="G69" s="184"/>
      <c r="H69" s="184"/>
      <c r="I69" s="184"/>
      <c r="J69" s="184"/>
      <c r="K69" s="184"/>
      <c r="L69" s="184"/>
      <c r="M69" s="184"/>
      <c r="N69" s="184"/>
      <c r="O69" s="184"/>
      <c r="P69" s="169"/>
      <c r="Q69" s="169"/>
      <c r="R69" s="169"/>
      <c r="S69" s="184"/>
      <c r="T69" s="184"/>
      <c r="U69" s="184"/>
      <c r="V69" s="184"/>
      <c r="W69" s="184"/>
      <c r="X69" s="4658"/>
      <c r="Y69" s="184"/>
      <c r="Z69" s="212" t="str">
        <f>IF(AND(U69&lt;&gt;"",X69&lt;&gt;""),"Check ONLY one.","")</f>
        <v/>
      </c>
      <c r="AA69" s="184"/>
      <c r="AB69" s="184"/>
      <c r="AC69" s="588"/>
      <c r="AD69" s="385"/>
      <c r="AE69" s="588"/>
    </row>
    <row r="70" spans="1:31" ht="12.75" customHeight="1">
      <c r="A70" s="588"/>
      <c r="B70" s="246">
        <v>40</v>
      </c>
      <c r="C70" s="993" t="s">
        <v>982</v>
      </c>
      <c r="D70" s="993"/>
      <c r="E70" s="184"/>
      <c r="F70" s="184"/>
      <c r="G70" s="184"/>
      <c r="H70" s="184"/>
      <c r="I70" s="184"/>
      <c r="J70" s="184"/>
      <c r="K70" s="184"/>
      <c r="L70" s="184"/>
      <c r="M70" s="184"/>
      <c r="N70" s="184"/>
      <c r="O70" s="184"/>
      <c r="P70" s="169"/>
      <c r="Q70" s="169"/>
      <c r="R70" s="169"/>
      <c r="S70" s="184"/>
      <c r="T70" s="184"/>
      <c r="U70" s="184"/>
      <c r="V70" s="184"/>
      <c r="W70" s="184"/>
      <c r="X70" s="4659"/>
      <c r="Y70" s="184"/>
      <c r="Z70" s="212"/>
      <c r="AA70" s="184"/>
      <c r="AB70" s="184"/>
      <c r="AC70" s="588"/>
      <c r="AD70" s="385"/>
      <c r="AE70" s="588"/>
    </row>
    <row r="71" spans="1:31" ht="15" customHeight="1">
      <c r="A71" s="588"/>
      <c r="B71" s="154" t="s">
        <v>33</v>
      </c>
      <c r="C71" s="993" t="s">
        <v>983</v>
      </c>
      <c r="D71" s="993"/>
      <c r="E71" s="184"/>
      <c r="F71" s="184"/>
      <c r="G71" s="184"/>
      <c r="H71" s="184"/>
      <c r="I71" s="184"/>
      <c r="J71" s="184"/>
      <c r="K71" s="184"/>
      <c r="L71" s="184"/>
      <c r="M71" s="184"/>
      <c r="N71" s="184"/>
      <c r="O71" s="184"/>
      <c r="P71" s="184"/>
      <c r="Q71" s="184"/>
      <c r="R71" s="169"/>
      <c r="S71" s="596"/>
      <c r="T71" s="1452"/>
      <c r="U71" s="1452"/>
      <c r="V71" s="1453"/>
      <c r="W71" s="596" t="s">
        <v>2015</v>
      </c>
      <c r="X71" s="332" t="s">
        <v>981</v>
      </c>
      <c r="Y71" s="6991"/>
      <c r="Z71" s="7166"/>
      <c r="AA71" s="7169"/>
      <c r="AB71" s="7169"/>
      <c r="AC71" s="588"/>
      <c r="AD71" s="385"/>
      <c r="AE71" s="588"/>
    </row>
    <row r="72" spans="1:31" ht="12" customHeight="1">
      <c r="A72" s="588"/>
      <c r="B72" s="154"/>
      <c r="C72" s="198"/>
      <c r="D72" s="184"/>
      <c r="E72" s="184"/>
      <c r="F72" s="184"/>
      <c r="G72" s="184"/>
      <c r="H72" s="184"/>
      <c r="I72" s="184"/>
      <c r="J72" s="184"/>
      <c r="K72" s="184"/>
      <c r="L72" s="184"/>
      <c r="M72" s="184"/>
      <c r="N72" s="184"/>
      <c r="O72" s="184"/>
      <c r="P72" s="169"/>
      <c r="Q72" s="169"/>
      <c r="R72" s="169"/>
      <c r="S72" s="184"/>
      <c r="T72" s="184"/>
      <c r="U72" s="184"/>
      <c r="V72" s="184"/>
      <c r="W72" s="1486"/>
      <c r="X72" s="4657"/>
      <c r="Y72" s="184"/>
      <c r="Z72" s="184"/>
      <c r="AA72" s="184"/>
      <c r="AB72" s="184"/>
      <c r="AC72" s="588"/>
      <c r="AD72" s="385"/>
      <c r="AE72" s="588"/>
    </row>
    <row r="73" spans="1:31" ht="15" customHeight="1">
      <c r="A73" s="588"/>
      <c r="B73" s="154" t="s">
        <v>47</v>
      </c>
      <c r="C73" s="993" t="s">
        <v>938</v>
      </c>
      <c r="D73" s="993"/>
      <c r="E73" s="184"/>
      <c r="F73" s="184"/>
      <c r="G73" s="184"/>
      <c r="H73" s="184"/>
      <c r="I73" s="184"/>
      <c r="J73" s="184"/>
      <c r="K73" s="596" t="s">
        <v>975</v>
      </c>
      <c r="L73" s="1451" t="s">
        <v>984</v>
      </c>
      <c r="M73" s="6983"/>
      <c r="N73" s="6984"/>
      <c r="O73" s="7150"/>
      <c r="P73" s="7496"/>
      <c r="Q73" s="169"/>
      <c r="R73" s="3485" t="s">
        <v>985</v>
      </c>
      <c r="S73" s="1452" t="s">
        <v>280</v>
      </c>
      <c r="T73" s="1452"/>
      <c r="U73" s="1452"/>
      <c r="V73" s="1453"/>
      <c r="W73" s="596" t="s">
        <v>5298</v>
      </c>
      <c r="X73" s="332" t="s">
        <v>985</v>
      </c>
      <c r="Y73" s="6991"/>
      <c r="Z73" s="7166"/>
      <c r="AA73" s="7169"/>
      <c r="AB73" s="7169"/>
      <c r="AC73" s="588"/>
      <c r="AD73" s="385"/>
      <c r="AE73" s="588"/>
    </row>
    <row r="74" spans="1:31" ht="9.75" customHeight="1">
      <c r="A74" s="588"/>
      <c r="B74" s="1023"/>
      <c r="C74" s="326"/>
      <c r="D74" s="326"/>
      <c r="E74" s="326"/>
      <c r="F74" s="326"/>
      <c r="G74" s="326"/>
      <c r="H74" s="326"/>
      <c r="I74" s="326"/>
      <c r="J74" s="326"/>
      <c r="K74" s="326"/>
      <c r="L74" s="326"/>
      <c r="M74" s="326"/>
      <c r="N74" s="326"/>
      <c r="O74" s="326"/>
      <c r="P74" s="326"/>
      <c r="Q74" s="326"/>
      <c r="R74" s="326"/>
      <c r="S74" s="326"/>
      <c r="T74" s="326"/>
      <c r="U74" s="326"/>
      <c r="V74" s="326"/>
      <c r="W74" s="1488"/>
      <c r="X74" s="4657"/>
      <c r="Y74" s="326"/>
      <c r="Z74" s="326"/>
      <c r="AA74" s="326"/>
      <c r="AB74" s="326"/>
      <c r="AC74" s="588"/>
      <c r="AD74" s="385"/>
      <c r="AE74" s="588"/>
    </row>
    <row r="75" spans="1:31" ht="14.25" customHeight="1">
      <c r="A75" s="588"/>
      <c r="B75" s="246">
        <v>41</v>
      </c>
      <c r="C75" s="164" t="s">
        <v>986</v>
      </c>
      <c r="D75" s="164"/>
      <c r="E75" s="169"/>
      <c r="F75" s="169"/>
      <c r="G75" s="169"/>
      <c r="H75" s="169"/>
      <c r="I75" s="169"/>
      <c r="J75" s="169"/>
      <c r="K75" s="169"/>
      <c r="L75" s="169"/>
      <c r="M75" s="169"/>
      <c r="N75" s="169"/>
      <c r="O75" s="169"/>
      <c r="P75" s="169"/>
      <c r="Q75" s="169"/>
      <c r="R75" s="169"/>
      <c r="S75" s="169"/>
      <c r="T75" s="169"/>
      <c r="U75" s="169"/>
      <c r="V75" s="169"/>
      <c r="W75" s="596" t="s">
        <v>1040</v>
      </c>
      <c r="X75" s="332">
        <v>41</v>
      </c>
      <c r="Y75" s="6991"/>
      <c r="Z75" s="7166"/>
      <c r="AA75" s="7169"/>
      <c r="AB75" s="7169"/>
      <c r="AC75" s="588"/>
      <c r="AD75" s="385"/>
      <c r="AE75" s="588"/>
    </row>
    <row r="76" spans="1:31" ht="9.75" customHeight="1">
      <c r="A76" s="588"/>
      <c r="B76" s="1023"/>
      <c r="C76" s="326"/>
      <c r="D76" s="326"/>
      <c r="E76" s="326"/>
      <c r="F76" s="326"/>
      <c r="G76" s="326"/>
      <c r="H76" s="326"/>
      <c r="I76" s="326"/>
      <c r="J76" s="326"/>
      <c r="K76" s="326"/>
      <c r="L76" s="326"/>
      <c r="M76" s="326"/>
      <c r="N76" s="326"/>
      <c r="O76" s="326"/>
      <c r="P76" s="326"/>
      <c r="Q76" s="326"/>
      <c r="R76" s="326"/>
      <c r="S76" s="326"/>
      <c r="T76" s="326"/>
      <c r="U76" s="326"/>
      <c r="V76" s="326"/>
      <c r="W76" s="326"/>
      <c r="X76" s="4657"/>
      <c r="Y76" s="326"/>
      <c r="Z76" s="326"/>
      <c r="AA76" s="326"/>
      <c r="AB76" s="326"/>
      <c r="AC76" s="588"/>
      <c r="AD76" s="385"/>
      <c r="AE76" s="588"/>
    </row>
    <row r="77" spans="1:31" ht="14.25" customHeight="1">
      <c r="A77" s="588"/>
      <c r="B77" s="246">
        <v>42</v>
      </c>
      <c r="C77" s="164" t="s">
        <v>942</v>
      </c>
      <c r="D77" s="164"/>
      <c r="E77" s="169"/>
      <c r="F77" s="169"/>
      <c r="G77" s="169"/>
      <c r="H77" s="169"/>
      <c r="I77" s="169"/>
      <c r="J77" s="169"/>
      <c r="K77" s="169"/>
      <c r="L77" s="169"/>
      <c r="M77" s="169"/>
      <c r="N77" s="169"/>
      <c r="O77" s="169"/>
      <c r="P77" s="169"/>
      <c r="Q77" s="169"/>
      <c r="R77" s="169"/>
      <c r="S77" s="169"/>
      <c r="T77" s="169"/>
      <c r="U77" s="169"/>
      <c r="V77" s="169"/>
      <c r="W77" s="596" t="s">
        <v>2015</v>
      </c>
      <c r="X77" s="332">
        <v>42</v>
      </c>
      <c r="Y77" s="6991"/>
      <c r="Z77" s="7166"/>
      <c r="AA77" s="7169"/>
      <c r="AB77" s="7169"/>
      <c r="AC77" s="588"/>
      <c r="AD77" s="385"/>
      <c r="AE77" s="588"/>
    </row>
    <row r="78" spans="1:31" ht="9.75" customHeight="1">
      <c r="A78" s="588"/>
      <c r="B78" s="1023"/>
      <c r="C78" s="326"/>
      <c r="D78" s="326"/>
      <c r="E78" s="326"/>
      <c r="F78" s="326"/>
      <c r="G78" s="326"/>
      <c r="H78" s="326"/>
      <c r="I78" s="326"/>
      <c r="J78" s="326"/>
      <c r="K78" s="326"/>
      <c r="L78" s="326"/>
      <c r="M78" s="326"/>
      <c r="N78" s="326"/>
      <c r="O78" s="326"/>
      <c r="P78" s="326"/>
      <c r="Q78" s="326"/>
      <c r="R78" s="326"/>
      <c r="S78" s="326"/>
      <c r="T78" s="326"/>
      <c r="U78" s="326"/>
      <c r="V78" s="326"/>
      <c r="W78" s="326"/>
      <c r="X78" s="4657"/>
      <c r="Y78" s="326"/>
      <c r="Z78" s="326"/>
      <c r="AA78" s="326"/>
      <c r="AB78" s="326"/>
      <c r="AC78" s="588"/>
      <c r="AD78" s="385"/>
      <c r="AE78" s="588"/>
    </row>
    <row r="79" spans="1:31" ht="14.25" customHeight="1">
      <c r="A79" s="588"/>
      <c r="B79" s="246">
        <v>43</v>
      </c>
      <c r="C79" s="164" t="s">
        <v>987</v>
      </c>
      <c r="D79" s="164"/>
      <c r="E79" s="169"/>
      <c r="F79" s="169"/>
      <c r="G79" s="169"/>
      <c r="H79" s="169"/>
      <c r="I79" s="169"/>
      <c r="J79" s="169"/>
      <c r="K79" s="169"/>
      <c r="L79" s="169"/>
      <c r="M79" s="169"/>
      <c r="N79" s="169"/>
      <c r="O79" s="169"/>
      <c r="P79" s="169"/>
      <c r="Q79" s="169"/>
      <c r="R79" s="169"/>
      <c r="S79" s="169"/>
      <c r="T79" s="169"/>
      <c r="U79" s="169"/>
      <c r="V79" s="169"/>
      <c r="W79" s="596" t="s">
        <v>1051</v>
      </c>
      <c r="X79" s="332">
        <v>43</v>
      </c>
      <c r="Y79" s="6991"/>
      <c r="Z79" s="7166"/>
      <c r="AA79" s="7169"/>
      <c r="AB79" s="7169"/>
      <c r="AC79" s="588"/>
      <c r="AD79" s="385"/>
      <c r="AE79" s="588"/>
    </row>
    <row r="80" spans="1:31" ht="9.75" customHeight="1">
      <c r="A80" s="588"/>
      <c r="B80" s="1023"/>
      <c r="C80" s="326"/>
      <c r="D80" s="326"/>
      <c r="E80" s="326"/>
      <c r="F80" s="326"/>
      <c r="G80" s="326"/>
      <c r="H80" s="326"/>
      <c r="I80" s="326"/>
      <c r="J80" s="326"/>
      <c r="K80" s="326"/>
      <c r="L80" s="326"/>
      <c r="M80" s="326"/>
      <c r="N80" s="326"/>
      <c r="O80" s="326"/>
      <c r="P80" s="326"/>
      <c r="Q80" s="326"/>
      <c r="R80" s="326"/>
      <c r="S80" s="326"/>
      <c r="T80" s="326"/>
      <c r="U80" s="326"/>
      <c r="V80" s="326"/>
      <c r="W80" s="326"/>
      <c r="X80" s="4657"/>
      <c r="Y80" s="1469"/>
      <c r="Z80" s="1459"/>
      <c r="AA80" s="1459"/>
      <c r="AB80" s="1459"/>
      <c r="AC80" s="588"/>
      <c r="AD80" s="385"/>
      <c r="AE80" s="588"/>
    </row>
    <row r="81" spans="1:31" ht="14.25" customHeight="1">
      <c r="A81" s="588"/>
      <c r="B81" s="246">
        <v>44</v>
      </c>
      <c r="C81" s="164" t="s">
        <v>988</v>
      </c>
      <c r="D81" s="164"/>
      <c r="E81" s="169"/>
      <c r="F81" s="169"/>
      <c r="G81" s="169"/>
      <c r="H81" s="169"/>
      <c r="I81" s="169"/>
      <c r="J81" s="169"/>
      <c r="K81" s="169"/>
      <c r="L81" s="169"/>
      <c r="M81" s="169"/>
      <c r="N81" s="169"/>
      <c r="O81" s="169"/>
      <c r="P81" s="169"/>
      <c r="Q81" s="169"/>
      <c r="R81" s="169"/>
      <c r="S81" s="169"/>
      <c r="T81" s="169"/>
      <c r="U81" s="169"/>
      <c r="V81" s="169"/>
      <c r="W81" s="596" t="s">
        <v>5299</v>
      </c>
      <c r="X81" s="332">
        <v>44</v>
      </c>
      <c r="Y81" s="6981">
        <f>IF(AD81&lt;&gt;"",ROUND(AD81,0),ROUND(SUM(Y64,Y66,Y68,Y71,Y73,Y75,Y77,Y79),0))</f>
        <v>0</v>
      </c>
      <c r="Z81" s="6990"/>
      <c r="AA81" s="7096"/>
      <c r="AB81" s="7096"/>
      <c r="AC81" s="588"/>
      <c r="AD81" s="578"/>
      <c r="AE81" s="588"/>
    </row>
    <row r="82" spans="1:31" ht="9.75" customHeight="1">
      <c r="A82" s="588"/>
      <c r="B82" s="1023"/>
      <c r="C82" s="326"/>
      <c r="D82" s="326"/>
      <c r="E82" s="326"/>
      <c r="F82" s="326"/>
      <c r="G82" s="326"/>
      <c r="H82" s="326"/>
      <c r="I82" s="326"/>
      <c r="J82" s="326"/>
      <c r="K82" s="326"/>
      <c r="L82" s="326"/>
      <c r="M82" s="326"/>
      <c r="N82" s="326"/>
      <c r="O82" s="326"/>
      <c r="P82" s="326"/>
      <c r="Q82" s="326"/>
      <c r="R82" s="326"/>
      <c r="S82" s="326"/>
      <c r="T82" s="326"/>
      <c r="U82" s="326"/>
      <c r="V82" s="326"/>
      <c r="W82" s="326"/>
      <c r="X82" s="4658"/>
      <c r="Y82" s="326"/>
      <c r="Z82" s="326"/>
      <c r="AA82" s="326"/>
      <c r="AB82" s="326"/>
      <c r="AC82" s="588"/>
      <c r="AD82" s="385"/>
      <c r="AE82" s="588"/>
    </row>
    <row r="83" spans="1:31" ht="14.25" customHeight="1">
      <c r="A83" s="588"/>
      <c r="B83" s="246">
        <v>45</v>
      </c>
      <c r="C83" s="164" t="s">
        <v>989</v>
      </c>
      <c r="D83" s="164"/>
      <c r="E83" s="169"/>
      <c r="F83" s="169"/>
      <c r="G83" s="169"/>
      <c r="H83" s="169"/>
      <c r="I83" s="169"/>
      <c r="J83" s="169"/>
      <c r="K83" s="169"/>
      <c r="L83" s="169"/>
      <c r="M83" s="169"/>
      <c r="N83" s="169"/>
      <c r="O83" s="169"/>
      <c r="P83" s="169"/>
      <c r="Q83" s="169"/>
      <c r="R83" s="169"/>
      <c r="S83" s="596"/>
      <c r="T83" s="1452"/>
      <c r="U83" s="1452"/>
      <c r="V83" s="1453"/>
      <c r="W83" s="1453"/>
      <c r="X83" s="4659"/>
      <c r="Y83" s="326"/>
      <c r="Z83" s="326"/>
      <c r="AA83" s="326"/>
      <c r="AB83" s="326"/>
      <c r="AC83" s="588"/>
      <c r="AD83" s="385"/>
      <c r="AE83" s="588"/>
    </row>
    <row r="84" spans="1:31" ht="12.75" customHeight="1">
      <c r="A84" s="588"/>
      <c r="B84" s="246"/>
      <c r="C84" s="184" t="s">
        <v>990</v>
      </c>
      <c r="D84" s="184"/>
      <c r="E84" s="184"/>
      <c r="F84" s="184"/>
      <c r="G84" s="184"/>
      <c r="H84" s="184"/>
      <c r="I84" s="184"/>
      <c r="J84" s="184"/>
      <c r="K84" s="184"/>
      <c r="L84" s="184"/>
      <c r="M84" s="184"/>
      <c r="N84" s="184"/>
      <c r="O84" s="184"/>
      <c r="P84" s="184"/>
      <c r="Q84" s="184"/>
      <c r="R84" s="1470" t="s">
        <v>2780</v>
      </c>
      <c r="S84" s="4660">
        <v>45</v>
      </c>
      <c r="T84" s="7166"/>
      <c r="U84" s="7166"/>
      <c r="V84" s="7169"/>
      <c r="W84" s="7169"/>
      <c r="X84" s="4659"/>
      <c r="Y84" s="326"/>
      <c r="Z84" s="326"/>
      <c r="AA84" s="326"/>
      <c r="AB84" s="326"/>
      <c r="AC84" s="588"/>
      <c r="AD84" s="385"/>
      <c r="AE84" s="588"/>
    </row>
    <row r="85" spans="1:31" ht="21" customHeight="1">
      <c r="A85" s="588"/>
      <c r="B85" s="246">
        <v>46</v>
      </c>
      <c r="C85" s="1023" t="s">
        <v>991</v>
      </c>
      <c r="D85" s="164"/>
      <c r="E85" s="169"/>
      <c r="F85" s="169"/>
      <c r="G85" s="169"/>
      <c r="H85" s="169"/>
      <c r="I85" s="169"/>
      <c r="J85" s="169"/>
      <c r="K85" s="169"/>
      <c r="L85" s="169"/>
      <c r="M85" s="169"/>
      <c r="N85" s="169"/>
      <c r="O85" s="169"/>
      <c r="P85" s="169"/>
      <c r="Q85" s="169"/>
      <c r="R85" s="169"/>
      <c r="S85" s="4661"/>
      <c r="T85" s="1452"/>
      <c r="U85" s="1452"/>
      <c r="V85" s="1453"/>
      <c r="W85" s="1453"/>
      <c r="X85" s="4659"/>
      <c r="Y85" s="326"/>
      <c r="Z85" s="326"/>
      <c r="AA85" s="326"/>
      <c r="AB85" s="326"/>
      <c r="AC85" s="588"/>
      <c r="AD85" s="385"/>
      <c r="AE85" s="588"/>
    </row>
    <row r="86" spans="1:31" ht="12.75" customHeight="1">
      <c r="A86" s="588"/>
      <c r="B86" s="246"/>
      <c r="C86" s="1329" t="s">
        <v>992</v>
      </c>
      <c r="D86" s="993"/>
      <c r="E86" s="184"/>
      <c r="F86" s="184"/>
      <c r="G86" s="184"/>
      <c r="H86" s="184"/>
      <c r="I86" s="184"/>
      <c r="J86" s="184"/>
      <c r="K86" s="184"/>
      <c r="L86" s="184"/>
      <c r="M86" s="184"/>
      <c r="N86" s="184"/>
      <c r="O86" s="184"/>
      <c r="P86" s="184"/>
      <c r="Q86" s="184"/>
      <c r="R86" s="1470" t="s">
        <v>4427</v>
      </c>
      <c r="S86" s="4660">
        <v>46</v>
      </c>
      <c r="T86" s="7166"/>
      <c r="U86" s="7166"/>
      <c r="V86" s="7169"/>
      <c r="W86" s="7169"/>
      <c r="X86" s="4659"/>
      <c r="Y86" s="326"/>
      <c r="Z86" s="326"/>
      <c r="AA86" s="326"/>
      <c r="AB86" s="326"/>
      <c r="AC86" s="588"/>
      <c r="AD86" s="385"/>
      <c r="AE86" s="588"/>
    </row>
    <row r="87" spans="1:31" ht="11.25" customHeight="1">
      <c r="A87" s="588"/>
      <c r="B87" s="246"/>
      <c r="C87" s="198"/>
      <c r="D87" s="164"/>
      <c r="E87" s="169"/>
      <c r="F87" s="169"/>
      <c r="G87" s="169"/>
      <c r="H87" s="169"/>
      <c r="I87" s="169"/>
      <c r="J87" s="169"/>
      <c r="K87" s="169"/>
      <c r="L87" s="169"/>
      <c r="M87" s="169"/>
      <c r="N87" s="169"/>
      <c r="O87" s="169"/>
      <c r="P87" s="169"/>
      <c r="Q87" s="169"/>
      <c r="R87" s="169"/>
      <c r="S87" s="4661"/>
      <c r="T87" s="1452"/>
      <c r="U87" s="1452"/>
      <c r="V87" s="1453"/>
      <c r="W87" s="1453"/>
      <c r="X87" s="4659"/>
      <c r="Y87" s="326"/>
      <c r="Z87" s="326"/>
      <c r="AA87" s="326"/>
      <c r="AB87" s="326"/>
      <c r="AC87" s="588"/>
      <c r="AD87" s="385"/>
      <c r="AE87" s="588"/>
    </row>
    <row r="88" spans="1:31" ht="12.75" customHeight="1">
      <c r="A88" s="588"/>
      <c r="B88" s="246">
        <v>47</v>
      </c>
      <c r="C88" s="1329" t="s">
        <v>993</v>
      </c>
      <c r="D88" s="993"/>
      <c r="E88" s="184"/>
      <c r="F88" s="184"/>
      <c r="G88" s="184"/>
      <c r="H88" s="184"/>
      <c r="I88" s="184"/>
      <c r="J88" s="184"/>
      <c r="K88" s="184"/>
      <c r="L88" s="184"/>
      <c r="M88" s="184"/>
      <c r="N88" s="184"/>
      <c r="O88" s="184"/>
      <c r="P88" s="184"/>
      <c r="Q88" s="184"/>
      <c r="R88" s="1470" t="s">
        <v>2524</v>
      </c>
      <c r="S88" s="4660">
        <v>47</v>
      </c>
      <c r="T88" s="6981">
        <f>ROUND(SUM(T84,T86),0)</f>
        <v>0</v>
      </c>
      <c r="U88" s="6990"/>
      <c r="V88" s="7096"/>
      <c r="W88" s="7096"/>
      <c r="X88" s="4659"/>
      <c r="Y88" s="326"/>
      <c r="Z88" s="326"/>
      <c r="AA88" s="326"/>
      <c r="AB88" s="326"/>
      <c r="AC88" s="588"/>
      <c r="AD88" s="385"/>
      <c r="AE88" s="588"/>
    </row>
    <row r="89" spans="1:31" ht="14.25" customHeight="1">
      <c r="A89" s="588"/>
      <c r="B89" s="246"/>
      <c r="C89" s="198"/>
      <c r="D89" s="164"/>
      <c r="E89" s="169"/>
      <c r="F89" s="169"/>
      <c r="G89" s="169"/>
      <c r="H89" s="169"/>
      <c r="I89" s="169"/>
      <c r="J89" s="169"/>
      <c r="K89" s="169"/>
      <c r="L89" s="169"/>
      <c r="M89" s="169"/>
      <c r="N89" s="169"/>
      <c r="O89" s="169"/>
      <c r="P89" s="169"/>
      <c r="Q89" s="169"/>
      <c r="R89" s="169"/>
      <c r="S89" s="4661"/>
      <c r="T89" s="1452"/>
      <c r="U89" s="1452"/>
      <c r="V89" s="1453"/>
      <c r="W89" s="1453"/>
      <c r="X89" s="4659"/>
      <c r="Y89" s="326"/>
      <c r="Z89" s="326"/>
      <c r="AA89" s="326"/>
      <c r="AB89" s="326"/>
      <c r="AC89" s="588"/>
      <c r="AD89" s="385"/>
      <c r="AE89" s="588"/>
    </row>
    <row r="90" spans="1:31" ht="12.75" customHeight="1">
      <c r="A90" s="588"/>
      <c r="B90" s="246">
        <v>48</v>
      </c>
      <c r="C90" s="1329" t="s">
        <v>994</v>
      </c>
      <c r="D90" s="993"/>
      <c r="E90" s="184"/>
      <c r="F90" s="184"/>
      <c r="G90" s="184"/>
      <c r="H90" s="184"/>
      <c r="I90" s="184"/>
      <c r="J90" s="184"/>
      <c r="K90" s="184"/>
      <c r="L90" s="184"/>
      <c r="M90" s="184"/>
      <c r="N90" s="184"/>
      <c r="O90" s="184"/>
      <c r="P90" s="184"/>
      <c r="Q90" s="184"/>
      <c r="R90" s="1470" t="s">
        <v>3994</v>
      </c>
      <c r="S90" s="4660">
        <v>48</v>
      </c>
      <c r="T90" s="7166"/>
      <c r="U90" s="7166"/>
      <c r="V90" s="7169"/>
      <c r="W90" s="7169"/>
      <c r="X90" s="4659"/>
      <c r="Y90" s="326"/>
      <c r="Z90" s="326"/>
      <c r="AA90" s="326"/>
      <c r="AB90" s="326"/>
      <c r="AC90" s="588"/>
      <c r="AD90" s="385"/>
      <c r="AE90" s="588"/>
    </row>
    <row r="91" spans="1:31" ht="9.75" customHeight="1">
      <c r="A91" s="588"/>
      <c r="B91" s="1023"/>
      <c r="C91" s="326"/>
      <c r="D91" s="326"/>
      <c r="E91" s="326"/>
      <c r="F91" s="326"/>
      <c r="G91" s="326"/>
      <c r="H91" s="326"/>
      <c r="I91" s="326"/>
      <c r="J91" s="326"/>
      <c r="K91" s="326"/>
      <c r="L91" s="326"/>
      <c r="M91" s="326"/>
      <c r="N91" s="326"/>
      <c r="O91" s="326"/>
      <c r="P91" s="326"/>
      <c r="Q91" s="326"/>
      <c r="R91" s="326"/>
      <c r="S91" s="326"/>
      <c r="T91" s="326"/>
      <c r="U91" s="326"/>
      <c r="V91" s="326"/>
      <c r="W91" s="326"/>
      <c r="X91" s="4657"/>
      <c r="Y91" s="326"/>
      <c r="Z91" s="326"/>
      <c r="AA91" s="326"/>
      <c r="AB91" s="326"/>
      <c r="AC91" s="588"/>
      <c r="AD91" s="385"/>
      <c r="AE91" s="588"/>
    </row>
    <row r="92" spans="1:31" ht="14.25" customHeight="1">
      <c r="A92" s="588"/>
      <c r="B92" s="246">
        <v>49</v>
      </c>
      <c r="C92" s="1023" t="s">
        <v>995</v>
      </c>
      <c r="D92" s="164"/>
      <c r="E92" s="169"/>
      <c r="F92" s="169"/>
      <c r="G92" s="169"/>
      <c r="H92" s="169"/>
      <c r="I92" s="169"/>
      <c r="J92" s="169"/>
      <c r="K92" s="169"/>
      <c r="L92" s="169"/>
      <c r="M92" s="169"/>
      <c r="N92" s="169"/>
      <c r="O92" s="169"/>
      <c r="P92" s="169"/>
      <c r="Q92" s="169"/>
      <c r="R92" s="169"/>
      <c r="S92" s="169"/>
      <c r="T92" s="169"/>
      <c r="U92" s="169"/>
      <c r="V92" s="169"/>
      <c r="W92" s="1470" t="s">
        <v>2419</v>
      </c>
      <c r="X92" s="332">
        <v>49</v>
      </c>
      <c r="Y92" s="6981">
        <f>SUM(T88,-T90)</f>
        <v>0</v>
      </c>
      <c r="Z92" s="6990"/>
      <c r="AA92" s="7096"/>
      <c r="AB92" s="7096"/>
      <c r="AC92" s="588"/>
      <c r="AD92" s="385"/>
      <c r="AE92" s="588"/>
    </row>
    <row r="93" spans="1:31" ht="9.75" customHeight="1">
      <c r="A93" s="588"/>
      <c r="B93" s="1023"/>
      <c r="C93" s="326"/>
      <c r="D93" s="326"/>
      <c r="E93" s="326"/>
      <c r="F93" s="326"/>
      <c r="G93" s="326"/>
      <c r="H93" s="326"/>
      <c r="I93" s="326"/>
      <c r="J93" s="326"/>
      <c r="K93" s="326"/>
      <c r="L93" s="326"/>
      <c r="M93" s="326"/>
      <c r="N93" s="326"/>
      <c r="O93" s="326"/>
      <c r="P93" s="326"/>
      <c r="Q93" s="326"/>
      <c r="R93" s="326"/>
      <c r="S93" s="326"/>
      <c r="T93" s="326"/>
      <c r="U93" s="326"/>
      <c r="V93" s="326"/>
      <c r="W93" s="326"/>
      <c r="X93" s="4657"/>
      <c r="Y93" s="7466" t="b">
        <f>IF(OR(Y81&lt;&gt;0,T88&lt;&gt;0,Y92&lt;&gt;0),TRUE,FALSE)</f>
        <v>0</v>
      </c>
      <c r="Z93" s="7467"/>
      <c r="AA93" s="7467"/>
      <c r="AB93" s="7467"/>
      <c r="AC93" s="588"/>
      <c r="AD93" s="385"/>
      <c r="AE93" s="588"/>
    </row>
    <row r="94" spans="1:31" ht="14.25" customHeight="1">
      <c r="A94" s="588"/>
      <c r="B94" s="4656">
        <v>50</v>
      </c>
      <c r="C94" s="250" t="s">
        <v>996</v>
      </c>
      <c r="D94" s="250"/>
      <c r="E94" s="171"/>
      <c r="F94" s="171"/>
      <c r="G94" s="171"/>
      <c r="H94" s="171"/>
      <c r="I94" s="171"/>
      <c r="J94" s="171"/>
      <c r="K94" s="171"/>
      <c r="L94" s="171"/>
      <c r="M94" s="171"/>
      <c r="N94" s="171"/>
      <c r="O94" s="171"/>
      <c r="P94" s="171"/>
      <c r="Q94" s="171"/>
      <c r="R94" s="171"/>
      <c r="S94" s="171"/>
      <c r="T94" s="171"/>
      <c r="U94" s="171"/>
      <c r="V94" s="171"/>
      <c r="W94" s="1492" t="s">
        <v>2401</v>
      </c>
      <c r="X94" s="332">
        <v>50</v>
      </c>
      <c r="Y94" s="6981">
        <f>IF(AD94&lt;&gt;"",ROUND(AD94,0),SUM(Y81,-Y92))</f>
        <v>0</v>
      </c>
      <c r="Z94" s="6990"/>
      <c r="AA94" s="7096"/>
      <c r="AB94" s="7096"/>
      <c r="AC94" s="588"/>
      <c r="AD94" s="578"/>
      <c r="AE94" s="588"/>
    </row>
    <row r="95" spans="1:31">
      <c r="A95" s="588"/>
      <c r="B95" s="273" t="s">
        <v>997</v>
      </c>
      <c r="C95" s="273"/>
      <c r="D95" s="993"/>
      <c r="E95" s="184"/>
      <c r="F95" s="184"/>
      <c r="G95" s="184"/>
      <c r="H95" s="184"/>
      <c r="I95" s="184"/>
      <c r="J95" s="184"/>
      <c r="K95" s="184"/>
      <c r="L95" s="184"/>
      <c r="M95" s="184"/>
      <c r="N95" s="184"/>
      <c r="O95" s="184"/>
      <c r="P95" s="184"/>
      <c r="Q95" s="184"/>
      <c r="R95" s="184"/>
      <c r="S95" s="184"/>
      <c r="T95" s="184"/>
      <c r="U95" s="184"/>
      <c r="V95" s="184"/>
      <c r="W95" s="184"/>
      <c r="X95" s="184"/>
      <c r="Y95" s="184"/>
      <c r="Z95" s="184"/>
      <c r="AA95" s="184"/>
      <c r="AB95" s="184"/>
      <c r="AC95" s="588"/>
      <c r="AD95" s="385"/>
      <c r="AE95" s="588"/>
    </row>
    <row r="96" spans="1:31" ht="12.75" customHeight="1" thickBot="1">
      <c r="A96" s="588"/>
      <c r="B96" s="1489" t="s">
        <v>998</v>
      </c>
      <c r="C96" s="1489"/>
      <c r="D96" s="1481"/>
      <c r="E96" s="1481"/>
      <c r="F96" s="1481"/>
      <c r="G96" s="1481"/>
      <c r="H96" s="1481"/>
      <c r="I96" s="1481"/>
      <c r="J96" s="1481"/>
      <c r="K96" s="1481"/>
      <c r="L96" s="1481"/>
      <c r="M96" s="1481"/>
      <c r="N96" s="1481"/>
      <c r="O96" s="1481"/>
      <c r="P96" s="1481"/>
      <c r="Q96" s="1481"/>
      <c r="R96" s="1481"/>
      <c r="S96" s="1481"/>
      <c r="T96" s="1481"/>
      <c r="U96" s="1481"/>
      <c r="V96" s="1481"/>
      <c r="W96" s="1481"/>
      <c r="X96" s="1481"/>
      <c r="Y96" s="1481"/>
      <c r="Z96" s="1481"/>
      <c r="AA96" s="1481"/>
      <c r="AB96" s="1481"/>
      <c r="AC96" s="588"/>
      <c r="AD96" s="385"/>
      <c r="AE96" s="588"/>
    </row>
    <row r="97" spans="1:31" ht="15" customHeight="1" thickTop="1">
      <c r="A97" s="588"/>
      <c r="B97" s="7468" t="s">
        <v>470</v>
      </c>
      <c r="C97" s="7469"/>
      <c r="D97" s="1490" t="s">
        <v>1001</v>
      </c>
      <c r="E97" s="1485"/>
      <c r="F97" s="1485"/>
      <c r="G97" s="1485"/>
      <c r="H97" s="1485"/>
      <c r="I97" s="1485"/>
      <c r="J97" s="1485"/>
      <c r="K97" s="1485"/>
      <c r="L97" s="1485"/>
      <c r="M97" s="1485"/>
      <c r="N97" s="1485"/>
      <c r="O97" s="1485"/>
      <c r="P97" s="1485"/>
      <c r="Q97" s="1485"/>
      <c r="R97" s="1485"/>
      <c r="S97" s="1485"/>
      <c r="T97" s="1485"/>
      <c r="U97" s="1485"/>
      <c r="V97" s="1485"/>
      <c r="W97" s="1485"/>
      <c r="X97" s="1485"/>
      <c r="Y97" s="1485"/>
      <c r="Z97" s="1485"/>
      <c r="AA97" s="1485"/>
      <c r="AB97" s="1485"/>
      <c r="AC97" s="588"/>
      <c r="AD97" s="385"/>
      <c r="AE97" s="588"/>
    </row>
    <row r="98" spans="1:31" ht="12.75" customHeight="1">
      <c r="A98" s="588"/>
      <c r="B98" s="246"/>
      <c r="C98" s="246"/>
      <c r="D98" s="4232" t="s">
        <v>4115</v>
      </c>
      <c r="E98" s="1471"/>
      <c r="F98" s="326"/>
      <c r="G98" s="326"/>
      <c r="H98" s="326"/>
      <c r="I98" s="326"/>
      <c r="J98" s="326"/>
      <c r="K98" s="326"/>
      <c r="L98" s="326"/>
      <c r="M98" s="326"/>
      <c r="N98" s="326"/>
      <c r="O98" s="7456">
        <v>111300</v>
      </c>
      <c r="P98" s="7102"/>
      <c r="Q98" s="7102"/>
      <c r="R98" s="164" t="s">
        <v>1017</v>
      </c>
      <c r="S98" s="326"/>
      <c r="T98" s="326"/>
      <c r="U98" s="326"/>
      <c r="V98" s="326"/>
      <c r="W98" s="326"/>
      <c r="X98" s="326"/>
      <c r="Y98" s="326"/>
      <c r="Z98" s="326"/>
      <c r="AA98" s="326"/>
      <c r="AB98" s="326"/>
      <c r="AC98" s="588"/>
      <c r="AD98" s="385"/>
      <c r="AE98" s="588"/>
    </row>
    <row r="99" spans="1:31" ht="12.75" customHeight="1">
      <c r="A99" s="588"/>
      <c r="B99" s="246"/>
      <c r="C99" s="246"/>
      <c r="D99" s="4232" t="s">
        <v>3503</v>
      </c>
      <c r="E99" s="1471"/>
      <c r="F99" s="326"/>
      <c r="G99" s="326"/>
      <c r="H99" s="326"/>
      <c r="I99" s="326"/>
      <c r="J99" s="326"/>
      <c r="K99" s="326"/>
      <c r="L99" s="326"/>
      <c r="M99" s="326"/>
      <c r="N99" s="326"/>
      <c r="O99" s="7456">
        <v>111400</v>
      </c>
      <c r="P99" s="7102"/>
      <c r="Q99" s="7102"/>
      <c r="R99" s="164" t="s">
        <v>1021</v>
      </c>
      <c r="S99" s="326"/>
      <c r="T99" s="326"/>
      <c r="U99" s="326"/>
      <c r="V99" s="326"/>
      <c r="W99" s="326"/>
      <c r="X99" s="326"/>
      <c r="Y99" s="326"/>
      <c r="Z99" s="326"/>
      <c r="AA99" s="326"/>
      <c r="AB99" s="326"/>
      <c r="AC99" s="588"/>
      <c r="AD99" s="385"/>
      <c r="AE99" s="588"/>
    </row>
    <row r="100" spans="1:31" ht="12.75" customHeight="1">
      <c r="A100" s="588"/>
      <c r="B100" s="246"/>
      <c r="C100" s="246"/>
      <c r="D100" s="4232" t="s">
        <v>1002</v>
      </c>
      <c r="E100" s="1471"/>
      <c r="F100" s="326"/>
      <c r="G100" s="326"/>
      <c r="H100" s="326"/>
      <c r="I100" s="326"/>
      <c r="J100" s="326"/>
      <c r="K100" s="326"/>
      <c r="L100" s="326"/>
      <c r="M100" s="326"/>
      <c r="N100" s="326"/>
      <c r="O100" s="7456">
        <v>111900</v>
      </c>
      <c r="P100" s="7102"/>
      <c r="Q100" s="7102"/>
      <c r="R100" s="164" t="s">
        <v>1022</v>
      </c>
      <c r="S100" s="326"/>
      <c r="T100" s="326"/>
      <c r="U100" s="326"/>
      <c r="V100" s="326"/>
      <c r="W100" s="326"/>
      <c r="X100" s="326"/>
      <c r="Y100" s="326"/>
      <c r="Z100" s="326"/>
      <c r="AA100" s="326"/>
      <c r="AB100" s="326"/>
      <c r="AC100" s="588"/>
      <c r="AD100" s="385"/>
      <c r="AE100" s="588"/>
    </row>
    <row r="101" spans="1:31" ht="12.75" customHeight="1">
      <c r="A101" s="588"/>
      <c r="B101" s="246"/>
      <c r="C101" s="246"/>
      <c r="D101" s="4232" t="s">
        <v>1003</v>
      </c>
      <c r="E101" s="1471"/>
      <c r="F101" s="326"/>
      <c r="G101" s="326"/>
      <c r="H101" s="326"/>
      <c r="I101" s="326"/>
      <c r="J101" s="326"/>
      <c r="K101" s="326"/>
      <c r="L101" s="326"/>
      <c r="M101" s="326"/>
      <c r="N101" s="326"/>
      <c r="O101" s="4233" t="s">
        <v>1018</v>
      </c>
      <c r="P101" s="326"/>
      <c r="Q101" s="326"/>
      <c r="R101" s="326"/>
      <c r="S101" s="326"/>
      <c r="T101" s="326"/>
      <c r="U101" s="326"/>
      <c r="V101" s="326"/>
      <c r="W101" s="326"/>
      <c r="X101" s="326"/>
      <c r="Y101" s="326"/>
      <c r="Z101" s="326"/>
      <c r="AA101" s="326"/>
      <c r="AB101" s="326"/>
      <c r="AC101" s="588"/>
      <c r="AD101" s="385"/>
      <c r="AE101" s="588"/>
    </row>
    <row r="102" spans="1:31" ht="12.75" customHeight="1">
      <c r="A102" s="588"/>
      <c r="B102" s="4663" t="s">
        <v>1004</v>
      </c>
      <c r="C102" s="4662"/>
      <c r="D102" s="3715"/>
      <c r="E102" s="326"/>
      <c r="F102" s="326"/>
      <c r="G102" s="326"/>
      <c r="H102" s="326"/>
      <c r="I102" s="326"/>
      <c r="J102" s="326"/>
      <c r="K102" s="326"/>
      <c r="L102" s="326"/>
      <c r="M102" s="326"/>
      <c r="N102" s="326"/>
      <c r="O102" s="7456">
        <v>112111</v>
      </c>
      <c r="P102" s="7102"/>
      <c r="Q102" s="7102"/>
      <c r="R102" s="164" t="s">
        <v>1023</v>
      </c>
      <c r="S102" s="326"/>
      <c r="T102" s="326"/>
      <c r="U102" s="326"/>
      <c r="V102" s="326"/>
      <c r="W102" s="326"/>
      <c r="X102" s="326"/>
      <c r="Y102" s="326"/>
      <c r="Z102" s="326"/>
      <c r="AA102" s="326"/>
      <c r="AB102" s="326"/>
      <c r="AC102" s="588"/>
      <c r="AD102" s="385"/>
      <c r="AE102" s="588"/>
    </row>
    <row r="103" spans="1:31" ht="12.75" customHeight="1">
      <c r="A103" s="588"/>
      <c r="B103" s="4663" t="s">
        <v>4116</v>
      </c>
      <c r="C103" s="3715"/>
      <c r="D103" s="3715"/>
      <c r="E103" s="326"/>
      <c r="F103" s="326"/>
      <c r="G103" s="326"/>
      <c r="H103" s="326"/>
      <c r="I103" s="326"/>
      <c r="J103" s="326"/>
      <c r="K103" s="326"/>
      <c r="L103" s="326"/>
      <c r="M103" s="326"/>
      <c r="N103" s="326"/>
      <c r="O103" s="7456">
        <v>112112</v>
      </c>
      <c r="P103" s="7102"/>
      <c r="Q103" s="7102"/>
      <c r="R103" s="164" t="s">
        <v>1024</v>
      </c>
      <c r="S103" s="326"/>
      <c r="T103" s="326"/>
      <c r="U103" s="326"/>
      <c r="V103" s="326"/>
      <c r="W103" s="326"/>
      <c r="X103" s="326"/>
      <c r="Y103" s="326"/>
      <c r="Z103" s="326"/>
      <c r="AA103" s="326"/>
      <c r="AB103" s="326"/>
      <c r="AC103" s="588"/>
      <c r="AD103" s="385"/>
      <c r="AE103" s="588"/>
    </row>
    <row r="104" spans="1:31" ht="12.75" customHeight="1">
      <c r="A104" s="588"/>
      <c r="B104" s="3715" t="s">
        <v>1005</v>
      </c>
      <c r="C104" s="3715"/>
      <c r="D104" s="3715"/>
      <c r="E104" s="194"/>
      <c r="F104" s="214"/>
      <c r="G104" s="214"/>
      <c r="H104" s="214"/>
      <c r="I104" s="214"/>
      <c r="J104" s="214"/>
      <c r="K104" s="214"/>
      <c r="L104" s="214"/>
      <c r="M104" s="214"/>
      <c r="N104" s="214"/>
      <c r="O104" s="7456">
        <v>112120</v>
      </c>
      <c r="P104" s="7102"/>
      <c r="Q104" s="7102"/>
      <c r="R104" s="164" t="s">
        <v>1025</v>
      </c>
      <c r="S104" s="214"/>
      <c r="T104" s="214"/>
      <c r="U104" s="214"/>
      <c r="V104" s="214"/>
      <c r="W104" s="214"/>
      <c r="X104" s="214"/>
      <c r="Y104" s="214"/>
      <c r="Z104" s="214"/>
      <c r="AA104" s="214"/>
      <c r="AB104" s="214"/>
      <c r="AC104" s="588"/>
      <c r="AD104" s="385"/>
      <c r="AE104" s="588"/>
    </row>
    <row r="105" spans="1:31" ht="12.75" customHeight="1">
      <c r="A105" s="588"/>
      <c r="B105" s="3715" t="s">
        <v>4117</v>
      </c>
      <c r="C105" s="3715"/>
      <c r="D105" s="3715"/>
      <c r="E105" s="194"/>
      <c r="F105" s="214"/>
      <c r="G105" s="214"/>
      <c r="H105" s="214"/>
      <c r="I105" s="214"/>
      <c r="J105" s="214"/>
      <c r="K105" s="214"/>
      <c r="L105" s="214"/>
      <c r="M105" s="214"/>
      <c r="N105" s="214"/>
      <c r="O105" s="7456">
        <v>112210</v>
      </c>
      <c r="P105" s="7102"/>
      <c r="Q105" s="7102"/>
      <c r="R105" s="164" t="s">
        <v>1026</v>
      </c>
      <c r="S105" s="214"/>
      <c r="T105" s="214"/>
      <c r="U105" s="214"/>
      <c r="V105" s="214"/>
      <c r="W105" s="214"/>
      <c r="X105" s="214"/>
      <c r="Y105" s="214"/>
      <c r="Z105" s="214"/>
      <c r="AA105" s="214"/>
      <c r="AB105" s="214"/>
      <c r="AC105" s="588"/>
      <c r="AD105" s="385"/>
      <c r="AE105" s="588"/>
    </row>
    <row r="106" spans="1:31" ht="12.75" customHeight="1">
      <c r="A106" s="588"/>
      <c r="B106" s="3715" t="s">
        <v>1006</v>
      </c>
      <c r="C106" s="3715"/>
      <c r="D106" s="3715"/>
      <c r="E106" s="194"/>
      <c r="F106" s="214"/>
      <c r="G106" s="214"/>
      <c r="H106" s="214"/>
      <c r="I106" s="214"/>
      <c r="J106" s="214"/>
      <c r="K106" s="214"/>
      <c r="L106" s="214"/>
      <c r="M106" s="214"/>
      <c r="N106" s="214"/>
      <c r="O106" s="7456">
        <v>112300</v>
      </c>
      <c r="P106" s="7102"/>
      <c r="Q106" s="7102"/>
      <c r="R106" s="164" t="s">
        <v>1027</v>
      </c>
      <c r="S106" s="214"/>
      <c r="T106" s="214"/>
      <c r="U106" s="214"/>
      <c r="V106" s="214"/>
      <c r="W106" s="214"/>
      <c r="X106" s="214"/>
      <c r="Y106" s="214"/>
      <c r="Z106" s="214"/>
      <c r="AA106" s="214"/>
      <c r="AB106" s="214"/>
      <c r="AC106" s="588"/>
      <c r="AD106" s="385"/>
      <c r="AE106" s="588"/>
    </row>
    <row r="107" spans="1:31" ht="15.75" customHeight="1" thickBot="1">
      <c r="A107" s="588"/>
      <c r="B107" s="4664" t="s">
        <v>1007</v>
      </c>
      <c r="C107" s="4665"/>
      <c r="D107" s="4665"/>
      <c r="E107" s="4666"/>
      <c r="F107" s="4667"/>
      <c r="G107" s="4667"/>
      <c r="H107" s="4667"/>
      <c r="I107" s="4667"/>
      <c r="J107" s="4667"/>
      <c r="K107" s="4667"/>
      <c r="L107" s="4667"/>
      <c r="M107" s="4667"/>
      <c r="N107" s="214"/>
      <c r="O107" s="7456">
        <v>112400</v>
      </c>
      <c r="P107" s="7102"/>
      <c r="Q107" s="7102"/>
      <c r="R107" s="164" t="s">
        <v>1028</v>
      </c>
      <c r="S107" s="214"/>
      <c r="T107" s="214"/>
      <c r="U107" s="214"/>
      <c r="V107" s="214"/>
      <c r="W107" s="214"/>
      <c r="X107" s="214"/>
      <c r="Y107" s="214"/>
      <c r="Z107" s="214"/>
      <c r="AA107" s="214"/>
      <c r="AB107" s="214"/>
      <c r="AC107" s="588"/>
      <c r="AD107" s="385"/>
      <c r="AE107" s="588"/>
    </row>
    <row r="108" spans="1:31" ht="15" customHeight="1" thickTop="1">
      <c r="A108" s="588"/>
      <c r="B108" s="3716" t="s">
        <v>1008</v>
      </c>
      <c r="C108" s="1839"/>
      <c r="D108" s="1471"/>
      <c r="E108" s="993"/>
      <c r="F108" s="993"/>
      <c r="G108" s="993"/>
      <c r="H108" s="993"/>
      <c r="I108" s="993"/>
      <c r="J108" s="993"/>
      <c r="K108" s="993"/>
      <c r="L108" s="214"/>
      <c r="M108" s="214"/>
      <c r="N108" s="214"/>
      <c r="O108" s="7456">
        <v>112510</v>
      </c>
      <c r="P108" s="7102"/>
      <c r="Q108" s="7102"/>
      <c r="R108" s="164" t="s">
        <v>1029</v>
      </c>
      <c r="S108" s="214"/>
      <c r="T108" s="214"/>
      <c r="U108" s="214"/>
      <c r="V108" s="214"/>
      <c r="W108" s="214"/>
      <c r="X108" s="214"/>
      <c r="Y108" s="214"/>
      <c r="Z108" s="214"/>
      <c r="AA108" s="214"/>
      <c r="AB108" s="214"/>
      <c r="AC108" s="588"/>
      <c r="AD108" s="385"/>
      <c r="AE108" s="588"/>
    </row>
    <row r="109" spans="1:31" ht="12.75" customHeight="1">
      <c r="A109" s="588"/>
      <c r="B109" s="1023" t="s">
        <v>1009</v>
      </c>
      <c r="C109" s="164"/>
      <c r="D109" s="1471"/>
      <c r="E109" s="993"/>
      <c r="F109" s="993"/>
      <c r="G109" s="993"/>
      <c r="H109" s="993"/>
      <c r="I109" s="993"/>
      <c r="J109" s="993"/>
      <c r="K109" s="993"/>
      <c r="L109" s="214"/>
      <c r="M109" s="214"/>
      <c r="N109" s="214"/>
      <c r="O109" s="7456">
        <v>112900</v>
      </c>
      <c r="P109" s="7102"/>
      <c r="Q109" s="7102"/>
      <c r="R109" s="164" t="s">
        <v>1030</v>
      </c>
      <c r="S109" s="214"/>
      <c r="T109" s="214"/>
      <c r="U109" s="214"/>
      <c r="V109" s="214"/>
      <c r="W109" s="214"/>
      <c r="X109" s="214"/>
      <c r="Y109" s="214"/>
      <c r="Z109" s="214"/>
      <c r="AA109" s="214"/>
      <c r="AB109" s="214"/>
      <c r="AC109" s="588"/>
      <c r="AD109" s="385"/>
      <c r="AE109" s="588"/>
    </row>
    <row r="110" spans="1:31" ht="12.75" customHeight="1">
      <c r="A110" s="588"/>
      <c r="B110" s="1023" t="s">
        <v>1010</v>
      </c>
      <c r="C110" s="164"/>
      <c r="D110" s="1471"/>
      <c r="E110" s="993"/>
      <c r="F110" s="993"/>
      <c r="G110" s="993"/>
      <c r="H110" s="993"/>
      <c r="I110" s="993"/>
      <c r="J110" s="993"/>
      <c r="K110" s="993"/>
      <c r="L110" s="214"/>
      <c r="M110" s="214"/>
      <c r="N110" s="214"/>
      <c r="O110" s="4233" t="s">
        <v>1019</v>
      </c>
      <c r="P110" s="214"/>
      <c r="Q110" s="214"/>
      <c r="R110" s="214"/>
      <c r="S110" s="214"/>
      <c r="T110" s="214"/>
      <c r="U110" s="214"/>
      <c r="V110" s="214"/>
      <c r="W110" s="214"/>
      <c r="X110" s="214"/>
      <c r="Y110" s="214"/>
      <c r="Z110" s="214"/>
      <c r="AA110" s="214"/>
      <c r="AB110" s="214"/>
      <c r="AC110" s="588"/>
      <c r="AD110" s="385"/>
      <c r="AE110" s="588"/>
    </row>
    <row r="111" spans="1:31" ht="12.75" customHeight="1">
      <c r="A111" s="588"/>
      <c r="B111" s="1023" t="s">
        <v>1011</v>
      </c>
      <c r="C111" s="164"/>
      <c r="D111" s="1471"/>
      <c r="E111" s="993"/>
      <c r="F111" s="993"/>
      <c r="G111" s="993"/>
      <c r="H111" s="993"/>
      <c r="I111" s="993"/>
      <c r="J111" s="993"/>
      <c r="K111" s="993"/>
      <c r="L111" s="214"/>
      <c r="M111" s="214"/>
      <c r="N111" s="214"/>
      <c r="O111" s="7456">
        <v>113000</v>
      </c>
      <c r="P111" s="7102"/>
      <c r="Q111" s="7102"/>
      <c r="R111" s="164" t="s">
        <v>2430</v>
      </c>
      <c r="S111" s="214"/>
      <c r="T111" s="214"/>
      <c r="U111" s="214"/>
      <c r="V111" s="214"/>
      <c r="W111" s="214"/>
      <c r="X111" s="214"/>
      <c r="Y111" s="214"/>
      <c r="Z111" s="214"/>
      <c r="AA111" s="214"/>
      <c r="AB111" s="214"/>
      <c r="AC111" s="588"/>
      <c r="AD111" s="385"/>
      <c r="AE111" s="588"/>
    </row>
    <row r="112" spans="1:31" ht="12.75" customHeight="1">
      <c r="A112" s="588"/>
      <c r="B112" s="3716" t="s">
        <v>1012</v>
      </c>
      <c r="C112" s="1839"/>
      <c r="D112" s="1471"/>
      <c r="E112" s="993"/>
      <c r="F112" s="993"/>
      <c r="G112" s="993"/>
      <c r="H112" s="993"/>
      <c r="I112" s="993"/>
      <c r="J112" s="993"/>
      <c r="K112" s="993"/>
      <c r="L112" s="214"/>
      <c r="M112" s="214"/>
      <c r="N112" s="214"/>
      <c r="O112" s="214"/>
      <c r="P112" s="214"/>
      <c r="Q112" s="214"/>
      <c r="R112" s="164" t="s">
        <v>1020</v>
      </c>
      <c r="S112" s="214"/>
      <c r="T112" s="214"/>
      <c r="U112" s="214"/>
      <c r="V112" s="214"/>
      <c r="W112" s="214"/>
      <c r="X112" s="214"/>
      <c r="Y112" s="214"/>
      <c r="Z112" s="214"/>
      <c r="AA112" s="214"/>
      <c r="AB112" s="214"/>
      <c r="AC112" s="588"/>
      <c r="AD112" s="385"/>
      <c r="AE112" s="588"/>
    </row>
    <row r="113" spans="1:31" ht="12.75" customHeight="1">
      <c r="A113" s="588"/>
      <c r="B113" s="1023" t="s">
        <v>1013</v>
      </c>
      <c r="C113" s="164"/>
      <c r="D113" s="1471"/>
      <c r="E113" s="993"/>
      <c r="F113" s="993"/>
      <c r="G113" s="993"/>
      <c r="H113" s="993"/>
      <c r="I113" s="993"/>
      <c r="J113" s="993"/>
      <c r="K113" s="993"/>
      <c r="L113" s="214"/>
      <c r="M113" s="214"/>
      <c r="N113" s="214"/>
      <c r="O113" s="214"/>
      <c r="P113" s="214"/>
      <c r="Q113" s="214"/>
      <c r="R113" s="164"/>
      <c r="S113" s="214"/>
      <c r="T113" s="214"/>
      <c r="U113" s="214"/>
      <c r="V113" s="214"/>
      <c r="W113" s="214"/>
      <c r="X113" s="214"/>
      <c r="Y113" s="214"/>
      <c r="Z113" s="214"/>
      <c r="AA113" s="214"/>
      <c r="AB113" s="214"/>
      <c r="AC113" s="588"/>
      <c r="AD113" s="385"/>
      <c r="AE113" s="588"/>
    </row>
    <row r="114" spans="1:31" ht="12.75" customHeight="1">
      <c r="A114" s="588"/>
      <c r="B114" s="4233" t="s">
        <v>1014</v>
      </c>
      <c r="C114" s="161"/>
      <c r="D114" s="1471"/>
      <c r="E114" s="993"/>
      <c r="F114" s="993"/>
      <c r="G114" s="993"/>
      <c r="H114" s="993"/>
      <c r="I114" s="993"/>
      <c r="J114" s="993"/>
      <c r="K114" s="993"/>
      <c r="L114" s="214"/>
      <c r="M114" s="214"/>
      <c r="N114" s="214"/>
      <c r="O114" s="214"/>
      <c r="P114" s="214"/>
      <c r="Q114" s="214"/>
      <c r="R114" s="164"/>
      <c r="S114" s="214"/>
      <c r="T114" s="214"/>
      <c r="U114" s="214"/>
      <c r="V114" s="214"/>
      <c r="W114" s="214"/>
      <c r="X114" s="214"/>
      <c r="Y114" s="214"/>
      <c r="Z114" s="214"/>
      <c r="AA114" s="214"/>
      <c r="AB114" s="214"/>
      <c r="AC114" s="588"/>
      <c r="AD114" s="385"/>
      <c r="AE114" s="588"/>
    </row>
    <row r="115" spans="1:31" ht="12.75" customHeight="1">
      <c r="A115" s="588"/>
      <c r="B115" s="7465">
        <v>111100</v>
      </c>
      <c r="C115" s="6636"/>
      <c r="D115" s="164" t="s">
        <v>1015</v>
      </c>
      <c r="E115" s="194"/>
      <c r="F115" s="214"/>
      <c r="G115" s="214"/>
      <c r="H115" s="214"/>
      <c r="I115" s="214"/>
      <c r="J115" s="214"/>
      <c r="K115" s="214"/>
      <c r="L115" s="214"/>
      <c r="M115" s="214"/>
      <c r="N115" s="214"/>
      <c r="O115" s="214"/>
      <c r="P115" s="214"/>
      <c r="Q115" s="214"/>
      <c r="R115" s="164"/>
      <c r="S115" s="214"/>
      <c r="T115" s="214"/>
      <c r="U115" s="214"/>
      <c r="V115" s="214"/>
      <c r="W115" s="214"/>
      <c r="X115" s="214"/>
      <c r="Y115" s="214"/>
      <c r="Z115" s="214"/>
      <c r="AA115" s="214"/>
      <c r="AB115" s="214"/>
      <c r="AC115" s="588"/>
      <c r="AD115" s="385"/>
      <c r="AE115" s="588"/>
    </row>
    <row r="116" spans="1:31" ht="12.75" customHeight="1">
      <c r="A116" s="588"/>
      <c r="B116" s="7465">
        <v>111210</v>
      </c>
      <c r="C116" s="6636"/>
      <c r="D116" s="164" t="s">
        <v>1016</v>
      </c>
      <c r="E116" s="194"/>
      <c r="F116" s="214"/>
      <c r="G116" s="214"/>
      <c r="H116" s="214"/>
      <c r="I116" s="214"/>
      <c r="J116" s="214"/>
      <c r="K116" s="214"/>
      <c r="L116" s="214"/>
      <c r="M116" s="214"/>
      <c r="N116" s="214"/>
      <c r="O116" s="214"/>
      <c r="P116" s="214"/>
      <c r="Q116" s="214"/>
      <c r="R116" s="164"/>
      <c r="S116" s="214"/>
      <c r="T116" s="214"/>
      <c r="U116" s="214"/>
      <c r="V116" s="214"/>
      <c r="W116" s="214"/>
      <c r="X116" s="214"/>
      <c r="Y116" s="214"/>
      <c r="Z116" s="214"/>
      <c r="AA116" s="214"/>
      <c r="AB116" s="214"/>
      <c r="AC116" s="588"/>
      <c r="AD116" s="385"/>
      <c r="AE116" s="588"/>
    </row>
    <row r="117" spans="1:31" ht="4.5" customHeight="1" thickBot="1">
      <c r="A117" s="588"/>
      <c r="B117" s="207"/>
      <c r="C117" s="207"/>
      <c r="D117" s="1085"/>
      <c r="E117" s="220"/>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588"/>
      <c r="AD117" s="385"/>
      <c r="AE117" s="588"/>
    </row>
    <row r="118" spans="1:31" ht="20.25" customHeight="1">
      <c r="A118" s="588"/>
      <c r="B118" s="374"/>
      <c r="C118" s="374"/>
      <c r="D118" s="374"/>
      <c r="E118" s="374"/>
      <c r="F118" s="374"/>
      <c r="G118" s="375"/>
      <c r="H118" s="375"/>
      <c r="I118" s="375"/>
      <c r="J118" s="375"/>
      <c r="K118" s="375"/>
      <c r="L118" s="375"/>
      <c r="M118" s="375"/>
      <c r="N118" s="376"/>
      <c r="O118" s="376"/>
      <c r="P118" s="376"/>
      <c r="Q118" s="376"/>
      <c r="R118" s="377"/>
      <c r="S118" s="1457"/>
      <c r="T118" s="376"/>
      <c r="U118" s="375"/>
      <c r="V118" s="375"/>
      <c r="W118" s="378"/>
      <c r="X118" s="375"/>
      <c r="Y118" s="375"/>
      <c r="Z118" s="377"/>
      <c r="AA118" s="379"/>
      <c r="AB118" s="379" t="str">
        <f>"Schedule F   (Form 1040)  "&amp;TaxYear</f>
        <v>Schedule F   (Form 1040)  2021</v>
      </c>
      <c r="AC118" s="588"/>
      <c r="AD118" s="385"/>
      <c r="AE118" s="588"/>
    </row>
    <row r="119" spans="1:31" ht="8.25" customHeight="1">
      <c r="A119" s="588"/>
      <c r="B119" s="638"/>
      <c r="C119" s="638"/>
      <c r="D119" s="638"/>
      <c r="E119" s="638"/>
      <c r="F119" s="638"/>
      <c r="G119" s="567"/>
      <c r="H119" s="567"/>
      <c r="I119" s="567"/>
      <c r="J119" s="567"/>
      <c r="K119" s="567"/>
      <c r="L119" s="567"/>
      <c r="M119" s="567"/>
      <c r="N119" s="639"/>
      <c r="O119" s="639"/>
      <c r="P119" s="639"/>
      <c r="Q119" s="639"/>
      <c r="R119" s="639"/>
      <c r="S119" s="639"/>
      <c r="T119" s="639"/>
      <c r="U119" s="567"/>
      <c r="V119" s="567"/>
      <c r="W119" s="640"/>
      <c r="X119" s="567"/>
      <c r="Y119" s="567"/>
      <c r="Z119" s="567"/>
      <c r="AA119" s="567"/>
      <c r="AB119" s="567"/>
      <c r="AC119" s="588"/>
      <c r="AD119" s="385"/>
      <c r="AE119" s="588"/>
    </row>
    <row r="120" spans="1:31">
      <c r="B120" s="9"/>
      <c r="C120" s="9"/>
      <c r="D120" s="10"/>
      <c r="E120" s="10"/>
      <c r="F120" s="10"/>
      <c r="G120" s="10"/>
      <c r="H120" s="10"/>
      <c r="I120" s="10"/>
      <c r="J120" s="10"/>
      <c r="K120" s="10"/>
      <c r="L120" s="10"/>
      <c r="M120" s="10"/>
      <c r="N120" s="11"/>
      <c r="O120" s="11"/>
      <c r="P120" s="11"/>
      <c r="Q120" s="11"/>
      <c r="R120" s="11"/>
      <c r="S120" s="11"/>
      <c r="T120" s="12"/>
      <c r="U120" s="10"/>
      <c r="V120" s="10"/>
      <c r="W120" s="8"/>
      <c r="X120" s="10"/>
      <c r="Y120" s="10"/>
      <c r="Z120" s="10"/>
      <c r="AA120" s="10"/>
      <c r="AB120" s="10"/>
    </row>
    <row r="121" spans="1:31" ht="13.5" thickBot="1">
      <c r="B121" s="9"/>
      <c r="C121" s="9"/>
      <c r="D121" s="10"/>
      <c r="E121" s="10"/>
      <c r="F121" s="10"/>
      <c r="G121" s="10"/>
      <c r="H121" s="10"/>
      <c r="I121" s="10"/>
      <c r="J121" s="10"/>
      <c r="K121" s="10"/>
      <c r="L121" s="10"/>
      <c r="M121" s="10"/>
      <c r="N121" s="11"/>
      <c r="O121" s="11"/>
      <c r="P121" s="11"/>
      <c r="Q121" s="11"/>
      <c r="R121" s="9"/>
      <c r="S121" s="9"/>
      <c r="T121" s="13"/>
      <c r="U121" s="10"/>
      <c r="V121" s="10"/>
      <c r="W121" s="8"/>
      <c r="X121" s="10"/>
      <c r="Y121" s="10"/>
      <c r="Z121" s="10"/>
      <c r="AA121" s="10"/>
      <c r="AB121" s="10"/>
    </row>
    <row r="122" spans="1:31" ht="14.25" thickTop="1" thickBot="1">
      <c r="B122" s="549"/>
      <c r="C122" s="549"/>
      <c r="D122" s="7029" t="s">
        <v>999</v>
      </c>
      <c r="E122" s="7030"/>
      <c r="F122" s="7030"/>
      <c r="G122" s="7030"/>
      <c r="H122" s="7031"/>
      <c r="I122" s="550"/>
      <c r="J122" s="550"/>
      <c r="K122" s="550"/>
      <c r="L122" s="550"/>
      <c r="M122" s="550"/>
      <c r="N122" s="551"/>
      <c r="O122" s="551"/>
      <c r="P122" s="551"/>
      <c r="Q122" s="551"/>
      <c r="R122" s="549"/>
      <c r="S122" s="549"/>
      <c r="T122" s="552"/>
      <c r="U122" s="550"/>
      <c r="V122" s="550"/>
      <c r="W122" s="553"/>
      <c r="X122" s="550"/>
      <c r="Y122" s="550"/>
      <c r="Z122" s="550"/>
      <c r="AA122" s="550"/>
      <c r="AB122" s="550"/>
    </row>
    <row r="123" spans="1:31" ht="14.25" thickTop="1" thickBot="1">
      <c r="B123" s="549"/>
      <c r="C123" s="549"/>
      <c r="D123" s="550"/>
      <c r="E123" s="550"/>
      <c r="F123" s="550"/>
      <c r="G123" s="550"/>
      <c r="H123" s="550"/>
      <c r="I123" s="550"/>
      <c r="J123" s="550"/>
      <c r="K123" s="550"/>
      <c r="L123" s="550"/>
      <c r="M123" s="550"/>
      <c r="N123" s="551"/>
      <c r="O123" s="551"/>
      <c r="P123" s="551"/>
      <c r="Q123" s="551"/>
      <c r="R123" s="549"/>
      <c r="S123" s="549"/>
      <c r="T123" s="554"/>
      <c r="U123" s="550"/>
      <c r="V123" s="550"/>
      <c r="W123" s="553"/>
      <c r="X123" s="550"/>
      <c r="Y123" s="550"/>
      <c r="Z123" s="550"/>
      <c r="AA123" s="550"/>
      <c r="AB123" s="550"/>
    </row>
    <row r="124" spans="1:31" ht="27.75" customHeight="1" thickTop="1" thickBot="1">
      <c r="B124" s="549"/>
      <c r="C124" s="549"/>
      <c r="D124" s="7026" t="s">
        <v>1000</v>
      </c>
      <c r="E124" s="7027"/>
      <c r="F124" s="7027"/>
      <c r="G124" s="7027"/>
      <c r="H124" s="7028"/>
      <c r="I124" s="550"/>
      <c r="J124" s="550"/>
      <c r="K124" s="550"/>
      <c r="L124" s="550"/>
      <c r="M124" s="550"/>
      <c r="N124" s="551"/>
      <c r="O124" s="551"/>
      <c r="P124" s="551"/>
      <c r="Q124" s="551"/>
      <c r="R124" s="549"/>
      <c r="S124" s="549"/>
      <c r="T124" s="554"/>
      <c r="U124" s="550"/>
      <c r="V124" s="550"/>
      <c r="W124" s="553"/>
      <c r="X124" s="550"/>
      <c r="Y124" s="550"/>
      <c r="Z124" s="550"/>
      <c r="AA124" s="550"/>
      <c r="AB124" s="550"/>
    </row>
    <row r="125" spans="1:31" ht="13.5" thickTop="1"/>
  </sheetData>
  <sheetProtection password="F7BE" sheet="1" objects="1" scenarios="1"/>
  <mergeCells count="151">
    <mergeCell ref="AD3:AD4"/>
    <mergeCell ref="B5:D7"/>
    <mergeCell ref="E6:W7"/>
    <mergeCell ref="E4:W4"/>
    <mergeCell ref="B62:C62"/>
    <mergeCell ref="B34:C34"/>
    <mergeCell ref="B18:C18"/>
    <mergeCell ref="O106:Q106"/>
    <mergeCell ref="O107:Q107"/>
    <mergeCell ref="Q23:R23"/>
    <mergeCell ref="T19:W19"/>
    <mergeCell ref="T20:W20"/>
    <mergeCell ref="T11:T12"/>
    <mergeCell ref="Y94:AB94"/>
    <mergeCell ref="Y35:AB35"/>
    <mergeCell ref="X4:AB4"/>
    <mergeCell ref="X5:AB7"/>
    <mergeCell ref="B9:S9"/>
    <mergeCell ref="T9:AB9"/>
    <mergeCell ref="Y54:AB54"/>
    <mergeCell ref="Y66:AB66"/>
    <mergeCell ref="Y68:AB68"/>
    <mergeCell ref="Y64:AB64"/>
    <mergeCell ref="N10:R10"/>
    <mergeCell ref="O99:Q99"/>
    <mergeCell ref="O100:Q100"/>
    <mergeCell ref="T84:W84"/>
    <mergeCell ref="T86:W86"/>
    <mergeCell ref="T88:W88"/>
    <mergeCell ref="T90:W90"/>
    <mergeCell ref="M66:P66"/>
    <mergeCell ref="M68:P68"/>
    <mergeCell ref="O105:Q105"/>
    <mergeCell ref="J36:M36"/>
    <mergeCell ref="J37:M37"/>
    <mergeCell ref="J38:M38"/>
    <mergeCell ref="J39:M39"/>
    <mergeCell ref="J48:M48"/>
    <mergeCell ref="J40:M40"/>
    <mergeCell ref="J42:M42"/>
    <mergeCell ref="P52:W52"/>
    <mergeCell ref="J50:M50"/>
    <mergeCell ref="O111:Q111"/>
    <mergeCell ref="P47:W47"/>
    <mergeCell ref="P48:W48"/>
    <mergeCell ref="P49:W49"/>
    <mergeCell ref="N35:O35"/>
    <mergeCell ref="N36:O36"/>
    <mergeCell ref="N37:O37"/>
    <mergeCell ref="N38:O38"/>
    <mergeCell ref="N39:O39"/>
    <mergeCell ref="N40:O40"/>
    <mergeCell ref="N41:O41"/>
    <mergeCell ref="N42:O42"/>
    <mergeCell ref="N43:O43"/>
    <mergeCell ref="N44:O44"/>
    <mergeCell ref="N45:O45"/>
    <mergeCell ref="N49:O49"/>
    <mergeCell ref="N46:O46"/>
    <mergeCell ref="N47:O47"/>
    <mergeCell ref="N48:O48"/>
    <mergeCell ref="M73:P73"/>
    <mergeCell ref="J49:M49"/>
    <mergeCell ref="P50:W50"/>
    <mergeCell ref="P51:W51"/>
    <mergeCell ref="J35:M35"/>
    <mergeCell ref="B11:F12"/>
    <mergeCell ref="H11:H12"/>
    <mergeCell ref="I11:I12"/>
    <mergeCell ref="J11:J12"/>
    <mergeCell ref="K11:K12"/>
    <mergeCell ref="L11:L12"/>
    <mergeCell ref="M11:M12"/>
    <mergeCell ref="B3:D4"/>
    <mergeCell ref="Y11:Y12"/>
    <mergeCell ref="U11:U12"/>
    <mergeCell ref="V11:V12"/>
    <mergeCell ref="W11:W12"/>
    <mergeCell ref="X11:X12"/>
    <mergeCell ref="B115:C115"/>
    <mergeCell ref="B116:C116"/>
    <mergeCell ref="Y93:AB93"/>
    <mergeCell ref="B97:C97"/>
    <mergeCell ref="J46:M46"/>
    <mergeCell ref="Y47:AB47"/>
    <mergeCell ref="Y48:AB48"/>
    <mergeCell ref="Y49:AB49"/>
    <mergeCell ref="Y81:AB81"/>
    <mergeCell ref="Y51:AB51"/>
    <mergeCell ref="Y52:AB52"/>
    <mergeCell ref="J51:M51"/>
    <mergeCell ref="J52:M52"/>
    <mergeCell ref="Y53:AB53"/>
    <mergeCell ref="N50:O50"/>
    <mergeCell ref="N51:O51"/>
    <mergeCell ref="Y79:AB79"/>
    <mergeCell ref="Y50:AB50"/>
    <mergeCell ref="Y71:AB71"/>
    <mergeCell ref="Y73:AB73"/>
    <mergeCell ref="O109:Q109"/>
    <mergeCell ref="O98:Q98"/>
    <mergeCell ref="O108:Q108"/>
    <mergeCell ref="J47:M47"/>
    <mergeCell ref="Y46:AB46"/>
    <mergeCell ref="O102:Q102"/>
    <mergeCell ref="O103:Q103"/>
    <mergeCell ref="O104:Q104"/>
    <mergeCell ref="Z11:Z12"/>
    <mergeCell ref="AA11:AA12"/>
    <mergeCell ref="AB11:AB12"/>
    <mergeCell ref="Y44:AB44"/>
    <mergeCell ref="Y38:AB38"/>
    <mergeCell ref="Y39:AB39"/>
    <mergeCell ref="Y40:AB40"/>
    <mergeCell ref="Y37:AB37"/>
    <mergeCell ref="T23:W23"/>
    <mergeCell ref="T24:W24"/>
    <mergeCell ref="Y36:AB36"/>
    <mergeCell ref="Z20:AB20"/>
    <mergeCell ref="Y21:AB21"/>
    <mergeCell ref="Y22:AB22"/>
    <mergeCell ref="Y23:AB23"/>
    <mergeCell ref="X32:X33"/>
    <mergeCell ref="Y28:AB28"/>
    <mergeCell ref="Y29:AB29"/>
    <mergeCell ref="Y30:AB30"/>
    <mergeCell ref="Y32:AB32"/>
    <mergeCell ref="D124:H124"/>
    <mergeCell ref="D122:H122"/>
    <mergeCell ref="J41:M41"/>
    <mergeCell ref="J43:M43"/>
    <mergeCell ref="J44:M44"/>
    <mergeCell ref="J45:M45"/>
    <mergeCell ref="Q28:R28"/>
    <mergeCell ref="Y45:AB45"/>
    <mergeCell ref="Q24:R24"/>
    <mergeCell ref="Q26:R26"/>
    <mergeCell ref="Y24:AB24"/>
    <mergeCell ref="Y25:AB25"/>
    <mergeCell ref="Y26:AB26"/>
    <mergeCell ref="Y41:AB41"/>
    <mergeCell ref="Y42:AB42"/>
    <mergeCell ref="Y43:AB43"/>
    <mergeCell ref="Y27:AB27"/>
    <mergeCell ref="Y75:AB75"/>
    <mergeCell ref="Y77:AB77"/>
    <mergeCell ref="N52:O52"/>
    <mergeCell ref="Y92:AB92"/>
    <mergeCell ref="Y31:AB31"/>
    <mergeCell ref="Y33:AB33"/>
    <mergeCell ref="V29:W29"/>
  </mergeCells>
  <conditionalFormatting sqref="B9:C9 T9:AA9">
    <cfRule type="expression" dxfId="1819" priority="220">
      <formula>IF(NoColor,1,0)</formula>
    </cfRule>
  </conditionalFormatting>
  <conditionalFormatting sqref="B11:C11 G11:G12 N11:S12">
    <cfRule type="expression" dxfId="1818" priority="219">
      <formula>IF(NoColor,1,0)</formula>
    </cfRule>
  </conditionalFormatting>
  <conditionalFormatting sqref="C58">
    <cfRule type="expression" dxfId="1817" priority="22">
      <formula>IF(NoColor,1,0)</formula>
    </cfRule>
  </conditionalFormatting>
  <conditionalFormatting sqref="E3">
    <cfRule type="expression" dxfId="1816" priority="19">
      <formula>NOT(Draft)</formula>
    </cfRule>
  </conditionalFormatting>
  <conditionalFormatting sqref="H11:M11">
    <cfRule type="expression" dxfId="1815" priority="167">
      <formula>IF(NoColor,1,0)</formula>
    </cfRule>
  </conditionalFormatting>
  <conditionalFormatting sqref="I58">
    <cfRule type="expression" dxfId="1814" priority="21">
      <formula>IF(NoColor,1,0)</formula>
    </cfRule>
  </conditionalFormatting>
  <conditionalFormatting sqref="J36:K39">
    <cfRule type="expression" dxfId="1813" priority="94">
      <formula>IF(NoColor,1,0)</formula>
    </cfRule>
  </conditionalFormatting>
  <conditionalFormatting sqref="J41:K41">
    <cfRule type="expression" dxfId="1812" priority="93">
      <formula>IF(NoColor,1,0)</formula>
    </cfRule>
  </conditionalFormatting>
  <conditionalFormatting sqref="J43:K48">
    <cfRule type="expression" dxfId="1811" priority="85">
      <formula>IF(NoColor,1,0)</formula>
    </cfRule>
  </conditionalFormatting>
  <conditionalFormatting sqref="J50:K52">
    <cfRule type="expression" dxfId="1810" priority="63">
      <formula>IF(NoColor,1,0)</formula>
    </cfRule>
  </conditionalFormatting>
  <conditionalFormatting sqref="M29">
    <cfRule type="expression" dxfId="1809" priority="26">
      <formula>IF(NoColor,1,0)</formula>
    </cfRule>
  </conditionalFormatting>
  <conditionalFormatting sqref="M66:N66">
    <cfRule type="expression" dxfId="1808" priority="50">
      <formula>IF(NoColor,1,0)</formula>
    </cfRule>
  </conditionalFormatting>
  <conditionalFormatting sqref="M68:N68">
    <cfRule type="expression" dxfId="1807" priority="49">
      <formula>IF(NoColor,1,0)</formula>
    </cfRule>
  </conditionalFormatting>
  <conditionalFormatting sqref="M73:N73">
    <cfRule type="expression" dxfId="1806" priority="44">
      <formula>IF(NoColor,1,0)</formula>
    </cfRule>
  </conditionalFormatting>
  <conditionalFormatting sqref="P47:W52">
    <cfRule type="expression" dxfId="1805" priority="27">
      <formula>IF(NoColor,1,0)</formula>
    </cfRule>
  </conditionalFormatting>
  <conditionalFormatting sqref="Q23:Q24">
    <cfRule type="expression" dxfId="1804" priority="107">
      <formula>IF(NoColor,1,0)</formula>
    </cfRule>
  </conditionalFormatting>
  <conditionalFormatting sqref="Q26">
    <cfRule type="expression" dxfId="1803" priority="105">
      <formula>IF(NoColor,1,0)</formula>
    </cfRule>
  </conditionalFormatting>
  <conditionalFormatting sqref="Q28">
    <cfRule type="expression" dxfId="1802" priority="103">
      <formula>IF(NoColor,1,0)</formula>
    </cfRule>
  </conditionalFormatting>
  <conditionalFormatting sqref="T19:T20">
    <cfRule type="expression" dxfId="1801" priority="155">
      <formula>IF(NoColor,1,0)</formula>
    </cfRule>
  </conditionalFormatting>
  <conditionalFormatting sqref="T84:U84">
    <cfRule type="expression" dxfId="1800" priority="36">
      <formula>IF(NoColor,1,0)</formula>
    </cfRule>
  </conditionalFormatting>
  <conditionalFormatting sqref="T86:U86">
    <cfRule type="expression" dxfId="1799" priority="35">
      <formula>IF(NoColor,1,0)</formula>
    </cfRule>
  </conditionalFormatting>
  <conditionalFormatting sqref="T88:U88">
    <cfRule type="expression" dxfId="1798" priority="29">
      <formula>IF(NoColor,1,0)</formula>
    </cfRule>
  </conditionalFormatting>
  <conditionalFormatting sqref="T90:U90">
    <cfRule type="expression" dxfId="1797" priority="33">
      <formula>IF(NoColor,1,0)</formula>
    </cfRule>
  </conditionalFormatting>
  <conditionalFormatting sqref="T9:AB9">
    <cfRule type="expression" dxfId="1796" priority="9">
      <formula>AND(NoSSN,NoColor)</formula>
    </cfRule>
    <cfRule type="expression" dxfId="1795" priority="10">
      <formula>NoSSN</formula>
    </cfRule>
  </conditionalFormatting>
  <conditionalFormatting sqref="T11:AB11">
    <cfRule type="expression" dxfId="1794" priority="157">
      <formula>IF(NoColor,1,0)</formula>
    </cfRule>
  </conditionalFormatting>
  <conditionalFormatting sqref="V3">
    <cfRule type="expression" dxfId="1793" priority="18">
      <formula>NOT(Draft)</formula>
    </cfRule>
  </conditionalFormatting>
  <conditionalFormatting sqref="X14:X17">
    <cfRule type="expression" dxfId="1792" priority="24">
      <formula>IF(NoColor,1,0)</formula>
    </cfRule>
  </conditionalFormatting>
  <conditionalFormatting sqref="Y21:Z26">
    <cfRule type="expression" dxfId="1791" priority="106">
      <formula>IF(NoColor,1,0)</formula>
    </cfRule>
  </conditionalFormatting>
  <conditionalFormatting sqref="Y28:Z31">
    <cfRule type="expression" dxfId="1790" priority="113">
      <formula>IF(NoColor,1,0)</formula>
    </cfRule>
  </conditionalFormatting>
  <conditionalFormatting sqref="Y33:Z33">
    <cfRule type="expression" dxfId="1789" priority="112">
      <formula>IF(NoColor,1,0)</formula>
    </cfRule>
  </conditionalFormatting>
  <conditionalFormatting sqref="Y35:Z35">
    <cfRule type="expression" dxfId="1788" priority="102">
      <formula>IF(NoColor,1,0)</formula>
    </cfRule>
  </conditionalFormatting>
  <conditionalFormatting sqref="Y37:Z45">
    <cfRule type="expression" dxfId="1787" priority="72">
      <formula>IF(NoColor,1,0)</formula>
    </cfRule>
  </conditionalFormatting>
  <conditionalFormatting sqref="Y47:Z54">
    <cfRule type="expression" dxfId="1786" priority="20">
      <formula>IF(NoColor,1,0)</formula>
    </cfRule>
  </conditionalFormatting>
  <conditionalFormatting sqref="Y64:Z64">
    <cfRule type="expression" dxfId="1785" priority="48">
      <formula>IF(NoColor,1,0)</formula>
    </cfRule>
  </conditionalFormatting>
  <conditionalFormatting sqref="Y66:Z66">
    <cfRule type="expression" dxfId="1784" priority="53">
      <formula>IF(NoColor,1,0)</formula>
    </cfRule>
  </conditionalFormatting>
  <conditionalFormatting sqref="Y68:Z68">
    <cfRule type="expression" dxfId="1783" priority="51">
      <formula>IF(NoColor,1,0)</formula>
    </cfRule>
  </conditionalFormatting>
  <conditionalFormatting sqref="Y71:Z71">
    <cfRule type="expression" dxfId="1782" priority="47">
      <formula>IF(NoColor,1,0)</formula>
    </cfRule>
  </conditionalFormatting>
  <conditionalFormatting sqref="Y73:Z73">
    <cfRule type="expression" dxfId="1781" priority="45">
      <formula>IF(NoColor,1,0)</formula>
    </cfRule>
  </conditionalFormatting>
  <conditionalFormatting sqref="Y75:Z75">
    <cfRule type="expression" dxfId="1780" priority="43">
      <formula>IF(NoColor,1,0)</formula>
    </cfRule>
  </conditionalFormatting>
  <conditionalFormatting sqref="Y77:Z77">
    <cfRule type="expression" dxfId="1779" priority="42">
      <formula>IF(NoColor,1,0)</formula>
    </cfRule>
  </conditionalFormatting>
  <conditionalFormatting sqref="Y79:Z79">
    <cfRule type="expression" dxfId="1778" priority="41">
      <formula>IF(NoColor,1,0)</formula>
    </cfRule>
  </conditionalFormatting>
  <conditionalFormatting sqref="Y81:Z81">
    <cfRule type="expression" dxfId="1777" priority="39">
      <formula>IF(NoColor,1,0)</formula>
    </cfRule>
  </conditionalFormatting>
  <conditionalFormatting sqref="Y92:Z92">
    <cfRule type="expression" dxfId="1776" priority="28">
      <formula>IF(NoColor,1,0)</formula>
    </cfRule>
  </conditionalFormatting>
  <conditionalFormatting sqref="Y94:Z94">
    <cfRule type="expression" dxfId="1775" priority="30">
      <formula>IF(NoColor,1,0)</formula>
    </cfRule>
  </conditionalFormatting>
  <conditionalFormatting sqref="AA14:AA17">
    <cfRule type="expression" dxfId="1774" priority="25">
      <formula>IF(NoColor,1,0)</formula>
    </cfRule>
  </conditionalFormatting>
  <conditionalFormatting sqref="AD57:AD58">
    <cfRule type="expression" dxfId="1773" priority="3721">
      <formula>OR(AND(Y25&lt;&gt;"",Y25&lt;&gt;0,AE27="",AE59&lt;&gt;""),AND(AE27&lt;&gt;"",AE59=""))</formula>
    </cfRule>
  </conditionalFormatting>
  <conditionalFormatting sqref="AD57:AD60">
    <cfRule type="expression" dxfId="1772" priority="3722">
      <formula>(Y55&lt;&gt;0)</formula>
    </cfRule>
  </conditionalFormatting>
  <conditionalFormatting sqref="AD59:AD60">
    <cfRule type="expression" dxfId="1771" priority="3723">
      <formula>"OR(AND(Y24&lt;&gt;"""",Y24&lt;&gt;0,AE26="""",AE58&lt;&gt;""""),AND(AE26&lt;&gt;"""",AE58=""""))"</formula>
    </cfRule>
  </conditionalFormatting>
  <conditionalFormatting sqref="AE8">
    <cfRule type="expression" dxfId="1770" priority="3">
      <formula>AND(Y6&lt;&gt;"",Y6&lt;&gt;0)</formula>
    </cfRule>
  </conditionalFormatting>
  <hyperlinks>
    <hyperlink ref="D122:H122" r:id="rId1" display="Download Form 1040 Schedule F" xr:uid="{00000000-0004-0000-2000-000000000000}"/>
    <hyperlink ref="D124:H124" r:id="rId2" display="Download Form 1040 Schedule F Instructions" xr:uid="{00000000-0004-0000-2000-000001000000}"/>
  </hyperlinks>
  <printOptions horizontalCentered="1"/>
  <pageMargins left="0.25" right="0.2" top="0.5" bottom="0.27" header="0" footer="0"/>
  <pageSetup scale="93" fitToHeight="0" orientation="portrait" r:id="rId3"/>
  <headerFooter alignWithMargins="0"/>
  <rowBreaks count="1" manualBreakCount="1">
    <brk id="60" min="1" max="27" man="1"/>
  </rowBreaks>
  <drawing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P137"/>
  <sheetViews>
    <sheetView zoomScaleNormal="100" zoomScaleSheetLayoutView="125" workbookViewId="0"/>
  </sheetViews>
  <sheetFormatPr defaultColWidth="9.140625" defaultRowHeight="12.75"/>
  <cols>
    <col min="1" max="1" width="2" customWidth="1"/>
    <col min="2" max="2" width="4.42578125" customWidth="1"/>
    <col min="3" max="3" width="2.28515625" customWidth="1"/>
    <col min="4" max="4" width="11.7109375" customWidth="1"/>
    <col min="5" max="5" width="7.85546875" customWidth="1"/>
    <col min="6" max="6" width="3" customWidth="1"/>
    <col min="7" max="8" width="2.5703125" customWidth="1"/>
    <col min="9" max="9" width="10.140625" customWidth="1"/>
    <col min="10" max="12" width="3.28515625" customWidth="1"/>
    <col min="13" max="13" width="1.28515625" customWidth="1"/>
    <col min="14" max="14" width="3.7109375" customWidth="1"/>
    <col min="15" max="15" width="2.85546875" customWidth="1"/>
    <col min="16" max="16" width="5.28515625" bestFit="1" customWidth="1"/>
    <col min="17" max="17" width="2.42578125" customWidth="1"/>
    <col min="18" max="18" width="3.42578125" customWidth="1"/>
    <col min="19" max="19" width="3.7109375" customWidth="1"/>
    <col min="20" max="25" width="3.42578125" customWidth="1"/>
    <col min="26" max="26" width="2.7109375" customWidth="1"/>
    <col min="27" max="27" width="2.85546875" customWidth="1"/>
    <col min="28" max="28" width="3.42578125" customWidth="1"/>
    <col min="29" max="29" width="2.5703125" customWidth="1"/>
    <col min="30" max="30" width="12.140625" style="42" customWidth="1"/>
    <col min="31" max="31" width="2.5703125" customWidth="1"/>
    <col min="32" max="32" width="6.140625" customWidth="1"/>
    <col min="33" max="42" width="10.7109375" style="2595" customWidth="1"/>
  </cols>
  <sheetData>
    <row r="1" spans="1:33" ht="15.75" customHeight="1">
      <c r="A1" s="78"/>
      <c r="B1" s="78"/>
      <c r="C1" s="78"/>
      <c r="D1" s="78"/>
      <c r="E1" s="1009"/>
      <c r="F1" s="78"/>
      <c r="G1" s="78"/>
      <c r="H1" s="78"/>
      <c r="I1" s="78"/>
      <c r="J1" s="78"/>
      <c r="K1" s="78"/>
      <c r="L1" s="78"/>
      <c r="M1" s="78"/>
      <c r="N1" s="78"/>
      <c r="O1" s="78"/>
      <c r="P1" s="78"/>
      <c r="Q1" s="78"/>
      <c r="R1" s="78"/>
      <c r="S1" s="78"/>
      <c r="T1" s="78"/>
      <c r="U1" s="78"/>
      <c r="V1" s="78"/>
      <c r="W1" s="78"/>
      <c r="X1" s="78"/>
      <c r="Y1" s="78"/>
      <c r="Z1" s="78"/>
      <c r="AA1" s="78"/>
      <c r="AB1" s="78"/>
      <c r="AC1" s="588"/>
      <c r="AD1" s="385"/>
      <c r="AE1" s="588"/>
      <c r="AG1" s="2594" t="s">
        <v>2033</v>
      </c>
    </row>
    <row r="2" spans="1:33" ht="15.75" customHeight="1">
      <c r="A2" s="78"/>
      <c r="B2" s="78"/>
      <c r="C2" s="78"/>
      <c r="D2" s="3669" t="str">
        <f>IF(NOT(R12),"You do not qualify to take this credit.",IF(Y121,"You can't take this credit.  (See line 19.)",IF(AD136,"You can't take this credit.  (See Credit Limit Worksheet—Line 21 at the bottom of this page.)","")))</f>
        <v>You do not qualify to take this credit.</v>
      </c>
      <c r="E2" s="1009"/>
      <c r="F2" s="78"/>
      <c r="G2" s="78"/>
      <c r="H2" s="78"/>
      <c r="I2" s="78"/>
      <c r="J2" s="78"/>
      <c r="K2" s="78"/>
      <c r="L2" s="78"/>
      <c r="M2" s="78"/>
      <c r="N2" s="78"/>
      <c r="O2" s="78"/>
      <c r="P2" s="78"/>
      <c r="Q2" s="78"/>
      <c r="R2" s="78"/>
      <c r="S2" s="78"/>
      <c r="T2" s="78"/>
      <c r="U2" s="78"/>
      <c r="V2" s="78"/>
      <c r="W2" s="78"/>
      <c r="X2" s="78"/>
      <c r="Y2" s="78"/>
      <c r="Z2" s="78"/>
      <c r="AA2" s="78"/>
      <c r="AB2" s="78"/>
      <c r="AC2" s="588"/>
      <c r="AD2" s="385"/>
      <c r="AE2" s="588"/>
      <c r="AG2" s="2594"/>
    </row>
    <row r="3" spans="1:33" ht="13.5" customHeight="1">
      <c r="A3" s="78"/>
      <c r="B3" s="78"/>
      <c r="C3" s="78"/>
      <c r="D3" s="78"/>
      <c r="E3" s="3624" t="str">
        <f>IF(OR(NOT(YouR65),NOT(SpouseIs65)),"Answer 'Yes' or 'No' below:","")</f>
        <v>Answer 'Yes' or 'No' below:</v>
      </c>
      <c r="F3" s="7555" t="s">
        <v>1720</v>
      </c>
      <c r="G3" s="7555"/>
      <c r="H3" s="7555"/>
      <c r="I3" s="78"/>
      <c r="J3" s="7557" t="str">
        <f>IF(File_Marr_Joint&lt;&gt;"","Spouse","")</f>
        <v/>
      </c>
      <c r="K3" s="7557"/>
      <c r="L3" s="7557"/>
      <c r="M3" s="78"/>
      <c r="N3" s="78"/>
      <c r="O3" s="78"/>
      <c r="P3" s="78"/>
      <c r="Q3" s="78"/>
      <c r="R3" s="78"/>
      <c r="S3" s="78"/>
      <c r="T3" s="78"/>
      <c r="U3" s="78"/>
      <c r="V3" s="78"/>
      <c r="W3" s="78"/>
      <c r="X3" s="78"/>
      <c r="Y3" s="78"/>
      <c r="Z3" s="78"/>
      <c r="AA3" s="78"/>
      <c r="AB3" s="78"/>
      <c r="AC3" s="588"/>
      <c r="AD3" s="385"/>
      <c r="AE3" s="588"/>
      <c r="AG3" s="2594"/>
    </row>
    <row r="4" spans="1:33" ht="16.5" customHeight="1">
      <c r="A4" s="78"/>
      <c r="B4" s="78"/>
      <c r="C4" s="78"/>
      <c r="D4" s="3624"/>
      <c r="E4" s="3624" t="s">
        <v>2917</v>
      </c>
      <c r="F4" s="7556" t="str">
        <f>IF(NOT(YouR65),"Yes","No")</f>
        <v>Yes</v>
      </c>
      <c r="G4" s="7556"/>
      <c r="H4" s="7556"/>
      <c r="I4" s="3673" t="b">
        <f>NOT(YouR65)</f>
        <v>1</v>
      </c>
      <c r="J4" s="7558" t="str">
        <f>IF(File_Marr_Joint="","",IF(NOT(SpouseIs65),"Yes","No"))</f>
        <v/>
      </c>
      <c r="K4" s="7558"/>
      <c r="L4" s="7558"/>
      <c r="M4" s="78"/>
      <c r="N4" s="78"/>
      <c r="O4" s="78"/>
      <c r="P4" s="3673" t="b">
        <f>AND(File_Marr_Joint&lt;&gt;"",NOT(SpouseIs65))</f>
        <v>0</v>
      </c>
      <c r="Q4" s="1295"/>
      <c r="R4" s="7551" t="b">
        <f>OR(AND(I4,NOT(P4)),AND(NOT(I4),P4))</f>
        <v>1</v>
      </c>
      <c r="S4" s="7551"/>
      <c r="T4" s="3674" t="s">
        <v>2872</v>
      </c>
      <c r="U4" s="1295"/>
      <c r="V4" s="3672"/>
      <c r="W4" s="3672"/>
      <c r="X4" s="78"/>
      <c r="Y4" s="78"/>
      <c r="Z4" s="78"/>
      <c r="AA4" s="78"/>
      <c r="AB4" s="78"/>
      <c r="AC4" s="588"/>
      <c r="AD4" s="385"/>
      <c r="AE4" s="588"/>
      <c r="AG4" s="2594"/>
    </row>
    <row r="5" spans="1:33" ht="6.75" customHeight="1">
      <c r="A5" s="78"/>
      <c r="B5" s="78"/>
      <c r="C5" s="78"/>
      <c r="D5" s="78"/>
      <c r="E5" s="1009"/>
      <c r="F5" s="78"/>
      <c r="G5" s="78"/>
      <c r="H5" s="78"/>
      <c r="I5" s="1295"/>
      <c r="J5" s="78"/>
      <c r="K5" s="78"/>
      <c r="L5" s="78"/>
      <c r="M5" s="78"/>
      <c r="N5" s="78"/>
      <c r="O5" s="78"/>
      <c r="P5" s="3675"/>
      <c r="Q5" s="1295"/>
      <c r="R5" s="1295"/>
      <c r="S5" s="1295"/>
      <c r="T5" s="1295"/>
      <c r="U5" s="1295"/>
      <c r="V5" s="3672"/>
      <c r="W5" s="3672"/>
      <c r="X5" s="78"/>
      <c r="Y5" s="78"/>
      <c r="Z5" s="78"/>
      <c r="AA5" s="78"/>
      <c r="AB5" s="78"/>
      <c r="AC5" s="588"/>
      <c r="AD5" s="385"/>
      <c r="AE5" s="588"/>
      <c r="AG5" s="2594"/>
    </row>
    <row r="6" spans="1:33" ht="11.25" customHeight="1">
      <c r="A6" s="78"/>
      <c r="B6" s="78"/>
      <c r="C6" s="78"/>
      <c r="D6" s="3624"/>
      <c r="E6" s="3624" t="str">
        <f>IF(OR(I4,P4),"Retired? ","")</f>
        <v xml:space="preserve">Retired? </v>
      </c>
      <c r="F6" s="7552"/>
      <c r="G6" s="7552"/>
      <c r="H6" s="7552"/>
      <c r="I6" s="3673" t="b">
        <f>OR(LEFT(F6,1)="Y",LEFT(F6,1)="y")</f>
        <v>0</v>
      </c>
      <c r="J6" s="7552"/>
      <c r="K6" s="7552"/>
      <c r="L6" s="7552"/>
      <c r="M6" s="78"/>
      <c r="N6" s="78"/>
      <c r="O6" s="78"/>
      <c r="P6" s="3673" t="b">
        <f>OR(LEFT(J6,1)="Y",LEFT(J6,1)="y")</f>
        <v>0</v>
      </c>
      <c r="Q6" s="1295"/>
      <c r="R6" s="1295"/>
      <c r="S6" s="1295"/>
      <c r="T6" s="1295"/>
      <c r="U6" s="1295"/>
      <c r="V6" s="3672"/>
      <c r="W6" s="3672"/>
      <c r="X6" s="78"/>
      <c r="Y6" s="78"/>
      <c r="Z6" s="78"/>
      <c r="AA6" s="78"/>
      <c r="AB6" s="78"/>
      <c r="AC6" s="588"/>
      <c r="AD6" s="385"/>
      <c r="AE6" s="588"/>
      <c r="AG6" s="2594"/>
    </row>
    <row r="7" spans="1:33" ht="6.75" customHeight="1">
      <c r="A7" s="646"/>
      <c r="B7" s="646"/>
      <c r="C7" s="646"/>
      <c r="D7" s="646"/>
      <c r="E7" s="1009"/>
      <c r="F7" s="78"/>
      <c r="G7" s="78"/>
      <c r="H7" s="78"/>
      <c r="I7" s="1295"/>
      <c r="J7" s="78"/>
      <c r="K7" s="78"/>
      <c r="L7" s="78"/>
      <c r="M7" s="78"/>
      <c r="N7" s="78"/>
      <c r="O7" s="78"/>
      <c r="P7" s="3675"/>
      <c r="Q7" s="1295"/>
      <c r="R7" s="1295"/>
      <c r="S7" s="1295"/>
      <c r="T7" s="1295"/>
      <c r="U7" s="1295"/>
      <c r="V7" s="3672"/>
      <c r="W7" s="3672"/>
      <c r="X7" s="78"/>
      <c r="Y7" s="78"/>
      <c r="Z7" s="78"/>
      <c r="AA7" s="78"/>
      <c r="AB7" s="78"/>
      <c r="AC7" s="588"/>
      <c r="AD7" s="385"/>
      <c r="AE7" s="588"/>
      <c r="AG7" s="2594"/>
    </row>
    <row r="8" spans="1:33" ht="11.25" customHeight="1">
      <c r="A8" s="78"/>
      <c r="B8" s="78"/>
      <c r="C8" s="78"/>
      <c r="D8" s="3624"/>
      <c r="E8" s="3624" t="str">
        <f>IF(OR(I6,P6),"Permanently and totally disabled? ","")</f>
        <v/>
      </c>
      <c r="F8" s="7552"/>
      <c r="G8" s="7552"/>
      <c r="H8" s="7552"/>
      <c r="I8" s="3673" t="b">
        <f>OR(LEFT(F8,1)="Y",LEFT(F8,1)="y")</f>
        <v>0</v>
      </c>
      <c r="J8" s="7552"/>
      <c r="K8" s="7552"/>
      <c r="L8" s="7552"/>
      <c r="M8" s="78"/>
      <c r="N8" s="78"/>
      <c r="O8" s="78"/>
      <c r="P8" s="3673" t="b">
        <f>OR(LEFT(J8,1)="Y",LEFT(J8,1)="y")</f>
        <v>0</v>
      </c>
      <c r="Q8" s="1295"/>
      <c r="R8" s="7551" t="b">
        <f>OR(AND(I8,NOT(P8)),AND(NOT(I8),P8))</f>
        <v>0</v>
      </c>
      <c r="S8" s="7551"/>
      <c r="T8" s="3674" t="s">
        <v>2872</v>
      </c>
      <c r="U8" s="1295"/>
      <c r="V8" s="3672"/>
      <c r="W8" s="3672"/>
      <c r="X8" s="78"/>
      <c r="Y8" s="78"/>
      <c r="Z8" s="78"/>
      <c r="AA8" s="78"/>
      <c r="AB8" s="78"/>
      <c r="AC8" s="588"/>
      <c r="AD8" s="385"/>
      <c r="AE8" s="588"/>
      <c r="AG8" s="2594"/>
    </row>
    <row r="9" spans="1:33" ht="6.75" customHeight="1">
      <c r="A9" s="646"/>
      <c r="B9" s="646"/>
      <c r="C9" s="646"/>
      <c r="D9" s="646"/>
      <c r="E9" s="1009"/>
      <c r="F9" s="78"/>
      <c r="G9" s="78"/>
      <c r="H9" s="78"/>
      <c r="I9" s="1295"/>
      <c r="J9" s="78"/>
      <c r="K9" s="78"/>
      <c r="L9" s="78"/>
      <c r="M9" s="78"/>
      <c r="N9" s="78"/>
      <c r="O9" s="78"/>
      <c r="P9" s="3675"/>
      <c r="Q9" s="1295"/>
      <c r="R9" s="1295"/>
      <c r="S9" s="1295"/>
      <c r="T9" s="1295"/>
      <c r="U9" s="1295"/>
      <c r="V9" s="3672"/>
      <c r="W9" s="3672"/>
      <c r="X9" s="78"/>
      <c r="Y9" s="78"/>
      <c r="Z9" s="78"/>
      <c r="AA9" s="78"/>
      <c r="AB9" s="78"/>
      <c r="AC9" s="588"/>
      <c r="AD9" s="385"/>
      <c r="AE9" s="588"/>
      <c r="AG9" s="2594"/>
    </row>
    <row r="10" spans="1:33" ht="11.25" customHeight="1">
      <c r="A10" s="646"/>
      <c r="B10" s="646"/>
      <c r="C10" s="646"/>
      <c r="D10" s="646"/>
      <c r="E10" s="3624" t="str">
        <f>IF(OR(I8,P8),"Taxable disability income: ","")</f>
        <v/>
      </c>
      <c r="F10" s="7549"/>
      <c r="G10" s="7549"/>
      <c r="H10" s="7549"/>
      <c r="I10" s="3673" t="b">
        <f>F10&gt;0</f>
        <v>0</v>
      </c>
      <c r="J10" s="7550"/>
      <c r="K10" s="7550"/>
      <c r="L10" s="7550"/>
      <c r="M10" s="78"/>
      <c r="N10" s="78"/>
      <c r="O10" s="78"/>
      <c r="P10" s="3673" t="b">
        <f>J10&gt;0</f>
        <v>0</v>
      </c>
      <c r="Q10" s="1295"/>
      <c r="R10" s="1295"/>
      <c r="S10" s="1295"/>
      <c r="T10" s="1295"/>
      <c r="U10" s="1295"/>
      <c r="V10" s="3672"/>
      <c r="W10" s="3672"/>
      <c r="X10" s="78"/>
      <c r="Y10" s="78"/>
      <c r="Z10" s="78"/>
      <c r="AA10" s="78"/>
      <c r="AB10" s="78"/>
      <c r="AC10" s="588"/>
      <c r="AD10" s="385"/>
      <c r="AE10" s="588"/>
      <c r="AG10" s="2594"/>
    </row>
    <row r="11" spans="1:33" ht="6.75" customHeight="1">
      <c r="A11" s="78"/>
      <c r="B11" s="78"/>
      <c r="C11" s="78"/>
      <c r="D11" s="78"/>
      <c r="E11" s="1009"/>
      <c r="F11" s="78"/>
      <c r="G11" s="78"/>
      <c r="H11" s="78"/>
      <c r="I11" s="1295"/>
      <c r="J11" s="78"/>
      <c r="K11" s="78"/>
      <c r="L11" s="78"/>
      <c r="M11" s="78"/>
      <c r="N11" s="78"/>
      <c r="O11" s="78"/>
      <c r="P11" s="3675"/>
      <c r="Q11" s="1295"/>
      <c r="R11" s="1295"/>
      <c r="S11" s="1295"/>
      <c r="T11" s="1295"/>
      <c r="U11" s="1295"/>
      <c r="V11" s="3672"/>
      <c r="W11" s="3672"/>
      <c r="X11" s="78"/>
      <c r="Y11" s="78"/>
      <c r="Z11" s="78"/>
      <c r="AA11" s="78"/>
      <c r="AB11" s="78"/>
      <c r="AC11" s="588"/>
      <c r="AD11" s="385"/>
      <c r="AE11" s="588"/>
      <c r="AG11" s="2594"/>
    </row>
    <row r="12" spans="1:33" ht="11.25" customHeight="1">
      <c r="A12" s="78"/>
      <c r="B12" s="78"/>
      <c r="C12" s="78"/>
      <c r="D12" s="3624"/>
      <c r="E12" s="1009"/>
      <c r="F12" s="78"/>
      <c r="G12" s="78"/>
      <c r="H12" s="78"/>
      <c r="I12" s="3673" t="b">
        <f>AND(I4,I6,I8,I10)</f>
        <v>0</v>
      </c>
      <c r="J12" s="78"/>
      <c r="K12" s="78"/>
      <c r="L12" s="78"/>
      <c r="M12" s="78"/>
      <c r="N12" s="78"/>
      <c r="O12" s="78"/>
      <c r="P12" s="3673" t="b">
        <f>AND(P4,P6,P8,P10)</f>
        <v>0</v>
      </c>
      <c r="Q12" s="1295"/>
      <c r="R12" s="7551" t="b">
        <f>OR(YouR65,SpouseIs65,I12,P12)</f>
        <v>0</v>
      </c>
      <c r="S12" s="7551"/>
      <c r="T12" s="1295"/>
      <c r="U12" s="1295"/>
      <c r="V12" s="3672"/>
      <c r="W12" s="3672"/>
      <c r="X12" s="78"/>
      <c r="Y12" s="78"/>
      <c r="Z12" s="78"/>
      <c r="AA12" s="78"/>
      <c r="AB12" s="78"/>
      <c r="AC12" s="588"/>
      <c r="AD12" s="385"/>
      <c r="AE12" s="588"/>
      <c r="AG12" s="2594"/>
    </row>
    <row r="13" spans="1:33" ht="10.5" customHeight="1">
      <c r="A13" s="78"/>
      <c r="B13" s="7569" t="s">
        <v>4119</v>
      </c>
      <c r="C13" s="7570"/>
      <c r="D13" s="7571"/>
      <c r="E13" s="3211"/>
      <c r="F13" s="1179"/>
      <c r="G13" s="1179"/>
      <c r="H13" s="1179"/>
      <c r="I13" s="1179"/>
      <c r="J13" s="1179"/>
      <c r="K13" s="1179"/>
      <c r="L13" s="1179"/>
      <c r="M13" s="1179"/>
      <c r="N13" s="1179"/>
      <c r="O13" s="1179"/>
      <c r="P13" s="1179"/>
      <c r="Q13" s="1179"/>
      <c r="R13" s="1179"/>
      <c r="S13" s="1179"/>
      <c r="T13" s="1179"/>
      <c r="U13" s="1179"/>
      <c r="V13" s="3212"/>
      <c r="W13" s="1179"/>
      <c r="X13" s="1461" t="s">
        <v>152</v>
      </c>
      <c r="Y13" s="1461"/>
      <c r="Z13" s="1462"/>
      <c r="AA13" s="1462"/>
      <c r="AB13" s="1462"/>
      <c r="AC13" s="588"/>
      <c r="AD13" s="385"/>
      <c r="AE13" s="588"/>
    </row>
    <row r="14" spans="1:33" ht="21.75" customHeight="1">
      <c r="A14" s="588"/>
      <c r="B14" s="7485"/>
      <c r="C14" s="7571"/>
      <c r="D14" s="7571"/>
      <c r="E14" s="1442"/>
      <c r="F14" s="1472" t="s">
        <v>2823</v>
      </c>
      <c r="G14" s="1472"/>
      <c r="H14" s="275"/>
      <c r="I14" s="275"/>
      <c r="J14" s="275"/>
      <c r="K14" s="275"/>
      <c r="L14" s="275"/>
      <c r="M14" s="275"/>
      <c r="N14" s="135"/>
      <c r="O14" s="135"/>
      <c r="P14" s="135"/>
      <c r="Q14" s="135"/>
      <c r="R14" s="22"/>
      <c r="S14" s="22"/>
      <c r="T14" s="135"/>
      <c r="U14" s="275"/>
      <c r="V14" s="275"/>
      <c r="W14" s="165"/>
      <c r="X14" s="7521">
        <f>TaxYear</f>
        <v>2021</v>
      </c>
      <c r="Y14" s="7522"/>
      <c r="Z14" s="7522"/>
      <c r="AA14" s="7522"/>
      <c r="AB14" s="7522"/>
      <c r="AC14" s="588"/>
      <c r="AD14" s="385"/>
      <c r="AE14" s="588"/>
    </row>
    <row r="15" spans="1:33" ht="9.75" customHeight="1">
      <c r="A15" s="588"/>
      <c r="B15" s="3561"/>
      <c r="C15" s="3561"/>
      <c r="D15" s="3560"/>
      <c r="E15" s="1491"/>
      <c r="F15" s="1464"/>
      <c r="G15" s="1464"/>
      <c r="H15" s="3623"/>
      <c r="I15" s="3623" t="s">
        <v>4120</v>
      </c>
      <c r="J15" s="1464"/>
      <c r="K15" s="1464"/>
      <c r="L15" s="1464"/>
      <c r="M15" s="1464"/>
      <c r="N15" s="1464"/>
      <c r="O15" s="1464"/>
      <c r="P15" s="1464"/>
      <c r="Q15" s="1464"/>
      <c r="R15" s="1464"/>
      <c r="S15" s="1464"/>
      <c r="T15" s="1464"/>
      <c r="U15" s="1464"/>
      <c r="V15" s="1464"/>
      <c r="W15" s="1464"/>
      <c r="X15" s="7523" t="s">
        <v>2824</v>
      </c>
      <c r="Y15" s="7524"/>
      <c r="Z15" s="7524"/>
      <c r="AA15" s="7524"/>
      <c r="AB15" s="7524"/>
      <c r="AC15" s="588"/>
      <c r="AD15" s="385"/>
      <c r="AE15" s="588"/>
    </row>
    <row r="16" spans="1:33" ht="12" customHeight="1">
      <c r="A16" s="588"/>
      <c r="B16" s="7572" t="s">
        <v>923</v>
      </c>
      <c r="C16" s="7573"/>
      <c r="D16" s="7574"/>
      <c r="E16" s="3565"/>
      <c r="F16" s="1463"/>
      <c r="G16" s="1463"/>
      <c r="H16" s="1463"/>
      <c r="I16" s="1463"/>
      <c r="J16" s="1463"/>
      <c r="K16" s="1463"/>
      <c r="L16" s="1463"/>
      <c r="M16" s="1463"/>
      <c r="N16" s="1463"/>
      <c r="O16" s="1463"/>
      <c r="P16" s="1463"/>
      <c r="Q16" s="1463"/>
      <c r="R16" s="1463"/>
      <c r="S16" s="3566" t="s">
        <v>2918</v>
      </c>
      <c r="T16" s="1463"/>
      <c r="U16" s="1463"/>
      <c r="V16" s="1463"/>
      <c r="W16" s="1463"/>
      <c r="X16" s="7525"/>
      <c r="Y16" s="7524"/>
      <c r="Z16" s="7524"/>
      <c r="AA16" s="7524"/>
      <c r="AB16" s="7524"/>
      <c r="AC16" s="588"/>
      <c r="AD16" s="385"/>
      <c r="AE16" s="588"/>
    </row>
    <row r="17" spans="1:42" ht="6.75" customHeight="1">
      <c r="A17" s="588"/>
      <c r="B17" s="7575"/>
      <c r="C17" s="7576"/>
      <c r="D17" s="7576"/>
      <c r="E17" s="1465"/>
      <c r="F17" s="1466"/>
      <c r="G17" s="1466"/>
      <c r="H17" s="1466"/>
      <c r="I17" s="1466"/>
      <c r="J17" s="1466"/>
      <c r="K17" s="1466"/>
      <c r="L17" s="1466"/>
      <c r="M17" s="1466"/>
      <c r="N17" s="1466"/>
      <c r="O17" s="1466"/>
      <c r="P17" s="1466"/>
      <c r="Q17" s="1466"/>
      <c r="R17" s="1466"/>
      <c r="S17" s="1466"/>
      <c r="T17" s="1466"/>
      <c r="U17" s="1466"/>
      <c r="V17" s="1466"/>
      <c r="W17" s="1466"/>
      <c r="X17" s="7526"/>
      <c r="Y17" s="7527"/>
      <c r="Z17" s="7527"/>
      <c r="AA17" s="7527"/>
      <c r="AB17" s="7527"/>
      <c r="AC17" s="588"/>
      <c r="AD17" s="385"/>
      <c r="AE17" s="588"/>
    </row>
    <row r="18" spans="1:42" ht="12" customHeight="1">
      <c r="A18" s="588"/>
      <c r="B18" s="164" t="s">
        <v>88</v>
      </c>
      <c r="C18" s="164"/>
      <c r="D18" s="161"/>
      <c r="E18" s="161"/>
      <c r="F18" s="161"/>
      <c r="G18" s="134"/>
      <c r="H18" s="134"/>
      <c r="I18" s="135"/>
      <c r="J18" s="135"/>
      <c r="K18" s="135"/>
      <c r="L18" s="135"/>
      <c r="M18" s="135"/>
      <c r="N18" s="144"/>
      <c r="O18" s="144"/>
      <c r="P18" s="144"/>
      <c r="Q18" s="144"/>
      <c r="R18" s="153"/>
      <c r="S18" s="150"/>
      <c r="T18" s="1473" t="s">
        <v>2308</v>
      </c>
      <c r="U18" s="135"/>
      <c r="V18" s="135"/>
      <c r="W18" s="135"/>
      <c r="X18" s="134"/>
      <c r="Y18" s="134"/>
      <c r="Z18" s="134"/>
      <c r="AA18" s="134"/>
      <c r="AB18" s="134"/>
      <c r="AC18" s="588"/>
      <c r="AD18" s="385"/>
      <c r="AE18" s="588"/>
    </row>
    <row r="19" spans="1:42" ht="14.25" customHeight="1">
      <c r="A19" s="588"/>
      <c r="B19" s="7577" t="str">
        <f>Names</f>
        <v/>
      </c>
      <c r="C19" s="7577"/>
      <c r="D19" s="7578"/>
      <c r="E19" s="7578"/>
      <c r="F19" s="7578"/>
      <c r="G19" s="7578"/>
      <c r="H19" s="7578"/>
      <c r="I19" s="7578"/>
      <c r="J19" s="7578"/>
      <c r="K19" s="7578"/>
      <c r="L19" s="7578"/>
      <c r="M19" s="7578"/>
      <c r="N19" s="7578"/>
      <c r="O19" s="7578"/>
      <c r="P19" s="7578"/>
      <c r="Q19" s="7578"/>
      <c r="R19" s="7578"/>
      <c r="S19" s="7579"/>
      <c r="T19" s="7530">
        <f>IF(NoSSN,"",SS_Yours)</f>
        <v>1010001</v>
      </c>
      <c r="U19" s="7531"/>
      <c r="V19" s="7531"/>
      <c r="W19" s="7531"/>
      <c r="X19" s="7531"/>
      <c r="Y19" s="7531"/>
      <c r="Z19" s="7531"/>
      <c r="AA19" s="7531"/>
      <c r="AB19" s="7532"/>
      <c r="AC19" s="588"/>
      <c r="AD19" s="385"/>
      <c r="AE19" s="588"/>
    </row>
    <row r="20" spans="1:42" s="3402" customFormat="1" ht="12" customHeight="1">
      <c r="A20" s="588"/>
      <c r="B20" s="3568" t="str">
        <f>"You may be able to take this credit and reduce your tax if by the end of "&amp;TaxYear&amp;":"</f>
        <v>You may be able to take this credit and reduce your tax if by the end of 2021:</v>
      </c>
      <c r="C20" s="1497"/>
      <c r="D20" s="1497"/>
      <c r="E20" s="1497"/>
      <c r="F20" s="1498"/>
      <c r="G20" s="1499"/>
      <c r="H20" s="1499"/>
      <c r="I20" s="1499"/>
      <c r="J20" s="1499"/>
      <c r="K20" s="1499"/>
      <c r="L20" s="1499"/>
      <c r="M20" s="1499"/>
      <c r="N20" s="1498"/>
      <c r="O20" s="1498"/>
      <c r="P20" s="184"/>
      <c r="Q20" s="184"/>
      <c r="R20" s="184"/>
      <c r="S20" s="184"/>
      <c r="T20" s="184"/>
      <c r="U20" s="184"/>
      <c r="V20" s="184"/>
      <c r="W20" s="184"/>
      <c r="X20" s="184"/>
      <c r="Y20" s="184"/>
      <c r="Z20" s="184"/>
      <c r="AA20" s="184"/>
      <c r="AB20" s="184"/>
      <c r="AC20" s="588"/>
      <c r="AD20" s="385"/>
      <c r="AE20" s="588"/>
      <c r="AF20"/>
      <c r="AG20" s="2595"/>
      <c r="AH20" s="2595"/>
      <c r="AI20" s="2595"/>
      <c r="AJ20" s="2595"/>
      <c r="AK20" s="2595"/>
      <c r="AL20" s="2595"/>
      <c r="AM20" s="2595"/>
      <c r="AN20" s="2595"/>
      <c r="AO20" s="2595"/>
      <c r="AP20" s="2595"/>
    </row>
    <row r="21" spans="1:42" s="3402" customFormat="1" ht="12" customHeight="1">
      <c r="A21" s="588"/>
      <c r="B21" s="3569" t="s">
        <v>2827</v>
      </c>
      <c r="C21" s="993" t="s">
        <v>2826</v>
      </c>
      <c r="D21" s="993"/>
      <c r="E21" s="184"/>
      <c r="F21" s="1075" t="s">
        <v>243</v>
      </c>
      <c r="G21" s="3569" t="s">
        <v>2827</v>
      </c>
      <c r="H21" s="993" t="s">
        <v>4122</v>
      </c>
      <c r="I21" s="181"/>
      <c r="J21" s="181"/>
      <c r="K21" s="181"/>
      <c r="L21" s="181"/>
      <c r="M21" s="181"/>
      <c r="N21" s="184"/>
      <c r="O21" s="184"/>
      <c r="P21" s="184"/>
      <c r="Q21" s="184"/>
      <c r="R21" s="184"/>
      <c r="S21" s="184"/>
      <c r="T21" s="184"/>
      <c r="U21" s="184"/>
      <c r="V21" s="184"/>
      <c r="W21" s="184"/>
      <c r="X21" s="184"/>
      <c r="Y21" s="184"/>
      <c r="Z21" s="184"/>
      <c r="AA21" s="184"/>
      <c r="AB21" s="184"/>
      <c r="AC21" s="588"/>
      <c r="AD21" s="385"/>
      <c r="AE21" s="588"/>
      <c r="AF21"/>
      <c r="AG21" s="2595"/>
      <c r="AH21" s="2595"/>
      <c r="AI21" s="2595"/>
      <c r="AJ21" s="2595"/>
      <c r="AK21" s="2595"/>
      <c r="AL21" s="2595"/>
      <c r="AM21" s="2595"/>
      <c r="AN21" s="2595"/>
      <c r="AO21" s="2595"/>
      <c r="AP21" s="2595"/>
    </row>
    <row r="22" spans="1:42" s="3402" customFormat="1" ht="12" customHeight="1">
      <c r="A22" s="588"/>
      <c r="B22" s="198"/>
      <c r="C22" s="1329"/>
      <c r="D22" s="1329"/>
      <c r="E22" s="184"/>
      <c r="F22" s="184"/>
      <c r="G22" s="181"/>
      <c r="H22" s="3570" t="s">
        <v>2828</v>
      </c>
      <c r="I22" s="181"/>
      <c r="J22" s="181"/>
      <c r="K22" s="181"/>
      <c r="L22" s="181"/>
      <c r="M22" s="181"/>
      <c r="N22" s="184"/>
      <c r="O22" s="184"/>
      <c r="P22" s="184"/>
      <c r="Q22" s="184"/>
      <c r="R22" s="184"/>
      <c r="S22" s="184"/>
      <c r="T22" s="184"/>
      <c r="U22" s="181"/>
      <c r="V22" s="181"/>
      <c r="W22" s="181"/>
      <c r="X22" s="2721"/>
      <c r="Y22" s="2722"/>
      <c r="Z22" s="2722"/>
      <c r="AA22" s="2721"/>
      <c r="AB22" s="2721"/>
      <c r="AC22" s="588"/>
      <c r="AD22" s="385"/>
      <c r="AE22" s="588"/>
      <c r="AF22"/>
      <c r="AG22" s="2595"/>
      <c r="AH22" s="2595"/>
      <c r="AI22" s="2595"/>
      <c r="AJ22" s="2595"/>
      <c r="AK22" s="2595"/>
      <c r="AL22" s="2595"/>
      <c r="AM22" s="2595"/>
      <c r="AN22" s="2595"/>
      <c r="AO22" s="2595"/>
      <c r="AP22" s="2595"/>
    </row>
    <row r="23" spans="1:42" s="3402" customFormat="1" ht="12" customHeight="1">
      <c r="A23" s="588"/>
      <c r="B23" s="198"/>
      <c r="C23" s="993" t="s">
        <v>2829</v>
      </c>
      <c r="D23" s="1329"/>
      <c r="E23" s="184"/>
      <c r="F23" s="184"/>
      <c r="G23" s="181"/>
      <c r="H23" s="181"/>
      <c r="I23" s="181"/>
      <c r="J23" s="181"/>
      <c r="K23" s="181"/>
      <c r="L23" s="181"/>
      <c r="M23" s="181"/>
      <c r="N23" s="184"/>
      <c r="O23" s="184"/>
      <c r="P23" s="184"/>
      <c r="Q23" s="184"/>
      <c r="R23" s="184"/>
      <c r="S23" s="184"/>
      <c r="T23" s="184"/>
      <c r="U23" s="181"/>
      <c r="V23" s="181"/>
      <c r="W23" s="181"/>
      <c r="X23" s="181"/>
      <c r="Y23" s="181"/>
      <c r="Z23" s="181"/>
      <c r="AA23" s="181"/>
      <c r="AB23" s="181"/>
      <c r="AC23" s="588"/>
      <c r="AD23" s="385"/>
      <c r="AE23" s="3281"/>
      <c r="AF23"/>
      <c r="AG23" s="2595"/>
      <c r="AH23" s="2595"/>
      <c r="AI23" s="2595"/>
      <c r="AJ23" s="2595"/>
      <c r="AK23" s="2595"/>
      <c r="AL23" s="2595"/>
      <c r="AM23" s="2595"/>
      <c r="AN23" s="2595"/>
      <c r="AO23" s="2595"/>
      <c r="AP23" s="2595"/>
    </row>
    <row r="24" spans="1:42" s="3402" customFormat="1" ht="18.75" customHeight="1">
      <c r="A24" s="588"/>
      <c r="B24" s="198"/>
      <c r="C24" s="1329"/>
      <c r="D24" s="5592" t="s">
        <v>2830</v>
      </c>
      <c r="E24" s="1329"/>
      <c r="F24" s="184"/>
      <c r="G24" s="184"/>
      <c r="H24" s="184"/>
      <c r="I24" s="184"/>
      <c r="J24" s="184"/>
      <c r="K24" s="184"/>
      <c r="L24" s="184"/>
      <c r="M24" s="184"/>
      <c r="N24" s="184"/>
      <c r="O24" s="184"/>
      <c r="P24" s="184"/>
      <c r="Q24" s="184"/>
      <c r="R24" s="184"/>
      <c r="S24" s="184"/>
      <c r="T24" s="184"/>
      <c r="U24" s="181"/>
      <c r="V24" s="181"/>
      <c r="W24" s="3213"/>
      <c r="X24" s="3214"/>
      <c r="Y24" s="3215"/>
      <c r="Z24" s="3215"/>
      <c r="AA24" s="3215"/>
      <c r="AB24" s="3215"/>
      <c r="AC24" s="588"/>
      <c r="AD24" s="385"/>
      <c r="AE24" s="588"/>
      <c r="AF24" s="1513"/>
      <c r="AG24" s="2595"/>
      <c r="AH24" s="2595"/>
      <c r="AI24" s="2595"/>
      <c r="AJ24" s="2595"/>
      <c r="AK24" s="2595"/>
      <c r="AL24" s="2595"/>
      <c r="AM24" s="2595"/>
      <c r="AN24" s="2595"/>
      <c r="AO24" s="2595"/>
      <c r="AP24" s="2595"/>
    </row>
    <row r="25" spans="1:42" s="3402" customFormat="1" ht="5.25" customHeight="1" thickBot="1">
      <c r="A25" s="588"/>
      <c r="B25" s="568"/>
      <c r="C25" s="1329"/>
      <c r="D25" s="1329"/>
      <c r="E25" s="1329"/>
      <c r="F25" s="273"/>
      <c r="G25" s="273"/>
      <c r="H25" s="273"/>
      <c r="I25" s="273"/>
      <c r="J25" s="273"/>
      <c r="K25" s="273"/>
      <c r="L25" s="273"/>
      <c r="M25" s="273"/>
      <c r="N25" s="273"/>
      <c r="O25" s="273"/>
      <c r="P25" s="273"/>
      <c r="Q25" s="273"/>
      <c r="R25" s="188"/>
      <c r="S25" s="188"/>
      <c r="T25" s="169"/>
      <c r="U25" s="179"/>
      <c r="V25" s="179"/>
      <c r="W25" s="184"/>
      <c r="X25" s="364"/>
      <c r="Y25" s="364"/>
      <c r="Z25" s="680"/>
      <c r="AA25" s="364"/>
      <c r="AB25" s="364"/>
      <c r="AC25" s="588"/>
      <c r="AD25" s="385"/>
      <c r="AE25" s="3280"/>
      <c r="AF25"/>
      <c r="AG25" s="2595"/>
      <c r="AH25" s="2595"/>
      <c r="AI25" s="2595"/>
      <c r="AJ25" s="2595"/>
      <c r="AK25" s="2595"/>
      <c r="AL25" s="2595"/>
      <c r="AM25" s="2595"/>
      <c r="AN25" s="2595"/>
      <c r="AO25" s="2595"/>
      <c r="AP25" s="2595"/>
    </row>
    <row r="26" spans="1:42" s="3402" customFormat="1" ht="15.75" thickTop="1">
      <c r="A26" s="588"/>
      <c r="B26" s="7559" t="s">
        <v>51</v>
      </c>
      <c r="C26" s="7560"/>
      <c r="D26" s="3571" t="s">
        <v>2831</v>
      </c>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588"/>
      <c r="AD26" s="3670" t="s">
        <v>91</v>
      </c>
      <c r="AE26" s="588"/>
      <c r="AF26"/>
      <c r="AG26" s="2595"/>
      <c r="AH26" s="2595"/>
      <c r="AI26" s="2595"/>
      <c r="AJ26" s="2595"/>
      <c r="AK26" s="2595"/>
      <c r="AL26" s="2595"/>
      <c r="AM26" s="2595"/>
      <c r="AN26" s="2595"/>
      <c r="AO26" s="2595"/>
      <c r="AP26" s="2595"/>
    </row>
    <row r="27" spans="1:42" s="3402" customFormat="1" ht="12" customHeight="1">
      <c r="A27" s="588"/>
      <c r="B27" s="3572" t="s">
        <v>2832</v>
      </c>
      <c r="C27" s="3573"/>
      <c r="D27" s="3573"/>
      <c r="E27" s="3574"/>
      <c r="F27" s="3574"/>
      <c r="G27" s="3575"/>
      <c r="H27" s="3576" t="str">
        <f>"And by the end of "&amp;TaxYear&amp;":"</f>
        <v>And by the end of 2021:</v>
      </c>
      <c r="I27" s="3575"/>
      <c r="J27" s="3575"/>
      <c r="K27" s="3575"/>
      <c r="L27" s="3575"/>
      <c r="M27" s="3575"/>
      <c r="N27" s="3574"/>
      <c r="O27" s="3574"/>
      <c r="P27" s="3574"/>
      <c r="Q27" s="3574"/>
      <c r="R27" s="3574"/>
      <c r="S27" s="3574"/>
      <c r="T27" s="3574"/>
      <c r="U27" s="3575"/>
      <c r="V27" s="3575"/>
      <c r="W27" s="3575"/>
      <c r="X27" s="3577"/>
      <c r="Y27" s="3578"/>
      <c r="Z27" s="3578"/>
      <c r="AA27" s="3577"/>
      <c r="AB27" s="3579" t="s">
        <v>2833</v>
      </c>
      <c r="AC27" s="588"/>
      <c r="AD27" s="385"/>
      <c r="AE27" s="588"/>
      <c r="AF27"/>
      <c r="AG27" s="2595"/>
      <c r="AH27" s="2595"/>
      <c r="AI27" s="2595"/>
      <c r="AJ27" s="2595"/>
      <c r="AK27" s="2595"/>
      <c r="AL27" s="2595"/>
      <c r="AM27" s="2595"/>
      <c r="AN27" s="2595"/>
      <c r="AO27" s="2595"/>
      <c r="AP27" s="2595"/>
    </row>
    <row r="28" spans="1:42" s="3402" customFormat="1" ht="12" customHeight="1">
      <c r="A28" s="588"/>
      <c r="B28" s="7562" t="b">
        <f>OR(File_Single&lt;&gt;"",File_Head&lt;&gt;"",File_Qual_Widow&lt;&gt;"")</f>
        <v>0</v>
      </c>
      <c r="C28" s="7562"/>
      <c r="D28" s="1329"/>
      <c r="E28" s="184"/>
      <c r="F28" s="184"/>
      <c r="G28" s="181"/>
      <c r="H28" s="3570"/>
      <c r="I28" s="181"/>
      <c r="J28" s="181"/>
      <c r="K28" s="181"/>
      <c r="L28" s="181"/>
      <c r="M28" s="181"/>
      <c r="N28" s="184"/>
      <c r="O28" s="184"/>
      <c r="P28" s="184"/>
      <c r="Q28" s="184"/>
      <c r="R28" s="184"/>
      <c r="S28" s="184"/>
      <c r="T28" s="184"/>
      <c r="U28" s="181"/>
      <c r="V28" s="181"/>
      <c r="W28" s="181"/>
      <c r="X28" s="2721"/>
      <c r="Y28" s="2722"/>
      <c r="Z28" s="2722"/>
      <c r="AA28" s="2721"/>
      <c r="AB28" s="2721"/>
      <c r="AC28" s="588"/>
      <c r="AD28" s="385"/>
      <c r="AE28" s="588"/>
      <c r="AF28"/>
      <c r="AG28" s="2595"/>
      <c r="AH28" s="2595"/>
      <c r="AI28" s="2595"/>
      <c r="AJ28" s="2595"/>
      <c r="AK28" s="2595"/>
      <c r="AL28" s="2595"/>
      <c r="AM28" s="2595"/>
      <c r="AN28" s="2595"/>
      <c r="AO28" s="2595"/>
      <c r="AP28" s="2595"/>
    </row>
    <row r="29" spans="1:42" s="3402" customFormat="1" ht="12" customHeight="1">
      <c r="A29" s="588"/>
      <c r="B29" s="273" t="s">
        <v>2834</v>
      </c>
      <c r="C29" s="1329"/>
      <c r="D29" s="1329"/>
      <c r="E29" s="184"/>
      <c r="F29" s="3580" t="s">
        <v>148</v>
      </c>
      <c r="G29" s="3570" t="s">
        <v>2836</v>
      </c>
      <c r="H29" s="3570"/>
      <c r="I29" s="181"/>
      <c r="J29" s="181"/>
      <c r="K29" s="181"/>
      <c r="L29" s="181"/>
      <c r="M29" s="181"/>
      <c r="N29" s="184"/>
      <c r="O29" s="184"/>
      <c r="P29" s="184"/>
      <c r="Q29" s="184"/>
      <c r="R29" s="184"/>
      <c r="S29" s="184"/>
      <c r="T29" s="184"/>
      <c r="U29" s="181"/>
      <c r="V29" s="181"/>
      <c r="W29" s="181"/>
      <c r="X29" s="596" t="s">
        <v>2395</v>
      </c>
      <c r="Y29" s="3580" t="s">
        <v>148</v>
      </c>
      <c r="Z29" s="2722"/>
      <c r="AA29" s="4669" t="str">
        <f>IF(OR($AD$34=1,AND($AD$34="",B28,YouR65)),"X","")</f>
        <v/>
      </c>
      <c r="AB29" s="2721"/>
      <c r="AC29" s="588"/>
      <c r="AD29" s="385"/>
      <c r="AE29" s="588"/>
      <c r="AF29"/>
      <c r="AG29" s="2595"/>
      <c r="AH29" s="2595"/>
      <c r="AI29" s="2595"/>
      <c r="AJ29" s="2595"/>
      <c r="AK29" s="2595"/>
      <c r="AL29" s="2595"/>
      <c r="AM29" s="2595"/>
      <c r="AN29" s="2595"/>
      <c r="AO29" s="2595"/>
      <c r="AP29" s="2595"/>
    </row>
    <row r="30" spans="1:42" s="3402" customFormat="1" ht="12" customHeight="1">
      <c r="A30" s="588"/>
      <c r="B30" s="273" t="s">
        <v>2835</v>
      </c>
      <c r="C30" s="1329"/>
      <c r="D30" s="1329"/>
      <c r="E30" s="184"/>
      <c r="F30" s="184"/>
      <c r="G30" s="181"/>
      <c r="H30" s="3570"/>
      <c r="I30" s="181"/>
      <c r="J30" s="181"/>
      <c r="K30" s="181"/>
      <c r="L30" s="181"/>
      <c r="M30" s="181"/>
      <c r="N30" s="184"/>
      <c r="O30" s="184"/>
      <c r="P30" s="184"/>
      <c r="Q30" s="184"/>
      <c r="R30" s="184"/>
      <c r="S30" s="184"/>
      <c r="T30" s="184"/>
      <c r="U30" s="181"/>
      <c r="V30" s="181"/>
      <c r="W30" s="181"/>
      <c r="X30" s="2721"/>
      <c r="Y30" s="2722"/>
      <c r="Z30" s="2722"/>
      <c r="AA30" s="2721"/>
      <c r="AB30" s="2721"/>
      <c r="AC30" s="588"/>
      <c r="AD30" s="3671" t="s">
        <v>2914</v>
      </c>
      <c r="AE30" s="588"/>
      <c r="AF30"/>
      <c r="AG30" s="2595"/>
      <c r="AH30" s="2595"/>
      <c r="AI30" s="2595"/>
      <c r="AJ30" s="2595"/>
      <c r="AK30" s="2595"/>
      <c r="AL30" s="2595"/>
      <c r="AM30" s="2595"/>
      <c r="AN30" s="2595"/>
      <c r="AO30" s="2595"/>
      <c r="AP30" s="2595"/>
    </row>
    <row r="31" spans="1:42" s="3402" customFormat="1" ht="12" customHeight="1">
      <c r="A31" s="588"/>
      <c r="B31" s="273" t="s">
        <v>417</v>
      </c>
      <c r="C31" s="1329"/>
      <c r="D31" s="1329"/>
      <c r="E31" s="184"/>
      <c r="F31" s="3580" t="s">
        <v>149</v>
      </c>
      <c r="G31" s="3570" t="s">
        <v>2837</v>
      </c>
      <c r="H31" s="3570"/>
      <c r="I31" s="181"/>
      <c r="J31" s="181"/>
      <c r="K31" s="181"/>
      <c r="L31" s="181"/>
      <c r="M31" s="181"/>
      <c r="N31" s="184"/>
      <c r="O31" s="184"/>
      <c r="P31" s="184"/>
      <c r="Q31" s="184"/>
      <c r="R31" s="184"/>
      <c r="S31" s="184"/>
      <c r="T31" s="184"/>
      <c r="U31" s="181"/>
      <c r="V31" s="181"/>
      <c r="W31" s="181"/>
      <c r="X31" s="596" t="s">
        <v>1978</v>
      </c>
      <c r="Y31" s="3580" t="s">
        <v>149</v>
      </c>
      <c r="Z31" s="2722"/>
      <c r="AA31" s="4669" t="str">
        <f>IF(OR($AD$34=2,AND($AD$34="",B28,I6,I8)),"X","")</f>
        <v/>
      </c>
      <c r="AB31" s="2721"/>
      <c r="AC31" s="588"/>
      <c r="AD31" s="3671" t="s">
        <v>2916</v>
      </c>
      <c r="AE31" s="588"/>
      <c r="AF31"/>
      <c r="AG31" s="2595"/>
      <c r="AH31" s="2595"/>
      <c r="AI31" s="2595"/>
      <c r="AJ31" s="2595"/>
      <c r="AK31" s="2595"/>
      <c r="AL31" s="2595"/>
      <c r="AM31" s="2595"/>
      <c r="AN31" s="2595"/>
      <c r="AO31" s="2595"/>
      <c r="AP31" s="2595"/>
    </row>
    <row r="32" spans="1:42" s="3402" customFormat="1" ht="12" customHeight="1">
      <c r="A32" s="588"/>
      <c r="B32" s="627"/>
      <c r="C32" s="1916"/>
      <c r="D32" s="1916"/>
      <c r="E32" s="216"/>
      <c r="F32" s="216"/>
      <c r="G32" s="3581"/>
      <c r="H32" s="3582"/>
      <c r="I32" s="3581"/>
      <c r="J32" s="3581"/>
      <c r="K32" s="3581"/>
      <c r="L32" s="3581"/>
      <c r="M32" s="3581"/>
      <c r="N32" s="216"/>
      <c r="O32" s="216"/>
      <c r="P32" s="216"/>
      <c r="Q32" s="216"/>
      <c r="R32" s="216"/>
      <c r="S32" s="216"/>
      <c r="T32" s="216"/>
      <c r="U32" s="3581"/>
      <c r="V32" s="3581"/>
      <c r="W32" s="3581"/>
      <c r="X32" s="3583"/>
      <c r="Y32" s="3584"/>
      <c r="Z32" s="3584"/>
      <c r="AA32" s="3583"/>
      <c r="AB32" s="3583"/>
      <c r="AC32" s="588"/>
      <c r="AD32" s="3671" t="s">
        <v>2915</v>
      </c>
      <c r="AE32" s="588"/>
      <c r="AF32"/>
      <c r="AG32" s="2595"/>
      <c r="AH32" s="2595"/>
      <c r="AI32" s="2595"/>
      <c r="AJ32" s="2595"/>
      <c r="AK32" s="2595"/>
      <c r="AL32" s="2595"/>
      <c r="AM32" s="2595"/>
      <c r="AN32" s="2595"/>
      <c r="AO32" s="2595"/>
      <c r="AP32" s="2595"/>
    </row>
    <row r="33" spans="1:42" s="3402" customFormat="1" ht="12" customHeight="1" thickBot="1">
      <c r="A33" s="588"/>
      <c r="B33" s="3568"/>
      <c r="C33" s="3585"/>
      <c r="D33" s="3585"/>
      <c r="E33" s="1498"/>
      <c r="F33" s="1498"/>
      <c r="G33" s="1499"/>
      <c r="H33" s="3586"/>
      <c r="I33" s="1499"/>
      <c r="J33" s="1499"/>
      <c r="K33" s="1499"/>
      <c r="L33" s="1499"/>
      <c r="M33" s="1499"/>
      <c r="N33" s="1498"/>
      <c r="O33" s="1498"/>
      <c r="P33" s="1498"/>
      <c r="Q33" s="1498"/>
      <c r="R33" s="1498"/>
      <c r="S33" s="1498"/>
      <c r="T33" s="1498"/>
      <c r="U33" s="1499"/>
      <c r="V33" s="1499"/>
      <c r="W33" s="1499"/>
      <c r="X33" s="3587"/>
      <c r="Y33" s="3588"/>
      <c r="Z33" s="3588"/>
      <c r="AA33" s="3587"/>
      <c r="AB33" s="3587"/>
      <c r="AC33" s="588"/>
      <c r="AD33" s="3671" t="s">
        <v>2913</v>
      </c>
      <c r="AE33" s="588"/>
      <c r="AF33"/>
      <c r="AG33" s="2595"/>
      <c r="AH33" s="2595"/>
      <c r="AI33" s="2595"/>
      <c r="AJ33" s="2595"/>
      <c r="AK33" s="2595"/>
      <c r="AL33" s="2595"/>
      <c r="AM33" s="2595"/>
      <c r="AN33" s="2595"/>
      <c r="AO33" s="2595"/>
      <c r="AP33" s="2595"/>
    </row>
    <row r="34" spans="1:42" s="3402" customFormat="1" ht="12" customHeight="1" thickBot="1">
      <c r="A34" s="588"/>
      <c r="B34" s="273"/>
      <c r="C34" s="1329"/>
      <c r="D34" s="1329"/>
      <c r="E34" s="184"/>
      <c r="F34" s="3580" t="s">
        <v>150</v>
      </c>
      <c r="G34" s="3570" t="s">
        <v>2838</v>
      </c>
      <c r="H34" s="3570"/>
      <c r="I34" s="181"/>
      <c r="J34" s="181"/>
      <c r="K34" s="181"/>
      <c r="L34" s="181"/>
      <c r="M34" s="181"/>
      <c r="N34" s="184"/>
      <c r="O34" s="184"/>
      <c r="P34" s="184"/>
      <c r="Q34" s="184"/>
      <c r="R34" s="184"/>
      <c r="S34" s="184"/>
      <c r="T34" s="184"/>
      <c r="U34" s="181"/>
      <c r="V34" s="181"/>
      <c r="W34" s="181"/>
      <c r="X34" s="596" t="s">
        <v>2027</v>
      </c>
      <c r="Y34" s="3580" t="s">
        <v>150</v>
      </c>
      <c r="Z34" s="2722"/>
      <c r="AA34" s="4669" t="str">
        <f>IF(OR($AD$34=3,AND($AD$34="",B38,YouR65,SpouseIs65)),"X","")</f>
        <v/>
      </c>
      <c r="AB34" s="2721"/>
      <c r="AC34" s="588"/>
      <c r="AD34" s="4039"/>
      <c r="AE34" s="588"/>
      <c r="AF34"/>
      <c r="AG34" s="2595"/>
      <c r="AH34" s="2595"/>
      <c r="AI34" s="2595"/>
      <c r="AJ34" s="2595"/>
      <c r="AK34" s="2595"/>
      <c r="AL34" s="2595"/>
      <c r="AM34" s="2595"/>
      <c r="AN34" s="2595"/>
      <c r="AO34" s="2595"/>
      <c r="AP34" s="2595"/>
    </row>
    <row r="35" spans="1:42" s="3402" customFormat="1" ht="12" customHeight="1">
      <c r="A35" s="588"/>
      <c r="B35" s="273"/>
      <c r="C35" s="1329"/>
      <c r="D35" s="1329"/>
      <c r="E35" s="184"/>
      <c r="F35" s="184"/>
      <c r="G35" s="181"/>
      <c r="H35" s="3570"/>
      <c r="I35" s="181"/>
      <c r="J35" s="181"/>
      <c r="K35" s="181"/>
      <c r="L35" s="181"/>
      <c r="M35" s="181"/>
      <c r="N35" s="184"/>
      <c r="O35" s="184"/>
      <c r="P35" s="184"/>
      <c r="Q35" s="184"/>
      <c r="R35" s="184"/>
      <c r="S35" s="184"/>
      <c r="T35" s="184"/>
      <c r="U35" s="181"/>
      <c r="V35" s="181"/>
      <c r="W35" s="181"/>
      <c r="X35" s="2721"/>
      <c r="Y35" s="2722"/>
      <c r="Z35" s="2722"/>
      <c r="AA35" s="2721"/>
      <c r="AB35" s="2721"/>
      <c r="AC35" s="588"/>
      <c r="AD35" s="385"/>
      <c r="AE35" s="588"/>
      <c r="AF35"/>
      <c r="AG35" s="2595"/>
      <c r="AH35" s="2595"/>
      <c r="AI35" s="2595"/>
      <c r="AJ35" s="2595"/>
      <c r="AK35" s="2595"/>
      <c r="AL35" s="2595"/>
      <c r="AM35" s="2595"/>
      <c r="AN35" s="2595"/>
      <c r="AO35" s="2595"/>
      <c r="AP35" s="2595"/>
    </row>
    <row r="36" spans="1:42" s="3402" customFormat="1" ht="12" customHeight="1">
      <c r="A36" s="588"/>
      <c r="B36" s="273"/>
      <c r="C36" s="1329"/>
      <c r="D36" s="1329"/>
      <c r="E36" s="184"/>
      <c r="F36" s="3580" t="s">
        <v>151</v>
      </c>
      <c r="G36" s="3570" t="s">
        <v>2839</v>
      </c>
      <c r="H36" s="3570"/>
      <c r="I36" s="181"/>
      <c r="J36" s="181"/>
      <c r="K36" s="181"/>
      <c r="L36" s="181"/>
      <c r="M36" s="181"/>
      <c r="N36" s="184"/>
      <c r="O36" s="184"/>
      <c r="P36" s="184"/>
      <c r="Q36" s="184"/>
      <c r="R36" s="184"/>
      <c r="S36" s="184"/>
      <c r="T36" s="184"/>
      <c r="U36" s="181"/>
      <c r="V36" s="181"/>
      <c r="W36" s="181"/>
      <c r="X36" s="2721"/>
      <c r="Y36" s="2722"/>
      <c r="Z36" s="2722"/>
      <c r="AA36" s="2721"/>
      <c r="AB36" s="2721"/>
      <c r="AC36" s="588"/>
      <c r="AD36" s="385"/>
      <c r="AE36" s="588"/>
      <c r="AF36"/>
      <c r="AG36" s="2595"/>
      <c r="AH36" s="2595"/>
      <c r="AI36" s="2595"/>
      <c r="AJ36" s="2595"/>
      <c r="AK36" s="2595"/>
      <c r="AL36" s="2595"/>
      <c r="AM36" s="2595"/>
      <c r="AN36" s="2595"/>
      <c r="AO36" s="2595"/>
      <c r="AP36" s="2595"/>
    </row>
    <row r="37" spans="1:42" s="3402" customFormat="1" ht="12" customHeight="1">
      <c r="A37" s="588"/>
      <c r="B37" s="273"/>
      <c r="C37" s="1329"/>
      <c r="D37" s="1329"/>
      <c r="E37" s="184"/>
      <c r="F37" s="184"/>
      <c r="G37" s="3570" t="s">
        <v>2840</v>
      </c>
      <c r="H37" s="3570"/>
      <c r="I37" s="181"/>
      <c r="J37" s="181"/>
      <c r="K37" s="181"/>
      <c r="L37" s="181"/>
      <c r="M37" s="181"/>
      <c r="N37" s="184"/>
      <c r="O37" s="184"/>
      <c r="P37" s="184"/>
      <c r="Q37" s="184"/>
      <c r="R37" s="184"/>
      <c r="S37" s="184"/>
      <c r="T37" s="184"/>
      <c r="U37" s="181"/>
      <c r="V37" s="181"/>
      <c r="W37" s="181"/>
      <c r="X37" s="596" t="s">
        <v>3348</v>
      </c>
      <c r="Y37" s="3580" t="s">
        <v>151</v>
      </c>
      <c r="Z37" s="2722"/>
      <c r="AA37" s="4669" t="str">
        <f>IF(OR($AD$34=4,AND($AD$34="",B38,I4,P4,R8)),"X","")</f>
        <v/>
      </c>
      <c r="AB37" s="2721"/>
      <c r="AC37" s="588"/>
      <c r="AD37" s="385"/>
      <c r="AE37" s="588"/>
      <c r="AF37"/>
      <c r="AG37" s="2595"/>
      <c r="AH37" s="2595"/>
      <c r="AI37" s="2595"/>
      <c r="AJ37" s="2595"/>
      <c r="AK37" s="2595"/>
      <c r="AL37" s="2595"/>
      <c r="AM37" s="2595"/>
      <c r="AN37" s="2595"/>
      <c r="AO37" s="2595"/>
      <c r="AP37" s="2595"/>
    </row>
    <row r="38" spans="1:42" s="3402" customFormat="1" ht="12" customHeight="1">
      <c r="A38" s="588"/>
      <c r="B38" s="7561" t="b">
        <f>File_Marr_Joint&lt;&gt;""</f>
        <v>0</v>
      </c>
      <c r="C38" s="7561"/>
      <c r="D38" s="1329"/>
      <c r="E38" s="184"/>
      <c r="F38" s="184"/>
      <c r="G38" s="181"/>
      <c r="H38" s="3570"/>
      <c r="I38" s="181"/>
      <c r="J38" s="181"/>
      <c r="K38" s="181"/>
      <c r="L38" s="181"/>
      <c r="M38" s="181"/>
      <c r="N38" s="184"/>
      <c r="O38" s="184"/>
      <c r="P38" s="184"/>
      <c r="Q38" s="184"/>
      <c r="R38" s="184"/>
      <c r="S38" s="184"/>
      <c r="T38" s="184"/>
      <c r="U38" s="181"/>
      <c r="V38" s="181"/>
      <c r="W38" s="181"/>
      <c r="X38" s="2721"/>
      <c r="Y38" s="2722"/>
      <c r="Z38" s="2722"/>
      <c r="AA38" s="2721"/>
      <c r="AB38" s="2721"/>
      <c r="AC38" s="588"/>
      <c r="AD38" s="385"/>
      <c r="AE38" s="588"/>
      <c r="AF38"/>
      <c r="AG38" s="2595"/>
      <c r="AH38" s="2595"/>
      <c r="AI38" s="2595"/>
      <c r="AJ38" s="2595"/>
      <c r="AK38" s="2595"/>
      <c r="AL38" s="2595"/>
      <c r="AM38" s="2595"/>
      <c r="AN38" s="2595"/>
      <c r="AO38" s="2595"/>
      <c r="AP38" s="2595"/>
    </row>
    <row r="39" spans="1:42" s="3402" customFormat="1" ht="12" customHeight="1">
      <c r="A39" s="588"/>
      <c r="B39" s="273" t="s">
        <v>2847</v>
      </c>
      <c r="C39" s="1329"/>
      <c r="D39" s="1329"/>
      <c r="E39" s="184"/>
      <c r="F39" s="3580" t="s">
        <v>200</v>
      </c>
      <c r="G39" s="3570" t="s">
        <v>2841</v>
      </c>
      <c r="H39" s="3570"/>
      <c r="I39" s="181"/>
      <c r="J39" s="181"/>
      <c r="K39" s="181"/>
      <c r="L39" s="181"/>
      <c r="M39" s="181"/>
      <c r="N39" s="184"/>
      <c r="O39" s="184"/>
      <c r="P39" s="184"/>
      <c r="Q39" s="184"/>
      <c r="R39" s="184"/>
      <c r="S39" s="184"/>
      <c r="T39" s="184"/>
      <c r="U39" s="181"/>
      <c r="V39" s="181"/>
      <c r="W39" s="181"/>
      <c r="X39" s="2721"/>
      <c r="Y39" s="2722"/>
      <c r="Z39" s="2722"/>
      <c r="AA39" s="2721"/>
      <c r="AB39" s="2721"/>
      <c r="AC39" s="588"/>
      <c r="AD39" s="385"/>
      <c r="AE39" s="588"/>
      <c r="AF39"/>
      <c r="AG39" s="2595"/>
      <c r="AH39" s="2595"/>
      <c r="AI39" s="2595"/>
      <c r="AJ39" s="2595"/>
      <c r="AK39" s="2595"/>
      <c r="AL39" s="2595"/>
      <c r="AM39" s="2595"/>
      <c r="AN39" s="2595"/>
      <c r="AO39" s="2595"/>
      <c r="AP39" s="2595"/>
    </row>
    <row r="40" spans="1:42" s="3402" customFormat="1" ht="12" customHeight="1">
      <c r="A40" s="588"/>
      <c r="B40" s="273" t="s">
        <v>2848</v>
      </c>
      <c r="C40" s="1329"/>
      <c r="D40" s="1329"/>
      <c r="E40" s="184"/>
      <c r="F40" s="184"/>
      <c r="G40" s="3570" t="s">
        <v>2842</v>
      </c>
      <c r="H40" s="3570"/>
      <c r="I40" s="181"/>
      <c r="J40" s="181"/>
      <c r="K40" s="181"/>
      <c r="L40" s="181"/>
      <c r="M40" s="181"/>
      <c r="N40" s="184"/>
      <c r="O40" s="184"/>
      <c r="P40" s="184"/>
      <c r="Q40" s="184"/>
      <c r="R40" s="184"/>
      <c r="S40" s="184"/>
      <c r="T40" s="184"/>
      <c r="U40" s="181"/>
      <c r="V40" s="181"/>
      <c r="W40" s="181"/>
      <c r="X40" s="596" t="s">
        <v>2524</v>
      </c>
      <c r="Y40" s="3580" t="s">
        <v>200</v>
      </c>
      <c r="Z40" s="2722"/>
      <c r="AA40" s="4669" t="str">
        <f>IF(OR($AD$34=5,AND($AD$34="",B38,I4,P4,I8,P8)),"X","")</f>
        <v/>
      </c>
      <c r="AB40" s="2721"/>
      <c r="AC40" s="588"/>
      <c r="AD40" s="385"/>
      <c r="AE40" s="588"/>
      <c r="AF40"/>
      <c r="AG40" s="2595"/>
      <c r="AH40" s="2595"/>
      <c r="AI40" s="2595"/>
      <c r="AJ40" s="2595"/>
      <c r="AK40" s="2595"/>
      <c r="AL40" s="2595"/>
      <c r="AM40" s="2595"/>
      <c r="AN40" s="2595"/>
      <c r="AO40" s="2595"/>
      <c r="AP40" s="2595"/>
    </row>
    <row r="41" spans="1:42" s="3402" customFormat="1" ht="12" customHeight="1">
      <c r="A41" s="588"/>
      <c r="B41" s="273"/>
      <c r="C41" s="1329"/>
      <c r="D41" s="1329"/>
      <c r="E41" s="184"/>
      <c r="F41" s="184"/>
      <c r="G41" s="181"/>
      <c r="H41" s="3570"/>
      <c r="I41" s="181"/>
      <c r="J41" s="181"/>
      <c r="K41" s="181"/>
      <c r="L41" s="181"/>
      <c r="M41" s="181"/>
      <c r="N41" s="184"/>
      <c r="O41" s="184"/>
      <c r="P41" s="184"/>
      <c r="Q41" s="184"/>
      <c r="R41" s="184"/>
      <c r="S41" s="184"/>
      <c r="T41" s="184"/>
      <c r="U41" s="181"/>
      <c r="V41" s="181"/>
      <c r="W41" s="181"/>
      <c r="X41" s="2721"/>
      <c r="Y41" s="2722"/>
      <c r="Z41" s="2722"/>
      <c r="AA41" s="2721"/>
      <c r="AB41" s="2721"/>
      <c r="AC41" s="588"/>
      <c r="AD41" s="385"/>
      <c r="AE41" s="588"/>
      <c r="AF41"/>
      <c r="AG41" s="2595"/>
      <c r="AH41" s="2595"/>
      <c r="AI41" s="2595"/>
      <c r="AJ41" s="2595"/>
      <c r="AK41" s="2595"/>
      <c r="AL41" s="2595"/>
      <c r="AM41" s="2595"/>
      <c r="AN41" s="2595"/>
      <c r="AO41" s="2595"/>
      <c r="AP41" s="2595"/>
    </row>
    <row r="42" spans="1:42" s="3402" customFormat="1" ht="12" customHeight="1">
      <c r="A42" s="588"/>
      <c r="B42" s="273"/>
      <c r="C42" s="1329"/>
      <c r="D42" s="1329"/>
      <c r="E42" s="184"/>
      <c r="F42" s="3580" t="s">
        <v>101</v>
      </c>
      <c r="G42" s="3570" t="s">
        <v>2843</v>
      </c>
      <c r="H42" s="3570"/>
      <c r="I42" s="181"/>
      <c r="J42" s="181"/>
      <c r="K42" s="181"/>
      <c r="L42" s="181"/>
      <c r="M42" s="181"/>
      <c r="N42" s="184"/>
      <c r="O42" s="184"/>
      <c r="P42" s="184"/>
      <c r="Q42" s="184"/>
      <c r="R42" s="184"/>
      <c r="S42" s="184"/>
      <c r="T42" s="184"/>
      <c r="U42" s="181"/>
      <c r="V42" s="181"/>
      <c r="W42" s="181"/>
      <c r="X42" s="2721"/>
      <c r="Y42" s="2722"/>
      <c r="Z42" s="2722"/>
      <c r="AA42" s="2721"/>
      <c r="AB42" s="2721"/>
      <c r="AC42" s="588"/>
      <c r="AD42" s="385"/>
      <c r="AE42" s="588"/>
      <c r="AF42"/>
      <c r="AG42" s="2595"/>
      <c r="AH42" s="2595"/>
      <c r="AI42" s="2595"/>
      <c r="AJ42" s="2595"/>
      <c r="AK42" s="2595"/>
      <c r="AL42" s="2595"/>
      <c r="AM42" s="2595"/>
      <c r="AN42" s="2595"/>
      <c r="AO42" s="2595"/>
      <c r="AP42" s="2595"/>
    </row>
    <row r="43" spans="1:42" s="3402" customFormat="1" ht="12" customHeight="1">
      <c r="A43" s="588"/>
      <c r="B43" s="273"/>
      <c r="C43" s="1329"/>
      <c r="D43" s="1329"/>
      <c r="E43" s="184"/>
      <c r="F43" s="184"/>
      <c r="G43" s="3570" t="s">
        <v>2844</v>
      </c>
      <c r="H43" s="3570"/>
      <c r="I43" s="181"/>
      <c r="J43" s="181"/>
      <c r="K43" s="181"/>
      <c r="L43" s="181"/>
      <c r="M43" s="181"/>
      <c r="N43" s="184"/>
      <c r="O43" s="184"/>
      <c r="P43" s="184"/>
      <c r="Q43" s="184"/>
      <c r="R43" s="184"/>
      <c r="S43" s="184"/>
      <c r="T43" s="184"/>
      <c r="U43" s="181"/>
      <c r="V43" s="181"/>
      <c r="W43" s="181"/>
      <c r="X43" s="596" t="s">
        <v>2515</v>
      </c>
      <c r="Y43" s="3580" t="s">
        <v>101</v>
      </c>
      <c r="Z43" s="2722"/>
      <c r="AA43" s="4669" t="str">
        <f>IF(OR($AD$34=6,AND($AD$34="",B38,R4,OR(I8,P8))),"X","")</f>
        <v/>
      </c>
      <c r="AB43" s="2721"/>
      <c r="AC43" s="588"/>
      <c r="AD43" s="385"/>
      <c r="AE43" s="588"/>
      <c r="AF43"/>
      <c r="AG43" s="2595"/>
      <c r="AH43" s="2595"/>
      <c r="AI43" s="2595"/>
      <c r="AJ43" s="2595"/>
      <c r="AK43" s="2595"/>
      <c r="AL43" s="2595"/>
      <c r="AM43" s="2595"/>
      <c r="AN43" s="2595"/>
      <c r="AO43" s="2595"/>
      <c r="AP43" s="2595"/>
    </row>
    <row r="44" spans="1:42" s="3402" customFormat="1" ht="12" customHeight="1">
      <c r="A44" s="588"/>
      <c r="B44" s="273"/>
      <c r="C44" s="1329"/>
      <c r="D44" s="1329"/>
      <c r="E44" s="184"/>
      <c r="F44" s="184"/>
      <c r="G44" s="3570"/>
      <c r="H44" s="3570"/>
      <c r="I44" s="181"/>
      <c r="J44" s="181"/>
      <c r="K44" s="181"/>
      <c r="L44" s="181"/>
      <c r="M44" s="181"/>
      <c r="N44" s="184"/>
      <c r="O44" s="184"/>
      <c r="P44" s="184"/>
      <c r="Q44" s="184"/>
      <c r="R44" s="184"/>
      <c r="S44" s="184"/>
      <c r="T44" s="184"/>
      <c r="U44" s="181"/>
      <c r="V44" s="181"/>
      <c r="W44" s="181"/>
      <c r="X44" s="2721"/>
      <c r="Y44" s="3580"/>
      <c r="Z44" s="2722"/>
      <c r="AA44" s="2721"/>
      <c r="AB44" s="2721"/>
      <c r="AC44" s="588"/>
      <c r="AD44" s="385"/>
      <c r="AE44" s="588"/>
      <c r="AF44"/>
      <c r="AG44" s="2595"/>
      <c r="AH44" s="2595"/>
      <c r="AI44" s="2595"/>
      <c r="AJ44" s="2595"/>
      <c r="AK44" s="2595"/>
      <c r="AL44" s="2595"/>
      <c r="AM44" s="2595"/>
      <c r="AN44" s="2595"/>
      <c r="AO44" s="2595"/>
      <c r="AP44" s="2595"/>
    </row>
    <row r="45" spans="1:42" s="3402" customFormat="1" ht="12" customHeight="1">
      <c r="A45" s="588"/>
      <c r="B45" s="273"/>
      <c r="C45" s="1329"/>
      <c r="D45" s="1329"/>
      <c r="E45" s="184"/>
      <c r="F45" s="3580" t="s">
        <v>102</v>
      </c>
      <c r="G45" s="3570" t="s">
        <v>2845</v>
      </c>
      <c r="H45" s="3570"/>
      <c r="I45" s="181"/>
      <c r="J45" s="181"/>
      <c r="K45" s="181"/>
      <c r="L45" s="181"/>
      <c r="M45" s="181"/>
      <c r="N45" s="184"/>
      <c r="O45" s="184"/>
      <c r="P45" s="184"/>
      <c r="Q45" s="184"/>
      <c r="R45" s="184"/>
      <c r="S45" s="184"/>
      <c r="T45" s="184"/>
      <c r="U45" s="181"/>
      <c r="V45" s="181"/>
      <c r="W45" s="181"/>
      <c r="X45" s="2721"/>
      <c r="Y45" s="3580"/>
      <c r="Z45" s="2722"/>
      <c r="AA45" s="2721"/>
      <c r="AB45" s="2721"/>
      <c r="AC45" s="588"/>
      <c r="AD45" s="385"/>
      <c r="AE45" s="588"/>
      <c r="AF45"/>
      <c r="AG45" s="2595"/>
      <c r="AH45" s="2595"/>
      <c r="AI45" s="2595"/>
      <c r="AJ45" s="2595"/>
      <c r="AK45" s="2595"/>
      <c r="AL45" s="2595"/>
      <c r="AM45" s="2595"/>
      <c r="AN45" s="2595"/>
      <c r="AO45" s="2595"/>
      <c r="AP45" s="2595"/>
    </row>
    <row r="46" spans="1:42" s="3402" customFormat="1" ht="12" customHeight="1">
      <c r="A46" s="588"/>
      <c r="B46" s="273"/>
      <c r="C46" s="1329"/>
      <c r="D46" s="1329"/>
      <c r="E46" s="184"/>
      <c r="F46" s="184"/>
      <c r="G46" s="3570" t="s">
        <v>2846</v>
      </c>
      <c r="H46" s="3570"/>
      <c r="I46" s="181"/>
      <c r="J46" s="181"/>
      <c r="K46" s="181"/>
      <c r="L46" s="181"/>
      <c r="M46" s="181"/>
      <c r="N46" s="184"/>
      <c r="O46" s="184"/>
      <c r="P46" s="184"/>
      <c r="Q46" s="184"/>
      <c r="R46" s="184"/>
      <c r="S46" s="184"/>
      <c r="T46" s="184"/>
      <c r="U46" s="181"/>
      <c r="V46" s="181"/>
      <c r="W46" s="181"/>
      <c r="X46" s="596" t="s">
        <v>644</v>
      </c>
      <c r="Y46" s="3580" t="s">
        <v>102</v>
      </c>
      <c r="Z46" s="2722"/>
      <c r="AA46" s="4669" t="str">
        <f>IF(OR($AD$34=7,AND($AD$34="",B38,R4,NOT(I8),NOT(P8))),"X","")</f>
        <v/>
      </c>
      <c r="AB46" s="2721"/>
      <c r="AC46" s="588"/>
      <c r="AD46" s="385"/>
      <c r="AE46" s="588"/>
      <c r="AF46"/>
      <c r="AG46" s="2595"/>
      <c r="AH46" s="2595"/>
      <c r="AI46" s="2595"/>
      <c r="AJ46" s="2595"/>
      <c r="AK46" s="2595"/>
      <c r="AL46" s="2595"/>
      <c r="AM46" s="2595"/>
      <c r="AN46" s="2595"/>
      <c r="AO46" s="2595"/>
      <c r="AP46" s="2595"/>
    </row>
    <row r="47" spans="1:42" s="3402" customFormat="1" ht="12" customHeight="1">
      <c r="A47" s="588"/>
      <c r="B47" s="627"/>
      <c r="C47" s="1916"/>
      <c r="D47" s="1916"/>
      <c r="E47" s="216"/>
      <c r="F47" s="216"/>
      <c r="G47" s="3581"/>
      <c r="H47" s="3582"/>
      <c r="I47" s="3581"/>
      <c r="J47" s="3581"/>
      <c r="K47" s="3581"/>
      <c r="L47" s="3581"/>
      <c r="M47" s="3581"/>
      <c r="N47" s="216"/>
      <c r="O47" s="216"/>
      <c r="P47" s="216"/>
      <c r="Q47" s="216"/>
      <c r="R47" s="216"/>
      <c r="S47" s="216"/>
      <c r="T47" s="216"/>
      <c r="U47" s="3581"/>
      <c r="V47" s="3581"/>
      <c r="W47" s="3581"/>
      <c r="X47" s="3583"/>
      <c r="Y47" s="3584"/>
      <c r="Z47" s="3584"/>
      <c r="AA47" s="3583"/>
      <c r="AB47" s="3583"/>
      <c r="AC47" s="588"/>
      <c r="AD47" s="385"/>
      <c r="AE47" s="588"/>
      <c r="AF47"/>
      <c r="AG47" s="2595"/>
      <c r="AH47" s="2595"/>
      <c r="AI47" s="2595"/>
      <c r="AJ47" s="2595"/>
      <c r="AK47" s="2595"/>
      <c r="AL47" s="2595"/>
      <c r="AM47" s="2595"/>
      <c r="AN47" s="2595"/>
      <c r="AO47" s="2595"/>
      <c r="AP47" s="2595"/>
    </row>
    <row r="48" spans="1:42" s="3402" customFormat="1" ht="12" customHeight="1">
      <c r="A48" s="588"/>
      <c r="B48" s="3568"/>
      <c r="C48" s="3585"/>
      <c r="D48" s="3585"/>
      <c r="E48" s="1498"/>
      <c r="F48" s="1498"/>
      <c r="G48" s="1499"/>
      <c r="H48" s="3586"/>
      <c r="I48" s="1499"/>
      <c r="J48" s="1499"/>
      <c r="K48" s="1499"/>
      <c r="L48" s="1499"/>
      <c r="M48" s="1499"/>
      <c r="N48" s="1498"/>
      <c r="O48" s="1498"/>
      <c r="P48" s="1498"/>
      <c r="Q48" s="1498"/>
      <c r="R48" s="1498"/>
      <c r="S48" s="1498"/>
      <c r="T48" s="1498"/>
      <c r="U48" s="1499"/>
      <c r="V48" s="1499"/>
      <c r="W48" s="1499"/>
      <c r="X48" s="3587"/>
      <c r="Y48" s="3588"/>
      <c r="Z48" s="3588"/>
      <c r="AA48" s="3587"/>
      <c r="AB48" s="3587"/>
      <c r="AC48" s="588"/>
      <c r="AD48" s="385"/>
      <c r="AE48" s="588"/>
      <c r="AF48"/>
      <c r="AG48" s="2595"/>
      <c r="AH48" s="2595"/>
      <c r="AI48" s="2595"/>
      <c r="AJ48" s="2595"/>
      <c r="AK48" s="2595"/>
      <c r="AL48" s="2595"/>
      <c r="AM48" s="2595"/>
      <c r="AN48" s="2595"/>
      <c r="AO48" s="2595"/>
      <c r="AP48" s="2595"/>
    </row>
    <row r="49" spans="1:42" s="3402" customFormat="1" ht="12" customHeight="1">
      <c r="A49" s="588"/>
      <c r="B49" s="7561" t="b">
        <f>File_Marr_Sep&lt;&gt;""</f>
        <v>0</v>
      </c>
      <c r="C49" s="7561"/>
      <c r="D49" s="1329"/>
      <c r="E49" s="184"/>
      <c r="F49" s="3580" t="s">
        <v>103</v>
      </c>
      <c r="G49" s="3570" t="str">
        <f>"You were 65 or older and you lived apart from your spouse for all of "&amp;TaxYear</f>
        <v>You were 65 or older and you lived apart from your spouse for all of 2021</v>
      </c>
      <c r="H49" s="3570"/>
      <c r="I49" s="181"/>
      <c r="J49" s="181"/>
      <c r="K49" s="181"/>
      <c r="L49" s="181"/>
      <c r="M49" s="181"/>
      <c r="N49" s="184"/>
      <c r="O49" s="184"/>
      <c r="P49" s="184"/>
      <c r="Q49" s="184"/>
      <c r="R49" s="184"/>
      <c r="S49" s="184"/>
      <c r="T49" s="184"/>
      <c r="U49" s="181"/>
      <c r="V49" s="181"/>
      <c r="W49" s="181"/>
      <c r="X49" s="596" t="s">
        <v>517</v>
      </c>
      <c r="Y49" s="3580" t="s">
        <v>103</v>
      </c>
      <c r="Z49" s="2722"/>
      <c r="AA49" s="4669" t="str">
        <f>IF(OR($AD$34=8,AND($AD$34="",B49,YouR65,LivedApart)),"X","")</f>
        <v/>
      </c>
      <c r="AB49" s="2721"/>
      <c r="AC49" s="588"/>
      <c r="AD49" s="385"/>
      <c r="AE49" s="588"/>
      <c r="AF49"/>
      <c r="AG49" s="2595"/>
      <c r="AH49" s="2595"/>
      <c r="AI49" s="2595"/>
      <c r="AJ49" s="2595"/>
      <c r="AK49" s="2595"/>
      <c r="AL49" s="2595"/>
      <c r="AM49" s="2595"/>
      <c r="AN49" s="2595"/>
      <c r="AO49" s="2595"/>
      <c r="AP49" s="2595"/>
    </row>
    <row r="50" spans="1:42" s="3402" customFormat="1" ht="12" customHeight="1">
      <c r="A50" s="588"/>
      <c r="B50" s="273" t="s">
        <v>2847</v>
      </c>
      <c r="C50" s="1329"/>
      <c r="D50" s="1329"/>
      <c r="E50" s="184"/>
      <c r="F50" s="184"/>
      <c r="G50" s="181"/>
      <c r="H50" s="3570"/>
      <c r="I50" s="181"/>
      <c r="J50" s="181"/>
      <c r="K50" s="181"/>
      <c r="L50" s="181"/>
      <c r="M50" s="181"/>
      <c r="N50" s="184"/>
      <c r="O50" s="184"/>
      <c r="P50" s="184"/>
      <c r="Q50" s="184"/>
      <c r="R50" s="184"/>
      <c r="S50" s="184"/>
      <c r="T50" s="184"/>
      <c r="U50" s="181"/>
      <c r="V50" s="181"/>
      <c r="W50" s="181"/>
      <c r="X50" s="2721"/>
      <c r="Y50" s="2722"/>
      <c r="Z50" s="2722"/>
      <c r="AA50" s="2721"/>
      <c r="AB50" s="2721"/>
      <c r="AC50" s="588"/>
      <c r="AD50" s="385"/>
      <c r="AE50" s="588"/>
      <c r="AF50"/>
      <c r="AG50" s="2595"/>
      <c r="AH50" s="2595"/>
      <c r="AI50" s="2595"/>
      <c r="AJ50" s="2595"/>
      <c r="AK50" s="2595"/>
      <c r="AL50" s="2595"/>
      <c r="AM50" s="2595"/>
      <c r="AN50" s="2595"/>
      <c r="AO50" s="2595"/>
      <c r="AP50" s="2595"/>
    </row>
    <row r="51" spans="1:42" s="3402" customFormat="1" ht="12" customHeight="1">
      <c r="A51" s="588"/>
      <c r="B51" s="273" t="s">
        <v>539</v>
      </c>
      <c r="C51" s="1329"/>
      <c r="D51" s="1329"/>
      <c r="E51" s="184"/>
      <c r="F51" s="3580" t="s">
        <v>104</v>
      </c>
      <c r="G51" s="3570" t="s">
        <v>2849</v>
      </c>
      <c r="H51" s="3570"/>
      <c r="I51" s="181"/>
      <c r="J51" s="181"/>
      <c r="K51" s="181"/>
      <c r="L51" s="181"/>
      <c r="M51" s="181"/>
      <c r="N51" s="184"/>
      <c r="O51" s="184"/>
      <c r="P51" s="184"/>
      <c r="Q51" s="184"/>
      <c r="R51" s="184"/>
      <c r="S51" s="184"/>
      <c r="T51" s="184"/>
      <c r="U51" s="181"/>
      <c r="V51" s="181"/>
      <c r="W51" s="181"/>
      <c r="X51" s="2721"/>
      <c r="Y51" s="2722"/>
      <c r="Z51" s="2722"/>
      <c r="AA51" s="2721"/>
      <c r="AB51" s="2721"/>
      <c r="AC51" s="588"/>
      <c r="AD51" s="385"/>
      <c r="AE51" s="588"/>
      <c r="AF51"/>
      <c r="AG51" s="2595"/>
      <c r="AH51" s="2595"/>
      <c r="AI51" s="2595"/>
      <c r="AJ51" s="2595"/>
      <c r="AK51" s="2595"/>
      <c r="AL51" s="2595"/>
      <c r="AM51" s="2595"/>
      <c r="AN51" s="2595"/>
      <c r="AO51" s="2595"/>
      <c r="AP51" s="2595"/>
    </row>
    <row r="52" spans="1:42" s="3402" customFormat="1" ht="12" customHeight="1">
      <c r="A52" s="588"/>
      <c r="B52" s="273"/>
      <c r="C52" s="1329"/>
      <c r="D52" s="1329"/>
      <c r="E52" s="184"/>
      <c r="F52" s="184"/>
      <c r="G52" s="3570" t="str">
        <f>"lived apart from your spouse for all of "&amp;TaxYear</f>
        <v>lived apart from your spouse for all of 2021</v>
      </c>
      <c r="H52" s="3570"/>
      <c r="I52" s="181"/>
      <c r="J52" s="181"/>
      <c r="K52" s="181"/>
      <c r="L52" s="181"/>
      <c r="M52" s="181"/>
      <c r="N52" s="184"/>
      <c r="O52" s="184"/>
      <c r="P52" s="184"/>
      <c r="Q52" s="184"/>
      <c r="R52" s="184"/>
      <c r="S52" s="184"/>
      <c r="T52" s="184"/>
      <c r="U52" s="181"/>
      <c r="V52" s="181"/>
      <c r="W52" s="181"/>
      <c r="X52" s="596" t="s">
        <v>2780</v>
      </c>
      <c r="Y52" s="3580" t="s">
        <v>104</v>
      </c>
      <c r="Z52" s="2722"/>
      <c r="AA52" s="4669" t="str">
        <f>IF(OR($AD$34=9,AND($AD$34="",B49,NOT(YouR65),I8,LivedApart)),"X","")</f>
        <v/>
      </c>
      <c r="AB52" s="2721"/>
      <c r="AC52" s="588"/>
      <c r="AD52" s="385"/>
      <c r="AE52" s="588"/>
      <c r="AF52"/>
      <c r="AG52" s="2595"/>
      <c r="AH52" s="2595"/>
      <c r="AI52" s="2595"/>
      <c r="AJ52" s="2595"/>
      <c r="AK52" s="2595"/>
      <c r="AL52" s="2595"/>
      <c r="AM52" s="2595"/>
      <c r="AN52" s="2595"/>
      <c r="AO52" s="2595"/>
      <c r="AP52" s="2595"/>
    </row>
    <row r="53" spans="1:42" s="3402" customFormat="1" ht="12" customHeight="1">
      <c r="A53" s="588"/>
      <c r="B53" s="627"/>
      <c r="C53" s="1916"/>
      <c r="D53" s="1916"/>
      <c r="E53" s="216"/>
      <c r="F53" s="216"/>
      <c r="G53" s="3581"/>
      <c r="H53" s="3582"/>
      <c r="I53" s="3581"/>
      <c r="J53" s="3581"/>
      <c r="K53" s="3581"/>
      <c r="L53" s="3581"/>
      <c r="M53" s="3581"/>
      <c r="N53" s="216"/>
      <c r="O53" s="216"/>
      <c r="P53" s="216"/>
      <c r="Q53" s="216"/>
      <c r="R53" s="216"/>
      <c r="S53" s="216"/>
      <c r="T53" s="216"/>
      <c r="U53" s="3581"/>
      <c r="V53" s="3581"/>
      <c r="W53" s="3581"/>
      <c r="X53" s="3583"/>
      <c r="Y53" s="3584"/>
      <c r="Z53" s="3584"/>
      <c r="AA53" s="3583"/>
      <c r="AB53" s="3583"/>
      <c r="AC53" s="588"/>
      <c r="AD53" s="385"/>
      <c r="AE53" s="588"/>
      <c r="AF53"/>
      <c r="AG53" s="2595"/>
      <c r="AH53" s="2595"/>
      <c r="AI53" s="2595"/>
      <c r="AJ53" s="2595"/>
      <c r="AK53" s="2595"/>
      <c r="AL53" s="2595"/>
      <c r="AM53" s="2595"/>
      <c r="AN53" s="2595"/>
      <c r="AO53" s="2595"/>
      <c r="AP53" s="2595"/>
    </row>
    <row r="54" spans="1:42" s="3402" customFormat="1" ht="12" customHeight="1" thickBot="1">
      <c r="A54" s="588"/>
      <c r="B54" s="7563" t="b">
        <f>OR(AA29&lt;&gt;"",AA34&lt;&gt;"",AA46&lt;&gt;"",AA49&lt;&gt;"")</f>
        <v>0</v>
      </c>
      <c r="C54" s="7563"/>
      <c r="D54" s="3585"/>
      <c r="E54" s="1498"/>
      <c r="F54" s="1498"/>
      <c r="G54" s="1499"/>
      <c r="H54" s="3586"/>
      <c r="I54" s="1499"/>
      <c r="J54" s="1499"/>
      <c r="K54" s="1499"/>
      <c r="L54" s="1499"/>
      <c r="M54" s="1499"/>
      <c r="N54" s="1498"/>
      <c r="O54" s="1498"/>
      <c r="P54" s="1498"/>
      <c r="Q54" s="1498"/>
      <c r="R54" s="1498"/>
      <c r="S54" s="1498"/>
      <c r="T54" s="1498"/>
      <c r="U54" s="1499"/>
      <c r="V54" s="1499"/>
      <c r="W54" s="1499"/>
      <c r="X54" s="3587"/>
      <c r="Y54" s="3588"/>
      <c r="Z54" s="3588"/>
      <c r="AA54" s="3587"/>
      <c r="AB54" s="3587"/>
      <c r="AC54" s="588"/>
      <c r="AD54" s="385"/>
      <c r="AE54" s="588"/>
      <c r="AF54"/>
      <c r="AG54" s="2595"/>
      <c r="AH54" s="2595"/>
      <c r="AI54" s="2595"/>
      <c r="AJ54" s="2595"/>
      <c r="AK54" s="2595"/>
      <c r="AL54" s="2595"/>
      <c r="AM54" s="2595"/>
      <c r="AN54" s="2595"/>
      <c r="AO54" s="2595"/>
      <c r="AP54" s="2595"/>
    </row>
    <row r="55" spans="1:42" s="3402" customFormat="1" ht="6.75" customHeight="1">
      <c r="A55" s="588"/>
      <c r="B55" s="3589"/>
      <c r="C55" s="3590"/>
      <c r="D55" s="3591"/>
      <c r="E55" s="184"/>
      <c r="F55" s="184"/>
      <c r="G55" s="181"/>
      <c r="H55" s="3570"/>
      <c r="I55" s="181"/>
      <c r="J55" s="181"/>
      <c r="K55" s="181"/>
      <c r="L55" s="181"/>
      <c r="M55" s="181"/>
      <c r="N55" s="184"/>
      <c r="O55" s="184"/>
      <c r="P55" s="184"/>
      <c r="Q55" s="184"/>
      <c r="R55" s="184"/>
      <c r="S55" s="184"/>
      <c r="T55" s="184"/>
      <c r="U55" s="181"/>
      <c r="V55" s="181"/>
      <c r="W55" s="181"/>
      <c r="X55" s="2721"/>
      <c r="Y55" s="2722"/>
      <c r="Z55" s="2722"/>
      <c r="AA55" s="2721"/>
      <c r="AB55" s="2721"/>
      <c r="AC55" s="588"/>
      <c r="AD55" s="385"/>
      <c r="AE55" s="588"/>
      <c r="AF55"/>
      <c r="AG55" s="2595"/>
      <c r="AH55" s="2595"/>
      <c r="AI55" s="2595"/>
      <c r="AJ55" s="2595"/>
      <c r="AK55" s="2595"/>
      <c r="AL55" s="2595"/>
      <c r="AM55" s="2595"/>
      <c r="AN55" s="2595"/>
      <c r="AO55" s="2595"/>
      <c r="AP55" s="2595"/>
    </row>
    <row r="56" spans="1:42" s="3402" customFormat="1" ht="12" customHeight="1">
      <c r="A56" s="588"/>
      <c r="B56" s="4670" t="s">
        <v>2850</v>
      </c>
      <c r="C56" s="1329"/>
      <c r="D56" s="3592"/>
      <c r="E56" s="993" t="s">
        <v>2852</v>
      </c>
      <c r="F56" s="7002" t="s">
        <v>271</v>
      </c>
      <c r="G56" s="6371"/>
      <c r="H56" s="993" t="s">
        <v>2871</v>
      </c>
      <c r="I56" s="3570"/>
      <c r="J56" s="3563" t="s">
        <v>2889</v>
      </c>
      <c r="K56" s="181"/>
      <c r="L56" s="181"/>
      <c r="M56" s="181"/>
      <c r="N56" s="184"/>
      <c r="O56" s="184"/>
      <c r="P56" s="184"/>
      <c r="Q56" s="184"/>
      <c r="R56" s="184"/>
      <c r="S56" s="184"/>
      <c r="T56" s="184"/>
      <c r="U56" s="181"/>
      <c r="V56" s="181"/>
      <c r="W56" s="181"/>
      <c r="X56" s="2721"/>
      <c r="Y56" s="2722"/>
      <c r="Z56" s="2722"/>
      <c r="AA56" s="2721"/>
      <c r="AB56" s="2721"/>
      <c r="AC56" s="588"/>
      <c r="AD56" s="385"/>
      <c r="AE56" s="588"/>
      <c r="AF56"/>
      <c r="AG56" s="2595"/>
      <c r="AH56" s="2595"/>
      <c r="AI56" s="2595"/>
      <c r="AJ56" s="2595"/>
      <c r="AK56" s="2595"/>
      <c r="AL56" s="2595"/>
      <c r="AM56" s="2595"/>
      <c r="AN56" s="2595"/>
      <c r="AO56" s="2595"/>
      <c r="AP56" s="2595"/>
    </row>
    <row r="57" spans="1:42" s="3402" customFormat="1" ht="4.5" customHeight="1">
      <c r="A57" s="588"/>
      <c r="B57" s="3596"/>
      <c r="C57" s="1329"/>
      <c r="D57" s="3592"/>
      <c r="E57" s="184"/>
      <c r="F57" s="184"/>
      <c r="G57" s="181"/>
      <c r="H57" s="3570"/>
      <c r="I57" s="3570"/>
      <c r="J57" s="181"/>
      <c r="K57" s="181"/>
      <c r="L57" s="181"/>
      <c r="M57" s="181"/>
      <c r="N57" s="184"/>
      <c r="O57" s="184"/>
      <c r="P57" s="184"/>
      <c r="Q57" s="184"/>
      <c r="R57" s="184"/>
      <c r="S57" s="184"/>
      <c r="T57" s="184"/>
      <c r="U57" s="181"/>
      <c r="V57" s="181"/>
      <c r="W57" s="181"/>
      <c r="X57" s="2721"/>
      <c r="Y57" s="2722"/>
      <c r="Z57" s="2722"/>
      <c r="AA57" s="2721"/>
      <c r="AB57" s="2721"/>
      <c r="AC57" s="588"/>
      <c r="AD57" s="385"/>
      <c r="AE57" s="588"/>
      <c r="AF57"/>
      <c r="AG57" s="2595"/>
      <c r="AH57" s="2595"/>
      <c r="AI57" s="2595"/>
      <c r="AJ57" s="2595"/>
      <c r="AK57" s="2595"/>
      <c r="AL57" s="2595"/>
      <c r="AM57" s="2595"/>
      <c r="AN57" s="2595"/>
      <c r="AO57" s="2595"/>
      <c r="AP57" s="2595"/>
    </row>
    <row r="58" spans="1:42" s="3402" customFormat="1" ht="12" customHeight="1">
      <c r="A58" s="588"/>
      <c r="B58" s="4670" t="s">
        <v>2851</v>
      </c>
      <c r="C58" s="1329"/>
      <c r="D58" s="3592"/>
      <c r="E58" s="993" t="s">
        <v>2852</v>
      </c>
      <c r="F58" s="7002" t="s">
        <v>272</v>
      </c>
      <c r="G58" s="7002"/>
      <c r="H58" s="993" t="s">
        <v>2871</v>
      </c>
      <c r="I58" s="3570"/>
      <c r="J58" s="3563" t="s">
        <v>2890</v>
      </c>
      <c r="K58" s="181"/>
      <c r="L58" s="181"/>
      <c r="M58" s="181"/>
      <c r="N58" s="184"/>
      <c r="O58" s="184"/>
      <c r="P58" s="184"/>
      <c r="Q58" s="184"/>
      <c r="R58" s="184"/>
      <c r="S58" s="184"/>
      <c r="T58" s="184"/>
      <c r="U58" s="181"/>
      <c r="V58" s="181"/>
      <c r="W58" s="181"/>
      <c r="X58" s="2721"/>
      <c r="Y58" s="2722"/>
      <c r="Z58" s="2722"/>
      <c r="AA58" s="2721"/>
      <c r="AB58" s="2721"/>
      <c r="AC58" s="588"/>
      <c r="AD58" s="385"/>
      <c r="AE58" s="588"/>
      <c r="AF58"/>
      <c r="AG58" s="2595"/>
      <c r="AH58" s="2595"/>
      <c r="AI58" s="2595"/>
      <c r="AJ58" s="2595"/>
      <c r="AK58" s="2595"/>
      <c r="AL58" s="2595"/>
      <c r="AM58" s="2595"/>
      <c r="AN58" s="2595"/>
      <c r="AO58" s="2595"/>
      <c r="AP58" s="2595"/>
    </row>
    <row r="59" spans="1:42" s="3402" customFormat="1" ht="6.75" customHeight="1" thickBot="1">
      <c r="A59" s="588"/>
      <c r="B59" s="3593"/>
      <c r="C59" s="3594"/>
      <c r="D59" s="3595"/>
      <c r="E59" s="184"/>
      <c r="F59" s="184"/>
      <c r="G59" s="181"/>
      <c r="H59" s="3570"/>
      <c r="I59" s="181"/>
      <c r="J59" s="181"/>
      <c r="K59" s="181"/>
      <c r="L59" s="181"/>
      <c r="M59" s="181"/>
      <c r="N59" s="184"/>
      <c r="O59" s="184"/>
      <c r="P59" s="184"/>
      <c r="Q59" s="184"/>
      <c r="R59" s="184"/>
      <c r="S59" s="184"/>
      <c r="T59" s="184"/>
      <c r="U59" s="181"/>
      <c r="V59" s="181"/>
      <c r="W59" s="181"/>
      <c r="X59" s="2721"/>
      <c r="Y59" s="2722"/>
      <c r="Z59" s="2722"/>
      <c r="AA59" s="2721"/>
      <c r="AB59" s="2721"/>
      <c r="AC59" s="588"/>
      <c r="AD59" s="385"/>
      <c r="AE59" s="588"/>
      <c r="AF59"/>
      <c r="AG59" s="2595"/>
      <c r="AH59" s="2595"/>
      <c r="AI59" s="2595"/>
      <c r="AJ59" s="2595"/>
      <c r="AK59" s="2595"/>
      <c r="AL59" s="2595"/>
      <c r="AM59" s="2595"/>
      <c r="AN59" s="2595"/>
      <c r="AO59" s="2595"/>
      <c r="AP59" s="2595"/>
    </row>
    <row r="60" spans="1:42" s="3402" customFormat="1" ht="12" customHeight="1" thickBot="1">
      <c r="A60" s="588"/>
      <c r="B60" s="273"/>
      <c r="C60" s="1329"/>
      <c r="D60" s="1329"/>
      <c r="E60" s="184"/>
      <c r="F60" s="184"/>
      <c r="G60" s="181"/>
      <c r="H60" s="3570"/>
      <c r="I60" s="181"/>
      <c r="J60" s="181"/>
      <c r="K60" s="181"/>
      <c r="L60" s="181"/>
      <c r="M60" s="181"/>
      <c r="N60" s="184"/>
      <c r="O60" s="184"/>
      <c r="P60" s="184"/>
      <c r="Q60" s="184"/>
      <c r="R60" s="184"/>
      <c r="S60" s="184"/>
      <c r="T60" s="184"/>
      <c r="U60" s="181"/>
      <c r="V60" s="181"/>
      <c r="W60" s="181"/>
      <c r="X60" s="2721"/>
      <c r="Y60" s="2722"/>
      <c r="Z60" s="2722"/>
      <c r="AA60" s="2721"/>
      <c r="AB60" s="2721"/>
      <c r="AC60" s="588"/>
      <c r="AD60" s="385"/>
      <c r="AE60" s="588"/>
      <c r="AF60"/>
      <c r="AG60" s="2595"/>
      <c r="AH60" s="2595"/>
      <c r="AI60" s="2595"/>
      <c r="AJ60" s="2595"/>
      <c r="AK60" s="2595"/>
      <c r="AL60" s="2595"/>
      <c r="AM60" s="2595"/>
      <c r="AN60" s="2595"/>
      <c r="AO60" s="2595"/>
      <c r="AP60" s="2595"/>
    </row>
    <row r="61" spans="1:42" s="3402" customFormat="1" ht="15.75" thickTop="1">
      <c r="A61" s="588"/>
      <c r="B61" s="7559" t="s">
        <v>118</v>
      </c>
      <c r="C61" s="7560"/>
      <c r="D61" s="3571" t="s">
        <v>2853</v>
      </c>
      <c r="E61" s="175"/>
      <c r="F61" s="175"/>
      <c r="G61" s="175"/>
      <c r="H61" s="175"/>
      <c r="I61" s="175"/>
      <c r="J61" s="175"/>
      <c r="K61" s="175"/>
      <c r="L61" s="175"/>
      <c r="M61" s="3600" t="s">
        <v>3367</v>
      </c>
      <c r="N61" s="175"/>
      <c r="O61" s="175"/>
      <c r="P61" s="175"/>
      <c r="Q61" s="175"/>
      <c r="R61" s="175"/>
      <c r="S61" s="175"/>
      <c r="T61" s="175"/>
      <c r="U61" s="175"/>
      <c r="V61" s="175"/>
      <c r="W61" s="175"/>
      <c r="X61" s="175"/>
      <c r="Y61" s="175"/>
      <c r="Z61" s="175"/>
      <c r="AA61" s="175"/>
      <c r="AB61" s="175"/>
      <c r="AC61" s="588"/>
      <c r="AD61" s="385"/>
      <c r="AE61" s="588"/>
      <c r="AF61"/>
      <c r="AG61" s="2595"/>
      <c r="AH61" s="2595"/>
      <c r="AI61" s="2595"/>
      <c r="AJ61" s="2595"/>
      <c r="AK61" s="2595"/>
      <c r="AL61" s="2595"/>
      <c r="AM61" s="2595"/>
      <c r="AN61" s="2595"/>
      <c r="AO61" s="2595"/>
      <c r="AP61" s="2595"/>
    </row>
    <row r="62" spans="1:42" s="3402" customFormat="1" ht="14.25">
      <c r="A62" s="588"/>
      <c r="B62" s="3601" t="s">
        <v>2854</v>
      </c>
      <c r="C62" s="3603" t="s">
        <v>148</v>
      </c>
      <c r="D62" s="4119" t="s">
        <v>2855</v>
      </c>
      <c r="E62" s="326"/>
      <c r="F62" s="326"/>
      <c r="G62" s="326"/>
      <c r="H62" s="326"/>
      <c r="I62" s="326"/>
      <c r="J62" s="326"/>
      <c r="K62" s="326"/>
      <c r="L62" s="326"/>
      <c r="M62" s="326"/>
      <c r="N62" s="326"/>
      <c r="O62" s="326"/>
      <c r="P62" s="326"/>
      <c r="Q62" s="326"/>
      <c r="R62" s="326"/>
      <c r="S62" s="326"/>
      <c r="T62" s="326"/>
      <c r="U62" s="326"/>
      <c r="V62" s="326"/>
      <c r="W62" s="326"/>
      <c r="X62" s="326"/>
      <c r="Y62" s="326"/>
      <c r="Z62" s="326"/>
      <c r="AA62" s="326"/>
      <c r="AB62" s="326"/>
      <c r="AC62" s="588"/>
      <c r="AD62" s="385"/>
      <c r="AE62" s="588"/>
      <c r="AF62"/>
      <c r="AG62" s="2595"/>
      <c r="AH62" s="2595"/>
      <c r="AI62" s="2595"/>
      <c r="AJ62" s="2595"/>
      <c r="AK62" s="2595"/>
      <c r="AL62" s="2595"/>
      <c r="AM62" s="2595"/>
      <c r="AN62" s="2595"/>
      <c r="AO62" s="2595"/>
      <c r="AP62" s="2595"/>
    </row>
    <row r="63" spans="1:42" s="3402" customFormat="1" ht="15">
      <c r="A63" s="588"/>
      <c r="B63" s="3597"/>
      <c r="C63" s="3598"/>
      <c r="D63" s="4119" t="s">
        <v>3368</v>
      </c>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588"/>
      <c r="AD63" s="385"/>
      <c r="AE63" s="588"/>
      <c r="AF63"/>
      <c r="AG63" s="2595"/>
      <c r="AH63" s="2595"/>
      <c r="AI63" s="2595"/>
      <c r="AJ63" s="2595"/>
      <c r="AK63" s="2595"/>
      <c r="AL63" s="2595"/>
      <c r="AM63" s="2595"/>
      <c r="AN63" s="2595"/>
      <c r="AO63" s="2595"/>
      <c r="AP63" s="2595"/>
    </row>
    <row r="64" spans="1:42" s="3402" customFormat="1" ht="8.25" customHeight="1">
      <c r="A64" s="588"/>
      <c r="B64" s="3597"/>
      <c r="C64" s="3598"/>
      <c r="D64" s="3599"/>
      <c r="E64" s="326"/>
      <c r="F64" s="326"/>
      <c r="G64" s="326"/>
      <c r="H64" s="326"/>
      <c r="I64" s="326"/>
      <c r="J64" s="326"/>
      <c r="K64" s="326"/>
      <c r="L64" s="326"/>
      <c r="M64" s="326"/>
      <c r="N64" s="326"/>
      <c r="O64" s="326"/>
      <c r="P64" s="326"/>
      <c r="Q64" s="326"/>
      <c r="R64" s="326"/>
      <c r="S64" s="326"/>
      <c r="T64" s="326"/>
      <c r="U64" s="326"/>
      <c r="V64" s="326"/>
      <c r="W64" s="326"/>
      <c r="X64" s="326"/>
      <c r="Y64" s="326"/>
      <c r="Z64" s="326"/>
      <c r="AA64" s="326"/>
      <c r="AB64" s="326"/>
      <c r="AC64" s="588"/>
      <c r="AD64" s="385"/>
      <c r="AE64" s="588"/>
      <c r="AF64"/>
      <c r="AG64" s="2595"/>
      <c r="AH64" s="2595"/>
      <c r="AI64" s="2595"/>
      <c r="AJ64" s="2595"/>
      <c r="AK64" s="2595"/>
      <c r="AL64" s="2595"/>
      <c r="AM64" s="2595"/>
      <c r="AN64" s="2595"/>
      <c r="AO64" s="2595"/>
      <c r="AP64" s="2595"/>
    </row>
    <row r="65" spans="1:42" s="3402" customFormat="1" ht="14.25">
      <c r="A65" s="588"/>
      <c r="B65" s="3597"/>
      <c r="C65" s="3603" t="s">
        <v>149</v>
      </c>
      <c r="D65" s="4119" t="s">
        <v>2856</v>
      </c>
      <c r="E65" s="326"/>
      <c r="F65" s="326"/>
      <c r="G65" s="326"/>
      <c r="H65" s="326"/>
      <c r="I65" s="326"/>
      <c r="J65" s="326"/>
      <c r="K65" s="326"/>
      <c r="L65" s="326"/>
      <c r="M65" s="326"/>
      <c r="N65" s="326"/>
      <c r="O65" s="326"/>
      <c r="P65" s="326"/>
      <c r="Q65" s="326"/>
      <c r="R65" s="326"/>
      <c r="S65" s="326"/>
      <c r="T65" s="326"/>
      <c r="U65" s="326"/>
      <c r="V65" s="326"/>
      <c r="W65" s="326"/>
      <c r="X65" s="326"/>
      <c r="Y65" s="326"/>
      <c r="Z65" s="326"/>
      <c r="AA65" s="326"/>
      <c r="AB65" s="326"/>
      <c r="AC65" s="588"/>
      <c r="AD65" s="385"/>
      <c r="AE65" s="588"/>
      <c r="AF65"/>
      <c r="AG65" s="2595"/>
      <c r="AH65" s="2595"/>
      <c r="AI65" s="2595"/>
      <c r="AJ65" s="2595"/>
      <c r="AK65" s="2595"/>
      <c r="AL65" s="2595"/>
      <c r="AM65" s="2595"/>
      <c r="AN65" s="2595"/>
      <c r="AO65" s="2595"/>
      <c r="AP65" s="2595"/>
    </row>
    <row r="66" spans="1:42" s="3402" customFormat="1" ht="14.25">
      <c r="A66" s="588"/>
      <c r="B66" s="3597"/>
      <c r="C66" s="3598"/>
      <c r="D66" s="4119" t="str">
        <f>"in "&amp;TaxYear&amp;", check this box"</f>
        <v>in 2021, check this box</v>
      </c>
      <c r="E66" s="326"/>
      <c r="F66" s="326"/>
      <c r="G66" s="326"/>
      <c r="H66" s="326"/>
      <c r="I66" s="326"/>
      <c r="J66" s="326"/>
      <c r="K66" s="326"/>
      <c r="L66" s="326"/>
      <c r="M66" s="326"/>
      <c r="N66" s="326"/>
      <c r="O66" s="326"/>
      <c r="P66" s="326"/>
      <c r="Q66" s="326"/>
      <c r="R66" s="326"/>
      <c r="S66" s="326"/>
      <c r="T66" s="326"/>
      <c r="U66" s="326"/>
      <c r="V66" s="326"/>
      <c r="W66" s="326"/>
      <c r="X66" s="326"/>
      <c r="Y66" s="326"/>
      <c r="Z66" s="596" t="s">
        <v>562</v>
      </c>
      <c r="AA66" s="3605"/>
      <c r="AB66" s="326"/>
      <c r="AC66" s="588"/>
      <c r="AD66" s="385"/>
      <c r="AE66" s="588"/>
      <c r="AF66"/>
      <c r="AG66" s="2595"/>
      <c r="AH66" s="2595"/>
      <c r="AI66" s="2595"/>
      <c r="AJ66" s="2595"/>
      <c r="AK66" s="2595"/>
      <c r="AL66" s="2595"/>
      <c r="AM66" s="2595"/>
      <c r="AN66" s="2595"/>
      <c r="AO66" s="2595"/>
      <c r="AP66" s="2595"/>
    </row>
    <row r="67" spans="1:42" s="3402" customFormat="1" ht="7.5" customHeight="1">
      <c r="A67" s="588"/>
      <c r="B67" s="3597"/>
      <c r="C67" s="3598"/>
      <c r="D67" s="3602"/>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588"/>
      <c r="AD67" s="385"/>
      <c r="AE67" s="588"/>
      <c r="AF67"/>
      <c r="AG67" s="2595"/>
      <c r="AH67" s="2595"/>
      <c r="AI67" s="2595"/>
      <c r="AJ67" s="2595"/>
      <c r="AK67" s="2595"/>
      <c r="AL67" s="2595"/>
      <c r="AM67" s="2595"/>
      <c r="AN67" s="2595"/>
      <c r="AO67" s="2595"/>
      <c r="AP67" s="2595"/>
    </row>
    <row r="68" spans="1:42" s="3402" customFormat="1" ht="15">
      <c r="A68" s="588"/>
      <c r="B68" s="3597"/>
      <c r="C68" s="3569" t="s">
        <v>2827</v>
      </c>
      <c r="D68" s="4119" t="str">
        <f>"If you checked this box, you don’t have to get another statement for "&amp;TaxYear&amp;"."</f>
        <v>If you checked this box, you don’t have to get another statement for 2021.</v>
      </c>
      <c r="E68" s="326"/>
      <c r="F68" s="326"/>
      <c r="G68" s="326"/>
      <c r="H68" s="326"/>
      <c r="I68" s="326"/>
      <c r="J68" s="326"/>
      <c r="K68" s="326"/>
      <c r="L68" s="326"/>
      <c r="M68" s="326"/>
      <c r="N68" s="326"/>
      <c r="O68" s="326"/>
      <c r="P68" s="326"/>
      <c r="Q68" s="326"/>
      <c r="R68" s="326"/>
      <c r="S68" s="326"/>
      <c r="T68" s="326"/>
      <c r="U68" s="326"/>
      <c r="V68" s="326"/>
      <c r="W68" s="326"/>
      <c r="X68" s="326"/>
      <c r="Y68" s="326"/>
      <c r="Z68" s="326"/>
      <c r="AA68" s="326"/>
      <c r="AB68" s="326"/>
      <c r="AC68" s="588"/>
      <c r="AD68" s="385"/>
      <c r="AE68" s="588"/>
      <c r="AF68"/>
      <c r="AG68" s="2595"/>
      <c r="AH68" s="2595"/>
      <c r="AI68" s="2595"/>
      <c r="AJ68" s="2595"/>
      <c r="AK68" s="2595"/>
      <c r="AL68" s="2595"/>
      <c r="AM68" s="2595"/>
      <c r="AN68" s="2595"/>
      <c r="AO68" s="2595"/>
      <c r="AP68" s="2595"/>
    </row>
    <row r="69" spans="1:42" s="3402" customFormat="1" ht="7.5" customHeight="1">
      <c r="A69" s="588"/>
      <c r="B69" s="3597"/>
      <c r="C69" s="3598"/>
      <c r="D69" s="3602"/>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588"/>
      <c r="AD69" s="385"/>
      <c r="AE69" s="588"/>
      <c r="AF69"/>
      <c r="AG69" s="2595"/>
      <c r="AH69" s="2595"/>
      <c r="AI69" s="2595"/>
      <c r="AJ69" s="2595"/>
      <c r="AK69" s="2595"/>
      <c r="AL69" s="2595"/>
      <c r="AM69" s="2595"/>
      <c r="AN69" s="2595"/>
      <c r="AO69" s="2595"/>
      <c r="AP69" s="2595"/>
    </row>
    <row r="70" spans="1:42" s="3402" customFormat="1" ht="15">
      <c r="A70" s="588"/>
      <c r="B70" s="3597"/>
      <c r="C70" s="3569" t="s">
        <v>2827</v>
      </c>
      <c r="D70" s="4119" t="s">
        <v>3369</v>
      </c>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588"/>
      <c r="AD70" s="385"/>
      <c r="AE70" s="588"/>
      <c r="AF70"/>
      <c r="AG70" s="2595"/>
      <c r="AH70" s="2595"/>
      <c r="AI70" s="2595"/>
      <c r="AJ70" s="2595"/>
      <c r="AK70" s="2595"/>
      <c r="AL70" s="2595"/>
      <c r="AM70" s="2595"/>
      <c r="AN70" s="2595"/>
      <c r="AO70" s="2595"/>
      <c r="AP70" s="2595"/>
    </row>
    <row r="71" spans="1:42" s="3402" customFormat="1" ht="14.25">
      <c r="A71" s="588"/>
      <c r="B71" s="3597"/>
      <c r="C71" s="3598"/>
      <c r="D71" s="4119" t="s">
        <v>2857</v>
      </c>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588"/>
      <c r="AD71" s="385"/>
      <c r="AE71" s="588"/>
      <c r="AF71"/>
      <c r="AG71" s="2595"/>
      <c r="AH71" s="2595"/>
      <c r="AI71" s="2595"/>
      <c r="AJ71" s="2595"/>
      <c r="AK71" s="2595"/>
      <c r="AL71" s="2595"/>
      <c r="AM71" s="2595"/>
      <c r="AN71" s="2595"/>
      <c r="AO71" s="2595"/>
      <c r="AP71" s="2595"/>
    </row>
    <row r="72" spans="1:42" s="3402" customFormat="1" ht="9" customHeight="1">
      <c r="A72" s="588"/>
      <c r="B72" s="3597"/>
      <c r="C72" s="3598"/>
      <c r="D72" s="3602"/>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588"/>
      <c r="AD72" s="385"/>
      <c r="AE72" s="588"/>
      <c r="AF72"/>
      <c r="AG72" s="2595"/>
      <c r="AH72" s="2595"/>
      <c r="AI72" s="2595"/>
      <c r="AJ72" s="2595"/>
      <c r="AK72" s="2595"/>
      <c r="AL72" s="2595"/>
      <c r="AM72" s="2595"/>
      <c r="AN72" s="2595"/>
      <c r="AO72" s="2595"/>
      <c r="AP72" s="2595"/>
    </row>
    <row r="73" spans="1:42" s="3402" customFormat="1" ht="3.75" customHeight="1" thickBot="1">
      <c r="A73" s="588"/>
      <c r="B73" s="568"/>
      <c r="C73" s="568"/>
      <c r="D73" s="164"/>
      <c r="E73" s="169"/>
      <c r="F73" s="169"/>
      <c r="G73" s="179"/>
      <c r="H73" s="179"/>
      <c r="I73" s="179"/>
      <c r="J73" s="179"/>
      <c r="K73" s="179"/>
      <c r="L73" s="179"/>
      <c r="M73" s="179"/>
      <c r="N73" s="169"/>
      <c r="O73" s="169"/>
      <c r="P73" s="169"/>
      <c r="Q73" s="169"/>
      <c r="R73" s="188"/>
      <c r="S73" s="188"/>
      <c r="T73" s="169"/>
      <c r="U73" s="179"/>
      <c r="V73" s="179"/>
      <c r="W73" s="184"/>
      <c r="X73" s="364"/>
      <c r="Y73" s="364"/>
      <c r="Z73" s="680"/>
      <c r="AA73" s="364"/>
      <c r="AB73" s="364"/>
      <c r="AC73" s="588"/>
      <c r="AD73" s="385"/>
      <c r="AE73" s="588"/>
      <c r="AF73"/>
      <c r="AG73" s="2595"/>
      <c r="AH73" s="2595"/>
      <c r="AI73" s="2595"/>
      <c r="AJ73" s="2595"/>
      <c r="AK73" s="2595"/>
      <c r="AL73" s="2595"/>
      <c r="AM73" s="2595"/>
      <c r="AN73" s="2595"/>
      <c r="AO73" s="2595"/>
      <c r="AP73" s="2595"/>
    </row>
    <row r="74" spans="1:42" s="3402" customFormat="1" ht="22.5" customHeight="1">
      <c r="A74" s="588"/>
      <c r="B74" s="3567" t="s">
        <v>484</v>
      </c>
      <c r="C74" s="504"/>
      <c r="D74" s="505"/>
      <c r="E74" s="505"/>
      <c r="F74" s="505"/>
      <c r="G74" s="506"/>
      <c r="H74" s="506"/>
      <c r="I74" s="506"/>
      <c r="J74" s="506"/>
      <c r="K74" s="506"/>
      <c r="L74" s="506"/>
      <c r="M74" s="506"/>
      <c r="N74" s="505"/>
      <c r="O74" s="505"/>
      <c r="P74" s="4120" t="s">
        <v>2825</v>
      </c>
      <c r="Q74" s="505"/>
      <c r="R74" s="1086"/>
      <c r="S74" s="1086"/>
      <c r="T74" s="505"/>
      <c r="U74" s="1086"/>
      <c r="V74" s="506"/>
      <c r="W74" s="507"/>
      <c r="X74" s="506"/>
      <c r="Y74" s="506"/>
      <c r="Z74" s="508"/>
      <c r="AA74" s="509"/>
      <c r="AB74" s="3604" t="str">
        <f>"Schedule R (Form 1040)  "&amp;TaxYear</f>
        <v>Schedule R (Form 1040)  2021</v>
      </c>
      <c r="AC74" s="588"/>
      <c r="AD74" s="3562"/>
      <c r="AE74" s="588"/>
      <c r="AF74" s="1513"/>
      <c r="AG74" s="2595"/>
      <c r="AH74" s="2595"/>
      <c r="AI74" s="2595"/>
      <c r="AJ74" s="2595"/>
      <c r="AK74" s="2595"/>
      <c r="AL74" s="2595"/>
      <c r="AM74" s="2595"/>
      <c r="AN74" s="2595"/>
      <c r="AO74" s="2595"/>
      <c r="AP74" s="2595"/>
    </row>
    <row r="75" spans="1:42" s="3402" customFormat="1" ht="19.5" customHeight="1" thickBot="1">
      <c r="A75" s="588"/>
      <c r="B75" s="1481" t="str">
        <f>"Schedule R (Form 1040) "&amp;TaxYear</f>
        <v>Schedule R (Form 1040) 2021</v>
      </c>
      <c r="C75" s="1481"/>
      <c r="D75" s="1481"/>
      <c r="E75" s="1481"/>
      <c r="F75" s="1481"/>
      <c r="G75" s="1481"/>
      <c r="H75" s="1481"/>
      <c r="I75" s="1481"/>
      <c r="J75" s="1481"/>
      <c r="K75" s="1481"/>
      <c r="L75" s="1481"/>
      <c r="M75" s="1481"/>
      <c r="N75" s="1481"/>
      <c r="O75" s="1481"/>
      <c r="P75" s="1481"/>
      <c r="Q75" s="1481"/>
      <c r="R75" s="1481"/>
      <c r="S75" s="1481"/>
      <c r="T75" s="1481"/>
      <c r="U75" s="1481"/>
      <c r="V75" s="1481"/>
      <c r="W75" s="1481"/>
      <c r="X75" s="1481"/>
      <c r="Y75" s="1482"/>
      <c r="Z75" s="1483"/>
      <c r="AA75" s="1483" t="s">
        <v>197</v>
      </c>
      <c r="AB75" s="1484" t="str">
        <f>"2"</f>
        <v>2</v>
      </c>
      <c r="AC75" s="588"/>
      <c r="AD75" s="385"/>
      <c r="AE75" s="588"/>
      <c r="AF75"/>
      <c r="AG75" s="2595"/>
      <c r="AH75" s="2595"/>
      <c r="AI75" s="2595"/>
      <c r="AJ75" s="2595"/>
      <c r="AK75" s="2595"/>
      <c r="AL75" s="2595"/>
      <c r="AM75" s="2595"/>
      <c r="AN75" s="2595"/>
      <c r="AO75" s="2595"/>
      <c r="AP75" s="2595"/>
    </row>
    <row r="76" spans="1:42" s="3402" customFormat="1" ht="15.75" thickTop="1">
      <c r="A76" s="588"/>
      <c r="B76" s="7565" t="s">
        <v>319</v>
      </c>
      <c r="C76" s="7566"/>
      <c r="D76" s="1490" t="s">
        <v>2858</v>
      </c>
      <c r="E76" s="1485"/>
      <c r="F76" s="1485"/>
      <c r="G76" s="1485"/>
      <c r="H76" s="1485"/>
      <c r="I76" s="1485"/>
      <c r="J76" s="1485"/>
      <c r="K76" s="1485"/>
      <c r="L76" s="1485"/>
      <c r="M76" s="1485"/>
      <c r="N76" s="1485"/>
      <c r="O76" s="1485"/>
      <c r="P76" s="1485"/>
      <c r="Q76" s="1485"/>
      <c r="R76" s="1485"/>
      <c r="S76" s="1485"/>
      <c r="T76" s="1485"/>
      <c r="U76" s="1485"/>
      <c r="V76" s="1485"/>
      <c r="W76" s="1485"/>
      <c r="X76" s="1485"/>
      <c r="Y76" s="1485"/>
      <c r="Z76" s="1485"/>
      <c r="AA76" s="1485"/>
      <c r="AB76" s="1485"/>
      <c r="AC76" s="588"/>
      <c r="AD76" s="385"/>
      <c r="AE76" s="588"/>
      <c r="AF76"/>
      <c r="AG76" s="2595"/>
      <c r="AH76" s="2595"/>
      <c r="AI76" s="2595"/>
      <c r="AJ76" s="2595"/>
      <c r="AK76" s="2595"/>
      <c r="AL76" s="2595"/>
      <c r="AM76" s="2595"/>
      <c r="AN76" s="2595"/>
      <c r="AO76" s="2595"/>
      <c r="AP76" s="2595"/>
    </row>
    <row r="77" spans="1:42" s="3402" customFormat="1" ht="12" customHeight="1">
      <c r="A77" s="588"/>
      <c r="B77" s="198">
        <v>10</v>
      </c>
      <c r="C77" s="161" t="s">
        <v>2859</v>
      </c>
      <c r="D77" s="326"/>
      <c r="E77" s="326"/>
      <c r="F77" s="326"/>
      <c r="G77" s="326"/>
      <c r="H77" s="326"/>
      <c r="I77" s="326"/>
      <c r="J77" s="326"/>
      <c r="K77" s="161" t="s">
        <v>355</v>
      </c>
      <c r="L77" s="326"/>
      <c r="M77" s="326"/>
      <c r="N77" s="326"/>
      <c r="O77" s="326"/>
      <c r="P77" s="326"/>
      <c r="Q77" s="326"/>
      <c r="R77" s="326"/>
      <c r="S77" s="326"/>
      <c r="T77" s="326"/>
      <c r="U77" s="326"/>
      <c r="V77" s="326"/>
      <c r="W77" s="326"/>
      <c r="X77" s="1467"/>
      <c r="Y77" s="184"/>
      <c r="Z77" s="212" t="str">
        <f>IF(AND(U77&lt;&gt;"",X77&lt;&gt;""),"Check ONLY one.","")</f>
        <v/>
      </c>
      <c r="AA77" s="184"/>
      <c r="AB77" s="184"/>
      <c r="AC77" s="588"/>
      <c r="AD77" s="385"/>
      <c r="AE77" s="588"/>
      <c r="AF77"/>
      <c r="AG77" s="2595"/>
      <c r="AH77" s="2595"/>
      <c r="AI77" s="2595"/>
      <c r="AJ77" s="2595"/>
      <c r="AK77" s="2595"/>
      <c r="AL77" s="2595"/>
      <c r="AM77" s="2595"/>
      <c r="AN77" s="2595"/>
      <c r="AO77" s="2595"/>
      <c r="AP77" s="2595"/>
    </row>
    <row r="78" spans="1:42" s="3402" customFormat="1" ht="12" customHeight="1">
      <c r="A78" s="588"/>
      <c r="B78" s="3614" t="b">
        <f>OR(AA29&lt;&gt;"",AA31&lt;&gt;"",AA37&lt;&gt;"",AA46&lt;&gt;"")</f>
        <v>0</v>
      </c>
      <c r="C78" s="169" t="s">
        <v>2860</v>
      </c>
      <c r="D78" s="169"/>
      <c r="E78" s="169"/>
      <c r="F78" s="169"/>
      <c r="G78" s="169"/>
      <c r="H78" s="169"/>
      <c r="I78" s="169"/>
      <c r="J78" s="596" t="s">
        <v>1055</v>
      </c>
      <c r="K78" s="7567">
        <v>5000</v>
      </c>
      <c r="L78" s="7567"/>
      <c r="M78" s="7567"/>
      <c r="N78" s="169"/>
      <c r="O78" s="169"/>
      <c r="P78" s="169"/>
      <c r="Q78" s="169"/>
      <c r="R78" s="169"/>
      <c r="S78" s="169"/>
      <c r="T78" s="169"/>
      <c r="U78" s="169"/>
      <c r="V78" s="169"/>
      <c r="W78" s="596"/>
      <c r="X78" s="1468"/>
      <c r="Y78" s="184"/>
      <c r="Z78" s="212"/>
      <c r="AA78" s="184"/>
      <c r="AB78" s="184"/>
      <c r="AC78" s="588"/>
      <c r="AD78" s="385"/>
      <c r="AE78" s="588"/>
      <c r="AF78"/>
      <c r="AG78" s="2595"/>
      <c r="AH78" s="2595"/>
      <c r="AI78" s="2595"/>
      <c r="AJ78" s="2595"/>
      <c r="AK78" s="2595"/>
      <c r="AL78" s="2595"/>
      <c r="AM78" s="2595"/>
      <c r="AN78" s="2595"/>
      <c r="AO78" s="2595"/>
      <c r="AP78" s="2595"/>
    </row>
    <row r="79" spans="1:42" ht="12" customHeight="1">
      <c r="A79" s="588"/>
      <c r="B79" s="3614" t="b">
        <f>OR(AA34&lt;&gt;"",AA40&lt;&gt;"",AA43&lt;&gt;"")</f>
        <v>0</v>
      </c>
      <c r="C79" s="169" t="s">
        <v>2861</v>
      </c>
      <c r="D79" s="169"/>
      <c r="E79" s="169"/>
      <c r="F79" s="169"/>
      <c r="G79" s="169"/>
      <c r="H79" s="169"/>
      <c r="I79" s="169"/>
      <c r="J79" s="596" t="s">
        <v>2780</v>
      </c>
      <c r="K79" s="7567">
        <v>7500</v>
      </c>
      <c r="L79" s="7567"/>
      <c r="M79" s="7567"/>
      <c r="N79" s="169"/>
      <c r="O79" s="169"/>
      <c r="P79" s="169"/>
      <c r="Q79" s="169"/>
      <c r="R79" s="169"/>
      <c r="S79" s="169"/>
      <c r="T79" s="169"/>
      <c r="U79" s="169"/>
      <c r="V79" s="169"/>
      <c r="W79" s="596" t="s">
        <v>2780</v>
      </c>
      <c r="X79" s="3609">
        <v>10</v>
      </c>
      <c r="Y79" s="7444" t="str">
        <f>IF(B78,K78,IF(B79,K79,IF(B80,K80,"")))</f>
        <v/>
      </c>
      <c r="Z79" s="7453"/>
      <c r="AA79" s="6585"/>
      <c r="AB79" s="6585"/>
      <c r="AC79" s="588"/>
      <c r="AD79" s="385"/>
      <c r="AE79" s="588"/>
    </row>
    <row r="80" spans="1:42" ht="12" customHeight="1">
      <c r="A80" s="588"/>
      <c r="B80" s="3614" t="b">
        <f>OR(AA49&lt;&gt;"",AA52&lt;&gt;"")</f>
        <v>0</v>
      </c>
      <c r="C80" s="169" t="s">
        <v>2862</v>
      </c>
      <c r="D80" s="3611"/>
      <c r="E80" s="3611"/>
      <c r="F80" s="3611"/>
      <c r="G80" s="3611"/>
      <c r="H80" s="3611"/>
      <c r="I80" s="3611"/>
      <c r="J80" s="596" t="s">
        <v>2211</v>
      </c>
      <c r="K80" s="7567">
        <v>3750</v>
      </c>
      <c r="L80" s="7567"/>
      <c r="M80" s="7567"/>
      <c r="N80" s="3610"/>
      <c r="O80" s="2065"/>
      <c r="P80" s="2065"/>
      <c r="Q80" s="3612"/>
      <c r="R80" s="3608"/>
      <c r="S80" s="1452"/>
      <c r="T80" s="1452"/>
      <c r="U80" s="1452"/>
      <c r="V80" s="2246"/>
      <c r="W80" s="2246"/>
      <c r="X80" s="1468"/>
      <c r="Y80" s="184"/>
      <c r="Z80" s="212" t="str">
        <f>IF(AND(U80&lt;&gt;"",X80&lt;&gt;""),"Check ONLY one.","")</f>
        <v/>
      </c>
      <c r="AA80" s="184"/>
      <c r="AB80" s="184"/>
      <c r="AC80" s="588"/>
      <c r="AD80" s="385"/>
      <c r="AE80" s="588"/>
    </row>
    <row r="81" spans="1:31" ht="4.5" customHeight="1" thickBot="1">
      <c r="A81" s="588"/>
      <c r="B81" s="169"/>
      <c r="C81" s="169"/>
      <c r="D81" s="3611"/>
      <c r="E81" s="3611"/>
      <c r="F81" s="3611"/>
      <c r="G81" s="3611"/>
      <c r="H81" s="3611"/>
      <c r="I81" s="3611"/>
      <c r="J81" s="3611"/>
      <c r="K81" s="3611"/>
      <c r="L81" s="3611"/>
      <c r="M81" s="3611"/>
      <c r="N81" s="3611"/>
      <c r="O81" s="3611"/>
      <c r="P81" s="3612"/>
      <c r="Q81" s="3612"/>
      <c r="R81" s="3612"/>
      <c r="S81" s="3611"/>
      <c r="T81" s="3611"/>
      <c r="U81" s="3611"/>
      <c r="V81" s="3611"/>
      <c r="W81" s="3611"/>
      <c r="X81" s="1468"/>
      <c r="Y81" s="184"/>
      <c r="Z81" s="212" t="str">
        <f>IF(AND(U81&lt;&gt;"",X81&lt;&gt;""),"Check ONLY one.","")</f>
        <v/>
      </c>
      <c r="AA81" s="184"/>
      <c r="AB81" s="184"/>
      <c r="AC81" s="588"/>
      <c r="AD81" s="385"/>
      <c r="AE81" s="588"/>
    </row>
    <row r="82" spans="1:31" ht="5.25" customHeight="1">
      <c r="A82" s="588"/>
      <c r="B82" s="169"/>
      <c r="C82" s="3615"/>
      <c r="D82" s="3617"/>
      <c r="E82" s="3620"/>
      <c r="F82" s="3611"/>
      <c r="G82" s="3611"/>
      <c r="H82" s="3611"/>
      <c r="I82" s="3611"/>
      <c r="J82" s="3611"/>
      <c r="K82" s="3606"/>
      <c r="L82" s="3607"/>
      <c r="M82" s="3610"/>
      <c r="N82" s="3610"/>
      <c r="O82" s="2065"/>
      <c r="P82" s="2065"/>
      <c r="Q82" s="3612"/>
      <c r="R82" s="3608"/>
      <c r="S82" s="1452"/>
      <c r="T82" s="1452"/>
      <c r="U82" s="1452"/>
      <c r="V82" s="2246"/>
      <c r="W82" s="2246"/>
      <c r="X82" s="1468"/>
      <c r="Y82" s="184"/>
      <c r="Z82" s="212" t="str">
        <f>IF(AND(U82&lt;&gt;"",X82&lt;&gt;""),"Check ONLY one.","")</f>
        <v/>
      </c>
      <c r="AA82" s="184"/>
      <c r="AB82" s="184"/>
      <c r="AC82" s="588"/>
      <c r="AD82" s="385"/>
      <c r="AE82" s="588"/>
    </row>
    <row r="83" spans="1:31" ht="12" customHeight="1">
      <c r="A83" s="588"/>
      <c r="B83" s="169"/>
      <c r="C83" s="1442" t="s">
        <v>2850</v>
      </c>
      <c r="D83" s="3618"/>
      <c r="E83" s="993" t="s">
        <v>2852</v>
      </c>
      <c r="F83" s="7553" t="s">
        <v>271</v>
      </c>
      <c r="G83" s="7553"/>
      <c r="H83" s="993" t="s">
        <v>2871</v>
      </c>
      <c r="I83" s="3611"/>
      <c r="J83" s="3611"/>
      <c r="K83" s="3611"/>
      <c r="L83" s="3611" t="s">
        <v>5300</v>
      </c>
      <c r="M83" s="3611"/>
      <c r="N83" s="3611"/>
      <c r="O83" s="3611"/>
      <c r="P83" s="3612"/>
      <c r="Q83" s="3612"/>
      <c r="R83" s="3612"/>
      <c r="S83" s="3611"/>
      <c r="T83" s="3611"/>
      <c r="U83" s="3611"/>
      <c r="V83" s="3611"/>
      <c r="W83" s="3611"/>
      <c r="X83" s="1468"/>
      <c r="Y83" s="184"/>
      <c r="Z83" s="212" t="str">
        <f>IF(AND(U83&lt;&gt;"",X83&lt;&gt;""),"Check ONLY one.","")</f>
        <v/>
      </c>
      <c r="AA83" s="184"/>
      <c r="AB83" s="184"/>
      <c r="AC83" s="588"/>
      <c r="AD83" s="385"/>
      <c r="AE83" s="588"/>
    </row>
    <row r="84" spans="1:31" ht="12" customHeight="1">
      <c r="A84" s="588"/>
      <c r="B84" s="3614" t="b">
        <f>OR(AA31&lt;&gt;"",AA37&lt;&gt;"",AA40&lt;&gt;"",AA43&lt;&gt;"",AA52&lt;&gt;"")</f>
        <v>0</v>
      </c>
      <c r="C84" s="1442" t="s">
        <v>2863</v>
      </c>
      <c r="D84" s="3618"/>
      <c r="E84" s="3620"/>
      <c r="F84" s="3611"/>
      <c r="G84" s="3611"/>
      <c r="H84" s="3611"/>
      <c r="I84" s="3611"/>
      <c r="J84" s="3611"/>
      <c r="K84" s="3611"/>
      <c r="L84" s="3611"/>
      <c r="M84" s="3611"/>
      <c r="N84" s="3611"/>
      <c r="O84" s="3611"/>
      <c r="P84" s="3612"/>
      <c r="Q84" s="3612"/>
      <c r="R84" s="3612"/>
      <c r="S84" s="3611"/>
      <c r="T84" s="3611"/>
      <c r="U84" s="3611"/>
      <c r="V84" s="3611"/>
      <c r="W84" s="3611"/>
      <c r="X84" s="1468"/>
      <c r="Y84" s="184"/>
      <c r="Z84" s="212"/>
      <c r="AA84" s="184"/>
      <c r="AB84" s="184"/>
      <c r="AC84" s="588"/>
      <c r="AD84" s="385"/>
      <c r="AE84" s="588"/>
    </row>
    <row r="85" spans="1:31" ht="12" customHeight="1">
      <c r="A85" s="588"/>
      <c r="B85" s="169"/>
      <c r="C85" s="1442" t="s">
        <v>2864</v>
      </c>
      <c r="D85" s="3618"/>
      <c r="E85" s="993" t="s">
        <v>2852</v>
      </c>
      <c r="F85" s="7553" t="s">
        <v>272</v>
      </c>
      <c r="G85" s="7553"/>
      <c r="H85" s="993" t="s">
        <v>2871</v>
      </c>
      <c r="I85" s="3611"/>
      <c r="J85" s="3611"/>
      <c r="K85" s="3611"/>
      <c r="L85" s="3611" t="s">
        <v>2865</v>
      </c>
      <c r="M85" s="3611"/>
      <c r="N85" s="3611"/>
      <c r="O85" s="3611"/>
      <c r="P85" s="3611"/>
      <c r="Q85" s="3611"/>
      <c r="R85" s="3612"/>
      <c r="S85" s="3608"/>
      <c r="T85" s="1452"/>
      <c r="U85" s="1452"/>
      <c r="V85" s="2246"/>
      <c r="W85" s="3608"/>
      <c r="X85" s="1468"/>
      <c r="Y85" s="184"/>
      <c r="Z85" s="212" t="str">
        <f>IF(AND(U85&lt;&gt;"",X85&lt;&gt;""),"Check ONLY one.","")</f>
        <v/>
      </c>
      <c r="AA85" s="184"/>
      <c r="AB85" s="184"/>
      <c r="AC85" s="588"/>
      <c r="AD85" s="385"/>
      <c r="AE85" s="588"/>
    </row>
    <row r="86" spans="1:31" ht="6" customHeight="1" thickBot="1">
      <c r="A86" s="588"/>
      <c r="B86" s="169"/>
      <c r="C86" s="3616"/>
      <c r="D86" s="3619"/>
      <c r="E86" s="3620"/>
      <c r="F86" s="3611"/>
      <c r="G86" s="3611"/>
      <c r="H86" s="3611"/>
      <c r="I86" s="3611"/>
      <c r="J86" s="3611"/>
      <c r="K86" s="3611"/>
      <c r="L86" s="7554" t="s">
        <v>2866</v>
      </c>
      <c r="M86" s="7554"/>
      <c r="N86" s="7554"/>
      <c r="O86" s="7554"/>
      <c r="P86" s="7554"/>
      <c r="Q86" s="7554"/>
      <c r="R86" s="7554"/>
      <c r="S86" s="3611"/>
      <c r="T86" s="3611"/>
      <c r="U86" s="3611"/>
      <c r="V86" s="3611"/>
      <c r="W86" s="3611"/>
      <c r="X86" s="1468"/>
      <c r="Y86" s="184"/>
      <c r="Z86" s="184"/>
      <c r="AA86" s="184"/>
      <c r="AB86" s="184"/>
      <c r="AC86" s="588"/>
      <c r="AD86" s="385"/>
      <c r="AE86" s="588"/>
    </row>
    <row r="87" spans="1:31" ht="6.75" customHeight="1">
      <c r="A87" s="588"/>
      <c r="B87" s="169"/>
      <c r="C87" s="169"/>
      <c r="D87" s="3611"/>
      <c r="E87" s="3611"/>
      <c r="F87" s="3611"/>
      <c r="G87" s="3611"/>
      <c r="H87" s="3611"/>
      <c r="I87" s="3611"/>
      <c r="J87" s="3611"/>
      <c r="K87" s="3608"/>
      <c r="L87" s="7554"/>
      <c r="M87" s="7554"/>
      <c r="N87" s="7554"/>
      <c r="O87" s="7554"/>
      <c r="P87" s="7554"/>
      <c r="Q87" s="7554"/>
      <c r="R87" s="7554"/>
      <c r="S87" s="1452"/>
      <c r="T87" s="1452"/>
      <c r="U87" s="1452"/>
      <c r="V87" s="2246"/>
      <c r="W87" s="2246"/>
      <c r="X87" s="1468"/>
      <c r="Y87" s="184"/>
      <c r="Z87" s="212" t="str">
        <f>IF(AND(U87&lt;&gt;"",X87&lt;&gt;""),"Check ONLY one.","")</f>
        <v/>
      </c>
      <c r="AA87" s="184"/>
      <c r="AB87" s="184"/>
      <c r="AC87" s="588"/>
      <c r="AD87" s="385"/>
      <c r="AE87" s="588"/>
    </row>
    <row r="88" spans="1:31" ht="12" customHeight="1">
      <c r="A88" s="588"/>
      <c r="B88" s="198">
        <v>11</v>
      </c>
      <c r="C88" s="161" t="s">
        <v>2859</v>
      </c>
      <c r="D88" s="3613"/>
      <c r="E88" s="3613"/>
      <c r="F88" s="3613"/>
      <c r="G88" s="3613"/>
      <c r="H88" s="3613"/>
      <c r="I88" s="3613"/>
      <c r="J88" s="3613"/>
      <c r="K88" s="3613"/>
      <c r="L88" s="3613"/>
      <c r="M88" s="3613"/>
      <c r="N88" s="3613"/>
      <c r="O88" s="3613"/>
      <c r="P88" s="3613"/>
      <c r="Q88" s="3613"/>
      <c r="R88" s="3613"/>
      <c r="S88" s="3613"/>
      <c r="T88" s="3613"/>
      <c r="U88" s="3613"/>
      <c r="V88" s="3613"/>
      <c r="W88" s="3613"/>
      <c r="X88" s="1468"/>
      <c r="Y88" s="326"/>
      <c r="Z88" s="326"/>
      <c r="AA88" s="326"/>
      <c r="AB88" s="326"/>
      <c r="AC88" s="588"/>
      <c r="AD88" s="385"/>
      <c r="AE88" s="588"/>
    </row>
    <row r="89" spans="1:31" ht="12" customHeight="1">
      <c r="A89" s="588"/>
      <c r="B89" s="3614" t="b">
        <f>AA43&lt;&gt;""</f>
        <v>0</v>
      </c>
      <c r="C89" s="3621" t="s">
        <v>2827</v>
      </c>
      <c r="D89" s="3612" t="str">
        <f>"Box 6, add "&amp;TEXT(K78,"$0,000")&amp;" to the taxable disability income of the"</f>
        <v>Box 6, add $5,000 to the taxable disability income of the</v>
      </c>
      <c r="E89" s="3612"/>
      <c r="F89" s="3612"/>
      <c r="G89" s="3612"/>
      <c r="H89" s="3612"/>
      <c r="I89" s="3612"/>
      <c r="J89" s="3612"/>
      <c r="K89" s="3612"/>
      <c r="L89" s="3612"/>
      <c r="M89" s="3612"/>
      <c r="N89" s="3612"/>
      <c r="O89" s="3612"/>
      <c r="P89" s="3612"/>
      <c r="Q89" s="3612"/>
      <c r="R89" s="3612"/>
      <c r="S89" s="3612"/>
      <c r="T89" s="3612"/>
      <c r="U89" s="3612"/>
      <c r="V89" s="3612"/>
      <c r="W89" s="3608"/>
      <c r="X89" s="1468"/>
      <c r="Y89" s="184"/>
      <c r="Z89" s="212" t="str">
        <f>IF(AND(U89&lt;&gt;"",X89&lt;&gt;""),"Check ONLY one.","")</f>
        <v/>
      </c>
      <c r="AA89" s="184"/>
      <c r="AB89" s="184"/>
      <c r="AC89" s="588"/>
      <c r="AD89" s="385"/>
      <c r="AE89" s="588"/>
    </row>
    <row r="90" spans="1:31" ht="12" customHeight="1">
      <c r="A90" s="588"/>
      <c r="B90" s="169"/>
      <c r="C90" s="3622"/>
      <c r="D90" s="3612" t="s">
        <v>2867</v>
      </c>
      <c r="E90" s="3613"/>
      <c r="F90" s="3613"/>
      <c r="G90" s="3613"/>
      <c r="H90" s="3613"/>
      <c r="I90" s="3613"/>
      <c r="J90" s="3613"/>
      <c r="K90" s="3613"/>
      <c r="L90" s="3613"/>
      <c r="M90" s="3613"/>
      <c r="N90" s="3613"/>
      <c r="O90" s="3613"/>
      <c r="P90" s="3613"/>
      <c r="Q90" s="3613"/>
      <c r="R90" s="3613"/>
      <c r="S90" s="3613"/>
      <c r="T90" s="3613"/>
      <c r="U90" s="3613"/>
      <c r="V90" s="3613"/>
      <c r="W90" s="3613"/>
      <c r="X90" s="1468"/>
      <c r="Y90" s="326"/>
      <c r="Z90" s="326"/>
      <c r="AA90" s="326"/>
      <c r="AB90" s="326"/>
      <c r="AC90" s="588"/>
      <c r="AD90" s="385"/>
      <c r="AE90" s="588"/>
    </row>
    <row r="91" spans="1:31" ht="12" customHeight="1">
      <c r="A91" s="588"/>
      <c r="B91" s="3614" t="b">
        <f>OR(AA31&lt;&gt;"",AA37&lt;&gt;"",AA52&lt;&gt;"")</f>
        <v>0</v>
      </c>
      <c r="C91" s="3621" t="s">
        <v>2827</v>
      </c>
      <c r="D91" s="3612" t="s">
        <v>2868</v>
      </c>
      <c r="E91" s="3612"/>
      <c r="F91" s="3612"/>
      <c r="G91" s="3612"/>
      <c r="H91" s="3612"/>
      <c r="I91" s="3612"/>
      <c r="J91" s="3612"/>
      <c r="K91" s="3612"/>
      <c r="L91" s="3612"/>
      <c r="M91" s="3612"/>
      <c r="N91" s="3612"/>
      <c r="O91" s="3612"/>
      <c r="P91" s="3612"/>
      <c r="Q91" s="3612"/>
      <c r="R91" s="3612"/>
      <c r="S91" s="3612"/>
      <c r="T91" s="3612"/>
      <c r="U91" s="3612"/>
      <c r="V91" s="3612"/>
      <c r="W91" s="596" t="s">
        <v>644</v>
      </c>
      <c r="X91" s="3609">
        <v>11</v>
      </c>
      <c r="Y91" s="7444" t="str">
        <f>IF(AD91&lt;&gt;"",ROUND(AD91,0),IF(AND(B89,I12),SUM(K78,F10),IF(AND(B89,P12),SUM(K78,J10),IF(AND(B91,I12),F10,IF(AND(B91,P12),J10,IF(B92,SUM(F10,J10),""))))))</f>
        <v/>
      </c>
      <c r="Z91" s="7453"/>
      <c r="AA91" s="6585"/>
      <c r="AB91" s="6585"/>
      <c r="AC91" s="588"/>
      <c r="AD91" s="3668"/>
      <c r="AE91" s="588"/>
    </row>
    <row r="92" spans="1:31" ht="12" customHeight="1">
      <c r="A92" s="588"/>
      <c r="B92" s="3614" t="b">
        <f>AA40&lt;&gt;""</f>
        <v>0</v>
      </c>
      <c r="C92" s="3621" t="s">
        <v>2827</v>
      </c>
      <c r="D92" s="3612" t="s">
        <v>2869</v>
      </c>
      <c r="E92" s="3613"/>
      <c r="F92" s="3613"/>
      <c r="G92" s="3613"/>
      <c r="H92" s="3613"/>
      <c r="I92" s="3613"/>
      <c r="J92" s="3613"/>
      <c r="K92" s="3613"/>
      <c r="L92" s="3613"/>
      <c r="M92" s="3613"/>
      <c r="N92" s="3613"/>
      <c r="O92" s="3613"/>
      <c r="P92" s="3613"/>
      <c r="Q92" s="3613"/>
      <c r="R92" s="3613"/>
      <c r="S92" s="3613"/>
      <c r="T92" s="3613"/>
      <c r="U92" s="3613"/>
      <c r="V92" s="3613"/>
      <c r="W92" s="3613"/>
      <c r="X92" s="1468"/>
      <c r="Y92" s="326"/>
      <c r="Z92" s="326"/>
      <c r="AA92" s="326"/>
      <c r="AB92" s="326"/>
      <c r="AC92" s="588"/>
      <c r="AD92" s="385"/>
      <c r="AE92" s="588"/>
    </row>
    <row r="93" spans="1:31" ht="12" customHeight="1">
      <c r="A93" s="588"/>
      <c r="B93" s="3614" t="b">
        <f>OR(B89,B91,B92)</f>
        <v>0</v>
      </c>
      <c r="C93" s="169"/>
      <c r="D93" s="3612" t="s">
        <v>2870</v>
      </c>
      <c r="E93" s="3612"/>
      <c r="F93" s="3612"/>
      <c r="G93" s="3612"/>
      <c r="H93" s="3612"/>
      <c r="I93" s="3612"/>
      <c r="J93" s="3612"/>
      <c r="K93" s="3612"/>
      <c r="L93" s="3612"/>
      <c r="M93" s="3612"/>
      <c r="N93" s="3612"/>
      <c r="O93" s="3612"/>
      <c r="P93" s="3612"/>
      <c r="Q93" s="3612"/>
      <c r="R93" s="3612"/>
      <c r="S93" s="3612"/>
      <c r="T93" s="3612"/>
      <c r="U93" s="3612"/>
      <c r="V93" s="3612"/>
      <c r="W93" s="3608"/>
      <c r="X93" s="1468"/>
      <c r="Y93" s="326"/>
      <c r="Z93" s="326"/>
      <c r="AA93" s="326"/>
      <c r="AB93" s="326"/>
      <c r="AC93" s="588"/>
      <c r="AD93" s="385"/>
      <c r="AE93" s="588"/>
    </row>
    <row r="94" spans="1:31" ht="6.75" customHeight="1">
      <c r="A94" s="588"/>
      <c r="B94" s="3613"/>
      <c r="C94" s="3613"/>
      <c r="D94" s="3613"/>
      <c r="E94" s="3613"/>
      <c r="F94" s="3613"/>
      <c r="G94" s="3613"/>
      <c r="H94" s="3613"/>
      <c r="I94" s="3613"/>
      <c r="J94" s="3613"/>
      <c r="K94" s="3613"/>
      <c r="L94" s="3613"/>
      <c r="M94" s="3613"/>
      <c r="N94" s="3613"/>
      <c r="O94" s="3613"/>
      <c r="P94" s="3613"/>
      <c r="Q94" s="3613"/>
      <c r="R94" s="3613"/>
      <c r="S94" s="3613"/>
      <c r="T94" s="3613"/>
      <c r="U94" s="3613"/>
      <c r="V94" s="3613"/>
      <c r="W94" s="3613"/>
      <c r="X94" s="1468"/>
      <c r="Y94" s="326"/>
      <c r="Z94" s="326"/>
      <c r="AA94" s="326"/>
      <c r="AB94" s="326"/>
      <c r="AC94" s="588"/>
      <c r="AD94" s="385"/>
      <c r="AE94" s="588"/>
    </row>
    <row r="95" spans="1:31" ht="12" customHeight="1">
      <c r="A95" s="588"/>
      <c r="B95" s="198"/>
      <c r="C95" s="164"/>
      <c r="D95" s="1471" t="s">
        <v>4124</v>
      </c>
      <c r="E95" s="169"/>
      <c r="F95" s="169"/>
      <c r="G95" s="169"/>
      <c r="H95" s="169"/>
      <c r="I95" s="169"/>
      <c r="J95" s="169"/>
      <c r="K95" s="169"/>
      <c r="L95" s="169"/>
      <c r="M95" s="169"/>
      <c r="N95" s="169"/>
      <c r="O95" s="169"/>
      <c r="P95" s="169"/>
      <c r="Q95" s="169"/>
      <c r="R95" s="169"/>
      <c r="S95" s="169"/>
      <c r="T95" s="169"/>
      <c r="U95" s="169"/>
      <c r="V95" s="169"/>
      <c r="W95" s="596"/>
      <c r="X95" s="1468"/>
      <c r="Y95" s="326"/>
      <c r="Z95" s="326"/>
      <c r="AA95" s="326"/>
      <c r="AB95" s="326"/>
      <c r="AC95" s="588"/>
      <c r="AD95" s="385"/>
      <c r="AE95" s="588"/>
    </row>
    <row r="96" spans="1:31" ht="6.75" customHeight="1">
      <c r="A96" s="588"/>
      <c r="B96" s="326"/>
      <c r="C96" s="326"/>
      <c r="D96" s="326"/>
      <c r="E96" s="326"/>
      <c r="F96" s="326"/>
      <c r="G96" s="326"/>
      <c r="H96" s="326"/>
      <c r="I96" s="326"/>
      <c r="J96" s="326"/>
      <c r="K96" s="326"/>
      <c r="L96" s="326"/>
      <c r="M96" s="326"/>
      <c r="N96" s="326"/>
      <c r="O96" s="326"/>
      <c r="P96" s="326"/>
      <c r="Q96" s="326"/>
      <c r="R96" s="326"/>
      <c r="S96" s="326"/>
      <c r="T96" s="326"/>
      <c r="U96" s="326"/>
      <c r="V96" s="326"/>
      <c r="W96" s="326"/>
      <c r="X96" s="1468"/>
      <c r="Y96" s="326"/>
      <c r="Z96" s="326"/>
      <c r="AA96" s="326"/>
      <c r="AB96" s="326"/>
      <c r="AC96" s="588"/>
      <c r="AD96" s="385"/>
      <c r="AE96" s="588"/>
    </row>
    <row r="97" spans="1:31" ht="12" customHeight="1">
      <c r="A97" s="588"/>
      <c r="B97" s="198">
        <v>12</v>
      </c>
      <c r="C97" s="164" t="s">
        <v>2873</v>
      </c>
      <c r="D97" s="164"/>
      <c r="E97" s="169"/>
      <c r="F97" s="169"/>
      <c r="G97" s="169"/>
      <c r="H97" s="169"/>
      <c r="I97" s="169"/>
      <c r="J97" s="169"/>
      <c r="K97" s="169"/>
      <c r="L97" s="169"/>
      <c r="M97" s="169"/>
      <c r="N97" s="169"/>
      <c r="O97" s="169"/>
      <c r="P97" s="169"/>
      <c r="Q97" s="169"/>
      <c r="R97" s="326"/>
      <c r="S97" s="326"/>
      <c r="T97" s="326"/>
      <c r="U97" s="326"/>
      <c r="V97" s="326"/>
      <c r="W97" s="326"/>
      <c r="X97" s="1468"/>
      <c r="Y97" s="326"/>
      <c r="Z97" s="326"/>
      <c r="AA97" s="326"/>
      <c r="AB97" s="326"/>
      <c r="AC97" s="588"/>
      <c r="AD97" s="385"/>
      <c r="AE97" s="588"/>
    </row>
    <row r="98" spans="1:31" ht="12" customHeight="1">
      <c r="A98" s="588"/>
      <c r="B98" s="198"/>
      <c r="C98" s="184" t="s">
        <v>2874</v>
      </c>
      <c r="D98" s="184"/>
      <c r="E98" s="184"/>
      <c r="F98" s="184"/>
      <c r="G98" s="184"/>
      <c r="H98" s="184"/>
      <c r="I98" s="184"/>
      <c r="J98" s="184"/>
      <c r="K98" s="184"/>
      <c r="L98" s="184"/>
      <c r="M98" s="184"/>
      <c r="N98" s="184"/>
      <c r="O98" s="184"/>
      <c r="P98" s="184"/>
      <c r="Q98" s="184"/>
      <c r="R98" s="326"/>
      <c r="S98" s="326"/>
      <c r="T98" s="326"/>
      <c r="U98" s="326"/>
      <c r="V98" s="326"/>
      <c r="W98" s="596" t="s">
        <v>2418</v>
      </c>
      <c r="X98" s="3609">
        <v>12</v>
      </c>
      <c r="Y98" s="7444" t="str">
        <f>IF(B93,MIN(Y79,Y91),Y79)</f>
        <v/>
      </c>
      <c r="Z98" s="7453"/>
      <c r="AA98" s="6585"/>
      <c r="AB98" s="6585"/>
      <c r="AC98" s="588"/>
      <c r="AD98" s="3668"/>
      <c r="AE98" s="588"/>
    </row>
    <row r="99" spans="1:31" ht="12" customHeight="1">
      <c r="A99" s="588"/>
      <c r="B99" s="198">
        <v>13</v>
      </c>
      <c r="C99" s="164" t="s">
        <v>2875</v>
      </c>
      <c r="D99" s="164"/>
      <c r="E99" s="169"/>
      <c r="F99" s="169"/>
      <c r="G99" s="169"/>
      <c r="H99" s="169"/>
      <c r="I99" s="169"/>
      <c r="J99" s="169"/>
      <c r="K99" s="169"/>
      <c r="L99" s="169"/>
      <c r="M99" s="169"/>
      <c r="N99" s="169"/>
      <c r="O99" s="169"/>
      <c r="P99" s="169"/>
      <c r="Q99" s="169"/>
      <c r="R99" s="326"/>
      <c r="S99" s="5593"/>
      <c r="T99" s="326"/>
      <c r="U99" s="326"/>
      <c r="V99" s="326"/>
      <c r="W99" s="326"/>
      <c r="X99" s="1468"/>
      <c r="Y99" s="326"/>
      <c r="Z99" s="326"/>
      <c r="AA99" s="326"/>
      <c r="AB99" s="326"/>
      <c r="AC99" s="588"/>
      <c r="AD99" s="385"/>
      <c r="AE99" s="588"/>
    </row>
    <row r="100" spans="1:31" ht="12" customHeight="1">
      <c r="A100" s="588"/>
      <c r="B100" s="198"/>
      <c r="C100" s="993" t="str">
        <f>"you (and your spouse if filing jointly) received in "&amp;TaxYear&amp;"."</f>
        <v>you (and your spouse if filing jointly) received in 2021.</v>
      </c>
      <c r="D100" s="993"/>
      <c r="E100" s="184"/>
      <c r="F100" s="184"/>
      <c r="G100" s="184"/>
      <c r="H100" s="184"/>
      <c r="I100" s="184"/>
      <c r="J100" s="184"/>
      <c r="K100" s="184"/>
      <c r="L100" s="184"/>
      <c r="M100" s="184"/>
      <c r="N100" s="184"/>
      <c r="O100" s="184"/>
      <c r="P100" s="184"/>
      <c r="Q100" s="184"/>
      <c r="R100" s="1470"/>
      <c r="S100" s="5593"/>
      <c r="T100" s="326"/>
      <c r="U100" s="326"/>
      <c r="V100" s="326"/>
      <c r="W100" s="326"/>
      <c r="X100" s="1468"/>
      <c r="Y100" s="326"/>
      <c r="Z100" s="326"/>
      <c r="AA100" s="326"/>
      <c r="AB100" s="326"/>
      <c r="AC100" s="588"/>
      <c r="AD100" s="385"/>
      <c r="AE100" s="588"/>
    </row>
    <row r="101" spans="1:31" ht="12" customHeight="1">
      <c r="A101" s="588"/>
      <c r="B101" s="568" t="s">
        <v>33</v>
      </c>
      <c r="C101" s="164" t="s">
        <v>2876</v>
      </c>
      <c r="D101" s="164"/>
      <c r="E101" s="169"/>
      <c r="F101" s="169"/>
      <c r="G101" s="169"/>
      <c r="H101" s="169"/>
      <c r="I101" s="169"/>
      <c r="J101" s="169"/>
      <c r="K101" s="169"/>
      <c r="L101" s="169"/>
      <c r="M101" s="169"/>
      <c r="N101" s="169"/>
      <c r="O101" s="169"/>
      <c r="P101" s="169"/>
      <c r="Q101" s="169"/>
      <c r="R101" s="169"/>
      <c r="S101" s="5593"/>
      <c r="T101" s="326"/>
      <c r="U101" s="326"/>
      <c r="V101" s="326"/>
      <c r="W101" s="326"/>
      <c r="X101" s="1468"/>
      <c r="Y101" s="326"/>
      <c r="Z101" s="326"/>
      <c r="AA101" s="326"/>
      <c r="AB101" s="326"/>
      <c r="AC101" s="588"/>
      <c r="AD101" s="385"/>
      <c r="AE101" s="588"/>
    </row>
    <row r="102" spans="1:31" ht="12" customHeight="1">
      <c r="A102" s="588"/>
      <c r="B102" s="198"/>
      <c r="C102" s="993" t="s">
        <v>2877</v>
      </c>
      <c r="D102" s="993"/>
      <c r="E102" s="184"/>
      <c r="F102" s="184"/>
      <c r="G102" s="184"/>
      <c r="H102" s="184"/>
      <c r="I102" s="184"/>
      <c r="J102" s="184"/>
      <c r="K102" s="184"/>
      <c r="L102" s="184"/>
      <c r="M102" s="184"/>
      <c r="N102" s="184"/>
      <c r="O102" s="184"/>
      <c r="P102" s="184"/>
      <c r="Q102" s="184"/>
      <c r="R102" s="1470"/>
      <c r="S102" s="5593"/>
      <c r="T102" s="326"/>
      <c r="U102" s="326"/>
      <c r="V102" s="326"/>
      <c r="W102" s="326"/>
      <c r="X102" s="1468"/>
      <c r="Y102" s="326"/>
      <c r="Z102" s="326"/>
      <c r="AA102" s="326"/>
      <c r="AB102" s="326"/>
      <c r="AC102" s="588"/>
      <c r="AD102" s="385"/>
      <c r="AE102" s="588"/>
    </row>
    <row r="103" spans="1:31" ht="12" customHeight="1">
      <c r="A103" s="588"/>
      <c r="B103" s="198"/>
      <c r="C103" s="164" t="s">
        <v>891</v>
      </c>
      <c r="D103" s="164"/>
      <c r="E103" s="169"/>
      <c r="F103" s="169"/>
      <c r="G103" s="169"/>
      <c r="H103" s="169"/>
      <c r="I103" s="169"/>
      <c r="J103" s="169"/>
      <c r="K103" s="169"/>
      <c r="L103" s="169"/>
      <c r="M103" s="169"/>
      <c r="N103" s="169"/>
      <c r="O103" s="169"/>
      <c r="P103" s="169"/>
      <c r="Q103" s="169"/>
      <c r="R103" s="596" t="s">
        <v>2908</v>
      </c>
      <c r="S103" s="3625" t="s">
        <v>2878</v>
      </c>
      <c r="T103" s="7444">
        <f>IF(AD103&lt;&gt;"",ROUND(AD103,0),SUM('1040'!N42,-'1040'!AC42))</f>
        <v>0</v>
      </c>
      <c r="U103" s="7564"/>
      <c r="V103" s="6585"/>
      <c r="W103" s="6585"/>
      <c r="X103" s="1468"/>
      <c r="Y103" s="326"/>
      <c r="Z103" s="326"/>
      <c r="AA103" s="326"/>
      <c r="AB103" s="326"/>
      <c r="AC103" s="588"/>
      <c r="AD103" s="3668"/>
      <c r="AE103" s="588"/>
    </row>
    <row r="104" spans="1:31" ht="12" customHeight="1">
      <c r="A104" s="588"/>
      <c r="B104" s="568" t="s">
        <v>47</v>
      </c>
      <c r="C104" s="993" t="s">
        <v>2879</v>
      </c>
      <c r="D104" s="993"/>
      <c r="E104" s="184"/>
      <c r="F104" s="184"/>
      <c r="G104" s="184"/>
      <c r="H104" s="184"/>
      <c r="I104" s="184"/>
      <c r="J104" s="184"/>
      <c r="K104" s="184"/>
      <c r="L104" s="184"/>
      <c r="M104" s="184"/>
      <c r="N104" s="184"/>
      <c r="O104" s="184"/>
      <c r="P104" s="184"/>
      <c r="Q104" s="184"/>
      <c r="R104" s="184"/>
      <c r="S104" s="1468"/>
      <c r="T104" s="184"/>
      <c r="U104" s="184"/>
      <c r="V104" s="184"/>
      <c r="W104" s="184"/>
      <c r="X104" s="1468"/>
      <c r="Y104" s="326"/>
      <c r="Z104" s="326"/>
      <c r="AA104" s="326"/>
      <c r="AB104" s="326"/>
      <c r="AC104" s="588"/>
      <c r="AD104" s="385"/>
      <c r="AE104" s="588"/>
    </row>
    <row r="105" spans="1:31" ht="12" customHeight="1">
      <c r="A105" s="588"/>
      <c r="B105" s="326"/>
      <c r="C105" s="993" t="s">
        <v>2880</v>
      </c>
      <c r="D105" s="993"/>
      <c r="E105" s="326"/>
      <c r="F105" s="326"/>
      <c r="G105" s="326"/>
      <c r="H105" s="326"/>
      <c r="I105" s="326"/>
      <c r="J105" s="326"/>
      <c r="K105" s="326"/>
      <c r="L105" s="326"/>
      <c r="M105" s="326"/>
      <c r="N105" s="326"/>
      <c r="O105" s="326"/>
      <c r="P105" s="326"/>
      <c r="Q105" s="326"/>
      <c r="R105" s="326"/>
      <c r="S105" s="1468"/>
      <c r="T105" s="326"/>
      <c r="U105" s="326"/>
      <c r="V105" s="326"/>
      <c r="W105" s="326"/>
      <c r="X105" s="1468"/>
      <c r="Y105" s="326"/>
      <c r="Z105" s="326"/>
      <c r="AA105" s="326"/>
      <c r="AB105" s="326"/>
      <c r="AC105" s="588"/>
      <c r="AD105" s="385"/>
      <c r="AE105" s="588"/>
    </row>
    <row r="106" spans="1:31" ht="12" customHeight="1">
      <c r="A106" s="588"/>
      <c r="B106" s="198"/>
      <c r="C106" s="993" t="s">
        <v>2881</v>
      </c>
      <c r="D106" s="993"/>
      <c r="E106" s="169"/>
      <c r="F106" s="169"/>
      <c r="G106" s="169"/>
      <c r="H106" s="169"/>
      <c r="I106" s="169"/>
      <c r="J106" s="169"/>
      <c r="K106" s="169"/>
      <c r="L106" s="169"/>
      <c r="M106" s="169"/>
      <c r="N106" s="169"/>
      <c r="O106" s="169"/>
      <c r="P106" s="169"/>
      <c r="Q106" s="169"/>
      <c r="R106" s="596" t="s">
        <v>644</v>
      </c>
      <c r="S106" s="3625" t="s">
        <v>2882</v>
      </c>
      <c r="T106" s="6991"/>
      <c r="U106" s="7568"/>
      <c r="V106" s="6801"/>
      <c r="W106" s="6801"/>
      <c r="X106" s="1468"/>
      <c r="Y106" s="326"/>
      <c r="Z106" s="326"/>
      <c r="AA106" s="326"/>
      <c r="AB106" s="326"/>
      <c r="AC106" s="588"/>
      <c r="AD106" s="385"/>
      <c r="AE106" s="588"/>
    </row>
    <row r="107" spans="1:31" ht="12" customHeight="1">
      <c r="A107" s="588"/>
      <c r="B107" s="568" t="s">
        <v>48</v>
      </c>
      <c r="C107" s="993" t="s">
        <v>2884</v>
      </c>
      <c r="D107" s="993"/>
      <c r="E107" s="326"/>
      <c r="F107" s="326"/>
      <c r="G107" s="326"/>
      <c r="H107" s="326"/>
      <c r="I107" s="326"/>
      <c r="J107" s="326"/>
      <c r="K107" s="326"/>
      <c r="L107" s="326"/>
      <c r="M107" s="326"/>
      <c r="N107" s="326"/>
      <c r="O107" s="326"/>
      <c r="P107" s="326"/>
      <c r="Q107" s="326"/>
      <c r="R107" s="326"/>
      <c r="S107" s="1468"/>
      <c r="T107" s="326"/>
      <c r="U107" s="326"/>
      <c r="V107" s="326"/>
      <c r="W107" s="326"/>
      <c r="X107" s="1468"/>
      <c r="Y107" s="326"/>
      <c r="Z107" s="326"/>
      <c r="AA107" s="326"/>
      <c r="AB107" s="326"/>
      <c r="AC107" s="588"/>
      <c r="AD107" s="385"/>
      <c r="AE107" s="588"/>
    </row>
    <row r="108" spans="1:31" ht="12" customHeight="1">
      <c r="A108" s="588"/>
      <c r="B108" s="326"/>
      <c r="C108" s="993" t="s">
        <v>2887</v>
      </c>
      <c r="D108" s="993"/>
      <c r="E108" s="326"/>
      <c r="F108" s="326"/>
      <c r="G108" s="326"/>
      <c r="H108" s="326"/>
      <c r="I108" s="326"/>
      <c r="J108" s="326"/>
      <c r="K108" s="326"/>
      <c r="L108" s="326"/>
      <c r="M108" s="326"/>
      <c r="N108" s="326"/>
      <c r="O108" s="326"/>
      <c r="P108" s="326"/>
      <c r="Q108" s="326"/>
      <c r="R108" s="326"/>
      <c r="S108" s="1468"/>
      <c r="T108" s="326"/>
      <c r="U108" s="326"/>
      <c r="V108" s="326"/>
      <c r="W108" s="326"/>
      <c r="X108" s="1468"/>
      <c r="Y108" s="326"/>
      <c r="Z108" s="326"/>
      <c r="AA108" s="326"/>
      <c r="AB108" s="326"/>
      <c r="AC108" s="588"/>
      <c r="AD108" s="385"/>
      <c r="AE108" s="588"/>
    </row>
    <row r="109" spans="1:31" ht="12" customHeight="1">
      <c r="A109" s="588"/>
      <c r="B109" s="326"/>
      <c r="C109" s="993" t="s">
        <v>2885</v>
      </c>
      <c r="D109" s="993"/>
      <c r="E109" s="326"/>
      <c r="F109" s="326"/>
      <c r="G109" s="326"/>
      <c r="H109" s="326"/>
      <c r="I109" s="326"/>
      <c r="J109" s="326"/>
      <c r="K109" s="326"/>
      <c r="L109" s="326"/>
      <c r="M109" s="326"/>
      <c r="N109" s="326"/>
      <c r="O109" s="326"/>
      <c r="P109" s="326"/>
      <c r="Q109" s="326"/>
      <c r="R109" s="326"/>
      <c r="S109" s="1468"/>
      <c r="T109" s="326"/>
      <c r="U109" s="326"/>
      <c r="V109" s="326"/>
      <c r="W109" s="326"/>
      <c r="X109" s="1468"/>
      <c r="Y109" s="326"/>
      <c r="Z109" s="326"/>
      <c r="AA109" s="326"/>
      <c r="AB109" s="326"/>
      <c r="AC109" s="588"/>
      <c r="AD109" s="385"/>
      <c r="AE109" s="588"/>
    </row>
    <row r="110" spans="1:31" ht="12" customHeight="1">
      <c r="A110" s="588"/>
      <c r="B110" s="326"/>
      <c r="C110" s="993" t="s">
        <v>2886</v>
      </c>
      <c r="D110" s="993"/>
      <c r="E110" s="326"/>
      <c r="F110" s="326"/>
      <c r="G110" s="326"/>
      <c r="H110" s="326"/>
      <c r="I110" s="326"/>
      <c r="J110" s="326"/>
      <c r="K110" s="326"/>
      <c r="L110" s="326"/>
      <c r="M110" s="326"/>
      <c r="N110" s="326"/>
      <c r="O110" s="326"/>
      <c r="P110" s="326"/>
      <c r="Q110" s="326"/>
      <c r="R110" s="596" t="s">
        <v>2515</v>
      </c>
      <c r="S110" s="3625" t="s">
        <v>2891</v>
      </c>
      <c r="T110" s="7444">
        <f>ROUND(SUM(T103,T106),0)</f>
        <v>0</v>
      </c>
      <c r="U110" s="7564"/>
      <c r="V110" s="6585"/>
      <c r="W110" s="6585"/>
      <c r="X110" s="1468"/>
      <c r="Y110" s="326"/>
      <c r="Z110" s="326"/>
      <c r="AA110" s="326"/>
      <c r="AB110" s="326"/>
      <c r="AC110" s="588"/>
      <c r="AD110" s="385"/>
      <c r="AE110" s="588"/>
    </row>
    <row r="111" spans="1:31" ht="12" customHeight="1">
      <c r="A111" s="588"/>
      <c r="B111" s="198">
        <v>14</v>
      </c>
      <c r="C111" s="993" t="s">
        <v>2888</v>
      </c>
      <c r="D111" s="993"/>
      <c r="E111" s="326"/>
      <c r="F111" s="326"/>
      <c r="G111" s="326"/>
      <c r="H111" s="326"/>
      <c r="I111" s="326"/>
      <c r="J111" s="326"/>
      <c r="K111" s="326"/>
      <c r="L111" s="326"/>
      <c r="M111" s="326"/>
      <c r="N111" s="326"/>
      <c r="O111" s="326"/>
      <c r="P111" s="326"/>
      <c r="Q111" s="326"/>
      <c r="R111" s="326"/>
      <c r="S111" s="1468"/>
      <c r="T111" s="326"/>
      <c r="U111" s="326"/>
      <c r="V111" s="326"/>
      <c r="W111" s="326"/>
      <c r="X111" s="1468"/>
      <c r="Y111" s="326"/>
      <c r="Z111" s="326"/>
      <c r="AA111" s="326"/>
      <c r="AB111" s="326"/>
      <c r="AC111" s="588"/>
      <c r="AD111" s="385"/>
      <c r="AE111" s="588"/>
    </row>
    <row r="112" spans="1:31" ht="12" customHeight="1">
      <c r="A112" s="588"/>
      <c r="B112" s="326"/>
      <c r="C112" s="993" t="s">
        <v>4125</v>
      </c>
      <c r="D112" s="993"/>
      <c r="E112" s="326"/>
      <c r="F112" s="326"/>
      <c r="G112" s="326"/>
      <c r="H112" s="326"/>
      <c r="I112" s="326"/>
      <c r="J112" s="326"/>
      <c r="K112" s="326"/>
      <c r="L112" s="596"/>
      <c r="M112" s="596" t="s">
        <v>2883</v>
      </c>
      <c r="N112" s="3625">
        <v>14</v>
      </c>
      <c r="O112" s="7444" t="str">
        <f>IF(SchRQualify,Adj_Gross_Inc,"")</f>
        <v/>
      </c>
      <c r="P112" s="7564"/>
      <c r="Q112" s="6585"/>
      <c r="R112" s="6585"/>
      <c r="S112" s="1468"/>
      <c r="T112" s="326"/>
      <c r="U112" s="326"/>
      <c r="V112" s="326"/>
      <c r="W112" s="326"/>
      <c r="X112" s="1468"/>
      <c r="Y112" s="326"/>
      <c r="Z112" s="326"/>
      <c r="AA112" s="326"/>
      <c r="AB112" s="326"/>
      <c r="AC112" s="588"/>
      <c r="AD112" s="385"/>
      <c r="AE112" s="588"/>
    </row>
    <row r="113" spans="1:32" ht="12" customHeight="1">
      <c r="A113" s="588"/>
      <c r="B113" s="198">
        <v>15</v>
      </c>
      <c r="C113" s="1075" t="s">
        <v>2859</v>
      </c>
      <c r="D113" s="1075"/>
      <c r="E113" s="326"/>
      <c r="F113" s="326"/>
      <c r="G113" s="326"/>
      <c r="H113" s="326"/>
      <c r="I113" s="1455" t="s">
        <v>355</v>
      </c>
      <c r="J113" s="326"/>
      <c r="K113" s="326"/>
      <c r="L113" s="326"/>
      <c r="M113" s="326"/>
      <c r="N113" s="1468"/>
      <c r="O113" s="326"/>
      <c r="P113" s="326"/>
      <c r="Q113" s="326"/>
      <c r="R113" s="326"/>
      <c r="S113" s="1468"/>
      <c r="T113" s="326"/>
      <c r="U113" s="326"/>
      <c r="V113" s="326"/>
      <c r="W113" s="326"/>
      <c r="X113" s="1468"/>
      <c r="Y113" s="326"/>
      <c r="Z113" s="326"/>
      <c r="AA113" s="326"/>
      <c r="AB113" s="326"/>
      <c r="AC113" s="588"/>
      <c r="AD113" s="385"/>
      <c r="AE113" s="588"/>
    </row>
    <row r="114" spans="1:32" ht="12" customHeight="1">
      <c r="A114" s="588"/>
      <c r="B114" s="3614" t="b">
        <f>OR(AA29&lt;&gt;"",AA31&lt;&gt;"")</f>
        <v>0</v>
      </c>
      <c r="C114" s="993" t="s">
        <v>2892</v>
      </c>
      <c r="D114" s="993"/>
      <c r="E114" s="326"/>
      <c r="F114" s="326"/>
      <c r="G114" s="326"/>
      <c r="H114" s="596" t="s">
        <v>2419</v>
      </c>
      <c r="I114" s="3626">
        <v>7500</v>
      </c>
      <c r="J114" s="3626"/>
      <c r="K114" s="3626"/>
      <c r="L114" s="326"/>
      <c r="M114" s="326"/>
      <c r="N114" s="1468"/>
      <c r="O114" s="326"/>
      <c r="P114" s="326"/>
      <c r="Q114" s="326"/>
      <c r="R114" s="326"/>
      <c r="S114" s="1468"/>
      <c r="T114" s="326"/>
      <c r="U114" s="326"/>
      <c r="V114" s="326"/>
      <c r="W114" s="326"/>
      <c r="X114" s="1468"/>
      <c r="Y114" s="326"/>
      <c r="Z114" s="326"/>
      <c r="AA114" s="326"/>
      <c r="AB114" s="326"/>
      <c r="AC114" s="588"/>
      <c r="AD114" s="385"/>
      <c r="AE114" s="588"/>
    </row>
    <row r="115" spans="1:32" ht="12" customHeight="1">
      <c r="A115" s="588"/>
      <c r="B115" s="3614" t="b">
        <f>OR(AA34&lt;&gt;"",AA37&lt;&gt;"",AA40&lt;&gt;"",AA43&lt;&gt;"",AA46&lt;&gt;"")</f>
        <v>0</v>
      </c>
      <c r="C115" s="993" t="s">
        <v>2893</v>
      </c>
      <c r="D115" s="993"/>
      <c r="E115" s="326"/>
      <c r="F115" s="326"/>
      <c r="G115" s="326"/>
      <c r="H115" s="596" t="s">
        <v>2415</v>
      </c>
      <c r="I115" s="3626">
        <v>10000</v>
      </c>
      <c r="J115" s="326"/>
      <c r="K115" s="326"/>
      <c r="L115" s="326"/>
      <c r="M115" s="326"/>
      <c r="N115" s="3625">
        <v>15</v>
      </c>
      <c r="O115" s="7444" t="str">
        <f>IF(B114,I114,IF(B115,I115,IF(B116,I116,"")))</f>
        <v/>
      </c>
      <c r="P115" s="7564"/>
      <c r="Q115" s="6585"/>
      <c r="R115" s="6585"/>
      <c r="S115" s="1468"/>
      <c r="T115" s="326"/>
      <c r="U115" s="326"/>
      <c r="V115" s="326"/>
      <c r="W115" s="326"/>
      <c r="X115" s="1468"/>
      <c r="Y115" s="326"/>
      <c r="Z115" s="326"/>
      <c r="AA115" s="326"/>
      <c r="AB115" s="326"/>
      <c r="AC115" s="588"/>
      <c r="AD115" s="385"/>
      <c r="AE115" s="588"/>
    </row>
    <row r="116" spans="1:32" ht="12" customHeight="1">
      <c r="A116" s="588"/>
      <c r="B116" s="3614" t="b">
        <f>OR(AA49&lt;&gt;"",AA52&lt;&gt;"")</f>
        <v>0</v>
      </c>
      <c r="C116" s="993" t="s">
        <v>2862</v>
      </c>
      <c r="D116" s="993"/>
      <c r="E116" s="326"/>
      <c r="F116" s="326"/>
      <c r="G116" s="326"/>
      <c r="H116" s="596" t="s">
        <v>2419</v>
      </c>
      <c r="I116" s="3626">
        <v>5000</v>
      </c>
      <c r="J116" s="326"/>
      <c r="K116" s="326"/>
      <c r="L116" s="326"/>
      <c r="M116" s="326"/>
      <c r="N116" s="1468"/>
      <c r="O116" s="7540">
        <f>IF(B114,I114,IF(B115,I115,IF(B116,I116,0)))</f>
        <v>0</v>
      </c>
      <c r="P116" s="7541"/>
      <c r="Q116" s="7542"/>
      <c r="R116" s="7543"/>
      <c r="S116" s="1468"/>
      <c r="T116" s="326"/>
      <c r="U116" s="326"/>
      <c r="V116" s="326"/>
      <c r="W116" s="326"/>
      <c r="X116" s="1468"/>
      <c r="Y116" s="326"/>
      <c r="Z116" s="326"/>
      <c r="AA116" s="326"/>
      <c r="AB116" s="326"/>
      <c r="AC116" s="588"/>
      <c r="AD116" s="385"/>
      <c r="AE116" s="588"/>
    </row>
    <row r="117" spans="1:32" ht="12" customHeight="1">
      <c r="A117" s="588"/>
      <c r="B117" s="198">
        <v>16</v>
      </c>
      <c r="C117" s="993" t="s">
        <v>2894</v>
      </c>
      <c r="D117" s="993"/>
      <c r="E117" s="326"/>
      <c r="F117" s="326"/>
      <c r="G117" s="326"/>
      <c r="H117" s="326"/>
      <c r="I117" s="3626"/>
      <c r="J117" s="326"/>
      <c r="K117" s="326"/>
      <c r="L117" s="326"/>
      <c r="M117" s="326"/>
      <c r="N117" s="1468"/>
      <c r="O117" s="326"/>
      <c r="P117" s="326"/>
      <c r="Q117" s="326"/>
      <c r="R117" s="326"/>
      <c r="S117" s="1468"/>
      <c r="T117" s="326"/>
      <c r="U117" s="326"/>
      <c r="V117" s="326"/>
      <c r="W117" s="326"/>
      <c r="X117" s="1468"/>
      <c r="Y117" s="326"/>
      <c r="Z117" s="326"/>
      <c r="AA117" s="326"/>
      <c r="AB117" s="326"/>
      <c r="AC117" s="588"/>
      <c r="AD117" s="385"/>
      <c r="AE117" s="588"/>
    </row>
    <row r="118" spans="1:32" ht="12" customHeight="1">
      <c r="A118" s="588"/>
      <c r="B118" s="326"/>
      <c r="C118" s="993" t="s">
        <v>2895</v>
      </c>
      <c r="D118" s="993"/>
      <c r="E118" s="326"/>
      <c r="F118" s="326"/>
      <c r="G118" s="326"/>
      <c r="H118" s="326"/>
      <c r="I118" s="3626"/>
      <c r="J118" s="326"/>
      <c r="K118" s="326"/>
      <c r="L118" s="326"/>
      <c r="M118" s="596" t="s">
        <v>2515</v>
      </c>
      <c r="N118" s="3625">
        <v>16</v>
      </c>
      <c r="O118" s="7444" t="str">
        <f>IF(SchRQualify,MAX(0,SUM(O112,-O116)),"")</f>
        <v/>
      </c>
      <c r="P118" s="7564"/>
      <c r="Q118" s="6585"/>
      <c r="R118" s="6585"/>
      <c r="S118" s="1468"/>
      <c r="T118" s="326"/>
      <c r="U118" s="326"/>
      <c r="V118" s="326"/>
      <c r="W118" s="326"/>
      <c r="X118" s="1468"/>
      <c r="Y118" s="326"/>
      <c r="Z118" s="326"/>
      <c r="AA118" s="326"/>
      <c r="AB118" s="326"/>
      <c r="AC118" s="588"/>
      <c r="AD118" s="385"/>
      <c r="AE118" s="588"/>
    </row>
    <row r="119" spans="1:32" ht="12" customHeight="1">
      <c r="A119" s="588"/>
      <c r="B119" s="198">
        <v>17</v>
      </c>
      <c r="C119" s="993" t="s">
        <v>2896</v>
      </c>
      <c r="D119" s="993"/>
      <c r="E119" s="326"/>
      <c r="F119" s="326"/>
      <c r="G119" s="326"/>
      <c r="H119" s="326"/>
      <c r="I119" s="3626"/>
      <c r="J119" s="326"/>
      <c r="K119" s="326"/>
      <c r="L119" s="326"/>
      <c r="M119" s="326"/>
      <c r="N119" s="326"/>
      <c r="O119" s="326"/>
      <c r="P119" s="326"/>
      <c r="Q119" s="326"/>
      <c r="R119" s="596" t="s">
        <v>805</v>
      </c>
      <c r="S119" s="3625">
        <v>17</v>
      </c>
      <c r="T119" s="7444" t="str">
        <f>IF(SchRQualify,ROUND(O118/2,0),"")</f>
        <v/>
      </c>
      <c r="U119" s="7564"/>
      <c r="V119" s="6585"/>
      <c r="W119" s="6585"/>
      <c r="X119" s="1468"/>
      <c r="Y119" s="326"/>
      <c r="Z119" s="326"/>
      <c r="AA119" s="326"/>
      <c r="AB119" s="326"/>
      <c r="AC119" s="588"/>
      <c r="AD119" s="385"/>
      <c r="AE119" s="588"/>
    </row>
    <row r="120" spans="1:32" ht="12" customHeight="1">
      <c r="A120" s="588"/>
      <c r="B120" s="198">
        <v>18</v>
      </c>
      <c r="C120" s="993" t="s">
        <v>2897</v>
      </c>
      <c r="D120" s="993"/>
      <c r="E120" s="326"/>
      <c r="F120" s="326"/>
      <c r="G120" s="326"/>
      <c r="H120" s="326"/>
      <c r="I120" s="3626"/>
      <c r="J120" s="326"/>
      <c r="K120" s="326"/>
      <c r="L120" s="326"/>
      <c r="M120" s="326"/>
      <c r="N120" s="326"/>
      <c r="O120" s="326"/>
      <c r="P120" s="326"/>
      <c r="Q120" s="326"/>
      <c r="R120" s="326"/>
      <c r="S120" s="326"/>
      <c r="T120" s="326"/>
      <c r="U120" s="326"/>
      <c r="V120" s="326"/>
      <c r="W120" s="596" t="s">
        <v>562</v>
      </c>
      <c r="X120" s="3609">
        <v>18</v>
      </c>
      <c r="Y120" s="7444" t="str">
        <f>IF(AD120&lt;&gt;"",ROUND(AD120,0),IF(SchRQualify,SUM(T110,T119),""))</f>
        <v/>
      </c>
      <c r="Z120" s="7453"/>
      <c r="AA120" s="6585"/>
      <c r="AB120" s="6585"/>
      <c r="AC120" s="588"/>
      <c r="AD120" s="3668"/>
      <c r="AE120" s="588"/>
    </row>
    <row r="121" spans="1:32" ht="12" customHeight="1">
      <c r="A121" s="588"/>
      <c r="B121" s="198">
        <v>19</v>
      </c>
      <c r="C121" s="993" t="s">
        <v>2906</v>
      </c>
      <c r="D121" s="993"/>
      <c r="E121" s="326"/>
      <c r="F121" s="326"/>
      <c r="G121" s="993" t="s">
        <v>2907</v>
      </c>
      <c r="H121" s="326"/>
      <c r="I121" s="3626"/>
      <c r="J121" s="326"/>
      <c r="K121" s="326"/>
      <c r="L121" s="326"/>
      <c r="M121" s="326"/>
      <c r="N121" s="326"/>
      <c r="O121" s="326"/>
      <c r="P121" s="326"/>
      <c r="Q121" s="993"/>
      <c r="R121" s="993"/>
      <c r="S121" s="326"/>
      <c r="T121" s="326"/>
      <c r="U121" s="326"/>
      <c r="V121" s="326"/>
      <c r="W121" s="326"/>
      <c r="X121" s="1468"/>
      <c r="Y121" s="7544" t="b">
        <f>(Y120&gt;=Y98)</f>
        <v>1</v>
      </c>
      <c r="Z121" s="7545"/>
      <c r="AA121" s="7545"/>
      <c r="AB121" s="7545"/>
      <c r="AC121" s="588"/>
      <c r="AD121" s="385"/>
      <c r="AE121" s="588"/>
    </row>
    <row r="122" spans="1:32" ht="12" customHeight="1">
      <c r="A122" s="588"/>
      <c r="B122" s="198"/>
      <c r="C122" s="993" t="s">
        <v>5301</v>
      </c>
      <c r="D122" s="993"/>
      <c r="E122" s="326"/>
      <c r="F122" s="326"/>
      <c r="G122" s="326"/>
      <c r="H122" s="326"/>
      <c r="I122" s="3626"/>
      <c r="J122" s="326"/>
      <c r="K122" s="326"/>
      <c r="L122" s="326"/>
      <c r="M122" s="326"/>
      <c r="N122" s="326"/>
      <c r="O122" s="326"/>
      <c r="P122" s="326"/>
      <c r="Q122" s="326"/>
      <c r="R122" s="326"/>
      <c r="S122" s="326"/>
      <c r="T122" s="326"/>
      <c r="U122" s="326"/>
      <c r="V122" s="326"/>
      <c r="W122" s="596" t="s">
        <v>2974</v>
      </c>
      <c r="X122" s="3609">
        <v>19</v>
      </c>
      <c r="Y122" s="7444" t="str">
        <f>IF(SchRQualify,MAX(0,SUM(Y98,-Y120)),"")</f>
        <v/>
      </c>
      <c r="Z122" s="7453"/>
      <c r="AA122" s="6585"/>
      <c r="AB122" s="6585"/>
      <c r="AC122" s="588"/>
      <c r="AD122" s="385"/>
      <c r="AE122" s="588"/>
    </row>
    <row r="123" spans="1:32" ht="12" customHeight="1">
      <c r="A123" s="588"/>
      <c r="B123" s="198">
        <v>20</v>
      </c>
      <c r="C123" s="993" t="str">
        <f>"Multiply line 19 by "&amp;TEXT(AF123,"0%")&amp;" ("&amp;TEXT(AF123,"0.00")&amp;")"</f>
        <v>Multiply line 19 by 15% (0.15)</v>
      </c>
      <c r="D123" s="993"/>
      <c r="E123" s="326"/>
      <c r="F123" s="326"/>
      <c r="G123" s="326"/>
      <c r="H123" s="326"/>
      <c r="I123" s="3626"/>
      <c r="J123" s="326"/>
      <c r="K123" s="326"/>
      <c r="L123" s="326"/>
      <c r="M123" s="326"/>
      <c r="N123" s="326"/>
      <c r="O123" s="326"/>
      <c r="P123" s="326"/>
      <c r="Q123" s="326"/>
      <c r="R123" s="326"/>
      <c r="S123" s="326"/>
      <c r="T123" s="326"/>
      <c r="U123" s="326"/>
      <c r="V123" s="326"/>
      <c r="W123" s="596" t="s">
        <v>1044</v>
      </c>
      <c r="X123" s="3609">
        <v>20</v>
      </c>
      <c r="Y123" s="7444" t="str">
        <f>IF(Y121,"",ROUND(Y122*AF123,0))</f>
        <v/>
      </c>
      <c r="Z123" s="7453"/>
      <c r="AA123" s="6585"/>
      <c r="AB123" s="6585"/>
      <c r="AC123" s="588"/>
      <c r="AD123" s="385"/>
      <c r="AE123" s="588"/>
      <c r="AF123" s="3564">
        <v>0.15</v>
      </c>
    </row>
    <row r="124" spans="1:32" ht="12" customHeight="1">
      <c r="A124" s="588"/>
      <c r="B124" s="198">
        <v>21</v>
      </c>
      <c r="C124" s="993" t="s">
        <v>2898</v>
      </c>
      <c r="D124" s="993"/>
      <c r="E124" s="326"/>
      <c r="F124" s="326"/>
      <c r="G124" s="326"/>
      <c r="H124" s="326"/>
      <c r="I124" s="3626"/>
      <c r="J124" s="326"/>
      <c r="K124" s="326"/>
      <c r="L124" s="326"/>
      <c r="M124" s="326"/>
      <c r="N124" s="326"/>
      <c r="O124" s="326"/>
      <c r="P124" s="326"/>
      <c r="Q124" s="326"/>
      <c r="R124" s="326"/>
      <c r="S124" s="326"/>
      <c r="T124" s="326"/>
      <c r="U124" s="326"/>
      <c r="V124" s="326"/>
      <c r="W124" s="596" t="s">
        <v>2419</v>
      </c>
      <c r="X124" s="3609">
        <v>21</v>
      </c>
      <c r="Y124" s="7444" t="str">
        <f>IF(OR(Y121,AD136),"",AD135)</f>
        <v/>
      </c>
      <c r="Z124" s="7453"/>
      <c r="AA124" s="6585"/>
      <c r="AB124" s="6585"/>
      <c r="AC124" s="588"/>
      <c r="AD124" s="385"/>
      <c r="AE124" s="588"/>
    </row>
    <row r="125" spans="1:32" ht="12" customHeight="1">
      <c r="A125" s="588"/>
      <c r="B125" s="198">
        <v>22</v>
      </c>
      <c r="C125" s="993" t="s">
        <v>2905</v>
      </c>
      <c r="D125" s="993"/>
      <c r="E125" s="326"/>
      <c r="F125" s="326"/>
      <c r="G125" s="326"/>
      <c r="H125" s="326"/>
      <c r="I125" s="3626"/>
      <c r="J125" s="326"/>
      <c r="K125" s="326"/>
      <c r="L125" s="326"/>
      <c r="M125" s="326"/>
      <c r="N125" s="326"/>
      <c r="O125" s="326"/>
      <c r="P125" s="326"/>
      <c r="Q125" s="326"/>
      <c r="R125" s="326"/>
      <c r="S125" s="326"/>
      <c r="T125" s="326"/>
      <c r="U125" s="326"/>
      <c r="V125" s="326"/>
      <c r="W125" s="326"/>
      <c r="X125" s="1468"/>
      <c r="Y125" s="326"/>
      <c r="Z125" s="326"/>
      <c r="AA125" s="326"/>
      <c r="AB125" s="326"/>
      <c r="AC125" s="588"/>
      <c r="AD125" s="385"/>
      <c r="AE125" s="588"/>
    </row>
    <row r="126" spans="1:32" ht="12" customHeight="1" thickBot="1">
      <c r="A126" s="588"/>
      <c r="B126" s="207"/>
      <c r="C126" s="3628" t="s">
        <v>4842</v>
      </c>
      <c r="D126" s="3628"/>
      <c r="E126" s="202"/>
      <c r="F126" s="202"/>
      <c r="G126" s="202"/>
      <c r="H126" s="202"/>
      <c r="I126" s="202"/>
      <c r="J126" s="202"/>
      <c r="K126" s="202"/>
      <c r="L126" s="202"/>
      <c r="M126" s="202"/>
      <c r="N126" s="202"/>
      <c r="O126" s="202"/>
      <c r="P126" s="202"/>
      <c r="Q126" s="202"/>
      <c r="R126" s="202"/>
      <c r="S126" s="202"/>
      <c r="T126" s="202"/>
      <c r="U126" s="202"/>
      <c r="V126" s="202"/>
      <c r="W126" s="3630" t="s">
        <v>805</v>
      </c>
      <c r="X126" s="3629">
        <v>22</v>
      </c>
      <c r="Y126" s="7546" t="str">
        <f>IF(AD126&lt;&gt;"",ROUND(AD126,0),IF(OR(Y121,AD136),"",IF(AD136,"",MIN(Y123,Y124))))</f>
        <v/>
      </c>
      <c r="Z126" s="7547"/>
      <c r="AA126" s="7548"/>
      <c r="AB126" s="7548"/>
      <c r="AC126" s="588"/>
      <c r="AD126" s="3668"/>
      <c r="AE126" s="588"/>
    </row>
    <row r="127" spans="1:32" ht="15" customHeight="1">
      <c r="A127" s="588"/>
      <c r="B127" s="374"/>
      <c r="C127" s="374"/>
      <c r="D127" s="374"/>
      <c r="E127" s="374"/>
      <c r="F127" s="374"/>
      <c r="G127" s="375"/>
      <c r="H127" s="375"/>
      <c r="I127" s="375"/>
      <c r="J127" s="375"/>
      <c r="K127" s="375"/>
      <c r="L127" s="375"/>
      <c r="M127" s="375"/>
      <c r="N127" s="376"/>
      <c r="O127" s="376"/>
      <c r="P127" s="376"/>
      <c r="Q127" s="376"/>
      <c r="R127" s="1457"/>
      <c r="S127" s="1457"/>
      <c r="T127" s="376"/>
      <c r="U127" s="375"/>
      <c r="V127" s="375"/>
      <c r="W127" s="378"/>
      <c r="X127" s="375"/>
      <c r="Y127" s="375"/>
      <c r="Z127" s="1457"/>
      <c r="AA127" s="3391"/>
      <c r="AB127" s="3627" t="str">
        <f>"Schedule R   (Form 1040)  "&amp;TaxYear</f>
        <v>Schedule R   (Form 1040)  2021</v>
      </c>
      <c r="AC127" s="588"/>
      <c r="AD127" s="385"/>
      <c r="AE127" s="588"/>
    </row>
    <row r="128" spans="1:32" ht="8.25" customHeight="1">
      <c r="A128" s="588"/>
      <c r="B128" s="638"/>
      <c r="C128" s="638"/>
      <c r="D128" s="638"/>
      <c r="E128" s="638"/>
      <c r="F128" s="638"/>
      <c r="G128" s="567"/>
      <c r="H128" s="567"/>
      <c r="I128" s="567"/>
      <c r="J128" s="567"/>
      <c r="K128" s="567"/>
      <c r="L128" s="567"/>
      <c r="M128" s="567"/>
      <c r="N128" s="639"/>
      <c r="O128" s="639"/>
      <c r="P128" s="639"/>
      <c r="Q128" s="639"/>
      <c r="R128" s="639"/>
      <c r="S128" s="639"/>
      <c r="T128" s="639"/>
      <c r="U128" s="567"/>
      <c r="V128" s="567"/>
      <c r="W128" s="640"/>
      <c r="X128" s="567"/>
      <c r="Y128" s="567"/>
      <c r="Z128" s="567"/>
      <c r="AA128" s="567"/>
      <c r="AB128" s="567"/>
      <c r="AC128" s="588"/>
      <c r="AD128" s="385"/>
      <c r="AE128" s="588"/>
    </row>
    <row r="129" spans="2:31">
      <c r="B129" s="9"/>
      <c r="C129" s="9"/>
      <c r="D129" s="10"/>
      <c r="E129" s="10"/>
      <c r="F129" s="10"/>
      <c r="G129" s="10"/>
      <c r="H129" s="10"/>
      <c r="I129" s="10"/>
      <c r="J129" s="10"/>
      <c r="K129" s="10"/>
      <c r="L129" s="10"/>
      <c r="M129" s="10"/>
      <c r="N129" s="11"/>
      <c r="O129" s="11"/>
      <c r="P129" s="11"/>
      <c r="Q129" s="11"/>
      <c r="R129" s="11"/>
      <c r="S129" s="11"/>
      <c r="T129" s="12"/>
      <c r="U129" s="10"/>
      <c r="V129" s="10"/>
      <c r="W129" s="8"/>
      <c r="X129" s="10"/>
      <c r="Y129" s="10"/>
      <c r="Z129" s="10"/>
      <c r="AA129" s="10"/>
      <c r="AB129" s="10"/>
    </row>
    <row r="130" spans="2:31" ht="13.5" thickBot="1">
      <c r="B130" s="9"/>
      <c r="C130" s="9"/>
      <c r="D130" s="10"/>
      <c r="E130" s="10"/>
      <c r="F130" s="10"/>
      <c r="G130" s="10"/>
      <c r="H130" s="10"/>
      <c r="I130" s="10"/>
      <c r="J130" s="10"/>
      <c r="K130" s="3652" t="s">
        <v>2901</v>
      </c>
      <c r="L130" s="3653"/>
      <c r="M130" s="3654"/>
      <c r="N130" s="3653"/>
      <c r="O130" s="3655"/>
      <c r="P130" s="3655"/>
      <c r="Q130" s="3655"/>
      <c r="R130" s="3656"/>
      <c r="S130" s="3656"/>
      <c r="T130" s="3657"/>
      <c r="U130" s="3654"/>
      <c r="V130" s="3654"/>
      <c r="W130" s="3658"/>
      <c r="X130" s="3654"/>
      <c r="Y130" s="3654"/>
      <c r="Z130" s="3654"/>
      <c r="AA130" s="3654"/>
      <c r="AB130" s="3659" t="s">
        <v>2903</v>
      </c>
      <c r="AC130" s="1687"/>
      <c r="AD130" s="1574"/>
      <c r="AE130" s="1688"/>
    </row>
    <row r="131" spans="2:31" ht="13.5" thickBot="1">
      <c r="B131" s="7537" t="s">
        <v>2899</v>
      </c>
      <c r="C131" s="7538"/>
      <c r="D131" s="7538"/>
      <c r="E131" s="7538"/>
      <c r="F131" s="7538"/>
      <c r="G131" s="7538"/>
      <c r="H131" s="7538"/>
      <c r="I131" s="7539"/>
      <c r="J131" s="550"/>
      <c r="K131" s="3660" t="s">
        <v>2902</v>
      </c>
      <c r="L131" s="3661"/>
      <c r="M131" s="3662"/>
      <c r="N131" s="3661"/>
      <c r="O131" s="3661"/>
      <c r="P131" s="3661"/>
      <c r="Q131" s="3661"/>
      <c r="R131" s="3663"/>
      <c r="S131" s="3663"/>
      <c r="T131" s="3664"/>
      <c r="U131" s="3662"/>
      <c r="V131" s="3662"/>
      <c r="W131" s="3665"/>
      <c r="X131" s="3662"/>
      <c r="Y131" s="3662"/>
      <c r="Z131" s="3662"/>
      <c r="AA131" s="3662"/>
      <c r="AB131" s="3662"/>
      <c r="AC131" s="1509"/>
      <c r="AD131" s="1280"/>
      <c r="AE131" s="3666"/>
    </row>
    <row r="132" spans="2:31" ht="13.5" thickBot="1">
      <c r="B132" s="549"/>
      <c r="C132" s="549"/>
      <c r="D132" s="550"/>
      <c r="E132" s="550"/>
      <c r="F132" s="550"/>
      <c r="G132" s="550"/>
      <c r="H132" s="550"/>
      <c r="I132" s="550"/>
      <c r="J132" s="550"/>
      <c r="K132" s="3631" t="s">
        <v>294</v>
      </c>
      <c r="L132" s="3632" t="s">
        <v>4123</v>
      </c>
      <c r="M132" s="3633"/>
      <c r="N132" s="3632"/>
      <c r="O132" s="3632"/>
      <c r="P132" s="3632"/>
      <c r="Q132" s="3632"/>
      <c r="R132" s="3634"/>
      <c r="S132" s="3634"/>
      <c r="T132" s="3635"/>
      <c r="U132" s="3633"/>
      <c r="V132" s="3633"/>
      <c r="W132" s="3636"/>
      <c r="X132" s="3633"/>
      <c r="Y132" s="3633"/>
      <c r="Z132" s="3633"/>
      <c r="AA132" s="3633"/>
      <c r="AB132" s="4121" t="s">
        <v>328</v>
      </c>
      <c r="AC132" s="3637" t="s">
        <v>294</v>
      </c>
      <c r="AD132" s="3651" t="str">
        <f>IF(Y121,"",Tax)</f>
        <v/>
      </c>
      <c r="AE132" s="3638"/>
    </row>
    <row r="133" spans="2:31" ht="13.5" customHeight="1" thickBot="1">
      <c r="B133" s="7534" t="s">
        <v>2900</v>
      </c>
      <c r="C133" s="7535"/>
      <c r="D133" s="7535"/>
      <c r="E133" s="7535"/>
      <c r="F133" s="7535"/>
      <c r="G133" s="7535"/>
      <c r="H133" s="7535"/>
      <c r="I133" s="7536"/>
      <c r="J133" s="550"/>
      <c r="K133" s="3639" t="s">
        <v>0</v>
      </c>
      <c r="L133" s="3640" t="s">
        <v>5302</v>
      </c>
      <c r="M133" s="3641"/>
      <c r="N133" s="3640"/>
      <c r="O133" s="3640"/>
      <c r="P133" s="3640"/>
      <c r="Q133" s="3640"/>
      <c r="R133" s="3642"/>
      <c r="S133" s="3642"/>
      <c r="T133" s="3643"/>
      <c r="U133" s="3641"/>
      <c r="V133" s="3641"/>
      <c r="W133" s="3644"/>
      <c r="X133" s="3641"/>
      <c r="Y133" s="3641"/>
      <c r="Z133" s="3641"/>
      <c r="AA133" s="3641"/>
      <c r="AB133" s="4121" t="s">
        <v>2425</v>
      </c>
      <c r="AC133" s="3645" t="s">
        <v>0</v>
      </c>
      <c r="AD133" s="1371" t="str">
        <f>IF(Y121,"",SUM(Foreign_Tax_Credit,Care_Expenses,'Sch. 3'!W29))</f>
        <v/>
      </c>
      <c r="AE133" s="3646"/>
    </row>
    <row r="134" spans="2:31">
      <c r="K134" s="3639" t="s">
        <v>1</v>
      </c>
      <c r="L134" s="3640" t="s">
        <v>4121</v>
      </c>
      <c r="M134" s="2842"/>
      <c r="N134" s="3640"/>
      <c r="O134" s="2842"/>
      <c r="P134" s="2842"/>
      <c r="Q134" s="2842"/>
      <c r="R134" s="2842"/>
      <c r="S134" s="2842"/>
      <c r="T134" s="2842"/>
      <c r="U134" s="2842"/>
      <c r="V134" s="2842"/>
      <c r="W134" s="2842"/>
      <c r="X134" s="2842"/>
      <c r="Y134" s="2842"/>
      <c r="Z134" s="2842"/>
      <c r="AA134" s="2842"/>
      <c r="AB134" s="2842"/>
      <c r="AC134" s="2842"/>
      <c r="AD134" s="1562"/>
      <c r="AE134" s="3646"/>
    </row>
    <row r="135" spans="2:31">
      <c r="D135" s="6233" t="s">
        <v>3219</v>
      </c>
      <c r="E135" s="6233"/>
      <c r="K135" s="3647"/>
      <c r="L135" s="3640" t="s">
        <v>2904</v>
      </c>
      <c r="M135" s="2842"/>
      <c r="N135" s="3640"/>
      <c r="O135" s="3640" t="s">
        <v>3370</v>
      </c>
      <c r="P135" s="2842"/>
      <c r="Q135" s="2842"/>
      <c r="R135" s="2842"/>
      <c r="S135" s="2842"/>
      <c r="T135" s="2842"/>
      <c r="U135" s="2842"/>
      <c r="V135" s="2842"/>
      <c r="W135" s="2842"/>
      <c r="X135" s="2842"/>
      <c r="Y135" s="2842"/>
      <c r="Z135" s="2842"/>
      <c r="AA135" s="2842"/>
      <c r="AB135" s="4121" t="s">
        <v>3371</v>
      </c>
      <c r="AC135" s="3645" t="s">
        <v>1</v>
      </c>
      <c r="AD135" s="1371" t="str">
        <f>IF(Y121,"",SUM(AD132,-AD133))</f>
        <v/>
      </c>
      <c r="AE135" s="3646"/>
    </row>
    <row r="136" spans="2:31" ht="13.5" thickBot="1">
      <c r="D136" s="6233"/>
      <c r="E136" s="6233"/>
      <c r="K136" s="3648"/>
      <c r="L136" s="3407"/>
      <c r="M136" s="3407"/>
      <c r="N136" s="3649"/>
      <c r="O136" s="3407"/>
      <c r="P136" s="3407"/>
      <c r="Q136" s="3407"/>
      <c r="R136" s="3407"/>
      <c r="S136" s="3407"/>
      <c r="T136" s="3407"/>
      <c r="U136" s="3407"/>
      <c r="V136" s="3407"/>
      <c r="W136" s="3407"/>
      <c r="X136" s="3407"/>
      <c r="Y136" s="3407"/>
      <c r="Z136" s="3407"/>
      <c r="AA136" s="3407"/>
      <c r="AB136" s="3407"/>
      <c r="AC136" s="3407"/>
      <c r="AD136" s="3667" t="b">
        <f>(AD135&lt;=0)</f>
        <v>0</v>
      </c>
      <c r="AE136" s="3650"/>
    </row>
    <row r="137" spans="2:31">
      <c r="D137" s="6233"/>
      <c r="E137" s="6233"/>
    </row>
  </sheetData>
  <sheetProtection algorithmName="SHA-512" hashValue="UAxrG1DA/U2NToSiQ12Op9sDECdQgulNKeNyBucvgCfDRRHWYH9+79BcPATsWu14XHrP09DZafp0aqWZowtgIw==" saltValue="fY9G59UAo/Cg8jhBkyS5PA==" spinCount="100000" sheet="1" objects="1" scenarios="1"/>
  <mergeCells count="54">
    <mergeCell ref="B13:D14"/>
    <mergeCell ref="X14:AB14"/>
    <mergeCell ref="X15:AB17"/>
    <mergeCell ref="B16:D17"/>
    <mergeCell ref="B19:S19"/>
    <mergeCell ref="T19:AB19"/>
    <mergeCell ref="B61:C61"/>
    <mergeCell ref="B54:C54"/>
    <mergeCell ref="O115:R115"/>
    <mergeCell ref="O118:R118"/>
    <mergeCell ref="T119:W119"/>
    <mergeCell ref="B76:C76"/>
    <mergeCell ref="K78:M78"/>
    <mergeCell ref="K79:M79"/>
    <mergeCell ref="K80:M80"/>
    <mergeCell ref="T103:W103"/>
    <mergeCell ref="T106:W106"/>
    <mergeCell ref="T110:W110"/>
    <mergeCell ref="O112:R112"/>
    <mergeCell ref="B26:C26"/>
    <mergeCell ref="B38:C38"/>
    <mergeCell ref="B49:C49"/>
    <mergeCell ref="F56:G56"/>
    <mergeCell ref="F58:G58"/>
    <mergeCell ref="B28:C28"/>
    <mergeCell ref="F3:H3"/>
    <mergeCell ref="F4:H4"/>
    <mergeCell ref="J3:L3"/>
    <mergeCell ref="J4:L4"/>
    <mergeCell ref="F6:H6"/>
    <mergeCell ref="J6:L6"/>
    <mergeCell ref="F10:H10"/>
    <mergeCell ref="J10:L10"/>
    <mergeCell ref="R8:S8"/>
    <mergeCell ref="R4:S4"/>
    <mergeCell ref="Y98:AB98"/>
    <mergeCell ref="F8:H8"/>
    <mergeCell ref="Y79:AB79"/>
    <mergeCell ref="F83:G83"/>
    <mergeCell ref="F85:G85"/>
    <mergeCell ref="L86:R87"/>
    <mergeCell ref="Y91:AB91"/>
    <mergeCell ref="R12:S12"/>
    <mergeCell ref="J8:L8"/>
    <mergeCell ref="D135:E137"/>
    <mergeCell ref="B133:I133"/>
    <mergeCell ref="B131:I131"/>
    <mergeCell ref="O116:R116"/>
    <mergeCell ref="Y121:AB121"/>
    <mergeCell ref="Y120:AB120"/>
    <mergeCell ref="Y122:AB122"/>
    <mergeCell ref="Y123:AB123"/>
    <mergeCell ref="Y124:AB124"/>
    <mergeCell ref="Y126:AB126"/>
  </mergeCells>
  <conditionalFormatting sqref="B19:C19 T19:AA19">
    <cfRule type="expression" dxfId="1769" priority="156">
      <formula>IF(NoColor,1,0)</formula>
    </cfRule>
  </conditionalFormatting>
  <conditionalFormatting sqref="E13">
    <cfRule type="expression" dxfId="1768" priority="65">
      <formula>NOT(Draft)</formula>
    </cfRule>
  </conditionalFormatting>
  <conditionalFormatting sqref="F56:G56">
    <cfRule type="expression" dxfId="1767" priority="60">
      <formula>$B$54</formula>
    </cfRule>
  </conditionalFormatting>
  <conditionalFormatting sqref="F58:G58">
    <cfRule type="expression" dxfId="1766" priority="59">
      <formula>NOT($B$54)</formula>
    </cfRule>
  </conditionalFormatting>
  <conditionalFormatting sqref="F83:G83">
    <cfRule type="expression" dxfId="1765" priority="56">
      <formula>$B$84</formula>
    </cfRule>
  </conditionalFormatting>
  <conditionalFormatting sqref="F85:G85">
    <cfRule type="expression" dxfId="1764" priority="55">
      <formula>NOT($B$84)</formula>
    </cfRule>
  </conditionalFormatting>
  <conditionalFormatting sqref="F6:H6">
    <cfRule type="expression" dxfId="1763" priority="49">
      <formula>$I$4</formula>
    </cfRule>
  </conditionalFormatting>
  <conditionalFormatting sqref="F8:H8">
    <cfRule type="expression" dxfId="1762" priority="48">
      <formula>$I$6</formula>
    </cfRule>
  </conditionalFormatting>
  <conditionalFormatting sqref="F10:H10">
    <cfRule type="expression" dxfId="1761" priority="47">
      <formula>$I$8</formula>
    </cfRule>
  </conditionalFormatting>
  <conditionalFormatting sqref="G121">
    <cfRule type="expression" dxfId="1760" priority="29">
      <formula>$Y$121</formula>
    </cfRule>
  </conditionalFormatting>
  <conditionalFormatting sqref="J3:L3">
    <cfRule type="expression" dxfId="1759" priority="28">
      <formula>File_Marr_Joint&lt;&gt;""</formula>
    </cfRule>
  </conditionalFormatting>
  <conditionalFormatting sqref="J4:L4">
    <cfRule type="expression" dxfId="1758" priority="53">
      <formula>File_Marr_Joint&lt;&gt;""</formula>
    </cfRule>
  </conditionalFormatting>
  <conditionalFormatting sqref="J6:L6">
    <cfRule type="expression" dxfId="1757" priority="52">
      <formula>AND(File_Marr_Joint&lt;&gt;"",P4)</formula>
    </cfRule>
  </conditionalFormatting>
  <conditionalFormatting sqref="J8:L8">
    <cfRule type="expression" dxfId="1756" priority="51">
      <formula>AND(File_Marr_Joint&lt;&gt;"",P6)</formula>
    </cfRule>
  </conditionalFormatting>
  <conditionalFormatting sqref="J10:L10">
    <cfRule type="expression" dxfId="1755" priority="46">
      <formula>$P$8</formula>
    </cfRule>
  </conditionalFormatting>
  <conditionalFormatting sqref="M82:N82">
    <cfRule type="expression" dxfId="1754" priority="87">
      <formula>IF(NoColor,1,0)</formula>
    </cfRule>
  </conditionalFormatting>
  <conditionalFormatting sqref="N80">
    <cfRule type="expression" dxfId="1753" priority="88">
      <formula>IF(NoColor,1,0)</formula>
    </cfRule>
  </conditionalFormatting>
  <conditionalFormatting sqref="O135">
    <cfRule type="expression" dxfId="1752" priority="32">
      <formula>$AD$136</formula>
    </cfRule>
  </conditionalFormatting>
  <conditionalFormatting sqref="O112:P112">
    <cfRule type="expression" dxfId="1751" priority="41">
      <formula>IF(NoColor,1,0)</formula>
    </cfRule>
  </conditionalFormatting>
  <conditionalFormatting sqref="O115:P116">
    <cfRule type="expression" dxfId="1750" priority="14">
      <formula>IF(NoColor,1,0)</formula>
    </cfRule>
  </conditionalFormatting>
  <conditionalFormatting sqref="O118:P118">
    <cfRule type="expression" dxfId="1749" priority="13">
      <formula>IF(NoColor,1,0)</formula>
    </cfRule>
  </conditionalFormatting>
  <conditionalFormatting sqref="T103">
    <cfRule type="expression" dxfId="1748" priority="44">
      <formula>IF(NoColor,1,0)</formula>
    </cfRule>
  </conditionalFormatting>
  <conditionalFormatting sqref="T106">
    <cfRule type="expression" dxfId="1747" priority="15">
      <formula>IF(NoColor,1,0)</formula>
    </cfRule>
  </conditionalFormatting>
  <conditionalFormatting sqref="T110">
    <cfRule type="expression" dxfId="1746" priority="42">
      <formula>IF(NoColor,1,0)</formula>
    </cfRule>
  </conditionalFormatting>
  <conditionalFormatting sqref="T119:U119">
    <cfRule type="expression" dxfId="1745" priority="18">
      <formula>IF(NoColor,1,0)</formula>
    </cfRule>
  </conditionalFormatting>
  <conditionalFormatting sqref="V13">
    <cfRule type="expression" dxfId="1744" priority="64">
      <formula>NOT(Draft)</formula>
    </cfRule>
  </conditionalFormatting>
  <conditionalFormatting sqref="Y79">
    <cfRule type="expression" dxfId="1743" priority="57">
      <formula>IF(NoColor,1,0)</formula>
    </cfRule>
  </conditionalFormatting>
  <conditionalFormatting sqref="Y91">
    <cfRule type="expression" dxfId="1742" priority="26">
      <formula>IF(NoColor,1,0)</formula>
    </cfRule>
  </conditionalFormatting>
  <conditionalFormatting sqref="Y98">
    <cfRule type="expression" dxfId="1741" priority="25">
      <formula>IF(NoColor,1,0)</formula>
    </cfRule>
  </conditionalFormatting>
  <conditionalFormatting sqref="Y120">
    <cfRule type="expression" dxfId="1740" priority="24">
      <formula>IF(NoColor,1,0)</formula>
    </cfRule>
  </conditionalFormatting>
  <conditionalFormatting sqref="Y122:Y124">
    <cfRule type="expression" dxfId="1739" priority="21">
      <formula>IF(NoColor,1,0)</formula>
    </cfRule>
  </conditionalFormatting>
  <conditionalFormatting sqref="Y126">
    <cfRule type="expression" dxfId="1738" priority="20">
      <formula>IF(NoColor,1,0)</formula>
    </cfRule>
  </conditionalFormatting>
  <conditionalFormatting sqref="AA29">
    <cfRule type="expression" dxfId="1737" priority="9">
      <formula>NoColor</formula>
    </cfRule>
  </conditionalFormatting>
  <conditionalFormatting sqref="AA31">
    <cfRule type="expression" dxfId="1736" priority="8">
      <formula>NoColor</formula>
    </cfRule>
  </conditionalFormatting>
  <conditionalFormatting sqref="AA34">
    <cfRule type="expression" dxfId="1735" priority="7">
      <formula>NoColor</formula>
    </cfRule>
  </conditionalFormatting>
  <conditionalFormatting sqref="AA37">
    <cfRule type="expression" dxfId="1734" priority="6">
      <formula>NoColor</formula>
    </cfRule>
  </conditionalFormatting>
  <conditionalFormatting sqref="AA40">
    <cfRule type="expression" dxfId="1733" priority="5">
      <formula>NoColor</formula>
    </cfRule>
  </conditionalFormatting>
  <conditionalFormatting sqref="AA43">
    <cfRule type="expression" dxfId="1732" priority="4">
      <formula>NoColor</formula>
    </cfRule>
  </conditionalFormatting>
  <conditionalFormatting sqref="AA46">
    <cfRule type="expression" dxfId="1731" priority="3">
      <formula>NoColor</formula>
    </cfRule>
  </conditionalFormatting>
  <conditionalFormatting sqref="AA49">
    <cfRule type="expression" dxfId="1730" priority="2">
      <formula>NoColor</formula>
    </cfRule>
  </conditionalFormatting>
  <conditionalFormatting sqref="AA52">
    <cfRule type="expression" dxfId="1729" priority="1">
      <formula>NoColor</formula>
    </cfRule>
  </conditionalFormatting>
  <conditionalFormatting sqref="AA66">
    <cfRule type="expression" dxfId="1728" priority="27">
      <formula>NoColor</formula>
    </cfRule>
  </conditionalFormatting>
  <conditionalFormatting sqref="AD74">
    <cfRule type="expression" dxfId="1727" priority="63">
      <formula>(Y25&lt;&gt;0)</formula>
    </cfRule>
  </conditionalFormatting>
  <conditionalFormatting sqref="AD132:AD133">
    <cfRule type="expression" dxfId="1726" priority="11">
      <formula>NoColor</formula>
    </cfRule>
  </conditionalFormatting>
  <conditionalFormatting sqref="AD135">
    <cfRule type="expression" dxfId="1725" priority="10">
      <formula>NoColor</formula>
    </cfRule>
  </conditionalFormatting>
  <conditionalFormatting sqref="AE23">
    <cfRule type="expression" dxfId="1724" priority="62">
      <formula>FarmProfitNet&lt;&gt;0</formula>
    </cfRule>
  </conditionalFormatting>
  <conditionalFormatting sqref="AE25">
    <cfRule type="expression" dxfId="1723" priority="61">
      <formula>FarmProfitNet&lt;&gt;0</formula>
    </cfRule>
  </conditionalFormatting>
  <hyperlinks>
    <hyperlink ref="B131:H131" r:id="rId1" display="Download Form 1040 Schedule R" xr:uid="{00000000-0004-0000-2100-000000000000}"/>
    <hyperlink ref="B133:H133" r:id="rId2" display="Download Form 1040 Schedule R Instructions" xr:uid="{00000000-0004-0000-2100-000001000000}"/>
    <hyperlink ref="D135:E137" location="'Table of Contents'!A1" display="Table of Contents" xr:uid="{00000000-0004-0000-2100-000002000000}"/>
  </hyperlinks>
  <printOptions horizontalCentered="1"/>
  <pageMargins left="0.25" right="0.2" top="0.5" bottom="0.27" header="0" footer="0"/>
  <pageSetup scale="98" fitToHeight="0" orientation="portrait" r:id="rId3"/>
  <headerFooter alignWithMargins="0"/>
  <rowBreaks count="1" manualBreakCount="1">
    <brk id="74" min="1" max="27" man="1"/>
  </rowBreaks>
  <drawing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2"/>
  <dimension ref="A1:AZ126"/>
  <sheetViews>
    <sheetView zoomScaleNormal="100" zoomScaleSheetLayoutView="115" workbookViewId="0">
      <selection activeCell="Y12" sqref="Y12"/>
    </sheetView>
  </sheetViews>
  <sheetFormatPr defaultRowHeight="12.75"/>
  <cols>
    <col min="1" max="1" width="2.140625" customWidth="1"/>
    <col min="2" max="2" width="1.85546875" customWidth="1"/>
    <col min="3" max="4" width="3.140625" customWidth="1"/>
    <col min="5" max="5" width="4.140625" customWidth="1"/>
    <col min="6" max="6" width="9.28515625" customWidth="1"/>
    <col min="7" max="7" width="6.28515625" customWidth="1"/>
    <col min="8" max="8" width="5.42578125" customWidth="1"/>
    <col min="9" max="9" width="5" customWidth="1"/>
    <col min="10" max="10" width="4.140625" customWidth="1"/>
    <col min="11" max="11" width="9.85546875" customWidth="1"/>
    <col min="12" max="12" width="2.5703125" customWidth="1"/>
    <col min="13" max="13" width="3.7109375" customWidth="1"/>
    <col min="14" max="14" width="4.140625" customWidth="1"/>
    <col min="15" max="15" width="2.28515625" customWidth="1"/>
    <col min="16" max="16" width="4.5703125" customWidth="1"/>
    <col min="17" max="17" width="6.85546875" customWidth="1"/>
    <col min="18" max="22" width="3.7109375" customWidth="1"/>
    <col min="23" max="23" width="4" customWidth="1"/>
    <col min="24" max="24" width="11.42578125" customWidth="1"/>
    <col min="25" max="25" width="3.85546875" customWidth="1"/>
    <col min="26" max="26" width="1.5703125" customWidth="1"/>
    <col min="27" max="27" width="2" customWidth="1"/>
    <col min="28" max="28" width="17.140625" customWidth="1"/>
    <col min="29" max="30" width="4.28515625" customWidth="1"/>
    <col min="31" max="31" width="10.7109375" customWidth="1"/>
    <col min="32" max="32" width="6.5703125" customWidth="1"/>
    <col min="33" max="33" width="23.7109375" customWidth="1"/>
    <col min="34" max="34" width="14.85546875" customWidth="1"/>
    <col min="35" max="35" width="2.7109375" customWidth="1"/>
    <col min="36" max="36" width="12.42578125" hidden="1" customWidth="1"/>
    <col min="37" max="37" width="21.5703125" hidden="1" customWidth="1"/>
    <col min="38" max="41" width="12.140625" hidden="1" customWidth="1"/>
    <col min="42" max="42" width="5.28515625" customWidth="1"/>
    <col min="43" max="44" width="10.5703125" customWidth="1"/>
    <col min="45" max="45" width="10.42578125" customWidth="1"/>
    <col min="46" max="48" width="8.7109375" customWidth="1"/>
  </cols>
  <sheetData>
    <row r="1" spans="1:52" ht="27" customHeight="1">
      <c r="A1" s="588"/>
      <c r="B1" s="7580"/>
      <c r="C1" s="7580"/>
      <c r="D1" s="7580"/>
      <c r="E1" s="7580"/>
      <c r="F1" s="7580"/>
      <c r="G1" s="3486" t="s">
        <v>2751</v>
      </c>
      <c r="H1" s="588"/>
      <c r="I1" s="588"/>
      <c r="J1" s="588"/>
      <c r="K1" s="588"/>
      <c r="L1" s="588"/>
      <c r="M1" s="588"/>
      <c r="N1" s="588"/>
      <c r="O1" s="588"/>
      <c r="P1" s="588"/>
      <c r="Q1" s="588"/>
      <c r="R1" s="588"/>
      <c r="S1" s="588"/>
      <c r="T1" s="588"/>
      <c r="U1" s="588"/>
      <c r="V1" s="588"/>
      <c r="W1" s="588"/>
      <c r="X1" s="588"/>
      <c r="Y1" s="588"/>
      <c r="Z1" s="588"/>
      <c r="AA1" s="588"/>
      <c r="AB1" s="431"/>
      <c r="AC1" s="1145"/>
      <c r="AD1" s="1145"/>
      <c r="AE1" s="1145"/>
      <c r="AF1" s="1145"/>
      <c r="AG1" s="1145"/>
      <c r="AH1" s="1145"/>
      <c r="AI1" s="1145"/>
      <c r="AJ1" s="1145"/>
      <c r="AK1" s="1145"/>
      <c r="AL1" s="1145"/>
      <c r="AM1" s="1145"/>
      <c r="AN1" s="1145"/>
      <c r="AO1" s="1145"/>
      <c r="AP1" s="1145"/>
      <c r="AQ1" s="2595"/>
      <c r="AR1" s="2595"/>
      <c r="AS1" s="2595"/>
      <c r="AT1" s="2595"/>
      <c r="AU1" s="2595"/>
      <c r="AV1" s="2595"/>
      <c r="AW1" s="2595"/>
      <c r="AX1" s="2595"/>
      <c r="AY1" s="2595"/>
      <c r="AZ1" s="2595"/>
    </row>
    <row r="2" spans="1:52" ht="21.75" customHeight="1">
      <c r="A2" s="588"/>
      <c r="B2" s="7658" t="s">
        <v>161</v>
      </c>
      <c r="C2" s="7659"/>
      <c r="D2" s="7659"/>
      <c r="E2" s="7659"/>
      <c r="F2" s="7660"/>
      <c r="G2" s="3208"/>
      <c r="H2" s="23"/>
      <c r="I2" s="419"/>
      <c r="J2" s="419"/>
      <c r="K2" s="419"/>
      <c r="L2" s="23"/>
      <c r="M2" s="420"/>
      <c r="N2" s="23"/>
      <c r="O2" s="419"/>
      <c r="P2" s="419"/>
      <c r="Q2" s="419"/>
      <c r="R2" s="23"/>
      <c r="S2" s="23"/>
      <c r="T2" s="23"/>
      <c r="U2" s="3209"/>
      <c r="V2" s="97"/>
      <c r="W2" s="7661" t="s">
        <v>152</v>
      </c>
      <c r="X2" s="7662"/>
      <c r="Y2" s="7662"/>
      <c r="Z2" s="7662"/>
      <c r="AA2" s="78"/>
      <c r="AB2" s="4817" t="s">
        <v>4368</v>
      </c>
      <c r="AC2" s="4018"/>
      <c r="AD2" s="4018"/>
      <c r="AE2" s="4018"/>
      <c r="AF2" s="4018"/>
      <c r="AG2" s="4018"/>
      <c r="AH2" s="4018"/>
      <c r="AI2" s="3541"/>
      <c r="AJ2" s="4018"/>
      <c r="AK2" s="3541"/>
      <c r="AL2" s="3541"/>
      <c r="AM2" s="3541"/>
      <c r="AN2" s="3541"/>
      <c r="AO2" s="3541"/>
      <c r="AP2" s="3541"/>
      <c r="AQ2" s="2594" t="s">
        <v>2033</v>
      </c>
      <c r="AR2" s="2595"/>
      <c r="AS2" s="2595"/>
      <c r="AT2" s="2595"/>
      <c r="AU2" s="2595"/>
      <c r="AV2" s="2595"/>
      <c r="AW2" s="2595"/>
      <c r="AX2" s="2595"/>
      <c r="AY2" s="2595"/>
      <c r="AZ2" s="2595"/>
    </row>
    <row r="3" spans="1:52" ht="27.75" customHeight="1">
      <c r="A3" s="588"/>
      <c r="B3" s="7702" t="s">
        <v>3973</v>
      </c>
      <c r="C3" s="7702"/>
      <c r="D3" s="7702"/>
      <c r="E3" s="7702"/>
      <c r="F3" s="7703"/>
      <c r="G3" s="7665" t="s">
        <v>162</v>
      </c>
      <c r="H3" s="7666"/>
      <c r="I3" s="7666"/>
      <c r="J3" s="7666"/>
      <c r="K3" s="7666"/>
      <c r="L3" s="7666"/>
      <c r="M3" s="7666"/>
      <c r="N3" s="7666"/>
      <c r="O3" s="7666"/>
      <c r="P3" s="7666"/>
      <c r="Q3" s="7666"/>
      <c r="R3" s="7666"/>
      <c r="S3" s="7666"/>
      <c r="T3" s="7666"/>
      <c r="U3" s="7666"/>
      <c r="V3" s="7667"/>
      <c r="W3" s="7668">
        <f>TaxYear</f>
        <v>2021</v>
      </c>
      <c r="X3" s="6720"/>
      <c r="Y3" s="6720"/>
      <c r="Z3" s="6720"/>
      <c r="AA3" s="78"/>
      <c r="AB3" s="431"/>
      <c r="AC3" s="7645" t="s">
        <v>4367</v>
      </c>
      <c r="AD3" s="7645"/>
      <c r="AE3" s="7645"/>
      <c r="AF3" s="4018"/>
      <c r="AG3" s="4018"/>
      <c r="AH3" s="4018"/>
      <c r="AI3" s="3541"/>
      <c r="AJ3" s="4018"/>
      <c r="AK3" s="3541"/>
      <c r="AL3" s="3541"/>
      <c r="AM3" s="3541"/>
      <c r="AN3" s="3541"/>
      <c r="AO3" s="3541"/>
      <c r="AP3" s="3541"/>
      <c r="AQ3" s="2595"/>
      <c r="AR3" s="2595"/>
      <c r="AS3" s="2595"/>
      <c r="AT3" s="2595"/>
      <c r="AU3" s="2595"/>
      <c r="AV3" s="2595"/>
      <c r="AW3" s="2595"/>
      <c r="AX3" s="2595"/>
      <c r="AY3" s="2595"/>
      <c r="AZ3" s="2595"/>
    </row>
    <row r="4" spans="1:52" ht="13.5" customHeight="1" thickBot="1">
      <c r="A4" s="588"/>
      <c r="B4" s="7646" t="s">
        <v>176</v>
      </c>
      <c r="C4" s="7646"/>
      <c r="D4" s="7646"/>
      <c r="E4" s="7646"/>
      <c r="F4" s="7647"/>
      <c r="G4" s="7648" t="s">
        <v>1968</v>
      </c>
      <c r="H4" s="7649"/>
      <c r="I4" s="7649"/>
      <c r="J4" s="7649"/>
      <c r="K4" s="7649"/>
      <c r="L4" s="7649"/>
      <c r="M4" s="7649"/>
      <c r="N4" s="7649"/>
      <c r="O4" s="7649"/>
      <c r="P4" s="7649"/>
      <c r="Q4" s="7649"/>
      <c r="R4" s="7649"/>
      <c r="S4" s="7649"/>
      <c r="T4" s="7649"/>
      <c r="U4" s="7649"/>
      <c r="V4" s="7650"/>
      <c r="W4" s="4686"/>
      <c r="X4" s="7651" t="s">
        <v>4143</v>
      </c>
      <c r="Y4" s="7651"/>
      <c r="Z4" s="7651"/>
      <c r="AA4" s="78"/>
      <c r="AB4" s="431"/>
      <c r="AC4" s="7645"/>
      <c r="AD4" s="7645"/>
      <c r="AE4" s="7645"/>
      <c r="AF4" s="4018"/>
      <c r="AG4" s="4018"/>
      <c r="AH4" s="4018"/>
      <c r="AI4" s="3541"/>
      <c r="AJ4" s="4018"/>
      <c r="AK4" s="3541"/>
      <c r="AL4" s="3541"/>
      <c r="AM4" s="3541"/>
      <c r="AN4" s="3541"/>
      <c r="AO4" s="3541"/>
      <c r="AP4" s="3541"/>
      <c r="AQ4" s="2595"/>
      <c r="AR4" s="2595"/>
      <c r="AS4" s="2595"/>
      <c r="AT4" s="2595"/>
      <c r="AU4" s="2595"/>
      <c r="AV4" s="2595"/>
      <c r="AW4" s="2595"/>
      <c r="AX4" s="2595"/>
      <c r="AY4" s="2595"/>
      <c r="AZ4" s="2595"/>
    </row>
    <row r="5" spans="1:52" ht="12.75" customHeight="1" thickBot="1">
      <c r="A5" s="588"/>
      <c r="B5" s="7653" t="str">
        <f>"Internal Revenue Service  (99)"</f>
        <v>Internal Revenue Service  (99)</v>
      </c>
      <c r="C5" s="7653"/>
      <c r="D5" s="7653"/>
      <c r="E5" s="7653"/>
      <c r="F5" s="7654"/>
      <c r="G5" s="7655" t="s">
        <v>4126</v>
      </c>
      <c r="H5" s="7656"/>
      <c r="I5" s="7656"/>
      <c r="J5" s="7656"/>
      <c r="K5" s="7656"/>
      <c r="L5" s="7656"/>
      <c r="M5" s="7656"/>
      <c r="N5" s="7656"/>
      <c r="O5" s="7656"/>
      <c r="P5" s="7656"/>
      <c r="Q5" s="7656"/>
      <c r="R5" s="7656"/>
      <c r="S5" s="7656"/>
      <c r="T5" s="7656"/>
      <c r="U5" s="7656"/>
      <c r="V5" s="7657"/>
      <c r="W5" s="4687"/>
      <c r="X5" s="7652"/>
      <c r="Y5" s="7652"/>
      <c r="Z5" s="7652"/>
      <c r="AA5" s="78"/>
      <c r="AB5" s="431"/>
      <c r="AC5" s="1145"/>
      <c r="AD5" s="2518" t="s">
        <v>1262</v>
      </c>
      <c r="AE5" s="4242" t="s">
        <v>769</v>
      </c>
      <c r="AF5" s="1145"/>
      <c r="AG5" s="7630" t="str">
        <f>IF(AND(AJ7,AL35),"Error: You can't check 'Spouse' if this form is for your statutory employee income.",IF(AND(AJ5,AM35),"Error: You can't check 'Yourself' if this form is for your spouse's statutory employee income.",""))</f>
        <v/>
      </c>
      <c r="AH5" s="3541"/>
      <c r="AI5" s="1145"/>
      <c r="AJ5" s="1145" t="b">
        <f>(AD5&lt;&gt;"")</f>
        <v>1</v>
      </c>
      <c r="AK5" s="3541"/>
      <c r="AL5" s="1145" t="b">
        <f>OR(AND('Sch. C'!M7=SS_Yours,'Sch. C'!Y6,NOT('Sch. C'!Y10)),AND('Sch. C'!M121=SS_Yours,'Sch. C'!Y120,NOT('Sch. C'!Y124)))</f>
        <v>1</v>
      </c>
      <c r="AM5" s="3541"/>
      <c r="AN5" s="3541"/>
      <c r="AO5" s="3541"/>
      <c r="AP5" s="3541"/>
      <c r="AQ5" s="2595"/>
      <c r="AR5" s="2595"/>
      <c r="AS5" s="2595"/>
      <c r="AT5" s="2595"/>
      <c r="AU5" s="2595"/>
      <c r="AV5" s="2595"/>
      <c r="AW5" s="2595"/>
      <c r="AX5" s="2595"/>
      <c r="AY5" s="2595"/>
      <c r="AZ5" s="2595"/>
    </row>
    <row r="6" spans="1:52" ht="12" customHeight="1" thickBot="1">
      <c r="A6" s="588"/>
      <c r="B6" s="7644" t="s">
        <v>4146</v>
      </c>
      <c r="C6" s="7644"/>
      <c r="D6" s="7644"/>
      <c r="E6" s="7644"/>
      <c r="F6" s="7644"/>
      <c r="G6" s="7644"/>
      <c r="H6" s="7644"/>
      <c r="I6" s="7644"/>
      <c r="J6" s="7644"/>
      <c r="K6" s="7644"/>
      <c r="L6" s="7644"/>
      <c r="M6" s="7644"/>
      <c r="N6" s="7644"/>
      <c r="O6" s="7644"/>
      <c r="P6" s="7644"/>
      <c r="Q6" s="7639" t="str">
        <f>IF($AJ$6,"Social security number(s) MUST be entered for this form to work properly.","Social security number of person"&amp;CHAR(10)&amp;"with self-employment income")</f>
        <v>Social security number of person
with self-employment income</v>
      </c>
      <c r="R6" s="7640"/>
      <c r="S6" s="7640"/>
      <c r="T6" s="7640"/>
      <c r="U6" s="7640"/>
      <c r="V6" s="7641"/>
      <c r="W6" s="7631">
        <f>IF(AND(AJ5,AJ7),SS_Yours,IF(AJ5,SS_Yours,IF(AJ7,SS_Spouse,"")))</f>
        <v>1010001</v>
      </c>
      <c r="X6" s="7632"/>
      <c r="Y6" s="7632"/>
      <c r="Z6" s="7632"/>
      <c r="AA6" s="78"/>
      <c r="AB6" s="431"/>
      <c r="AC6" s="1145"/>
      <c r="AD6" s="1145"/>
      <c r="AE6" s="4685" t="str">
        <f>IF(File_Marr_Joint&lt;&gt;"","Check both boxes if for both.","")</f>
        <v/>
      </c>
      <c r="AF6" s="1145"/>
      <c r="AG6" s="7630"/>
      <c r="AH6" s="1145"/>
      <c r="AI6" s="3541"/>
      <c r="AJ6" s="3541" t="b">
        <f>OR(AND(File_Marr_Joint&lt;&gt;"",SS_Yours=0,SS_Spouse=0),SS_Yours=0)</f>
        <v>0</v>
      </c>
      <c r="AK6" s="1145"/>
      <c r="AL6" s="1145"/>
      <c r="AM6" s="3541"/>
      <c r="AN6" s="3541"/>
      <c r="AO6" s="3541"/>
      <c r="AP6" s="3541"/>
      <c r="AQ6" s="2595"/>
      <c r="AR6" s="2595"/>
      <c r="AS6" s="2595"/>
      <c r="AT6" s="2595"/>
      <c r="AU6" s="2595"/>
      <c r="AV6" s="2595"/>
      <c r="AW6" s="2595"/>
      <c r="AX6" s="2595"/>
      <c r="AY6" s="2595"/>
      <c r="AZ6" s="2595"/>
    </row>
    <row r="7" spans="1:52" ht="16.5" customHeight="1" thickBot="1">
      <c r="A7" s="588"/>
      <c r="B7" s="7643" t="str">
        <f>IF(AND(AJ5,AJ7),NameYours&amp;" and "&amp;NameSpouse,IF(AJ5,NameYours,IF(AJ7,NameSpouse,"")))</f>
        <v xml:space="preserve"> </v>
      </c>
      <c r="C7" s="7643"/>
      <c r="D7" s="7643"/>
      <c r="E7" s="7643"/>
      <c r="F7" s="7643"/>
      <c r="G7" s="7643"/>
      <c r="H7" s="7643"/>
      <c r="I7" s="7643"/>
      <c r="J7" s="7643"/>
      <c r="K7" s="7643"/>
      <c r="L7" s="7643"/>
      <c r="M7" s="7643"/>
      <c r="N7" s="7643"/>
      <c r="O7" s="7643"/>
      <c r="P7" s="7643"/>
      <c r="Q7" s="6452"/>
      <c r="R7" s="6453"/>
      <c r="S7" s="6453"/>
      <c r="T7" s="6453"/>
      <c r="U7" s="6453"/>
      <c r="V7" s="7642"/>
      <c r="W7" s="7633"/>
      <c r="X7" s="7634"/>
      <c r="Y7" s="7634"/>
      <c r="Z7" s="7634"/>
      <c r="AA7" s="78"/>
      <c r="AB7" s="7635" t="s">
        <v>1723</v>
      </c>
      <c r="AC7" s="1145"/>
      <c r="AD7" s="2518"/>
      <c r="AE7" s="4242" t="str">
        <f>IF(AND(NumFileStatusBoxes=1,File_Marr_Joint&lt;&gt;""),"  Spouse","")</f>
        <v/>
      </c>
      <c r="AF7" s="1145"/>
      <c r="AG7" s="7630"/>
      <c r="AH7" s="3541"/>
      <c r="AI7" s="1145"/>
      <c r="AJ7" s="1145" t="b">
        <f>(AD7&lt;&gt;"")</f>
        <v>0</v>
      </c>
      <c r="AK7" s="1145"/>
      <c r="AL7" s="1145" t="b">
        <f>AND(File_Marr_Joint&lt;&gt;"",OR(AND('Sch. C'!M7=SS_Spouse,'Sch. C'!Y6,NOT('Sch. C'!Y10)),AND('Sch. C'!M121=SS_Spouse,'Sch. C'!Y120,NOT('Sch. C'!Y124))))</f>
        <v>0</v>
      </c>
      <c r="AM7" s="3541"/>
      <c r="AN7" s="3541"/>
      <c r="AO7" s="3541"/>
      <c r="AP7" s="3541"/>
      <c r="AQ7" s="2595"/>
      <c r="AR7" s="2595"/>
      <c r="AS7" s="2595"/>
      <c r="AT7" s="2595"/>
      <c r="AU7" s="2595"/>
      <c r="AV7" s="2595"/>
      <c r="AW7" s="2595"/>
      <c r="AX7" s="2595"/>
      <c r="AY7" s="2595"/>
      <c r="AZ7" s="2595"/>
    </row>
    <row r="8" spans="1:52" ht="18" customHeight="1">
      <c r="A8" s="588"/>
      <c r="B8" s="7636" t="s">
        <v>51</v>
      </c>
      <c r="C8" s="7636"/>
      <c r="D8" s="7636"/>
      <c r="E8" s="4672" t="s">
        <v>162</v>
      </c>
      <c r="F8" s="41"/>
      <c r="G8" s="41"/>
      <c r="H8" s="41"/>
      <c r="I8" s="41"/>
      <c r="J8" s="41"/>
      <c r="K8" s="41"/>
      <c r="L8" s="41"/>
      <c r="M8" s="41"/>
      <c r="N8" s="41"/>
      <c r="O8" s="41"/>
      <c r="P8" s="41"/>
      <c r="Q8" s="41"/>
      <c r="R8" s="41"/>
      <c r="S8" s="41"/>
      <c r="T8" s="41"/>
      <c r="U8" s="41"/>
      <c r="V8" s="41"/>
      <c r="W8" s="41"/>
      <c r="X8" s="41"/>
      <c r="Y8" s="41"/>
      <c r="Z8" s="41"/>
      <c r="AA8" s="78"/>
      <c r="AB8" s="7635"/>
      <c r="AC8" s="1145"/>
      <c r="AD8" s="7129" t="s">
        <v>4363</v>
      </c>
      <c r="AE8" s="7129"/>
      <c r="AF8" s="7129"/>
      <c r="AG8" s="7129"/>
      <c r="AH8" s="7129"/>
      <c r="AI8" s="7129"/>
      <c r="AJ8" s="4692"/>
      <c r="AK8" s="3541"/>
      <c r="AL8" s="3541"/>
      <c r="AM8" s="3541"/>
      <c r="AN8" s="3541"/>
      <c r="AO8" s="3541"/>
      <c r="AP8" s="3541"/>
      <c r="AQ8" s="2595"/>
      <c r="AR8" s="2595"/>
      <c r="AS8" s="2595"/>
      <c r="AT8" s="2595"/>
      <c r="AU8" s="2595"/>
      <c r="AV8" s="2595"/>
      <c r="AW8" s="2595"/>
      <c r="AX8" s="2595"/>
      <c r="AY8" s="2595"/>
      <c r="AZ8" s="2595"/>
    </row>
    <row r="9" spans="1:52" ht="14.25" customHeight="1">
      <c r="A9" s="588"/>
      <c r="B9" s="2213" t="s">
        <v>4127</v>
      </c>
      <c r="C9" s="4674"/>
      <c r="D9" s="4674"/>
      <c r="E9" s="4673"/>
      <c r="F9" s="23"/>
      <c r="G9" s="23"/>
      <c r="H9" s="23"/>
      <c r="I9" s="23"/>
      <c r="J9" s="23"/>
      <c r="K9" s="23"/>
      <c r="L9" s="23"/>
      <c r="M9" s="23"/>
      <c r="N9" s="23"/>
      <c r="O9" s="23"/>
      <c r="P9" s="23"/>
      <c r="Q9" s="23"/>
      <c r="R9" s="23"/>
      <c r="S9" s="23"/>
      <c r="T9" s="23"/>
      <c r="U9" s="23"/>
      <c r="V9" s="23"/>
      <c r="W9" s="23"/>
      <c r="X9" s="23"/>
      <c r="Y9" s="23"/>
      <c r="Z9" s="23"/>
      <c r="AA9" s="78"/>
      <c r="AB9" s="431"/>
      <c r="AC9" s="1145"/>
      <c r="AD9" s="7129"/>
      <c r="AE9" s="7129"/>
      <c r="AF9" s="7129"/>
      <c r="AG9" s="7129"/>
      <c r="AH9" s="7129"/>
      <c r="AI9" s="7129"/>
      <c r="AJ9" s="4692"/>
      <c r="AK9" s="3541"/>
      <c r="AL9" s="3541"/>
      <c r="AM9" s="3541"/>
      <c r="AN9" s="3541"/>
      <c r="AO9" s="3541"/>
      <c r="AP9" s="3541"/>
      <c r="AQ9" s="2595"/>
      <c r="AR9" s="2595"/>
      <c r="AS9" s="2595"/>
      <c r="AT9" s="2595"/>
      <c r="AU9" s="2595"/>
      <c r="AV9" s="2595"/>
      <c r="AW9" s="2595"/>
      <c r="AX9" s="2595"/>
      <c r="AY9" s="2595"/>
      <c r="AZ9" s="2595"/>
    </row>
    <row r="10" spans="1:52" s="586" customFormat="1" ht="14.25" customHeight="1">
      <c r="A10" s="588"/>
      <c r="B10" s="2213" t="s">
        <v>4128</v>
      </c>
      <c r="C10" s="4674"/>
      <c r="D10" s="4674"/>
      <c r="E10" s="4673"/>
      <c r="F10" s="23"/>
      <c r="G10" s="23"/>
      <c r="H10" s="23"/>
      <c r="I10" s="23"/>
      <c r="J10" s="23"/>
      <c r="K10" s="23"/>
      <c r="L10" s="23"/>
      <c r="M10" s="23"/>
      <c r="N10" s="23"/>
      <c r="O10" s="23"/>
      <c r="P10" s="23"/>
      <c r="Q10" s="23"/>
      <c r="R10" s="23"/>
      <c r="S10" s="23"/>
      <c r="T10" s="23"/>
      <c r="U10" s="23"/>
      <c r="V10" s="23"/>
      <c r="W10" s="23"/>
      <c r="X10" s="23"/>
      <c r="Y10" s="23"/>
      <c r="Z10" s="23"/>
      <c r="AA10" s="78"/>
      <c r="AB10" s="7637" t="str">
        <f>IF(ChurchEmployee1,"Skip line 1 thru 4b, enter -0- on line 4c, and go to line 5a.","")</f>
        <v/>
      </c>
      <c r="AC10" s="1145"/>
      <c r="AD10" s="7129"/>
      <c r="AE10" s="7129"/>
      <c r="AF10" s="7129"/>
      <c r="AG10" s="7129"/>
      <c r="AH10" s="7129"/>
      <c r="AI10" s="7129"/>
      <c r="AJ10" s="4692"/>
      <c r="AK10" s="3541"/>
      <c r="AL10" s="3541"/>
      <c r="AM10" s="3541"/>
      <c r="AN10" s="3541"/>
      <c r="AO10" s="3541"/>
      <c r="AP10" s="3541"/>
      <c r="AQ10" s="2599"/>
      <c r="AR10" s="2599"/>
      <c r="AS10" s="2599"/>
      <c r="AT10" s="2599"/>
      <c r="AU10" s="2599"/>
      <c r="AV10" s="2599"/>
      <c r="AW10" s="2599"/>
      <c r="AX10" s="2599"/>
      <c r="AY10" s="2599"/>
      <c r="AZ10" s="2599"/>
    </row>
    <row r="11" spans="1:52" ht="11.25" customHeight="1">
      <c r="A11" s="588"/>
      <c r="B11" s="7638" t="s">
        <v>143</v>
      </c>
      <c r="C11" s="7638"/>
      <c r="D11" s="4674"/>
      <c r="E11" s="2213" t="s">
        <v>4152</v>
      </c>
      <c r="F11" s="23"/>
      <c r="G11" s="23"/>
      <c r="H11" s="23"/>
      <c r="I11" s="23"/>
      <c r="J11" s="23"/>
      <c r="K11" s="23"/>
      <c r="L11" s="23"/>
      <c r="M11" s="23"/>
      <c r="N11" s="23"/>
      <c r="O11" s="23"/>
      <c r="P11" s="23"/>
      <c r="Q11" s="23"/>
      <c r="R11" s="23"/>
      <c r="S11" s="23"/>
      <c r="T11" s="23"/>
      <c r="U11" s="23"/>
      <c r="V11" s="23"/>
      <c r="W11" s="23"/>
      <c r="X11" s="23"/>
      <c r="Y11" s="23"/>
      <c r="Z11" s="23"/>
      <c r="AA11" s="78"/>
      <c r="AB11" s="7637"/>
      <c r="AC11" s="1145"/>
      <c r="AD11" s="7129"/>
      <c r="AE11" s="7129"/>
      <c r="AF11" s="7129"/>
      <c r="AG11" s="7129"/>
      <c r="AH11" s="7129"/>
      <c r="AI11" s="7129"/>
      <c r="AJ11" s="4692"/>
      <c r="AK11" s="3541"/>
      <c r="AL11" s="3541"/>
      <c r="AM11" s="3541"/>
      <c r="AN11" s="3541"/>
      <c r="AO11" s="3541"/>
      <c r="AP11" s="3541"/>
      <c r="AQ11" s="2595"/>
      <c r="AR11" s="2595"/>
      <c r="AS11" s="2595"/>
      <c r="AT11" s="2595"/>
      <c r="AU11" s="2595"/>
      <c r="AV11" s="2595"/>
      <c r="AW11" s="2595"/>
      <c r="AX11" s="2595"/>
      <c r="AY11" s="2595"/>
      <c r="AZ11" s="2595"/>
    </row>
    <row r="12" spans="1:52" ht="11.25" customHeight="1">
      <c r="A12" s="588"/>
      <c r="B12" s="4674"/>
      <c r="C12" s="4674"/>
      <c r="D12" s="4674"/>
      <c r="E12" s="2213" t="str">
        <f>TEXT(AJ20,"$0")&amp;" or more of"</f>
        <v>$400 or more of</v>
      </c>
      <c r="F12" s="23"/>
      <c r="G12" s="70" t="s">
        <v>4151</v>
      </c>
      <c r="H12" s="23"/>
      <c r="I12" s="23"/>
      <c r="J12" s="23"/>
      <c r="K12" s="23"/>
      <c r="L12" s="23"/>
      <c r="M12" s="23"/>
      <c r="N12" s="23"/>
      <c r="O12" s="23"/>
      <c r="P12" s="23"/>
      <c r="Q12" s="23"/>
      <c r="R12" s="23"/>
      <c r="S12" s="23"/>
      <c r="T12" s="23"/>
      <c r="U12" s="23"/>
      <c r="V12" s="23"/>
      <c r="W12" s="23"/>
      <c r="X12" s="2725" t="s">
        <v>2419</v>
      </c>
      <c r="Y12" s="4704"/>
      <c r="Z12" s="23"/>
      <c r="AA12" s="78"/>
      <c r="AB12" s="7637"/>
      <c r="AC12" s="1145"/>
      <c r="AD12" s="4692"/>
      <c r="AE12" s="4702" t="b">
        <f>AND(X21=0,ChurchEmployeeIncome1&lt;&gt;"",ChurchEmployeeIncome1&gt;0)</f>
        <v>0</v>
      </c>
      <c r="AF12" s="4692"/>
      <c r="AG12" s="4692"/>
      <c r="AH12" s="4692"/>
      <c r="AI12" s="3541"/>
      <c r="AJ12" s="4692"/>
      <c r="AK12" s="3541"/>
      <c r="AL12" s="3541"/>
      <c r="AM12" s="3541"/>
      <c r="AN12" s="3541"/>
      <c r="AO12" s="3541"/>
      <c r="AP12" s="3541"/>
      <c r="AQ12" s="2595"/>
      <c r="AR12" s="2595"/>
      <c r="AS12" s="2595"/>
      <c r="AT12" s="2595"/>
      <c r="AU12" s="2595"/>
      <c r="AV12" s="2595"/>
      <c r="AW12" s="2595"/>
      <c r="AX12" s="2595"/>
      <c r="AY12" s="2595"/>
      <c r="AZ12" s="2595"/>
    </row>
    <row r="13" spans="1:52" ht="13.5" customHeight="1" thickBot="1">
      <c r="A13" s="588"/>
      <c r="B13" s="2213" t="s">
        <v>4129</v>
      </c>
      <c r="C13" s="4674"/>
      <c r="D13" s="4674"/>
      <c r="E13" s="2213"/>
      <c r="F13" s="23"/>
      <c r="G13" s="23"/>
      <c r="H13" s="23"/>
      <c r="I13" s="23"/>
      <c r="J13" s="23"/>
      <c r="K13" s="23"/>
      <c r="L13" s="23"/>
      <c r="M13" s="23"/>
      <c r="N13" s="23"/>
      <c r="O13" s="23"/>
      <c r="P13" s="23"/>
      <c r="Q13" s="23"/>
      <c r="R13" s="23"/>
      <c r="S13" s="23"/>
      <c r="T13" s="23"/>
      <c r="U13" s="23"/>
      <c r="V13" s="23"/>
      <c r="W13" s="23"/>
      <c r="X13" s="23"/>
      <c r="Y13" s="23"/>
      <c r="Z13" s="23"/>
      <c r="AA13" s="78"/>
      <c r="AB13" s="431"/>
      <c r="AC13" s="431"/>
      <c r="AD13" s="431"/>
      <c r="AE13" s="431"/>
      <c r="AF13" s="431"/>
      <c r="AG13" s="431"/>
      <c r="AH13" s="431"/>
      <c r="AI13" s="431"/>
      <c r="AJ13" s="3542">
        <f>IF(AB15&lt;&gt;"",ROUND(AB15,0),FarmProfitNet)</f>
        <v>0</v>
      </c>
      <c r="AK13" s="3541"/>
      <c r="AL13" s="3541"/>
      <c r="AM13" s="3541"/>
      <c r="AN13" s="3541"/>
      <c r="AO13" s="3541"/>
      <c r="AP13" s="3541"/>
      <c r="AQ13" s="2595"/>
      <c r="AR13" s="2595"/>
      <c r="AS13" s="2595"/>
      <c r="AT13" s="2595"/>
      <c r="AU13" s="2595"/>
      <c r="AV13" s="2595"/>
      <c r="AW13" s="2595"/>
      <c r="AX13" s="2595"/>
      <c r="AY13" s="2595"/>
      <c r="AZ13" s="2595"/>
    </row>
    <row r="14" spans="1:52" ht="13.5" customHeight="1" thickBot="1">
      <c r="A14" s="588"/>
      <c r="B14" s="23"/>
      <c r="C14" s="39" t="s">
        <v>12</v>
      </c>
      <c r="D14" s="70" t="s">
        <v>4809</v>
      </c>
      <c r="E14" s="23"/>
      <c r="F14" s="23"/>
      <c r="G14" s="23"/>
      <c r="H14" s="23"/>
      <c r="I14" s="23"/>
      <c r="J14" s="23"/>
      <c r="K14" s="23"/>
      <c r="L14" s="23"/>
      <c r="M14" s="23"/>
      <c r="N14" s="23"/>
      <c r="O14" s="23"/>
      <c r="P14" s="23"/>
      <c r="Q14" s="23"/>
      <c r="R14" s="23"/>
      <c r="S14" s="23"/>
      <c r="T14" s="23"/>
      <c r="U14" s="23"/>
      <c r="V14" s="23"/>
      <c r="W14" s="429"/>
      <c r="X14" s="7693"/>
      <c r="Y14" s="6636"/>
      <c r="Z14" s="6636"/>
      <c r="AA14" s="78"/>
      <c r="AB14" s="2517"/>
      <c r="AC14" s="431"/>
      <c r="AD14" s="4700" t="s">
        <v>4156</v>
      </c>
      <c r="AE14" s="1501"/>
      <c r="AF14" s="1501"/>
      <c r="AG14" s="4693"/>
      <c r="AH14" s="1502"/>
      <c r="AI14" s="431"/>
      <c r="AJ14" s="1179"/>
      <c r="AK14" s="1179"/>
      <c r="AL14" s="1179"/>
      <c r="AM14" s="1179"/>
      <c r="AN14" s="1179"/>
      <c r="AO14" s="1179"/>
      <c r="AP14" s="1179"/>
      <c r="AQ14" s="2595"/>
      <c r="AR14" s="2595"/>
      <c r="AS14" s="2595"/>
      <c r="AT14" s="2595"/>
      <c r="AU14" s="2595"/>
      <c r="AV14" s="2595"/>
      <c r="AW14" s="2595"/>
      <c r="AX14" s="2595"/>
      <c r="AY14" s="2595"/>
      <c r="AZ14" s="2595"/>
    </row>
    <row r="15" spans="1:52" ht="13.5" customHeight="1" thickBot="1">
      <c r="A15" s="588"/>
      <c r="B15" s="122"/>
      <c r="C15" s="411"/>
      <c r="D15" s="1005" t="s">
        <v>4810</v>
      </c>
      <c r="E15" s="122"/>
      <c r="F15" s="122"/>
      <c r="G15" s="122"/>
      <c r="H15" s="122"/>
      <c r="I15" s="122"/>
      <c r="J15" s="122"/>
      <c r="K15" s="122"/>
      <c r="L15" s="122"/>
      <c r="M15" s="122"/>
      <c r="N15" s="122"/>
      <c r="O15" s="122"/>
      <c r="P15" s="122"/>
      <c r="Q15" s="122"/>
      <c r="R15" s="122"/>
      <c r="S15" s="122"/>
      <c r="T15" s="122"/>
      <c r="U15" s="122"/>
      <c r="V15" s="1355" t="s">
        <v>575</v>
      </c>
      <c r="W15" s="430" t="s">
        <v>12</v>
      </c>
      <c r="X15" s="7679">
        <f>IF(AB15&lt;&gt;"",ROUND(AB15,0),IF(OR(FarmOptMeth1,AND(NOT(AJ5),NOT(AJ7))),"",IF(AND(AJ5,AJ7),SUM(AN32,ROUND(AH15,0)),IF(AJ5,SUM(AL32,ROUND(AH15,0)),IF(AJ7,SUM(AM32,ROUND(AH15,0)),"")))))</f>
        <v>0</v>
      </c>
      <c r="Y15" s="7680"/>
      <c r="Z15" s="7680"/>
      <c r="AA15" s="655"/>
      <c r="AB15" s="3340"/>
      <c r="AC15" s="431"/>
      <c r="AD15" s="3900" t="s">
        <v>4153</v>
      </c>
      <c r="AE15" s="1509"/>
      <c r="AF15" s="1509"/>
      <c r="AG15" s="1509"/>
      <c r="AH15" s="4056"/>
      <c r="AI15" s="431"/>
      <c r="AJ15" s="1145"/>
      <c r="AK15" s="1179"/>
      <c r="AL15" s="1179"/>
      <c r="AM15" s="1179"/>
      <c r="AN15" s="1179"/>
      <c r="AO15" s="1179"/>
      <c r="AP15" s="1179"/>
      <c r="AQ15" s="2595"/>
      <c r="AR15" s="2595"/>
      <c r="AS15" s="2595"/>
      <c r="AT15" s="2595"/>
      <c r="AU15" s="2595"/>
      <c r="AV15" s="2595"/>
      <c r="AW15" s="2595"/>
      <c r="AX15" s="2595"/>
      <c r="AY15" s="2595"/>
      <c r="AZ15" s="2595"/>
    </row>
    <row r="16" spans="1:52" ht="13.5" customHeight="1" thickBot="1">
      <c r="A16" s="588"/>
      <c r="B16" s="23"/>
      <c r="C16" s="2725" t="s">
        <v>47</v>
      </c>
      <c r="D16" s="56" t="s">
        <v>456</v>
      </c>
      <c r="E16" s="23"/>
      <c r="F16" s="23"/>
      <c r="G16" s="23"/>
      <c r="H16" s="23"/>
      <c r="I16" s="23"/>
      <c r="J16" s="23"/>
      <c r="K16" s="23"/>
      <c r="L16" s="23"/>
      <c r="M16" s="23"/>
      <c r="N16" s="23"/>
      <c r="O16" s="23"/>
      <c r="P16" s="23"/>
      <c r="Q16" s="23"/>
      <c r="R16" s="23"/>
      <c r="S16" s="23"/>
      <c r="T16" s="23"/>
      <c r="U16" s="23"/>
      <c r="V16" s="23"/>
      <c r="W16" s="425"/>
      <c r="X16" s="7678" t="str">
        <f>IF('Sch. F'!Y24="","",'Sch. F'!Y24)</f>
        <v/>
      </c>
      <c r="Y16" s="7467"/>
      <c r="Z16" s="7467"/>
      <c r="AA16" s="78"/>
      <c r="AB16" s="2517"/>
      <c r="AC16" s="431"/>
      <c r="AD16" s="4708" t="s">
        <v>4155</v>
      </c>
      <c r="AE16" s="1687"/>
      <c r="AF16" s="1687"/>
      <c r="AG16" s="1687"/>
      <c r="AH16" s="1687"/>
      <c r="AI16" s="431"/>
      <c r="AJ16" s="1145"/>
      <c r="AK16" s="1179"/>
      <c r="AL16" s="1179"/>
      <c r="AM16" s="1179"/>
      <c r="AN16" s="1179"/>
      <c r="AO16" s="1179"/>
      <c r="AP16" s="1179"/>
      <c r="AQ16" s="2595"/>
      <c r="AR16" s="2595"/>
      <c r="AS16" s="2595"/>
      <c r="AT16" s="2595"/>
      <c r="AU16" s="2595"/>
      <c r="AV16" s="2595"/>
      <c r="AW16" s="2595"/>
      <c r="AX16" s="2595"/>
      <c r="AY16" s="2595"/>
      <c r="AZ16" s="2595"/>
    </row>
    <row r="17" spans="1:52" ht="13.5" customHeight="1" thickBot="1">
      <c r="A17" s="588"/>
      <c r="B17" s="122"/>
      <c r="C17" s="411"/>
      <c r="D17" s="4122" t="s">
        <v>2423</v>
      </c>
      <c r="E17" s="122"/>
      <c r="F17" s="122"/>
      <c r="G17" s="122"/>
      <c r="H17" s="122"/>
      <c r="I17" s="122"/>
      <c r="J17" s="122"/>
      <c r="K17" s="122"/>
      <c r="L17" s="122"/>
      <c r="M17" s="122"/>
      <c r="N17" s="122"/>
      <c r="O17" s="122"/>
      <c r="P17" s="122"/>
      <c r="Q17" s="122"/>
      <c r="R17" s="122"/>
      <c r="S17" s="122"/>
      <c r="T17" s="122"/>
      <c r="U17" s="122"/>
      <c r="V17" s="1355"/>
      <c r="W17" s="430" t="s">
        <v>15</v>
      </c>
      <c r="X17" s="7679" t="str">
        <f>IF(AB17&lt;&gt;"",-ROUND(ABS(AB17),0),IF(OR(FarmOptMeth1,AND(NOT(AJ5),NOT(AJ7))),"",IF(AH17&lt;&gt;"",-ABS(ROUND(AH17,0)),"")))</f>
        <v/>
      </c>
      <c r="Y17" s="7680"/>
      <c r="Z17" s="7680"/>
      <c r="AA17" s="655"/>
      <c r="AB17" s="3340"/>
      <c r="AC17" s="431"/>
      <c r="AD17" s="4701" t="s">
        <v>4350</v>
      </c>
      <c r="AE17" s="1509"/>
      <c r="AF17" s="1509"/>
      <c r="AG17" s="4690"/>
      <c r="AH17" s="4056"/>
      <c r="AI17" s="431"/>
      <c r="AJ17" s="1145" t="b">
        <f>AND(FALSE,OR(AB17&gt;0,AH17&gt;0))</f>
        <v>0</v>
      </c>
      <c r="AK17" s="1179"/>
      <c r="AL17" s="1179"/>
      <c r="AM17" s="1179"/>
      <c r="AN17" s="1179"/>
      <c r="AO17" s="1179"/>
      <c r="AP17" s="1179"/>
      <c r="AQ17" s="2595"/>
      <c r="AR17" s="2595"/>
      <c r="AS17" s="2595"/>
      <c r="AT17" s="2595"/>
      <c r="AU17" s="2595"/>
      <c r="AV17" s="2595"/>
      <c r="AW17" s="2595"/>
      <c r="AX17" s="2595"/>
      <c r="AY17" s="2595"/>
      <c r="AZ17" s="2595"/>
    </row>
    <row r="18" spans="1:52" s="613" customFormat="1" ht="20.25" customHeight="1" thickBot="1">
      <c r="A18" s="636"/>
      <c r="B18" s="2213" t="s">
        <v>4130</v>
      </c>
      <c r="C18" s="4674"/>
      <c r="D18" s="4674"/>
      <c r="E18" s="2213"/>
      <c r="F18" s="122"/>
      <c r="G18" s="122"/>
      <c r="H18" s="122"/>
      <c r="I18" s="122"/>
      <c r="J18" s="122"/>
      <c r="K18" s="122"/>
      <c r="L18" s="122"/>
      <c r="M18" s="122"/>
      <c r="N18" s="122"/>
      <c r="O18" s="122"/>
      <c r="P18" s="122"/>
      <c r="Q18" s="122"/>
      <c r="R18" s="122"/>
      <c r="S18" s="122"/>
      <c r="T18" s="122"/>
      <c r="U18" s="122"/>
      <c r="V18" s="122"/>
      <c r="W18" s="4706"/>
      <c r="X18" s="7694"/>
      <c r="Y18" s="7695"/>
      <c r="Z18" s="7695"/>
      <c r="AA18" s="655"/>
      <c r="AB18" s="7687" t="str">
        <f>IF(AN35,"See NOTE regarding Statutory Employee profit/loss.","")</f>
        <v/>
      </c>
      <c r="AC18" s="431"/>
      <c r="AD18" s="431"/>
      <c r="AE18" s="431"/>
      <c r="AF18" s="431"/>
      <c r="AG18" s="431"/>
      <c r="AH18" s="431"/>
      <c r="AI18" s="437"/>
      <c r="AJ18" s="1692"/>
      <c r="AK18" s="1830"/>
      <c r="AL18" s="1830"/>
      <c r="AM18" s="1830"/>
      <c r="AN18" s="1830"/>
      <c r="AO18" s="1830"/>
      <c r="AP18" s="1830"/>
      <c r="AQ18" s="2602"/>
      <c r="AR18" s="2602"/>
      <c r="AS18" s="2602"/>
      <c r="AT18" s="2602"/>
      <c r="AU18" s="2602"/>
      <c r="AV18" s="2602"/>
      <c r="AW18" s="2602"/>
      <c r="AX18" s="2602"/>
      <c r="AY18" s="2602"/>
      <c r="AZ18" s="2602"/>
    </row>
    <row r="19" spans="1:52" ht="13.5" thickBot="1">
      <c r="A19" s="588"/>
      <c r="B19" s="23"/>
      <c r="C19" s="48">
        <v>2</v>
      </c>
      <c r="D19" s="70" t="s">
        <v>4811</v>
      </c>
      <c r="E19" s="23"/>
      <c r="F19" s="23"/>
      <c r="G19" s="23"/>
      <c r="H19" s="23"/>
      <c r="I19" s="23"/>
      <c r="J19" s="23"/>
      <c r="K19" s="23"/>
      <c r="L19" s="23"/>
      <c r="M19" s="23"/>
      <c r="N19" s="23"/>
      <c r="O19" s="23"/>
      <c r="P19" s="23"/>
      <c r="Q19" s="23"/>
      <c r="R19" s="23"/>
      <c r="S19" s="23"/>
      <c r="T19" s="23"/>
      <c r="U19" s="23"/>
      <c r="V19" s="23"/>
      <c r="W19" s="429"/>
      <c r="X19" s="7676"/>
      <c r="Y19" s="7677"/>
      <c r="Z19" s="7677"/>
      <c r="AA19" s="78"/>
      <c r="AB19" s="7688"/>
      <c r="AC19" s="431"/>
      <c r="AD19" s="4708" t="s">
        <v>4154</v>
      </c>
      <c r="AE19" s="4709"/>
      <c r="AF19" s="4709"/>
      <c r="AG19" s="4709"/>
      <c r="AH19" s="4710"/>
      <c r="AI19" s="437"/>
      <c r="AJ19" s="1145"/>
      <c r="AK19" s="1179" t="b">
        <f>OR(AB15&lt;&gt;"",AB17&lt;&gt;"",AB20&lt;&gt;"",AH15&lt;&gt;"",AH17&lt;&gt;"", AH20&lt;&gt;"",AB21&lt;&gt;"",X51&lt;&gt;"",X57&lt;&gt;"")</f>
        <v>0</v>
      </c>
      <c r="AL19" s="1179"/>
      <c r="AM19" s="1179"/>
      <c r="AN19" s="1179"/>
      <c r="AO19" s="1179"/>
      <c r="AP19" s="1179"/>
      <c r="AQ19" s="2595"/>
      <c r="AR19" s="2595"/>
      <c r="AS19" s="2595"/>
      <c r="AT19" s="2595"/>
      <c r="AU19" s="2595"/>
      <c r="AV19" s="2595"/>
      <c r="AW19" s="2595"/>
      <c r="AX19" s="2595"/>
      <c r="AY19" s="2595"/>
      <c r="AZ19" s="2595"/>
    </row>
    <row r="20" spans="1:52" ht="13.5" thickBot="1">
      <c r="A20" s="588"/>
      <c r="B20" s="23"/>
      <c r="C20" s="48"/>
      <c r="D20" s="1005" t="s">
        <v>4812</v>
      </c>
      <c r="E20" s="23"/>
      <c r="F20" s="23"/>
      <c r="G20" s="23"/>
      <c r="H20" s="23"/>
      <c r="I20" s="23"/>
      <c r="J20" s="23"/>
      <c r="K20" s="23"/>
      <c r="L20" s="23"/>
      <c r="M20" s="23"/>
      <c r="N20" s="23"/>
      <c r="O20" s="23"/>
      <c r="P20" s="23"/>
      <c r="Q20" s="23"/>
      <c r="R20" s="23"/>
      <c r="S20" s="23"/>
      <c r="T20" s="23"/>
      <c r="U20" s="23"/>
      <c r="V20" s="1355" t="s">
        <v>1037</v>
      </c>
      <c r="W20" s="428">
        <v>2</v>
      </c>
      <c r="X20" s="7585">
        <f>IF(AB20&lt;&gt;"",ROUND(AB20,0),IF($AJ$6,"Need SSN.",IF(NonFarmOptMeth1,"",IF(AND(AJ5,AJ7),SUM(AN33,ROUND(AH20,0)),IF(AJ5,SUM(AL33,ROUND(AH20,0)),IF(AJ7,SUM(AM33,ROUND(AH20,0)),""))))))</f>
        <v>0</v>
      </c>
      <c r="Y20" s="7586"/>
      <c r="Z20" s="7586"/>
      <c r="AA20" s="78"/>
      <c r="AB20" s="3340"/>
      <c r="AC20" s="4707"/>
      <c r="AD20" s="4701" t="s">
        <v>4157</v>
      </c>
      <c r="AE20" s="1509"/>
      <c r="AF20" s="1509"/>
      <c r="AG20" s="4690"/>
      <c r="AH20" s="4056"/>
      <c r="AI20" s="431"/>
      <c r="AJ20" s="1145">
        <v>400</v>
      </c>
      <c r="AK20" s="3262">
        <f>IF(AB20&lt;&gt;"",ROUND(AB20,0),IF(AND(AH15&lt;&gt;"",SchC_StatutoryEmp_1=""),SUM(ROUND(AH15,0),SchC_ProfitLoss1),IF(AND(AH15&lt;&gt;"",SchC_StatutoryEmp_1=""),SUM(ROUND(AH15,0),SchC_ProfitLoss1),IF(SchC_StatutoryEmp_1="",SchC_ProfitLoss1,0))))</f>
        <v>0</v>
      </c>
      <c r="AL20" s="3262"/>
      <c r="AM20" s="3262"/>
      <c r="AN20" s="3262"/>
      <c r="AO20" s="3262"/>
      <c r="AP20" s="3262"/>
      <c r="AQ20" s="2595"/>
      <c r="AR20" s="2595"/>
      <c r="AS20" s="2595"/>
      <c r="AT20" s="2595"/>
      <c r="AU20" s="2595"/>
      <c r="AV20" s="2595"/>
      <c r="AW20" s="2595"/>
      <c r="AX20" s="2595"/>
      <c r="AY20" s="2595"/>
      <c r="AZ20" s="2595"/>
    </row>
    <row r="21" spans="1:52" ht="13.5" thickBot="1">
      <c r="A21" s="588"/>
      <c r="B21" s="122"/>
      <c r="C21" s="411">
        <v>3</v>
      </c>
      <c r="D21" s="70" t="s">
        <v>627</v>
      </c>
      <c r="E21" s="122"/>
      <c r="F21" s="122"/>
      <c r="G21" s="122"/>
      <c r="H21" s="122"/>
      <c r="I21" s="122"/>
      <c r="J21" s="122"/>
      <c r="K21" s="122"/>
      <c r="L21" s="122"/>
      <c r="M21" s="122"/>
      <c r="N21" s="122"/>
      <c r="O21" s="122"/>
      <c r="P21" s="122"/>
      <c r="Q21" s="122"/>
      <c r="R21" s="122"/>
      <c r="S21" s="122"/>
      <c r="T21" s="122"/>
      <c r="U21" s="122"/>
      <c r="V21" s="1355" t="s">
        <v>1075</v>
      </c>
      <c r="W21" s="430">
        <v>3</v>
      </c>
      <c r="X21" s="7585">
        <f>IF(AB21&lt;&gt;"",ROUND(AB21,0),SUM(X15,X17,X20))</f>
        <v>0</v>
      </c>
      <c r="Y21" s="7586"/>
      <c r="Z21" s="7586"/>
      <c r="AA21" s="655"/>
      <c r="AB21" s="3340"/>
      <c r="AC21" s="431"/>
      <c r="AD21" s="431"/>
      <c r="AE21" s="431"/>
      <c r="AF21" s="431"/>
      <c r="AG21" s="431"/>
      <c r="AH21" s="431"/>
      <c r="AI21" s="4234"/>
      <c r="AJ21" s="1145">
        <v>434</v>
      </c>
      <c r="AK21" s="3542">
        <f>IF(AB23&gt;"",ROUND(AB23,0),ROUND((AK20*AJ22),0))</f>
        <v>0</v>
      </c>
      <c r="AL21" s="3542"/>
      <c r="AM21" s="3542"/>
      <c r="AN21" s="3542"/>
      <c r="AO21" s="3542"/>
      <c r="AP21" s="3542"/>
      <c r="AQ21" s="2595"/>
      <c r="AR21" s="2595"/>
      <c r="AS21" s="2595"/>
      <c r="AT21" s="2595"/>
      <c r="AU21" s="2595"/>
      <c r="AV21" s="2595"/>
      <c r="AW21" s="2595"/>
      <c r="AX21" s="2595"/>
      <c r="AY21" s="2595"/>
      <c r="AZ21" s="2595"/>
    </row>
    <row r="22" spans="1:52" ht="13.5" customHeight="1" thickBot="1">
      <c r="A22" s="588"/>
      <c r="B22" s="23"/>
      <c r="C22" s="1256" t="s">
        <v>116</v>
      </c>
      <c r="D22" s="23" t="str">
        <f>"If line 3 is more than zero, multiply line 3 by "&amp;TEXT(AJ22,"0.00%")&amp;" ("&amp;TEXT(AJ22,"0.0000")&amp;")."</f>
        <v>If line 3 is more than zero, multiply line 3 by 92.35% (0.9235).</v>
      </c>
      <c r="E22" s="38"/>
      <c r="F22" s="23"/>
      <c r="G22" s="23"/>
      <c r="H22" s="23"/>
      <c r="I22" s="70"/>
      <c r="J22" s="23"/>
      <c r="K22" s="23"/>
      <c r="L22" s="23"/>
      <c r="M22" s="23"/>
      <c r="N22" s="70" t="s">
        <v>4131</v>
      </c>
      <c r="O22" s="23"/>
      <c r="P22" s="70"/>
      <c r="Q22" s="23"/>
      <c r="R22" s="23"/>
      <c r="S22" s="23"/>
      <c r="T22" s="23"/>
      <c r="U22" s="23"/>
      <c r="V22" s="23"/>
      <c r="W22" s="53"/>
      <c r="X22" s="7696"/>
      <c r="Y22" s="7697"/>
      <c r="Z22" s="7697"/>
      <c r="AA22" s="78"/>
      <c r="AB22" s="798"/>
      <c r="AC22" s="431"/>
      <c r="AD22" s="7627" t="str">
        <f>IF(AN35,"NOTE: Statutory Employee profit/loss from Sch. C."&amp;CHAR(10)&amp;"has been excluded from Line 2.  See IRS instructions.","")</f>
        <v/>
      </c>
      <c r="AE22" s="7627"/>
      <c r="AF22" s="7627"/>
      <c r="AG22" s="7627"/>
      <c r="AH22" s="7627"/>
      <c r="AI22" s="431"/>
      <c r="AJ22" s="1145">
        <v>0.92349999999999999</v>
      </c>
      <c r="AK22" s="3542">
        <f>IF(AND(X23&lt;AJ20,X17&lt;&gt;""),SUM(X15,X20),0)</f>
        <v>0</v>
      </c>
      <c r="AL22" s="3542"/>
      <c r="AM22" s="3542"/>
      <c r="AN22" s="3542"/>
      <c r="AO22" s="3542"/>
      <c r="AP22" s="3542"/>
      <c r="AQ22" s="2595"/>
      <c r="AR22" s="2595"/>
      <c r="AS22" s="2595"/>
      <c r="AT22" s="2595"/>
      <c r="AU22" s="2595"/>
      <c r="AV22" s="2595"/>
      <c r="AW22" s="2595"/>
      <c r="AX22" s="2595"/>
      <c r="AY22" s="2595"/>
      <c r="AZ22" s="2595"/>
    </row>
    <row r="23" spans="1:52" ht="13.5" thickBot="1">
      <c r="A23" s="588"/>
      <c r="B23" s="24" t="s">
        <v>27</v>
      </c>
      <c r="C23" s="70"/>
      <c r="D23" s="70" t="str">
        <f>"If line 4a is less than "&amp;TEXT(AJ20,"$0")&amp;" due to Conservation Reserve Program payments on line 1b, see instructions"</f>
        <v>If line 4a is less than $400 due to Conservation Reserve Program payments on line 1b, see instructions</v>
      </c>
      <c r="E23" s="38"/>
      <c r="F23" s="70"/>
      <c r="G23" s="23"/>
      <c r="H23" s="23"/>
      <c r="I23" s="23"/>
      <c r="J23" s="23"/>
      <c r="K23" s="23"/>
      <c r="L23" s="23"/>
      <c r="M23" s="23"/>
      <c r="N23" s="23"/>
      <c r="O23" s="23"/>
      <c r="P23" s="23"/>
      <c r="Q23" s="23"/>
      <c r="R23" s="23"/>
      <c r="S23" s="23"/>
      <c r="T23" s="23"/>
      <c r="U23" s="526"/>
      <c r="V23" s="526"/>
      <c r="W23" s="4676" t="s">
        <v>116</v>
      </c>
      <c r="X23" s="7583">
        <f>IF(AB23&lt;&gt;"",ROUND(AB23,0),IF(X21&gt;0,ROUND((X21*AJ22),0),X21))</f>
        <v>0</v>
      </c>
      <c r="Y23" s="7584"/>
      <c r="Z23" s="7584"/>
      <c r="AA23" s="78"/>
      <c r="AB23" s="3340"/>
      <c r="AC23" s="431"/>
      <c r="AD23" s="7627"/>
      <c r="AE23" s="7627"/>
      <c r="AF23" s="7627"/>
      <c r="AG23" s="7627"/>
      <c r="AH23" s="7627"/>
      <c r="AI23" s="431"/>
      <c r="AJ23" s="4688">
        <v>137700</v>
      </c>
      <c r="AK23" s="1145" t="b">
        <f>AND(S28&lt;&gt;"",S28&gt;0)</f>
        <v>0</v>
      </c>
      <c r="AL23" s="1145" t="b">
        <v>1</v>
      </c>
      <c r="AM23" s="1145"/>
      <c r="AN23" s="3542"/>
      <c r="AO23" s="3542"/>
      <c r="AP23" s="3542"/>
      <c r="AQ23" s="2595"/>
      <c r="AR23" s="2595"/>
      <c r="AS23" s="2595"/>
      <c r="AT23" s="2595"/>
      <c r="AU23" s="2595"/>
      <c r="AV23" s="2595"/>
      <c r="AW23" s="2595"/>
      <c r="AX23" s="2595"/>
      <c r="AY23" s="2595"/>
      <c r="AZ23" s="2595"/>
    </row>
    <row r="24" spans="1:52">
      <c r="A24" s="588"/>
      <c r="B24" s="23"/>
      <c r="C24" s="40" t="s">
        <v>47</v>
      </c>
      <c r="D24" s="70" t="s">
        <v>124</v>
      </c>
      <c r="E24" s="38"/>
      <c r="F24" s="23"/>
      <c r="G24" s="23"/>
      <c r="H24" s="23"/>
      <c r="I24" s="23"/>
      <c r="J24" s="23"/>
      <c r="K24" s="23"/>
      <c r="L24" s="23"/>
      <c r="M24" s="23"/>
      <c r="N24" s="23"/>
      <c r="O24" s="23"/>
      <c r="P24" s="23"/>
      <c r="Q24" s="23"/>
      <c r="R24" s="23"/>
      <c r="S24" s="23"/>
      <c r="T24" s="23"/>
      <c r="U24" s="526"/>
      <c r="V24" s="526"/>
      <c r="W24" s="4676" t="s">
        <v>99</v>
      </c>
      <c r="X24" s="7583" t="str">
        <f>IF(OR(FarmOptMeth1,NonFarmOptMeth1),SUM(X51,X57),"")</f>
        <v/>
      </c>
      <c r="Y24" s="7584"/>
      <c r="Z24" s="7584"/>
      <c r="AA24" s="78"/>
      <c r="AB24" s="4703" t="str">
        <f>IF(AK24,"IF line 4c is &lt;"&amp;TEXT(AJ20,"$0")&amp;",","")</f>
        <v>IF line 4c is &lt;$400,</v>
      </c>
      <c r="AC24" s="431"/>
      <c r="AD24" s="431"/>
      <c r="AE24" s="431"/>
      <c r="AF24" s="431"/>
      <c r="AG24" s="431"/>
      <c r="AH24" s="431"/>
      <c r="AI24" s="431"/>
      <c r="AJ24" s="1145">
        <v>2.9000000000000001E-2</v>
      </c>
      <c r="AK24" s="3542" t="b">
        <f>AND(NOT(AK23),SUM(X23,X24)&lt;AJ20)</f>
        <v>1</v>
      </c>
      <c r="AL24" s="4689" t="s">
        <v>4465</v>
      </c>
      <c r="AM24" s="3542"/>
      <c r="AN24" s="4689"/>
      <c r="AO24" s="4689"/>
      <c r="AP24" s="4689"/>
      <c r="AQ24" s="2595"/>
      <c r="AR24" s="2595"/>
      <c r="AS24" s="2595"/>
      <c r="AT24" s="2595"/>
      <c r="AU24" s="2595"/>
      <c r="AV24" s="2595"/>
      <c r="AW24" s="2595"/>
      <c r="AX24" s="2595"/>
      <c r="AY24" s="2595"/>
      <c r="AZ24" s="2595"/>
    </row>
    <row r="25" spans="1:52">
      <c r="A25" s="588"/>
      <c r="B25" s="23"/>
      <c r="C25" s="40" t="s">
        <v>48</v>
      </c>
      <c r="D25" s="70" t="str">
        <f>"Combine  lines 4a and 4b. If less than "&amp;TEXT(AJ20,"$0")&amp;","</f>
        <v>Combine  lines 4a and 4b. If less than $400,</v>
      </c>
      <c r="E25" s="38"/>
      <c r="F25" s="23"/>
      <c r="G25" s="23"/>
      <c r="H25" s="23"/>
      <c r="I25" s="23"/>
      <c r="J25" s="23"/>
      <c r="K25" s="70" t="s">
        <v>4149</v>
      </c>
      <c r="L25" s="23"/>
      <c r="M25" s="23"/>
      <c r="N25" s="23"/>
      <c r="O25" s="23"/>
      <c r="P25" s="23"/>
      <c r="Q25" s="23"/>
      <c r="R25" s="23"/>
      <c r="S25" s="23"/>
      <c r="T25" s="23"/>
      <c r="U25" s="526"/>
      <c r="V25" s="526"/>
      <c r="W25" s="436"/>
      <c r="X25" s="7625"/>
      <c r="Y25" s="7626"/>
      <c r="Z25" s="7626"/>
      <c r="AA25" s="78"/>
      <c r="AB25" s="4703" t="str">
        <f>IF(AK24,"STOP you don't owe","")</f>
        <v>STOP you don't owe</v>
      </c>
      <c r="AC25" s="1145"/>
      <c r="AD25" s="1145"/>
      <c r="AE25" s="1145"/>
      <c r="AF25" s="1145"/>
      <c r="AG25" s="1145"/>
      <c r="AH25" s="1145"/>
      <c r="AI25" s="1145"/>
      <c r="AJ25" s="2882">
        <v>16479.599999999999</v>
      </c>
      <c r="AK25" s="4689" t="b">
        <f>AND(AK23,SUM(X23,X24)&lt;AJ20)</f>
        <v>0</v>
      </c>
      <c r="AL25" s="4689" t="s">
        <v>4466</v>
      </c>
      <c r="AM25" s="4689"/>
      <c r="AN25" s="1145"/>
      <c r="AO25" s="1145"/>
      <c r="AP25" s="1145"/>
      <c r="AQ25" s="2595"/>
      <c r="AR25" s="2595"/>
      <c r="AS25" s="2595"/>
      <c r="AT25" s="2595"/>
      <c r="AU25" s="2595"/>
      <c r="AV25" s="2595"/>
      <c r="AW25" s="2595"/>
      <c r="AX25" s="2595"/>
      <c r="AY25" s="2595"/>
      <c r="AZ25" s="2595"/>
    </row>
    <row r="26" spans="1:52">
      <c r="A26" s="588"/>
      <c r="B26" s="23"/>
      <c r="C26" s="48"/>
      <c r="D26" s="70" t="str">
        <f>"less than "&amp;TEXT(AJ20,"$0")&amp;" and you had church employee income, enter -0- and continue"</f>
        <v>less than $400 and you had church employee income, enter -0- and continue</v>
      </c>
      <c r="E26" s="38"/>
      <c r="F26" s="23"/>
      <c r="G26" s="23"/>
      <c r="H26" s="23"/>
      <c r="I26" s="23"/>
      <c r="J26" s="23"/>
      <c r="K26" s="23"/>
      <c r="L26" s="23"/>
      <c r="M26" s="23"/>
      <c r="N26" s="23"/>
      <c r="O26" s="23"/>
      <c r="P26" s="23"/>
      <c r="Q26" s="23"/>
      <c r="R26" s="23"/>
      <c r="S26" s="23"/>
      <c r="T26" s="23"/>
      <c r="U26" s="526"/>
      <c r="V26" s="526"/>
      <c r="W26" s="4676" t="s">
        <v>98</v>
      </c>
      <c r="X26" s="7583">
        <f>IF(AK25,0,SUM(X23,X24))</f>
        <v>0</v>
      </c>
      <c r="Y26" s="7584"/>
      <c r="Z26" s="7584"/>
      <c r="AA26" s="78"/>
      <c r="AB26" s="4703" t="str">
        <f>IF(AK24,"self employment tax.","")</f>
        <v>self employment tax.</v>
      </c>
      <c r="AC26" s="1145"/>
      <c r="AD26" s="1145"/>
      <c r="AE26" s="1145"/>
      <c r="AF26" s="1145"/>
      <c r="AG26" s="1145"/>
      <c r="AH26" s="1145"/>
      <c r="AI26" s="1145"/>
      <c r="AJ26" s="1145">
        <v>0.153</v>
      </c>
      <c r="AK26" s="1145"/>
      <c r="AL26" s="1145"/>
      <c r="AM26" s="1145"/>
      <c r="AN26" s="1145"/>
      <c r="AO26" s="1145"/>
      <c r="AP26" s="1145"/>
      <c r="AQ26" s="2595"/>
      <c r="AR26" s="2595"/>
      <c r="AS26" s="2595"/>
      <c r="AT26" s="2595"/>
      <c r="AU26" s="2595"/>
      <c r="AV26" s="2595"/>
      <c r="AW26" s="2595"/>
      <c r="AX26" s="2595"/>
      <c r="AY26" s="2595"/>
      <c r="AZ26" s="2595"/>
    </row>
    <row r="27" spans="1:52">
      <c r="A27" s="588"/>
      <c r="B27" s="23"/>
      <c r="C27" s="1256" t="s">
        <v>369</v>
      </c>
      <c r="D27" s="70" t="s">
        <v>4150</v>
      </c>
      <c r="E27" s="38"/>
      <c r="F27" s="23"/>
      <c r="G27" s="23"/>
      <c r="H27" s="23"/>
      <c r="I27" s="23"/>
      <c r="J27" s="23"/>
      <c r="K27" s="23"/>
      <c r="L27" s="23" t="s">
        <v>4145</v>
      </c>
      <c r="M27" s="23"/>
      <c r="N27" s="23"/>
      <c r="O27" s="23"/>
      <c r="P27" s="23"/>
      <c r="Q27" s="23"/>
      <c r="R27" s="2155"/>
      <c r="S27" s="7681"/>
      <c r="T27" s="7682"/>
      <c r="U27" s="7682"/>
      <c r="V27" s="7683"/>
      <c r="W27" s="436"/>
      <c r="X27" s="7671"/>
      <c r="Y27" s="7672"/>
      <c r="Z27" s="7672"/>
      <c r="AA27" s="78"/>
      <c r="AB27" s="4520"/>
      <c r="AC27" s="1145"/>
      <c r="AD27" s="1145"/>
      <c r="AE27" s="1145"/>
      <c r="AF27" s="1145"/>
      <c r="AG27" s="1145"/>
      <c r="AH27" s="1145"/>
      <c r="AI27" s="1145"/>
      <c r="AJ27" s="1145">
        <v>6.2E-2</v>
      </c>
      <c r="AK27" s="1145"/>
      <c r="AL27" s="1145"/>
      <c r="AM27" s="1145"/>
      <c r="AN27" s="1145"/>
      <c r="AO27" s="1145"/>
      <c r="AP27" s="1145"/>
      <c r="AQ27" s="2595"/>
      <c r="AR27" s="2595"/>
      <c r="AS27" s="2595"/>
      <c r="AT27" s="2595"/>
      <c r="AU27" s="2595"/>
      <c r="AV27" s="2595"/>
      <c r="AW27" s="2595"/>
      <c r="AX27" s="2595"/>
      <c r="AY27" s="2595"/>
      <c r="AZ27" s="2595"/>
    </row>
    <row r="28" spans="1:52">
      <c r="A28" s="588"/>
      <c r="B28" s="23"/>
      <c r="C28" s="48"/>
      <c r="D28" s="70" t="s">
        <v>4132</v>
      </c>
      <c r="E28" s="38"/>
      <c r="F28" s="23"/>
      <c r="G28" s="23"/>
      <c r="H28" s="23"/>
      <c r="I28" s="23"/>
      <c r="J28" s="23"/>
      <c r="K28" s="23"/>
      <c r="L28" s="23"/>
      <c r="M28" s="23"/>
      <c r="N28" s="23"/>
      <c r="O28" s="23"/>
      <c r="P28" s="23"/>
      <c r="Q28" s="23"/>
      <c r="R28" s="2140" t="s">
        <v>369</v>
      </c>
      <c r="S28" s="7590"/>
      <c r="T28" s="7591"/>
      <c r="U28" s="7591"/>
      <c r="V28" s="7592"/>
      <c r="W28" s="436"/>
      <c r="X28" s="7588">
        <f>ROUND(S28,0)</f>
        <v>0</v>
      </c>
      <c r="Y28" s="7589"/>
      <c r="Z28" s="7589"/>
      <c r="AA28" s="78"/>
      <c r="AB28" s="5161"/>
      <c r="AC28" s="1145"/>
      <c r="AD28" s="1145"/>
      <c r="AE28" s="1145"/>
      <c r="AF28" s="1145"/>
      <c r="AG28" s="1145"/>
      <c r="AH28" s="1145"/>
      <c r="AI28" s="1145"/>
      <c r="AJ28" s="1145">
        <v>7.6499999999999999E-2</v>
      </c>
      <c r="AK28" s="1145"/>
      <c r="AL28" s="1145"/>
      <c r="AM28" s="1145"/>
      <c r="AN28" s="1145"/>
      <c r="AO28" s="1145"/>
      <c r="AP28" s="1145"/>
      <c r="AQ28" s="2595"/>
      <c r="AR28" s="2595"/>
      <c r="AS28" s="2595"/>
      <c r="AT28" s="2595"/>
      <c r="AU28" s="2595"/>
      <c r="AV28" s="2595"/>
      <c r="AW28" s="2595"/>
      <c r="AX28" s="2595"/>
      <c r="AY28" s="2595"/>
      <c r="AZ28" s="2595"/>
    </row>
    <row r="29" spans="1:52" ht="13.5" thickBot="1">
      <c r="A29" s="588"/>
      <c r="B29" s="23"/>
      <c r="C29" s="40" t="s">
        <v>47</v>
      </c>
      <c r="D29" s="70" t="str">
        <f>"Multiply line 5a by "&amp;TEXT(S29,"0.00%")&amp;" ("&amp;TEXT(S29,"0.0000")&amp;"). If less than "&amp;TEXT(Q29,"$0")&amp;", enter -0-"</f>
        <v>Multiply line 5a by 92.35% (0.9235). If less than $100, enter -0-</v>
      </c>
      <c r="E29" s="38"/>
      <c r="F29" s="23"/>
      <c r="G29" s="23"/>
      <c r="H29" s="23"/>
      <c r="I29" s="23"/>
      <c r="J29" s="23"/>
      <c r="K29" s="23"/>
      <c r="L29" s="23"/>
      <c r="M29" s="23"/>
      <c r="N29" s="23"/>
      <c r="O29" s="23"/>
      <c r="P29" s="23"/>
      <c r="Q29" s="6834">
        <v>100</v>
      </c>
      <c r="R29" s="6834"/>
      <c r="S29" s="7669">
        <v>0.92349999999999999</v>
      </c>
      <c r="T29" s="7669"/>
      <c r="U29" s="7669"/>
      <c r="V29" s="7670"/>
      <c r="W29" s="4705" t="s">
        <v>370</v>
      </c>
      <c r="X29" s="7599" t="str">
        <f>IF(ChurchEmployeeIncome1="","",IF(ROUND(X28*S29,0)&lt;Q29,0,ROUND(X28*S29,0)))</f>
        <v/>
      </c>
      <c r="Y29" s="7600"/>
      <c r="Z29" s="7600"/>
      <c r="AA29" s="78"/>
      <c r="AB29" s="5162"/>
      <c r="AC29" s="1145"/>
      <c r="AD29" s="1145"/>
      <c r="AE29" s="1145"/>
      <c r="AF29" s="1145"/>
      <c r="AG29" s="1145"/>
      <c r="AH29" s="1145"/>
      <c r="AI29" s="1145"/>
      <c r="AJ29" s="1145"/>
      <c r="AK29" s="4264"/>
      <c r="AL29" s="4711"/>
      <c r="AM29" s="4711"/>
      <c r="AN29" s="4711"/>
      <c r="AO29" s="1145"/>
      <c r="AP29" s="1145"/>
      <c r="AQ29" s="2595"/>
      <c r="AR29" s="2595"/>
      <c r="AS29" s="2595"/>
      <c r="AT29" s="2595"/>
      <c r="AU29" s="2595"/>
      <c r="AV29" s="2595"/>
      <c r="AW29" s="2595"/>
      <c r="AX29" s="2595"/>
      <c r="AY29" s="2595"/>
      <c r="AZ29" s="2595"/>
    </row>
    <row r="30" spans="1:52" ht="12.75" customHeight="1" thickBot="1">
      <c r="A30" s="588"/>
      <c r="B30" s="23"/>
      <c r="C30" s="1256">
        <v>6</v>
      </c>
      <c r="D30" s="70" t="s">
        <v>528</v>
      </c>
      <c r="E30" s="38"/>
      <c r="F30" s="23"/>
      <c r="G30" s="23"/>
      <c r="H30" s="23"/>
      <c r="I30" s="23"/>
      <c r="J30" s="23"/>
      <c r="K30" s="23"/>
      <c r="L30" s="23"/>
      <c r="M30" s="23"/>
      <c r="N30" s="23"/>
      <c r="O30" s="23"/>
      <c r="P30" s="23"/>
      <c r="Q30" s="23"/>
      <c r="R30" s="23"/>
      <c r="S30" s="23"/>
      <c r="T30" s="23"/>
      <c r="U30" s="526"/>
      <c r="V30" s="526"/>
      <c r="W30" s="4676">
        <v>6</v>
      </c>
      <c r="X30" s="7583" t="str">
        <f>IF(AB30&lt;&gt;"",ROUND(AB30,0),IF(AK24,"",SUM(X26,X29)))</f>
        <v/>
      </c>
      <c r="Y30" s="7584"/>
      <c r="Z30" s="7584"/>
      <c r="AA30" s="78"/>
      <c r="AB30" s="3340"/>
      <c r="AC30" s="1145"/>
      <c r="AD30" s="1145"/>
      <c r="AE30" s="1145"/>
      <c r="AF30" s="1145"/>
      <c r="AG30" s="1145"/>
      <c r="AH30" s="1145"/>
      <c r="AI30" s="1145"/>
      <c r="AJ30" s="1686"/>
      <c r="AK30" s="1687"/>
      <c r="AL30" s="4809" t="s">
        <v>1720</v>
      </c>
      <c r="AM30" s="4810" t="s">
        <v>1735</v>
      </c>
      <c r="AN30" s="1687"/>
      <c r="AO30" s="4811"/>
      <c r="AP30" s="1145"/>
      <c r="AQ30" s="2595"/>
      <c r="AR30" s="2595"/>
      <c r="AS30" s="2595"/>
      <c r="AT30" s="2595"/>
      <c r="AU30" s="2595"/>
      <c r="AV30" s="2595"/>
      <c r="AW30" s="2595"/>
      <c r="AX30" s="2595"/>
      <c r="AY30" s="2595"/>
      <c r="AZ30" s="2595"/>
    </row>
    <row r="31" spans="1:52" ht="13.5" thickBot="1">
      <c r="A31" s="588"/>
      <c r="B31" s="23"/>
      <c r="C31" s="1256">
        <v>7</v>
      </c>
      <c r="D31" s="70" t="s">
        <v>4133</v>
      </c>
      <c r="E31" s="38"/>
      <c r="F31" s="23"/>
      <c r="G31" s="23"/>
      <c r="H31" s="23"/>
      <c r="I31" s="23"/>
      <c r="J31" s="23"/>
      <c r="K31" s="23"/>
      <c r="L31" s="23"/>
      <c r="M31" s="23"/>
      <c r="N31" s="23"/>
      <c r="O31" s="23"/>
      <c r="P31" s="23"/>
      <c r="Q31" s="23"/>
      <c r="R31" s="23"/>
      <c r="S31" s="23"/>
      <c r="T31" s="23"/>
      <c r="U31" s="526"/>
      <c r="V31" s="526"/>
      <c r="W31" s="436"/>
      <c r="X31" s="7698">
        <f>MaxSSTaxEarnings</f>
        <v>142800</v>
      </c>
      <c r="Y31" s="7699"/>
      <c r="Z31" s="7699"/>
      <c r="AA31" s="78"/>
      <c r="AB31" s="4520"/>
      <c r="AC31" s="3282"/>
      <c r="AD31" s="1145"/>
      <c r="AE31" s="1145"/>
      <c r="AG31" s="1145"/>
      <c r="AH31" s="2866"/>
      <c r="AI31" s="2866"/>
      <c r="AJ31" s="4812" t="s">
        <v>4347</v>
      </c>
      <c r="AK31" s="3406" t="s">
        <v>4348</v>
      </c>
      <c r="AL31" s="4787">
        <f>SS_Yours</f>
        <v>1010001</v>
      </c>
      <c r="AM31" s="4787">
        <f>SS_Spouse</f>
        <v>1010002</v>
      </c>
      <c r="AN31" s="2866" t="s">
        <v>4343</v>
      </c>
      <c r="AO31" s="1311"/>
      <c r="AP31" s="2866"/>
      <c r="AQ31" s="2595"/>
      <c r="AR31" s="2595"/>
      <c r="AS31" s="2595"/>
      <c r="AT31" s="2595"/>
      <c r="AU31" s="2595"/>
      <c r="AV31" s="2595"/>
      <c r="AW31" s="2595"/>
      <c r="AX31" s="2595"/>
      <c r="AY31" s="2595"/>
      <c r="AZ31" s="2595"/>
    </row>
    <row r="32" spans="1:52" ht="12" customHeight="1">
      <c r="A32" s="588"/>
      <c r="B32" s="23"/>
      <c r="C32" s="48"/>
      <c r="D32" s="70" t="str">
        <f>"the "&amp;TEXT(AJ27,"0.0%")&amp;" portion of the "&amp;TEXT(AJ28,"0.00%")&amp;" railroad retirement (tier 1) tax for "&amp;TaxYear</f>
        <v>the 6.2% portion of the 7.65% railroad retirement (tier 1) tax for 2021</v>
      </c>
      <c r="E32" s="38"/>
      <c r="F32" s="23"/>
      <c r="G32" s="23"/>
      <c r="H32" s="23"/>
      <c r="I32" s="23"/>
      <c r="J32" s="23"/>
      <c r="K32" s="23"/>
      <c r="L32" s="23"/>
      <c r="M32" s="23"/>
      <c r="N32" s="23"/>
      <c r="O32" s="23"/>
      <c r="P32" s="6834" t="b">
        <f>AND(X30&lt;&gt;"",X30&gt;0,NOT(AJ5),NOT(AJ7))</f>
        <v>0</v>
      </c>
      <c r="Q32" s="6834"/>
      <c r="R32" s="23"/>
      <c r="S32" s="7597" t="str">
        <f>IF(P32,"Identify above","")</f>
        <v/>
      </c>
      <c r="T32" s="7597"/>
      <c r="U32" s="7597"/>
      <c r="V32" s="7598"/>
      <c r="W32" s="4676">
        <v>7</v>
      </c>
      <c r="X32" s="7700"/>
      <c r="Y32" s="7701"/>
      <c r="Z32" s="7701"/>
      <c r="AA32" s="78"/>
      <c r="AB32" s="4520"/>
      <c r="AC32" s="1145"/>
      <c r="AD32" s="1145"/>
      <c r="AE32" s="1145"/>
      <c r="AF32" s="1145"/>
      <c r="AG32" s="1145"/>
      <c r="AH32" s="4711"/>
      <c r="AI32" s="4711"/>
      <c r="AJ32" s="4813" t="s">
        <v>13</v>
      </c>
      <c r="AK32" s="1410" t="s">
        <v>4342</v>
      </c>
      <c r="AL32" s="4795">
        <f>IF(SchF_SSN=SS_Yours,FarmProfitNet,0)</f>
        <v>0</v>
      </c>
      <c r="AM32" s="4796">
        <f>IF(SchF_SSN=SS_Spouse,FarmProfitNet,0)</f>
        <v>0</v>
      </c>
      <c r="AN32" s="4797">
        <f>SUM(AL32,AM32)</f>
        <v>0</v>
      </c>
      <c r="AO32" s="4814"/>
      <c r="AP32" s="4711"/>
      <c r="AQ32" s="2595"/>
      <c r="AR32" s="2595"/>
      <c r="AS32" s="2595"/>
      <c r="AT32" s="2595"/>
      <c r="AU32" s="2595"/>
      <c r="AV32" s="2595"/>
      <c r="AW32" s="2595"/>
      <c r="AX32" s="2595"/>
      <c r="AY32" s="2595"/>
      <c r="AZ32" s="2595"/>
    </row>
    <row r="33" spans="1:52" ht="13.5" customHeight="1">
      <c r="A33" s="588"/>
      <c r="B33" s="23"/>
      <c r="C33" s="1256" t="s">
        <v>34</v>
      </c>
      <c r="D33" s="70" t="s">
        <v>4134</v>
      </c>
      <c r="E33" s="38"/>
      <c r="F33" s="23"/>
      <c r="G33" s="23"/>
      <c r="H33" s="23"/>
      <c r="I33" s="23"/>
      <c r="J33" s="23"/>
      <c r="K33" s="23"/>
      <c r="L33" s="23"/>
      <c r="M33" s="23"/>
      <c r="N33" s="23"/>
      <c r="O33" s="23"/>
      <c r="P33" s="23"/>
      <c r="Q33" s="23"/>
      <c r="R33" s="429"/>
      <c r="S33" s="7673" t="str">
        <f>IF(P32,"for whom this form","")</f>
        <v/>
      </c>
      <c r="T33" s="7674"/>
      <c r="U33" s="7674"/>
      <c r="V33" s="7675"/>
      <c r="W33" s="436"/>
      <c r="X33" s="7671"/>
      <c r="Y33" s="7672"/>
      <c r="Z33" s="7672"/>
      <c r="AA33" s="78"/>
      <c r="AB33" s="7620" t="s">
        <v>4144</v>
      </c>
      <c r="AC33" s="3282"/>
      <c r="AD33" s="1145"/>
      <c r="AE33" s="1145"/>
      <c r="AG33" s="1145"/>
      <c r="AH33" s="4711"/>
      <c r="AI33" s="4711"/>
      <c r="AJ33" s="4813" t="s">
        <v>0</v>
      </c>
      <c r="AK33" s="4264" t="s">
        <v>4362</v>
      </c>
      <c r="AL33" s="4798">
        <f>IF(AND(NOT(AL47),NOT(AL48),'Sch. C'!M7=SS_Yours,'Sch. C'!M121=SS_Yours,'Sch. C'!Y6,'Sch. C'!Y120),AL46,IF(AND(NOT(AL47),'Sch. C'!M7=SS_Yours,'Sch. C'!Y6),AL44,IF(AND(NOT(AL48),'Sch. C'!M121=SS_Yours,'Sch. C'!Y120),AL45,0)))</f>
        <v>0</v>
      </c>
      <c r="AM33" s="4799">
        <f>IF(AND(NOT(AL47),NOT(AL48),'Sch. C'!M7=SS_Spouse,'Sch. C'!M121=SS_Spouse,'Sch. C'!Y6,'Sch. C'!Y120),AL46,IF(AND(NOT(AL47),'Sch. C'!M7=SS_Spouse,'Sch. C'!Y6),AL44,IF(AND(NOT(AL48),'Sch. C'!M121=SS_Spouse,'Sch. C'!Y120),AL45,0)))</f>
        <v>0</v>
      </c>
      <c r="AN33" s="4800">
        <f>SUM(AL33,AM33)</f>
        <v>0</v>
      </c>
      <c r="AO33" s="4814"/>
      <c r="AP33" s="4711"/>
      <c r="AQ33" s="2595"/>
      <c r="AR33" s="2595"/>
      <c r="AS33" s="2595"/>
      <c r="AT33" s="2595"/>
      <c r="AU33" s="2595"/>
      <c r="AV33" s="2595"/>
      <c r="AW33" s="2595"/>
      <c r="AX33" s="2595"/>
      <c r="AY33" s="2595"/>
      <c r="AZ33" s="2595"/>
    </row>
    <row r="34" spans="1:52">
      <c r="A34" s="588"/>
      <c r="B34" s="23"/>
      <c r="C34" s="48"/>
      <c r="D34" s="70" t="str">
        <f>"and railroad retirement (tier 1) compensation. If "&amp;TEXT(X31,"$0,000")&amp;" or more, skip lines"</f>
        <v>and railroad retirement (tier 1) compensation. If $142,800 or more, skip lines</v>
      </c>
      <c r="E34" s="38"/>
      <c r="F34" s="23"/>
      <c r="G34" s="23"/>
      <c r="H34" s="23"/>
      <c r="I34" s="23"/>
      <c r="J34" s="23"/>
      <c r="K34" s="23"/>
      <c r="L34" s="23"/>
      <c r="M34" s="23"/>
      <c r="N34" s="23"/>
      <c r="O34" s="23"/>
      <c r="P34" s="23"/>
      <c r="Q34" s="23"/>
      <c r="R34" s="429"/>
      <c r="S34" s="7622" t="str">
        <f>IF(P32,"is being completed.","")</f>
        <v/>
      </c>
      <c r="T34" s="7623"/>
      <c r="U34" s="7623"/>
      <c r="V34" s="7624"/>
      <c r="W34" s="436"/>
      <c r="X34" s="7625"/>
      <c r="Y34" s="7626"/>
      <c r="Z34" s="7626"/>
      <c r="AA34" s="78"/>
      <c r="AB34" s="7621"/>
      <c r="AC34" s="1145"/>
      <c r="AD34" s="1145"/>
      <c r="AE34" s="1145"/>
      <c r="AF34" s="1145"/>
      <c r="AG34" s="1145"/>
      <c r="AH34" s="4711"/>
      <c r="AI34" s="4711"/>
      <c r="AJ34" s="4813" t="s">
        <v>4349</v>
      </c>
      <c r="AK34" s="1410" t="s">
        <v>4341</v>
      </c>
      <c r="AL34" s="4798">
        <f>ROUND(SUM(SocSecWages_You,SocSecTips_You),0)</f>
        <v>0</v>
      </c>
      <c r="AM34" s="4799">
        <f>ROUND(SUM(SocSecWages_Spouse,SocSecTips_Spouse),0)</f>
        <v>0</v>
      </c>
      <c r="AN34" s="4800">
        <f>SUM(AL34,AM34)</f>
        <v>0</v>
      </c>
      <c r="AO34" s="4814"/>
      <c r="AP34" s="4711"/>
      <c r="AQ34" s="2595"/>
      <c r="AR34" s="2595"/>
      <c r="AS34" s="2595"/>
      <c r="AT34" s="2595"/>
      <c r="AU34" s="2595"/>
      <c r="AV34" s="2595"/>
      <c r="AW34" s="2595"/>
      <c r="AX34" s="2595"/>
      <c r="AY34" s="2595"/>
      <c r="AZ34" s="2595"/>
    </row>
    <row r="35" spans="1:52" ht="13.5" thickBot="1">
      <c r="A35" s="588"/>
      <c r="B35" s="23"/>
      <c r="C35" s="48"/>
      <c r="D35" s="70" t="s">
        <v>4137</v>
      </c>
      <c r="E35" s="38"/>
      <c r="F35" s="23"/>
      <c r="G35" s="23"/>
      <c r="H35" s="23"/>
      <c r="I35" s="23"/>
      <c r="J35" s="23"/>
      <c r="K35" s="23"/>
      <c r="L35" s="23"/>
      <c r="M35" s="23"/>
      <c r="N35" s="23"/>
      <c r="O35" s="23"/>
      <c r="P35" s="23"/>
      <c r="Q35" s="23"/>
      <c r="R35" s="2140" t="s">
        <v>34</v>
      </c>
      <c r="S35" s="7585" t="str">
        <f>IF(AK24,"",IF(AND(AJ5,AJ7),SUM(AN34,X35),IF(AJ5,SUM(AL34,X35),IF(AJ7,SUM(AM34,X35),""))))</f>
        <v/>
      </c>
      <c r="T35" s="7586"/>
      <c r="U35" s="7586"/>
      <c r="V35" s="7587"/>
      <c r="W35" s="436"/>
      <c r="X35" s="7588">
        <f>IF(AB35="",0,ROUND(AB35,0))</f>
        <v>0</v>
      </c>
      <c r="Y35" s="7589"/>
      <c r="Z35" s="7589"/>
      <c r="AA35" s="78"/>
      <c r="AB35" s="527"/>
      <c r="AC35" s="1145"/>
      <c r="AD35" s="1145"/>
      <c r="AE35" s="2243" t="b">
        <f>S35&gt;=X31</f>
        <v>1</v>
      </c>
      <c r="AF35" s="1145"/>
      <c r="AG35" s="1145"/>
      <c r="AH35" s="1145"/>
      <c r="AI35" s="1145"/>
      <c r="AJ35" s="1689"/>
      <c r="AK35" s="1410" t="s">
        <v>4366</v>
      </c>
      <c r="AL35" s="4801" t="b">
        <f>OR(AND(SS_Yours='Sch. C'!M7,AL47),AND(SS_Yours='Sch. C'!M121,AL48))</f>
        <v>0</v>
      </c>
      <c r="AM35" s="4802" t="b">
        <f>OR(AND(SS_Spouse='Sch. C'!M7,AL47),AND(SS_Spouse='Sch. C'!M121,AL48))</f>
        <v>0</v>
      </c>
      <c r="AN35" s="4803" t="b">
        <f>AND(NOT(AND(AJ5,AJ7)),OR(AND(AJ5,AL35),AND(AJ7,AM35)))</f>
        <v>0</v>
      </c>
      <c r="AO35" s="1690"/>
      <c r="AP35" s="1145"/>
      <c r="AQ35" s="2595"/>
      <c r="AR35" s="2595"/>
      <c r="AS35" s="2595"/>
      <c r="AT35" s="2595"/>
      <c r="AU35" s="2595"/>
      <c r="AV35" s="2595"/>
      <c r="AW35" s="2595"/>
      <c r="AX35" s="2595"/>
      <c r="AY35" s="2595"/>
      <c r="AZ35" s="2595"/>
    </row>
    <row r="36" spans="1:52">
      <c r="A36" s="588"/>
      <c r="B36" s="23"/>
      <c r="C36" s="40" t="s">
        <v>47</v>
      </c>
      <c r="D36" s="70" t="s">
        <v>4135</v>
      </c>
      <c r="E36" s="38"/>
      <c r="F36" s="23"/>
      <c r="G36" s="23"/>
      <c r="H36" s="23"/>
      <c r="I36" s="23"/>
      <c r="J36" s="23"/>
      <c r="K36" s="23"/>
      <c r="L36" s="23"/>
      <c r="M36" s="23"/>
      <c r="N36" s="23"/>
      <c r="O36" s="23"/>
      <c r="P36" s="23"/>
      <c r="Q36" s="23"/>
      <c r="R36" s="2140" t="s">
        <v>35</v>
      </c>
      <c r="S36" s="7590"/>
      <c r="T36" s="7591"/>
      <c r="U36" s="7591"/>
      <c r="V36" s="7592"/>
      <c r="W36" s="436"/>
      <c r="X36" s="7588">
        <f>ROUND(S36,0)</f>
        <v>0</v>
      </c>
      <c r="Y36" s="7589"/>
      <c r="Z36" s="7589"/>
      <c r="AA36" s="78"/>
      <c r="AB36" s="4520"/>
      <c r="AC36" s="1145"/>
      <c r="AD36" s="1145"/>
      <c r="AE36" s="1145"/>
      <c r="AF36" s="1145"/>
      <c r="AG36" s="1145"/>
      <c r="AH36" s="1145"/>
      <c r="AI36" s="1145"/>
      <c r="AJ36" s="1693"/>
      <c r="AK36" s="2358"/>
      <c r="AL36" s="2358"/>
      <c r="AM36" s="2358"/>
      <c r="AN36" s="2358"/>
      <c r="AO36" s="1695"/>
      <c r="AP36" s="1145"/>
      <c r="AQ36" s="2595"/>
      <c r="AR36" s="2595"/>
      <c r="AS36" s="2595"/>
      <c r="AT36" s="2595"/>
      <c r="AU36" s="2595"/>
      <c r="AV36" s="2595"/>
      <c r="AW36" s="2595"/>
      <c r="AX36" s="2595"/>
      <c r="AY36" s="2595"/>
      <c r="AZ36" s="2595"/>
    </row>
    <row r="37" spans="1:52" ht="15" customHeight="1" thickBot="1">
      <c r="A37" s="588"/>
      <c r="B37" s="23"/>
      <c r="C37" s="40" t="s">
        <v>48</v>
      </c>
      <c r="D37" s="70" t="s">
        <v>4136</v>
      </c>
      <c r="E37" s="38"/>
      <c r="F37" s="23"/>
      <c r="G37" s="23"/>
      <c r="H37" s="23"/>
      <c r="I37" s="23"/>
      <c r="J37" s="23"/>
      <c r="K37" s="23"/>
      <c r="L37" s="23"/>
      <c r="M37" s="23"/>
      <c r="N37" s="23"/>
      <c r="O37" s="23"/>
      <c r="P37" s="23"/>
      <c r="Q37" s="23"/>
      <c r="R37" s="4679" t="s">
        <v>97</v>
      </c>
      <c r="S37" s="7684"/>
      <c r="T37" s="7685"/>
      <c r="U37" s="7685"/>
      <c r="V37" s="7686"/>
      <c r="W37" s="436"/>
      <c r="X37" s="7588">
        <f>ROUND(S37,0)</f>
        <v>0</v>
      </c>
      <c r="Y37" s="7589"/>
      <c r="Z37" s="7589"/>
      <c r="AA37" s="78"/>
      <c r="AB37" s="4520"/>
      <c r="AC37" s="1145"/>
      <c r="AE37" s="1145"/>
      <c r="AF37" s="1145"/>
      <c r="AG37" s="1145"/>
      <c r="AH37" s="1145"/>
      <c r="AI37" s="1145"/>
      <c r="AJ37" s="1145"/>
      <c r="AK37" s="1145"/>
      <c r="AL37" s="1145"/>
      <c r="AM37" s="1145"/>
      <c r="AN37" s="1145"/>
      <c r="AQ37" s="2595"/>
      <c r="AR37" s="2595"/>
      <c r="AS37" s="2595"/>
      <c r="AT37" s="2595"/>
      <c r="AU37" s="2595"/>
      <c r="AV37" s="2595"/>
      <c r="AW37" s="2595"/>
      <c r="AX37" s="2595"/>
      <c r="AY37" s="2595"/>
      <c r="AZ37" s="2595"/>
    </row>
    <row r="38" spans="1:52" ht="13.5" thickBot="1">
      <c r="A38" s="588"/>
      <c r="B38" s="23"/>
      <c r="C38" s="40" t="s">
        <v>92</v>
      </c>
      <c r="D38" s="70" t="s">
        <v>376</v>
      </c>
      <c r="E38" s="38"/>
      <c r="F38" s="23"/>
      <c r="G38" s="23"/>
      <c r="H38" s="23"/>
      <c r="I38" s="23"/>
      <c r="J38" s="23"/>
      <c r="K38" s="23"/>
      <c r="L38" s="23"/>
      <c r="M38" s="23"/>
      <c r="N38" s="23"/>
      <c r="O38" s="23"/>
      <c r="P38" s="23"/>
      <c r="Q38" s="23"/>
      <c r="R38" s="40"/>
      <c r="S38" s="4677"/>
      <c r="T38" s="4677"/>
      <c r="U38" s="4677"/>
      <c r="V38" s="4677"/>
      <c r="W38" s="4682" t="s">
        <v>377</v>
      </c>
      <c r="X38" s="7599" t="str">
        <f>IF(OR(P32,AK24,AE35),"",SUM(S35,X36,X37))</f>
        <v/>
      </c>
      <c r="Y38" s="7600"/>
      <c r="Z38" s="7600"/>
      <c r="AA38" s="78"/>
      <c r="AB38" s="4520"/>
      <c r="AC38" s="1145"/>
      <c r="AD38" s="1145"/>
      <c r="AE38" s="1145"/>
      <c r="AF38" s="1145"/>
      <c r="AG38" s="1145"/>
      <c r="AH38" s="1145"/>
      <c r="AI38" s="1145"/>
      <c r="AJ38" s="1145"/>
      <c r="AK38" s="1145"/>
      <c r="AL38" s="4789"/>
      <c r="AM38" s="1145"/>
      <c r="AN38" s="1145"/>
      <c r="AO38" s="1145"/>
      <c r="AP38" s="1145"/>
      <c r="AQ38" s="2595"/>
      <c r="AR38" s="2595"/>
      <c r="AS38" s="2595"/>
      <c r="AT38" s="2595"/>
      <c r="AU38" s="2595"/>
      <c r="AV38" s="2595"/>
      <c r="AW38" s="2595"/>
      <c r="AX38" s="2595"/>
      <c r="AY38" s="2595"/>
      <c r="AZ38" s="2595"/>
    </row>
    <row r="39" spans="1:52" ht="12.75" customHeight="1" thickBot="1">
      <c r="A39" s="588"/>
      <c r="B39" s="23"/>
      <c r="C39" s="40">
        <v>9</v>
      </c>
      <c r="D39" s="70" t="s">
        <v>2426</v>
      </c>
      <c r="E39" s="38"/>
      <c r="F39" s="23"/>
      <c r="G39" s="23"/>
      <c r="H39" s="23"/>
      <c r="I39" s="23"/>
      <c r="J39" s="23"/>
      <c r="K39" s="23"/>
      <c r="L39" s="23"/>
      <c r="M39" s="23"/>
      <c r="N39" s="23"/>
      <c r="O39" s="23"/>
      <c r="P39" s="23"/>
      <c r="Q39" s="23"/>
      <c r="R39" s="40"/>
      <c r="S39" s="4677"/>
      <c r="T39" s="7604"/>
      <c r="U39" s="7604"/>
      <c r="V39" s="4677"/>
      <c r="W39" s="4676">
        <v>9</v>
      </c>
      <c r="X39" s="7583" t="str">
        <f>IF(OR(P32,AE35),"",IF(AJ40,0,SUM(X31,-X38)))</f>
        <v/>
      </c>
      <c r="Y39" s="7584"/>
      <c r="Z39" s="7584"/>
      <c r="AA39" s="78"/>
      <c r="AB39" s="4520"/>
      <c r="AC39" s="1145"/>
      <c r="AD39" s="1145"/>
      <c r="AE39" s="1145"/>
      <c r="AF39" s="1145"/>
      <c r="AG39" s="1145"/>
      <c r="AH39" s="1145"/>
      <c r="AI39" s="4691"/>
      <c r="AJ39" s="1145"/>
      <c r="AK39" s="7628" t="s">
        <v>4353</v>
      </c>
      <c r="AL39" s="7629"/>
      <c r="AM39" s="1145"/>
      <c r="AN39" s="1145"/>
      <c r="AO39" s="4691"/>
      <c r="AP39" s="4691"/>
      <c r="AQ39" s="2595"/>
      <c r="AR39" s="2595"/>
      <c r="AS39" s="2595"/>
      <c r="AT39" s="2595"/>
      <c r="AU39" s="2595"/>
      <c r="AV39" s="2595"/>
      <c r="AW39" s="2595"/>
      <c r="AX39" s="2595"/>
      <c r="AY39" s="2595"/>
      <c r="AZ39" s="2595"/>
    </row>
    <row r="40" spans="1:52" ht="14.25" customHeight="1">
      <c r="A40" s="588"/>
      <c r="B40" s="23"/>
      <c r="C40" s="1256">
        <v>10</v>
      </c>
      <c r="D40" s="70" t="s">
        <v>5681</v>
      </c>
      <c r="E40" s="38"/>
      <c r="F40" s="23"/>
      <c r="G40" s="23"/>
      <c r="H40" s="23"/>
      <c r="I40" s="23"/>
      <c r="J40" s="70"/>
      <c r="K40" s="70" t="str">
        <f>TEXT(AE40,"0.0%")&amp;" ("&amp;TEXT(AE40,"0.000")&amp;")"</f>
        <v>12.4% (0.124)</v>
      </c>
      <c r="L40" s="23"/>
      <c r="M40" s="23"/>
      <c r="N40" s="23"/>
      <c r="O40" s="23"/>
      <c r="P40" s="23"/>
      <c r="Q40" s="23"/>
      <c r="R40" s="4683"/>
      <c r="S40" s="4683"/>
      <c r="T40" s="4683"/>
      <c r="U40" s="4680"/>
      <c r="V40" s="4681"/>
      <c r="W40" s="4676">
        <v>10</v>
      </c>
      <c r="X40" s="7583" t="str">
        <f>IF(OR(P32,AK24,AE35),"",ROUND(AJ41*AE40,0))</f>
        <v/>
      </c>
      <c r="Y40" s="7584"/>
      <c r="Z40" s="7584"/>
      <c r="AA40" s="78"/>
      <c r="AB40" s="4520"/>
      <c r="AC40" s="1145"/>
      <c r="AD40" s="1145"/>
      <c r="AE40" s="7612">
        <v>0.124</v>
      </c>
      <c r="AF40" s="7612"/>
      <c r="AG40" s="1145"/>
      <c r="AH40" s="1145"/>
      <c r="AI40" s="4683"/>
      <c r="AJ40" s="4691" t="b">
        <f>IF(X38="",FALSE,SUM(X31,-X38)&lt;=0)</f>
        <v>0</v>
      </c>
      <c r="AK40" s="4807">
        <f>IF(X21="",0,X21)</f>
        <v>0</v>
      </c>
      <c r="AL40" s="4790" t="s">
        <v>4354</v>
      </c>
      <c r="AM40" s="4791" t="s">
        <v>4355</v>
      </c>
      <c r="AN40" s="4792"/>
      <c r="AO40" s="4683"/>
      <c r="AP40" s="4683"/>
      <c r="AQ40" s="2595"/>
      <c r="AR40" s="2595"/>
      <c r="AS40" s="2595"/>
      <c r="AT40" s="2595"/>
      <c r="AU40" s="2595"/>
      <c r="AV40" s="2595"/>
      <c r="AW40" s="2595"/>
      <c r="AX40" s="2595"/>
      <c r="AY40" s="2595"/>
      <c r="AZ40" s="2595"/>
    </row>
    <row r="41" spans="1:52" ht="12.75" customHeight="1" thickBot="1">
      <c r="A41" s="588"/>
      <c r="B41" s="23"/>
      <c r="C41" s="48">
        <v>11</v>
      </c>
      <c r="D41" s="70" t="str">
        <f>"Multiply line 6 by "&amp;TEXT(AC41,"0.0%")&amp;" ("&amp;TEXT(AC41,"0.000")&amp;")"</f>
        <v>Multiply line 6 by 2.9% (0.029)</v>
      </c>
      <c r="E41" s="38"/>
      <c r="F41" s="23"/>
      <c r="G41" s="23"/>
      <c r="H41" s="23"/>
      <c r="I41" s="23"/>
      <c r="J41" s="23"/>
      <c r="K41" s="23"/>
      <c r="L41" s="23"/>
      <c r="M41" s="23"/>
      <c r="N41" s="23"/>
      <c r="O41" s="23"/>
      <c r="P41" s="23"/>
      <c r="Q41" s="23"/>
      <c r="R41" s="40"/>
      <c r="S41" s="4677"/>
      <c r="T41" s="4677"/>
      <c r="U41" s="7581"/>
      <c r="V41" s="7582"/>
      <c r="W41" s="4676">
        <v>11</v>
      </c>
      <c r="X41" s="7583" t="str">
        <f>IF(OR(P32,AK24),"",ROUND(X30*AC41,0))</f>
        <v/>
      </c>
      <c r="Y41" s="7584"/>
      <c r="Z41" s="7584"/>
      <c r="AA41" s="78"/>
      <c r="AB41" s="4520"/>
      <c r="AC41" s="7612">
        <v>2.9000000000000001E-2</v>
      </c>
      <c r="AD41" s="7612"/>
      <c r="AE41" s="4684"/>
      <c r="AF41" s="4684"/>
      <c r="AG41" s="1145"/>
      <c r="AH41" s="1145"/>
      <c r="AI41" s="1145"/>
      <c r="AJ41" s="4816">
        <f>MIN(X30,X39)</f>
        <v>0</v>
      </c>
      <c r="AK41" s="1412"/>
      <c r="AL41" s="4793">
        <f>IF(NOT($AJ5),0,X21)</f>
        <v>0</v>
      </c>
      <c r="AM41" s="4794">
        <f>IF(AND(NOT($AJ5),$AJ7),X21,0)</f>
        <v>0</v>
      </c>
      <c r="AN41" s="4712"/>
      <c r="AO41" s="1145"/>
      <c r="AP41" s="1145"/>
      <c r="AQ41" s="2595"/>
      <c r="AR41" s="2595"/>
      <c r="AS41" s="2595"/>
      <c r="AT41" s="2595"/>
      <c r="AU41" s="2595"/>
      <c r="AV41" s="2595"/>
      <c r="AW41" s="2595"/>
      <c r="AX41" s="2595"/>
      <c r="AY41" s="2595"/>
      <c r="AZ41" s="2595"/>
    </row>
    <row r="42" spans="1:52" ht="14.25" customHeight="1">
      <c r="A42" s="588"/>
      <c r="B42" s="23"/>
      <c r="C42" s="48">
        <v>12</v>
      </c>
      <c r="D42" s="70" t="s">
        <v>4148</v>
      </c>
      <c r="E42" s="38"/>
      <c r="F42" s="23"/>
      <c r="G42" s="23"/>
      <c r="H42" s="23"/>
      <c r="I42" s="23"/>
      <c r="J42" s="23"/>
      <c r="K42" s="23"/>
      <c r="L42" s="23"/>
      <c r="M42" s="23"/>
      <c r="N42" s="23"/>
      <c r="O42" s="23"/>
      <c r="P42" s="23"/>
      <c r="Q42" s="23"/>
      <c r="R42" s="40"/>
      <c r="S42" s="4677"/>
      <c r="T42" s="4677"/>
      <c r="U42" s="4677"/>
      <c r="V42" s="4677"/>
      <c r="W42" s="4676">
        <v>12</v>
      </c>
      <c r="X42" s="7583" t="str">
        <f>IF(OR(P32,AK24),"",SUM(X40,X41))</f>
        <v/>
      </c>
      <c r="Y42" s="7584"/>
      <c r="Z42" s="7584"/>
      <c r="AA42" s="78"/>
      <c r="AB42" s="4520"/>
      <c r="AC42" s="4694"/>
      <c r="AD42" s="4694"/>
      <c r="AE42" s="4684"/>
      <c r="AF42" s="4684"/>
      <c r="AG42" s="1145"/>
      <c r="AH42" s="1145"/>
      <c r="AI42" s="1145"/>
      <c r="AJ42" s="1145"/>
      <c r="AK42" s="1410"/>
      <c r="AL42" s="4689"/>
      <c r="AM42" s="4689"/>
      <c r="AN42" s="4689"/>
      <c r="AO42" s="1145"/>
      <c r="AP42" s="1145"/>
      <c r="AQ42" s="2595"/>
      <c r="AR42" s="2595"/>
      <c r="AS42" s="2595"/>
      <c r="AT42" s="2595"/>
      <c r="AU42" s="2595"/>
      <c r="AV42" s="2595"/>
      <c r="AW42" s="2595"/>
      <c r="AX42" s="2595"/>
      <c r="AY42" s="2595"/>
      <c r="AZ42" s="2595"/>
    </row>
    <row r="43" spans="1:52" ht="13.5" thickBot="1">
      <c r="A43" s="588"/>
      <c r="B43" s="23"/>
      <c r="C43" s="48">
        <v>13</v>
      </c>
      <c r="D43" s="24" t="s">
        <v>804</v>
      </c>
      <c r="E43" s="23"/>
      <c r="F43" s="23"/>
      <c r="G43" s="23"/>
      <c r="H43" s="23"/>
      <c r="I43" s="23"/>
      <c r="J43" s="23"/>
      <c r="K43" s="23"/>
      <c r="L43" s="23"/>
      <c r="M43" s="23"/>
      <c r="N43" s="23"/>
      <c r="O43" s="23"/>
      <c r="P43" s="23"/>
      <c r="Q43" s="23"/>
      <c r="R43" s="23"/>
      <c r="S43" s="23"/>
      <c r="T43" s="23"/>
      <c r="U43" s="7611"/>
      <c r="V43" s="7615"/>
      <c r="W43" s="7601"/>
      <c r="X43" s="6672"/>
      <c r="Y43" s="6672"/>
      <c r="Z43" s="6672"/>
      <c r="AA43" s="78"/>
      <c r="AB43" s="431"/>
      <c r="AC43" s="4694"/>
      <c r="AD43" s="4694"/>
      <c r="AE43" s="4684"/>
      <c r="AF43" s="4684"/>
      <c r="AG43" s="1145"/>
      <c r="AH43" s="1145"/>
      <c r="AI43" s="1145"/>
      <c r="AJ43" s="1145"/>
      <c r="AK43" s="1410"/>
      <c r="AL43" s="4804" t="s">
        <v>4357</v>
      </c>
      <c r="AM43" s="4804" t="s">
        <v>4358</v>
      </c>
      <c r="AN43" s="4804"/>
      <c r="AO43" s="1145"/>
      <c r="AP43" s="1145"/>
      <c r="AQ43" s="2595"/>
      <c r="AR43" s="2595"/>
      <c r="AS43" s="2595"/>
      <c r="AT43" s="2595"/>
      <c r="AU43" s="2595"/>
      <c r="AV43" s="2595"/>
      <c r="AW43" s="2595"/>
      <c r="AX43" s="2595"/>
      <c r="AY43" s="2595"/>
      <c r="AZ43" s="2595"/>
    </row>
    <row r="44" spans="1:52" ht="12.75" customHeight="1" thickBot="1">
      <c r="A44" s="588"/>
      <c r="B44" s="23"/>
      <c r="C44" s="48"/>
      <c r="D44" s="70" t="str">
        <f>"Multiply  line 12  by "&amp;TEXT(U44,"0%")&amp;" ("&amp;TEXT(U44,"0.00")&amp;")."</f>
        <v>Multiply  line 12  by 50% (0.50).</v>
      </c>
      <c r="E44" s="70"/>
      <c r="F44" s="23"/>
      <c r="G44" s="23"/>
      <c r="H44" s="70"/>
      <c r="I44" s="70" t="s">
        <v>4138</v>
      </c>
      <c r="J44" s="23"/>
      <c r="K44" s="23"/>
      <c r="L44" s="23"/>
      <c r="M44" s="24"/>
      <c r="N44" s="23"/>
      <c r="O44" s="2725"/>
      <c r="P44" s="23"/>
      <c r="Q44" s="23"/>
      <c r="R44" s="429"/>
      <c r="S44" s="23"/>
      <c r="T44" s="23"/>
      <c r="U44" s="6834">
        <v>0.5</v>
      </c>
      <c r="V44" s="7616"/>
      <c r="W44" s="78"/>
      <c r="X44" s="78"/>
      <c r="Y44" s="78"/>
      <c r="Z44" s="78"/>
      <c r="AA44" s="78"/>
      <c r="AB44" s="431"/>
      <c r="AC44" s="4694"/>
      <c r="AD44" s="4694"/>
      <c r="AE44" s="4684"/>
      <c r="AF44" s="4684"/>
      <c r="AG44" s="1145"/>
      <c r="AH44" s="1145"/>
      <c r="AI44" s="1145"/>
      <c r="AJ44" s="4786" t="s">
        <v>0</v>
      </c>
      <c r="AK44" s="1410" t="s">
        <v>4351</v>
      </c>
      <c r="AL44" s="4795">
        <f>IF('Sch. C'!Y10,0,IF('Sch. C'!Y6,SchC_ProfitLoss1,0))</f>
        <v>0</v>
      </c>
      <c r="AM44" s="4797">
        <f>IF('Sch. C'!Y10,0,IF('Sch. C'!Y8,SchC_ProfitLoss1,0))</f>
        <v>0</v>
      </c>
      <c r="AN44" s="1145"/>
      <c r="AO44" s="1145"/>
      <c r="AP44" s="1145"/>
      <c r="AQ44" s="2595"/>
      <c r="AR44" s="2595"/>
      <c r="AS44" s="2595"/>
      <c r="AT44" s="2595"/>
      <c r="AU44" s="2595"/>
      <c r="AV44" s="2595"/>
      <c r="AW44" s="2595"/>
      <c r="AX44" s="2595"/>
      <c r="AY44" s="2595"/>
      <c r="AZ44" s="2595"/>
    </row>
    <row r="45" spans="1:52" ht="16.5" customHeight="1" thickBot="1">
      <c r="A45" s="588"/>
      <c r="B45" s="36"/>
      <c r="C45" s="433"/>
      <c r="D45" s="4678" t="s">
        <v>4814</v>
      </c>
      <c r="E45" s="933"/>
      <c r="F45" s="933"/>
      <c r="G45" s="36"/>
      <c r="H45" s="36"/>
      <c r="I45" s="36"/>
      <c r="J45" s="36"/>
      <c r="K45" s="36"/>
      <c r="L45" s="36"/>
      <c r="M45" s="36"/>
      <c r="N45" s="36"/>
      <c r="O45" s="4675"/>
      <c r="P45" s="36"/>
      <c r="Q45" s="4675" t="s">
        <v>2425</v>
      </c>
      <c r="R45" s="869">
        <v>13</v>
      </c>
      <c r="S45" s="7617" t="str">
        <f>IF(OR(P32,AK24),"",ROUND(X42*U44,0))</f>
        <v/>
      </c>
      <c r="T45" s="7618"/>
      <c r="U45" s="7618"/>
      <c r="V45" s="7619"/>
      <c r="W45" s="7605"/>
      <c r="X45" s="7606"/>
      <c r="Y45" s="7606"/>
      <c r="Z45" s="7606"/>
      <c r="AA45" s="78"/>
      <c r="AB45" s="3340"/>
      <c r="AC45" s="4694"/>
      <c r="AD45" s="4694"/>
      <c r="AE45" s="4684"/>
      <c r="AF45" s="4684"/>
      <c r="AG45" s="1145"/>
      <c r="AH45" s="1145"/>
      <c r="AI45" s="1145"/>
      <c r="AJ45" s="4786" t="s">
        <v>0</v>
      </c>
      <c r="AK45" s="1410" t="s">
        <v>4352</v>
      </c>
      <c r="AL45" s="4798">
        <f>IF('Sch. C'!Y124,0,IF('Sch. C'!Y120,SchC_ProfitLoss2,0))</f>
        <v>0</v>
      </c>
      <c r="AM45" s="4800">
        <f>IF('Sch. C'!Y124,0,IF('Sch. C'!Y122,SchC_ProfitLoss2,0))</f>
        <v>0</v>
      </c>
      <c r="AN45" s="1145"/>
      <c r="AO45" s="1145"/>
      <c r="AP45" s="1145"/>
      <c r="AQ45" s="2595"/>
      <c r="AR45" s="2595"/>
      <c r="AS45" s="2595"/>
      <c r="AT45" s="2595"/>
      <c r="AU45" s="2595"/>
      <c r="AV45" s="2595"/>
      <c r="AW45" s="2595"/>
      <c r="AX45" s="2595"/>
      <c r="AY45" s="2595"/>
      <c r="AZ45" s="2595"/>
    </row>
    <row r="46" spans="1:52" ht="13.5" customHeight="1" thickBot="1">
      <c r="A46" s="588"/>
      <c r="B46" s="1001"/>
      <c r="C46" s="1002" t="s">
        <v>118</v>
      </c>
      <c r="D46" s="1003"/>
      <c r="E46" s="1924" t="s">
        <v>1671</v>
      </c>
      <c r="F46" s="1004"/>
      <c r="G46" s="1004"/>
      <c r="H46" s="1004"/>
      <c r="I46" s="1004"/>
      <c r="J46" s="1004"/>
      <c r="K46" s="1004"/>
      <c r="L46" s="1004"/>
      <c r="M46" s="1004"/>
      <c r="N46" s="1004"/>
      <c r="O46" s="1004"/>
      <c r="P46" s="1004"/>
      <c r="Q46" s="1004"/>
      <c r="R46" s="1004"/>
      <c r="S46" s="1004"/>
      <c r="T46" s="1004"/>
      <c r="U46" s="1004"/>
      <c r="V46" s="1004"/>
      <c r="W46" s="1004"/>
      <c r="X46" s="1004"/>
      <c r="Y46" s="1004"/>
      <c r="Z46" s="1004"/>
      <c r="AA46" s="78"/>
      <c r="AB46" s="431"/>
      <c r="AC46" s="4694"/>
      <c r="AD46" s="4694"/>
      <c r="AE46" s="4684"/>
      <c r="AF46" s="4684"/>
      <c r="AG46" s="1145"/>
      <c r="AH46" s="1145"/>
      <c r="AI46" s="1145"/>
      <c r="AJ46" s="4786" t="s">
        <v>0</v>
      </c>
      <c r="AK46" s="4264" t="s">
        <v>4362</v>
      </c>
      <c r="AL46" s="4805">
        <f>IF(AND('Sch. C'!Y6,NOT('Sch. C'!Y10),'Sch. C'!Y120,NOT('Sch. C'!Y124)),SUM(SchC_ProfitLoss1,SchC_ProfitLoss2),0)</f>
        <v>0</v>
      </c>
      <c r="AM46" s="4806">
        <f>IF(AND('Sch. C'!Y8,NOT('Sch. C'!Y10),'Sch. C'!Y122,NOT('Sch. C'!Y124)),SUM(SchC_ProfitLoss1,SchC_ProfitLoss2),0)</f>
        <v>0</v>
      </c>
      <c r="AN46" s="4689"/>
      <c r="AO46" s="1145"/>
      <c r="AP46" s="1145"/>
      <c r="AQ46" s="2595"/>
      <c r="AR46" s="2595"/>
      <c r="AS46" s="2595"/>
      <c r="AT46" s="2595"/>
      <c r="AU46" s="2595"/>
      <c r="AV46" s="2595"/>
      <c r="AW46" s="2595"/>
      <c r="AX46" s="2595"/>
      <c r="AY46" s="2595"/>
      <c r="AZ46" s="2595"/>
    </row>
    <row r="47" spans="1:52" ht="14.25">
      <c r="A47" s="588"/>
      <c r="B47" s="38" t="s">
        <v>167</v>
      </c>
      <c r="C47" s="23"/>
      <c r="D47" s="23"/>
      <c r="E47" s="23"/>
      <c r="F47" s="23"/>
      <c r="G47" s="23"/>
      <c r="H47" s="23"/>
      <c r="I47" s="23"/>
      <c r="J47" s="23"/>
      <c r="K47" s="23"/>
      <c r="L47" s="23"/>
      <c r="M47" s="23"/>
      <c r="N47" s="23"/>
      <c r="O47" s="23"/>
      <c r="P47" s="23"/>
      <c r="Q47" s="23"/>
      <c r="R47" s="23"/>
      <c r="S47" s="23"/>
      <c r="T47" s="23"/>
      <c r="U47" s="23"/>
      <c r="V47" s="23"/>
      <c r="W47" s="429"/>
      <c r="X47" s="1337">
        <v>8820</v>
      </c>
      <c r="Y47" s="23"/>
      <c r="Z47" s="23"/>
      <c r="AA47" s="78"/>
      <c r="AB47" s="431"/>
      <c r="AC47" s="4694"/>
      <c r="AD47" s="4694"/>
      <c r="AE47" s="4684"/>
      <c r="AF47" s="4684"/>
      <c r="AG47" s="1145"/>
      <c r="AH47" s="1145"/>
      <c r="AI47" s="1145"/>
      <c r="AJ47" s="1145"/>
      <c r="AK47" s="1410" t="s">
        <v>4364</v>
      </c>
      <c r="AL47" s="4689" t="b">
        <f>AND('Sch. C'!Y6,SchC_StatutoryEmp_1&lt;&gt;"")</f>
        <v>0</v>
      </c>
      <c r="AM47" s="4689" t="b">
        <f>AND('Sch. C'!Y8,SchC_StatutoryEmp_1&lt;&gt;"")</f>
        <v>0</v>
      </c>
      <c r="AN47" s="4689"/>
      <c r="AO47" s="1145"/>
      <c r="AP47" s="1145"/>
      <c r="AQ47" s="2595"/>
      <c r="AR47" s="2595"/>
      <c r="AS47" s="2595"/>
      <c r="AT47" s="2595"/>
      <c r="AU47" s="2595"/>
      <c r="AV47" s="2595"/>
      <c r="AW47" s="2595"/>
      <c r="AX47" s="2595"/>
      <c r="AY47" s="2595"/>
      <c r="AZ47" s="2595"/>
    </row>
    <row r="48" spans="1:52" ht="12.75" customHeight="1">
      <c r="A48" s="588"/>
      <c r="B48" s="70" t="str">
        <f>"than "&amp;TEXT(X47,"$0,000")&amp;" or (b) your net farm profits were less than "&amp;TEXT(X48,"$0,000")&amp;"."</f>
        <v>than $8,820 or (b) your net farm profits were less than $6,367.</v>
      </c>
      <c r="C48" s="23"/>
      <c r="D48" s="23"/>
      <c r="E48" s="23"/>
      <c r="F48" s="23"/>
      <c r="G48" s="23"/>
      <c r="H48" s="23"/>
      <c r="I48" s="23"/>
      <c r="J48" s="23"/>
      <c r="K48" s="23"/>
      <c r="L48" s="23"/>
      <c r="M48" s="23"/>
      <c r="N48" s="23"/>
      <c r="O48" s="23"/>
      <c r="P48" s="23"/>
      <c r="Q48" s="23"/>
      <c r="R48" s="23"/>
      <c r="S48" s="23"/>
      <c r="T48" s="23"/>
      <c r="U48" s="23"/>
      <c r="V48" s="23"/>
      <c r="W48" s="429"/>
      <c r="X48" s="1337">
        <v>6367</v>
      </c>
      <c r="Y48" s="23"/>
      <c r="Z48" s="23"/>
      <c r="AA48" s="78"/>
      <c r="AB48" s="431"/>
      <c r="AC48" s="4694"/>
      <c r="AD48" s="4694"/>
      <c r="AE48" s="4684"/>
      <c r="AF48" s="4684"/>
      <c r="AG48" s="1145"/>
      <c r="AH48" s="1145"/>
      <c r="AI48" s="1145"/>
      <c r="AJ48" s="1145"/>
      <c r="AK48" s="1410" t="s">
        <v>4365</v>
      </c>
      <c r="AL48" s="1145" t="b">
        <f>AND('Sch. C'!Y120,NOT('Sch. C'!Y124),SchC_StatutoryEmp_2&lt;&gt;"")</f>
        <v>0</v>
      </c>
      <c r="AM48" s="1145" t="b">
        <f>AND('Sch. C'!Y122,NOT('Sch. C'!Y124),SchC_StatutoryEmp_2&lt;&gt;"")</f>
        <v>0</v>
      </c>
      <c r="AN48" s="1145"/>
      <c r="AO48" s="1145"/>
      <c r="AP48" s="1145"/>
      <c r="AQ48" s="2608"/>
      <c r="AR48" s="2595"/>
      <c r="AS48" s="2595"/>
      <c r="AT48" s="2595"/>
      <c r="AU48" s="2595"/>
      <c r="AV48" s="2595"/>
      <c r="AW48" s="2595"/>
      <c r="AX48" s="2595"/>
      <c r="AY48" s="2595"/>
      <c r="AZ48" s="2595"/>
    </row>
    <row r="49" spans="1:52" ht="13.5" customHeight="1">
      <c r="A49" s="588"/>
      <c r="B49" s="23"/>
      <c r="C49" s="48">
        <v>14</v>
      </c>
      <c r="D49" s="23" t="s">
        <v>475</v>
      </c>
      <c r="E49" s="23"/>
      <c r="F49" s="23"/>
      <c r="G49" s="23"/>
      <c r="H49" s="23"/>
      <c r="I49" s="23"/>
      <c r="J49" s="23"/>
      <c r="K49" s="23"/>
      <c r="L49" s="23"/>
      <c r="M49" s="23"/>
      <c r="N49" s="23"/>
      <c r="O49" s="23"/>
      <c r="P49" s="23"/>
      <c r="Q49" s="23"/>
      <c r="R49" s="23"/>
      <c r="S49" s="23"/>
      <c r="T49" s="23"/>
      <c r="U49" s="23"/>
      <c r="V49" s="39" t="s">
        <v>94</v>
      </c>
      <c r="W49" s="339">
        <v>14</v>
      </c>
      <c r="X49" s="7607">
        <v>5880</v>
      </c>
      <c r="Y49" s="7608"/>
      <c r="Z49" s="7608"/>
      <c r="AA49" s="78"/>
      <c r="AB49" s="4815" t="str">
        <f>IF(X51&gt;X49,"Line 15 cannot","")</f>
        <v/>
      </c>
      <c r="AC49" s="4694"/>
      <c r="AD49" s="4694"/>
      <c r="AE49" s="4684"/>
      <c r="AF49" s="4684"/>
      <c r="AG49" s="1145"/>
      <c r="AH49" s="1145"/>
      <c r="AI49" s="1145"/>
      <c r="AJ49" s="1145"/>
      <c r="AK49" s="1145"/>
      <c r="AL49" s="1145"/>
      <c r="AM49" s="1145"/>
      <c r="AN49" s="1145"/>
      <c r="AO49" s="1145"/>
      <c r="AP49" s="1145"/>
      <c r="AQ49" s="2595"/>
      <c r="AR49" s="2595"/>
      <c r="AS49" s="2595"/>
      <c r="AT49" s="2595"/>
      <c r="AU49" s="2595"/>
      <c r="AV49" s="2595"/>
      <c r="AW49" s="2595"/>
      <c r="AX49" s="2595"/>
      <c r="AY49" s="2595"/>
      <c r="AZ49" s="2595"/>
    </row>
    <row r="50" spans="1:52" ht="13.5" customHeight="1">
      <c r="A50" s="588"/>
      <c r="B50" s="23"/>
      <c r="C50" s="48">
        <v>15</v>
      </c>
      <c r="D50" s="70" t="s">
        <v>4158</v>
      </c>
      <c r="E50" s="23"/>
      <c r="F50" s="23"/>
      <c r="G50" s="23"/>
      <c r="H50" s="23"/>
      <c r="I50" s="23"/>
      <c r="J50" s="23"/>
      <c r="K50" s="23"/>
      <c r="L50" s="23"/>
      <c r="M50" s="23"/>
      <c r="N50" s="23"/>
      <c r="O50" s="23"/>
      <c r="P50" s="23"/>
      <c r="Q50" s="23"/>
      <c r="R50" s="7611" t="str">
        <f>TEXT(X49,"$0,000")&amp;" "</f>
        <v xml:space="preserve">$5,880 </v>
      </c>
      <c r="S50" s="7611"/>
      <c r="T50" s="50"/>
      <c r="U50" s="70"/>
      <c r="V50" s="1035" t="s">
        <v>4159</v>
      </c>
      <c r="W50" s="429"/>
      <c r="X50" s="1176" t="b">
        <f>AND(X51&lt;&gt;"",X51&gt;0)</f>
        <v>0</v>
      </c>
      <c r="Y50" s="23"/>
      <c r="Z50" s="23"/>
      <c r="AA50" s="78"/>
      <c r="AB50" s="4815" t="str">
        <f>IF(X51&gt;X49,"be more than","")</f>
        <v/>
      </c>
      <c r="AC50" s="4694"/>
      <c r="AD50" s="4694"/>
      <c r="AE50" s="4684"/>
      <c r="AF50" s="4684"/>
      <c r="AG50" s="1145"/>
      <c r="AH50" s="1145"/>
      <c r="AI50" s="1145"/>
      <c r="AJ50" s="1145"/>
      <c r="AK50" s="1410"/>
      <c r="AL50" s="4689"/>
      <c r="AM50" s="1410"/>
      <c r="AN50" s="1145"/>
      <c r="AO50" s="1145"/>
      <c r="AP50" s="1145"/>
      <c r="AQ50" s="2595"/>
      <c r="AR50" s="2595"/>
      <c r="AS50" s="2595"/>
      <c r="AT50" s="2595"/>
      <c r="AU50" s="2595"/>
      <c r="AV50" s="2595"/>
      <c r="AW50" s="2595"/>
      <c r="AX50" s="2595"/>
      <c r="AY50" s="2595"/>
      <c r="AZ50" s="2595"/>
    </row>
    <row r="51" spans="1:52" ht="13.5" customHeight="1">
      <c r="A51" s="588"/>
      <c r="B51" s="41"/>
      <c r="C51" s="41"/>
      <c r="D51" s="4671" t="s">
        <v>4139</v>
      </c>
      <c r="E51" s="41"/>
      <c r="F51" s="41"/>
      <c r="G51" s="41"/>
      <c r="H51" s="41"/>
      <c r="I51" s="41"/>
      <c r="J51" s="41"/>
      <c r="K51" s="41"/>
      <c r="L51" s="41"/>
      <c r="M51" s="41"/>
      <c r="N51" s="41"/>
      <c r="O51" s="41"/>
      <c r="P51" s="41"/>
      <c r="Q51" s="41"/>
      <c r="R51" s="41"/>
      <c r="S51" s="41"/>
      <c r="T51" s="41"/>
      <c r="U51" s="41"/>
      <c r="V51" s="528" t="s">
        <v>428</v>
      </c>
      <c r="W51" s="339">
        <v>15</v>
      </c>
      <c r="X51" s="7609"/>
      <c r="Y51" s="7610"/>
      <c r="Z51" s="7610"/>
      <c r="AA51" s="78"/>
      <c r="AB51" s="4815" t="str">
        <f>IF(X51&gt;X49,"Line 14.","")</f>
        <v/>
      </c>
      <c r="AC51" s="4694"/>
      <c r="AD51" s="4694"/>
      <c r="AE51" s="4684"/>
      <c r="AF51" s="4684"/>
      <c r="AG51" s="1145"/>
      <c r="AH51" s="1145"/>
      <c r="AI51" s="1145"/>
      <c r="AJ51" s="1145"/>
      <c r="AK51" s="4691"/>
      <c r="AL51" s="4691"/>
      <c r="AM51" s="4691"/>
      <c r="AN51" s="4691"/>
      <c r="AO51" s="1145"/>
      <c r="AP51" s="1145"/>
      <c r="AQ51" s="2595"/>
      <c r="AR51" s="2595"/>
      <c r="AS51" s="2595"/>
      <c r="AT51" s="2595"/>
      <c r="AU51" s="2595"/>
      <c r="AV51" s="2595"/>
      <c r="AW51" s="2595"/>
      <c r="AX51" s="2595"/>
      <c r="AY51" s="2595"/>
      <c r="AZ51" s="2595"/>
    </row>
    <row r="52" spans="1:52" ht="13.5" customHeight="1">
      <c r="A52" s="588"/>
      <c r="B52" s="24" t="s">
        <v>4140</v>
      </c>
      <c r="C52" s="23"/>
      <c r="D52" s="23"/>
      <c r="E52" s="23"/>
      <c r="F52" s="23"/>
      <c r="G52" s="23"/>
      <c r="H52" s="23"/>
      <c r="I52" s="23"/>
      <c r="J52" s="23"/>
      <c r="K52" s="23"/>
      <c r="L52" s="23"/>
      <c r="M52" s="23"/>
      <c r="N52" s="23"/>
      <c r="O52" s="23"/>
      <c r="P52" s="23"/>
      <c r="Q52" s="23"/>
      <c r="R52" s="23"/>
      <c r="S52" s="23"/>
      <c r="T52" s="280" t="str">
        <f>"than "&amp;TEXT(X48,"$0,000")</f>
        <v>than $6,367</v>
      </c>
      <c r="U52" s="280"/>
      <c r="V52" s="3210"/>
      <c r="W52" s="429"/>
      <c r="X52" s="1176">
        <v>0.72189000000000003</v>
      </c>
      <c r="Y52" s="23"/>
      <c r="Z52" s="23"/>
      <c r="AA52" s="78"/>
      <c r="AB52" s="431"/>
      <c r="AC52" s="4694"/>
      <c r="AD52" s="4694"/>
      <c r="AE52" s="4684"/>
      <c r="AF52" s="4684"/>
      <c r="AG52" s="1145"/>
      <c r="AH52" s="1145"/>
      <c r="AI52" s="1145"/>
      <c r="AJ52" s="1145"/>
      <c r="AK52" s="4683"/>
      <c r="AL52" s="4683"/>
      <c r="AM52" s="4683"/>
      <c r="AN52" s="4683"/>
      <c r="AO52" s="1145"/>
      <c r="AP52" s="1145"/>
      <c r="AQ52" s="2595"/>
      <c r="AR52" s="2595"/>
      <c r="AS52" s="2595"/>
      <c r="AT52" s="2595"/>
      <c r="AU52" s="2595"/>
      <c r="AV52" s="2595"/>
      <c r="AW52" s="2595"/>
      <c r="AX52" s="2595"/>
      <c r="AY52" s="2595"/>
      <c r="AZ52" s="2595"/>
    </row>
    <row r="53" spans="1:52" ht="13.5" customHeight="1">
      <c r="A53" s="588"/>
      <c r="B53" s="70" t="str">
        <f>"and also less than "&amp;TEXT(X52,"0.000%")&amp;" of  your"</f>
        <v>and also less than 72.189% of  your</v>
      </c>
      <c r="C53" s="23"/>
      <c r="D53" s="23"/>
      <c r="E53" s="23"/>
      <c r="F53" s="23"/>
      <c r="G53" s="23"/>
      <c r="H53" s="70" t="s">
        <v>1969</v>
      </c>
      <c r="I53" s="23"/>
      <c r="J53" s="70"/>
      <c r="K53" s="23"/>
      <c r="L53" s="23"/>
      <c r="M53" s="23"/>
      <c r="N53" s="23"/>
      <c r="O53" s="23"/>
      <c r="P53" s="23"/>
      <c r="Q53" s="23"/>
      <c r="R53" s="23"/>
      <c r="S53" s="23"/>
      <c r="T53" s="23"/>
      <c r="U53" s="23"/>
      <c r="V53" s="23"/>
      <c r="W53" s="429"/>
      <c r="X53" s="1176">
        <v>400</v>
      </c>
      <c r="Y53" s="23"/>
      <c r="Z53" s="23"/>
      <c r="AA53" s="78"/>
      <c r="AB53" s="431"/>
      <c r="AC53" s="4694"/>
      <c r="AD53" s="4694"/>
      <c r="AE53" s="4684"/>
      <c r="AF53" s="4684"/>
      <c r="AG53" s="1145"/>
      <c r="AH53" s="1145"/>
      <c r="AI53" s="1145"/>
      <c r="AJ53" s="1145"/>
      <c r="AK53" s="1145"/>
      <c r="AL53" s="1145"/>
      <c r="AM53" s="1145"/>
      <c r="AN53" s="1145"/>
      <c r="AO53" s="1145"/>
      <c r="AP53" s="1145"/>
      <c r="AQ53" s="2595"/>
      <c r="AR53" s="2595"/>
      <c r="AS53" s="2595"/>
      <c r="AT53" s="2595"/>
      <c r="AU53" s="2595"/>
      <c r="AV53" s="2595"/>
      <c r="AW53" s="2595"/>
      <c r="AX53" s="2595"/>
      <c r="AY53" s="2595"/>
      <c r="AZ53" s="2595"/>
    </row>
    <row r="54" spans="1:52">
      <c r="A54" s="588"/>
      <c r="B54" s="70" t="str">
        <f>"employment of at least "&amp;TEXT(X53,"$0")&amp;" in 2 of the prior 3 years."</f>
        <v>employment of at least $400 in 2 of the prior 3 years.</v>
      </c>
      <c r="C54" s="23"/>
      <c r="D54" s="23"/>
      <c r="E54" s="23"/>
      <c r="F54" s="23"/>
      <c r="G54" s="23"/>
      <c r="H54" s="23"/>
      <c r="I54" s="23"/>
      <c r="J54" s="23"/>
      <c r="K54" s="70" t="s">
        <v>1970</v>
      </c>
      <c r="L54" s="23"/>
      <c r="M54" s="70"/>
      <c r="N54" s="23"/>
      <c r="O54" s="23"/>
      <c r="P54" s="23"/>
      <c r="Q54" s="23"/>
      <c r="R54" s="23"/>
      <c r="S54" s="23"/>
      <c r="T54" s="23"/>
      <c r="U54" s="23"/>
      <c r="V54" s="23"/>
      <c r="W54" s="429"/>
      <c r="X54" s="23"/>
      <c r="Y54" s="23"/>
      <c r="Z54" s="23"/>
      <c r="AA54" s="78"/>
      <c r="AB54" s="431"/>
      <c r="AC54" s="4694"/>
      <c r="AD54" s="4694"/>
      <c r="AE54" s="4684"/>
      <c r="AF54" s="4684"/>
      <c r="AG54" s="1145"/>
      <c r="AH54" s="1145"/>
      <c r="AI54" s="1145"/>
      <c r="AJ54" s="4263"/>
      <c r="AK54" s="1145"/>
      <c r="AL54" s="4789"/>
      <c r="AM54" s="2866"/>
      <c r="AN54" s="2866"/>
      <c r="AO54" s="1145"/>
      <c r="AP54" s="1145"/>
      <c r="AQ54" s="2595"/>
      <c r="AR54" s="2595"/>
      <c r="AS54" s="2595"/>
      <c r="AT54" s="2595"/>
      <c r="AU54" s="2595"/>
      <c r="AV54" s="2595"/>
      <c r="AW54" s="2595"/>
      <c r="AX54" s="2595"/>
      <c r="AY54" s="2595"/>
      <c r="AZ54" s="2595"/>
    </row>
    <row r="55" spans="1:52">
      <c r="A55" s="588"/>
      <c r="B55" s="23"/>
      <c r="C55" s="48">
        <v>16</v>
      </c>
      <c r="D55" s="23" t="s">
        <v>96</v>
      </c>
      <c r="E55" s="23"/>
      <c r="F55" s="23"/>
      <c r="G55" s="23"/>
      <c r="H55" s="23"/>
      <c r="I55" s="23"/>
      <c r="J55" s="23"/>
      <c r="K55" s="23"/>
      <c r="L55" s="23"/>
      <c r="M55" s="23"/>
      <c r="N55" s="23"/>
      <c r="O55" s="23"/>
      <c r="P55" s="23"/>
      <c r="Q55" s="23"/>
      <c r="R55" s="23"/>
      <c r="S55" s="23"/>
      <c r="T55" s="23"/>
      <c r="U55" s="23"/>
      <c r="V55" s="529" t="s">
        <v>165</v>
      </c>
      <c r="W55" s="339">
        <v>16</v>
      </c>
      <c r="X55" s="7613" t="str">
        <f>IF(X51="","",IF(X49-X51&lt;0,0,X49-X51))</f>
        <v/>
      </c>
      <c r="Y55" s="7614"/>
      <c r="Z55" s="7614"/>
      <c r="AA55" s="78"/>
      <c r="AB55" s="431"/>
      <c r="AC55" s="1145"/>
      <c r="AD55" s="1145"/>
      <c r="AE55" s="1145"/>
      <c r="AF55" s="1145"/>
      <c r="AG55" s="1145"/>
      <c r="AH55" s="2243" t="str">
        <f>IF(Q45="",0,Q45)</f>
        <v>.   .   .   .</v>
      </c>
      <c r="AI55" s="1145"/>
      <c r="AJ55" s="4787"/>
      <c r="AK55" s="4263"/>
      <c r="AL55" s="4789"/>
      <c r="AM55" s="2866"/>
      <c r="AN55" s="2866"/>
      <c r="AO55" s="1145"/>
      <c r="AP55" s="1145"/>
      <c r="AQ55" s="2595"/>
      <c r="AR55" s="2595"/>
      <c r="AS55" s="2595"/>
      <c r="AT55" s="2595"/>
      <c r="AU55" s="2595"/>
      <c r="AV55" s="2595"/>
      <c r="AW55" s="2595"/>
      <c r="AX55" s="2595"/>
      <c r="AY55" s="2595"/>
      <c r="AZ55" s="2595"/>
    </row>
    <row r="56" spans="1:52" ht="14.25">
      <c r="A56" s="588"/>
      <c r="B56" s="23"/>
      <c r="C56" s="48">
        <v>17</v>
      </c>
      <c r="D56" s="70" t="s">
        <v>4141</v>
      </c>
      <c r="E56" s="23"/>
      <c r="F56" s="23"/>
      <c r="G56" s="23"/>
      <c r="H56" s="23"/>
      <c r="I56" s="23"/>
      <c r="J56" s="23"/>
      <c r="K56" s="23"/>
      <c r="L56" s="23"/>
      <c r="M56" s="23"/>
      <c r="N56" s="23"/>
      <c r="O56" s="23"/>
      <c r="P56" s="23"/>
      <c r="Q56" s="23"/>
      <c r="R56" s="23"/>
      <c r="S56" s="23"/>
      <c r="T56" s="23"/>
      <c r="U56" s="23"/>
      <c r="V56" s="23"/>
      <c r="W56" s="429"/>
      <c r="X56" s="1176" t="b">
        <f>AND(X57&lt;&gt;"",X57&gt;0)</f>
        <v>0</v>
      </c>
      <c r="Y56" s="23"/>
      <c r="Z56" s="23"/>
      <c r="AA56" s="78"/>
      <c r="AB56" s="497" t="str">
        <f>IF($X$57&gt;$X$55,"Line 17 cannot","")</f>
        <v/>
      </c>
      <c r="AC56" s="4899"/>
      <c r="AD56" s="4899"/>
      <c r="AE56" s="4899"/>
      <c r="AF56" s="4899"/>
      <c r="AG56" s="4899"/>
      <c r="AH56" s="4899"/>
      <c r="AI56" s="1145"/>
      <c r="AJ56" s="1145"/>
      <c r="AK56" s="4788"/>
      <c r="AL56" s="4711"/>
      <c r="AM56" s="4711"/>
      <c r="AN56" s="4711"/>
      <c r="AO56" s="1145"/>
      <c r="AP56" s="1145"/>
      <c r="AQ56" s="2595"/>
      <c r="AR56" s="2595"/>
      <c r="AS56" s="2595"/>
      <c r="AT56" s="2595"/>
      <c r="AU56" s="2595"/>
      <c r="AV56" s="2595"/>
      <c r="AW56" s="2595"/>
      <c r="AX56" s="2595"/>
      <c r="AY56" s="2595"/>
      <c r="AZ56" s="2595"/>
    </row>
    <row r="57" spans="1:52">
      <c r="A57" s="588"/>
      <c r="B57" s="23"/>
      <c r="C57" s="23"/>
      <c r="D57" s="1005" t="s">
        <v>4142</v>
      </c>
      <c r="E57" s="23"/>
      <c r="F57" s="23"/>
      <c r="G57" s="23"/>
      <c r="H57" s="23"/>
      <c r="I57" s="23"/>
      <c r="J57" s="23"/>
      <c r="K57" s="23"/>
      <c r="L57" s="23"/>
      <c r="M57" s="23"/>
      <c r="N57" s="23"/>
      <c r="O57" s="23"/>
      <c r="P57" s="23"/>
      <c r="Q57" s="23"/>
      <c r="R57" s="23"/>
      <c r="S57" s="23"/>
      <c r="T57" s="23"/>
      <c r="U57" s="23"/>
      <c r="V57" s="2725" t="s">
        <v>568</v>
      </c>
      <c r="W57" s="339">
        <v>17</v>
      </c>
      <c r="X57" s="7609"/>
      <c r="Y57" s="7610"/>
      <c r="Z57" s="7610"/>
      <c r="AA57" s="78"/>
      <c r="AB57" s="497" t="str">
        <f>IF($X$57&gt;$X$55,"be more than","")</f>
        <v/>
      </c>
      <c r="AC57" s="1145"/>
      <c r="AD57" s="1145"/>
      <c r="AE57" s="1145"/>
      <c r="AF57" s="1145"/>
      <c r="AG57" s="1145"/>
      <c r="AH57" s="1145"/>
      <c r="AI57" s="1145"/>
      <c r="AJ57" s="1145"/>
      <c r="AK57" s="4264"/>
      <c r="AL57" s="4711"/>
      <c r="AM57" s="4711"/>
      <c r="AN57" s="4711"/>
      <c r="AO57" s="1145"/>
      <c r="AP57" s="1145"/>
      <c r="AQ57" s="2595"/>
      <c r="AR57" s="2595"/>
      <c r="AS57" s="2595"/>
      <c r="AT57" s="2595"/>
      <c r="AU57" s="2595"/>
      <c r="AV57" s="2595"/>
      <c r="AW57" s="2595"/>
      <c r="AX57" s="2595"/>
      <c r="AY57" s="2595"/>
      <c r="AZ57" s="2595"/>
    </row>
    <row r="58" spans="1:52" ht="14.25" customHeight="1">
      <c r="A58" s="588"/>
      <c r="B58" s="658">
        <v>1</v>
      </c>
      <c r="C58" s="7593" t="s">
        <v>2427</v>
      </c>
      <c r="D58" s="7593"/>
      <c r="E58" s="7593"/>
      <c r="F58" s="7593"/>
      <c r="G58" s="7593"/>
      <c r="H58" s="7593"/>
      <c r="I58" s="7593"/>
      <c r="J58" s="7593"/>
      <c r="K58" s="7593"/>
      <c r="L58" s="7594"/>
      <c r="M58" s="4235">
        <v>3</v>
      </c>
      <c r="N58" s="7603" t="s">
        <v>3504</v>
      </c>
      <c r="O58" s="7603"/>
      <c r="P58" s="7603"/>
      <c r="Q58" s="7603"/>
      <c r="R58" s="7603"/>
      <c r="S58" s="7603"/>
      <c r="T58" s="7603"/>
      <c r="U58" s="7603"/>
      <c r="V58" s="7603"/>
      <c r="W58" s="7603"/>
      <c r="X58" s="7603"/>
      <c r="Y58" s="7603"/>
      <c r="Z58" s="7603"/>
      <c r="AA58" s="78"/>
      <c r="AB58" s="497" t="str">
        <f>IF($X$57&gt;$X$55,"Line 16.","")</f>
        <v/>
      </c>
      <c r="AC58" s="1145"/>
      <c r="AD58" s="1145"/>
      <c r="AE58" s="1145"/>
      <c r="AF58" s="1145"/>
      <c r="AG58" s="1145"/>
      <c r="AH58" s="1145"/>
      <c r="AI58" s="1145"/>
      <c r="AJ58" s="1145"/>
      <c r="AK58" s="1145"/>
      <c r="AL58" s="1145"/>
      <c r="AM58" s="1145"/>
      <c r="AN58" s="1145"/>
      <c r="AO58" s="1145"/>
      <c r="AP58" s="1145"/>
      <c r="AQ58" s="2595"/>
      <c r="AR58" s="2595"/>
      <c r="AS58" s="2595"/>
      <c r="AT58" s="2595"/>
      <c r="AU58" s="2595"/>
      <c r="AV58" s="2595"/>
      <c r="AW58" s="2595"/>
      <c r="AX58" s="2595"/>
      <c r="AY58" s="2595"/>
      <c r="AZ58" s="2595"/>
    </row>
    <row r="59" spans="1:52" s="936" customFormat="1" ht="25.5" customHeight="1" thickBot="1">
      <c r="A59" s="588"/>
      <c r="B59" s="659">
        <v>2</v>
      </c>
      <c r="C59" s="7595" t="s">
        <v>4813</v>
      </c>
      <c r="D59" s="7595"/>
      <c r="E59" s="7595"/>
      <c r="F59" s="7595"/>
      <c r="G59" s="7595"/>
      <c r="H59" s="7595"/>
      <c r="I59" s="7595"/>
      <c r="J59" s="7595"/>
      <c r="K59" s="7595"/>
      <c r="L59" s="7596"/>
      <c r="M59" s="659">
        <v>4</v>
      </c>
      <c r="N59" s="7602" t="s">
        <v>3505</v>
      </c>
      <c r="O59" s="7602"/>
      <c r="P59" s="7602"/>
      <c r="Q59" s="7602"/>
      <c r="R59" s="7602"/>
      <c r="S59" s="7602"/>
      <c r="T59" s="7602"/>
      <c r="U59" s="7602"/>
      <c r="V59" s="7602"/>
      <c r="W59" s="7602"/>
      <c r="X59" s="7602"/>
      <c r="Y59" s="7602"/>
      <c r="Z59" s="7602"/>
      <c r="AA59" s="78"/>
      <c r="AB59" s="431"/>
      <c r="AC59" s="1145"/>
      <c r="AD59" s="1145"/>
      <c r="AE59" s="1145"/>
      <c r="AF59" s="1145"/>
      <c r="AG59" s="1145"/>
      <c r="AH59" s="1145"/>
      <c r="AI59" s="1145"/>
      <c r="AJ59" s="1145"/>
      <c r="AK59" s="1145"/>
      <c r="AL59" s="1145"/>
      <c r="AM59" s="1145"/>
      <c r="AN59" s="1145"/>
      <c r="AO59" s="1145"/>
      <c r="AP59" s="1145"/>
      <c r="AQ59" s="2628"/>
      <c r="AR59" s="2628"/>
      <c r="AS59" s="2628"/>
      <c r="AT59" s="2628"/>
      <c r="AU59" s="2628"/>
      <c r="AV59" s="2628"/>
      <c r="AW59" s="2628"/>
      <c r="AX59" s="2628"/>
      <c r="AY59" s="2628"/>
      <c r="AZ59" s="2628"/>
    </row>
    <row r="60" spans="1:52" ht="13.5" thickBot="1">
      <c r="A60" s="3285"/>
      <c r="B60" s="5094" t="s">
        <v>484</v>
      </c>
      <c r="C60" s="5095"/>
      <c r="D60" s="5096"/>
      <c r="E60" s="5096"/>
      <c r="F60" s="5097"/>
      <c r="G60" s="5092"/>
      <c r="H60" s="5093"/>
      <c r="I60" s="5093"/>
      <c r="J60" s="5096"/>
      <c r="K60" s="5093"/>
      <c r="L60" s="5093"/>
      <c r="M60" s="5097"/>
      <c r="N60" s="5092"/>
      <c r="O60" s="5093"/>
      <c r="P60" s="5093"/>
      <c r="Q60" s="5098" t="s">
        <v>4689</v>
      </c>
      <c r="R60" s="5096"/>
      <c r="S60" s="5096"/>
      <c r="T60" s="5099"/>
      <c r="U60" s="5100"/>
      <c r="V60" s="1277"/>
      <c r="W60" s="100"/>
      <c r="X60" s="100"/>
      <c r="Y60" s="100"/>
      <c r="Z60" s="1124" t="str">
        <f>"Schedule SE (Form 1040) "&amp;TaxYear</f>
        <v>Schedule SE (Form 1040) 2021</v>
      </c>
      <c r="AA60" s="3284"/>
      <c r="AB60" s="3283"/>
      <c r="AC60" s="1145"/>
      <c r="AD60" s="1145"/>
      <c r="AE60" s="1145"/>
      <c r="AF60" s="1145"/>
      <c r="AG60" s="1145"/>
      <c r="AH60" s="1145"/>
      <c r="AI60" s="1145"/>
      <c r="AJ60" s="1145"/>
      <c r="AK60" s="1145"/>
      <c r="AL60" s="1145"/>
      <c r="AM60" s="1145"/>
      <c r="AN60" s="1145"/>
      <c r="AO60" s="1145"/>
      <c r="AP60" s="1145"/>
      <c r="AQ60" s="2595"/>
      <c r="AR60" s="2595"/>
      <c r="AS60" s="2595"/>
      <c r="AT60" s="2595"/>
      <c r="AU60" s="2595"/>
      <c r="AV60" s="2595"/>
      <c r="AW60" s="2595"/>
      <c r="AX60" s="2595"/>
      <c r="AY60" s="2595"/>
      <c r="AZ60" s="2595"/>
    </row>
    <row r="61" spans="1:52" ht="21.75" customHeight="1">
      <c r="A61" s="588"/>
      <c r="B61" s="7658" t="s">
        <v>161</v>
      </c>
      <c r="C61" s="7659"/>
      <c r="D61" s="7659"/>
      <c r="E61" s="7659"/>
      <c r="F61" s="7660"/>
      <c r="G61" s="3208"/>
      <c r="H61" s="23"/>
      <c r="I61" s="419"/>
      <c r="J61" s="419"/>
      <c r="K61" s="419"/>
      <c r="L61" s="23"/>
      <c r="M61" s="420"/>
      <c r="N61" s="23"/>
      <c r="O61" s="419"/>
      <c r="P61" s="419"/>
      <c r="Q61" s="419"/>
      <c r="R61" s="23"/>
      <c r="S61" s="23"/>
      <c r="T61" s="23"/>
      <c r="U61" s="3209"/>
      <c r="V61" s="97"/>
      <c r="W61" s="7661" t="s">
        <v>152</v>
      </c>
      <c r="X61" s="7662"/>
      <c r="Y61" s="7662"/>
      <c r="Z61" s="7662"/>
      <c r="AA61" s="78"/>
      <c r="AB61" s="4817" t="s">
        <v>4369</v>
      </c>
      <c r="AC61" s="4018"/>
      <c r="AD61" s="4018"/>
      <c r="AE61" s="4018"/>
      <c r="AF61" s="4018"/>
      <c r="AG61" s="4018"/>
      <c r="AH61" s="4018"/>
      <c r="AI61" s="3541"/>
      <c r="AJ61" s="4018"/>
      <c r="AK61" s="3541"/>
      <c r="AL61" s="3541"/>
      <c r="AM61" s="3541"/>
      <c r="AN61" s="3541"/>
      <c r="AO61" s="3541"/>
      <c r="AP61" s="3541"/>
      <c r="AQ61" s="2594" t="s">
        <v>2033</v>
      </c>
      <c r="AR61" s="2595"/>
      <c r="AS61" s="2595"/>
      <c r="AT61" s="2595"/>
      <c r="AU61" s="2595"/>
      <c r="AV61" s="2595"/>
      <c r="AW61" s="2595"/>
      <c r="AX61" s="2595"/>
      <c r="AY61" s="2595"/>
      <c r="AZ61" s="2595"/>
    </row>
    <row r="62" spans="1:52" ht="27.75" customHeight="1">
      <c r="A62" s="588"/>
      <c r="B62" s="7663" t="s">
        <v>3973</v>
      </c>
      <c r="C62" s="7663"/>
      <c r="D62" s="7663"/>
      <c r="E62" s="7663"/>
      <c r="F62" s="7664"/>
      <c r="G62" s="7665" t="s">
        <v>162</v>
      </c>
      <c r="H62" s="7666"/>
      <c r="I62" s="7666"/>
      <c r="J62" s="7666"/>
      <c r="K62" s="7666"/>
      <c r="L62" s="7666"/>
      <c r="M62" s="7666"/>
      <c r="N62" s="7666"/>
      <c r="O62" s="7666"/>
      <c r="P62" s="7666"/>
      <c r="Q62" s="7666"/>
      <c r="R62" s="7666"/>
      <c r="S62" s="7666"/>
      <c r="T62" s="7666"/>
      <c r="U62" s="7666"/>
      <c r="V62" s="7667"/>
      <c r="W62" s="7668">
        <f>TaxYear</f>
        <v>2021</v>
      </c>
      <c r="X62" s="6720"/>
      <c r="Y62" s="6720"/>
      <c r="Z62" s="6720"/>
      <c r="AA62" s="78"/>
      <c r="AB62" s="431"/>
      <c r="AC62" s="7645" t="s">
        <v>4367</v>
      </c>
      <c r="AD62" s="7645"/>
      <c r="AE62" s="7645"/>
      <c r="AF62" s="4018"/>
      <c r="AG62" s="4018"/>
      <c r="AH62" s="4018"/>
      <c r="AI62" s="3541"/>
      <c r="AJ62" s="4018"/>
      <c r="AK62" s="3541"/>
      <c r="AL62" s="3541"/>
      <c r="AM62" s="3541"/>
      <c r="AN62" s="3541"/>
      <c r="AO62" s="3541"/>
      <c r="AP62" s="3541"/>
      <c r="AQ62" s="2595"/>
      <c r="AR62" s="2595"/>
      <c r="AS62" s="2595"/>
      <c r="AT62" s="2595"/>
      <c r="AU62" s="2595"/>
      <c r="AV62" s="2595"/>
      <c r="AW62" s="2595"/>
      <c r="AX62" s="2595"/>
      <c r="AY62" s="2595"/>
      <c r="AZ62" s="2595"/>
    </row>
    <row r="63" spans="1:52" ht="13.5" customHeight="1" thickBot="1">
      <c r="A63" s="588"/>
      <c r="B63" s="7646" t="s">
        <v>176</v>
      </c>
      <c r="C63" s="7646"/>
      <c r="D63" s="7646"/>
      <c r="E63" s="7646"/>
      <c r="F63" s="7647"/>
      <c r="G63" s="7648" t="s">
        <v>1968</v>
      </c>
      <c r="H63" s="7649"/>
      <c r="I63" s="7649"/>
      <c r="J63" s="7649"/>
      <c r="K63" s="7649"/>
      <c r="L63" s="7649"/>
      <c r="M63" s="7649"/>
      <c r="N63" s="7649"/>
      <c r="O63" s="7649"/>
      <c r="P63" s="7649"/>
      <c r="Q63" s="7649"/>
      <c r="R63" s="7649"/>
      <c r="S63" s="7649"/>
      <c r="T63" s="7649"/>
      <c r="U63" s="7649"/>
      <c r="V63" s="7650"/>
      <c r="W63" s="4686"/>
      <c r="X63" s="7651" t="s">
        <v>4143</v>
      </c>
      <c r="Y63" s="7651"/>
      <c r="Z63" s="7651"/>
      <c r="AA63" s="78"/>
      <c r="AB63" s="431"/>
      <c r="AC63" s="7645"/>
      <c r="AD63" s="7645"/>
      <c r="AE63" s="7645"/>
      <c r="AF63" s="4018"/>
      <c r="AG63" s="4018"/>
      <c r="AH63" s="4018"/>
      <c r="AI63" s="3541"/>
      <c r="AJ63" s="4018"/>
      <c r="AK63" s="3541"/>
      <c r="AL63" s="3541"/>
      <c r="AM63" s="3541"/>
      <c r="AN63" s="3541"/>
      <c r="AO63" s="3541"/>
      <c r="AP63" s="3541"/>
      <c r="AQ63" s="2595"/>
      <c r="AR63" s="2595"/>
      <c r="AS63" s="2595"/>
      <c r="AT63" s="2595"/>
      <c r="AU63" s="2595"/>
      <c r="AV63" s="2595"/>
      <c r="AW63" s="2595"/>
      <c r="AX63" s="2595"/>
      <c r="AY63" s="2595"/>
      <c r="AZ63" s="2595"/>
    </row>
    <row r="64" spans="1:52" ht="12.75" customHeight="1" thickBot="1">
      <c r="A64" s="588"/>
      <c r="B64" s="7653" t="str">
        <f>"Internal Revenue Service  (99)"</f>
        <v>Internal Revenue Service  (99)</v>
      </c>
      <c r="C64" s="7653"/>
      <c r="D64" s="7653"/>
      <c r="E64" s="7653"/>
      <c r="F64" s="7654"/>
      <c r="G64" s="7655" t="s">
        <v>4126</v>
      </c>
      <c r="H64" s="7656"/>
      <c r="I64" s="7656"/>
      <c r="J64" s="7656"/>
      <c r="K64" s="7656"/>
      <c r="L64" s="7656"/>
      <c r="M64" s="7656"/>
      <c r="N64" s="7656"/>
      <c r="O64" s="7656"/>
      <c r="P64" s="7656"/>
      <c r="Q64" s="7656"/>
      <c r="R64" s="7656"/>
      <c r="S64" s="7656"/>
      <c r="T64" s="7656"/>
      <c r="U64" s="7656"/>
      <c r="V64" s="7657"/>
      <c r="W64" s="4687"/>
      <c r="X64" s="7652"/>
      <c r="Y64" s="7652"/>
      <c r="Z64" s="7652"/>
      <c r="AA64" s="78"/>
      <c r="AB64" s="431"/>
      <c r="AC64" s="1145"/>
      <c r="AD64" s="2518"/>
      <c r="AE64" s="4242" t="s">
        <v>769</v>
      </c>
      <c r="AF64" s="1145"/>
      <c r="AG64" s="7630" t="str">
        <f>IF(AND(AJ66,AL94),"Error: You can't check 'Spouse' if this form is for your statutory employee income.",IF(AND(AJ64,AM94),"Error: You can't check 'Yourself' if this form is for your spouse's statutory employee income.",""))</f>
        <v/>
      </c>
      <c r="AH64" s="3541"/>
      <c r="AI64" s="1145"/>
      <c r="AJ64" s="1145" t="b">
        <f>(AD64&lt;&gt;"")</f>
        <v>0</v>
      </c>
      <c r="AK64" s="3541"/>
      <c r="AL64" s="1145" t="b">
        <f>OR(AND('Sch. C'!M7=SS_Yours,'Sch. C'!Y8,NOT('Sch. C'!Y10)),AND('Sch. C'!M121=SS_Yours,'Sch. C'!Y122,NOT('Sch. C'!Y124)))</f>
        <v>1</v>
      </c>
      <c r="AM64" s="3541"/>
      <c r="AN64" s="3541"/>
      <c r="AO64" s="3541"/>
      <c r="AP64" s="3541"/>
      <c r="AQ64" s="2595"/>
      <c r="AR64" s="2595"/>
      <c r="AS64" s="2595"/>
      <c r="AT64" s="2595"/>
      <c r="AU64" s="2595"/>
      <c r="AV64" s="2595"/>
      <c r="AW64" s="2595"/>
      <c r="AX64" s="2595"/>
      <c r="AY64" s="2595"/>
      <c r="AZ64" s="2595"/>
    </row>
    <row r="65" spans="1:52" ht="12" customHeight="1" thickBot="1">
      <c r="A65" s="588"/>
      <c r="B65" s="7644" t="s">
        <v>4146</v>
      </c>
      <c r="C65" s="7644"/>
      <c r="D65" s="7644"/>
      <c r="E65" s="7644"/>
      <c r="F65" s="7644"/>
      <c r="G65" s="7644"/>
      <c r="H65" s="7644"/>
      <c r="I65" s="7644"/>
      <c r="J65" s="7644"/>
      <c r="K65" s="7644"/>
      <c r="L65" s="7644"/>
      <c r="M65" s="7644"/>
      <c r="N65" s="7644"/>
      <c r="O65" s="7644"/>
      <c r="P65" s="7644"/>
      <c r="Q65" s="7639" t="str">
        <f>IF($AJ$6,"Social security number(s) MUST be entered for this form to work properly.","Social security number of person"&amp;CHAR(10)&amp;"with self-employment income")</f>
        <v>Social security number of person
with self-employment income</v>
      </c>
      <c r="R65" s="7640"/>
      <c r="S65" s="7640"/>
      <c r="T65" s="7640"/>
      <c r="U65" s="7640"/>
      <c r="V65" s="7641"/>
      <c r="W65" s="7631" t="str">
        <f>IF(AND(AJ64,AJ66),SS_Yours,IF(AJ64,SS_Yours,IF(AJ66,SS_Spouse,"")))</f>
        <v/>
      </c>
      <c r="X65" s="7632"/>
      <c r="Y65" s="7632"/>
      <c r="Z65" s="7632"/>
      <c r="AA65" s="78"/>
      <c r="AB65" s="431"/>
      <c r="AC65" s="1145"/>
      <c r="AD65" s="1145"/>
      <c r="AE65" s="4685" t="str">
        <f>IF(File_Marr_Joint&lt;&gt;"","Check both boxes if for both.","")</f>
        <v/>
      </c>
      <c r="AF65" s="1145"/>
      <c r="AG65" s="7630"/>
      <c r="AH65" s="3541"/>
      <c r="AI65" s="1145"/>
      <c r="AJ65" s="1692"/>
      <c r="AK65" s="3541"/>
      <c r="AL65" s="1145"/>
      <c r="AM65" s="3541"/>
      <c r="AN65" s="3541"/>
      <c r="AO65" s="3541"/>
      <c r="AP65" s="3541"/>
      <c r="AQ65" s="2595"/>
      <c r="AR65" s="2595"/>
      <c r="AS65" s="2595"/>
      <c r="AT65" s="2595"/>
      <c r="AU65" s="2595"/>
      <c r="AV65" s="2595"/>
      <c r="AW65" s="2595"/>
      <c r="AX65" s="2595"/>
      <c r="AY65" s="2595"/>
      <c r="AZ65" s="2595"/>
    </row>
    <row r="66" spans="1:52" ht="16.5" customHeight="1" thickBot="1">
      <c r="A66" s="588"/>
      <c r="B66" s="7643" t="str">
        <f>IF(AND(AJ64,AJ66),NameYours&amp;" and "&amp;NameSpouse,IF(AJ64,NameYours,IF(AJ66,NameSpouse,"")))</f>
        <v/>
      </c>
      <c r="C66" s="7643"/>
      <c r="D66" s="7643"/>
      <c r="E66" s="7643"/>
      <c r="F66" s="7643"/>
      <c r="G66" s="7643"/>
      <c r="H66" s="7643"/>
      <c r="I66" s="7643"/>
      <c r="J66" s="7643"/>
      <c r="K66" s="7643"/>
      <c r="L66" s="7643"/>
      <c r="M66" s="7643"/>
      <c r="N66" s="7643"/>
      <c r="O66" s="7643"/>
      <c r="P66" s="7643"/>
      <c r="Q66" s="6452"/>
      <c r="R66" s="6453"/>
      <c r="S66" s="6453"/>
      <c r="T66" s="6453"/>
      <c r="U66" s="6453"/>
      <c r="V66" s="7642"/>
      <c r="W66" s="7633"/>
      <c r="X66" s="7634"/>
      <c r="Y66" s="7634"/>
      <c r="Z66" s="7634"/>
      <c r="AA66" s="78"/>
      <c r="AB66" s="7635" t="s">
        <v>1723</v>
      </c>
      <c r="AC66" s="1145"/>
      <c r="AD66" s="2518" t="str">
        <f>IF(AL66,"X","")</f>
        <v/>
      </c>
      <c r="AE66" s="4242" t="str">
        <f>IF(AND(NumFileStatusBoxes=1,File_Marr_Joint&lt;&gt;""),"  Spouse","")</f>
        <v/>
      </c>
      <c r="AF66" s="1145"/>
      <c r="AG66" s="7630"/>
      <c r="AH66" s="3541"/>
      <c r="AI66" s="1145"/>
      <c r="AJ66" s="1145" t="b">
        <f>(AD66&lt;&gt;"")</f>
        <v>0</v>
      </c>
      <c r="AK66" s="1145"/>
      <c r="AL66" s="1145" t="b">
        <f>AND(File_Marr_Joint&lt;&gt;"",OR(AND('Sch. C'!M7=SS_Spouse,'Sch. C'!Y8,NOT('Sch. C'!Y10)),AND('Sch. C'!M121=SS_Spouse,'Sch. C'!Y122,NOT('Sch. C'!Y124))))</f>
        <v>0</v>
      </c>
      <c r="AM66" s="3541"/>
      <c r="AN66" s="3541"/>
      <c r="AO66" s="3541"/>
      <c r="AP66" s="3541"/>
      <c r="AQ66" s="2595"/>
      <c r="AR66" s="2595"/>
      <c r="AS66" s="2595"/>
      <c r="AT66" s="2595"/>
      <c r="AU66" s="2595"/>
      <c r="AV66" s="2595"/>
      <c r="AW66" s="2595"/>
      <c r="AX66" s="2595"/>
      <c r="AY66" s="2595"/>
      <c r="AZ66" s="2595"/>
    </row>
    <row r="67" spans="1:52" ht="18" customHeight="1">
      <c r="A67" s="588"/>
      <c r="B67" s="7636" t="s">
        <v>51</v>
      </c>
      <c r="C67" s="7636"/>
      <c r="D67" s="7636"/>
      <c r="E67" s="4672" t="s">
        <v>162</v>
      </c>
      <c r="F67" s="41"/>
      <c r="G67" s="41"/>
      <c r="H67" s="41"/>
      <c r="I67" s="41"/>
      <c r="J67" s="41"/>
      <c r="K67" s="41"/>
      <c r="L67" s="41"/>
      <c r="M67" s="41"/>
      <c r="N67" s="41"/>
      <c r="O67" s="41"/>
      <c r="P67" s="41"/>
      <c r="Q67" s="41"/>
      <c r="R67" s="41"/>
      <c r="S67" s="41"/>
      <c r="T67" s="41"/>
      <c r="U67" s="41"/>
      <c r="V67" s="41"/>
      <c r="W67" s="41"/>
      <c r="X67" s="41"/>
      <c r="Y67" s="41"/>
      <c r="Z67" s="41"/>
      <c r="AA67" s="78"/>
      <c r="AB67" s="7635"/>
      <c r="AC67" s="1145"/>
      <c r="AD67" s="7129" t="s">
        <v>4363</v>
      </c>
      <c r="AE67" s="7129"/>
      <c r="AF67" s="7129"/>
      <c r="AG67" s="7129"/>
      <c r="AH67" s="7129"/>
      <c r="AI67" s="7129"/>
      <c r="AJ67" s="4692"/>
      <c r="AK67" s="3541"/>
      <c r="AL67" s="3541"/>
      <c r="AM67" s="3541"/>
      <c r="AN67" s="3541"/>
      <c r="AO67" s="3541"/>
      <c r="AP67" s="3541"/>
      <c r="AQ67" s="2595"/>
      <c r="AR67" s="2595"/>
      <c r="AS67" s="2595"/>
      <c r="AT67" s="2595"/>
      <c r="AU67" s="2595"/>
      <c r="AV67" s="2595"/>
      <c r="AW67" s="2595"/>
      <c r="AX67" s="2595"/>
      <c r="AY67" s="2595"/>
      <c r="AZ67" s="2595"/>
    </row>
    <row r="68" spans="1:52" ht="14.25" customHeight="1">
      <c r="A68" s="588"/>
      <c r="B68" s="2213" t="s">
        <v>4127</v>
      </c>
      <c r="C68" s="4674"/>
      <c r="D68" s="4674"/>
      <c r="E68" s="4673"/>
      <c r="F68" s="23"/>
      <c r="G68" s="23"/>
      <c r="H68" s="23"/>
      <c r="I68" s="23"/>
      <c r="J68" s="23"/>
      <c r="K68" s="23"/>
      <c r="L68" s="23"/>
      <c r="M68" s="23"/>
      <c r="N68" s="23"/>
      <c r="O68" s="23"/>
      <c r="P68" s="23"/>
      <c r="Q68" s="23"/>
      <c r="R68" s="23"/>
      <c r="S68" s="23"/>
      <c r="T68" s="23"/>
      <c r="U68" s="23"/>
      <c r="V68" s="23"/>
      <c r="W68" s="23"/>
      <c r="X68" s="23"/>
      <c r="Y68" s="23"/>
      <c r="Z68" s="23"/>
      <c r="AA68" s="78"/>
      <c r="AB68" s="431"/>
      <c r="AC68" s="1145"/>
      <c r="AD68" s="7129"/>
      <c r="AE68" s="7129"/>
      <c r="AF68" s="7129"/>
      <c r="AG68" s="7129"/>
      <c r="AH68" s="7129"/>
      <c r="AI68" s="7129"/>
      <c r="AJ68" s="4692"/>
      <c r="AK68" s="3541"/>
      <c r="AL68" s="3541"/>
      <c r="AM68" s="3541"/>
      <c r="AN68" s="3541"/>
      <c r="AO68" s="3541"/>
      <c r="AP68" s="3541"/>
      <c r="AQ68" s="2595"/>
      <c r="AR68" s="2595"/>
      <c r="AS68" s="2595"/>
      <c r="AT68" s="2595"/>
      <c r="AU68" s="2595"/>
      <c r="AV68" s="2595"/>
      <c r="AW68" s="2595"/>
      <c r="AX68" s="2595"/>
      <c r="AY68" s="2595"/>
      <c r="AZ68" s="2595"/>
    </row>
    <row r="69" spans="1:52" s="586" customFormat="1" ht="14.25" customHeight="1">
      <c r="A69" s="588"/>
      <c r="B69" s="2213" t="s">
        <v>4128</v>
      </c>
      <c r="C69" s="4674"/>
      <c r="D69" s="4674"/>
      <c r="E69" s="4673"/>
      <c r="F69" s="23"/>
      <c r="G69" s="23"/>
      <c r="H69" s="23"/>
      <c r="I69" s="23"/>
      <c r="J69" s="23"/>
      <c r="K69" s="23"/>
      <c r="L69" s="23"/>
      <c r="M69" s="23"/>
      <c r="N69" s="23"/>
      <c r="O69" s="23"/>
      <c r="P69" s="23"/>
      <c r="Q69" s="23"/>
      <c r="R69" s="23"/>
      <c r="S69" s="23"/>
      <c r="T69" s="23"/>
      <c r="U69" s="23"/>
      <c r="V69" s="23"/>
      <c r="W69" s="23"/>
      <c r="X69" s="23"/>
      <c r="Y69" s="23"/>
      <c r="Z69" s="23"/>
      <c r="AA69" s="78"/>
      <c r="AB69" s="7637" t="str">
        <f>IF(ChurchEmployee2,"Skip line 1 thru 4b, enter -0- on line 4c, and go to line 5a.","")</f>
        <v/>
      </c>
      <c r="AC69" s="1145"/>
      <c r="AD69" s="7129"/>
      <c r="AE69" s="7129"/>
      <c r="AF69" s="7129"/>
      <c r="AG69" s="7129"/>
      <c r="AH69" s="7129"/>
      <c r="AI69" s="7129"/>
      <c r="AJ69" s="4692"/>
      <c r="AK69" s="3541"/>
      <c r="AL69" s="3541"/>
      <c r="AM69" s="3541"/>
      <c r="AN69" s="3541"/>
      <c r="AO69" s="3541"/>
      <c r="AP69" s="3541"/>
      <c r="AQ69" s="2599"/>
      <c r="AR69" s="2599"/>
      <c r="AS69" s="2599"/>
      <c r="AT69" s="2599"/>
      <c r="AU69" s="2599"/>
      <c r="AV69" s="2599"/>
      <c r="AW69" s="2599"/>
      <c r="AX69" s="2599"/>
      <c r="AY69" s="2599"/>
      <c r="AZ69" s="2599"/>
    </row>
    <row r="70" spans="1:52" ht="11.25" customHeight="1">
      <c r="A70" s="588"/>
      <c r="B70" s="7638" t="s">
        <v>143</v>
      </c>
      <c r="C70" s="7638"/>
      <c r="D70" s="4674"/>
      <c r="E70" s="2213" t="s">
        <v>4152</v>
      </c>
      <c r="F70" s="23"/>
      <c r="G70" s="23"/>
      <c r="H70" s="23"/>
      <c r="I70" s="23"/>
      <c r="J70" s="23"/>
      <c r="K70" s="23"/>
      <c r="L70" s="23"/>
      <c r="M70" s="23"/>
      <c r="N70" s="23"/>
      <c r="O70" s="23"/>
      <c r="P70" s="23"/>
      <c r="Q70" s="23"/>
      <c r="R70" s="23"/>
      <c r="S70" s="23"/>
      <c r="T70" s="23"/>
      <c r="U70" s="23"/>
      <c r="V70" s="23"/>
      <c r="W70" s="23"/>
      <c r="X70" s="23"/>
      <c r="Y70" s="23"/>
      <c r="Z70" s="23"/>
      <c r="AA70" s="78"/>
      <c r="AB70" s="7637"/>
      <c r="AC70" s="1145"/>
      <c r="AD70" s="7129"/>
      <c r="AE70" s="7129"/>
      <c r="AF70" s="7129"/>
      <c r="AG70" s="7129"/>
      <c r="AH70" s="7129"/>
      <c r="AI70" s="7129"/>
      <c r="AJ70" s="4692"/>
      <c r="AK70" s="3541"/>
      <c r="AL70" s="3541"/>
      <c r="AM70" s="3541"/>
      <c r="AN70" s="3541"/>
      <c r="AO70" s="3541"/>
      <c r="AP70" s="3541"/>
      <c r="AQ70" s="2595"/>
      <c r="AR70" s="2595"/>
      <c r="AS70" s="2595"/>
      <c r="AT70" s="2595"/>
      <c r="AU70" s="2595"/>
      <c r="AV70" s="2595"/>
      <c r="AW70" s="2595"/>
      <c r="AX70" s="2595"/>
      <c r="AY70" s="2595"/>
      <c r="AZ70" s="2595"/>
    </row>
    <row r="71" spans="1:52" ht="11.25" customHeight="1">
      <c r="A71" s="588"/>
      <c r="B71" s="4674"/>
      <c r="C71" s="4674"/>
      <c r="D71" s="4674"/>
      <c r="E71" s="2213" t="str">
        <f>TEXT(AJ79,"$0")&amp;" or more of"</f>
        <v>$400 or more of</v>
      </c>
      <c r="F71" s="23"/>
      <c r="G71" s="70" t="s">
        <v>4151</v>
      </c>
      <c r="H71" s="23"/>
      <c r="I71" s="23"/>
      <c r="J71" s="23"/>
      <c r="K71" s="23"/>
      <c r="L71" s="23"/>
      <c r="M71" s="23"/>
      <c r="N71" s="23"/>
      <c r="O71" s="23"/>
      <c r="P71" s="23"/>
      <c r="Q71" s="23"/>
      <c r="R71" s="23"/>
      <c r="S71" s="23"/>
      <c r="T71" s="23"/>
      <c r="U71" s="23"/>
      <c r="V71" s="23"/>
      <c r="W71" s="23"/>
      <c r="X71" s="2725" t="s">
        <v>1930</v>
      </c>
      <c r="Y71" s="4704"/>
      <c r="Z71" s="23"/>
      <c r="AA71" s="78"/>
      <c r="AB71" s="7637"/>
      <c r="AC71" s="1145"/>
      <c r="AD71" s="4692"/>
      <c r="AE71" s="4702" t="b">
        <f>AND(X80=0,ChurchEmployeeIncome2&lt;&gt;"",ChurchEmployeeIncome2&gt;0)</f>
        <v>0</v>
      </c>
      <c r="AF71" s="4692"/>
      <c r="AG71" s="4692"/>
      <c r="AH71" s="4692"/>
      <c r="AI71" s="3541"/>
      <c r="AJ71" s="4692"/>
      <c r="AK71" s="3541"/>
      <c r="AL71" s="3541"/>
      <c r="AM71" s="3541"/>
      <c r="AN71" s="3541"/>
      <c r="AO71" s="3541"/>
      <c r="AP71" s="3541"/>
      <c r="AQ71" s="2595"/>
      <c r="AR71" s="2595"/>
      <c r="AS71" s="2595"/>
      <c r="AT71" s="2595"/>
      <c r="AU71" s="2595"/>
      <c r="AV71" s="2595"/>
      <c r="AW71" s="2595"/>
      <c r="AX71" s="2595"/>
      <c r="AY71" s="2595"/>
      <c r="AZ71" s="2595"/>
    </row>
    <row r="72" spans="1:52" ht="13.5" customHeight="1" thickBot="1">
      <c r="A72" s="588"/>
      <c r="B72" s="2213" t="s">
        <v>4129</v>
      </c>
      <c r="C72" s="4674"/>
      <c r="D72" s="4674"/>
      <c r="E72" s="2213"/>
      <c r="F72" s="23"/>
      <c r="G72" s="23"/>
      <c r="H72" s="23"/>
      <c r="I72" s="23"/>
      <c r="J72" s="23"/>
      <c r="K72" s="23"/>
      <c r="L72" s="23"/>
      <c r="M72" s="23"/>
      <c r="N72" s="23"/>
      <c r="O72" s="23"/>
      <c r="P72" s="23"/>
      <c r="Q72" s="23"/>
      <c r="R72" s="23"/>
      <c r="S72" s="23"/>
      <c r="T72" s="23"/>
      <c r="U72" s="23"/>
      <c r="V72" s="23"/>
      <c r="W72" s="23"/>
      <c r="X72" s="23"/>
      <c r="Y72" s="23"/>
      <c r="Z72" s="23"/>
      <c r="AA72" s="78"/>
      <c r="AB72" s="431"/>
      <c r="AC72" s="431"/>
      <c r="AD72" s="431"/>
      <c r="AE72" s="431"/>
      <c r="AF72" s="431"/>
      <c r="AG72" s="431"/>
      <c r="AH72" s="431"/>
      <c r="AI72" s="431"/>
      <c r="AJ72" s="3542">
        <f>IF(AB74&lt;&gt;"",ROUND(AB74,0),FarmProfitNet)</f>
        <v>0</v>
      </c>
      <c r="AK72" s="3541"/>
      <c r="AL72" s="3541"/>
      <c r="AM72" s="3541"/>
      <c r="AN72" s="3541"/>
      <c r="AO72" s="3541"/>
      <c r="AP72" s="3541"/>
      <c r="AQ72" s="2595"/>
      <c r="AR72" s="2595"/>
      <c r="AS72" s="2595"/>
      <c r="AT72" s="2595"/>
      <c r="AU72" s="2595"/>
      <c r="AV72" s="2595"/>
      <c r="AW72" s="2595"/>
      <c r="AX72" s="2595"/>
      <c r="AY72" s="2595"/>
      <c r="AZ72" s="2595"/>
    </row>
    <row r="73" spans="1:52" ht="13.5" customHeight="1" thickBot="1">
      <c r="A73" s="588"/>
      <c r="B73" s="23"/>
      <c r="C73" s="39" t="s">
        <v>12</v>
      </c>
      <c r="D73" s="70" t="s">
        <v>4809</v>
      </c>
      <c r="E73" s="23"/>
      <c r="F73" s="23"/>
      <c r="G73" s="23"/>
      <c r="H73" s="23"/>
      <c r="I73" s="23"/>
      <c r="J73" s="23"/>
      <c r="K73" s="23"/>
      <c r="L73" s="23"/>
      <c r="M73" s="23"/>
      <c r="N73" s="23"/>
      <c r="O73" s="23"/>
      <c r="P73" s="23"/>
      <c r="Q73" s="23"/>
      <c r="R73" s="23"/>
      <c r="S73" s="23"/>
      <c r="T73" s="23"/>
      <c r="U73" s="23"/>
      <c r="V73" s="23"/>
      <c r="W73" s="429"/>
      <c r="X73" s="7693"/>
      <c r="Y73" s="6636"/>
      <c r="Z73" s="6636"/>
      <c r="AA73" s="78"/>
      <c r="AB73" s="2517"/>
      <c r="AC73" s="431"/>
      <c r="AD73" s="4700" t="s">
        <v>4156</v>
      </c>
      <c r="AE73" s="1501"/>
      <c r="AF73" s="1501"/>
      <c r="AG73" s="4693"/>
      <c r="AH73" s="1502"/>
      <c r="AI73" s="431"/>
      <c r="AJ73" s="1179"/>
      <c r="AK73" s="1179"/>
      <c r="AL73" s="1179"/>
      <c r="AM73" s="1179"/>
      <c r="AN73" s="1179"/>
      <c r="AO73" s="1179"/>
      <c r="AP73" s="1179"/>
      <c r="AQ73" s="2595"/>
      <c r="AR73" s="2595"/>
      <c r="AS73" s="2595"/>
      <c r="AT73" s="2595"/>
      <c r="AU73" s="2595"/>
      <c r="AV73" s="2595"/>
      <c r="AW73" s="2595"/>
      <c r="AX73" s="2595"/>
      <c r="AY73" s="2595"/>
      <c r="AZ73" s="2595"/>
    </row>
    <row r="74" spans="1:52" ht="13.5" customHeight="1" thickBot="1">
      <c r="A74" s="588"/>
      <c r="B74" s="122"/>
      <c r="C74" s="411"/>
      <c r="D74" s="1005" t="s">
        <v>4810</v>
      </c>
      <c r="E74" s="122"/>
      <c r="F74" s="122"/>
      <c r="G74" s="122"/>
      <c r="H74" s="122"/>
      <c r="I74" s="122"/>
      <c r="J74" s="122"/>
      <c r="K74" s="122"/>
      <c r="L74" s="122"/>
      <c r="M74" s="122"/>
      <c r="N74" s="122"/>
      <c r="O74" s="122"/>
      <c r="P74" s="122"/>
      <c r="Q74" s="122"/>
      <c r="R74" s="122"/>
      <c r="S74" s="122"/>
      <c r="T74" s="122"/>
      <c r="U74" s="122"/>
      <c r="V74" s="1355" t="s">
        <v>575</v>
      </c>
      <c r="W74" s="430" t="s">
        <v>12</v>
      </c>
      <c r="X74" s="7679" t="str">
        <f>IF(AB74&lt;&gt;"",ROUND(AB74,0),IF(OR(FarmOptMeth2,AND(NOT(AJ64),NOT(AJ66))),"",IF(AND(AJ64,AJ66),SUM(AN91,ROUND(AH74,0)),IF(AJ64,SUM(AL91,ROUND(AH74,0)),IF(AJ66,SUM(AM91,ROUND(AH74,0)),"")))))</f>
        <v/>
      </c>
      <c r="Y74" s="7680"/>
      <c r="Z74" s="7680"/>
      <c r="AA74" s="655"/>
      <c r="AB74" s="3340"/>
      <c r="AC74" s="431"/>
      <c r="AD74" s="3900" t="s">
        <v>4153</v>
      </c>
      <c r="AE74" s="1509"/>
      <c r="AF74" s="1509"/>
      <c r="AG74" s="1509"/>
      <c r="AH74" s="4056"/>
      <c r="AI74" s="431"/>
      <c r="AJ74" s="1145"/>
      <c r="AK74" s="1179"/>
      <c r="AL74" s="1179"/>
      <c r="AM74" s="1179"/>
      <c r="AN74" s="1179"/>
      <c r="AO74" s="1179"/>
      <c r="AP74" s="1179"/>
      <c r="AQ74" s="2595"/>
      <c r="AR74" s="2595"/>
      <c r="AS74" s="2595"/>
      <c r="AT74" s="2595"/>
      <c r="AU74" s="2595"/>
      <c r="AV74" s="2595"/>
      <c r="AW74" s="2595"/>
      <c r="AX74" s="2595"/>
      <c r="AY74" s="2595"/>
      <c r="AZ74" s="2595"/>
    </row>
    <row r="75" spans="1:52" ht="13.5" customHeight="1" thickBot="1">
      <c r="A75" s="588"/>
      <c r="B75" s="23"/>
      <c r="C75" s="2725" t="s">
        <v>47</v>
      </c>
      <c r="D75" s="56" t="s">
        <v>456</v>
      </c>
      <c r="E75" s="23"/>
      <c r="F75" s="23"/>
      <c r="G75" s="23"/>
      <c r="H75" s="23"/>
      <c r="I75" s="23"/>
      <c r="J75" s="23"/>
      <c r="K75" s="23"/>
      <c r="L75" s="23"/>
      <c r="M75" s="23"/>
      <c r="N75" s="23"/>
      <c r="O75" s="23"/>
      <c r="P75" s="23"/>
      <c r="Q75" s="23"/>
      <c r="R75" s="23"/>
      <c r="S75" s="23"/>
      <c r="T75" s="23"/>
      <c r="U75" s="23"/>
      <c r="V75" s="23"/>
      <c r="W75" s="425"/>
      <c r="X75" s="7678" t="str">
        <f>IF('Sch. F'!Y99="","",'Sch. F'!Y99)</f>
        <v/>
      </c>
      <c r="Y75" s="7467"/>
      <c r="Z75" s="7467"/>
      <c r="AA75" s="78"/>
      <c r="AB75" s="2517"/>
      <c r="AC75" s="431"/>
      <c r="AD75" s="4708" t="s">
        <v>4155</v>
      </c>
      <c r="AE75" s="1687"/>
      <c r="AF75" s="1687"/>
      <c r="AG75" s="1687"/>
      <c r="AH75" s="1687"/>
      <c r="AI75" s="431"/>
      <c r="AJ75" s="1145"/>
      <c r="AK75" s="1179"/>
      <c r="AL75" s="1179"/>
      <c r="AM75" s="1179"/>
      <c r="AN75" s="1179"/>
      <c r="AO75" s="1179"/>
      <c r="AP75" s="1179"/>
      <c r="AQ75" s="2595"/>
      <c r="AR75" s="2595"/>
      <c r="AS75" s="2595"/>
      <c r="AT75" s="2595"/>
      <c r="AU75" s="2595"/>
      <c r="AV75" s="2595"/>
      <c r="AW75" s="2595"/>
      <c r="AX75" s="2595"/>
      <c r="AY75" s="2595"/>
      <c r="AZ75" s="2595"/>
    </row>
    <row r="76" spans="1:52" ht="20.25" customHeight="1" thickBot="1">
      <c r="A76" s="588"/>
      <c r="B76" s="122"/>
      <c r="C76" s="411"/>
      <c r="D76" s="4122" t="s">
        <v>2423</v>
      </c>
      <c r="E76" s="122"/>
      <c r="F76" s="122"/>
      <c r="G76" s="122"/>
      <c r="H76" s="122"/>
      <c r="I76" s="122"/>
      <c r="J76" s="122"/>
      <c r="K76" s="122"/>
      <c r="L76" s="122"/>
      <c r="M76" s="122"/>
      <c r="N76" s="122"/>
      <c r="O76" s="122"/>
      <c r="P76" s="122"/>
      <c r="Q76" s="122"/>
      <c r="R76" s="122"/>
      <c r="S76" s="122"/>
      <c r="T76" s="122"/>
      <c r="U76" s="122"/>
      <c r="V76" s="1355"/>
      <c r="W76" s="430" t="s">
        <v>15</v>
      </c>
      <c r="X76" s="7679" t="str">
        <f>IF(AB76&lt;&gt;"",-ROUND(ABS(AB76),0),IF(OR(FarmOptMeth2,AND(NOT(AJ64),NOT(AJ66))),"",IF(AH76&lt;&gt;"",-ABS(ROUND(AH76,0)),"")))</f>
        <v/>
      </c>
      <c r="Y76" s="7680"/>
      <c r="Z76" s="7680"/>
      <c r="AA76" s="655"/>
      <c r="AB76" s="3340"/>
      <c r="AC76" s="431"/>
      <c r="AD76" s="4701" t="s">
        <v>4350</v>
      </c>
      <c r="AE76" s="1509"/>
      <c r="AF76" s="1509"/>
      <c r="AG76" s="4690"/>
      <c r="AH76" s="4056"/>
      <c r="AI76" s="431"/>
      <c r="AJ76" s="1145" t="b">
        <f>AND(FALSE,OR(AB76&gt;0,AH76&gt;0))</f>
        <v>0</v>
      </c>
      <c r="AK76" s="1179"/>
      <c r="AL76" s="1179"/>
      <c r="AM76" s="1179"/>
      <c r="AN76" s="1179"/>
      <c r="AO76" s="1179"/>
      <c r="AP76" s="1179"/>
      <c r="AQ76" s="2595"/>
      <c r="AR76" s="2595"/>
      <c r="AS76" s="2595"/>
      <c r="AT76" s="2595"/>
      <c r="AU76" s="2595"/>
      <c r="AV76" s="2595"/>
      <c r="AW76" s="2595"/>
      <c r="AX76" s="2595"/>
      <c r="AY76" s="2595"/>
      <c r="AZ76" s="2595"/>
    </row>
    <row r="77" spans="1:52" s="613" customFormat="1" ht="19.5" customHeight="1" thickBot="1">
      <c r="A77" s="636"/>
      <c r="B77" s="2213" t="s">
        <v>4130</v>
      </c>
      <c r="C77" s="4674"/>
      <c r="D77" s="4674"/>
      <c r="E77" s="2213"/>
      <c r="F77" s="122"/>
      <c r="G77" s="122"/>
      <c r="H77" s="122"/>
      <c r="I77" s="122"/>
      <c r="J77" s="122"/>
      <c r="K77" s="122"/>
      <c r="L77" s="122"/>
      <c r="M77" s="122"/>
      <c r="N77" s="122"/>
      <c r="O77" s="122"/>
      <c r="P77" s="122"/>
      <c r="Q77" s="122"/>
      <c r="R77" s="122"/>
      <c r="S77" s="122"/>
      <c r="T77" s="122"/>
      <c r="U77" s="122"/>
      <c r="V77" s="122"/>
      <c r="W77" s="4706"/>
      <c r="X77" s="7694"/>
      <c r="Y77" s="7695"/>
      <c r="Z77" s="7695"/>
      <c r="AA77" s="655"/>
      <c r="AB77" s="7687" t="str">
        <f>IF(AN94,"See NOTE regarding Statutory Employee profit/loss.","")</f>
        <v/>
      </c>
      <c r="AC77" s="431"/>
      <c r="AD77" s="431"/>
      <c r="AE77" s="431"/>
      <c r="AF77" s="431"/>
      <c r="AG77" s="431"/>
      <c r="AH77" s="431"/>
      <c r="AI77" s="437"/>
      <c r="AJ77" s="1692"/>
      <c r="AK77" s="1830"/>
      <c r="AL77" s="1830"/>
      <c r="AM77" s="1830"/>
      <c r="AN77" s="1830"/>
      <c r="AO77" s="1830"/>
      <c r="AP77" s="1830"/>
      <c r="AQ77" s="2602"/>
      <c r="AR77" s="2602"/>
      <c r="AS77" s="2602"/>
      <c r="AT77" s="2602"/>
      <c r="AU77" s="2602"/>
      <c r="AV77" s="2602"/>
      <c r="AW77" s="2602"/>
      <c r="AX77" s="2602"/>
      <c r="AY77" s="2602"/>
      <c r="AZ77" s="2602"/>
    </row>
    <row r="78" spans="1:52" ht="13.5" thickBot="1">
      <c r="A78" s="588"/>
      <c r="B78" s="23"/>
      <c r="C78" s="48">
        <v>2</v>
      </c>
      <c r="D78" s="70" t="s">
        <v>4811</v>
      </c>
      <c r="E78" s="23"/>
      <c r="F78" s="23"/>
      <c r="G78" s="23"/>
      <c r="H78" s="23"/>
      <c r="I78" s="23"/>
      <c r="J78" s="23"/>
      <c r="K78" s="23"/>
      <c r="L78" s="23"/>
      <c r="M78" s="23"/>
      <c r="N78" s="23"/>
      <c r="O78" s="23"/>
      <c r="P78" s="23"/>
      <c r="Q78" s="23"/>
      <c r="R78" s="23"/>
      <c r="S78" s="23"/>
      <c r="T78" s="23"/>
      <c r="U78" s="23"/>
      <c r="V78" s="23"/>
      <c r="W78" s="429"/>
      <c r="X78" s="7676"/>
      <c r="Y78" s="7677"/>
      <c r="Z78" s="7677"/>
      <c r="AA78" s="78"/>
      <c r="AB78" s="7688"/>
      <c r="AC78" s="431"/>
      <c r="AD78" s="4708" t="s">
        <v>4154</v>
      </c>
      <c r="AE78" s="4709"/>
      <c r="AF78" s="4709"/>
      <c r="AG78" s="4709"/>
      <c r="AH78" s="4710"/>
      <c r="AI78" s="437"/>
      <c r="AJ78" s="1145"/>
      <c r="AK78" s="1179" t="b">
        <f>OR(AB74&lt;&gt;"",AB76&lt;&gt;"",AB79&lt;&gt;"",AH74&lt;&gt;"",AH76&lt;&gt;"", AH79&lt;&gt;"",AB80&lt;&gt;"",X110&lt;&gt;"",X116&lt;&gt;"")</f>
        <v>0</v>
      </c>
      <c r="AL78" s="1179"/>
      <c r="AM78" s="1179"/>
      <c r="AN78" s="1179"/>
      <c r="AO78" s="1179"/>
      <c r="AP78" s="1179"/>
      <c r="AQ78" s="2595"/>
      <c r="AR78" s="2595"/>
      <c r="AS78" s="2595"/>
      <c r="AT78" s="2595"/>
      <c r="AU78" s="2595"/>
      <c r="AV78" s="2595"/>
      <c r="AW78" s="2595"/>
      <c r="AX78" s="2595"/>
      <c r="AY78" s="2595"/>
      <c r="AZ78" s="2595"/>
    </row>
    <row r="79" spans="1:52" ht="13.5" thickBot="1">
      <c r="A79" s="588"/>
      <c r="B79" s="23"/>
      <c r="C79" s="48"/>
      <c r="D79" s="1005" t="s">
        <v>4812</v>
      </c>
      <c r="E79" s="23"/>
      <c r="F79" s="23"/>
      <c r="G79" s="23"/>
      <c r="H79" s="23"/>
      <c r="I79" s="23"/>
      <c r="J79" s="23"/>
      <c r="K79" s="23"/>
      <c r="L79" s="23"/>
      <c r="M79" s="23"/>
      <c r="N79" s="23"/>
      <c r="O79" s="23"/>
      <c r="P79" s="23"/>
      <c r="Q79" s="23"/>
      <c r="R79" s="23"/>
      <c r="S79" s="23"/>
      <c r="T79" s="23"/>
      <c r="U79" s="23"/>
      <c r="V79" s="1355" t="s">
        <v>1037</v>
      </c>
      <c r="W79" s="428">
        <v>2</v>
      </c>
      <c r="X79" s="7585" t="str">
        <f>IF(AB79&lt;&gt;"",ROUND(AB79,0),IF(NonFarmOptMeth2,"",IF(AND(AJ64,AJ66),SUM(AN92,ROUND(AH79,0)),IF(AJ64,SUM(AL92,ROUND(AH79,0)),IF(AJ66,SUM(AM92,ROUND(AH79,0)),"")))))</f>
        <v/>
      </c>
      <c r="Y79" s="7586"/>
      <c r="Z79" s="7586"/>
      <c r="AA79" s="78"/>
      <c r="AB79" s="3340"/>
      <c r="AC79" s="4707"/>
      <c r="AD79" s="4701" t="s">
        <v>4157</v>
      </c>
      <c r="AE79" s="1509"/>
      <c r="AF79" s="1509"/>
      <c r="AG79" s="4690"/>
      <c r="AH79" s="4056"/>
      <c r="AI79" s="431"/>
      <c r="AJ79" s="1145">
        <v>400</v>
      </c>
      <c r="AK79" s="3262">
        <f>IF(AB79&lt;&gt;"",ROUND(AB79,0),IF(AND(AH74&lt;&gt;"",SchC_StatutoryEmp_1=""),SUM(ROUND(AH74,0),SchC_ProfitLoss1),IF(AND(AH74&lt;&gt;"",SchC_StatutoryEmp_1=""),SUM(ROUND(AH74,0),SchC_ProfitLoss1),IF(SchC_StatutoryEmp_1="",SchC_ProfitLoss1,0))))</f>
        <v>0</v>
      </c>
      <c r="AL79" s="3262"/>
      <c r="AM79" s="3262"/>
      <c r="AN79" s="3262"/>
      <c r="AO79" s="3262"/>
      <c r="AP79" s="3262"/>
      <c r="AQ79" s="2595"/>
      <c r="AR79" s="2595"/>
      <c r="AS79" s="2595"/>
      <c r="AT79" s="2595"/>
      <c r="AU79" s="2595"/>
      <c r="AV79" s="2595"/>
      <c r="AW79" s="2595"/>
      <c r="AX79" s="2595"/>
      <c r="AY79" s="2595"/>
      <c r="AZ79" s="2595"/>
    </row>
    <row r="80" spans="1:52" ht="13.5" thickBot="1">
      <c r="A80" s="588"/>
      <c r="B80" s="122"/>
      <c r="C80" s="411">
        <v>3</v>
      </c>
      <c r="D80" s="70" t="s">
        <v>627</v>
      </c>
      <c r="E80" s="122"/>
      <c r="F80" s="122"/>
      <c r="G80" s="122"/>
      <c r="H80" s="122"/>
      <c r="I80" s="122"/>
      <c r="J80" s="122"/>
      <c r="K80" s="122"/>
      <c r="L80" s="122"/>
      <c r="M80" s="122"/>
      <c r="N80" s="122"/>
      <c r="O80" s="122"/>
      <c r="P80" s="122"/>
      <c r="Q80" s="122"/>
      <c r="R80" s="122"/>
      <c r="S80" s="122"/>
      <c r="T80" s="122"/>
      <c r="U80" s="122"/>
      <c r="V80" s="1355" t="s">
        <v>1075</v>
      </c>
      <c r="W80" s="430">
        <v>3</v>
      </c>
      <c r="X80" s="7585">
        <f>IF(AB80&lt;&gt;"",ROUND(AB80,0),SUM(X74,X76,X79))</f>
        <v>0</v>
      </c>
      <c r="Y80" s="7586"/>
      <c r="Z80" s="7586"/>
      <c r="AA80" s="655"/>
      <c r="AB80" s="3340"/>
      <c r="AC80" s="431"/>
      <c r="AD80" s="431"/>
      <c r="AE80" s="431"/>
      <c r="AF80" s="431"/>
      <c r="AG80" s="431"/>
      <c r="AH80" s="431"/>
      <c r="AI80" s="4234"/>
      <c r="AJ80" s="1145">
        <v>434</v>
      </c>
      <c r="AK80" s="3542">
        <f>IF(AB82&gt;"",ROUND(AB82,0),ROUND((AK79*AJ81),0))</f>
        <v>0</v>
      </c>
      <c r="AL80" s="3542"/>
      <c r="AM80" s="3542"/>
      <c r="AN80" s="3542"/>
      <c r="AO80" s="3542"/>
      <c r="AP80" s="3542"/>
      <c r="AQ80" s="2595"/>
      <c r="AR80" s="2595"/>
      <c r="AS80" s="2595"/>
      <c r="AT80" s="2595"/>
      <c r="AU80" s="2595"/>
      <c r="AV80" s="2595"/>
      <c r="AW80" s="2595"/>
      <c r="AX80" s="2595"/>
      <c r="AY80" s="2595"/>
      <c r="AZ80" s="2595"/>
    </row>
    <row r="81" spans="1:52" ht="13.5" customHeight="1" thickBot="1">
      <c r="A81" s="588"/>
      <c r="B81" s="23"/>
      <c r="C81" s="1256" t="s">
        <v>116</v>
      </c>
      <c r="D81" s="23" t="str">
        <f>"If line 3 is more than zero, multiply line 3 by "&amp;TEXT(AJ81,"0.00%")&amp;" ("&amp;TEXT(AJ81,"0.0000")&amp;")."</f>
        <v>If line 3 is more than zero, multiply line 3 by 92.35% (0.9235).</v>
      </c>
      <c r="E81" s="38"/>
      <c r="F81" s="23"/>
      <c r="G81" s="23"/>
      <c r="H81" s="23"/>
      <c r="I81" s="70"/>
      <c r="J81" s="23"/>
      <c r="K81" s="23"/>
      <c r="L81" s="23"/>
      <c r="M81" s="23"/>
      <c r="N81" s="70" t="s">
        <v>4131</v>
      </c>
      <c r="O81" s="23"/>
      <c r="P81" s="70"/>
      <c r="Q81" s="23"/>
      <c r="R81" s="23"/>
      <c r="S81" s="23"/>
      <c r="T81" s="23"/>
      <c r="U81" s="23"/>
      <c r="V81" s="23"/>
      <c r="W81" s="53"/>
      <c r="X81" s="7696"/>
      <c r="Y81" s="7697"/>
      <c r="Z81" s="7697"/>
      <c r="AA81" s="78"/>
      <c r="AB81" s="798"/>
      <c r="AC81" s="431"/>
      <c r="AD81" s="7627" t="str">
        <f>IF(AN94,"NOTE: Statutory Employee profit/loss from Sch. C."&amp;CHAR(10)&amp;"has been excluded from Line 2.  See IRS instructions.","")</f>
        <v/>
      </c>
      <c r="AE81" s="7627"/>
      <c r="AF81" s="7627"/>
      <c r="AG81" s="7627"/>
      <c r="AH81" s="7627"/>
      <c r="AI81" s="431"/>
      <c r="AJ81" s="1145">
        <v>0.92349999999999999</v>
      </c>
      <c r="AK81" s="3542">
        <f>IF(AND(X82&lt;AJ79,X76&lt;&gt;""),SUM(X74,X79),0)</f>
        <v>0</v>
      </c>
      <c r="AL81" s="3542"/>
      <c r="AM81" s="3542"/>
      <c r="AN81" s="3542"/>
      <c r="AO81" s="3542"/>
      <c r="AP81" s="3542"/>
      <c r="AQ81" s="2595"/>
      <c r="AR81" s="2595"/>
      <c r="AS81" s="2595"/>
      <c r="AT81" s="2595"/>
      <c r="AU81" s="2595"/>
      <c r="AV81" s="2595"/>
      <c r="AW81" s="2595"/>
      <c r="AX81" s="2595"/>
      <c r="AY81" s="2595"/>
      <c r="AZ81" s="2595"/>
    </row>
    <row r="82" spans="1:52" ht="13.5" thickBot="1">
      <c r="A82" s="588"/>
      <c r="B82" s="24" t="s">
        <v>27</v>
      </c>
      <c r="C82" s="70"/>
      <c r="D82" s="70" t="str">
        <f>"If line 4a is less than "&amp;TEXT(AJ79,"$0")&amp;" due to Conservation Reserve Program payments on line 1b, see instructions"</f>
        <v>If line 4a is less than $400 due to Conservation Reserve Program payments on line 1b, see instructions</v>
      </c>
      <c r="E82" s="38"/>
      <c r="F82" s="70"/>
      <c r="G82" s="23"/>
      <c r="H82" s="23"/>
      <c r="I82" s="23"/>
      <c r="J82" s="23"/>
      <c r="K82" s="23"/>
      <c r="L82" s="23"/>
      <c r="M82" s="23"/>
      <c r="N82" s="23"/>
      <c r="O82" s="23"/>
      <c r="P82" s="23"/>
      <c r="Q82" s="23"/>
      <c r="R82" s="23"/>
      <c r="S82" s="23"/>
      <c r="T82" s="23"/>
      <c r="U82" s="526"/>
      <c r="V82" s="526"/>
      <c r="W82" s="4676" t="s">
        <v>116</v>
      </c>
      <c r="X82" s="7583">
        <f>IF(AB82&lt;&gt;"",ROUND(AB82,0),IF(X80&gt;0,ROUND((X80*AJ81),0),X80))</f>
        <v>0</v>
      </c>
      <c r="Y82" s="7584"/>
      <c r="Z82" s="7584"/>
      <c r="AA82" s="78"/>
      <c r="AB82" s="3340"/>
      <c r="AC82" s="431"/>
      <c r="AD82" s="7627"/>
      <c r="AE82" s="7627"/>
      <c r="AF82" s="7627"/>
      <c r="AG82" s="7627"/>
      <c r="AH82" s="7627"/>
      <c r="AI82" s="431"/>
      <c r="AJ82" s="4688">
        <v>137700</v>
      </c>
      <c r="AK82" s="1145" t="b">
        <f>AND(S87&lt;&gt;"",S87&gt;0)</f>
        <v>0</v>
      </c>
      <c r="AL82" s="1145"/>
      <c r="AM82" s="1145"/>
      <c r="AN82" s="3542"/>
      <c r="AO82" s="3542"/>
      <c r="AP82" s="3542"/>
      <c r="AQ82" s="2595"/>
      <c r="AR82" s="2595"/>
      <c r="AS82" s="2595"/>
      <c r="AT82" s="2595"/>
      <c r="AU82" s="2595"/>
      <c r="AV82" s="2595"/>
      <c r="AW82" s="2595"/>
      <c r="AX82" s="2595"/>
      <c r="AY82" s="2595"/>
      <c r="AZ82" s="2595"/>
    </row>
    <row r="83" spans="1:52">
      <c r="A83" s="588"/>
      <c r="B83" s="23"/>
      <c r="C83" s="40" t="s">
        <v>47</v>
      </c>
      <c r="D83" s="70" t="s">
        <v>124</v>
      </c>
      <c r="E83" s="38"/>
      <c r="F83" s="23"/>
      <c r="G83" s="23"/>
      <c r="H83" s="23"/>
      <c r="I83" s="23"/>
      <c r="J83" s="23"/>
      <c r="K83" s="23"/>
      <c r="L83" s="23"/>
      <c r="M83" s="23"/>
      <c r="N83" s="23"/>
      <c r="O83" s="23"/>
      <c r="P83" s="23"/>
      <c r="Q83" s="23"/>
      <c r="R83" s="23"/>
      <c r="S83" s="23"/>
      <c r="T83" s="23"/>
      <c r="U83" s="526"/>
      <c r="V83" s="526"/>
      <c r="W83" s="4676" t="s">
        <v>99</v>
      </c>
      <c r="X83" s="7583" t="str">
        <f>IF(OR(FarmOptMeth2,NonFarmOptMeth2),SUM(X110,X116),"")</f>
        <v/>
      </c>
      <c r="Y83" s="7584"/>
      <c r="Z83" s="7584"/>
      <c r="AA83" s="78"/>
      <c r="AB83" s="4703" t="str">
        <f>IF(AK83,"IF line 4c is &lt;"&amp;TEXT(AJ79,"$0")&amp;",","")</f>
        <v>IF line 4c is &lt;$400,</v>
      </c>
      <c r="AC83" s="431"/>
      <c r="AD83" s="431"/>
      <c r="AE83" s="431"/>
      <c r="AF83" s="431"/>
      <c r="AG83" s="431"/>
      <c r="AH83" s="431"/>
      <c r="AI83" s="431"/>
      <c r="AJ83" s="1145">
        <v>2.9000000000000001E-2</v>
      </c>
      <c r="AK83" s="3542" t="b">
        <f>AND(NOT(AK82),SUM(X82,X83)&lt;AJ79)</f>
        <v>1</v>
      </c>
      <c r="AL83" s="4689" t="s">
        <v>4465</v>
      </c>
      <c r="AM83" s="3542"/>
      <c r="AN83" s="4689"/>
      <c r="AO83" s="4689"/>
      <c r="AP83" s="4689"/>
      <c r="AQ83" s="2595"/>
      <c r="AR83" s="2595"/>
      <c r="AS83" s="2595"/>
      <c r="AT83" s="2595"/>
      <c r="AU83" s="2595"/>
      <c r="AV83" s="2595"/>
      <c r="AW83" s="2595"/>
      <c r="AX83" s="2595"/>
      <c r="AY83" s="2595"/>
      <c r="AZ83" s="2595"/>
    </row>
    <row r="84" spans="1:52">
      <c r="A84" s="588"/>
      <c r="B84" s="23"/>
      <c r="C84" s="40" t="s">
        <v>48</v>
      </c>
      <c r="D84" s="70" t="str">
        <f>"Combine  lines 4a and 4b. If less than "&amp;TEXT(AJ79,"$0")&amp;","</f>
        <v>Combine  lines 4a and 4b. If less than $400,</v>
      </c>
      <c r="E84" s="38"/>
      <c r="F84" s="23"/>
      <c r="G84" s="23"/>
      <c r="H84" s="23"/>
      <c r="I84" s="23"/>
      <c r="J84" s="23"/>
      <c r="K84" s="70" t="s">
        <v>4149</v>
      </c>
      <c r="L84" s="23"/>
      <c r="M84" s="23"/>
      <c r="N84" s="23"/>
      <c r="O84" s="23"/>
      <c r="P84" s="23"/>
      <c r="Q84" s="23"/>
      <c r="R84" s="23"/>
      <c r="S84" s="23"/>
      <c r="T84" s="23"/>
      <c r="U84" s="526"/>
      <c r="V84" s="526"/>
      <c r="W84" s="436"/>
      <c r="X84" s="7625"/>
      <c r="Y84" s="7626"/>
      <c r="Z84" s="7626"/>
      <c r="AA84" s="78"/>
      <c r="AB84" s="4703" t="str">
        <f>IF(AK83,"STOP you don't owe","")</f>
        <v>STOP you don't owe</v>
      </c>
      <c r="AC84" s="1145"/>
      <c r="AD84" s="1145"/>
      <c r="AE84" s="1145"/>
      <c r="AF84" s="1145"/>
      <c r="AG84" s="1145"/>
      <c r="AH84" s="1145"/>
      <c r="AI84" s="1145"/>
      <c r="AJ84" s="2882">
        <v>16479.599999999999</v>
      </c>
      <c r="AK84" s="4689" t="b">
        <f>AND(ChurchEmployeeInc2,SUM(X82,X83)&lt;AJ79)</f>
        <v>0</v>
      </c>
      <c r="AL84" s="4689" t="s">
        <v>4466</v>
      </c>
      <c r="AM84" s="4689"/>
      <c r="AN84" s="1145"/>
      <c r="AO84" s="1145"/>
      <c r="AP84" s="1145"/>
      <c r="AQ84" s="2595"/>
      <c r="AR84" s="2595"/>
      <c r="AS84" s="2595"/>
      <c r="AT84" s="2595"/>
      <c r="AU84" s="2595"/>
      <c r="AV84" s="2595"/>
      <c r="AW84" s="2595"/>
      <c r="AX84" s="2595"/>
      <c r="AY84" s="2595"/>
      <c r="AZ84" s="2595"/>
    </row>
    <row r="85" spans="1:52">
      <c r="A85" s="588"/>
      <c r="B85" s="23"/>
      <c r="C85" s="48"/>
      <c r="D85" s="70" t="str">
        <f>"less than "&amp;TEXT(AJ79,"$0")&amp;" and you had church employee income, enter -0- and continue"</f>
        <v>less than $400 and you had church employee income, enter -0- and continue</v>
      </c>
      <c r="E85" s="38"/>
      <c r="F85" s="23"/>
      <c r="G85" s="23"/>
      <c r="H85" s="23"/>
      <c r="I85" s="23"/>
      <c r="J85" s="23"/>
      <c r="K85" s="23"/>
      <c r="L85" s="23"/>
      <c r="M85" s="23"/>
      <c r="N85" s="23"/>
      <c r="O85" s="23"/>
      <c r="P85" s="23"/>
      <c r="Q85" s="23"/>
      <c r="R85" s="23"/>
      <c r="S85" s="23"/>
      <c r="T85" s="23"/>
      <c r="U85" s="526"/>
      <c r="V85" s="526"/>
      <c r="W85" s="4676" t="s">
        <v>98</v>
      </c>
      <c r="X85" s="7583">
        <f>IF(AK84,0,SUM(X82,X83))</f>
        <v>0</v>
      </c>
      <c r="Y85" s="7584"/>
      <c r="Z85" s="7584"/>
      <c r="AA85" s="78"/>
      <c r="AB85" s="4703" t="str">
        <f>IF(AK83,"self employment tax.","")</f>
        <v>self employment tax.</v>
      </c>
      <c r="AC85" s="1145"/>
      <c r="AD85" s="1145"/>
      <c r="AE85" s="1145"/>
      <c r="AF85" s="1145"/>
      <c r="AG85" s="1145"/>
      <c r="AH85" s="1145"/>
      <c r="AI85" s="1145"/>
      <c r="AJ85" s="1145">
        <v>0.153</v>
      </c>
      <c r="AK85" s="1145"/>
      <c r="AL85" s="1145"/>
      <c r="AM85" s="1145"/>
      <c r="AN85" s="1145"/>
      <c r="AO85" s="1145"/>
      <c r="AP85" s="1145"/>
      <c r="AQ85" s="2595"/>
      <c r="AR85" s="2595"/>
      <c r="AS85" s="2595"/>
      <c r="AT85" s="2595"/>
      <c r="AU85" s="2595"/>
      <c r="AV85" s="2595"/>
      <c r="AW85" s="2595"/>
      <c r="AX85" s="2595"/>
      <c r="AY85" s="2595"/>
      <c r="AZ85" s="2595"/>
    </row>
    <row r="86" spans="1:52">
      <c r="A86" s="588"/>
      <c r="B86" s="23"/>
      <c r="C86" s="1256" t="s">
        <v>369</v>
      </c>
      <c r="D86" s="70" t="s">
        <v>4150</v>
      </c>
      <c r="E86" s="38"/>
      <c r="F86" s="23"/>
      <c r="G86" s="23"/>
      <c r="H86" s="23"/>
      <c r="I86" s="23"/>
      <c r="J86" s="23"/>
      <c r="K86" s="23"/>
      <c r="L86" s="23" t="s">
        <v>4145</v>
      </c>
      <c r="M86" s="23"/>
      <c r="N86" s="23"/>
      <c r="O86" s="23"/>
      <c r="P86" s="23"/>
      <c r="Q86" s="23"/>
      <c r="R86" s="2155"/>
      <c r="S86" s="23"/>
      <c r="T86" s="23"/>
      <c r="U86" s="526"/>
      <c r="V86" s="526"/>
      <c r="W86" s="436"/>
      <c r="X86" s="7671"/>
      <c r="Y86" s="7672"/>
      <c r="Z86" s="7672"/>
      <c r="AA86" s="78"/>
      <c r="AB86" s="4234"/>
      <c r="AC86" s="1145"/>
      <c r="AD86" s="1145"/>
      <c r="AE86" s="1145"/>
      <c r="AF86" s="1145"/>
      <c r="AG86" s="1145"/>
      <c r="AH86" s="1145"/>
      <c r="AI86" s="1145"/>
      <c r="AJ86" s="1145">
        <v>6.2E-2</v>
      </c>
      <c r="AK86" s="1145"/>
      <c r="AL86" s="1145"/>
      <c r="AM86" s="1145"/>
      <c r="AN86" s="1145"/>
      <c r="AO86" s="1145"/>
      <c r="AP86" s="1145"/>
      <c r="AQ86" s="2595"/>
      <c r="AR86" s="2595"/>
      <c r="AS86" s="2595"/>
      <c r="AT86" s="2595"/>
      <c r="AU86" s="2595"/>
      <c r="AV86" s="2595"/>
      <c r="AW86" s="2595"/>
      <c r="AX86" s="2595"/>
      <c r="AY86" s="2595"/>
      <c r="AZ86" s="2595"/>
    </row>
    <row r="87" spans="1:52">
      <c r="A87" s="588"/>
      <c r="B87" s="23"/>
      <c r="C87" s="48"/>
      <c r="D87" s="70" t="s">
        <v>4132</v>
      </c>
      <c r="E87" s="38"/>
      <c r="F87" s="23"/>
      <c r="G87" s="23"/>
      <c r="H87" s="23"/>
      <c r="I87" s="23"/>
      <c r="J87" s="23"/>
      <c r="K87" s="23"/>
      <c r="L87" s="23"/>
      <c r="M87" s="23"/>
      <c r="N87" s="23"/>
      <c r="O87" s="23"/>
      <c r="P87" s="23"/>
      <c r="Q87" s="23"/>
      <c r="R87" s="2140" t="s">
        <v>369</v>
      </c>
      <c r="S87" s="7590"/>
      <c r="T87" s="7591"/>
      <c r="U87" s="7591"/>
      <c r="V87" s="7592"/>
      <c r="W87" s="436"/>
      <c r="X87" s="7588">
        <f>ROUND(S87,0)</f>
        <v>0</v>
      </c>
      <c r="Y87" s="7589"/>
      <c r="Z87" s="7589"/>
      <c r="AA87" s="78"/>
      <c r="AB87" s="4234"/>
      <c r="AC87" s="1145"/>
      <c r="AD87" s="1145"/>
      <c r="AE87" s="1145"/>
      <c r="AF87" s="1145"/>
      <c r="AG87" s="1145"/>
      <c r="AH87" s="1145"/>
      <c r="AI87" s="1145"/>
      <c r="AJ87" s="1145">
        <v>7.6499999999999999E-2</v>
      </c>
      <c r="AK87" s="1145"/>
      <c r="AL87" s="1145"/>
      <c r="AM87" s="1145"/>
      <c r="AN87" s="1145"/>
      <c r="AO87" s="1145"/>
      <c r="AP87" s="1145"/>
      <c r="AQ87" s="2595"/>
      <c r="AR87" s="2595"/>
      <c r="AS87" s="2595"/>
      <c r="AT87" s="2595"/>
      <c r="AU87" s="2595"/>
      <c r="AV87" s="2595"/>
      <c r="AW87" s="2595"/>
      <c r="AX87" s="2595"/>
      <c r="AY87" s="2595"/>
      <c r="AZ87" s="2595"/>
    </row>
    <row r="88" spans="1:52" ht="13.5" thickBot="1">
      <c r="A88" s="588"/>
      <c r="B88" s="23"/>
      <c r="C88" s="40" t="s">
        <v>47</v>
      </c>
      <c r="D88" s="70" t="str">
        <f>"Multiply line 5a by "&amp;TEXT(S88,"0.00%")&amp;" ("&amp;TEXT(S88,"0.0000")&amp;"). If less than "&amp;TEXT(Q88,"$0")&amp;", enter -0-"</f>
        <v>Multiply line 5a by 92.35% (0.9235). If less than $100, enter -0-</v>
      </c>
      <c r="E88" s="38"/>
      <c r="F88" s="23"/>
      <c r="G88" s="23"/>
      <c r="H88" s="23"/>
      <c r="I88" s="23"/>
      <c r="J88" s="23"/>
      <c r="K88" s="23"/>
      <c r="L88" s="23"/>
      <c r="M88" s="23"/>
      <c r="N88" s="23"/>
      <c r="O88" s="23"/>
      <c r="P88" s="23"/>
      <c r="Q88" s="6834">
        <v>100</v>
      </c>
      <c r="R88" s="6834"/>
      <c r="S88" s="7669">
        <v>0.92349999999999999</v>
      </c>
      <c r="T88" s="7669"/>
      <c r="U88" s="7669"/>
      <c r="V88" s="7670"/>
      <c r="W88" s="4705" t="s">
        <v>370</v>
      </c>
      <c r="X88" s="7599" t="str">
        <f>IF(ChurchEmployeeIncome2="","",IF(ROUND(X87*S88,0)&lt;Q88,0,ROUND(X87*S88,0)))</f>
        <v/>
      </c>
      <c r="Y88" s="7600"/>
      <c r="Z88" s="7600"/>
      <c r="AA88" s="78"/>
      <c r="AB88" s="4234"/>
      <c r="AC88" s="1145"/>
      <c r="AD88" s="1145"/>
      <c r="AE88" s="1145"/>
      <c r="AF88" s="1145"/>
      <c r="AG88" s="1145"/>
      <c r="AH88" s="1145"/>
      <c r="AI88" s="1145"/>
      <c r="AJ88" s="1145"/>
      <c r="AK88" s="4264"/>
      <c r="AL88" s="4711"/>
      <c r="AM88" s="4711"/>
      <c r="AN88" s="4711"/>
      <c r="AO88" s="1145"/>
      <c r="AP88" s="1145"/>
      <c r="AQ88" s="2595"/>
      <c r="AR88" s="2595"/>
      <c r="AS88" s="2595"/>
      <c r="AT88" s="2595"/>
      <c r="AU88" s="2595"/>
      <c r="AV88" s="2595"/>
      <c r="AW88" s="2595"/>
      <c r="AX88" s="2595"/>
      <c r="AY88" s="2595"/>
      <c r="AZ88" s="2595"/>
    </row>
    <row r="89" spans="1:52" ht="12.75" customHeight="1" thickBot="1">
      <c r="A89" s="588"/>
      <c r="B89" s="23"/>
      <c r="C89" s="1256">
        <v>6</v>
      </c>
      <c r="D89" s="70" t="s">
        <v>528</v>
      </c>
      <c r="E89" s="38"/>
      <c r="F89" s="23"/>
      <c r="G89" s="23"/>
      <c r="H89" s="23"/>
      <c r="I89" s="23"/>
      <c r="J89" s="23"/>
      <c r="K89" s="23"/>
      <c r="L89" s="23"/>
      <c r="M89" s="23"/>
      <c r="N89" s="23"/>
      <c r="O89" s="23"/>
      <c r="P89" s="23"/>
      <c r="Q89" s="23"/>
      <c r="R89" s="23"/>
      <c r="S89" s="23"/>
      <c r="T89" s="23"/>
      <c r="U89" s="526"/>
      <c r="V89" s="526"/>
      <c r="W89" s="4676">
        <v>6</v>
      </c>
      <c r="X89" s="7583" t="str">
        <f>IF(AB89&lt;&gt;"",ROUND(AB89,0),IF(AK83,"",SUM(X85,X88)))</f>
        <v/>
      </c>
      <c r="Y89" s="7584"/>
      <c r="Z89" s="7584"/>
      <c r="AA89" s="78"/>
      <c r="AB89" s="3340"/>
      <c r="AC89" s="1145"/>
      <c r="AD89" s="1145"/>
      <c r="AE89" s="1145"/>
      <c r="AF89" s="1145"/>
      <c r="AG89" s="1145"/>
      <c r="AH89" s="1145"/>
      <c r="AI89" s="1145"/>
      <c r="AJ89" s="1686"/>
      <c r="AK89" s="1687"/>
      <c r="AL89" s="4809" t="s">
        <v>1720</v>
      </c>
      <c r="AM89" s="4810" t="s">
        <v>1735</v>
      </c>
      <c r="AN89" s="1687"/>
      <c r="AO89" s="4811"/>
      <c r="AP89" s="1145"/>
      <c r="AQ89" s="2595"/>
      <c r="AR89" s="2595"/>
      <c r="AS89" s="2595"/>
      <c r="AT89" s="2595"/>
      <c r="AU89" s="2595"/>
      <c r="AV89" s="2595"/>
      <c r="AW89" s="2595"/>
      <c r="AX89" s="2595"/>
      <c r="AY89" s="2595"/>
      <c r="AZ89" s="2595"/>
    </row>
    <row r="90" spans="1:52" ht="13.5" customHeight="1" thickBot="1">
      <c r="A90" s="588"/>
      <c r="B90" s="23"/>
      <c r="C90" s="1256">
        <v>7</v>
      </c>
      <c r="D90" s="70" t="s">
        <v>4133</v>
      </c>
      <c r="E90" s="38"/>
      <c r="F90" s="23"/>
      <c r="G90" s="23"/>
      <c r="H90" s="23"/>
      <c r="I90" s="23"/>
      <c r="J90" s="23"/>
      <c r="K90" s="23"/>
      <c r="L90" s="23"/>
      <c r="M90" s="23"/>
      <c r="N90" s="23"/>
      <c r="O90" s="23"/>
      <c r="P90" s="23"/>
      <c r="Q90" s="23"/>
      <c r="R90" s="23"/>
      <c r="S90" s="23"/>
      <c r="T90" s="23"/>
      <c r="U90" s="526"/>
      <c r="V90" s="526"/>
      <c r="W90" s="436"/>
      <c r="X90" s="7698">
        <f>MaxSSTaxEarnings</f>
        <v>142800</v>
      </c>
      <c r="Y90" s="7699"/>
      <c r="Z90" s="7699"/>
      <c r="AA90" s="78"/>
      <c r="AB90" s="4520"/>
      <c r="AC90" s="3282"/>
      <c r="AD90" s="1145"/>
      <c r="AE90" s="1145"/>
      <c r="AG90" s="1145"/>
      <c r="AH90" s="2866"/>
      <c r="AI90" s="2866"/>
      <c r="AJ90" s="4812" t="s">
        <v>4347</v>
      </c>
      <c r="AK90" s="3406" t="s">
        <v>4348</v>
      </c>
      <c r="AL90" s="4787">
        <f>SS_Yours</f>
        <v>1010001</v>
      </c>
      <c r="AM90" s="4787">
        <f>SS_Spouse</f>
        <v>1010002</v>
      </c>
      <c r="AN90" s="2866" t="s">
        <v>4343</v>
      </c>
      <c r="AO90" s="1311"/>
      <c r="AP90" s="2866"/>
      <c r="AQ90" s="2595"/>
      <c r="AR90" s="2595"/>
      <c r="AS90" s="2595"/>
      <c r="AT90" s="2595"/>
      <c r="AU90" s="2595"/>
      <c r="AV90" s="2595"/>
      <c r="AW90" s="2595"/>
      <c r="AX90" s="2595"/>
      <c r="AY90" s="2595"/>
      <c r="AZ90" s="2595"/>
    </row>
    <row r="91" spans="1:52" ht="12" customHeight="1">
      <c r="A91" s="588"/>
      <c r="B91" s="23"/>
      <c r="C91" s="48"/>
      <c r="D91" s="70" t="str">
        <f>"the "&amp;TEXT(AJ86,"0.0%")&amp;" portion of the "&amp;TEXT(AJ87,"0.00%")&amp;" railroad retirement (tier 1) tax for "&amp;TaxYear</f>
        <v>the 6.2% portion of the 7.65% railroad retirement (tier 1) tax for 2021</v>
      </c>
      <c r="E91" s="38"/>
      <c r="F91" s="23"/>
      <c r="G91" s="23"/>
      <c r="H91" s="23"/>
      <c r="I91" s="23"/>
      <c r="J91" s="23"/>
      <c r="K91" s="23"/>
      <c r="L91" s="23"/>
      <c r="M91" s="23"/>
      <c r="N91" s="23"/>
      <c r="O91" s="23"/>
      <c r="P91" s="6834" t="b">
        <f>AND(X89&lt;&gt;"",X89&gt;0,NOT(AJ64),NOT(AJ66))</f>
        <v>0</v>
      </c>
      <c r="Q91" s="6834"/>
      <c r="R91" s="23"/>
      <c r="S91" s="7597" t="str">
        <f>IF(P91,"Identify above","")</f>
        <v/>
      </c>
      <c r="T91" s="7597"/>
      <c r="U91" s="7597"/>
      <c r="V91" s="7598"/>
      <c r="W91" s="4676">
        <v>7</v>
      </c>
      <c r="X91" s="7700"/>
      <c r="Y91" s="7701"/>
      <c r="Z91" s="7701"/>
      <c r="AA91" s="78"/>
      <c r="AB91" s="4520"/>
      <c r="AC91" s="1145"/>
      <c r="AD91" s="1145"/>
      <c r="AE91" s="1145"/>
      <c r="AF91" s="1145"/>
      <c r="AG91" s="1145"/>
      <c r="AH91" s="4711"/>
      <c r="AI91" s="4711"/>
      <c r="AJ91" s="4813" t="s">
        <v>13</v>
      </c>
      <c r="AK91" s="1410" t="s">
        <v>4342</v>
      </c>
      <c r="AL91" s="4795">
        <f>IF(SchF_SSN=SS_Yours,FarmProfitNet,0)</f>
        <v>0</v>
      </c>
      <c r="AM91" s="4796">
        <f>IF(SchF_SSN=SS_Spouse,FarmProfitNet,0)</f>
        <v>0</v>
      </c>
      <c r="AN91" s="4797">
        <f>SUM(AL91,AM91)</f>
        <v>0</v>
      </c>
      <c r="AO91" s="4814"/>
      <c r="AP91" s="4711"/>
      <c r="AQ91" s="2595"/>
      <c r="AR91" s="2595"/>
      <c r="AS91" s="2595"/>
      <c r="AT91" s="2595"/>
      <c r="AU91" s="2595"/>
      <c r="AV91" s="2595"/>
      <c r="AW91" s="2595"/>
      <c r="AX91" s="2595"/>
      <c r="AY91" s="2595"/>
      <c r="AZ91" s="2595"/>
    </row>
    <row r="92" spans="1:52" ht="13.5" customHeight="1">
      <c r="A92" s="588"/>
      <c r="B92" s="23"/>
      <c r="C92" s="1256" t="s">
        <v>34</v>
      </c>
      <c r="D92" s="70" t="s">
        <v>4134</v>
      </c>
      <c r="E92" s="38"/>
      <c r="F92" s="23"/>
      <c r="G92" s="23"/>
      <c r="H92" s="23"/>
      <c r="I92" s="23"/>
      <c r="J92" s="23"/>
      <c r="K92" s="23"/>
      <c r="L92" s="23"/>
      <c r="M92" s="23"/>
      <c r="N92" s="23"/>
      <c r="O92" s="23"/>
      <c r="P92" s="23"/>
      <c r="Q92" s="23"/>
      <c r="R92" s="429"/>
      <c r="S92" s="7673" t="str">
        <f>IF(P91,"for whom this form","")</f>
        <v/>
      </c>
      <c r="T92" s="7674"/>
      <c r="U92" s="7674"/>
      <c r="V92" s="7675"/>
      <c r="W92" s="436"/>
      <c r="X92" s="7671"/>
      <c r="Y92" s="7672"/>
      <c r="Z92" s="7672"/>
      <c r="AA92" s="78"/>
      <c r="AB92" s="7620" t="s">
        <v>4144</v>
      </c>
      <c r="AC92" s="3282"/>
      <c r="AD92" s="1145"/>
      <c r="AE92" s="1145"/>
      <c r="AG92" s="1145"/>
      <c r="AH92" s="4711"/>
      <c r="AI92" s="4711"/>
      <c r="AJ92" s="4813" t="s">
        <v>0</v>
      </c>
      <c r="AK92" s="4264" t="s">
        <v>4362</v>
      </c>
      <c r="AL92" s="4798">
        <f>IF(AND(NOT(AM106),NOT(AM107),'Sch. C'!M7=SS_Yours,'Sch. C'!M121=SS_Yours,'Sch. C'!Y8,'Sch. C'!Y122),AM105,IF(AND(NOT(AM106),'Sch. C'!M7=SS_Yours,'Sch. C'!Y8),AM103,IF(AND(NOT(AM107),'Sch. C'!M121=SS_Yours,'Sch. C'!Y122),AM104,0)))</f>
        <v>0</v>
      </c>
      <c r="AM92" s="4799">
        <f>IF(AND(NOT(AM106),NOT(AM107),'Sch. C'!M7=SS_Spouse,'Sch. C'!M121=SS_Spouse,'Sch. C'!Y8,'Sch. C'!Y122),AM105,IF(AND(NOT(AM106),'Sch. C'!M7=SS_Spouse,'Sch. C'!Y8),AM103,IF(AND(NOT(AM107),'Sch. C'!M121=SS_Spouse,'Sch. C'!Y122),AM104,0)))</f>
        <v>0</v>
      </c>
      <c r="AN92" s="4800">
        <f>SUM(AL92,AM92)</f>
        <v>0</v>
      </c>
      <c r="AO92" s="4814"/>
      <c r="AP92" s="4711"/>
      <c r="AQ92" s="2595"/>
      <c r="AR92" s="2595"/>
      <c r="AS92" s="2595"/>
      <c r="AT92" s="2595"/>
      <c r="AU92" s="2595"/>
      <c r="AV92" s="2595"/>
      <c r="AW92" s="2595"/>
      <c r="AX92" s="2595"/>
      <c r="AY92" s="2595"/>
      <c r="AZ92" s="2595"/>
    </row>
    <row r="93" spans="1:52">
      <c r="A93" s="588"/>
      <c r="B93" s="23"/>
      <c r="C93" s="48"/>
      <c r="D93" s="70" t="str">
        <f>"and railroad retirement (tier 1) compensation. If "&amp;TEXT(X90,"$0,000")&amp;" or more, skip lines"</f>
        <v>and railroad retirement (tier 1) compensation. If $142,800 or more, skip lines</v>
      </c>
      <c r="E93" s="38"/>
      <c r="F93" s="23"/>
      <c r="G93" s="23"/>
      <c r="H93" s="23"/>
      <c r="I93" s="23"/>
      <c r="J93" s="23"/>
      <c r="K93" s="23"/>
      <c r="L93" s="23"/>
      <c r="M93" s="23"/>
      <c r="N93" s="23"/>
      <c r="O93" s="23"/>
      <c r="P93" s="23"/>
      <c r="Q93" s="23"/>
      <c r="R93" s="429"/>
      <c r="S93" s="7622" t="str">
        <f>IF(P91,"is being completed.","")</f>
        <v/>
      </c>
      <c r="T93" s="7623"/>
      <c r="U93" s="7623"/>
      <c r="V93" s="7624"/>
      <c r="W93" s="436"/>
      <c r="X93" s="7625"/>
      <c r="Y93" s="7626"/>
      <c r="Z93" s="7626"/>
      <c r="AA93" s="78"/>
      <c r="AB93" s="7621"/>
      <c r="AC93" s="1145"/>
      <c r="AD93" s="1145"/>
      <c r="AE93" s="1145"/>
      <c r="AF93" s="1145"/>
      <c r="AG93" s="1145"/>
      <c r="AH93" s="4711"/>
      <c r="AI93" s="4711"/>
      <c r="AJ93" s="4813" t="s">
        <v>4349</v>
      </c>
      <c r="AK93" s="1410" t="s">
        <v>4341</v>
      </c>
      <c r="AL93" s="4798">
        <f>ROUND(SUM(SocSecWages_You,SocSecTips_You),0)</f>
        <v>0</v>
      </c>
      <c r="AM93" s="4799">
        <f>ROUND(SUM(SocSecWages_Spouse,SocSecTips_Spouse),0)</f>
        <v>0</v>
      </c>
      <c r="AN93" s="4800">
        <f>SUM(AL93,AM93)</f>
        <v>0</v>
      </c>
      <c r="AO93" s="4814"/>
      <c r="AP93" s="4711"/>
      <c r="AQ93" s="2595"/>
      <c r="AR93" s="2595"/>
      <c r="AS93" s="2595"/>
      <c r="AT93" s="2595"/>
      <c r="AU93" s="2595"/>
      <c r="AV93" s="2595"/>
      <c r="AW93" s="2595"/>
      <c r="AX93" s="2595"/>
      <c r="AY93" s="2595"/>
      <c r="AZ93" s="2595"/>
    </row>
    <row r="94" spans="1:52" ht="13.5" thickBot="1">
      <c r="A94" s="588"/>
      <c r="B94" s="23"/>
      <c r="C94" s="48"/>
      <c r="D94" s="70" t="s">
        <v>4137</v>
      </c>
      <c r="E94" s="38"/>
      <c r="F94" s="23"/>
      <c r="G94" s="23"/>
      <c r="H94" s="23"/>
      <c r="I94" s="23"/>
      <c r="J94" s="23"/>
      <c r="K94" s="23"/>
      <c r="L94" s="23"/>
      <c r="M94" s="23"/>
      <c r="N94" s="23"/>
      <c r="O94" s="23"/>
      <c r="P94" s="23"/>
      <c r="Q94" s="23"/>
      <c r="R94" s="2140" t="s">
        <v>34</v>
      </c>
      <c r="S94" s="7585" t="str">
        <f>IF(AK83,"",IF(AND(AJ64,AJ66),SUM(AN93,X94),IF(AJ64,SUM(AL93,X94),IF(AJ66,SUM(AM93,X94),""))))</f>
        <v/>
      </c>
      <c r="T94" s="7586"/>
      <c r="U94" s="7586"/>
      <c r="V94" s="7587"/>
      <c r="W94" s="436"/>
      <c r="X94" s="7588">
        <f>IF(AB94="",0,ROUND(AB94,0))</f>
        <v>0</v>
      </c>
      <c r="Y94" s="7589"/>
      <c r="Z94" s="7589"/>
      <c r="AA94" s="78"/>
      <c r="AB94" s="527"/>
      <c r="AC94" s="1145"/>
      <c r="AD94" s="1145"/>
      <c r="AE94" s="2243" t="b">
        <f>S94&gt;=X90</f>
        <v>1</v>
      </c>
      <c r="AF94" s="1145"/>
      <c r="AG94" s="1145"/>
      <c r="AH94" s="1145"/>
      <c r="AI94" s="1145"/>
      <c r="AJ94" s="1689"/>
      <c r="AK94" s="1410" t="s">
        <v>4366</v>
      </c>
      <c r="AL94" s="4801" t="b">
        <f>OR(AND(SS_Yours='Sch. C'!M7,AM106),AND(SS_Yours='Sch. C'!M121,AM107))</f>
        <v>0</v>
      </c>
      <c r="AM94" s="4802" t="b">
        <f>OR(AND(SS_Spouse='Sch. C'!M7,AM106),AND(SS_Spouse='Sch. C'!M121,AM107))</f>
        <v>0</v>
      </c>
      <c r="AN94" s="4803" t="b">
        <f>OR(AND(NOT(AND(AJ64,AJ66)),OR(AND(AJ64,AL94),AND(AJ66,AM94))))</f>
        <v>0</v>
      </c>
      <c r="AO94" s="1690"/>
      <c r="AP94" s="1145"/>
      <c r="AQ94" s="2595"/>
      <c r="AR94" s="2595"/>
      <c r="AS94" s="2595"/>
      <c r="AT94" s="2595"/>
      <c r="AU94" s="2595"/>
      <c r="AV94" s="2595"/>
      <c r="AW94" s="2595"/>
      <c r="AX94" s="2595"/>
      <c r="AY94" s="2595"/>
      <c r="AZ94" s="2595"/>
    </row>
    <row r="95" spans="1:52">
      <c r="A95" s="588"/>
      <c r="B95" s="23"/>
      <c r="C95" s="40" t="s">
        <v>47</v>
      </c>
      <c r="D95" s="70" t="s">
        <v>4135</v>
      </c>
      <c r="E95" s="38"/>
      <c r="F95" s="23"/>
      <c r="G95" s="23"/>
      <c r="H95" s="23"/>
      <c r="I95" s="23"/>
      <c r="J95" s="23"/>
      <c r="K95" s="23"/>
      <c r="L95" s="23"/>
      <c r="M95" s="23"/>
      <c r="N95" s="23"/>
      <c r="O95" s="23"/>
      <c r="P95" s="23"/>
      <c r="Q95" s="23"/>
      <c r="R95" s="2140" t="s">
        <v>35</v>
      </c>
      <c r="S95" s="7590"/>
      <c r="T95" s="7591"/>
      <c r="U95" s="7591"/>
      <c r="V95" s="7592"/>
      <c r="W95" s="436"/>
      <c r="X95" s="7588">
        <f>ROUND(S95,0)</f>
        <v>0</v>
      </c>
      <c r="Y95" s="7589"/>
      <c r="Z95" s="7589"/>
      <c r="AA95" s="78"/>
      <c r="AB95" s="4520"/>
      <c r="AC95" s="1145"/>
      <c r="AD95" s="1145"/>
      <c r="AE95" s="1145"/>
      <c r="AF95" s="1145"/>
      <c r="AG95" s="1145"/>
      <c r="AH95" s="1145"/>
      <c r="AI95" s="1145"/>
      <c r="AJ95" s="1693"/>
      <c r="AK95" s="2358"/>
      <c r="AL95" s="2358"/>
      <c r="AM95" s="2358"/>
      <c r="AN95" s="2358"/>
      <c r="AO95" s="1695"/>
      <c r="AP95" s="1145"/>
      <c r="AQ95" s="2595"/>
      <c r="AR95" s="2595"/>
      <c r="AS95" s="2595"/>
      <c r="AT95" s="2595"/>
      <c r="AU95" s="2595"/>
      <c r="AV95" s="2595"/>
      <c r="AW95" s="2595"/>
      <c r="AX95" s="2595"/>
      <c r="AY95" s="2595"/>
      <c r="AZ95" s="2595"/>
    </row>
    <row r="96" spans="1:52" ht="15" customHeight="1" thickBot="1">
      <c r="A96" s="588"/>
      <c r="B96" s="23"/>
      <c r="C96" s="40" t="s">
        <v>48</v>
      </c>
      <c r="D96" s="70" t="s">
        <v>4136</v>
      </c>
      <c r="E96" s="38"/>
      <c r="F96" s="23"/>
      <c r="G96" s="23"/>
      <c r="H96" s="23"/>
      <c r="I96" s="23"/>
      <c r="J96" s="23"/>
      <c r="K96" s="23"/>
      <c r="L96" s="23"/>
      <c r="M96" s="23"/>
      <c r="N96" s="23"/>
      <c r="O96" s="23"/>
      <c r="P96" s="23"/>
      <c r="Q96" s="23"/>
      <c r="R96" s="4679" t="s">
        <v>97</v>
      </c>
      <c r="S96" s="7684"/>
      <c r="T96" s="7685"/>
      <c r="U96" s="7685"/>
      <c r="V96" s="7686"/>
      <c r="W96" s="436"/>
      <c r="X96" s="7588">
        <f>ROUND(S96,0)</f>
        <v>0</v>
      </c>
      <c r="Y96" s="7589"/>
      <c r="Z96" s="7589"/>
      <c r="AA96" s="78"/>
      <c r="AB96" s="4520"/>
      <c r="AC96" s="1145"/>
      <c r="AE96" s="1145"/>
      <c r="AF96" s="1145"/>
      <c r="AG96" s="1145"/>
      <c r="AH96" s="1145"/>
      <c r="AI96" s="1145"/>
      <c r="AJ96" s="1145"/>
      <c r="AK96" s="1145"/>
      <c r="AL96" s="1145"/>
      <c r="AM96" s="1145"/>
      <c r="AN96" s="1145"/>
      <c r="AQ96" s="2595"/>
      <c r="AR96" s="2595"/>
      <c r="AS96" s="2595"/>
      <c r="AT96" s="2595"/>
      <c r="AU96" s="2595"/>
      <c r="AV96" s="2595"/>
      <c r="AW96" s="2595"/>
      <c r="AX96" s="2595"/>
      <c r="AY96" s="2595"/>
      <c r="AZ96" s="2595"/>
    </row>
    <row r="97" spans="1:52" ht="13.5" thickBot="1">
      <c r="A97" s="588"/>
      <c r="B97" s="23"/>
      <c r="C97" s="40" t="s">
        <v>92</v>
      </c>
      <c r="D97" s="70" t="s">
        <v>376</v>
      </c>
      <c r="E97" s="38"/>
      <c r="F97" s="23"/>
      <c r="G97" s="23"/>
      <c r="H97" s="23"/>
      <c r="I97" s="23"/>
      <c r="J97" s="23"/>
      <c r="K97" s="23"/>
      <c r="L97" s="23"/>
      <c r="M97" s="23"/>
      <c r="N97" s="23"/>
      <c r="O97" s="23"/>
      <c r="P97" s="23"/>
      <c r="Q97" s="23"/>
      <c r="R97" s="40"/>
      <c r="S97" s="4677"/>
      <c r="T97" s="4677"/>
      <c r="U97" s="4677"/>
      <c r="V97" s="4677"/>
      <c r="W97" s="4682" t="s">
        <v>377</v>
      </c>
      <c r="X97" s="7599" t="str">
        <f>IF(OR(P91,AK83,AE94),"",SUM(S94,X95,X96))</f>
        <v/>
      </c>
      <c r="Y97" s="7600"/>
      <c r="Z97" s="7600"/>
      <c r="AA97" s="78"/>
      <c r="AB97" s="4520"/>
      <c r="AC97" s="1145"/>
      <c r="AD97" s="1145"/>
      <c r="AE97" s="1145"/>
      <c r="AF97" s="1145"/>
      <c r="AG97" s="1145"/>
      <c r="AH97" s="1145"/>
      <c r="AI97" s="1145"/>
      <c r="AJ97" s="1145"/>
      <c r="AK97" s="1145"/>
      <c r="AL97" s="4789"/>
      <c r="AM97" s="1145"/>
      <c r="AN97" s="1145"/>
      <c r="AO97" s="1145"/>
      <c r="AP97" s="1145"/>
      <c r="AQ97" s="2595"/>
      <c r="AR97" s="2595"/>
      <c r="AS97" s="2595"/>
      <c r="AT97" s="2595"/>
      <c r="AU97" s="2595"/>
      <c r="AV97" s="2595"/>
      <c r="AW97" s="2595"/>
      <c r="AX97" s="2595"/>
      <c r="AY97" s="2595"/>
      <c r="AZ97" s="2595"/>
    </row>
    <row r="98" spans="1:52" ht="12.75" customHeight="1" thickBot="1">
      <c r="A98" s="588"/>
      <c r="B98" s="23"/>
      <c r="C98" s="40">
        <v>9</v>
      </c>
      <c r="D98" s="70" t="s">
        <v>2426</v>
      </c>
      <c r="E98" s="38"/>
      <c r="F98" s="23"/>
      <c r="G98" s="23"/>
      <c r="H98" s="23"/>
      <c r="I98" s="23"/>
      <c r="J98" s="23"/>
      <c r="K98" s="23"/>
      <c r="L98" s="23"/>
      <c r="M98" s="23"/>
      <c r="N98" s="23"/>
      <c r="O98" s="23"/>
      <c r="P98" s="23"/>
      <c r="Q98" s="23"/>
      <c r="R98" s="40"/>
      <c r="S98" s="4677"/>
      <c r="T98" s="7604"/>
      <c r="U98" s="7604"/>
      <c r="V98" s="4677"/>
      <c r="W98" s="4676">
        <v>9</v>
      </c>
      <c r="X98" s="7583" t="str">
        <f>IF(OR(P91,AE94),"",IF(AJ99,0,SUM(X90,-X97)))</f>
        <v/>
      </c>
      <c r="Y98" s="7584"/>
      <c r="Z98" s="7584"/>
      <c r="AA98" s="78"/>
      <c r="AB98" s="4520"/>
      <c r="AC98" s="1145"/>
      <c r="AD98" s="1145"/>
      <c r="AE98" s="1145"/>
      <c r="AF98" s="1145"/>
      <c r="AG98" s="1145"/>
      <c r="AH98" s="1145"/>
      <c r="AI98" s="4691"/>
      <c r="AJ98" s="1145"/>
      <c r="AK98" s="7628" t="s">
        <v>4353</v>
      </c>
      <c r="AL98" s="7629"/>
      <c r="AM98" s="1145"/>
      <c r="AN98" s="1145"/>
      <c r="AO98" s="4691"/>
      <c r="AP98" s="4691"/>
      <c r="AQ98" s="2595"/>
      <c r="AR98" s="2595"/>
      <c r="AS98" s="2595"/>
      <c r="AT98" s="2595"/>
      <c r="AU98" s="2595"/>
      <c r="AV98" s="2595"/>
      <c r="AW98" s="2595"/>
      <c r="AX98" s="2595"/>
      <c r="AY98" s="2595"/>
      <c r="AZ98" s="2595"/>
    </row>
    <row r="99" spans="1:52" ht="14.25" customHeight="1">
      <c r="A99" s="588"/>
      <c r="B99" s="23"/>
      <c r="C99" s="1256">
        <v>10</v>
      </c>
      <c r="D99" s="70" t="s">
        <v>4147</v>
      </c>
      <c r="E99" s="38"/>
      <c r="F99" s="23"/>
      <c r="G99" s="23"/>
      <c r="H99" s="23"/>
      <c r="I99" s="23"/>
      <c r="J99" s="70" t="str">
        <f>TEXT(AE99,"0.0%")&amp;" ("&amp;TEXT(AE99,"0.000")&amp;")"</f>
        <v>12.4% (0.124)</v>
      </c>
      <c r="K99" s="23"/>
      <c r="L99" s="23"/>
      <c r="M99" s="23"/>
      <c r="N99" s="23"/>
      <c r="O99" s="23"/>
      <c r="P99" s="23"/>
      <c r="Q99" s="23"/>
      <c r="R99" s="4683"/>
      <c r="S99" s="4683"/>
      <c r="T99" s="4683"/>
      <c r="U99" s="4680"/>
      <c r="V99" s="4681"/>
      <c r="W99" s="4676">
        <v>10</v>
      </c>
      <c r="X99" s="7583" t="str">
        <f>IF(OR(P91,AK83,AE94),"",ROUND(AJ100*AE99,0))</f>
        <v/>
      </c>
      <c r="Y99" s="7584"/>
      <c r="Z99" s="7584"/>
      <c r="AA99" s="78"/>
      <c r="AB99" s="4520"/>
      <c r="AC99" s="1145"/>
      <c r="AD99" s="1145"/>
      <c r="AE99" s="7612">
        <v>0.124</v>
      </c>
      <c r="AF99" s="7612"/>
      <c r="AG99" s="1145"/>
      <c r="AH99" s="1145"/>
      <c r="AI99" s="4683"/>
      <c r="AJ99" s="4691" t="b">
        <f>IF(X97="",FALSE,SUM(X90,-X97)&lt;=0)</f>
        <v>0</v>
      </c>
      <c r="AK99" s="4807">
        <f>IF(X80="",0,X80)</f>
        <v>0</v>
      </c>
      <c r="AL99" s="4790" t="s">
        <v>4354</v>
      </c>
      <c r="AM99" s="4791" t="s">
        <v>4355</v>
      </c>
      <c r="AN99" s="4792"/>
      <c r="AO99" s="4683"/>
      <c r="AP99" s="4683"/>
      <c r="AQ99" s="2595"/>
      <c r="AR99" s="2595"/>
      <c r="AS99" s="2595"/>
      <c r="AT99" s="2595"/>
      <c r="AU99" s="2595"/>
      <c r="AV99" s="2595"/>
      <c r="AW99" s="2595"/>
      <c r="AX99" s="2595"/>
      <c r="AY99" s="2595"/>
      <c r="AZ99" s="2595"/>
    </row>
    <row r="100" spans="1:52" ht="12.75" customHeight="1" thickBot="1">
      <c r="A100" s="588"/>
      <c r="B100" s="23"/>
      <c r="C100" s="48">
        <v>11</v>
      </c>
      <c r="D100" s="70" t="str">
        <f>"Multiply line 6 by "&amp;TEXT(AC100,"0.0%")&amp;" ("&amp;TEXT(AC100,"0.000")&amp;")"</f>
        <v>Multiply line 6 by 2.9% (0.029)</v>
      </c>
      <c r="E100" s="38"/>
      <c r="F100" s="23"/>
      <c r="G100" s="23"/>
      <c r="H100" s="23"/>
      <c r="I100" s="23"/>
      <c r="J100" s="23"/>
      <c r="K100" s="23"/>
      <c r="L100" s="23"/>
      <c r="M100" s="23"/>
      <c r="N100" s="23"/>
      <c r="O100" s="23"/>
      <c r="P100" s="23"/>
      <c r="Q100" s="23"/>
      <c r="R100" s="40"/>
      <c r="S100" s="4677"/>
      <c r="T100" s="4677"/>
      <c r="U100" s="7581"/>
      <c r="V100" s="7582"/>
      <c r="W100" s="4676">
        <v>11</v>
      </c>
      <c r="X100" s="7583" t="str">
        <f>IF(OR(P91,AK83),"",ROUND(X89*AC100,0))</f>
        <v/>
      </c>
      <c r="Y100" s="7584"/>
      <c r="Z100" s="7584"/>
      <c r="AA100" s="78"/>
      <c r="AB100" s="4520"/>
      <c r="AC100" s="7612">
        <v>2.9000000000000001E-2</v>
      </c>
      <c r="AD100" s="7612"/>
      <c r="AE100" s="4684"/>
      <c r="AF100" s="4684"/>
      <c r="AG100" s="1145"/>
      <c r="AH100" s="1145"/>
      <c r="AI100" s="1145"/>
      <c r="AJ100" s="4816">
        <f>MIN(X89,X98)</f>
        <v>0</v>
      </c>
      <c r="AK100" s="1412"/>
      <c r="AL100" s="4793">
        <f>IF(NOT($AJ64),0,X80)</f>
        <v>0</v>
      </c>
      <c r="AM100" s="4794">
        <f>IF(AND(NOT($AJ64),$AJ66),X80,0)</f>
        <v>0</v>
      </c>
      <c r="AN100" s="4712"/>
      <c r="AO100" s="1145"/>
      <c r="AP100" s="1145"/>
      <c r="AQ100" s="2595"/>
      <c r="AR100" s="2595"/>
      <c r="AS100" s="2595"/>
      <c r="AT100" s="2595"/>
      <c r="AU100" s="2595"/>
      <c r="AV100" s="2595"/>
      <c r="AW100" s="2595"/>
      <c r="AX100" s="2595"/>
      <c r="AY100" s="2595"/>
      <c r="AZ100" s="2595"/>
    </row>
    <row r="101" spans="1:52" ht="14.25" customHeight="1">
      <c r="A101" s="588"/>
      <c r="B101" s="23"/>
      <c r="C101" s="48">
        <v>12</v>
      </c>
      <c r="D101" s="70" t="s">
        <v>4148</v>
      </c>
      <c r="E101" s="38"/>
      <c r="F101" s="23"/>
      <c r="G101" s="23"/>
      <c r="H101" s="23"/>
      <c r="I101" s="23"/>
      <c r="J101" s="23"/>
      <c r="K101" s="23"/>
      <c r="L101" s="23"/>
      <c r="M101" s="23"/>
      <c r="N101" s="23"/>
      <c r="O101" s="23"/>
      <c r="P101" s="23"/>
      <c r="Q101" s="23"/>
      <c r="R101" s="40"/>
      <c r="S101" s="4677"/>
      <c r="T101" s="4677"/>
      <c r="U101" s="4677"/>
      <c r="V101" s="4677"/>
      <c r="W101" s="4676">
        <v>12</v>
      </c>
      <c r="X101" s="7583" t="str">
        <f>IF(OR(P91,AK83),"",SUM(X99,X100))</f>
        <v/>
      </c>
      <c r="Y101" s="7584"/>
      <c r="Z101" s="7584"/>
      <c r="AA101" s="78"/>
      <c r="AB101" s="4520"/>
      <c r="AC101" s="4694"/>
      <c r="AD101" s="4694"/>
      <c r="AE101" s="4684"/>
      <c r="AF101" s="4684"/>
      <c r="AG101" s="1145"/>
      <c r="AH101" s="1145"/>
      <c r="AI101" s="1145"/>
      <c r="AJ101" s="1145"/>
      <c r="AK101" s="1410"/>
      <c r="AL101" s="4689"/>
      <c r="AM101" s="4689"/>
      <c r="AN101" s="4689"/>
      <c r="AO101" s="1145"/>
      <c r="AP101" s="1145"/>
      <c r="AQ101" s="2595"/>
      <c r="AR101" s="2595"/>
      <c r="AS101" s="2595"/>
      <c r="AT101" s="2595"/>
      <c r="AU101" s="2595"/>
      <c r="AV101" s="2595"/>
      <c r="AW101" s="2595"/>
      <c r="AX101" s="2595"/>
      <c r="AY101" s="2595"/>
      <c r="AZ101" s="2595"/>
    </row>
    <row r="102" spans="1:52" ht="13.5" thickBot="1">
      <c r="A102" s="588"/>
      <c r="B102" s="23"/>
      <c r="C102" s="48">
        <v>13</v>
      </c>
      <c r="D102" s="24" t="s">
        <v>804</v>
      </c>
      <c r="E102" s="23"/>
      <c r="F102" s="23"/>
      <c r="G102" s="23"/>
      <c r="H102" s="23"/>
      <c r="I102" s="23"/>
      <c r="J102" s="23"/>
      <c r="K102" s="23"/>
      <c r="L102" s="23"/>
      <c r="M102" s="23"/>
      <c r="N102" s="23"/>
      <c r="O102" s="23"/>
      <c r="P102" s="23"/>
      <c r="Q102" s="23"/>
      <c r="R102" s="23"/>
      <c r="S102" s="23"/>
      <c r="T102" s="23"/>
      <c r="U102" s="7611"/>
      <c r="V102" s="7615"/>
      <c r="W102" s="7601"/>
      <c r="X102" s="6672"/>
      <c r="Y102" s="6672"/>
      <c r="Z102" s="6672"/>
      <c r="AA102" s="78"/>
      <c r="AB102" s="431"/>
      <c r="AC102" s="4694"/>
      <c r="AD102" s="4694"/>
      <c r="AE102" s="4684"/>
      <c r="AF102" s="4684"/>
      <c r="AG102" s="1145"/>
      <c r="AH102" s="1145"/>
      <c r="AI102" s="1145"/>
      <c r="AJ102" s="1145"/>
      <c r="AK102" s="1410"/>
      <c r="AL102" s="4804" t="s">
        <v>4357</v>
      </c>
      <c r="AM102" s="4804" t="s">
        <v>4358</v>
      </c>
      <c r="AN102" s="4804"/>
      <c r="AO102" s="1145"/>
      <c r="AP102" s="1145"/>
      <c r="AQ102" s="2595"/>
      <c r="AR102" s="2595"/>
      <c r="AS102" s="2595"/>
      <c r="AT102" s="2595"/>
      <c r="AU102" s="2595"/>
      <c r="AV102" s="2595"/>
      <c r="AW102" s="2595"/>
      <c r="AX102" s="2595"/>
      <c r="AY102" s="2595"/>
      <c r="AZ102" s="2595"/>
    </row>
    <row r="103" spans="1:52" ht="12.75" customHeight="1" thickBot="1">
      <c r="A103" s="588"/>
      <c r="B103" s="23"/>
      <c r="C103" s="48"/>
      <c r="D103" s="70" t="str">
        <f>"Multiply  line 12  by "&amp;TEXT(U103,"0%")&amp;" ("&amp;TEXT(U103,"0.00")&amp;")."</f>
        <v>Multiply  line 12  by 50% (0.50).</v>
      </c>
      <c r="E103" s="70"/>
      <c r="F103" s="23"/>
      <c r="G103" s="23"/>
      <c r="H103" s="70"/>
      <c r="I103" s="70" t="s">
        <v>4138</v>
      </c>
      <c r="J103" s="23"/>
      <c r="K103" s="23"/>
      <c r="L103" s="23"/>
      <c r="M103" s="24"/>
      <c r="N103" s="23"/>
      <c r="O103" s="2725"/>
      <c r="P103" s="23"/>
      <c r="Q103" s="23"/>
      <c r="R103" s="429"/>
      <c r="S103" s="23"/>
      <c r="T103" s="23"/>
      <c r="U103" s="6834">
        <v>0.5</v>
      </c>
      <c r="V103" s="7616"/>
      <c r="W103" s="78"/>
      <c r="X103" s="78"/>
      <c r="Y103" s="78"/>
      <c r="Z103" s="78"/>
      <c r="AA103" s="78"/>
      <c r="AB103" s="431"/>
      <c r="AC103" s="4694"/>
      <c r="AD103" s="4694"/>
      <c r="AE103" s="4684"/>
      <c r="AF103" s="4684"/>
      <c r="AG103" s="1145"/>
      <c r="AH103" s="1145"/>
      <c r="AI103" s="1145"/>
      <c r="AJ103" s="4786" t="s">
        <v>0</v>
      </c>
      <c r="AK103" s="1410" t="s">
        <v>4351</v>
      </c>
      <c r="AL103" s="4795">
        <f t="shared" ref="AL103:AM107" si="0">AL44</f>
        <v>0</v>
      </c>
      <c r="AM103" s="4797">
        <f t="shared" si="0"/>
        <v>0</v>
      </c>
      <c r="AN103" s="1145"/>
      <c r="AO103" s="1145"/>
      <c r="AP103" s="1145"/>
      <c r="AQ103" s="2595"/>
      <c r="AR103" s="2595"/>
      <c r="AS103" s="2595"/>
      <c r="AT103" s="2595"/>
      <c r="AU103" s="2595"/>
      <c r="AV103" s="2595"/>
      <c r="AW103" s="2595"/>
      <c r="AX103" s="2595"/>
      <c r="AY103" s="2595"/>
      <c r="AZ103" s="2595"/>
    </row>
    <row r="104" spans="1:52" ht="16.5" customHeight="1" thickBot="1">
      <c r="A104" s="588"/>
      <c r="B104" s="36"/>
      <c r="C104" s="433"/>
      <c r="D104" s="4678" t="s">
        <v>4814</v>
      </c>
      <c r="E104" s="933"/>
      <c r="F104" s="933"/>
      <c r="G104" s="36"/>
      <c r="H104" s="36"/>
      <c r="I104" s="36"/>
      <c r="J104" s="36"/>
      <c r="K104" s="36"/>
      <c r="L104" s="36"/>
      <c r="M104" s="36"/>
      <c r="N104" s="36"/>
      <c r="O104" s="4675"/>
      <c r="P104" s="36"/>
      <c r="Q104" s="4675" t="s">
        <v>2425</v>
      </c>
      <c r="R104" s="869">
        <v>13</v>
      </c>
      <c r="S104" s="7617" t="str">
        <f>IF(OR(P91,AK83),"",ROUND(X101*U103,0))</f>
        <v/>
      </c>
      <c r="T104" s="7618"/>
      <c r="U104" s="7618"/>
      <c r="V104" s="7619"/>
      <c r="W104" s="7605"/>
      <c r="X104" s="7606"/>
      <c r="Y104" s="7606"/>
      <c r="Z104" s="7606"/>
      <c r="AA104" s="78"/>
      <c r="AB104" s="3340"/>
      <c r="AC104" s="4694"/>
      <c r="AD104" s="4694"/>
      <c r="AE104" s="4684"/>
      <c r="AF104" s="4684"/>
      <c r="AG104" s="1145"/>
      <c r="AH104" s="1145"/>
      <c r="AI104" s="1145"/>
      <c r="AJ104" s="4786" t="s">
        <v>0</v>
      </c>
      <c r="AK104" s="1410" t="s">
        <v>4352</v>
      </c>
      <c r="AL104" s="4798">
        <f t="shared" si="0"/>
        <v>0</v>
      </c>
      <c r="AM104" s="4800">
        <f t="shared" si="0"/>
        <v>0</v>
      </c>
      <c r="AN104" s="1145"/>
      <c r="AO104" s="1145"/>
      <c r="AP104" s="1145"/>
      <c r="AQ104" s="2595"/>
      <c r="AR104" s="2595"/>
      <c r="AS104" s="2595"/>
      <c r="AT104" s="2595"/>
      <c r="AU104" s="2595"/>
      <c r="AV104" s="2595"/>
      <c r="AW104" s="2595"/>
      <c r="AX104" s="2595"/>
      <c r="AY104" s="2595"/>
      <c r="AZ104" s="2595"/>
    </row>
    <row r="105" spans="1:52" ht="13.5" customHeight="1" thickBot="1">
      <c r="A105" s="588"/>
      <c r="B105" s="1001"/>
      <c r="C105" s="1002" t="s">
        <v>118</v>
      </c>
      <c r="D105" s="1003"/>
      <c r="E105" s="1924" t="s">
        <v>1671</v>
      </c>
      <c r="F105" s="1004"/>
      <c r="G105" s="1004"/>
      <c r="H105" s="1004"/>
      <c r="I105" s="1004"/>
      <c r="J105" s="1004"/>
      <c r="K105" s="1004"/>
      <c r="L105" s="1004"/>
      <c r="M105" s="1004"/>
      <c r="N105" s="1004"/>
      <c r="O105" s="1004"/>
      <c r="P105" s="1004"/>
      <c r="Q105" s="1004"/>
      <c r="R105" s="1004"/>
      <c r="S105" s="1004"/>
      <c r="T105" s="1004"/>
      <c r="U105" s="1004"/>
      <c r="V105" s="1004"/>
      <c r="W105" s="1004"/>
      <c r="X105" s="1004"/>
      <c r="Y105" s="1004"/>
      <c r="Z105" s="1004"/>
      <c r="AA105" s="78"/>
      <c r="AB105" s="431"/>
      <c r="AC105" s="4694"/>
      <c r="AD105" s="4694"/>
      <c r="AE105" s="4684"/>
      <c r="AF105" s="4684"/>
      <c r="AG105" s="1145"/>
      <c r="AH105" s="1145"/>
      <c r="AI105" s="1145"/>
      <c r="AJ105" s="4786" t="s">
        <v>0</v>
      </c>
      <c r="AK105" s="4264" t="s">
        <v>4362</v>
      </c>
      <c r="AL105" s="4805">
        <f t="shared" si="0"/>
        <v>0</v>
      </c>
      <c r="AM105" s="4806">
        <f t="shared" si="0"/>
        <v>0</v>
      </c>
      <c r="AN105" s="4689"/>
      <c r="AO105" s="1145"/>
      <c r="AP105" s="1145"/>
      <c r="AQ105" s="2595"/>
      <c r="AR105" s="2595"/>
      <c r="AS105" s="2595"/>
      <c r="AT105" s="2595"/>
      <c r="AU105" s="2595"/>
      <c r="AV105" s="2595"/>
      <c r="AW105" s="2595"/>
      <c r="AX105" s="2595"/>
      <c r="AY105" s="2595"/>
      <c r="AZ105" s="2595"/>
    </row>
    <row r="106" spans="1:52" ht="14.25">
      <c r="A106" s="588"/>
      <c r="B106" s="38" t="s">
        <v>167</v>
      </c>
      <c r="C106" s="23"/>
      <c r="D106" s="23"/>
      <c r="E106" s="23"/>
      <c r="F106" s="23"/>
      <c r="G106" s="23"/>
      <c r="H106" s="23"/>
      <c r="I106" s="23"/>
      <c r="J106" s="23"/>
      <c r="K106" s="23"/>
      <c r="L106" s="23"/>
      <c r="M106" s="23"/>
      <c r="N106" s="23"/>
      <c r="O106" s="23"/>
      <c r="P106" s="23"/>
      <c r="Q106" s="23"/>
      <c r="R106" s="23"/>
      <c r="S106" s="23"/>
      <c r="T106" s="23"/>
      <c r="U106" s="23"/>
      <c r="V106" s="23"/>
      <c r="W106" s="429"/>
      <c r="X106" s="1337">
        <f>X47</f>
        <v>8820</v>
      </c>
      <c r="Y106" s="23"/>
      <c r="Z106" s="23"/>
      <c r="AA106" s="78"/>
      <c r="AB106" s="431"/>
      <c r="AC106" s="4694"/>
      <c r="AD106" s="4694"/>
      <c r="AE106" s="4684"/>
      <c r="AF106" s="4684"/>
      <c r="AG106" s="1145"/>
      <c r="AH106" s="1145"/>
      <c r="AI106" s="1145"/>
      <c r="AJ106" s="1145"/>
      <c r="AK106" s="1410" t="s">
        <v>4364</v>
      </c>
      <c r="AL106" s="4689" t="b">
        <f t="shared" si="0"/>
        <v>0</v>
      </c>
      <c r="AM106" s="4689" t="b">
        <f t="shared" si="0"/>
        <v>0</v>
      </c>
      <c r="AN106" s="4689"/>
      <c r="AO106" s="1145"/>
      <c r="AP106" s="1145"/>
      <c r="AQ106" s="2595"/>
      <c r="AR106" s="2595"/>
      <c r="AS106" s="2595"/>
      <c r="AT106" s="2595"/>
      <c r="AU106" s="2595"/>
      <c r="AV106" s="2595"/>
      <c r="AW106" s="2595"/>
      <c r="AX106" s="2595"/>
      <c r="AY106" s="2595"/>
      <c r="AZ106" s="2595"/>
    </row>
    <row r="107" spans="1:52" ht="12.75" customHeight="1">
      <c r="A107" s="588"/>
      <c r="B107" s="70" t="str">
        <f>"than "&amp;TEXT(X106,"$0,000")&amp;" or (b) your net farm profits were less than "&amp;TEXT(X107,"$0,000")&amp;"."</f>
        <v>than $8,820 or (b) your net farm profits were less than $6,367.</v>
      </c>
      <c r="C107" s="23"/>
      <c r="D107" s="23"/>
      <c r="E107" s="23"/>
      <c r="F107" s="23"/>
      <c r="G107" s="23"/>
      <c r="H107" s="23"/>
      <c r="I107" s="23"/>
      <c r="J107" s="23"/>
      <c r="K107" s="23"/>
      <c r="L107" s="23"/>
      <c r="M107" s="23"/>
      <c r="N107" s="23"/>
      <c r="O107" s="23"/>
      <c r="P107" s="23"/>
      <c r="Q107" s="23"/>
      <c r="R107" s="23"/>
      <c r="S107" s="23"/>
      <c r="T107" s="23"/>
      <c r="U107" s="23"/>
      <c r="V107" s="23"/>
      <c r="W107" s="429"/>
      <c r="X107" s="1337">
        <f>X48</f>
        <v>6367</v>
      </c>
      <c r="Y107" s="23"/>
      <c r="Z107" s="23"/>
      <c r="AA107" s="78"/>
      <c r="AB107" s="431"/>
      <c r="AC107" s="4694"/>
      <c r="AD107" s="4694"/>
      <c r="AE107" s="4684"/>
      <c r="AF107" s="4684"/>
      <c r="AG107" s="1145"/>
      <c r="AH107" s="1145"/>
      <c r="AI107" s="1145"/>
      <c r="AJ107" s="1145"/>
      <c r="AK107" s="1410" t="s">
        <v>4365</v>
      </c>
      <c r="AL107" s="1145" t="b">
        <f t="shared" si="0"/>
        <v>0</v>
      </c>
      <c r="AM107" s="1145" t="b">
        <f t="shared" si="0"/>
        <v>0</v>
      </c>
      <c r="AN107" s="1145"/>
      <c r="AO107" s="1145"/>
      <c r="AP107" s="1145"/>
      <c r="AQ107" s="2608"/>
      <c r="AR107" s="2595"/>
      <c r="AS107" s="2595"/>
      <c r="AT107" s="2595"/>
      <c r="AU107" s="2595"/>
      <c r="AV107" s="2595"/>
      <c r="AW107" s="2595"/>
      <c r="AX107" s="2595"/>
      <c r="AY107" s="2595"/>
      <c r="AZ107" s="2595"/>
    </row>
    <row r="108" spans="1:52" ht="13.5" customHeight="1">
      <c r="A108" s="588"/>
      <c r="B108" s="23"/>
      <c r="C108" s="48">
        <v>14</v>
      </c>
      <c r="D108" s="23" t="s">
        <v>475</v>
      </c>
      <c r="E108" s="23"/>
      <c r="F108" s="23"/>
      <c r="G108" s="23"/>
      <c r="H108" s="23"/>
      <c r="I108" s="23"/>
      <c r="J108" s="23"/>
      <c r="K108" s="23"/>
      <c r="L108" s="23"/>
      <c r="M108" s="23"/>
      <c r="N108" s="23"/>
      <c r="O108" s="23"/>
      <c r="P108" s="23"/>
      <c r="Q108" s="23"/>
      <c r="R108" s="23"/>
      <c r="S108" s="23"/>
      <c r="T108" s="23"/>
      <c r="U108" s="23"/>
      <c r="V108" s="39" t="s">
        <v>94</v>
      </c>
      <c r="W108" s="339">
        <v>14</v>
      </c>
      <c r="X108" s="7607">
        <f>X49</f>
        <v>5880</v>
      </c>
      <c r="Y108" s="7608"/>
      <c r="Z108" s="7608"/>
      <c r="AA108" s="78"/>
      <c r="AB108" s="4815" t="str">
        <f>IF(X110&gt;X108,"Line 15 cannot","")</f>
        <v/>
      </c>
      <c r="AC108" s="4694"/>
      <c r="AD108" s="4694"/>
      <c r="AE108" s="4684"/>
      <c r="AF108" s="4684"/>
      <c r="AG108" s="1145"/>
      <c r="AH108" s="1145"/>
      <c r="AI108" s="1145"/>
      <c r="AJ108" s="1145"/>
      <c r="AK108" s="1145"/>
      <c r="AL108" s="1145"/>
      <c r="AM108" s="1145"/>
      <c r="AN108" s="1145"/>
      <c r="AO108" s="1145"/>
      <c r="AP108" s="1145"/>
      <c r="AQ108" s="2595"/>
      <c r="AR108" s="2595"/>
      <c r="AS108" s="2595"/>
      <c r="AT108" s="2595"/>
      <c r="AU108" s="2595"/>
      <c r="AV108" s="2595"/>
      <c r="AW108" s="2595"/>
      <c r="AX108" s="2595"/>
      <c r="AY108" s="2595"/>
      <c r="AZ108" s="2595"/>
    </row>
    <row r="109" spans="1:52" ht="13.5" customHeight="1" thickBot="1">
      <c r="A109" s="588"/>
      <c r="B109" s="23"/>
      <c r="C109" s="48">
        <v>15</v>
      </c>
      <c r="D109" s="70" t="s">
        <v>4158</v>
      </c>
      <c r="E109" s="23"/>
      <c r="F109" s="23"/>
      <c r="G109" s="23"/>
      <c r="H109" s="23"/>
      <c r="I109" s="23"/>
      <c r="J109" s="23"/>
      <c r="K109" s="23"/>
      <c r="L109" s="23"/>
      <c r="M109" s="23"/>
      <c r="N109" s="23"/>
      <c r="O109" s="23"/>
      <c r="P109" s="23"/>
      <c r="Q109" s="23"/>
      <c r="R109" s="7611" t="str">
        <f>TEXT(X108,"$0,000")&amp;" "</f>
        <v xml:space="preserve">$5,880 </v>
      </c>
      <c r="S109" s="7611"/>
      <c r="T109" s="50"/>
      <c r="U109" s="70"/>
      <c r="V109" s="1035" t="s">
        <v>4159</v>
      </c>
      <c r="W109" s="429"/>
      <c r="X109" s="1176" t="b">
        <f>AND(X110&lt;&gt;"",X110&gt;0)</f>
        <v>0</v>
      </c>
      <c r="Y109" s="23"/>
      <c r="Z109" s="23"/>
      <c r="AA109" s="78"/>
      <c r="AB109" s="4815" t="str">
        <f>IF(X110&gt;X108,"be more than","")</f>
        <v/>
      </c>
      <c r="AC109" s="4694"/>
      <c r="AD109" s="4694"/>
      <c r="AE109" s="4684"/>
      <c r="AF109" s="4684"/>
      <c r="AG109" s="1145"/>
      <c r="AH109" s="1145"/>
      <c r="AI109" s="1145"/>
      <c r="AJ109" s="1145"/>
      <c r="AK109" s="1410"/>
      <c r="AL109" s="4689"/>
      <c r="AM109" s="1410"/>
      <c r="AN109" s="1145"/>
      <c r="AO109" s="1145"/>
      <c r="AP109" s="1145"/>
      <c r="AQ109" s="2595"/>
      <c r="AR109" s="2595"/>
      <c r="AS109" s="2595"/>
      <c r="AT109" s="2595"/>
      <c r="AU109" s="2595"/>
      <c r="AV109" s="2595"/>
      <c r="AW109" s="2595"/>
      <c r="AX109" s="2595"/>
      <c r="AY109" s="2595"/>
      <c r="AZ109" s="2595"/>
    </row>
    <row r="110" spans="1:52" ht="13.5" customHeight="1">
      <c r="A110" s="588"/>
      <c r="B110" s="41"/>
      <c r="C110" s="41"/>
      <c r="D110" s="4671" t="s">
        <v>4139</v>
      </c>
      <c r="E110" s="41"/>
      <c r="F110" s="41"/>
      <c r="G110" s="41"/>
      <c r="H110" s="41"/>
      <c r="I110" s="41"/>
      <c r="J110" s="41"/>
      <c r="K110" s="41"/>
      <c r="L110" s="41"/>
      <c r="M110" s="41"/>
      <c r="N110" s="41"/>
      <c r="O110" s="41"/>
      <c r="P110" s="41"/>
      <c r="Q110" s="41"/>
      <c r="R110" s="41"/>
      <c r="S110" s="41"/>
      <c r="T110" s="41"/>
      <c r="U110" s="41"/>
      <c r="V110" s="528" t="s">
        <v>428</v>
      </c>
      <c r="W110" s="339">
        <v>15</v>
      </c>
      <c r="X110" s="7609"/>
      <c r="Y110" s="7610"/>
      <c r="Z110" s="7610"/>
      <c r="AA110" s="78"/>
      <c r="AB110" s="4815" t="str">
        <f>IF(X110&gt;X108,"Line 14.","")</f>
        <v/>
      </c>
      <c r="AC110" s="4694"/>
      <c r="AD110" s="4694"/>
      <c r="AE110" s="4684"/>
      <c r="AF110" s="4684"/>
      <c r="AG110" s="1145"/>
      <c r="AH110" s="1145"/>
      <c r="AI110" s="1145"/>
      <c r="AJ110" s="1145"/>
      <c r="AK110" s="4684" t="s">
        <v>4370</v>
      </c>
      <c r="AL110" s="4818" t="str">
        <f>X42</f>
        <v/>
      </c>
      <c r="AM110" s="4691"/>
      <c r="AN110" s="4691"/>
      <c r="AO110" s="1145"/>
      <c r="AP110" s="1145"/>
      <c r="AQ110" s="2595"/>
      <c r="AR110" s="2595"/>
      <c r="AS110" s="2595"/>
      <c r="AT110" s="2595"/>
      <c r="AU110" s="2595"/>
      <c r="AV110" s="2595"/>
      <c r="AW110" s="2595"/>
      <c r="AX110" s="2595"/>
      <c r="AY110" s="2595"/>
      <c r="AZ110" s="2595"/>
    </row>
    <row r="111" spans="1:52" ht="13.5" customHeight="1">
      <c r="A111" s="588"/>
      <c r="B111" s="24" t="s">
        <v>4140</v>
      </c>
      <c r="C111" s="23"/>
      <c r="D111" s="23"/>
      <c r="E111" s="23"/>
      <c r="F111" s="23"/>
      <c r="G111" s="23"/>
      <c r="H111" s="23"/>
      <c r="I111" s="23"/>
      <c r="J111" s="23"/>
      <c r="K111" s="23"/>
      <c r="L111" s="23"/>
      <c r="M111" s="23"/>
      <c r="N111" s="23"/>
      <c r="O111" s="23"/>
      <c r="P111" s="23"/>
      <c r="Q111" s="23"/>
      <c r="R111" s="23"/>
      <c r="S111" s="23"/>
      <c r="T111" s="280" t="str">
        <f>"than "&amp;TEXT(X107,"$0,000")</f>
        <v>than $6,367</v>
      </c>
      <c r="U111" s="280"/>
      <c r="V111" s="3210"/>
      <c r="W111" s="429"/>
      <c r="X111" s="1176">
        <v>0.72189000000000003</v>
      </c>
      <c r="Y111" s="23"/>
      <c r="Z111" s="23"/>
      <c r="AA111" s="78"/>
      <c r="AB111" s="431"/>
      <c r="AC111" s="4694"/>
      <c r="AD111" s="4694"/>
      <c r="AE111" s="4684"/>
      <c r="AF111" s="4684"/>
      <c r="AG111" s="1145"/>
      <c r="AH111" s="1145"/>
      <c r="AI111" s="1145"/>
      <c r="AJ111" s="1145"/>
      <c r="AK111" s="4683" t="s">
        <v>4372</v>
      </c>
      <c r="AL111" s="4683" t="str">
        <f>X101</f>
        <v/>
      </c>
      <c r="AM111" s="4683"/>
      <c r="AN111" s="4683"/>
      <c r="AO111" s="1145"/>
      <c r="AP111" s="1145"/>
      <c r="AQ111" s="2595"/>
      <c r="AR111" s="2595"/>
      <c r="AS111" s="2595"/>
      <c r="AT111" s="2595"/>
      <c r="AU111" s="2595"/>
      <c r="AV111" s="2595"/>
      <c r="AW111" s="2595"/>
      <c r="AX111" s="2595"/>
      <c r="AY111" s="2595"/>
      <c r="AZ111" s="2595"/>
    </row>
    <row r="112" spans="1:52" ht="13.5" customHeight="1" thickBot="1">
      <c r="A112" s="588"/>
      <c r="B112" s="70" t="str">
        <f>"and also less than "&amp;TEXT(X111,"0.000%")&amp;" of  your"</f>
        <v>and also less than 72.189% of  your</v>
      </c>
      <c r="C112" s="23"/>
      <c r="D112" s="23"/>
      <c r="E112" s="23"/>
      <c r="F112" s="23"/>
      <c r="G112" s="23"/>
      <c r="H112" s="70" t="s">
        <v>1969</v>
      </c>
      <c r="I112" s="23"/>
      <c r="J112" s="70"/>
      <c r="K112" s="23"/>
      <c r="L112" s="23"/>
      <c r="M112" s="23"/>
      <c r="N112" s="23"/>
      <c r="O112" s="23"/>
      <c r="P112" s="23"/>
      <c r="Q112" s="23"/>
      <c r="R112" s="23"/>
      <c r="S112" s="23"/>
      <c r="T112" s="23"/>
      <c r="U112" s="23"/>
      <c r="V112" s="23"/>
      <c r="W112" s="429"/>
      <c r="X112" s="1176">
        <v>400</v>
      </c>
      <c r="Y112" s="23"/>
      <c r="Z112" s="23"/>
      <c r="AA112" s="78"/>
      <c r="AB112" s="431"/>
      <c r="AC112" s="4694"/>
      <c r="AD112" s="4694"/>
      <c r="AE112" s="4684"/>
      <c r="AF112" s="4684"/>
      <c r="AG112" s="1145"/>
      <c r="AH112" s="1145"/>
      <c r="AI112" s="1145"/>
      <c r="AJ112" s="1145"/>
      <c r="AK112" s="4684" t="s">
        <v>202</v>
      </c>
      <c r="AL112" s="4819">
        <f>SUM(AL110:AL111)</f>
        <v>0</v>
      </c>
      <c r="AM112" s="4683"/>
      <c r="AN112" s="4683"/>
      <c r="AO112" s="1145"/>
      <c r="AP112" s="1145"/>
      <c r="AQ112" s="2595"/>
      <c r="AR112" s="2595"/>
      <c r="AS112" s="2595"/>
      <c r="AT112" s="2595"/>
      <c r="AU112" s="2595"/>
      <c r="AV112" s="2595"/>
      <c r="AW112" s="2595"/>
      <c r="AX112" s="2595"/>
      <c r="AY112" s="2595"/>
      <c r="AZ112" s="2595"/>
    </row>
    <row r="113" spans="1:52">
      <c r="A113" s="588"/>
      <c r="B113" s="70" t="str">
        <f>"employment of at least "&amp;TEXT(X112,"$0")&amp;" in 2 of the prior 3 years."</f>
        <v>employment of at least $400 in 2 of the prior 3 years.</v>
      </c>
      <c r="C113" s="23"/>
      <c r="D113" s="23"/>
      <c r="E113" s="23"/>
      <c r="F113" s="23"/>
      <c r="G113" s="23"/>
      <c r="H113" s="23"/>
      <c r="I113" s="23"/>
      <c r="J113" s="23"/>
      <c r="K113" s="70" t="s">
        <v>1970</v>
      </c>
      <c r="L113" s="23"/>
      <c r="M113" s="70"/>
      <c r="N113" s="23"/>
      <c r="O113" s="23"/>
      <c r="P113" s="23"/>
      <c r="Q113" s="23"/>
      <c r="R113" s="23"/>
      <c r="S113" s="23"/>
      <c r="T113" s="23"/>
      <c r="U113" s="23"/>
      <c r="V113" s="23"/>
      <c r="W113" s="429"/>
      <c r="X113" s="23"/>
      <c r="Y113" s="23"/>
      <c r="Z113" s="23"/>
      <c r="AA113" s="78"/>
      <c r="AB113" s="431"/>
      <c r="AC113" s="4694"/>
      <c r="AD113" s="4694"/>
      <c r="AE113" s="4684"/>
      <c r="AF113" s="4684"/>
      <c r="AG113" s="1145"/>
      <c r="AH113" s="1145"/>
      <c r="AI113" s="1145"/>
      <c r="AJ113" s="1145"/>
      <c r="AK113" s="4684"/>
      <c r="AL113" s="4683"/>
      <c r="AM113" s="4683"/>
      <c r="AN113" s="4683"/>
      <c r="AO113" s="1145"/>
      <c r="AP113" s="1145"/>
      <c r="AQ113" s="2595"/>
      <c r="AR113" s="2595"/>
      <c r="AS113" s="2595"/>
      <c r="AT113" s="2595"/>
      <c r="AU113" s="2595"/>
      <c r="AV113" s="2595"/>
      <c r="AW113" s="2595"/>
      <c r="AX113" s="2595"/>
      <c r="AY113" s="2595"/>
      <c r="AZ113" s="2595"/>
    </row>
    <row r="114" spans="1:52" ht="13.5" thickBot="1">
      <c r="A114" s="588"/>
      <c r="B114" s="23"/>
      <c r="C114" s="48">
        <v>16</v>
      </c>
      <c r="D114" s="23" t="s">
        <v>96</v>
      </c>
      <c r="E114" s="23"/>
      <c r="F114" s="23"/>
      <c r="G114" s="23"/>
      <c r="H114" s="23"/>
      <c r="I114" s="23"/>
      <c r="J114" s="23"/>
      <c r="K114" s="23"/>
      <c r="L114" s="23"/>
      <c r="M114" s="23"/>
      <c r="N114" s="23"/>
      <c r="O114" s="23"/>
      <c r="P114" s="23"/>
      <c r="Q114" s="23"/>
      <c r="R114" s="23"/>
      <c r="S114" s="23"/>
      <c r="T114" s="23"/>
      <c r="U114" s="23"/>
      <c r="V114" s="529" t="s">
        <v>165</v>
      </c>
      <c r="W114" s="339">
        <v>16</v>
      </c>
      <c r="X114" s="7613" t="str">
        <f>IF(X110="","",IF(X108-X110&lt;0,0,X108-X110))</f>
        <v/>
      </c>
      <c r="Y114" s="7614"/>
      <c r="Z114" s="7614"/>
      <c r="AA114" s="78"/>
      <c r="AB114" s="431"/>
      <c r="AH114" s="1271" t="str">
        <f>IF(Q104="",0,Q104)</f>
        <v>.   .   .   .</v>
      </c>
      <c r="AJ114" s="4263"/>
      <c r="AK114" s="4684"/>
      <c r="AL114" s="4816" t="s">
        <v>5725</v>
      </c>
      <c r="AM114" s="4816" t="s">
        <v>1735</v>
      </c>
      <c r="AN114" s="4816" t="s">
        <v>5726</v>
      </c>
      <c r="AO114" s="1145"/>
      <c r="AP114" s="1145"/>
      <c r="AQ114" s="2595"/>
      <c r="AR114" s="2595"/>
      <c r="AS114" s="2595"/>
      <c r="AT114" s="2595"/>
      <c r="AU114" s="2595"/>
      <c r="AV114" s="2595"/>
      <c r="AW114" s="2595"/>
      <c r="AX114" s="2595"/>
      <c r="AY114" s="2595"/>
      <c r="AZ114" s="2595"/>
    </row>
    <row r="115" spans="1:52" ht="14.25">
      <c r="A115" s="588"/>
      <c r="B115" s="23"/>
      <c r="C115" s="48">
        <v>17</v>
      </c>
      <c r="D115" s="70" t="s">
        <v>4141</v>
      </c>
      <c r="E115" s="23"/>
      <c r="F115" s="23"/>
      <c r="G115" s="23"/>
      <c r="H115" s="23"/>
      <c r="I115" s="23"/>
      <c r="J115" s="23"/>
      <c r="K115" s="23"/>
      <c r="L115" s="23"/>
      <c r="M115" s="23"/>
      <c r="N115" s="23"/>
      <c r="O115" s="23"/>
      <c r="P115" s="23"/>
      <c r="Q115" s="23"/>
      <c r="R115" s="23"/>
      <c r="S115" s="23"/>
      <c r="T115" s="23"/>
      <c r="U115" s="23"/>
      <c r="V115" s="23"/>
      <c r="W115" s="429"/>
      <c r="X115" s="1176" t="b">
        <f>AND(X116&lt;&gt;"",X116&gt;0)</f>
        <v>0</v>
      </c>
      <c r="Y115" s="23"/>
      <c r="Z115" s="23"/>
      <c r="AA115" s="78"/>
      <c r="AB115" s="497" t="str">
        <f>IF($X$57&gt;$X$55,"Line 17 cannot","")</f>
        <v/>
      </c>
      <c r="AC115" s="936"/>
      <c r="AD115" s="936"/>
      <c r="AE115" s="936"/>
      <c r="AF115" s="936"/>
      <c r="AG115" s="936"/>
      <c r="AH115" s="936"/>
      <c r="AJ115" s="4787"/>
      <c r="AK115" s="4684" t="s">
        <v>4371</v>
      </c>
      <c r="AL115" s="4818" t="str">
        <f>IF(AND(AJ5,NOT(AJ7)),S45,0)</f>
        <v/>
      </c>
      <c r="AM115" s="4818">
        <f>IF(AND(NOT(AJ5),AJ7),S45,0)</f>
        <v>0</v>
      </c>
      <c r="AN115" s="4818">
        <f>IF(AND(AJ5,AJ7),S45,0)</f>
        <v>0</v>
      </c>
      <c r="AO115" s="1145"/>
      <c r="AP115" s="1145"/>
      <c r="AQ115" s="2595"/>
      <c r="AR115" s="2595"/>
      <c r="AS115" s="2595"/>
      <c r="AT115" s="2595"/>
      <c r="AU115" s="2595"/>
      <c r="AV115" s="2595"/>
      <c r="AW115" s="2595"/>
      <c r="AX115" s="2595"/>
      <c r="AY115" s="2595"/>
      <c r="AZ115" s="2595"/>
    </row>
    <row r="116" spans="1:52">
      <c r="A116" s="588"/>
      <c r="B116" s="23"/>
      <c r="C116" s="23"/>
      <c r="D116" s="1005" t="s">
        <v>4142</v>
      </c>
      <c r="E116" s="23"/>
      <c r="F116" s="23"/>
      <c r="G116" s="23"/>
      <c r="H116" s="23"/>
      <c r="I116" s="23"/>
      <c r="J116" s="23"/>
      <c r="K116" s="23"/>
      <c r="L116" s="23"/>
      <c r="M116" s="23"/>
      <c r="N116" s="23"/>
      <c r="O116" s="23"/>
      <c r="P116" s="23"/>
      <c r="Q116" s="23"/>
      <c r="R116" s="23"/>
      <c r="S116" s="23"/>
      <c r="T116" s="23"/>
      <c r="U116" s="23"/>
      <c r="V116" s="2725" t="s">
        <v>568</v>
      </c>
      <c r="W116" s="339">
        <v>17</v>
      </c>
      <c r="X116" s="7609"/>
      <c r="Y116" s="7610"/>
      <c r="Z116" s="7610"/>
      <c r="AA116" s="78"/>
      <c r="AB116" s="497" t="str">
        <f>IF($X$57&gt;$X$55,"be more than","")</f>
        <v/>
      </c>
      <c r="AJ116" s="1145"/>
      <c r="AK116" s="4684" t="s">
        <v>4373</v>
      </c>
      <c r="AL116" s="5865">
        <f>IF(AND(AJ64,NOT(AJ66)),S104,0)</f>
        <v>0</v>
      </c>
      <c r="AM116" s="5865">
        <f>IF(AND(NOT(AJ64),AJ66),S104,0)</f>
        <v>0</v>
      </c>
      <c r="AN116" s="5865">
        <f>IF(AND(AJ64,AJ66),S104,0)</f>
        <v>0</v>
      </c>
      <c r="AO116" s="1145"/>
      <c r="AP116" s="1145"/>
      <c r="AQ116" s="2595"/>
      <c r="AR116" s="2595"/>
      <c r="AS116" s="2595"/>
      <c r="AT116" s="2595"/>
      <c r="AU116" s="2595"/>
      <c r="AV116" s="2595"/>
      <c r="AW116" s="2595"/>
      <c r="AX116" s="2595"/>
      <c r="AY116" s="2595"/>
      <c r="AZ116" s="2595"/>
    </row>
    <row r="117" spans="1:52" ht="14.25" customHeight="1" thickBot="1">
      <c r="A117" s="588"/>
      <c r="B117" s="658">
        <v>1</v>
      </c>
      <c r="C117" s="7593" t="s">
        <v>2427</v>
      </c>
      <c r="D117" s="7593"/>
      <c r="E117" s="7593"/>
      <c r="F117" s="7593"/>
      <c r="G117" s="7593"/>
      <c r="H117" s="7593"/>
      <c r="I117" s="7593"/>
      <c r="J117" s="7593"/>
      <c r="K117" s="7593"/>
      <c r="L117" s="7594"/>
      <c r="M117" s="4235">
        <v>3</v>
      </c>
      <c r="N117" s="7603" t="s">
        <v>3504</v>
      </c>
      <c r="O117" s="7603"/>
      <c r="P117" s="7603"/>
      <c r="Q117" s="7603"/>
      <c r="R117" s="7603"/>
      <c r="S117" s="7603"/>
      <c r="T117" s="7603"/>
      <c r="U117" s="7603"/>
      <c r="V117" s="7603"/>
      <c r="W117" s="7603"/>
      <c r="X117" s="7603"/>
      <c r="Y117" s="7603"/>
      <c r="Z117" s="7603"/>
      <c r="AA117" s="78"/>
      <c r="AB117" s="497" t="str">
        <f>IF($X$57&gt;$X$55,"Line 16.","")</f>
        <v/>
      </c>
      <c r="AJ117" s="1145"/>
      <c r="AK117" s="4264" t="s">
        <v>202</v>
      </c>
      <c r="AL117" s="5866">
        <f>SUM(AL115:AL116)</f>
        <v>0</v>
      </c>
      <c r="AM117" s="5866">
        <f>SUM(AM115:AM116)</f>
        <v>0</v>
      </c>
      <c r="AN117" s="5866">
        <f>SUM(AN115:AN116)</f>
        <v>0</v>
      </c>
      <c r="AQ117" s="2595"/>
      <c r="AR117" s="2595"/>
      <c r="AS117" s="2595"/>
      <c r="AT117" s="2595"/>
      <c r="AU117" s="2595"/>
      <c r="AV117" s="2595"/>
      <c r="AW117" s="2595"/>
      <c r="AX117" s="2595"/>
      <c r="AY117" s="2595"/>
      <c r="AZ117" s="2595"/>
    </row>
    <row r="118" spans="1:52" s="936" customFormat="1" ht="25.5" customHeight="1" thickBot="1">
      <c r="A118" s="588"/>
      <c r="B118" s="659">
        <v>2</v>
      </c>
      <c r="C118" s="7595" t="s">
        <v>4813</v>
      </c>
      <c r="D118" s="7595"/>
      <c r="E118" s="7595"/>
      <c r="F118" s="7595"/>
      <c r="G118" s="7595"/>
      <c r="H118" s="7595"/>
      <c r="I118" s="7595"/>
      <c r="J118" s="7595"/>
      <c r="K118" s="7595"/>
      <c r="L118" s="7596"/>
      <c r="M118" s="659">
        <v>4</v>
      </c>
      <c r="N118" s="7602" t="s">
        <v>3505</v>
      </c>
      <c r="O118" s="7602"/>
      <c r="P118" s="7602"/>
      <c r="Q118" s="7602"/>
      <c r="R118" s="7602"/>
      <c r="S118" s="7602"/>
      <c r="T118" s="7602"/>
      <c r="U118" s="7602"/>
      <c r="V118" s="7602"/>
      <c r="W118" s="7602"/>
      <c r="X118" s="7602"/>
      <c r="Y118" s="7602"/>
      <c r="Z118" s="7602"/>
      <c r="AA118" s="78"/>
      <c r="AB118" s="431"/>
      <c r="AC118"/>
      <c r="AD118"/>
      <c r="AE118"/>
      <c r="AF118"/>
      <c r="AG118"/>
      <c r="AH118"/>
      <c r="AI118"/>
      <c r="AJ118" s="1145"/>
      <c r="AK118" s="4264" t="s">
        <v>5686</v>
      </c>
      <c r="AL118" s="5866">
        <f>SUM(SchSE_Deduction_You,SchSE_Deduction_Sp,SchSE_Deduction_Both)</f>
        <v>0</v>
      </c>
      <c r="AM118" s="5842" t="s">
        <v>5687</v>
      </c>
      <c r="AN118" s="4711"/>
      <c r="AO118"/>
      <c r="AP118"/>
      <c r="AQ118" s="2628"/>
      <c r="AR118" s="2628"/>
      <c r="AS118" s="2628"/>
      <c r="AT118" s="2628"/>
      <c r="AU118" s="2628"/>
      <c r="AV118" s="2628"/>
      <c r="AW118" s="2628"/>
      <c r="AX118" s="2628"/>
      <c r="AY118" s="2628"/>
      <c r="AZ118" s="2628"/>
    </row>
    <row r="119" spans="1:52" ht="13.5" thickBot="1">
      <c r="A119" s="3285"/>
      <c r="B119" s="5094" t="s">
        <v>484</v>
      </c>
      <c r="C119" s="5095"/>
      <c r="D119" s="5096"/>
      <c r="E119" s="5096"/>
      <c r="F119" s="5097"/>
      <c r="G119" s="5092"/>
      <c r="H119" s="5093"/>
      <c r="I119" s="5093"/>
      <c r="J119" s="5096"/>
      <c r="K119" s="5093"/>
      <c r="L119" s="5093"/>
      <c r="M119" s="5097"/>
      <c r="N119" s="5092"/>
      <c r="O119" s="5093"/>
      <c r="P119" s="5093"/>
      <c r="Q119" s="5098" t="s">
        <v>4689</v>
      </c>
      <c r="R119" s="5096"/>
      <c r="S119" s="5096"/>
      <c r="T119" s="4783"/>
      <c r="U119" s="4243"/>
      <c r="V119" s="100"/>
      <c r="W119" s="100"/>
      <c r="X119" s="100"/>
      <c r="Y119" s="100"/>
      <c r="Z119" s="1124" t="str">
        <f>"Schedule SE (Form 1040) "&amp;TaxYear</f>
        <v>Schedule SE (Form 1040) 2021</v>
      </c>
      <c r="AA119" s="3284"/>
      <c r="AB119" s="3283"/>
      <c r="AJ119" s="1145"/>
      <c r="AK119" s="4264"/>
      <c r="AL119" s="4711"/>
      <c r="AM119" s="4711"/>
      <c r="AN119" s="4711"/>
      <c r="AQ119" s="2595"/>
      <c r="AR119" s="2595"/>
      <c r="AS119" s="2595"/>
      <c r="AT119" s="2595"/>
      <c r="AU119" s="2595"/>
      <c r="AV119" s="2595"/>
      <c r="AW119" s="2595"/>
      <c r="AX119" s="2595"/>
      <c r="AY119" s="2595"/>
      <c r="AZ119" s="2595"/>
    </row>
    <row r="120" spans="1:52">
      <c r="A120" s="588"/>
      <c r="B120" s="588"/>
      <c r="C120" s="588"/>
      <c r="D120" s="588"/>
      <c r="E120" s="588"/>
      <c r="F120" s="588"/>
      <c r="G120" s="588"/>
      <c r="H120" s="588"/>
      <c r="I120" s="588"/>
      <c r="J120" s="588"/>
      <c r="K120" s="588"/>
      <c r="L120" s="588"/>
      <c r="M120" s="588"/>
      <c r="N120" s="588"/>
      <c r="O120" s="588"/>
      <c r="P120" s="588"/>
      <c r="Q120" s="588"/>
      <c r="R120" s="588"/>
      <c r="S120" s="588"/>
      <c r="T120" s="588"/>
      <c r="U120" s="588"/>
      <c r="V120" s="588"/>
      <c r="W120" s="588"/>
      <c r="X120" s="588"/>
      <c r="Y120" s="588"/>
      <c r="Z120" s="588"/>
      <c r="AA120" s="78"/>
      <c r="AB120" s="431"/>
      <c r="AJ120" s="1145"/>
      <c r="AK120" s="1145"/>
      <c r="AL120" s="1145"/>
      <c r="AM120" s="1145"/>
      <c r="AN120" s="1145"/>
    </row>
    <row r="122" spans="1:52" ht="13.5" thickBot="1"/>
    <row r="123" spans="1:52" ht="26.25" customHeight="1" thickTop="1" thickBot="1">
      <c r="B123" s="350"/>
      <c r="C123" s="350"/>
      <c r="D123" s="350"/>
      <c r="E123" s="350"/>
      <c r="F123" s="7689" t="s">
        <v>397</v>
      </c>
      <c r="G123" s="7690"/>
      <c r="H123" s="7690"/>
      <c r="I123" s="7690"/>
      <c r="J123" s="7691"/>
      <c r="K123" s="7692"/>
      <c r="L123" s="350"/>
      <c r="M123" s="350"/>
      <c r="N123" s="350"/>
      <c r="O123" s="350"/>
      <c r="P123" s="350"/>
      <c r="Q123" s="350"/>
      <c r="R123" s="350"/>
      <c r="S123" s="350"/>
      <c r="T123" s="350"/>
      <c r="U123" s="350"/>
      <c r="V123" s="350"/>
      <c r="W123" s="350"/>
      <c r="X123" s="350"/>
      <c r="Y123" s="350"/>
      <c r="Z123" s="350"/>
      <c r="AA123" s="42"/>
      <c r="AB123" s="350"/>
    </row>
    <row r="124" spans="1:52" ht="14.25" thickTop="1" thickBot="1">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350"/>
      <c r="AB124" s="42"/>
    </row>
    <row r="125" spans="1:52" ht="14.25" thickTop="1" thickBot="1">
      <c r="B125" s="350"/>
      <c r="C125" s="350"/>
      <c r="D125" s="350"/>
      <c r="E125" s="350"/>
      <c r="F125" s="7689" t="s">
        <v>398</v>
      </c>
      <c r="G125" s="7690"/>
      <c r="H125" s="7690"/>
      <c r="I125" s="7690"/>
      <c r="J125" s="7691"/>
      <c r="K125" s="7692"/>
      <c r="L125" s="350"/>
      <c r="M125" s="350"/>
      <c r="N125" s="350"/>
      <c r="O125" s="350"/>
      <c r="P125" s="350"/>
      <c r="Q125" s="350"/>
      <c r="R125" s="350"/>
      <c r="S125" s="350"/>
      <c r="T125" s="350"/>
      <c r="U125" s="350"/>
      <c r="V125" s="350"/>
      <c r="W125" s="350"/>
      <c r="X125" s="350"/>
      <c r="Y125" s="350"/>
      <c r="Z125" s="350"/>
      <c r="AB125" s="350"/>
    </row>
    <row r="126" spans="1:52" ht="13.5" thickTop="1"/>
  </sheetData>
  <sheetProtection algorithmName="SHA-512" hashValue="kdcv5iZJvwROx/HYZTq4I/elUhXQLnpyVWUv8UhokfK0bRMsC9CagVhPWW10CaHiAskm4EKptJBU1U7boCqwMg==" saltValue="TCLnHsGcVKYwsapKKk82jQ==" spinCount="100000" sheet="1" objects="1" scenarios="1"/>
  <mergeCells count="166">
    <mergeCell ref="AB77:AB78"/>
    <mergeCell ref="AD8:AI11"/>
    <mergeCell ref="Q29:R29"/>
    <mergeCell ref="X30:Z30"/>
    <mergeCell ref="S28:V28"/>
    <mergeCell ref="X35:Z35"/>
    <mergeCell ref="B8:D8"/>
    <mergeCell ref="B11:C11"/>
    <mergeCell ref="X25:Z25"/>
    <mergeCell ref="AB7:AB8"/>
    <mergeCell ref="X18:Z18"/>
    <mergeCell ref="AB33:AB34"/>
    <mergeCell ref="X31:Z32"/>
    <mergeCell ref="X22:Z22"/>
    <mergeCell ref="X20:Z20"/>
    <mergeCell ref="X21:Z21"/>
    <mergeCell ref="X26:Z26"/>
    <mergeCell ref="X23:Z23"/>
    <mergeCell ref="X24:Z24"/>
    <mergeCell ref="X28:Z28"/>
    <mergeCell ref="X33:Z33"/>
    <mergeCell ref="X34:Z34"/>
    <mergeCell ref="X29:Z29"/>
    <mergeCell ref="S45:V45"/>
    <mergeCell ref="U43:V43"/>
    <mergeCell ref="U44:V44"/>
    <mergeCell ref="C58:L58"/>
    <mergeCell ref="C59:L59"/>
    <mergeCell ref="AE40:AF40"/>
    <mergeCell ref="AC41:AD41"/>
    <mergeCell ref="X41:Z41"/>
    <mergeCell ref="X42:Z42"/>
    <mergeCell ref="X55:Z55"/>
    <mergeCell ref="X57:Z57"/>
    <mergeCell ref="X40:Z40"/>
    <mergeCell ref="B2:F2"/>
    <mergeCell ref="B3:F3"/>
    <mergeCell ref="W2:Z2"/>
    <mergeCell ref="W6:Z7"/>
    <mergeCell ref="X14:Z14"/>
    <mergeCell ref="W3:Z3"/>
    <mergeCell ref="G5:V5"/>
    <mergeCell ref="G3:V3"/>
    <mergeCell ref="G4:V4"/>
    <mergeCell ref="X4:Z5"/>
    <mergeCell ref="B4:F4"/>
    <mergeCell ref="B5:F5"/>
    <mergeCell ref="Q6:V7"/>
    <mergeCell ref="B6:P6"/>
    <mergeCell ref="B7:P7"/>
    <mergeCell ref="F123:K123"/>
    <mergeCell ref="F125:K125"/>
    <mergeCell ref="X73:Z73"/>
    <mergeCell ref="X74:Z74"/>
    <mergeCell ref="X75:Z75"/>
    <mergeCell ref="X76:Z76"/>
    <mergeCell ref="X77:Z77"/>
    <mergeCell ref="X81:Z81"/>
    <mergeCell ref="X86:Z86"/>
    <mergeCell ref="S87:V87"/>
    <mergeCell ref="X87:Z87"/>
    <mergeCell ref="Q88:R88"/>
    <mergeCell ref="S88:V88"/>
    <mergeCell ref="X92:Z92"/>
    <mergeCell ref="X88:Z88"/>
    <mergeCell ref="X89:Z89"/>
    <mergeCell ref="X90:Z91"/>
    <mergeCell ref="P91:Q91"/>
    <mergeCell ref="X78:Z78"/>
    <mergeCell ref="X79:Z79"/>
    <mergeCell ref="X80:Z80"/>
    <mergeCell ref="S96:V96"/>
    <mergeCell ref="X96:Z96"/>
    <mergeCell ref="S92:V92"/>
    <mergeCell ref="S29:V29"/>
    <mergeCell ref="AK39:AL39"/>
    <mergeCell ref="AD22:AH23"/>
    <mergeCell ref="AG5:AG7"/>
    <mergeCell ref="AC3:AE4"/>
    <mergeCell ref="AB10:AB12"/>
    <mergeCell ref="X27:Z27"/>
    <mergeCell ref="S32:V32"/>
    <mergeCell ref="S33:V33"/>
    <mergeCell ref="X19:Z19"/>
    <mergeCell ref="X16:Z16"/>
    <mergeCell ref="X17:Z17"/>
    <mergeCell ref="X15:Z15"/>
    <mergeCell ref="S34:V34"/>
    <mergeCell ref="S27:V27"/>
    <mergeCell ref="S35:V35"/>
    <mergeCell ref="S36:V36"/>
    <mergeCell ref="S37:V37"/>
    <mergeCell ref="X38:Z38"/>
    <mergeCell ref="X39:Z39"/>
    <mergeCell ref="AB18:AB19"/>
    <mergeCell ref="AC62:AE63"/>
    <mergeCell ref="B63:F63"/>
    <mergeCell ref="G63:V63"/>
    <mergeCell ref="X63:Z64"/>
    <mergeCell ref="B64:F64"/>
    <mergeCell ref="G64:V64"/>
    <mergeCell ref="B61:F61"/>
    <mergeCell ref="W61:Z61"/>
    <mergeCell ref="B62:F62"/>
    <mergeCell ref="G62:V62"/>
    <mergeCell ref="W62:Z62"/>
    <mergeCell ref="AG64:AG66"/>
    <mergeCell ref="W65:Z66"/>
    <mergeCell ref="AB66:AB67"/>
    <mergeCell ref="B67:D67"/>
    <mergeCell ref="AD67:AI70"/>
    <mergeCell ref="AB69:AB71"/>
    <mergeCell ref="B70:C70"/>
    <mergeCell ref="Q65:V66"/>
    <mergeCell ref="B66:P66"/>
    <mergeCell ref="B65:P65"/>
    <mergeCell ref="AB92:AB93"/>
    <mergeCell ref="S93:V93"/>
    <mergeCell ref="X93:Z93"/>
    <mergeCell ref="AD81:AH82"/>
    <mergeCell ref="X82:Z82"/>
    <mergeCell ref="X83:Z83"/>
    <mergeCell ref="X84:Z84"/>
    <mergeCell ref="X85:Z85"/>
    <mergeCell ref="AK98:AL98"/>
    <mergeCell ref="T98:U98"/>
    <mergeCell ref="X98:Z98"/>
    <mergeCell ref="AE99:AF99"/>
    <mergeCell ref="X114:Z114"/>
    <mergeCell ref="X116:Z116"/>
    <mergeCell ref="X101:Z101"/>
    <mergeCell ref="U102:V102"/>
    <mergeCell ref="W102:Z102"/>
    <mergeCell ref="N117:Z117"/>
    <mergeCell ref="N118:Z118"/>
    <mergeCell ref="U103:V103"/>
    <mergeCell ref="S104:V104"/>
    <mergeCell ref="W104:Z104"/>
    <mergeCell ref="X108:Z108"/>
    <mergeCell ref="X110:Z110"/>
    <mergeCell ref="AC100:AD100"/>
    <mergeCell ref="R109:S109"/>
    <mergeCell ref="B1:F1"/>
    <mergeCell ref="U100:V100"/>
    <mergeCell ref="X100:Z100"/>
    <mergeCell ref="S94:V94"/>
    <mergeCell ref="X94:Z94"/>
    <mergeCell ref="S95:V95"/>
    <mergeCell ref="X95:Z95"/>
    <mergeCell ref="C117:L117"/>
    <mergeCell ref="C118:L118"/>
    <mergeCell ref="S91:V91"/>
    <mergeCell ref="X97:Z97"/>
    <mergeCell ref="X99:Z99"/>
    <mergeCell ref="P32:Q32"/>
    <mergeCell ref="X36:Z36"/>
    <mergeCell ref="W43:Z43"/>
    <mergeCell ref="N59:Z59"/>
    <mergeCell ref="N58:Z58"/>
    <mergeCell ref="X37:Z37"/>
    <mergeCell ref="U41:V41"/>
    <mergeCell ref="T39:U39"/>
    <mergeCell ref="W45:Z45"/>
    <mergeCell ref="X49:Z49"/>
    <mergeCell ref="X51:Z51"/>
    <mergeCell ref="R50:S50"/>
  </mergeCells>
  <phoneticPr fontId="14" type="noConversion"/>
  <conditionalFormatting sqref="B7">
    <cfRule type="expression" dxfId="1722" priority="200">
      <formula>NoColor</formula>
    </cfRule>
  </conditionalFormatting>
  <conditionalFormatting sqref="B66">
    <cfRule type="expression" dxfId="1721" priority="63">
      <formula>NoColor</formula>
    </cfRule>
  </conditionalFormatting>
  <conditionalFormatting sqref="B23:C23">
    <cfRule type="expression" dxfId="1720" priority="196" stopIfTrue="1">
      <formula>IF(AND(#REF!&lt;&gt;"",OR($X$17="",$X$17=0),$X$23&lt;$X$22),1,0)</formula>
    </cfRule>
  </conditionalFormatting>
  <conditionalFormatting sqref="B82:C82">
    <cfRule type="expression" dxfId="1719" priority="61" stopIfTrue="1">
      <formula>IF(AND(#REF!&lt;&gt;"",OR($X$17="",$X$17=0),$X$23&lt;$X$22),1,0)</formula>
    </cfRule>
  </conditionalFormatting>
  <conditionalFormatting sqref="D27">
    <cfRule type="expression" dxfId="1718" priority="184">
      <formula>AND(ChurchEmployee,ChurchEmployeeIncome="")</formula>
    </cfRule>
  </conditionalFormatting>
  <conditionalFormatting sqref="D86">
    <cfRule type="expression" dxfId="1717" priority="54">
      <formula>AND(ChurchEmployee,ChurchEmployeeIncome="")</formula>
    </cfRule>
  </conditionalFormatting>
  <conditionalFormatting sqref="G2">
    <cfRule type="expression" dxfId="1716" priority="419">
      <formula>NOT(Draft)</formula>
    </cfRule>
  </conditionalFormatting>
  <conditionalFormatting sqref="G61">
    <cfRule type="expression" dxfId="1715" priority="103">
      <formula>NOT(Draft)</formula>
    </cfRule>
  </conditionalFormatting>
  <conditionalFormatting sqref="I22">
    <cfRule type="expression" dxfId="1714" priority="488" stopIfTrue="1">
      <formula>IF(AND(#REF!&lt;&gt;"",OR($X$17="",$X$17=0),$X$23&lt;$X$22),1,0)</formula>
    </cfRule>
  </conditionalFormatting>
  <conditionalFormatting sqref="I81">
    <cfRule type="expression" dxfId="1713" priority="110" stopIfTrue="1">
      <formula>IF(AND(#REF!&lt;&gt;"",OR($X$17="",$X$17=0),$X$23&lt;$X$22),1,0)</formula>
    </cfRule>
  </conditionalFormatting>
  <conditionalFormatting sqref="Q6">
    <cfRule type="expression" dxfId="1712" priority="32">
      <formula>$AJ$6</formula>
    </cfRule>
  </conditionalFormatting>
  <conditionalFormatting sqref="Q65">
    <cfRule type="expression" dxfId="1711" priority="31">
      <formula>$AJ$6</formula>
    </cfRule>
  </conditionalFormatting>
  <conditionalFormatting sqref="S28">
    <cfRule type="expression" dxfId="1710" priority="238">
      <formula>IF(NoColor,1,0)</formula>
    </cfRule>
  </conditionalFormatting>
  <conditionalFormatting sqref="S35:S37">
    <cfRule type="expression" dxfId="1709" priority="230">
      <formula>IF(NoColor,1,0)</formula>
    </cfRule>
  </conditionalFormatting>
  <conditionalFormatting sqref="S45">
    <cfRule type="expression" dxfId="1708" priority="474">
      <formula>IF(NoColor,1,0)</formula>
    </cfRule>
  </conditionalFormatting>
  <conditionalFormatting sqref="S87">
    <cfRule type="expression" dxfId="1707" priority="94">
      <formula>IF(NoColor,1,0)</formula>
    </cfRule>
  </conditionalFormatting>
  <conditionalFormatting sqref="S94:S96">
    <cfRule type="expression" dxfId="1706" priority="87">
      <formula>IF(NoColor,1,0)</formula>
    </cfRule>
  </conditionalFormatting>
  <conditionalFormatting sqref="S104">
    <cfRule type="expression" dxfId="1705" priority="105">
      <formula>IF(NoColor,1,0)</formula>
    </cfRule>
  </conditionalFormatting>
  <conditionalFormatting sqref="U2">
    <cfRule type="expression" dxfId="1704" priority="418">
      <formula>NOT(Draft)</formula>
    </cfRule>
  </conditionalFormatting>
  <conditionalFormatting sqref="U61">
    <cfRule type="expression" dxfId="1703" priority="102">
      <formula>NOT(Draft)</formula>
    </cfRule>
  </conditionalFormatting>
  <conditionalFormatting sqref="W6:Z7">
    <cfRule type="expression" dxfId="1702" priority="303">
      <formula>AND(NoColor,NoSSN)</formula>
    </cfRule>
    <cfRule type="expression" dxfId="1701" priority="306">
      <formula>IF(NoColor,1,0)</formula>
    </cfRule>
  </conditionalFormatting>
  <conditionalFormatting sqref="W65:Z66">
    <cfRule type="expression" dxfId="1700" priority="97">
      <formula>AND(NoColor,NoSSN)</formula>
    </cfRule>
    <cfRule type="expression" dxfId="1699" priority="98">
      <formula>IF(NoColor,1,0)</formula>
    </cfRule>
  </conditionalFormatting>
  <conditionalFormatting sqref="X15:Z15">
    <cfRule type="expression" dxfId="1698" priority="482">
      <formula>IF(NoColor,1,0)</formula>
    </cfRule>
    <cfRule type="expression" dxfId="1697" priority="3642" stopIfTrue="1">
      <formula>AND(NOT(NoColor),ChurchEmployee1,AB15="")</formula>
    </cfRule>
  </conditionalFormatting>
  <conditionalFormatting sqref="X17:Z17">
    <cfRule type="expression" dxfId="1696" priority="219" stopIfTrue="1">
      <formula>AND(NOT(NoColor),ChurchEmployee1,AB17="")</formula>
    </cfRule>
    <cfRule type="expression" dxfId="1695" priority="218">
      <formula>IF(NoColor,1,0)</formula>
    </cfRule>
  </conditionalFormatting>
  <conditionalFormatting sqref="X18:Z18">
    <cfRule type="expression" dxfId="1694" priority="197" stopIfTrue="1">
      <formula>AND(X17&lt;&gt;"",X17&gt;0)</formula>
    </cfRule>
  </conditionalFormatting>
  <conditionalFormatting sqref="X19:Z19">
    <cfRule type="expression" dxfId="1693" priority="502" stopIfTrue="1">
      <formula>AND(X17&lt;&gt;"",X17&gt;0)</formula>
    </cfRule>
  </conditionalFormatting>
  <conditionalFormatting sqref="X20:Z20">
    <cfRule type="expression" dxfId="1692" priority="30">
      <formula>AND(NOT(NoColor),ChurchEmployee1,AB15="")</formula>
    </cfRule>
  </conditionalFormatting>
  <conditionalFormatting sqref="X20:Z21">
    <cfRule type="expression" dxfId="1691" priority="217">
      <formula>IF(NoColor,1,0)</formula>
    </cfRule>
  </conditionalFormatting>
  <conditionalFormatting sqref="X21:Z21">
    <cfRule type="expression" dxfId="1690" priority="4124">
      <formula>AND(NOT(NoColor),ChurchEmployee1,AB15="",AB17="",AB20="",AB21="")</formula>
    </cfRule>
  </conditionalFormatting>
  <conditionalFormatting sqref="X23:Z23">
    <cfRule type="expression" dxfId="1689" priority="4122">
      <formula>AND(NOT(NoColor),ChurchEmployee1,AB15="",AB17="",AB20="",AB23="")</formula>
    </cfRule>
  </conditionalFormatting>
  <conditionalFormatting sqref="X23:Z24">
    <cfRule type="expression" dxfId="1688" priority="211">
      <formula>IF(NoColor,1,0)</formula>
    </cfRule>
  </conditionalFormatting>
  <conditionalFormatting sqref="X24:Z24">
    <cfRule type="expression" dxfId="1687" priority="4126" stopIfTrue="1">
      <formula>AND(NOT(NoColor),ChurchEmployee1,AB15="",AB17="",AB20="",AB23="",AB24="")</formula>
    </cfRule>
  </conditionalFormatting>
  <conditionalFormatting sqref="X26:Z26">
    <cfRule type="expression" dxfId="1686" priority="234">
      <formula>IF(NoColor,1,0)</formula>
    </cfRule>
  </conditionalFormatting>
  <conditionalFormatting sqref="X29:Z30">
    <cfRule type="expression" dxfId="1685" priority="209">
      <formula>IF(NoColor,1,0)</formula>
    </cfRule>
  </conditionalFormatting>
  <conditionalFormatting sqref="X38:Z42">
    <cfRule type="expression" dxfId="1684" priority="2">
      <formula>IF(NoColor,1,0)</formula>
    </cfRule>
  </conditionalFormatting>
  <conditionalFormatting sqref="X51:Z51">
    <cfRule type="expression" dxfId="1683" priority="205">
      <formula>IF(NoColor,1,0)</formula>
    </cfRule>
  </conditionalFormatting>
  <conditionalFormatting sqref="X55:Z55">
    <cfRule type="expression" dxfId="1682" priority="202">
      <formula>IF(NoColor,1,0)</formula>
    </cfRule>
  </conditionalFormatting>
  <conditionalFormatting sqref="X57:Z57">
    <cfRule type="expression" dxfId="1681" priority="201">
      <formula>IF(NoColor,1,0)</formula>
    </cfRule>
  </conditionalFormatting>
  <conditionalFormatting sqref="X74:Z74">
    <cfRule type="expression" dxfId="1680" priority="24">
      <formula>IF(NoColor,1,0)</formula>
    </cfRule>
    <cfRule type="expression" dxfId="1679" priority="25" stopIfTrue="1">
      <formula>AND(NOT(NoColor),ChurchEmployee2,AB74="")</formula>
    </cfRule>
  </conditionalFormatting>
  <conditionalFormatting sqref="X76:Z76">
    <cfRule type="expression" dxfId="1678" priority="22">
      <formula>IF(NoColor,1,0)</formula>
    </cfRule>
    <cfRule type="expression" dxfId="1677" priority="23" stopIfTrue="1">
      <formula>AND(NOT(NoColor),ChurchEmployee2,AB76="")</formula>
    </cfRule>
  </conditionalFormatting>
  <conditionalFormatting sqref="X77:Z77">
    <cfRule type="expression" dxfId="1676" priority="62" stopIfTrue="1">
      <formula>AND(X76&lt;&gt;"",X76&gt;0)</formula>
    </cfRule>
  </conditionalFormatting>
  <conditionalFormatting sqref="X78:Z78">
    <cfRule type="expression" dxfId="1675" priority="112" stopIfTrue="1">
      <formula>AND(X76&lt;&gt;"",X76&gt;0)</formula>
    </cfRule>
  </conditionalFormatting>
  <conditionalFormatting sqref="X79:Z80">
    <cfRule type="expression" dxfId="1674" priority="19">
      <formula>IF(NoColor,1,0)</formula>
    </cfRule>
    <cfRule type="expression" dxfId="1673" priority="18">
      <formula>AND(NOT(NoColor),ChurchEmployee2,AB74="")</formula>
    </cfRule>
  </conditionalFormatting>
  <conditionalFormatting sqref="X82:Z82">
    <cfRule type="expression" dxfId="1672" priority="4132">
      <formula>AND(NOT(NoColor),ChurchEmployee2,AB74="",AB76="",AB79="",AB82="")</formula>
    </cfRule>
  </conditionalFormatting>
  <conditionalFormatting sqref="X82:Z83">
    <cfRule type="expression" dxfId="1671" priority="14">
      <formula>IF(NoColor,1,0)</formula>
    </cfRule>
  </conditionalFormatting>
  <conditionalFormatting sqref="X83:Z83">
    <cfRule type="expression" dxfId="1670" priority="4134" stopIfTrue="1">
      <formula>AND(NOT(NoColor),ChurchEmployee2,AB74="",AB76="",AB79="",AB82="",AB83="")</formula>
    </cfRule>
  </conditionalFormatting>
  <conditionalFormatting sqref="X85:Z85">
    <cfRule type="expression" dxfId="1669" priority="10">
      <formula>IF(NoColor,1,0)</formula>
    </cfRule>
  </conditionalFormatting>
  <conditionalFormatting sqref="X88:Z89">
    <cfRule type="expression" dxfId="1668" priority="9">
      <formula>IF(NoColor,1,0)</formula>
    </cfRule>
  </conditionalFormatting>
  <conditionalFormatting sqref="X97:Z101">
    <cfRule type="expression" dxfId="1667" priority="77">
      <formula>IF(NoColor,1,0)</formula>
    </cfRule>
  </conditionalFormatting>
  <conditionalFormatting sqref="X110:Z110">
    <cfRule type="expression" dxfId="1666" priority="67">
      <formula>IF(NoColor,1,0)</formula>
    </cfRule>
  </conditionalFormatting>
  <conditionalFormatting sqref="X114:Z114">
    <cfRule type="expression" dxfId="1665" priority="65">
      <formula>IF(NoColor,1,0)</formula>
    </cfRule>
  </conditionalFormatting>
  <conditionalFormatting sqref="X116:Z116">
    <cfRule type="expression" dxfId="1664" priority="64">
      <formula>IF(NoColor,1,0)</formula>
    </cfRule>
  </conditionalFormatting>
  <conditionalFormatting sqref="Y12">
    <cfRule type="expression" dxfId="1663" priority="241">
      <formula>NoColor</formula>
    </cfRule>
  </conditionalFormatting>
  <conditionalFormatting sqref="Y71">
    <cfRule type="expression" dxfId="1662" priority="95">
      <formula>NoColor</formula>
    </cfRule>
  </conditionalFormatting>
  <conditionalFormatting sqref="AB10:AB12">
    <cfRule type="expression" dxfId="1661" priority="191">
      <formula>ChurchEmployee1</formula>
    </cfRule>
  </conditionalFormatting>
  <conditionalFormatting sqref="AB16">
    <cfRule type="expression" dxfId="1660" priority="292">
      <formula>AND(#REF!,SchC_StatutoryEmp_1&lt;&gt;"")</formula>
    </cfRule>
  </conditionalFormatting>
  <conditionalFormatting sqref="AB18">
    <cfRule type="expression" dxfId="1659" priority="183">
      <formula>AJ17</formula>
    </cfRule>
    <cfRule type="expression" dxfId="1658" priority="168">
      <formula>$AN$35</formula>
    </cfRule>
  </conditionalFormatting>
  <conditionalFormatting sqref="AB24:AB26">
    <cfRule type="expression" dxfId="1657" priority="3977">
      <formula>$AK$24</formula>
    </cfRule>
  </conditionalFormatting>
  <conditionalFormatting sqref="AB27">
    <cfRule type="expression" dxfId="1656" priority="5">
      <formula>#REF!</formula>
    </cfRule>
  </conditionalFormatting>
  <conditionalFormatting sqref="AB36:AB38 AC37:AC38">
    <cfRule type="expression" dxfId="1655" priority="3980">
      <formula>#REF!</formula>
    </cfRule>
  </conditionalFormatting>
  <conditionalFormatting sqref="AB41:AB42">
    <cfRule type="expression" dxfId="1654" priority="4002">
      <formula>#REF!</formula>
    </cfRule>
  </conditionalFormatting>
  <conditionalFormatting sqref="AB49:AB51">
    <cfRule type="expression" dxfId="1653" priority="206" stopIfTrue="1">
      <formula>($X$51&gt;$X$49)</formula>
    </cfRule>
  </conditionalFormatting>
  <conditionalFormatting sqref="AB51">
    <cfRule type="expression" dxfId="1652" priority="195" stopIfTrue="1">
      <formula>(X51&gt;X49)</formula>
    </cfRule>
  </conditionalFormatting>
  <conditionalFormatting sqref="AB56:AB58">
    <cfRule type="expression" dxfId="1651" priority="204" stopIfTrue="1">
      <formula>($X$57&gt;$X$55)</formula>
    </cfRule>
  </conditionalFormatting>
  <conditionalFormatting sqref="AB69:AB71">
    <cfRule type="expression" dxfId="1650" priority="58">
      <formula>ChurchEmployee2</formula>
    </cfRule>
  </conditionalFormatting>
  <conditionalFormatting sqref="AB75">
    <cfRule type="expression" dxfId="1649" priority="96">
      <formula>AND(#REF!,SchC_StatutoryEmp_1&lt;&gt;"")</formula>
    </cfRule>
  </conditionalFormatting>
  <conditionalFormatting sqref="AB77">
    <cfRule type="expression" dxfId="1648" priority="53">
      <formula>AJ76</formula>
    </cfRule>
    <cfRule type="expression" dxfId="1647" priority="40">
      <formula>AN94</formula>
    </cfRule>
  </conditionalFormatting>
  <conditionalFormatting sqref="AB83">
    <cfRule type="expression" dxfId="1646" priority="27">
      <formula>AK$83</formula>
    </cfRule>
  </conditionalFormatting>
  <conditionalFormatting sqref="AB84">
    <cfRule type="expression" dxfId="1645" priority="4">
      <formula>AK83</formula>
    </cfRule>
  </conditionalFormatting>
  <conditionalFormatting sqref="AB85">
    <cfRule type="expression" dxfId="1644" priority="3">
      <formula>AK83</formula>
    </cfRule>
  </conditionalFormatting>
  <conditionalFormatting sqref="AB86:AB88">
    <cfRule type="expression" dxfId="1643" priority="55">
      <formula>AND(#REF!,SchC_StatutoryEmp_1&lt;&gt;"")</formula>
    </cfRule>
  </conditionalFormatting>
  <conditionalFormatting sqref="AB95:AB97 AC96:AC97">
    <cfRule type="expression" dxfId="1642" priority="119">
      <formula>#REF!</formula>
    </cfRule>
  </conditionalFormatting>
  <conditionalFormatting sqref="AB100:AB101">
    <cfRule type="expression" dxfId="1641" priority="135">
      <formula>#REF!</formula>
    </cfRule>
  </conditionalFormatting>
  <conditionalFormatting sqref="AB108:AB109">
    <cfRule type="expression" dxfId="1640" priority="1" stopIfTrue="1">
      <formula>($X$51&gt;$X$49)</formula>
    </cfRule>
  </conditionalFormatting>
  <conditionalFormatting sqref="AB110">
    <cfRule type="expression" dxfId="1639" priority="60" stopIfTrue="1">
      <formula>(X110&gt;X108)</formula>
    </cfRule>
    <cfRule type="expression" dxfId="1638" priority="68" stopIfTrue="1">
      <formula>($X$51&gt;$X$49)</formula>
    </cfRule>
  </conditionalFormatting>
  <conditionalFormatting sqref="AB115:AB117">
    <cfRule type="expression" dxfId="1637" priority="66" stopIfTrue="1">
      <formula>($X$57&gt;$X$55)</formula>
    </cfRule>
  </conditionalFormatting>
  <conditionalFormatting sqref="AB31:AC31 AB32">
    <cfRule type="expression" dxfId="1636" priority="3996">
      <formula>#REF!</formula>
    </cfRule>
  </conditionalFormatting>
  <conditionalFormatting sqref="AB39:AC40">
    <cfRule type="expression" dxfId="1635" priority="4000">
      <formula>#REF!</formula>
    </cfRule>
  </conditionalFormatting>
  <conditionalFormatting sqref="AB90:AC90 AB91">
    <cfRule type="expression" dxfId="1634" priority="129">
      <formula>#REF!</formula>
    </cfRule>
  </conditionalFormatting>
  <conditionalFormatting sqref="AB98:AC99">
    <cfRule type="expression" dxfId="1633" priority="133">
      <formula>#REF!</formula>
    </cfRule>
  </conditionalFormatting>
  <conditionalFormatting sqref="AC28:AC30">
    <cfRule type="expression" dxfId="1632" priority="3974">
      <formula>#REF!</formula>
    </cfRule>
  </conditionalFormatting>
  <conditionalFormatting sqref="AC32:AC33">
    <cfRule type="expression" dxfId="1631" priority="3978">
      <formula>#REF!</formula>
    </cfRule>
  </conditionalFormatting>
  <conditionalFormatting sqref="AC87:AC89">
    <cfRule type="expression" dxfId="1630" priority="114">
      <formula>#REF!</formula>
    </cfRule>
  </conditionalFormatting>
  <conditionalFormatting sqref="AC91:AC92">
    <cfRule type="expression" dxfId="1629" priority="117">
      <formula>#REF!</formula>
    </cfRule>
  </conditionalFormatting>
  <conditionalFormatting sqref="AD5">
    <cfRule type="expression" dxfId="1628" priority="353">
      <formula>IF(NoColor,1,0)</formula>
    </cfRule>
  </conditionalFormatting>
  <conditionalFormatting sqref="AD28:AD33">
    <cfRule type="expression" dxfId="1627" priority="3988">
      <formula>#REF!</formula>
    </cfRule>
  </conditionalFormatting>
  <conditionalFormatting sqref="AD37:AD40">
    <cfRule type="expression" dxfId="1626" priority="3990">
      <formula>#REF!</formula>
    </cfRule>
  </conditionalFormatting>
  <conditionalFormatting sqref="AD64">
    <cfRule type="expression" dxfId="1625" priority="101">
      <formula>IF(NoColor,1,0)</formula>
    </cfRule>
  </conditionalFormatting>
  <conditionalFormatting sqref="AD87:AD92">
    <cfRule type="expression" dxfId="1624" priority="121">
      <formula>#REF!</formula>
    </cfRule>
  </conditionalFormatting>
  <conditionalFormatting sqref="AD96:AD99">
    <cfRule type="expression" dxfId="1623" priority="123">
      <formula>#REF!</formula>
    </cfRule>
  </conditionalFormatting>
  <conditionalFormatting sqref="AD7:AE7">
    <cfRule type="expression" dxfId="1622" priority="351">
      <formula>OR(NumFileStatusBoxes=0,AND(NumFileStatusBoxes=1,File_Marr_Joint=""))</formula>
    </cfRule>
    <cfRule type="expression" dxfId="1621" priority="352">
      <formula>IF(NoColor,1,0)</formula>
    </cfRule>
  </conditionalFormatting>
  <conditionalFormatting sqref="AD66:AE66">
    <cfRule type="expression" dxfId="1620" priority="100">
      <formula>IF(NoColor,1,0)</formula>
    </cfRule>
    <cfRule type="expression" dxfId="1619" priority="99">
      <formula>OR(NumFileStatusBoxes=0,AND(NumFileStatusBoxes=1,File_Marr_Joint=""))</formula>
    </cfRule>
  </conditionalFormatting>
  <conditionalFormatting sqref="AD22:AH23">
    <cfRule type="expression" dxfId="1618" priority="169">
      <formula>$AN$35</formula>
    </cfRule>
  </conditionalFormatting>
  <conditionalFormatting sqref="AD81:AH82">
    <cfRule type="expression" dxfId="1617" priority="41">
      <formula>$AN$94</formula>
    </cfRule>
  </conditionalFormatting>
  <conditionalFormatting sqref="AE29:AE33">
    <cfRule type="expression" dxfId="1616" priority="4033">
      <formula>#REF!</formula>
    </cfRule>
  </conditionalFormatting>
  <conditionalFormatting sqref="AE88:AE92">
    <cfRule type="expression" dxfId="1615" priority="153">
      <formula>#REF!</formula>
    </cfRule>
  </conditionalFormatting>
  <conditionalFormatting sqref="AG5 AG7 AG64:AG66">
    <cfRule type="expression" dxfId="1614" priority="4127">
      <formula>OR(AND(AJ7,AL35),AND(AJ5,AL35))</formula>
    </cfRule>
  </conditionalFormatting>
  <conditionalFormatting sqref="AG6">
    <cfRule type="expression" dxfId="1613" priority="4129">
      <formula>OR(AND(AJ8,AL36),AND(AH6,AL36))</formula>
    </cfRule>
  </conditionalFormatting>
  <conditionalFormatting sqref="AI21">
    <cfRule type="expression" dxfId="1612" priority="192">
      <formula>(File_Marr_Joint="")</formula>
    </cfRule>
  </conditionalFormatting>
  <conditionalFormatting sqref="AI80">
    <cfRule type="expression" dxfId="1611" priority="59">
      <formula>(File_Marr_Joint="")</formula>
    </cfRule>
  </conditionalFormatting>
  <hyperlinks>
    <hyperlink ref="F123:I123" r:id="rId1" display="Download Form 1040 Schedule SE" xr:uid="{00000000-0004-0000-2200-000000000000}"/>
    <hyperlink ref="F125:I125" r:id="rId2" display="Download Form 1040 Schedule SE Instructions" xr:uid="{00000000-0004-0000-2200-000001000000}"/>
  </hyperlinks>
  <printOptions horizontalCentered="1"/>
  <pageMargins left="0.51" right="0.46" top="0.55000000000000004" bottom="0" header="0.42" footer="0.35"/>
  <pageSetup scale="84" fitToHeight="2" orientation="portrait" r:id="rId3"/>
  <headerFooter alignWithMargins="0"/>
  <drawing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BH400"/>
  <sheetViews>
    <sheetView topLeftCell="A23" zoomScaleNormal="100" zoomScaleSheetLayoutView="150" workbookViewId="0">
      <selection activeCell="C21" sqref="C21"/>
    </sheetView>
  </sheetViews>
  <sheetFormatPr defaultColWidth="3.42578125" defaultRowHeight="12.75"/>
  <cols>
    <col min="1" max="1" width="6" style="3914" customWidth="1"/>
    <col min="2" max="2" width="3.5703125" style="42" customWidth="1"/>
    <col min="3" max="3" width="2.28515625" style="42" customWidth="1"/>
    <col min="4" max="4" width="3.7109375" style="42" customWidth="1"/>
    <col min="5" max="5" width="3.5703125" style="42" customWidth="1"/>
    <col min="6" max="6" width="4.28515625" style="42" customWidth="1"/>
    <col min="7" max="7" width="3.5703125" style="42" customWidth="1"/>
    <col min="8" max="8" width="3" style="42" customWidth="1"/>
    <col min="9" max="9" width="4.42578125" style="42" customWidth="1"/>
    <col min="10" max="11" width="3.42578125" style="42" customWidth="1"/>
    <col min="12" max="12" width="4.5703125" style="42" customWidth="1"/>
    <col min="13" max="13" width="2.7109375" style="42" customWidth="1"/>
    <col min="14" max="14" width="3.5703125" style="42" customWidth="1"/>
    <col min="15" max="15" width="1.5703125" style="42" customWidth="1"/>
    <col min="16" max="19" width="1.85546875" style="42" customWidth="1"/>
    <col min="20" max="25" width="2.42578125" style="42" customWidth="1"/>
    <col min="26" max="26" width="3.28515625" style="42" customWidth="1"/>
    <col min="27" max="27" width="2" style="42" customWidth="1"/>
    <col min="28" max="30" width="2.5703125" style="42" customWidth="1"/>
    <col min="31" max="34" width="2.140625" style="42" customWidth="1"/>
    <col min="35" max="38" width="2.5703125" style="42" customWidth="1"/>
    <col min="39" max="40" width="2.7109375" style="42" customWidth="1"/>
    <col min="41" max="41" width="10.7109375" style="42" customWidth="1"/>
    <col min="42" max="42" width="3.42578125" style="42"/>
    <col min="43" max="43" width="9" style="42" customWidth="1"/>
    <col min="44" max="44" width="3.42578125" style="42"/>
    <col min="45" max="45" width="3.85546875" style="42" customWidth="1"/>
    <col min="46" max="47" width="3.42578125" style="42"/>
    <col min="48" max="48" width="5.140625" style="42" customWidth="1"/>
    <col min="49" max="49" width="5.85546875" style="42" customWidth="1"/>
    <col min="50" max="50" width="10.7109375" style="3403" customWidth="1"/>
    <col min="51" max="52" width="10.7109375" style="3853" customWidth="1"/>
    <col min="53" max="53" width="6.42578125" style="3853" customWidth="1"/>
    <col min="54" max="54" width="10.7109375" style="3853" customWidth="1"/>
    <col min="55" max="55" width="6" style="3853" customWidth="1"/>
    <col min="56" max="56" width="12" style="3853" customWidth="1"/>
    <col min="57" max="57" width="12.7109375" style="3853" customWidth="1"/>
    <col min="58" max="58" width="8.42578125" style="3853" customWidth="1"/>
    <col min="59" max="59" width="12.7109375" style="3853" customWidth="1"/>
    <col min="60" max="60" width="7.5703125" style="3853" customWidth="1"/>
    <col min="61" max="16384" width="3.42578125" style="42"/>
  </cols>
  <sheetData>
    <row r="1" spans="1:60" ht="15">
      <c r="A1" s="3910"/>
      <c r="B1" s="2757"/>
      <c r="C1" s="2757"/>
      <c r="D1" s="2757"/>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I1" s="2757"/>
      <c r="AJ1" s="2757"/>
      <c r="AK1" s="2757"/>
      <c r="AL1" s="2757"/>
      <c r="AM1" s="2757"/>
      <c r="AN1" s="2757"/>
      <c r="AO1" s="2757"/>
      <c r="AP1" s="2757"/>
      <c r="AQ1" s="1284"/>
      <c r="AR1" s="1179"/>
      <c r="AS1" s="1179"/>
      <c r="AT1" s="1179"/>
      <c r="AU1" s="1179"/>
      <c r="AV1" s="1179"/>
      <c r="AW1" s="1179"/>
      <c r="AX1" s="3012" t="s">
        <v>2033</v>
      </c>
      <c r="AY1" s="3851"/>
      <c r="AZ1" s="3851"/>
      <c r="BA1" s="3851"/>
      <c r="BB1" s="3851"/>
      <c r="BC1" s="3851"/>
      <c r="BD1" s="3851"/>
      <c r="BE1" s="3851"/>
      <c r="BF1" s="3851"/>
      <c r="BG1" s="3851"/>
      <c r="BH1" s="3851"/>
    </row>
    <row r="2" spans="1:60">
      <c r="A2" s="3909" t="b">
        <f>IF(OR(B4="---",B8="---"),FALSE,IF(AND(B4,B6,B8),TRUE,FALSE))</f>
        <v>0</v>
      </c>
      <c r="B2" s="3924" t="str">
        <f>IF(OR(B4="---",B8="---",AND(A4&gt;0,SUM(AM78,AM209,AM339)=0)),"Complete Form 1116.  If all three of these conditions are TRUE, Form 1116 need not be filed.",IF(A2,"Form 1116 is not required to be filed.",IF(OR(ForeignTaxPaid&gt;AQ8,AND(K21="",AO20=1),NOT(B6)),"Form 1116 is required to be filed.",IF(AND(NOT(B4),NOT(B6),NOT(B8)),"You may be able to claim the foreign tax credit without filing Form 1116 -- See IRS instructions for details.","Finish completing Form 1116 to determine if it needs to be filed."))))</f>
        <v>Complete Form 1116.  If all three of these conditions are TRUE, Form 1116 need not be filed.</v>
      </c>
      <c r="C2" s="2757"/>
      <c r="D2" s="2757"/>
      <c r="E2" s="2757"/>
      <c r="F2" s="2757"/>
      <c r="G2" s="2757"/>
      <c r="H2" s="2757"/>
      <c r="I2" s="2757"/>
      <c r="J2" s="2757"/>
      <c r="K2" s="2757"/>
      <c r="L2" s="2757"/>
      <c r="M2" s="2757"/>
      <c r="N2" s="2757"/>
      <c r="O2" s="2757"/>
      <c r="P2" s="2757"/>
      <c r="Q2" s="2757"/>
      <c r="R2" s="2757"/>
      <c r="S2" s="2757"/>
      <c r="T2" s="2757"/>
      <c r="U2" s="2757"/>
      <c r="V2" s="2757"/>
      <c r="W2" s="2757"/>
      <c r="X2" s="2757"/>
      <c r="Y2" s="2757"/>
      <c r="Z2" s="2757"/>
      <c r="AA2" s="2757"/>
      <c r="AB2" s="2757"/>
      <c r="AC2" s="2757"/>
      <c r="AD2" s="2757"/>
      <c r="AE2" s="2757"/>
      <c r="AF2" s="2757"/>
      <c r="AG2" s="2757"/>
      <c r="AH2" s="2757"/>
      <c r="AI2" s="2757"/>
      <c r="AJ2" s="2757"/>
      <c r="AK2" s="2757"/>
      <c r="AL2" s="2757"/>
      <c r="AM2" s="2757"/>
      <c r="AN2" s="2757"/>
      <c r="AO2" s="2757"/>
      <c r="AP2" s="2757"/>
      <c r="AQ2" s="1284"/>
      <c r="AR2" s="1179"/>
      <c r="AS2" s="1179"/>
      <c r="AT2" s="1179"/>
      <c r="AU2" s="1179"/>
      <c r="AV2" s="1179"/>
      <c r="AW2" s="1179"/>
      <c r="AX2" s="3855" t="s">
        <v>111</v>
      </c>
      <c r="AY2" s="3851"/>
      <c r="AZ2" s="3851"/>
      <c r="BA2" s="3851"/>
      <c r="BB2" s="3851"/>
      <c r="BC2" s="3851"/>
      <c r="BD2" s="3851"/>
      <c r="BE2" s="3851"/>
      <c r="BF2" s="3851"/>
      <c r="BG2" s="3851"/>
      <c r="BH2" s="3851"/>
    </row>
    <row r="3" spans="1:60" ht="6.75" customHeight="1">
      <c r="A3" s="3910"/>
      <c r="B3" s="3906"/>
      <c r="C3" s="2757"/>
      <c r="D3" s="2757"/>
      <c r="E3" s="2757"/>
      <c r="F3" s="2757"/>
      <c r="G3" s="2757"/>
      <c r="H3" s="2757"/>
      <c r="I3" s="2757"/>
      <c r="J3" s="2757"/>
      <c r="K3" s="2757"/>
      <c r="L3" s="2757"/>
      <c r="M3" s="2757"/>
      <c r="N3" s="2757"/>
      <c r="O3" s="2757"/>
      <c r="P3" s="2757"/>
      <c r="Q3" s="2757"/>
      <c r="R3" s="2757"/>
      <c r="S3" s="2757"/>
      <c r="T3" s="2757"/>
      <c r="U3" s="2757"/>
      <c r="V3" s="2757"/>
      <c r="W3" s="2757"/>
      <c r="X3" s="2757"/>
      <c r="Y3" s="2757"/>
      <c r="Z3" s="2757"/>
      <c r="AA3" s="2757"/>
      <c r="AB3" s="2757"/>
      <c r="AC3" s="2757"/>
      <c r="AD3" s="2757"/>
      <c r="AE3" s="2757"/>
      <c r="AF3" s="2757"/>
      <c r="AG3" s="2757"/>
      <c r="AH3" s="2757"/>
      <c r="AI3" s="2757"/>
      <c r="AJ3" s="2757"/>
      <c r="AK3" s="2757"/>
      <c r="AL3" s="2757"/>
      <c r="AM3" s="2757"/>
      <c r="AN3" s="2757"/>
      <c r="AO3" s="2757"/>
      <c r="AP3" s="2757"/>
      <c r="AQ3" s="1284"/>
      <c r="AR3" s="1179"/>
      <c r="AS3" s="1179"/>
      <c r="AT3" s="1179"/>
      <c r="AU3" s="1179"/>
      <c r="AV3" s="1179"/>
      <c r="AW3" s="1179"/>
      <c r="AX3" s="3013"/>
      <c r="AY3" s="3851"/>
      <c r="AZ3" s="3851"/>
      <c r="BA3" s="3851"/>
      <c r="BB3" s="3851"/>
      <c r="BC3" s="3851"/>
      <c r="BD3" s="3851"/>
      <c r="BE3" s="3851"/>
      <c r="BF3" s="3851"/>
      <c r="BG3" s="3851"/>
      <c r="BH3" s="3851"/>
    </row>
    <row r="4" spans="1:60" ht="15">
      <c r="A4" s="3915">
        <f>SUM(AO20,AO151,AO281)</f>
        <v>0</v>
      </c>
      <c r="B4" s="7712" t="str">
        <f>IF(OR(B8="---",A4=0,AND(NOT(A78),NOT(A209),NOT(A339))),"---",IF(OR(AND(A4=3,A21,A152,A282),AND(A4=2,OR(AND(A21,A152),AND(A152,A282),AND(A21,A282))),AND(A4=1,OR(A21,A152,A282))),TRUE,FALSE))</f>
        <v>---</v>
      </c>
      <c r="C4" s="7713"/>
      <c r="D4" s="3907" t="s">
        <v>3144</v>
      </c>
      <c r="E4" s="2757"/>
      <c r="F4" s="2757"/>
      <c r="G4" s="2757"/>
      <c r="H4" s="2757"/>
      <c r="I4" s="2757"/>
      <c r="J4" s="2757"/>
      <c r="K4" s="2757"/>
      <c r="L4" s="2757"/>
      <c r="M4" s="2757"/>
      <c r="N4" s="2757"/>
      <c r="O4" s="2757"/>
      <c r="P4" s="2757"/>
      <c r="Q4" s="2757"/>
      <c r="R4" s="2757"/>
      <c r="S4" s="2757"/>
      <c r="T4" s="2757"/>
      <c r="U4" s="2757"/>
      <c r="V4" s="2757"/>
      <c r="W4" s="2757"/>
      <c r="X4" s="2757"/>
      <c r="Y4" s="2757"/>
      <c r="Z4" s="2757"/>
      <c r="AA4" s="2757"/>
      <c r="AB4" s="2757"/>
      <c r="AC4" s="2757"/>
      <c r="AD4" s="2757"/>
      <c r="AE4" s="2757"/>
      <c r="AF4" s="2757"/>
      <c r="AG4" s="2757"/>
      <c r="AH4" s="2757"/>
      <c r="AI4" s="2757"/>
      <c r="AJ4" s="2757"/>
      <c r="AK4" s="2757"/>
      <c r="AL4" s="2757"/>
      <c r="AM4" s="2757"/>
      <c r="AN4" s="2757"/>
      <c r="AO4" s="2757"/>
      <c r="AP4" s="2757"/>
      <c r="AQ4" s="1284">
        <v>600</v>
      </c>
      <c r="AR4" s="1179"/>
      <c r="AS4" s="1179"/>
      <c r="AT4" s="1179"/>
      <c r="AU4" s="1179"/>
      <c r="AV4" s="1179"/>
      <c r="AW4" s="1179"/>
      <c r="AX4" s="3012"/>
      <c r="AY4" s="3851"/>
      <c r="AZ4" s="3851"/>
      <c r="BA4" s="3851"/>
      <c r="BB4" s="3851"/>
      <c r="BC4" s="3851"/>
      <c r="BD4" s="3851"/>
      <c r="BE4" s="3851"/>
      <c r="BF4" s="3851"/>
      <c r="BG4" s="3851"/>
      <c r="BH4" s="3851"/>
    </row>
    <row r="5" spans="1:60" ht="7.5" customHeight="1">
      <c r="A5" s="3910"/>
      <c r="B5" s="2757"/>
      <c r="C5" s="2757"/>
      <c r="D5" s="3908"/>
      <c r="E5" s="2757"/>
      <c r="F5" s="2757"/>
      <c r="G5" s="2757"/>
      <c r="H5" s="2757"/>
      <c r="I5" s="2757"/>
      <c r="J5" s="2757"/>
      <c r="K5" s="2757"/>
      <c r="L5" s="2757"/>
      <c r="M5" s="2757"/>
      <c r="N5" s="2757"/>
      <c r="O5" s="2757"/>
      <c r="P5" s="2757"/>
      <c r="Q5" s="2757"/>
      <c r="R5" s="2757"/>
      <c r="S5" s="2757"/>
      <c r="T5" s="2757"/>
      <c r="U5" s="2757"/>
      <c r="V5" s="2757"/>
      <c r="W5" s="2757"/>
      <c r="X5" s="2757"/>
      <c r="Y5" s="2757"/>
      <c r="Z5" s="2757"/>
      <c r="AA5" s="2757"/>
      <c r="AB5" s="2757"/>
      <c r="AC5" s="2757"/>
      <c r="AD5" s="2757"/>
      <c r="AE5" s="2757"/>
      <c r="AF5" s="2757"/>
      <c r="AG5" s="2757"/>
      <c r="AH5" s="2757"/>
      <c r="AI5" s="2757"/>
      <c r="AJ5" s="2757"/>
      <c r="AK5" s="2757"/>
      <c r="AL5" s="2757"/>
      <c r="AM5" s="2757"/>
      <c r="AN5" s="2757"/>
      <c r="AO5" s="2757"/>
      <c r="AP5" s="2757"/>
      <c r="AQ5" s="1284"/>
      <c r="AR5" s="1179"/>
      <c r="AS5" s="1179"/>
      <c r="AT5" s="1179"/>
      <c r="AU5" s="1179"/>
      <c r="AV5" s="1179"/>
      <c r="AW5" s="1179"/>
      <c r="AX5" s="3012"/>
      <c r="AY5" s="3851"/>
      <c r="AZ5" s="3851"/>
      <c r="BA5" s="3851"/>
      <c r="BB5" s="3851"/>
      <c r="BC5" s="3851"/>
      <c r="BD5" s="3851"/>
      <c r="BE5" s="3851"/>
      <c r="BF5" s="3851"/>
      <c r="BG5" s="3851"/>
      <c r="BH5" s="3851"/>
    </row>
    <row r="6" spans="1:60" ht="15">
      <c r="A6" s="3909"/>
      <c r="B6" s="7714" t="b">
        <v>1</v>
      </c>
      <c r="C6" s="7715"/>
      <c r="D6" s="3907" t="s">
        <v>3126</v>
      </c>
      <c r="E6" s="2757"/>
      <c r="F6" s="2948"/>
      <c r="G6" s="2757"/>
      <c r="H6" s="2757"/>
      <c r="I6" s="2757"/>
      <c r="J6" s="2757"/>
      <c r="K6" s="2757"/>
      <c r="L6" s="2757"/>
      <c r="M6" s="2757"/>
      <c r="N6" s="2757"/>
      <c r="O6" s="2757"/>
      <c r="P6" s="2757"/>
      <c r="Q6" s="2757"/>
      <c r="R6" s="2757"/>
      <c r="S6" s="2757"/>
      <c r="T6" s="2757"/>
      <c r="U6" s="2757"/>
      <c r="V6" s="2757"/>
      <c r="W6" s="2757"/>
      <c r="X6" s="2757"/>
      <c r="Y6" s="2757"/>
      <c r="Z6" s="2757"/>
      <c r="AA6" s="2757"/>
      <c r="AB6" s="2757"/>
      <c r="AC6" s="2757"/>
      <c r="AD6" s="2757"/>
      <c r="AE6" s="2757"/>
      <c r="AF6" s="2757"/>
      <c r="AG6" s="2757"/>
      <c r="AH6" s="2757"/>
      <c r="AI6" s="2757"/>
      <c r="AJ6" s="2757"/>
      <c r="AK6" s="2757"/>
      <c r="AL6" s="2757"/>
      <c r="AM6" s="2757"/>
      <c r="AN6" s="2757"/>
      <c r="AO6" s="3910"/>
      <c r="AP6" s="2757"/>
      <c r="AQ6" s="1284">
        <v>300</v>
      </c>
      <c r="AR6" s="1179"/>
      <c r="AS6" s="1179"/>
      <c r="AT6" s="1179"/>
      <c r="AU6" s="1179"/>
      <c r="AV6" s="1179"/>
      <c r="AW6" s="1179"/>
      <c r="AX6" s="3012"/>
      <c r="AY6" s="3851"/>
      <c r="AZ6" s="3851"/>
      <c r="BA6" s="3851"/>
      <c r="BB6" s="3851"/>
      <c r="BC6" s="3851"/>
      <c r="BD6" s="3851"/>
      <c r="BE6" s="3851"/>
      <c r="BF6" s="3851"/>
      <c r="BG6" s="3851"/>
      <c r="BH6" s="3851"/>
    </row>
    <row r="7" spans="1:60" ht="7.5" customHeight="1">
      <c r="A7" s="3910"/>
      <c r="B7" s="2757"/>
      <c r="C7" s="2757"/>
      <c r="D7" s="3908"/>
      <c r="E7" s="2757"/>
      <c r="F7" s="2757"/>
      <c r="G7" s="2757"/>
      <c r="H7" s="2757"/>
      <c r="I7" s="2757"/>
      <c r="J7" s="2757"/>
      <c r="K7" s="2757"/>
      <c r="L7" s="2757"/>
      <c r="M7" s="2757"/>
      <c r="N7" s="2757"/>
      <c r="O7" s="2757"/>
      <c r="P7" s="2757"/>
      <c r="Q7" s="2757"/>
      <c r="R7" s="2757"/>
      <c r="S7" s="2757"/>
      <c r="T7" s="2757"/>
      <c r="U7" s="2757"/>
      <c r="V7" s="2757"/>
      <c r="W7" s="2757"/>
      <c r="X7" s="2757"/>
      <c r="Y7" s="2757"/>
      <c r="Z7" s="2757"/>
      <c r="AA7" s="2757"/>
      <c r="AB7" s="2757"/>
      <c r="AC7" s="2757"/>
      <c r="AD7" s="2757"/>
      <c r="AE7" s="2757"/>
      <c r="AF7" s="2757"/>
      <c r="AG7" s="2757"/>
      <c r="AH7" s="2757"/>
      <c r="AI7" s="2757"/>
      <c r="AJ7" s="2757"/>
      <c r="AK7" s="2757"/>
      <c r="AL7" s="2757"/>
      <c r="AM7" s="2757"/>
      <c r="AN7" s="2757"/>
      <c r="AO7" s="3910"/>
      <c r="AP7" s="2757"/>
      <c r="AQ7" s="1284"/>
      <c r="AR7" s="1179"/>
      <c r="AS7" s="1179"/>
      <c r="AT7" s="1179"/>
      <c r="AU7" s="1179"/>
      <c r="AV7" s="1179"/>
      <c r="AW7" s="1179"/>
      <c r="AX7" s="3012"/>
      <c r="AY7" s="3851"/>
      <c r="AZ7" s="3851"/>
      <c r="BA7" s="3851"/>
      <c r="BB7" s="3851"/>
      <c r="BC7" s="3851"/>
      <c r="BD7" s="3851"/>
      <c r="BE7" s="3851"/>
      <c r="BF7" s="3851"/>
      <c r="BG7" s="3851"/>
      <c r="BH7" s="3851"/>
    </row>
    <row r="8" spans="1:60" ht="15">
      <c r="A8" s="3917">
        <f>IF(SUM(AM78,AM209,AM339)&gt;0,SUM(AM78,AM209,AM339),SUM(ForeignTaxPaid_INT,ForeignTaxPaid_DIV))</f>
        <v>0</v>
      </c>
      <c r="B8" s="7712" t="str">
        <f>IF(OR(ForeignTaxPaid="",ForeignTaxPaid=0),"---",IF(ForeignTaxPaid&lt;=ForeignTaxThreshold,TRUE,FALSE))</f>
        <v>---</v>
      </c>
      <c r="C8" s="7713"/>
      <c r="D8" s="3907" t="s">
        <v>3127</v>
      </c>
      <c r="E8" s="2757"/>
      <c r="F8" s="2757"/>
      <c r="G8" s="2757"/>
      <c r="H8" s="2757"/>
      <c r="I8" s="2757"/>
      <c r="J8" s="2757"/>
      <c r="K8" s="2757"/>
      <c r="L8" s="2757"/>
      <c r="M8" s="2757"/>
      <c r="N8" s="2757"/>
      <c r="O8" s="2757"/>
      <c r="P8" s="2757"/>
      <c r="Q8" s="2757"/>
      <c r="R8" s="2757"/>
      <c r="S8" s="2757"/>
      <c r="T8" s="2757"/>
      <c r="U8" s="2757"/>
      <c r="V8" s="2757"/>
      <c r="W8" s="2757"/>
      <c r="X8" s="2757"/>
      <c r="Y8" s="2757"/>
      <c r="Z8" s="2757"/>
      <c r="AA8" s="2757"/>
      <c r="AB8" s="2757"/>
      <c r="AC8" s="2757"/>
      <c r="AD8" s="2757"/>
      <c r="AE8" s="2757"/>
      <c r="AF8" s="2757"/>
      <c r="AG8" s="7777" t="str">
        <f>IF(AND(ForeignTaxPaid&lt;&gt;"",ForeignTaxPaid&gt;0),"Foreign taxes paid &gt;","")</f>
        <v/>
      </c>
      <c r="AH8" s="7777"/>
      <c r="AI8" s="7777"/>
      <c r="AJ8" s="7777"/>
      <c r="AK8" s="7777"/>
      <c r="AL8" s="7777"/>
      <c r="AM8" s="7777"/>
      <c r="AN8" s="7777"/>
      <c r="AO8" s="3925" t="str">
        <f>IF(SUM(AM78,AM209,AM339,ForeignTaxPaid_INT,ForeignTaxPaid_DIV)=0,"", IF(AQ9&gt;0,AQ9,SUM(ForeignTaxPaid_INT,ForeignTaxPaid_DIV)))</f>
        <v/>
      </c>
      <c r="AP8" s="2757"/>
      <c r="AQ8" s="1284">
        <f>IF(File_Marr_Joint&lt;&gt;"",AQ4,AQ6)</f>
        <v>300</v>
      </c>
      <c r="AR8" s="1179"/>
      <c r="AS8" s="1179"/>
      <c r="AT8" s="1179"/>
      <c r="AU8" s="1179"/>
      <c r="AV8" s="1179"/>
      <c r="AW8" s="1179"/>
      <c r="AX8" s="3012"/>
      <c r="AY8" s="3851"/>
      <c r="AZ8" s="3851"/>
      <c r="BA8" s="3851"/>
      <c r="BB8" s="3851"/>
      <c r="BC8" s="3851"/>
      <c r="BD8" s="3851"/>
      <c r="BE8" s="3851"/>
      <c r="BF8" s="3851"/>
      <c r="BG8" s="3851"/>
      <c r="BH8" s="3851"/>
    </row>
    <row r="9" spans="1:60" ht="15.75" customHeight="1">
      <c r="A9" s="3910"/>
      <c r="B9" s="2757"/>
      <c r="C9" s="2757"/>
      <c r="D9" s="2757"/>
      <c r="E9" s="2757"/>
      <c r="F9" s="2757"/>
      <c r="G9" s="2757"/>
      <c r="H9" s="2757"/>
      <c r="I9" s="2757"/>
      <c r="J9" s="2757"/>
      <c r="K9" s="2757"/>
      <c r="L9" s="2757"/>
      <c r="M9" s="2757"/>
      <c r="N9" s="2757"/>
      <c r="O9" s="2757"/>
      <c r="P9" s="2757"/>
      <c r="Q9" s="2757"/>
      <c r="R9" s="2757"/>
      <c r="S9" s="2757"/>
      <c r="T9" s="2757"/>
      <c r="U9" s="2757"/>
      <c r="V9" s="2757"/>
      <c r="W9" s="2757"/>
      <c r="X9" s="2757"/>
      <c r="Y9" s="2757"/>
      <c r="Z9" s="2757"/>
      <c r="AA9" s="2757"/>
      <c r="AB9" s="2757"/>
      <c r="AC9" s="2757"/>
      <c r="AD9" s="2757"/>
      <c r="AE9" s="2757"/>
      <c r="AF9" s="2757"/>
      <c r="AG9" s="2757"/>
      <c r="AH9" s="2757"/>
      <c r="AI9" s="2757"/>
      <c r="AJ9" s="2757"/>
      <c r="AK9" s="2757"/>
      <c r="AL9" s="2757"/>
      <c r="AM9" s="2757"/>
      <c r="AN9" s="2757"/>
      <c r="AO9" s="2757"/>
      <c r="AP9" s="2757"/>
      <c r="AQ9" s="3978">
        <f>SUM(AM78,AM209,AM339)</f>
        <v>0</v>
      </c>
      <c r="AR9" s="1179"/>
      <c r="AS9" s="1179"/>
      <c r="AT9" s="1179"/>
      <c r="AU9" s="1179"/>
      <c r="AV9" s="1179"/>
      <c r="AW9" s="1179"/>
      <c r="AX9" s="3013"/>
      <c r="AY9" s="3851"/>
      <c r="AZ9" s="3851"/>
      <c r="BA9" s="3851"/>
      <c r="BB9" s="3851"/>
      <c r="BC9" s="3851"/>
      <c r="BD9" s="3851"/>
      <c r="BE9" s="3851"/>
      <c r="BF9" s="3851"/>
      <c r="BG9" s="3851"/>
      <c r="BH9" s="3851"/>
    </row>
    <row r="10" spans="1:60" ht="12.75" customHeight="1">
      <c r="A10" s="3910"/>
      <c r="B10" s="7754" t="s">
        <v>3005</v>
      </c>
      <c r="C10" s="6792"/>
      <c r="D10" s="6792"/>
      <c r="E10" s="6792"/>
      <c r="F10" s="6792"/>
      <c r="G10" s="6792"/>
      <c r="H10" s="3302"/>
      <c r="I10" s="3237"/>
      <c r="J10" s="3237"/>
      <c r="K10" s="3237"/>
      <c r="L10" s="3237"/>
      <c r="M10" s="3237"/>
      <c r="N10" s="3237"/>
      <c r="O10" s="3237"/>
      <c r="P10" s="3237"/>
      <c r="Q10" s="3237"/>
      <c r="R10" s="3237"/>
      <c r="S10" s="3237"/>
      <c r="T10" s="3237"/>
      <c r="U10" s="3237"/>
      <c r="V10" s="3237"/>
      <c r="W10" s="3237"/>
      <c r="X10" s="3237"/>
      <c r="Y10" s="3237"/>
      <c r="Z10" s="3237"/>
      <c r="AA10" s="3237"/>
      <c r="AB10" s="3237"/>
      <c r="AC10" s="3237"/>
      <c r="AD10" s="3237"/>
      <c r="AE10" s="3237"/>
      <c r="AF10" s="3237"/>
      <c r="AG10" s="3237"/>
      <c r="AH10" s="3245"/>
      <c r="AI10" s="7413" t="s">
        <v>2206</v>
      </c>
      <c r="AJ10" s="7265"/>
      <c r="AK10" s="7265"/>
      <c r="AL10" s="7265"/>
      <c r="AM10" s="7265"/>
      <c r="AN10" s="7265"/>
      <c r="AO10" s="7265"/>
      <c r="AP10" s="2757"/>
      <c r="AQ10" s="3558" t="b">
        <f>AND(AQ21="",AQ36="",AQ75="")</f>
        <v>0</v>
      </c>
      <c r="AR10" s="3557"/>
      <c r="AS10" s="3557"/>
      <c r="AT10" s="3557"/>
      <c r="AU10" s="3557"/>
      <c r="AV10" s="3557"/>
      <c r="AW10" s="3557"/>
      <c r="AX10" s="3012"/>
      <c r="AY10" s="3851"/>
      <c r="AZ10" s="3851"/>
      <c r="BA10" s="3851"/>
      <c r="BB10" s="3851"/>
      <c r="BC10" s="3851"/>
      <c r="BD10" s="3851"/>
      <c r="BE10" s="3851"/>
      <c r="BF10" s="3851"/>
      <c r="BG10" s="3851"/>
      <c r="BH10" s="3851"/>
    </row>
    <row r="11" spans="1:60" ht="22.5" customHeight="1">
      <c r="A11" s="3909"/>
      <c r="B11" s="6792"/>
      <c r="C11" s="6792"/>
      <c r="D11" s="6792"/>
      <c r="E11" s="6792"/>
      <c r="F11" s="6792"/>
      <c r="G11" s="6792"/>
      <c r="H11" s="3305"/>
      <c r="I11" s="3237"/>
      <c r="J11" s="3237"/>
      <c r="K11" s="3237"/>
      <c r="L11" s="3237"/>
      <c r="M11" s="3237"/>
      <c r="N11" s="3237"/>
      <c r="O11" s="3237"/>
      <c r="P11" s="3237"/>
      <c r="Q11" s="3237"/>
      <c r="R11" s="3237"/>
      <c r="S11" s="3303"/>
      <c r="T11" s="3303" t="s">
        <v>2162</v>
      </c>
      <c r="U11" s="3237"/>
      <c r="V11" s="3237"/>
      <c r="W11" s="3237"/>
      <c r="X11" s="3237"/>
      <c r="Y11" s="3237"/>
      <c r="Z11" s="3237"/>
      <c r="AA11" s="3237"/>
      <c r="AB11" s="3237"/>
      <c r="AC11" s="3237"/>
      <c r="AD11" s="3237"/>
      <c r="AE11" s="3237"/>
      <c r="AF11" s="3237"/>
      <c r="AG11" s="3237"/>
      <c r="AH11" s="3304"/>
      <c r="AI11" s="7931">
        <f>TaxYear</f>
        <v>2021</v>
      </c>
      <c r="AJ11" s="7932"/>
      <c r="AK11" s="7932"/>
      <c r="AL11" s="7932"/>
      <c r="AM11" s="7932"/>
      <c r="AN11" s="7932"/>
      <c r="AO11" s="7932"/>
      <c r="AP11" s="2757"/>
      <c r="AQ11" s="7985" t="str">
        <f>IF(AND(ForeignTaxPaid&lt;&gt;"",ForeignTaxPaid&gt;0),"Note: Foreign Tax payments of ","")</f>
        <v/>
      </c>
      <c r="AR11" s="7985"/>
      <c r="AS11" s="7985"/>
      <c r="AT11" s="7985"/>
      <c r="AU11" s="7985"/>
      <c r="AV11" s="7985"/>
      <c r="AW11" s="7985"/>
      <c r="AX11" s="3012"/>
      <c r="AY11" s="3851"/>
      <c r="AZ11" s="3851"/>
      <c r="BA11" s="3851"/>
      <c r="BB11" s="3851"/>
      <c r="BC11" s="3851"/>
      <c r="BD11" s="3851"/>
      <c r="BE11" s="3851"/>
      <c r="BF11" s="3851"/>
      <c r="BG11" s="3851"/>
      <c r="BH11" s="3851"/>
    </row>
    <row r="12" spans="1:60" ht="15">
      <c r="A12" s="3910"/>
      <c r="B12" s="2124"/>
      <c r="C12" s="1179"/>
      <c r="D12" s="1179"/>
      <c r="E12" s="1179"/>
      <c r="F12" s="1179"/>
      <c r="G12" s="1179"/>
      <c r="H12" s="7829" t="s">
        <v>2163</v>
      </c>
      <c r="I12" s="6514"/>
      <c r="J12" s="6514"/>
      <c r="K12" s="6514"/>
      <c r="L12" s="6514"/>
      <c r="M12" s="6514"/>
      <c r="N12" s="6514"/>
      <c r="O12" s="6514"/>
      <c r="P12" s="6514"/>
      <c r="Q12" s="6514"/>
      <c r="R12" s="6514"/>
      <c r="S12" s="6514"/>
      <c r="T12" s="6514"/>
      <c r="U12" s="6514"/>
      <c r="V12" s="6514"/>
      <c r="W12" s="6514"/>
      <c r="X12" s="6514"/>
      <c r="Y12" s="6514"/>
      <c r="Z12" s="6514"/>
      <c r="AA12" s="6514"/>
      <c r="AB12" s="6514"/>
      <c r="AC12" s="6514"/>
      <c r="AD12" s="6514"/>
      <c r="AE12" s="6514"/>
      <c r="AF12" s="6514"/>
      <c r="AG12" s="6514"/>
      <c r="AH12" s="7830"/>
      <c r="AI12" s="7933"/>
      <c r="AJ12" s="7934"/>
      <c r="AK12" s="7934"/>
      <c r="AL12" s="7934"/>
      <c r="AM12" s="7934"/>
      <c r="AN12" s="7934"/>
      <c r="AO12" s="7934"/>
      <c r="AP12" s="2757"/>
      <c r="AQ12" s="7985"/>
      <c r="AR12" s="7985"/>
      <c r="AS12" s="7985"/>
      <c r="AT12" s="7985"/>
      <c r="AU12" s="7985"/>
      <c r="AV12" s="7985"/>
      <c r="AW12" s="7985"/>
      <c r="AX12" s="3012"/>
      <c r="AY12" s="3851"/>
      <c r="AZ12" s="3851"/>
      <c r="BA12" s="3851"/>
      <c r="BB12" s="3851"/>
      <c r="BC12" s="3851"/>
      <c r="BD12" s="3851"/>
      <c r="BE12" s="3851"/>
      <c r="BF12" s="3851"/>
      <c r="BG12" s="3851"/>
      <c r="BH12" s="3851"/>
    </row>
    <row r="13" spans="1:60" ht="11.25" customHeight="1">
      <c r="A13" s="3910"/>
      <c r="B13" s="7422" t="s">
        <v>2122</v>
      </c>
      <c r="C13" s="6764"/>
      <c r="D13" s="6764"/>
      <c r="E13" s="6764"/>
      <c r="F13" s="6764"/>
      <c r="G13" s="7423"/>
      <c r="H13" s="7791" t="s">
        <v>3506</v>
      </c>
      <c r="I13" s="7792"/>
      <c r="J13" s="7792"/>
      <c r="K13" s="7792"/>
      <c r="L13" s="7792"/>
      <c r="M13" s="7792"/>
      <c r="N13" s="7792"/>
      <c r="O13" s="7792"/>
      <c r="P13" s="7792"/>
      <c r="Q13" s="7792"/>
      <c r="R13" s="7792"/>
      <c r="S13" s="7792"/>
      <c r="T13" s="7792"/>
      <c r="U13" s="7792"/>
      <c r="V13" s="7792"/>
      <c r="W13" s="7792"/>
      <c r="X13" s="7792"/>
      <c r="Y13" s="7792"/>
      <c r="Z13" s="7792"/>
      <c r="AA13" s="7792"/>
      <c r="AB13" s="7792"/>
      <c r="AC13" s="7792"/>
      <c r="AD13" s="7792"/>
      <c r="AE13" s="7792"/>
      <c r="AF13" s="7792"/>
      <c r="AG13" s="7792"/>
      <c r="AH13" s="7793"/>
      <c r="AI13" s="7947" t="s">
        <v>2070</v>
      </c>
      <c r="AJ13" s="7948"/>
      <c r="AK13" s="7948"/>
      <c r="AL13" s="7948"/>
      <c r="AM13" s="7948"/>
      <c r="AN13" s="7834">
        <v>19</v>
      </c>
      <c r="AO13" s="7951"/>
      <c r="AP13" s="2757"/>
      <c r="AQ13" s="7985" t="str">
        <f>IF(AND(ForeignTaxPaid&lt;&gt;"",ForeignTaxPaid&gt;=1000),TEXT(ForeignTaxPaid_INT_DIV,"$0,000")&amp;" were reported on Forms",IF(AND(ForeignTaxPaid&lt;&gt;"",ForeignTaxPaid&gt;0),TEXT(ForeignTaxPaid_INT_DIV,"$0")&amp;" were reported on Forms",""))</f>
        <v/>
      </c>
      <c r="AR13" s="7985"/>
      <c r="AS13" s="7985"/>
      <c r="AT13" s="7985"/>
      <c r="AU13" s="7985"/>
      <c r="AV13" s="7985"/>
      <c r="AW13" s="7985"/>
      <c r="AX13" s="3012"/>
      <c r="AY13" s="3851"/>
      <c r="AZ13" s="3851"/>
      <c r="BA13" s="3851"/>
      <c r="BB13" s="3851"/>
      <c r="BC13" s="3851"/>
      <c r="BD13" s="3851"/>
      <c r="BE13" s="3851"/>
      <c r="BF13" s="3851"/>
      <c r="BG13" s="3851"/>
      <c r="BH13" s="3851"/>
    </row>
    <row r="14" spans="1:60" ht="11.25" customHeight="1" thickBot="1">
      <c r="A14" s="3910"/>
      <c r="B14" s="6765"/>
      <c r="C14" s="6765"/>
      <c r="D14" s="6765"/>
      <c r="E14" s="6765"/>
      <c r="F14" s="6765"/>
      <c r="G14" s="7424"/>
      <c r="H14" s="7849" t="s">
        <v>3006</v>
      </c>
      <c r="I14" s="7850"/>
      <c r="J14" s="7850"/>
      <c r="K14" s="7850"/>
      <c r="L14" s="7850"/>
      <c r="M14" s="7850"/>
      <c r="N14" s="7850"/>
      <c r="O14" s="7850"/>
      <c r="P14" s="7850"/>
      <c r="Q14" s="7850"/>
      <c r="R14" s="7850"/>
      <c r="S14" s="7850"/>
      <c r="T14" s="7850"/>
      <c r="U14" s="7850"/>
      <c r="V14" s="7850"/>
      <c r="W14" s="7850"/>
      <c r="X14" s="7850"/>
      <c r="Y14" s="7850"/>
      <c r="Z14" s="7850"/>
      <c r="AA14" s="7850"/>
      <c r="AB14" s="7850"/>
      <c r="AC14" s="7850"/>
      <c r="AD14" s="7850"/>
      <c r="AE14" s="7850"/>
      <c r="AF14" s="7850"/>
      <c r="AG14" s="7850"/>
      <c r="AH14" s="7851"/>
      <c r="AI14" s="7949"/>
      <c r="AJ14" s="7950"/>
      <c r="AK14" s="7950"/>
      <c r="AL14" s="7950"/>
      <c r="AM14" s="7950"/>
      <c r="AN14" s="7952"/>
      <c r="AO14" s="7952"/>
      <c r="AP14" s="2757"/>
      <c r="AQ14" s="7986" t="str">
        <f>IF(AND(ForeignTaxPaid&lt;&gt;"",ForeignTaxPaid&gt;0),"1099-INT &amp; DIV. Complete Form 1116,","")</f>
        <v/>
      </c>
      <c r="AR14" s="7986"/>
      <c r="AS14" s="7986"/>
      <c r="AT14" s="7986"/>
      <c r="AU14" s="7986"/>
      <c r="AV14" s="7986"/>
      <c r="AW14" s="7986"/>
      <c r="AX14" s="3013"/>
      <c r="AY14" s="3851"/>
      <c r="AZ14" s="3851"/>
      <c r="BA14" s="3851"/>
      <c r="BB14" s="3851"/>
      <c r="BC14" s="3851"/>
      <c r="BD14" s="3851"/>
      <c r="BE14" s="3851"/>
      <c r="BF14" s="3851"/>
      <c r="BG14" s="3851"/>
      <c r="BH14" s="3851"/>
    </row>
    <row r="15" spans="1:60">
      <c r="A15" s="3910"/>
      <c r="B15" s="1551" t="s">
        <v>2164</v>
      </c>
      <c r="C15" s="1274"/>
      <c r="D15" s="1274"/>
      <c r="E15" s="1274"/>
      <c r="F15" s="1274"/>
      <c r="G15" s="1274"/>
      <c r="H15" s="1274"/>
      <c r="I15" s="1274"/>
      <c r="J15" s="1274"/>
      <c r="K15" s="1274"/>
      <c r="L15" s="1274"/>
      <c r="M15" s="1274"/>
      <c r="N15" s="1274"/>
      <c r="O15" s="1274"/>
      <c r="P15" s="1274"/>
      <c r="Q15" s="1274"/>
      <c r="R15" s="1274"/>
      <c r="S15" s="1274"/>
      <c r="T15" s="1274"/>
      <c r="U15" s="1274"/>
      <c r="V15" s="1274"/>
      <c r="W15" s="1274"/>
      <c r="X15" s="1274"/>
      <c r="Y15" s="1274"/>
      <c r="Z15" s="1274"/>
      <c r="AA15" s="7827" t="s">
        <v>2210</v>
      </c>
      <c r="AB15" s="7828"/>
      <c r="AC15" s="7828"/>
      <c r="AD15" s="7828"/>
      <c r="AE15" s="7828"/>
      <c r="AF15" s="7828"/>
      <c r="AG15" s="7828"/>
      <c r="AH15" s="7828"/>
      <c r="AI15" s="7828"/>
      <c r="AJ15" s="7828"/>
      <c r="AK15" s="7828"/>
      <c r="AL15" s="7828"/>
      <c r="AM15" s="7828"/>
      <c r="AN15" s="7828"/>
      <c r="AO15" s="7828"/>
      <c r="AP15" s="2757"/>
      <c r="AQ15" s="7987" t="str">
        <f>IF(AND(ForeignTaxPaid&lt;&gt;"",ForeignTaxPaid&gt;0),"to determine Sch.3, Line 1 amount.","")</f>
        <v/>
      </c>
      <c r="AR15" s="7987"/>
      <c r="AS15" s="7987"/>
      <c r="AT15" s="7987"/>
      <c r="AU15" s="7987"/>
      <c r="AV15" s="7987"/>
      <c r="AW15" s="7987"/>
      <c r="AX15" s="3013"/>
      <c r="AY15" s="3851"/>
      <c r="AZ15" s="3851"/>
      <c r="BA15" s="3851"/>
      <c r="BB15" s="3851"/>
      <c r="BC15" s="3851"/>
      <c r="BD15" s="3851"/>
      <c r="BE15" s="3851"/>
      <c r="BF15" s="3851"/>
      <c r="BG15" s="3851"/>
      <c r="BH15" s="3851"/>
    </row>
    <row r="16" spans="1:60" ht="9" customHeight="1">
      <c r="A16" s="3910"/>
      <c r="B16" s="7727" t="str">
        <f>Names</f>
        <v/>
      </c>
      <c r="C16" s="6792"/>
      <c r="D16" s="6792"/>
      <c r="E16" s="6792"/>
      <c r="F16" s="6792"/>
      <c r="G16" s="6792"/>
      <c r="H16" s="6792"/>
      <c r="I16" s="6792"/>
      <c r="J16" s="6792"/>
      <c r="K16" s="6792"/>
      <c r="L16" s="6792"/>
      <c r="M16" s="6792"/>
      <c r="N16" s="6792"/>
      <c r="O16" s="6792"/>
      <c r="P16" s="6792"/>
      <c r="Q16" s="6792"/>
      <c r="R16" s="6792"/>
      <c r="S16" s="6792"/>
      <c r="T16" s="6792"/>
      <c r="U16" s="6792"/>
      <c r="V16" s="6792"/>
      <c r="W16" s="6792"/>
      <c r="X16" s="6792"/>
      <c r="Y16" s="6792"/>
      <c r="Z16" s="6792"/>
      <c r="AA16" s="7746">
        <f>IF(NoSSN,"",SS_Yours)</f>
        <v>1010001</v>
      </c>
      <c r="AB16" s="7747"/>
      <c r="AC16" s="7747"/>
      <c r="AD16" s="7747"/>
      <c r="AE16" s="7747"/>
      <c r="AF16" s="7747"/>
      <c r="AG16" s="7747"/>
      <c r="AH16" s="7747"/>
      <c r="AI16" s="7747"/>
      <c r="AJ16" s="7747"/>
      <c r="AK16" s="7747"/>
      <c r="AL16" s="7747"/>
      <c r="AM16" s="7747"/>
      <c r="AN16" s="7747"/>
      <c r="AO16" s="7747"/>
      <c r="AP16" s="2757"/>
      <c r="AQ16" s="1179"/>
      <c r="AR16" s="1179"/>
      <c r="AS16" s="1179"/>
      <c r="AT16" s="1179"/>
      <c r="AU16" s="1179"/>
      <c r="AV16" s="1179"/>
      <c r="AW16" s="1179"/>
      <c r="AX16" s="3013"/>
      <c r="AY16" s="3851"/>
      <c r="AZ16" s="3851"/>
      <c r="BA16" s="3851"/>
      <c r="BB16" s="3851"/>
      <c r="BC16" s="3851"/>
      <c r="BD16" s="3851"/>
      <c r="BE16" s="3851"/>
      <c r="BF16" s="3851"/>
      <c r="BG16" s="3851"/>
      <c r="BH16" s="3851"/>
    </row>
    <row r="17" spans="1:60" ht="9" customHeight="1">
      <c r="A17" s="3910"/>
      <c r="B17" s="7088"/>
      <c r="C17" s="7088"/>
      <c r="D17" s="7088"/>
      <c r="E17" s="7088"/>
      <c r="F17" s="7088"/>
      <c r="G17" s="7088"/>
      <c r="H17" s="7088"/>
      <c r="I17" s="7088"/>
      <c r="J17" s="7088"/>
      <c r="K17" s="7088"/>
      <c r="L17" s="7088"/>
      <c r="M17" s="7088"/>
      <c r="N17" s="7088"/>
      <c r="O17" s="7088"/>
      <c r="P17" s="7088"/>
      <c r="Q17" s="7088"/>
      <c r="R17" s="7088"/>
      <c r="S17" s="7088"/>
      <c r="T17" s="7088"/>
      <c r="U17" s="7088"/>
      <c r="V17" s="7088"/>
      <c r="W17" s="7088"/>
      <c r="X17" s="7088"/>
      <c r="Y17" s="7088"/>
      <c r="Z17" s="7088"/>
      <c r="AA17" s="7748"/>
      <c r="AB17" s="7749"/>
      <c r="AC17" s="7749"/>
      <c r="AD17" s="7749"/>
      <c r="AE17" s="7749"/>
      <c r="AF17" s="7749"/>
      <c r="AG17" s="7749"/>
      <c r="AH17" s="7749"/>
      <c r="AI17" s="7749"/>
      <c r="AJ17" s="7749"/>
      <c r="AK17" s="7749"/>
      <c r="AL17" s="7749"/>
      <c r="AM17" s="7749"/>
      <c r="AN17" s="7749"/>
      <c r="AO17" s="7749"/>
      <c r="AP17" s="2757"/>
      <c r="AQ17" s="1179"/>
      <c r="AR17" s="1179"/>
      <c r="AS17" s="1179"/>
      <c r="AT17" s="1179"/>
      <c r="AU17" s="1179"/>
      <c r="AV17" s="1179"/>
      <c r="AW17" s="1179"/>
      <c r="AX17" s="3013"/>
      <c r="AY17" s="3851"/>
      <c r="AZ17" s="3851"/>
      <c r="BA17" s="3851"/>
      <c r="BB17" s="3851"/>
      <c r="BC17" s="3851"/>
      <c r="BD17" s="3851"/>
      <c r="BE17" s="3851"/>
      <c r="BF17" s="3851"/>
      <c r="BG17" s="3851"/>
      <c r="BH17" s="3851"/>
    </row>
    <row r="18" spans="1:60" ht="12.75" customHeight="1">
      <c r="A18" s="3910"/>
      <c r="B18" s="2731" t="s">
        <v>2489</v>
      </c>
      <c r="C18" s="1574"/>
      <c r="D18" s="1574"/>
      <c r="E18" s="1574"/>
      <c r="F18" s="1574"/>
      <c r="G18" s="1574"/>
      <c r="H18" s="1574"/>
      <c r="I18" s="1574"/>
      <c r="J18" s="1574"/>
      <c r="K18" s="1574"/>
      <c r="L18" s="1574"/>
      <c r="M18" s="1574"/>
      <c r="N18" s="1574"/>
      <c r="O18" s="1574"/>
      <c r="P18" s="1574"/>
      <c r="Q18" s="1574"/>
      <c r="R18" s="1574"/>
      <c r="S18" s="1574"/>
      <c r="T18" s="1574"/>
      <c r="U18" s="1574"/>
      <c r="V18" s="1574"/>
      <c r="W18" s="1574"/>
      <c r="X18" s="1574"/>
      <c r="Y18" s="1574"/>
      <c r="Z18" s="1574"/>
      <c r="AA18" s="1574"/>
      <c r="AB18" s="1574"/>
      <c r="AC18" s="1574"/>
      <c r="AD18" s="1574"/>
      <c r="AE18" s="1574"/>
      <c r="AF18" s="1574"/>
      <c r="AG18" s="1574"/>
      <c r="AH18" s="1574"/>
      <c r="AI18" s="3654" t="s">
        <v>2490</v>
      </c>
      <c r="AJ18" s="1574"/>
      <c r="AK18" s="1574"/>
      <c r="AL18" s="1574"/>
      <c r="AM18" s="1574"/>
      <c r="AN18" s="1574"/>
      <c r="AO18" s="1230"/>
      <c r="AP18" s="2757"/>
      <c r="AQ18" s="1284" t="b">
        <f>AND(AO20&lt;2,AO151&lt;2,AO281&lt;2,SUM(AO20,AO151,AO281)&gt;1)</f>
        <v>0</v>
      </c>
      <c r="AR18" s="1284"/>
      <c r="AS18" s="1284"/>
      <c r="AT18" s="1284"/>
      <c r="AU18" s="1284"/>
      <c r="AV18" s="3056"/>
      <c r="AW18" s="3056"/>
      <c r="AX18" s="3013"/>
      <c r="AY18" s="3851"/>
      <c r="AZ18" s="3851"/>
      <c r="BA18" s="3851"/>
      <c r="BB18" s="3851"/>
      <c r="BC18" s="3851"/>
      <c r="BD18" s="3851"/>
      <c r="BE18" s="3851"/>
      <c r="BF18" s="3851"/>
      <c r="BG18" s="3851"/>
      <c r="BH18" s="3851"/>
    </row>
    <row r="19" spans="1:60" ht="12.75" customHeight="1">
      <c r="A19" s="3909"/>
      <c r="B19" s="1262" t="s">
        <v>2491</v>
      </c>
      <c r="C19" s="1179"/>
      <c r="D19" s="1179"/>
      <c r="E19" s="1262" t="s">
        <v>2492</v>
      </c>
      <c r="F19" s="1540"/>
      <c r="G19" s="1179"/>
      <c r="H19" s="1179"/>
      <c r="I19" s="1179"/>
      <c r="J19" s="1179"/>
      <c r="K19" s="1179"/>
      <c r="L19" s="1179"/>
      <c r="M19" s="1179"/>
      <c r="N19" s="1179"/>
      <c r="O19" s="1179"/>
      <c r="P19" s="1179"/>
      <c r="Q19" s="1179"/>
      <c r="R19" s="1179"/>
      <c r="S19" s="1179"/>
      <c r="T19" s="1179"/>
      <c r="U19" s="1179"/>
      <c r="V19" s="1179"/>
      <c r="W19" s="1179"/>
      <c r="X19" s="1179"/>
      <c r="Y19" s="1179"/>
      <c r="Z19" s="1179"/>
      <c r="AA19" s="1179"/>
      <c r="AB19" s="1179"/>
      <c r="AC19" s="1179"/>
      <c r="AD19" s="1179"/>
      <c r="AE19" s="1179"/>
      <c r="AF19" s="1179"/>
      <c r="AG19" s="1179"/>
      <c r="AH19" s="1179"/>
      <c r="AI19" s="1179"/>
      <c r="AJ19" s="1179"/>
      <c r="AK19" s="1179"/>
      <c r="AL19" s="1179"/>
      <c r="AM19" s="1179"/>
      <c r="AN19" s="1179"/>
      <c r="AO19" s="1179"/>
      <c r="AP19" s="2757"/>
      <c r="AQ19" s="4734"/>
      <c r="AR19" s="7845"/>
      <c r="AS19" s="7846"/>
      <c r="AT19" s="7846"/>
      <c r="AU19" s="7846"/>
      <c r="AV19" s="1284"/>
      <c r="AW19" s="1284"/>
      <c r="AX19" s="3013"/>
      <c r="AY19" s="3851"/>
      <c r="AZ19" s="3851"/>
      <c r="BA19" s="3851"/>
      <c r="BB19" s="3851"/>
      <c r="BC19" s="3851"/>
      <c r="BD19" s="3851"/>
      <c r="BE19" s="3851"/>
      <c r="BF19" s="3851"/>
      <c r="BG19" s="3851"/>
      <c r="BH19" s="3851"/>
    </row>
    <row r="20" spans="1:60" ht="8.25" customHeight="1">
      <c r="A20" s="3910"/>
      <c r="B20" s="1179"/>
      <c r="C20" s="2258">
        <f>IF(C21&lt;&gt;"",1,0)</f>
        <v>0</v>
      </c>
      <c r="D20" s="1284"/>
      <c r="E20" s="1284"/>
      <c r="F20" s="2815"/>
      <c r="G20" s="1284"/>
      <c r="H20" s="1284"/>
      <c r="I20" s="1284"/>
      <c r="J20" s="1284"/>
      <c r="K20" s="2258">
        <f>IF(K21&lt;&gt;"",1,0)</f>
        <v>0</v>
      </c>
      <c r="L20" s="1284"/>
      <c r="M20" s="1284"/>
      <c r="N20" s="2258"/>
      <c r="O20" s="1284"/>
      <c r="P20" s="1284"/>
      <c r="Q20" s="1284"/>
      <c r="R20" s="1284"/>
      <c r="S20" s="1284"/>
      <c r="T20" s="1284"/>
      <c r="U20" s="1284"/>
      <c r="V20" s="1284"/>
      <c r="W20" s="2258">
        <f>IF(W21&lt;&gt;"",1,0)</f>
        <v>0</v>
      </c>
      <c r="X20" s="1284"/>
      <c r="Y20" s="1284"/>
      <c r="Z20" s="1284"/>
      <c r="AA20" s="1284"/>
      <c r="AB20" s="2258"/>
      <c r="AC20" s="1179"/>
      <c r="AD20" s="1179"/>
      <c r="AE20" s="1179"/>
      <c r="AF20" s="1179"/>
      <c r="AG20" s="1179"/>
      <c r="AH20" s="1179"/>
      <c r="AI20" s="2258">
        <f>IF(AI21&lt;&gt;"",1,0)</f>
        <v>0</v>
      </c>
      <c r="AJ20" s="1179"/>
      <c r="AK20" s="1179"/>
      <c r="AL20" s="1179"/>
      <c r="AM20" s="1179"/>
      <c r="AN20" s="1179"/>
      <c r="AO20" s="2523">
        <f>SUM(C20,K20,W20,AI20,C22,K22,W22)</f>
        <v>0</v>
      </c>
      <c r="AP20" s="2757"/>
      <c r="AQ20" s="1284"/>
      <c r="AR20" s="1284"/>
      <c r="AS20" s="1284"/>
      <c r="AT20" s="1284"/>
      <c r="AU20" s="1284"/>
      <c r="AV20" s="1284"/>
      <c r="AW20" s="1284"/>
      <c r="AX20" s="3013"/>
      <c r="AY20" s="3851"/>
      <c r="AZ20" s="3851"/>
      <c r="BA20" s="3851"/>
      <c r="BB20" s="3851"/>
      <c r="BC20" s="3851"/>
      <c r="BD20" s="3851"/>
      <c r="BE20" s="3851"/>
      <c r="BF20" s="3851"/>
      <c r="BG20" s="3851"/>
      <c r="BH20" s="3851"/>
    </row>
    <row r="21" spans="1:60" ht="13.5" customHeight="1">
      <c r="A21" s="3909" t="b">
        <f>AND(K21&lt;&gt;"",AO20=1,A78)</f>
        <v>0</v>
      </c>
      <c r="B21" s="2772" t="s">
        <v>33</v>
      </c>
      <c r="C21" s="1334"/>
      <c r="D21" s="2787" t="s">
        <v>2487</v>
      </c>
      <c r="E21" s="1179"/>
      <c r="F21" s="1179"/>
      <c r="G21" s="1179"/>
      <c r="H21" s="1179"/>
      <c r="I21" s="1179"/>
      <c r="J21" s="2772" t="s">
        <v>48</v>
      </c>
      <c r="K21" s="1334"/>
      <c r="L21" s="2787" t="s">
        <v>2165</v>
      </c>
      <c r="M21" s="2787"/>
      <c r="N21" s="1276"/>
      <c r="O21" s="2787"/>
      <c r="P21" s="1276"/>
      <c r="Q21" s="1179"/>
      <c r="R21" s="1179"/>
      <c r="S21" s="1179"/>
      <c r="T21" s="1179"/>
      <c r="U21" s="1179"/>
      <c r="V21" s="2772" t="s">
        <v>964</v>
      </c>
      <c r="W21" s="1334"/>
      <c r="X21" s="2787" t="s">
        <v>2166</v>
      </c>
      <c r="Y21" s="1179"/>
      <c r="Z21" s="1179"/>
      <c r="AA21" s="2772"/>
      <c r="AB21" s="1179"/>
      <c r="AC21" s="2787"/>
      <c r="AD21" s="2772"/>
      <c r="AE21" s="1179"/>
      <c r="AF21" s="2772"/>
      <c r="AG21" s="1179"/>
      <c r="AH21" s="2772" t="s">
        <v>2133</v>
      </c>
      <c r="AI21" s="1334"/>
      <c r="AJ21" s="2787" t="s">
        <v>2167</v>
      </c>
      <c r="AK21" s="1179"/>
      <c r="AL21" s="1179"/>
      <c r="AM21" s="1179"/>
      <c r="AN21" s="1179"/>
      <c r="AO21" s="1258"/>
      <c r="AP21" s="2757"/>
      <c r="AQ21" s="4038" t="str">
        <f>IF(NOT(AO20),"←  Check one box.","")</f>
        <v>←  Check one box.</v>
      </c>
      <c r="AR21" s="4733"/>
      <c r="AS21" s="4733"/>
      <c r="AT21" s="3022"/>
      <c r="AU21" s="4733"/>
      <c r="AV21" s="4733"/>
      <c r="AW21" s="3056"/>
      <c r="AX21" s="3013"/>
      <c r="AY21" s="3851"/>
      <c r="AZ21" s="3851"/>
      <c r="BA21" s="3851"/>
      <c r="BB21" s="3851"/>
      <c r="BC21" s="3851"/>
      <c r="BD21" s="3851"/>
      <c r="BE21" s="3851"/>
      <c r="BF21" s="3851"/>
      <c r="BG21" s="3851"/>
      <c r="BH21" s="3851"/>
    </row>
    <row r="22" spans="1:60" ht="6" customHeight="1">
      <c r="A22" s="3910"/>
      <c r="B22" s="2702"/>
      <c r="C22" s="2258">
        <f>IF(C23&lt;&gt;"",1,0)</f>
        <v>0</v>
      </c>
      <c r="D22" s="2816"/>
      <c r="E22" s="1284"/>
      <c r="F22" s="1284"/>
      <c r="G22" s="1284"/>
      <c r="H22" s="1284"/>
      <c r="I22" s="1284"/>
      <c r="J22" s="1284"/>
      <c r="K22" s="2258">
        <f>IF(K23&lt;&gt;"",1,0)</f>
        <v>0</v>
      </c>
      <c r="L22" s="1284"/>
      <c r="M22" s="1284"/>
      <c r="N22" s="2258"/>
      <c r="O22" s="1179"/>
      <c r="P22" s="1179"/>
      <c r="Q22" s="1179"/>
      <c r="R22" s="1179"/>
      <c r="S22" s="1179"/>
      <c r="T22" s="1179"/>
      <c r="U22" s="1179"/>
      <c r="V22" s="1179"/>
      <c r="W22" s="2258">
        <f>IF(W23&lt;&gt;"",1,0)</f>
        <v>0</v>
      </c>
      <c r="X22" s="1179"/>
      <c r="Y22" s="1179"/>
      <c r="Z22" s="1179"/>
      <c r="AA22" s="1179"/>
      <c r="AB22" s="1179"/>
      <c r="AC22" s="1179"/>
      <c r="AD22" s="1179"/>
      <c r="AE22" s="1179"/>
      <c r="AF22" s="1179"/>
      <c r="AG22" s="1179"/>
      <c r="AH22" s="1179"/>
      <c r="AI22" s="1179"/>
      <c r="AJ22" s="1179"/>
      <c r="AK22" s="1179"/>
      <c r="AL22" s="1179"/>
      <c r="AM22" s="1179"/>
      <c r="AN22" s="1179"/>
      <c r="AO22" s="1179"/>
      <c r="AP22" s="2757"/>
      <c r="AQ22" s="1277"/>
      <c r="AR22" s="1277"/>
      <c r="AS22" s="1277"/>
      <c r="AT22" s="1277"/>
      <c r="AU22" s="1277"/>
      <c r="AV22" s="1277"/>
      <c r="AW22" s="1277"/>
      <c r="AX22" s="3013"/>
      <c r="AY22" s="3851"/>
      <c r="AZ22" s="3851"/>
      <c r="BA22" s="3851"/>
      <c r="BB22" s="3851"/>
      <c r="BC22" s="3851"/>
      <c r="BD22" s="3851"/>
      <c r="BE22" s="3851"/>
      <c r="BF22" s="3851"/>
      <c r="BG22" s="3851"/>
      <c r="BH22" s="3851"/>
    </row>
    <row r="23" spans="1:60" ht="13.5" customHeight="1">
      <c r="A23" s="3910"/>
      <c r="B23" s="2772" t="s">
        <v>47</v>
      </c>
      <c r="C23" s="1334"/>
      <c r="D23" s="2787" t="s">
        <v>2488</v>
      </c>
      <c r="E23" s="1179"/>
      <c r="F23" s="1179"/>
      <c r="G23" s="1179"/>
      <c r="H23" s="1179"/>
      <c r="I23" s="1179"/>
      <c r="J23" s="2772" t="s">
        <v>92</v>
      </c>
      <c r="K23" s="1334"/>
      <c r="L23" s="2787" t="s">
        <v>2168</v>
      </c>
      <c r="M23" s="2787"/>
      <c r="N23" s="1276"/>
      <c r="O23" s="2787"/>
      <c r="P23" s="1276"/>
      <c r="Q23" s="1179"/>
      <c r="R23" s="1179"/>
      <c r="S23" s="1179"/>
      <c r="T23" s="1179"/>
      <c r="U23" s="1179"/>
      <c r="V23" s="2772" t="s">
        <v>965</v>
      </c>
      <c r="W23" s="1334"/>
      <c r="X23" s="2787" t="s">
        <v>2169</v>
      </c>
      <c r="Y23" s="1179"/>
      <c r="Z23" s="1179"/>
      <c r="AA23" s="1179"/>
      <c r="AB23" s="1179"/>
      <c r="AC23" s="1179"/>
      <c r="AD23" s="1179"/>
      <c r="AE23" s="1179"/>
      <c r="AF23" s="1179"/>
      <c r="AG23" s="1179"/>
      <c r="AH23" s="1179"/>
      <c r="AI23" s="1179"/>
      <c r="AJ23" s="1179"/>
      <c r="AK23" s="1179"/>
      <c r="AL23" s="1179"/>
      <c r="AM23" s="1179"/>
      <c r="AN23" s="1179"/>
      <c r="AO23" s="1284" t="b">
        <f>AO20&lt;&gt;1</f>
        <v>1</v>
      </c>
      <c r="AP23" s="2757"/>
      <c r="AQ23" s="1284"/>
      <c r="AR23" s="4698"/>
      <c r="AS23" s="4698"/>
      <c r="AT23" s="4698"/>
      <c r="AU23" s="4698"/>
      <c r="AV23" s="3022"/>
      <c r="AW23" s="3056"/>
      <c r="AX23" s="3013"/>
      <c r="AY23" s="3851"/>
      <c r="AZ23" s="3851"/>
      <c r="BA23" s="3851"/>
      <c r="BB23" s="3851"/>
      <c r="BC23" s="3851"/>
      <c r="BD23" s="3851"/>
      <c r="BE23" s="3851"/>
      <c r="BF23" s="3851"/>
      <c r="BG23" s="3851"/>
      <c r="BH23" s="3851"/>
    </row>
    <row r="24" spans="1:60" ht="8.25" customHeight="1">
      <c r="A24" s="3910"/>
      <c r="B24" s="2702"/>
      <c r="C24" s="2773"/>
      <c r="D24" s="2686"/>
      <c r="E24" s="1179"/>
      <c r="F24" s="1179"/>
      <c r="G24" s="1179"/>
      <c r="H24" s="1179"/>
      <c r="I24" s="1179"/>
      <c r="J24" s="1179"/>
      <c r="K24" s="1179"/>
      <c r="L24" s="1179"/>
      <c r="M24" s="1179"/>
      <c r="N24" s="1179"/>
      <c r="O24" s="1179"/>
      <c r="P24" s="1179"/>
      <c r="Q24" s="1179"/>
      <c r="R24" s="1179"/>
      <c r="S24" s="1179"/>
      <c r="T24" s="1179"/>
      <c r="U24" s="1179"/>
      <c r="V24" s="1179"/>
      <c r="W24" s="1179"/>
      <c r="X24" s="1179"/>
      <c r="Y24" s="1179"/>
      <c r="Z24" s="1179"/>
      <c r="AA24" s="1179"/>
      <c r="AB24" s="1179"/>
      <c r="AC24" s="1179"/>
      <c r="AD24" s="1179"/>
      <c r="AE24" s="1179"/>
      <c r="AF24" s="1179"/>
      <c r="AG24" s="1179"/>
      <c r="AH24" s="1179"/>
      <c r="AI24" s="1179"/>
      <c r="AJ24" s="1179"/>
      <c r="AK24" s="1179"/>
      <c r="AL24" s="1179"/>
      <c r="AM24" s="1179"/>
      <c r="AN24" s="1179"/>
      <c r="AO24" s="1179"/>
      <c r="AP24" s="2757"/>
      <c r="AQ24" s="4734"/>
      <c r="AR24" s="4735"/>
      <c r="AS24" s="4735"/>
      <c r="AT24" s="4734"/>
      <c r="AU24" s="4735"/>
      <c r="AV24" s="3022"/>
      <c r="AW24" s="3056"/>
      <c r="AX24" s="3013"/>
      <c r="AY24" s="3851"/>
      <c r="AZ24" s="3851"/>
      <c r="BA24" s="3851"/>
      <c r="BB24" s="3851"/>
      <c r="BC24" s="3851"/>
      <c r="BD24" s="3851"/>
      <c r="BE24" s="3851"/>
      <c r="BF24" s="3851"/>
      <c r="BG24" s="3851"/>
      <c r="BH24" s="3851"/>
    </row>
    <row r="25" spans="1:60" ht="15.75" customHeight="1">
      <c r="A25" s="3910"/>
      <c r="B25" s="2788" t="s">
        <v>120</v>
      </c>
      <c r="C25" s="2789" t="s">
        <v>2170</v>
      </c>
      <c r="D25" s="1554"/>
      <c r="E25" s="1554"/>
      <c r="F25" s="1554"/>
      <c r="G25" s="1554"/>
      <c r="H25" s="1554"/>
      <c r="I25" s="1554"/>
      <c r="J25" s="1554"/>
      <c r="K25" s="1554"/>
      <c r="L25" s="7750"/>
      <c r="M25" s="7750"/>
      <c r="N25" s="7750"/>
      <c r="O25" s="7750"/>
      <c r="P25" s="7750"/>
      <c r="Q25" s="7750"/>
      <c r="R25" s="7750"/>
      <c r="S25" s="7750"/>
      <c r="T25" s="7750"/>
      <c r="U25" s="7750"/>
      <c r="V25" s="7750"/>
      <c r="W25" s="7750"/>
      <c r="X25" s="7750"/>
      <c r="Y25" s="7750"/>
      <c r="Z25" s="7750"/>
      <c r="AA25" s="7750"/>
      <c r="AB25" s="7750"/>
      <c r="AC25" s="7750"/>
      <c r="AD25" s="7750"/>
      <c r="AE25" s="7750"/>
      <c r="AF25" s="7750"/>
      <c r="AG25" s="7750"/>
      <c r="AH25" s="7750"/>
      <c r="AI25" s="7750"/>
      <c r="AJ25" s="7750"/>
      <c r="AK25" s="7750"/>
      <c r="AL25" s="7750"/>
      <c r="AM25" s="7750"/>
      <c r="AN25" s="7750"/>
      <c r="AO25" s="7750"/>
      <c r="AP25" s="2757"/>
      <c r="AQ25" s="2487" t="s">
        <v>33</v>
      </c>
      <c r="AR25" s="7781">
        <f t="shared" ref="AR25:AR31" si="0">SUM(AR127,AR257,AR387)</f>
        <v>0</v>
      </c>
      <c r="AS25" s="7781"/>
      <c r="AT25" s="7781"/>
      <c r="AU25" s="7781"/>
      <c r="AV25" s="1284"/>
      <c r="AW25" s="1284"/>
      <c r="AX25" s="3013"/>
      <c r="AY25" s="3851"/>
      <c r="AZ25" s="3851"/>
      <c r="BA25" s="3851"/>
      <c r="BB25" s="3851"/>
      <c r="BC25" s="3851"/>
      <c r="BD25" s="3851"/>
      <c r="BE25" s="3851"/>
      <c r="BF25" s="3851"/>
      <c r="BG25" s="3851"/>
      <c r="BH25" s="3851"/>
    </row>
    <row r="26" spans="1:60" ht="12.75" customHeight="1">
      <c r="A26" s="3910"/>
      <c r="B26" s="6176" t="s">
        <v>27</v>
      </c>
      <c r="C26" s="7778"/>
      <c r="D26" s="1276" t="s">
        <v>2171</v>
      </c>
      <c r="E26" s="1179"/>
      <c r="F26" s="1179"/>
      <c r="G26" s="1179"/>
      <c r="H26" s="1179"/>
      <c r="I26" s="1179"/>
      <c r="J26" s="1179"/>
      <c r="K26" s="1179"/>
      <c r="L26" s="1179"/>
      <c r="M26" s="1179"/>
      <c r="N26" s="1179"/>
      <c r="O26" s="1179"/>
      <c r="P26" s="1179"/>
      <c r="Q26" s="1179"/>
      <c r="R26" s="1179"/>
      <c r="S26" s="1179"/>
      <c r="T26" s="1179"/>
      <c r="U26" s="1179"/>
      <c r="V26" s="1179"/>
      <c r="W26" s="1179"/>
      <c r="X26" s="1179"/>
      <c r="Y26" s="1179"/>
      <c r="Z26" s="1179"/>
      <c r="AA26" s="1179"/>
      <c r="AB26" s="1179"/>
      <c r="AC26" s="1179"/>
      <c r="AD26" s="1179"/>
      <c r="AE26" s="1179"/>
      <c r="AF26" s="1179"/>
      <c r="AG26" s="1179"/>
      <c r="AH26" s="1179"/>
      <c r="AI26" s="1179"/>
      <c r="AJ26" s="1179"/>
      <c r="AK26" s="1179"/>
      <c r="AL26" s="1179"/>
      <c r="AM26" s="1179"/>
      <c r="AN26" s="1179"/>
      <c r="AO26" s="1179"/>
      <c r="AP26" s="2757"/>
      <c r="AQ26" s="2487" t="s">
        <v>47</v>
      </c>
      <c r="AR26" s="7782">
        <f t="shared" si="0"/>
        <v>0</v>
      </c>
      <c r="AS26" s="7782"/>
      <c r="AT26" s="7782"/>
      <c r="AU26" s="7782"/>
      <c r="AV26" s="1284"/>
      <c r="AW26" s="1284"/>
      <c r="AX26" s="3013"/>
      <c r="AY26" s="3851"/>
      <c r="AZ26" s="3851"/>
      <c r="BA26" s="3851"/>
      <c r="BB26" s="3851"/>
      <c r="BC26" s="3851"/>
      <c r="BD26" s="3851"/>
      <c r="BE26" s="3851"/>
      <c r="BF26" s="3851"/>
      <c r="BG26" s="3851"/>
      <c r="BH26" s="3851"/>
    </row>
    <row r="27" spans="1:60" ht="12.75" customHeight="1">
      <c r="A27" s="3910"/>
      <c r="B27" s="2803" t="s">
        <v>2209</v>
      </c>
      <c r="C27" s="2790"/>
      <c r="D27" s="2791"/>
      <c r="E27" s="1553"/>
      <c r="F27" s="1553"/>
      <c r="G27" s="1553"/>
      <c r="H27" s="1553"/>
      <c r="I27" s="1553"/>
      <c r="J27" s="1553"/>
      <c r="K27" s="1553"/>
      <c r="L27" s="1553"/>
      <c r="M27" s="1553"/>
      <c r="N27" s="1553"/>
      <c r="O27" s="1553"/>
      <c r="P27" s="1553"/>
      <c r="Q27" s="1553"/>
      <c r="R27" s="1553"/>
      <c r="S27" s="1553"/>
      <c r="T27" s="1553"/>
      <c r="U27" s="1553"/>
      <c r="V27" s="1553"/>
      <c r="W27" s="1553"/>
      <c r="X27" s="1553"/>
      <c r="Y27" s="1553"/>
      <c r="Z27" s="1553"/>
      <c r="AA27" s="1553"/>
      <c r="AB27" s="1553"/>
      <c r="AC27" s="1553"/>
      <c r="AD27" s="1553"/>
      <c r="AE27" s="1553"/>
      <c r="AF27" s="1553"/>
      <c r="AG27" s="1553"/>
      <c r="AH27" s="1553"/>
      <c r="AI27" s="1553"/>
      <c r="AJ27" s="1553"/>
      <c r="AK27" s="1553"/>
      <c r="AL27" s="1553"/>
      <c r="AM27" s="1553"/>
      <c r="AN27" s="1553"/>
      <c r="AO27" s="1553"/>
      <c r="AP27" s="2757"/>
      <c r="AQ27" s="2487" t="s">
        <v>48</v>
      </c>
      <c r="AR27" s="7781">
        <f t="shared" si="0"/>
        <v>0</v>
      </c>
      <c r="AS27" s="7781"/>
      <c r="AT27" s="7781"/>
      <c r="AU27" s="7781"/>
      <c r="AV27" s="1284"/>
      <c r="AW27" s="1284"/>
      <c r="AX27" s="3013"/>
      <c r="AY27" s="3851"/>
      <c r="AZ27" s="3851"/>
      <c r="BA27" s="3851"/>
      <c r="BB27" s="3851"/>
      <c r="BC27" s="3851"/>
      <c r="BD27" s="3851"/>
      <c r="BE27" s="3851"/>
      <c r="BF27" s="3851"/>
      <c r="BG27" s="3851"/>
      <c r="BH27" s="3851"/>
    </row>
    <row r="28" spans="1:60" s="2689" customFormat="1" ht="17.25" customHeight="1">
      <c r="A28" s="3912"/>
      <c r="B28" s="7220" t="s">
        <v>51</v>
      </c>
      <c r="C28" s="7220"/>
      <c r="D28" s="7221"/>
      <c r="E28" s="7832" t="s">
        <v>2519</v>
      </c>
      <c r="F28" s="7833"/>
      <c r="G28" s="7833"/>
      <c r="H28" s="7833"/>
      <c r="I28" s="7833"/>
      <c r="J28" s="7833"/>
      <c r="K28" s="7833"/>
      <c r="L28" s="7833"/>
      <c r="M28" s="7833"/>
      <c r="N28" s="7833"/>
      <c r="O28" s="7833"/>
      <c r="P28" s="7833"/>
      <c r="Q28" s="7833"/>
      <c r="R28" s="7833"/>
      <c r="S28" s="7833"/>
      <c r="T28" s="7833"/>
      <c r="U28" s="7833"/>
      <c r="V28" s="7833"/>
      <c r="W28" s="7833"/>
      <c r="X28" s="7833"/>
      <c r="Y28" s="7833"/>
      <c r="Z28" s="7833"/>
      <c r="AA28" s="7833"/>
      <c r="AB28" s="7833"/>
      <c r="AC28" s="7833"/>
      <c r="AD28" s="7833"/>
      <c r="AE28" s="7833"/>
      <c r="AF28" s="7833"/>
      <c r="AG28" s="7833"/>
      <c r="AH28" s="7833"/>
      <c r="AI28" s="7833"/>
      <c r="AJ28" s="7833"/>
      <c r="AK28" s="7833"/>
      <c r="AL28" s="7833"/>
      <c r="AM28" s="7833"/>
      <c r="AN28" s="7833"/>
      <c r="AO28" s="7833"/>
      <c r="AP28" s="2757"/>
      <c r="AQ28" s="2487" t="s">
        <v>92</v>
      </c>
      <c r="AR28" s="7782">
        <f t="shared" si="0"/>
        <v>0</v>
      </c>
      <c r="AS28" s="7782"/>
      <c r="AT28" s="7782"/>
      <c r="AU28" s="7782"/>
      <c r="AV28" s="1284"/>
      <c r="AW28" s="1284"/>
      <c r="AX28" s="3013"/>
      <c r="AY28" s="3851"/>
      <c r="AZ28" s="3851"/>
      <c r="BA28" s="3851"/>
      <c r="BB28" s="3851"/>
      <c r="BC28" s="3851"/>
      <c r="BD28" s="3851"/>
      <c r="BE28" s="3851"/>
      <c r="BF28" s="3851"/>
      <c r="BG28" s="3851"/>
      <c r="BH28" s="3851"/>
    </row>
    <row r="29" spans="1:60" ht="14.25">
      <c r="A29" s="3910"/>
      <c r="B29" s="7796"/>
      <c r="C29" s="7796"/>
      <c r="D29" s="2686"/>
      <c r="E29" s="1179"/>
      <c r="F29" s="1179"/>
      <c r="G29" s="1179"/>
      <c r="H29" s="1179"/>
      <c r="I29" s="1179"/>
      <c r="J29" s="1179"/>
      <c r="K29" s="1179"/>
      <c r="L29" s="1179"/>
      <c r="M29" s="1179"/>
      <c r="N29" s="1179"/>
      <c r="O29" s="1179"/>
      <c r="P29" s="7797" t="s">
        <v>2178</v>
      </c>
      <c r="Q29" s="7798"/>
      <c r="R29" s="7798"/>
      <c r="S29" s="7798"/>
      <c r="T29" s="7798"/>
      <c r="U29" s="7798"/>
      <c r="V29" s="7798"/>
      <c r="W29" s="7798"/>
      <c r="X29" s="7798"/>
      <c r="Y29" s="7798"/>
      <c r="Z29" s="7798"/>
      <c r="AA29" s="7798"/>
      <c r="AB29" s="7798"/>
      <c r="AC29" s="7798"/>
      <c r="AD29" s="7798"/>
      <c r="AE29" s="7798"/>
      <c r="AF29" s="7798"/>
      <c r="AG29" s="7798"/>
      <c r="AH29" s="7798"/>
      <c r="AI29" s="7799"/>
      <c r="AJ29" s="7261" t="s">
        <v>2172</v>
      </c>
      <c r="AK29" s="6869"/>
      <c r="AL29" s="6869"/>
      <c r="AM29" s="6869"/>
      <c r="AN29" s="6869"/>
      <c r="AO29" s="6869"/>
      <c r="AP29" s="2757"/>
      <c r="AQ29" s="2487" t="s">
        <v>964</v>
      </c>
      <c r="AR29" s="7751">
        <f t="shared" si="0"/>
        <v>0</v>
      </c>
      <c r="AS29" s="7783"/>
      <c r="AT29" s="7783"/>
      <c r="AU29" s="7783"/>
      <c r="AV29" s="1284"/>
      <c r="AW29" s="1284"/>
      <c r="AX29" s="3013"/>
      <c r="AY29" s="3851"/>
      <c r="AZ29" s="3851"/>
      <c r="BA29" s="3851"/>
      <c r="BB29" s="3851"/>
      <c r="BC29" s="3851"/>
      <c r="BD29" s="3851"/>
      <c r="BE29" s="3851"/>
      <c r="BF29" s="3851"/>
      <c r="BG29" s="3851"/>
      <c r="BH29" s="3851"/>
    </row>
    <row r="30" spans="1:60" ht="15">
      <c r="A30" s="3910"/>
      <c r="B30" s="7945" t="s">
        <v>2142</v>
      </c>
      <c r="C30" s="7945"/>
      <c r="D30" s="2808" t="s">
        <v>2173</v>
      </c>
      <c r="E30" s="1179"/>
      <c r="F30" s="1179"/>
      <c r="G30" s="1179"/>
      <c r="H30" s="1179"/>
      <c r="I30" s="1179"/>
      <c r="J30" s="1179"/>
      <c r="K30" s="1179"/>
      <c r="L30" s="1179"/>
      <c r="M30" s="1179"/>
      <c r="N30" s="1179"/>
      <c r="O30" s="1179"/>
      <c r="P30" s="7800" t="s">
        <v>143</v>
      </c>
      <c r="Q30" s="7801"/>
      <c r="R30" s="7801"/>
      <c r="S30" s="7801"/>
      <c r="T30" s="7801"/>
      <c r="U30" s="7801"/>
      <c r="V30" s="7802"/>
      <c r="W30" s="7800" t="s">
        <v>288</v>
      </c>
      <c r="X30" s="7801"/>
      <c r="Y30" s="7801"/>
      <c r="Z30" s="7801"/>
      <c r="AA30" s="7801"/>
      <c r="AB30" s="7801"/>
      <c r="AC30" s="7802"/>
      <c r="AD30" s="7800" t="s">
        <v>144</v>
      </c>
      <c r="AE30" s="7801"/>
      <c r="AF30" s="7801"/>
      <c r="AG30" s="7801"/>
      <c r="AH30" s="7801"/>
      <c r="AI30" s="7802"/>
      <c r="AJ30" s="7264"/>
      <c r="AK30" s="7265"/>
      <c r="AL30" s="7265"/>
      <c r="AM30" s="7265"/>
      <c r="AN30" s="7265"/>
      <c r="AO30" s="7265"/>
      <c r="AP30" s="2757"/>
      <c r="AQ30" s="2487" t="s">
        <v>965</v>
      </c>
      <c r="AR30" s="7751">
        <f t="shared" si="0"/>
        <v>0</v>
      </c>
      <c r="AS30" s="7783"/>
      <c r="AT30" s="7783"/>
      <c r="AU30" s="7783"/>
      <c r="AV30" s="1284"/>
      <c r="AW30" s="1284"/>
      <c r="AX30" s="3013"/>
      <c r="AY30" s="3851"/>
      <c r="AZ30" s="3851"/>
      <c r="BA30" s="3851"/>
      <c r="BB30" s="3851"/>
      <c r="BC30" s="3851"/>
      <c r="BD30" s="3851"/>
      <c r="BE30" s="3851"/>
      <c r="BF30" s="3851"/>
      <c r="BG30" s="3851"/>
      <c r="BH30" s="3851"/>
    </row>
    <row r="31" spans="1:60" s="946" customFormat="1" ht="13.5" customHeight="1">
      <c r="A31" s="3913"/>
      <c r="B31" s="7946"/>
      <c r="C31" s="7946"/>
      <c r="D31" s="2809" t="s">
        <v>2174</v>
      </c>
      <c r="E31" s="1277"/>
      <c r="F31" s="1277"/>
      <c r="G31" s="1277"/>
      <c r="H31" s="1277"/>
      <c r="I31" s="1277"/>
      <c r="J31" s="1277"/>
      <c r="K31" s="1277"/>
      <c r="L31" s="1277"/>
      <c r="M31" s="1277"/>
      <c r="N31" s="1277"/>
      <c r="O31" s="3770" t="s">
        <v>1055</v>
      </c>
      <c r="P31" s="7719"/>
      <c r="Q31" s="7720"/>
      <c r="R31" s="7720"/>
      <c r="S31" s="7720"/>
      <c r="T31" s="7720"/>
      <c r="U31" s="7720"/>
      <c r="V31" s="7721"/>
      <c r="W31" s="7719"/>
      <c r="X31" s="7720"/>
      <c r="Y31" s="7720"/>
      <c r="Z31" s="7720"/>
      <c r="AA31" s="7720"/>
      <c r="AB31" s="7720"/>
      <c r="AC31" s="7721"/>
      <c r="AD31" s="7719"/>
      <c r="AE31" s="7720"/>
      <c r="AF31" s="7720"/>
      <c r="AG31" s="7720"/>
      <c r="AH31" s="7720"/>
      <c r="AI31" s="7721"/>
      <c r="AJ31" s="7722"/>
      <c r="AK31" s="7723"/>
      <c r="AL31" s="2818"/>
      <c r="AM31" s="2806"/>
      <c r="AN31" s="2806"/>
      <c r="AO31" s="2806"/>
      <c r="AP31" s="2792"/>
      <c r="AQ31" s="2487" t="s">
        <v>2133</v>
      </c>
      <c r="AR31" s="7751">
        <f t="shared" si="0"/>
        <v>0</v>
      </c>
      <c r="AS31" s="7783"/>
      <c r="AT31" s="7783"/>
      <c r="AU31" s="7783"/>
      <c r="AV31" s="1284"/>
      <c r="AW31" s="1284"/>
      <c r="AX31" s="3854"/>
      <c r="AY31" s="3852"/>
      <c r="AZ31" s="3852"/>
      <c r="BA31" s="3852"/>
      <c r="BB31" s="3852"/>
      <c r="BC31" s="3852"/>
      <c r="BD31" s="3852"/>
      <c r="BE31" s="3852"/>
      <c r="BF31" s="3852"/>
      <c r="BG31" s="3852"/>
      <c r="BH31" s="3852"/>
    </row>
    <row r="32" spans="1:60" ht="12" customHeight="1">
      <c r="A32" s="3910"/>
      <c r="B32" s="7929" t="s">
        <v>12</v>
      </c>
      <c r="C32" s="7929"/>
      <c r="D32" s="1262" t="s">
        <v>2175</v>
      </c>
      <c r="E32" s="1179"/>
      <c r="F32" s="1179"/>
      <c r="G32" s="1179"/>
      <c r="H32" s="1179"/>
      <c r="I32" s="1179"/>
      <c r="J32" s="1179"/>
      <c r="K32" s="1179"/>
      <c r="L32" s="1179"/>
      <c r="M32" s="1179"/>
      <c r="N32" s="1179"/>
      <c r="O32" s="1179"/>
      <c r="P32" s="1825"/>
      <c r="Q32" s="1562"/>
      <c r="R32" s="1562"/>
      <c r="S32" s="1562"/>
      <c r="T32" s="1562"/>
      <c r="U32" s="1562"/>
      <c r="V32" s="1826"/>
      <c r="W32" s="1825"/>
      <c r="X32" s="1562"/>
      <c r="Y32" s="1562"/>
      <c r="Z32" s="1562"/>
      <c r="AA32" s="1562"/>
      <c r="AB32" s="1562"/>
      <c r="AC32" s="1826"/>
      <c r="AD32" s="1825"/>
      <c r="AE32" s="1562"/>
      <c r="AF32" s="1562"/>
      <c r="AG32" s="1562"/>
      <c r="AH32" s="1562"/>
      <c r="AI32" s="1826"/>
      <c r="AJ32" s="7724"/>
      <c r="AK32" s="6792"/>
      <c r="AL32" s="1582"/>
      <c r="AM32" s="1179"/>
      <c r="AN32" s="1179"/>
      <c r="AO32" s="1179"/>
      <c r="AP32" s="2757"/>
      <c r="AQ32" s="1284"/>
      <c r="AR32" s="1284"/>
      <c r="AS32" s="1284"/>
      <c r="AT32" s="1284"/>
      <c r="AU32" s="1284"/>
      <c r="AV32" s="1284"/>
      <c r="AW32" s="1284"/>
      <c r="AX32" s="3013"/>
      <c r="AY32" s="3851"/>
      <c r="AZ32" s="3851"/>
      <c r="BA32" s="3851"/>
      <c r="BB32" s="3851"/>
      <c r="BC32" s="3851"/>
      <c r="BD32" s="3851"/>
      <c r="BE32" s="3851"/>
      <c r="BF32" s="3851"/>
      <c r="BG32" s="3851"/>
      <c r="BH32" s="3851"/>
    </row>
    <row r="33" spans="1:60" ht="12" customHeight="1">
      <c r="A33" s="3910"/>
      <c r="B33" s="2701"/>
      <c r="C33" s="2701"/>
      <c r="D33" s="1276" t="s">
        <v>2176</v>
      </c>
      <c r="E33" s="1179"/>
      <c r="F33" s="1179"/>
      <c r="G33" s="1179"/>
      <c r="H33" s="1179"/>
      <c r="I33" s="1179"/>
      <c r="J33" s="1179"/>
      <c r="K33" s="1179"/>
      <c r="L33" s="1179"/>
      <c r="M33" s="1179"/>
      <c r="N33" s="1179"/>
      <c r="O33" s="1179"/>
      <c r="P33" s="1827"/>
      <c r="Q33" s="1562"/>
      <c r="R33" s="1562"/>
      <c r="S33" s="1562"/>
      <c r="T33" s="1562"/>
      <c r="U33" s="1562"/>
      <c r="V33" s="1828"/>
      <c r="W33" s="1827"/>
      <c r="X33" s="1562"/>
      <c r="Y33" s="1562"/>
      <c r="Z33" s="1562"/>
      <c r="AA33" s="1562"/>
      <c r="AB33" s="1562"/>
      <c r="AC33" s="1828"/>
      <c r="AD33" s="1827"/>
      <c r="AE33" s="1562"/>
      <c r="AF33" s="1562"/>
      <c r="AG33" s="1562"/>
      <c r="AH33" s="1562"/>
      <c r="AI33" s="1828"/>
      <c r="AJ33" s="7724"/>
      <c r="AK33" s="6792"/>
      <c r="AL33" s="1582"/>
      <c r="AM33" s="1179"/>
      <c r="AN33" s="1179"/>
      <c r="AO33" s="1179"/>
      <c r="AP33" s="2757"/>
      <c r="AQ33" s="1284"/>
      <c r="AR33" s="1284"/>
      <c r="AS33" s="1284"/>
      <c r="AT33" s="1284"/>
      <c r="AU33" s="1284"/>
      <c r="AV33" s="1284"/>
      <c r="AW33" s="1284"/>
      <c r="AX33" s="3013"/>
      <c r="AY33" s="3851"/>
      <c r="AZ33" s="3851"/>
      <c r="BA33" s="3851"/>
      <c r="BB33" s="3851"/>
      <c r="BC33" s="3851"/>
      <c r="BD33" s="3851"/>
      <c r="BE33" s="3851"/>
      <c r="BF33" s="3851"/>
      <c r="BG33" s="3851"/>
      <c r="BH33" s="3851"/>
    </row>
    <row r="34" spans="1:60" ht="12" customHeight="1">
      <c r="A34" s="3910"/>
      <c r="B34" s="2701"/>
      <c r="C34" s="2701"/>
      <c r="D34" s="1926" t="s">
        <v>2177</v>
      </c>
      <c r="E34" s="1179"/>
      <c r="F34" s="1179"/>
      <c r="G34" s="1179"/>
      <c r="H34" s="7725"/>
      <c r="I34" s="7726"/>
      <c r="J34" s="7726"/>
      <c r="K34" s="7726"/>
      <c r="L34" s="7726"/>
      <c r="M34" s="7726"/>
      <c r="N34" s="7726"/>
      <c r="O34" s="1179"/>
      <c r="P34" s="1827"/>
      <c r="Q34" s="1562"/>
      <c r="R34" s="1562"/>
      <c r="S34" s="1562"/>
      <c r="T34" s="1562"/>
      <c r="U34" s="1562"/>
      <c r="V34" s="1828"/>
      <c r="W34" s="1827"/>
      <c r="X34" s="1562"/>
      <c r="Y34" s="1562"/>
      <c r="Z34" s="1562"/>
      <c r="AA34" s="1562"/>
      <c r="AB34" s="1562"/>
      <c r="AC34" s="1828"/>
      <c r="AD34" s="1827"/>
      <c r="AE34" s="1562"/>
      <c r="AF34" s="1562"/>
      <c r="AG34" s="1562"/>
      <c r="AH34" s="1562"/>
      <c r="AI34" s="1828"/>
      <c r="AJ34" s="7724"/>
      <c r="AK34" s="6792"/>
      <c r="AL34" s="1582"/>
      <c r="AM34" s="1179"/>
      <c r="AN34" s="1179"/>
      <c r="AO34" s="1179"/>
      <c r="AP34" s="2757"/>
      <c r="AQ34" s="1284"/>
      <c r="AR34" s="1284"/>
      <c r="AS34" s="1284"/>
      <c r="AT34" s="1284"/>
      <c r="AU34" s="1284"/>
      <c r="AV34" s="1284"/>
      <c r="AW34" s="1284"/>
      <c r="AX34" s="3013"/>
      <c r="AY34" s="3851"/>
      <c r="AZ34" s="3851"/>
      <c r="BA34" s="3851"/>
      <c r="BB34" s="3851"/>
      <c r="BC34" s="3851"/>
      <c r="BD34" s="3851"/>
      <c r="BE34" s="3851"/>
      <c r="BF34" s="3851"/>
      <c r="BG34" s="3851"/>
      <c r="BH34" s="3851"/>
    </row>
    <row r="35" spans="1:60" ht="12" customHeight="1">
      <c r="A35" s="3910"/>
      <c r="B35" s="2701"/>
      <c r="C35" s="2701"/>
      <c r="D35" s="7759"/>
      <c r="E35" s="7760"/>
      <c r="F35" s="7760"/>
      <c r="G35" s="7760"/>
      <c r="H35" s="7760"/>
      <c r="I35" s="7760"/>
      <c r="J35" s="7760"/>
      <c r="K35" s="7760"/>
      <c r="L35" s="7760"/>
      <c r="M35" s="7760"/>
      <c r="N35" s="7760"/>
      <c r="O35" s="1179"/>
      <c r="P35" s="1827"/>
      <c r="Q35" s="1562"/>
      <c r="R35" s="1562"/>
      <c r="S35" s="1562"/>
      <c r="T35" s="1562"/>
      <c r="U35" s="1562"/>
      <c r="V35" s="1828"/>
      <c r="W35" s="1827"/>
      <c r="X35" s="1562"/>
      <c r="Y35" s="1562"/>
      <c r="Z35" s="1562"/>
      <c r="AA35" s="1562"/>
      <c r="AB35" s="1562"/>
      <c r="AC35" s="1828"/>
      <c r="AD35" s="1827"/>
      <c r="AE35" s="1562"/>
      <c r="AF35" s="1562"/>
      <c r="AG35" s="1562"/>
      <c r="AH35" s="1562"/>
      <c r="AI35" s="1828"/>
      <c r="AJ35" s="7724"/>
      <c r="AK35" s="6792"/>
      <c r="AL35" s="1582"/>
      <c r="AM35" s="1179"/>
      <c r="AN35" s="1179"/>
      <c r="AO35" s="1179"/>
      <c r="AP35" s="2757"/>
      <c r="AQ35" s="1284"/>
      <c r="AR35" s="1284"/>
      <c r="AS35" s="1284"/>
      <c r="AT35" s="1284"/>
      <c r="AU35" s="1284"/>
      <c r="AV35" s="1284"/>
      <c r="AW35" s="1284"/>
      <c r="AX35" s="3013"/>
      <c r="AY35" s="3851"/>
      <c r="AZ35" s="3851"/>
      <c r="BA35" s="3851"/>
      <c r="BB35" s="3851"/>
      <c r="BC35" s="3851"/>
      <c r="BD35" s="3851"/>
      <c r="BE35" s="3851"/>
      <c r="BF35" s="3851"/>
      <c r="BG35" s="3851"/>
      <c r="BH35" s="3851"/>
    </row>
    <row r="36" spans="1:60" ht="12" customHeight="1">
      <c r="A36" s="3910"/>
      <c r="B36" s="2701"/>
      <c r="C36" s="2701"/>
      <c r="D36" s="7761"/>
      <c r="E36" s="7762"/>
      <c r="F36" s="7762"/>
      <c r="G36" s="7762"/>
      <c r="H36" s="7762"/>
      <c r="I36" s="7762"/>
      <c r="J36" s="7762"/>
      <c r="K36" s="7762"/>
      <c r="L36" s="7762"/>
      <c r="M36" s="7762"/>
      <c r="N36" s="7762"/>
      <c r="O36" s="1179"/>
      <c r="P36" s="7763"/>
      <c r="Q36" s="7764"/>
      <c r="R36" s="7764"/>
      <c r="S36" s="7764"/>
      <c r="T36" s="7764"/>
      <c r="U36" s="7764"/>
      <c r="V36" s="7765"/>
      <c r="W36" s="7763"/>
      <c r="X36" s="7764"/>
      <c r="Y36" s="7764"/>
      <c r="Z36" s="7764"/>
      <c r="AA36" s="7764"/>
      <c r="AB36" s="7764"/>
      <c r="AC36" s="7765"/>
      <c r="AD36" s="7763"/>
      <c r="AE36" s="7764"/>
      <c r="AF36" s="7764"/>
      <c r="AG36" s="7764"/>
      <c r="AH36" s="7764"/>
      <c r="AI36" s="7765"/>
      <c r="AJ36" s="7774" t="s">
        <v>12</v>
      </c>
      <c r="AK36" s="7089"/>
      <c r="AL36" s="7775">
        <f>IF(AND(SUM(P36,W36,AD36)&gt;0,AO20=0),"Check one box.",ROUND(SUM(P36,W36,AD36),0))</f>
        <v>0</v>
      </c>
      <c r="AM36" s="7776"/>
      <c r="AN36" s="7776"/>
      <c r="AO36" s="7776"/>
      <c r="AP36" s="2757"/>
      <c r="AQ36" s="6110" t="str">
        <f>IF(AND(ForeignTaxPaid&lt;&gt;"",ForeignTaxPaid&gt;0,P36="",W36="",AD36=""),"←  Enter gross income.","")</f>
        <v/>
      </c>
      <c r="AR36" s="1284"/>
      <c r="AS36" s="1284"/>
      <c r="AT36" s="1284"/>
      <c r="AU36" s="1284"/>
      <c r="AV36" s="1284"/>
      <c r="AW36" s="1284"/>
      <c r="AX36" s="3013"/>
      <c r="AY36" s="3851"/>
      <c r="AZ36" s="3851"/>
      <c r="BA36" s="3851"/>
      <c r="BB36" s="3851"/>
      <c r="BC36" s="3851"/>
      <c r="BD36" s="3851"/>
      <c r="BE36" s="3851"/>
      <c r="BF36" s="3851"/>
      <c r="BG36" s="3851"/>
      <c r="BH36" s="3851"/>
    </row>
    <row r="37" spans="1:60" ht="12" customHeight="1">
      <c r="A37" s="3910"/>
      <c r="B37" s="7929" t="s">
        <v>47</v>
      </c>
      <c r="C37" s="7929"/>
      <c r="D37" s="1926" t="s">
        <v>2179</v>
      </c>
      <c r="E37" s="1179"/>
      <c r="F37" s="1179"/>
      <c r="G37" s="1179"/>
      <c r="H37" s="1179"/>
      <c r="I37" s="1179"/>
      <c r="J37" s="1179"/>
      <c r="K37" s="1179"/>
      <c r="L37" s="1179"/>
      <c r="M37" s="1179"/>
      <c r="N37" s="1179"/>
      <c r="O37" s="1179"/>
      <c r="P37" s="1827"/>
      <c r="Q37" s="1562"/>
      <c r="R37" s="1562"/>
      <c r="S37" s="1562"/>
      <c r="T37" s="1562"/>
      <c r="U37" s="1562"/>
      <c r="V37" s="1828"/>
      <c r="W37" s="1827"/>
      <c r="X37" s="1562"/>
      <c r="Y37" s="1562"/>
      <c r="Z37" s="1562"/>
      <c r="AA37" s="1562"/>
      <c r="AB37" s="1562"/>
      <c r="AC37" s="1828"/>
      <c r="AD37" s="1827"/>
      <c r="AE37" s="1562"/>
      <c r="AF37" s="1562"/>
      <c r="AG37" s="1562"/>
      <c r="AH37" s="1562"/>
      <c r="AI37" s="1828"/>
      <c r="AJ37" s="7866"/>
      <c r="AK37" s="7086"/>
      <c r="AL37" s="1581"/>
      <c r="AM37" s="1179"/>
      <c r="AN37" s="1179"/>
      <c r="AO37" s="1179"/>
      <c r="AP37" s="2757"/>
      <c r="AQ37" s="1284"/>
      <c r="AR37" s="1284"/>
      <c r="AS37" s="1284"/>
      <c r="AT37" s="1284"/>
      <c r="AU37" s="1284"/>
      <c r="AV37" s="1284"/>
      <c r="AW37" s="1284"/>
      <c r="AX37" s="3013"/>
      <c r="AY37" s="3851"/>
      <c r="AZ37" s="3851"/>
      <c r="BA37" s="3851"/>
      <c r="BB37" s="3851"/>
      <c r="BC37" s="3851"/>
      <c r="BD37" s="3851"/>
      <c r="BE37" s="3851"/>
      <c r="BF37" s="3851"/>
      <c r="BG37" s="3851"/>
      <c r="BH37" s="3851"/>
    </row>
    <row r="38" spans="1:60" ht="12" customHeight="1">
      <c r="A38" s="3910"/>
      <c r="B38" s="2701"/>
      <c r="C38" s="2701"/>
      <c r="D38" s="1926" t="s">
        <v>2180</v>
      </c>
      <c r="E38" s="1179"/>
      <c r="F38" s="1179"/>
      <c r="G38" s="1179"/>
      <c r="H38" s="1179"/>
      <c r="I38" s="1179"/>
      <c r="J38" s="1179"/>
      <c r="K38" s="1179"/>
      <c r="L38" s="1179"/>
      <c r="M38" s="1179"/>
      <c r="N38" s="1179"/>
      <c r="O38" s="1179"/>
      <c r="P38" s="1827"/>
      <c r="Q38" s="1562"/>
      <c r="R38" s="1562"/>
      <c r="S38" s="1562"/>
      <c r="T38" s="1562"/>
      <c r="U38" s="1562"/>
      <c r="V38" s="1828"/>
      <c r="W38" s="1827"/>
      <c r="X38" s="1562"/>
      <c r="Y38" s="1562"/>
      <c r="Z38" s="1562"/>
      <c r="AA38" s="1562"/>
      <c r="AB38" s="1562"/>
      <c r="AC38" s="1828"/>
      <c r="AD38" s="1827"/>
      <c r="AE38" s="1562"/>
      <c r="AF38" s="1562"/>
      <c r="AG38" s="1562"/>
      <c r="AH38" s="1562"/>
      <c r="AI38" s="1828"/>
      <c r="AJ38" s="7724"/>
      <c r="AK38" s="6792"/>
      <c r="AL38" s="1582"/>
      <c r="AM38" s="1179"/>
      <c r="AN38" s="1179"/>
      <c r="AO38" s="1179"/>
      <c r="AP38" s="2757"/>
      <c r="AQ38" s="1284"/>
      <c r="AR38" s="1284"/>
      <c r="AS38" s="1284"/>
      <c r="AT38" s="1284"/>
      <c r="AU38" s="1284"/>
      <c r="AV38" s="1284"/>
      <c r="AW38" s="1284"/>
      <c r="AX38" s="3013"/>
      <c r="AY38" s="3851"/>
      <c r="AZ38" s="3851"/>
      <c r="BA38" s="3851"/>
      <c r="BB38" s="3851"/>
      <c r="BC38" s="3851"/>
      <c r="BD38" s="3851"/>
      <c r="BE38" s="3851"/>
      <c r="BF38" s="3851"/>
      <c r="BG38" s="3851"/>
      <c r="BH38" s="3851"/>
    </row>
    <row r="39" spans="1:60" ht="12" customHeight="1">
      <c r="A39" s="3910"/>
      <c r="B39" s="2701"/>
      <c r="C39" s="2701"/>
      <c r="D39" s="1926" t="s">
        <v>2181</v>
      </c>
      <c r="E39" s="1179"/>
      <c r="F39" s="1179"/>
      <c r="G39" s="1179"/>
      <c r="H39" s="1179"/>
      <c r="I39" s="1179"/>
      <c r="J39" s="1179"/>
      <c r="K39" s="1179"/>
      <c r="L39" s="1179"/>
      <c r="M39" s="1179"/>
      <c r="N39" s="1179"/>
      <c r="O39" s="1179"/>
      <c r="P39" s="1827"/>
      <c r="Q39" s="1562"/>
      <c r="R39" s="1562"/>
      <c r="S39" s="1562"/>
      <c r="T39" s="1562"/>
      <c r="U39" s="1562"/>
      <c r="V39" s="1828"/>
      <c r="W39" s="1827"/>
      <c r="X39" s="1562"/>
      <c r="Y39" s="1562"/>
      <c r="Z39" s="1562"/>
      <c r="AA39" s="1562"/>
      <c r="AB39" s="1562"/>
      <c r="AC39" s="1828"/>
      <c r="AD39" s="1827"/>
      <c r="AE39" s="1562"/>
      <c r="AF39" s="1562"/>
      <c r="AG39" s="1562"/>
      <c r="AH39" s="1562"/>
      <c r="AI39" s="1828"/>
      <c r="AJ39" s="7724"/>
      <c r="AK39" s="6792"/>
      <c r="AL39" s="1582"/>
      <c r="AM39" s="1179"/>
      <c r="AN39" s="1179"/>
      <c r="AO39" s="1179"/>
      <c r="AP39" s="2757"/>
      <c r="AQ39" s="1284"/>
      <c r="AR39" s="1284"/>
      <c r="AS39" s="1284"/>
      <c r="AT39" s="1284"/>
      <c r="AU39" s="1284"/>
      <c r="AV39" s="1284"/>
      <c r="AW39" s="1284"/>
      <c r="AX39" s="3013"/>
      <c r="AY39" s="3851"/>
      <c r="AZ39" s="3851"/>
      <c r="BA39" s="3851"/>
      <c r="BB39" s="3851"/>
      <c r="BC39" s="3851"/>
      <c r="BD39" s="3851"/>
      <c r="BE39" s="3851"/>
      <c r="BF39" s="3851"/>
      <c r="BG39" s="3851"/>
      <c r="BH39" s="3851"/>
    </row>
    <row r="40" spans="1:60" ht="12" customHeight="1">
      <c r="A40" s="3910"/>
      <c r="B40" s="2701"/>
      <c r="C40" s="2701"/>
      <c r="D40" s="1926" t="s">
        <v>2182</v>
      </c>
      <c r="E40" s="1179"/>
      <c r="F40" s="1179"/>
      <c r="G40" s="1179"/>
      <c r="H40" s="1179"/>
      <c r="I40" s="1179"/>
      <c r="J40" s="1179"/>
      <c r="K40" s="1179"/>
      <c r="L40" s="1179"/>
      <c r="M40" s="1179"/>
      <c r="N40" s="1179"/>
      <c r="O40" s="1179"/>
      <c r="P40" s="1827"/>
      <c r="Q40" s="1562"/>
      <c r="R40" s="1562"/>
      <c r="S40" s="1562"/>
      <c r="T40" s="1562"/>
      <c r="U40" s="1562"/>
      <c r="V40" s="1828"/>
      <c r="W40" s="1827"/>
      <c r="X40" s="1562"/>
      <c r="Y40" s="1562"/>
      <c r="Z40" s="1562"/>
      <c r="AA40" s="1562"/>
      <c r="AB40" s="1562"/>
      <c r="AC40" s="1828"/>
      <c r="AD40" s="1827"/>
      <c r="AE40" s="1562"/>
      <c r="AF40" s="1562"/>
      <c r="AG40" s="1562"/>
      <c r="AH40" s="1562"/>
      <c r="AI40" s="1828"/>
      <c r="AJ40" s="7724"/>
      <c r="AK40" s="6792"/>
      <c r="AL40" s="1582"/>
      <c r="AM40" s="1179"/>
      <c r="AN40" s="1179"/>
      <c r="AO40" s="1179"/>
      <c r="AP40" s="2757"/>
      <c r="AQ40" s="1284"/>
      <c r="AR40" s="1284"/>
      <c r="AS40" s="1284"/>
      <c r="AT40" s="1284"/>
      <c r="AU40" s="1284"/>
      <c r="AV40" s="1284"/>
      <c r="AW40" s="1284"/>
      <c r="AX40" s="3013"/>
      <c r="AY40" s="3851"/>
      <c r="AZ40" s="3851"/>
      <c r="BA40" s="3851"/>
      <c r="BB40" s="3851"/>
      <c r="BC40" s="3851"/>
      <c r="BD40" s="3851"/>
      <c r="BE40" s="3851"/>
      <c r="BF40" s="3851"/>
      <c r="BG40" s="3851"/>
      <c r="BH40" s="3851"/>
    </row>
    <row r="41" spans="1:60" ht="12" customHeight="1">
      <c r="A41" s="3910"/>
      <c r="B41" s="2701"/>
      <c r="C41" s="2701"/>
      <c r="D41" s="1926" t="s">
        <v>2183</v>
      </c>
      <c r="E41" s="1179"/>
      <c r="F41" s="1179"/>
      <c r="G41" s="1179"/>
      <c r="H41" s="1179"/>
      <c r="I41" s="1179"/>
      <c r="J41" s="1179"/>
      <c r="K41" s="1179"/>
      <c r="L41" s="1179"/>
      <c r="M41" s="1560" t="s">
        <v>1037</v>
      </c>
      <c r="N41" s="1180"/>
      <c r="O41" s="1179"/>
      <c r="P41" s="1827"/>
      <c r="Q41" s="1562"/>
      <c r="R41" s="1562"/>
      <c r="S41" s="1562"/>
      <c r="T41" s="1562"/>
      <c r="U41" s="1562"/>
      <c r="V41" s="1828"/>
      <c r="W41" s="1827"/>
      <c r="X41" s="1562"/>
      <c r="Y41" s="1562"/>
      <c r="Z41" s="1562"/>
      <c r="AA41" s="1562"/>
      <c r="AB41" s="1562"/>
      <c r="AC41" s="1828"/>
      <c r="AD41" s="1827"/>
      <c r="AE41" s="1562"/>
      <c r="AF41" s="1562"/>
      <c r="AG41" s="1562"/>
      <c r="AH41" s="1562"/>
      <c r="AI41" s="1828"/>
      <c r="AJ41" s="7724"/>
      <c r="AK41" s="6792"/>
      <c r="AL41" s="1582"/>
      <c r="AM41" s="1179"/>
      <c r="AN41" s="1179"/>
      <c r="AO41" s="1179"/>
      <c r="AP41" s="2757"/>
      <c r="AQ41" s="1284"/>
      <c r="AR41" s="1284"/>
      <c r="AS41" s="1284"/>
      <c r="AT41" s="1284"/>
      <c r="AU41" s="1284"/>
      <c r="AV41" s="1284"/>
      <c r="AW41" s="1284"/>
      <c r="AX41" s="3013"/>
      <c r="AY41" s="3851"/>
      <c r="AZ41" s="3851"/>
      <c r="BA41" s="3851"/>
      <c r="BB41" s="3851"/>
      <c r="BC41" s="3851"/>
      <c r="BD41" s="3851"/>
      <c r="BE41" s="3851"/>
      <c r="BF41" s="3851"/>
      <c r="BG41" s="3851"/>
      <c r="BH41" s="3851"/>
    </row>
    <row r="42" spans="1:60" ht="6" customHeight="1">
      <c r="A42" s="3910"/>
      <c r="B42" s="2790"/>
      <c r="C42" s="2790"/>
      <c r="D42" s="2793"/>
      <c r="E42" s="1553"/>
      <c r="F42" s="1553"/>
      <c r="G42" s="1553"/>
      <c r="H42" s="1553"/>
      <c r="I42" s="1553"/>
      <c r="J42" s="1553"/>
      <c r="K42" s="1553"/>
      <c r="L42" s="1553"/>
      <c r="M42" s="1553"/>
      <c r="N42" s="1553"/>
      <c r="O42" s="1553"/>
      <c r="P42" s="2794"/>
      <c r="Q42" s="2697"/>
      <c r="R42" s="2697"/>
      <c r="S42" s="2697"/>
      <c r="T42" s="2697"/>
      <c r="U42" s="2697"/>
      <c r="V42" s="2698"/>
      <c r="W42" s="2794"/>
      <c r="X42" s="2697"/>
      <c r="Y42" s="2697"/>
      <c r="Z42" s="2697"/>
      <c r="AA42" s="2697"/>
      <c r="AB42" s="2697"/>
      <c r="AC42" s="2698"/>
      <c r="AD42" s="2794"/>
      <c r="AE42" s="2697"/>
      <c r="AF42" s="2697"/>
      <c r="AG42" s="2697"/>
      <c r="AH42" s="2697"/>
      <c r="AI42" s="2698"/>
      <c r="AJ42" s="7724"/>
      <c r="AK42" s="6792"/>
      <c r="AL42" s="1582"/>
      <c r="AM42" s="1179"/>
      <c r="AN42" s="1179"/>
      <c r="AO42" s="1179"/>
      <c r="AP42" s="2757"/>
      <c r="AQ42" s="1284"/>
      <c r="AR42" s="1284"/>
      <c r="AS42" s="1284"/>
      <c r="AT42" s="1284"/>
      <c r="AU42" s="1284"/>
      <c r="AV42" s="1284"/>
      <c r="AW42" s="1284"/>
      <c r="AX42" s="3013"/>
      <c r="AY42" s="3851"/>
      <c r="AZ42" s="3851"/>
      <c r="BA42" s="3851"/>
      <c r="BB42" s="3851"/>
      <c r="BC42" s="3851"/>
      <c r="BD42" s="3851"/>
      <c r="BE42" s="3851"/>
      <c r="BF42" s="3851"/>
      <c r="BG42" s="3851"/>
      <c r="BH42" s="3851"/>
    </row>
    <row r="43" spans="1:60" ht="13.5" customHeight="1">
      <c r="A43" s="3910"/>
      <c r="B43" s="1262" t="s">
        <v>3007</v>
      </c>
      <c r="C43" s="2701"/>
      <c r="D43" s="2686"/>
      <c r="E43" s="1179"/>
      <c r="F43" s="1179"/>
      <c r="G43" s="1179"/>
      <c r="H43" s="1179"/>
      <c r="I43" s="1179"/>
      <c r="J43" s="1179"/>
      <c r="K43" s="1179"/>
      <c r="L43" s="1179"/>
      <c r="M43" s="1179"/>
      <c r="N43" s="1179"/>
      <c r="O43" s="1179"/>
      <c r="P43" s="1827"/>
      <c r="Q43" s="1562"/>
      <c r="R43" s="1562"/>
      <c r="S43" s="1562"/>
      <c r="T43" s="1562"/>
      <c r="U43" s="1562"/>
      <c r="V43" s="1828"/>
      <c r="W43" s="1827"/>
      <c r="X43" s="1562"/>
      <c r="Y43" s="1562"/>
      <c r="Z43" s="1562"/>
      <c r="AA43" s="1562"/>
      <c r="AB43" s="1562"/>
      <c r="AC43" s="1828"/>
      <c r="AD43" s="1827"/>
      <c r="AE43" s="1562"/>
      <c r="AF43" s="1562"/>
      <c r="AG43" s="1562"/>
      <c r="AH43" s="1562"/>
      <c r="AI43" s="1828"/>
      <c r="AJ43" s="7724"/>
      <c r="AK43" s="6792"/>
      <c r="AL43" s="1582"/>
      <c r="AM43" s="1179"/>
      <c r="AN43" s="1179"/>
      <c r="AO43" s="1179"/>
      <c r="AP43" s="2757"/>
      <c r="AQ43" s="1284"/>
      <c r="AR43" s="1284"/>
      <c r="AS43" s="1284"/>
      <c r="AT43" s="1284"/>
      <c r="AU43" s="1284"/>
      <c r="AV43" s="1284"/>
      <c r="AW43" s="1284"/>
      <c r="AX43" s="3013"/>
      <c r="AY43" s="3851"/>
      <c r="AZ43" s="3851"/>
      <c r="BA43" s="3851"/>
      <c r="BB43" s="3851"/>
      <c r="BC43" s="3851"/>
      <c r="BD43" s="3851"/>
      <c r="BE43" s="3851"/>
      <c r="BF43" s="3851"/>
      <c r="BG43" s="3851"/>
      <c r="BH43" s="3851"/>
    </row>
    <row r="44" spans="1:60" ht="13.5" customHeight="1">
      <c r="A44" s="3910"/>
      <c r="B44" s="7716">
        <v>2</v>
      </c>
      <c r="C44" s="7716"/>
      <c r="D44" s="1262" t="s">
        <v>2185</v>
      </c>
      <c r="E44" s="1179"/>
      <c r="F44" s="1179"/>
      <c r="G44" s="1179"/>
      <c r="H44" s="1179"/>
      <c r="I44" s="1179"/>
      <c r="J44" s="1179"/>
      <c r="K44" s="1179"/>
      <c r="L44" s="1179"/>
      <c r="M44" s="1179"/>
      <c r="N44" s="1179"/>
      <c r="O44" s="1179"/>
      <c r="P44" s="1582"/>
      <c r="Q44" s="1179"/>
      <c r="R44" s="1179"/>
      <c r="S44" s="1179"/>
      <c r="T44" s="1179"/>
      <c r="U44" s="1179"/>
      <c r="V44" s="1583"/>
      <c r="W44" s="1179"/>
      <c r="X44" s="1179"/>
      <c r="Y44" s="1179"/>
      <c r="Z44" s="1179"/>
      <c r="AA44" s="1179"/>
      <c r="AB44" s="1179"/>
      <c r="AC44" s="1583"/>
      <c r="AD44" s="1179"/>
      <c r="AE44" s="1179"/>
      <c r="AF44" s="1179"/>
      <c r="AG44" s="1179"/>
      <c r="AH44" s="1179"/>
      <c r="AI44" s="1583"/>
      <c r="AJ44" s="7724"/>
      <c r="AK44" s="6792"/>
      <c r="AL44" s="1582"/>
      <c r="AM44" s="1179"/>
      <c r="AN44" s="1179"/>
      <c r="AO44" s="1179"/>
      <c r="AP44" s="2757"/>
      <c r="AQ44" s="1284"/>
      <c r="AR44" s="1284"/>
      <c r="AS44" s="1284"/>
      <c r="AT44" s="1284"/>
      <c r="AU44" s="1284"/>
      <c r="AV44" s="1284"/>
      <c r="AW44" s="1284"/>
      <c r="AX44" s="3013"/>
      <c r="AY44" s="3851"/>
      <c r="AZ44" s="3851"/>
      <c r="BA44" s="3851"/>
      <c r="BB44" s="3851"/>
      <c r="BC44" s="3851"/>
      <c r="BD44" s="3851"/>
      <c r="BE44" s="3851"/>
      <c r="BF44" s="3851"/>
      <c r="BG44" s="3851"/>
      <c r="BH44" s="3851"/>
    </row>
    <row r="45" spans="1:60" ht="13.5" customHeight="1">
      <c r="A45" s="3910"/>
      <c r="B45" s="7929"/>
      <c r="C45" s="7929"/>
      <c r="D45" s="1276" t="s">
        <v>2186</v>
      </c>
      <c r="E45" s="1179"/>
      <c r="F45" s="1179"/>
      <c r="G45" s="1179"/>
      <c r="H45" s="1179"/>
      <c r="I45" s="1179"/>
      <c r="J45" s="1179"/>
      <c r="K45" s="1179"/>
      <c r="L45" s="1179"/>
      <c r="M45" s="1179"/>
      <c r="N45" s="1179"/>
      <c r="O45" s="1560" t="s">
        <v>2517</v>
      </c>
      <c r="P45" s="7763"/>
      <c r="Q45" s="7764"/>
      <c r="R45" s="7764"/>
      <c r="S45" s="7764"/>
      <c r="T45" s="7764"/>
      <c r="U45" s="7764"/>
      <c r="V45" s="7765"/>
      <c r="W45" s="7763"/>
      <c r="X45" s="7764"/>
      <c r="Y45" s="7764"/>
      <c r="Z45" s="7764"/>
      <c r="AA45" s="7764"/>
      <c r="AB45" s="7764"/>
      <c r="AC45" s="7765"/>
      <c r="AD45" s="7763"/>
      <c r="AE45" s="7764"/>
      <c r="AF45" s="7764"/>
      <c r="AG45" s="7764"/>
      <c r="AH45" s="7764"/>
      <c r="AI45" s="7765"/>
      <c r="AJ45" s="7724"/>
      <c r="AK45" s="6792"/>
      <c r="AL45" s="1582"/>
      <c r="AM45" s="1179"/>
      <c r="AN45" s="1179"/>
      <c r="AO45" s="1179"/>
      <c r="AP45" s="2757"/>
      <c r="AQ45" s="1284"/>
      <c r="AR45" s="1284"/>
      <c r="AS45" s="1284"/>
      <c r="AT45" s="1284"/>
      <c r="AU45" s="1284"/>
      <c r="AV45" s="1284"/>
      <c r="AW45" s="1284"/>
      <c r="AX45" s="3013"/>
      <c r="AY45" s="3851"/>
      <c r="AZ45" s="3851"/>
      <c r="BA45" s="3851"/>
      <c r="BB45" s="3851"/>
      <c r="BC45" s="3851"/>
      <c r="BD45" s="3851"/>
      <c r="BE45" s="3851"/>
      <c r="BF45" s="3851"/>
      <c r="BG45" s="3851"/>
      <c r="BH45" s="3851"/>
    </row>
    <row r="46" spans="1:60" ht="13.5" customHeight="1">
      <c r="A46" s="3910"/>
      <c r="B46" s="7716">
        <v>3</v>
      </c>
      <c r="C46" s="7716"/>
      <c r="D46" s="1262" t="s">
        <v>2241</v>
      </c>
      <c r="E46" s="1179"/>
      <c r="F46" s="1179"/>
      <c r="G46" s="1179"/>
      <c r="H46" s="1179"/>
      <c r="I46" s="1179"/>
      <c r="J46" s="1179"/>
      <c r="K46" s="1179"/>
      <c r="L46" s="1179"/>
      <c r="M46" s="1179"/>
      <c r="N46" s="1179"/>
      <c r="O46" s="1179"/>
      <c r="P46" s="1827"/>
      <c r="Q46" s="1562"/>
      <c r="R46" s="1562"/>
      <c r="S46" s="1562"/>
      <c r="T46" s="1562"/>
      <c r="U46" s="1562"/>
      <c r="V46" s="1828"/>
      <c r="W46" s="1827"/>
      <c r="X46" s="1562"/>
      <c r="Y46" s="1562"/>
      <c r="Z46" s="1562"/>
      <c r="AA46" s="1562"/>
      <c r="AB46" s="1562"/>
      <c r="AC46" s="1828"/>
      <c r="AD46" s="1827"/>
      <c r="AE46" s="1562"/>
      <c r="AF46" s="1562"/>
      <c r="AG46" s="1562"/>
      <c r="AH46" s="1562"/>
      <c r="AI46" s="1828"/>
      <c r="AJ46" s="7724"/>
      <c r="AK46" s="6792"/>
      <c r="AL46" s="1582"/>
      <c r="AM46" s="1179"/>
      <c r="AN46" s="1179"/>
      <c r="AO46" s="1179"/>
      <c r="AP46" s="2757"/>
      <c r="AQ46" s="1284"/>
      <c r="AR46" s="1284"/>
      <c r="AS46" s="1284"/>
      <c r="AT46" s="1284"/>
      <c r="AU46" s="1284"/>
      <c r="AV46" s="1284"/>
      <c r="AW46" s="1284"/>
      <c r="AX46" s="3013"/>
      <c r="AY46" s="3851"/>
      <c r="AZ46" s="3851"/>
      <c r="BA46" s="3851"/>
      <c r="BB46" s="3851"/>
      <c r="BC46" s="3851"/>
      <c r="BD46" s="3851"/>
      <c r="BE46" s="3851"/>
      <c r="BF46" s="3851"/>
      <c r="BG46" s="3851"/>
      <c r="BH46" s="3851"/>
    </row>
    <row r="47" spans="1:60" ht="13.5" customHeight="1">
      <c r="A47" s="3910"/>
      <c r="B47" s="7929"/>
      <c r="C47" s="7929"/>
      <c r="D47" s="2808" t="s">
        <v>2242</v>
      </c>
      <c r="E47" s="1179"/>
      <c r="F47" s="1179"/>
      <c r="G47" s="1179"/>
      <c r="H47" s="1179"/>
      <c r="I47" s="1179"/>
      <c r="J47" s="1179"/>
      <c r="K47" s="1179"/>
      <c r="L47" s="1179"/>
      <c r="M47" s="1179"/>
      <c r="N47" s="1179"/>
      <c r="O47" s="1179"/>
      <c r="P47" s="1827"/>
      <c r="Q47" s="1562"/>
      <c r="R47" s="1562"/>
      <c r="S47" s="1562"/>
      <c r="T47" s="1562"/>
      <c r="U47" s="1562"/>
      <c r="V47" s="1828"/>
      <c r="W47" s="1827"/>
      <c r="X47" s="1562"/>
      <c r="Y47" s="1562"/>
      <c r="Z47" s="1562"/>
      <c r="AA47" s="1562"/>
      <c r="AB47" s="1562"/>
      <c r="AC47" s="1828"/>
      <c r="AD47" s="1827"/>
      <c r="AE47" s="1562"/>
      <c r="AF47" s="1562"/>
      <c r="AG47" s="1562"/>
      <c r="AH47" s="1562"/>
      <c r="AI47" s="1828"/>
      <c r="AJ47" s="7724"/>
      <c r="AK47" s="6792"/>
      <c r="AL47" s="1582"/>
      <c r="AM47" s="1179"/>
      <c r="AN47" s="1179"/>
      <c r="AO47" s="1179"/>
      <c r="AP47" s="2757"/>
      <c r="AQ47" s="1284"/>
      <c r="AR47" s="1284"/>
      <c r="AS47" s="1284"/>
      <c r="AT47" s="1284"/>
      <c r="AU47" s="1284"/>
      <c r="AV47" s="1284"/>
      <c r="AW47" s="1284"/>
      <c r="AX47" s="3013"/>
      <c r="AY47" s="3851"/>
      <c r="AZ47" s="3851"/>
      <c r="BA47" s="3851"/>
      <c r="BB47" s="3851"/>
      <c r="BC47" s="3851"/>
      <c r="BD47" s="3851"/>
      <c r="BE47" s="3851"/>
      <c r="BF47" s="3851"/>
      <c r="BG47" s="3851"/>
      <c r="BH47" s="3851"/>
    </row>
    <row r="48" spans="1:60" ht="13.5" customHeight="1">
      <c r="A48" s="3910"/>
      <c r="B48" s="7716" t="s">
        <v>33</v>
      </c>
      <c r="C48" s="7716"/>
      <c r="D48" s="1262" t="s">
        <v>2493</v>
      </c>
      <c r="E48" s="1179"/>
      <c r="F48" s="1179"/>
      <c r="G48" s="1179"/>
      <c r="H48" s="1179"/>
      <c r="I48" s="1179"/>
      <c r="J48" s="1179"/>
      <c r="K48" s="1179"/>
      <c r="L48" s="1179"/>
      <c r="M48" s="1179"/>
      <c r="N48" s="1179"/>
      <c r="O48" s="1179"/>
      <c r="P48" s="1582"/>
      <c r="Q48" s="1179"/>
      <c r="R48" s="1179"/>
      <c r="S48" s="1179"/>
      <c r="T48" s="1179"/>
      <c r="U48" s="1179"/>
      <c r="V48" s="1583"/>
      <c r="W48" s="1179"/>
      <c r="X48" s="1179"/>
      <c r="Y48" s="1179"/>
      <c r="Z48" s="1179"/>
      <c r="AA48" s="1179"/>
      <c r="AB48" s="1179"/>
      <c r="AC48" s="1583"/>
      <c r="AD48" s="1179"/>
      <c r="AE48" s="1179"/>
      <c r="AF48" s="1179"/>
      <c r="AG48" s="1179"/>
      <c r="AH48" s="1179"/>
      <c r="AI48" s="1583"/>
      <c r="AJ48" s="7724"/>
      <c r="AK48" s="6792"/>
      <c r="AL48" s="1582"/>
      <c r="AM48" s="1179"/>
      <c r="AN48" s="1179"/>
      <c r="AO48" s="1179"/>
      <c r="AP48" s="2757"/>
      <c r="AQ48" s="1284"/>
      <c r="AR48" s="1284"/>
      <c r="AS48" s="1284"/>
      <c r="AT48" s="1284"/>
      <c r="AU48" s="1284"/>
      <c r="AV48" s="1284"/>
      <c r="AW48" s="1284"/>
      <c r="AX48" s="3013"/>
      <c r="AY48" s="3851"/>
      <c r="AZ48" s="3851"/>
      <c r="BA48" s="3851"/>
      <c r="BB48" s="3851"/>
      <c r="BC48" s="3851"/>
      <c r="BD48" s="3851"/>
      <c r="BE48" s="3851"/>
      <c r="BF48" s="3851"/>
      <c r="BG48" s="3851"/>
      <c r="BH48" s="3851"/>
    </row>
    <row r="49" spans="1:60" ht="13.5" customHeight="1">
      <c r="A49" s="3910"/>
      <c r="B49" s="2702"/>
      <c r="C49" s="2702"/>
      <c r="D49" s="1262" t="s">
        <v>1794</v>
      </c>
      <c r="E49" s="1179"/>
      <c r="F49" s="1179"/>
      <c r="G49" s="1179"/>
      <c r="H49" s="1179"/>
      <c r="I49" s="1179"/>
      <c r="J49" s="1179"/>
      <c r="K49" s="1179"/>
      <c r="L49" s="1179"/>
      <c r="M49" s="1179"/>
      <c r="N49" s="1179"/>
      <c r="O49" s="1560" t="s">
        <v>1930</v>
      </c>
      <c r="P49" s="7763"/>
      <c r="Q49" s="7764"/>
      <c r="R49" s="7764"/>
      <c r="S49" s="7764"/>
      <c r="T49" s="7764"/>
      <c r="U49" s="7764"/>
      <c r="V49" s="7765"/>
      <c r="W49" s="7763"/>
      <c r="X49" s="7764"/>
      <c r="Y49" s="7764"/>
      <c r="Z49" s="7764"/>
      <c r="AA49" s="7764"/>
      <c r="AB49" s="7764"/>
      <c r="AC49" s="7765"/>
      <c r="AD49" s="7763"/>
      <c r="AE49" s="7764"/>
      <c r="AF49" s="7764"/>
      <c r="AG49" s="7764"/>
      <c r="AH49" s="7764"/>
      <c r="AI49" s="7765"/>
      <c r="AJ49" s="7724"/>
      <c r="AK49" s="6792"/>
      <c r="AL49" s="1582"/>
      <c r="AM49" s="1179"/>
      <c r="AN49" s="1179"/>
      <c r="AO49" s="1179"/>
      <c r="AP49" s="2757"/>
      <c r="AQ49" s="1284"/>
      <c r="AR49" s="1284"/>
      <c r="AS49" s="1284"/>
      <c r="AT49" s="1284"/>
      <c r="AU49" s="1284"/>
      <c r="AV49" s="1284"/>
      <c r="AW49" s="1284"/>
      <c r="AX49" s="3013"/>
      <c r="AY49" s="3851"/>
      <c r="AZ49" s="3851"/>
      <c r="BA49" s="3851"/>
      <c r="BB49" s="3851"/>
      <c r="BC49" s="3851"/>
      <c r="BD49" s="3851"/>
      <c r="BE49" s="3851"/>
      <c r="BF49" s="3851"/>
      <c r="BG49" s="3851"/>
      <c r="BH49" s="3851"/>
    </row>
    <row r="50" spans="1:60" ht="13.5" customHeight="1">
      <c r="A50" s="3910"/>
      <c r="B50" s="7716" t="s">
        <v>47</v>
      </c>
      <c r="C50" s="7716"/>
      <c r="D50" s="1262" t="s">
        <v>2187</v>
      </c>
      <c r="E50" s="1179"/>
      <c r="F50" s="1179"/>
      <c r="G50" s="1179"/>
      <c r="H50" s="1179"/>
      <c r="I50" s="1179"/>
      <c r="J50" s="1179"/>
      <c r="K50" s="1179"/>
      <c r="L50" s="1179"/>
      <c r="M50" s="1179"/>
      <c r="N50" s="1179"/>
      <c r="O50" s="1560" t="s">
        <v>517</v>
      </c>
      <c r="P50" s="7953"/>
      <c r="Q50" s="7954"/>
      <c r="R50" s="7954"/>
      <c r="S50" s="7954"/>
      <c r="T50" s="7954"/>
      <c r="U50" s="7954"/>
      <c r="V50" s="7955"/>
      <c r="W50" s="7953"/>
      <c r="X50" s="7954"/>
      <c r="Y50" s="7954"/>
      <c r="Z50" s="7954"/>
      <c r="AA50" s="7954"/>
      <c r="AB50" s="7954"/>
      <c r="AC50" s="7955"/>
      <c r="AD50" s="7953"/>
      <c r="AE50" s="7954"/>
      <c r="AF50" s="7954"/>
      <c r="AG50" s="7954"/>
      <c r="AH50" s="7954"/>
      <c r="AI50" s="7955"/>
      <c r="AJ50" s="7724"/>
      <c r="AK50" s="6792"/>
      <c r="AL50" s="1582"/>
      <c r="AM50" s="1179"/>
      <c r="AN50" s="1179"/>
      <c r="AO50" s="1179"/>
      <c r="AP50" s="2757"/>
      <c r="AQ50" s="1284"/>
      <c r="AR50" s="1284"/>
      <c r="AS50" s="1284"/>
      <c r="AT50" s="1284"/>
      <c r="AU50" s="1284"/>
      <c r="AV50" s="1284"/>
      <c r="AW50" s="1284"/>
      <c r="AX50" s="3013"/>
      <c r="AY50" s="3851"/>
      <c r="AZ50" s="3851"/>
      <c r="BA50" s="3851"/>
      <c r="BB50" s="3851"/>
      <c r="BC50" s="3851"/>
      <c r="BD50" s="3851"/>
      <c r="BE50" s="3851"/>
      <c r="BF50" s="3851"/>
      <c r="BG50" s="3851"/>
      <c r="BH50" s="3851"/>
    </row>
    <row r="51" spans="1:60" ht="13.5" customHeight="1">
      <c r="A51" s="3910"/>
      <c r="B51" s="7716" t="s">
        <v>48</v>
      </c>
      <c r="C51" s="7716"/>
      <c r="D51" s="1262" t="s">
        <v>2188</v>
      </c>
      <c r="E51" s="1179"/>
      <c r="F51" s="1179"/>
      <c r="G51" s="1179"/>
      <c r="H51" s="1179"/>
      <c r="I51" s="1179"/>
      <c r="J51" s="1179"/>
      <c r="K51" s="1179"/>
      <c r="L51" s="1179"/>
      <c r="M51" s="1179"/>
      <c r="N51" s="1179"/>
      <c r="O51" s="1560" t="s">
        <v>2419</v>
      </c>
      <c r="P51" s="7916">
        <f>SUM(P49:P50)</f>
        <v>0</v>
      </c>
      <c r="Q51" s="7917"/>
      <c r="R51" s="7917"/>
      <c r="S51" s="7917"/>
      <c r="T51" s="7917"/>
      <c r="U51" s="7917"/>
      <c r="V51" s="7918"/>
      <c r="W51" s="7916">
        <f>SUM(W49:W50)</f>
        <v>0</v>
      </c>
      <c r="X51" s="7917"/>
      <c r="Y51" s="7917"/>
      <c r="Z51" s="7917"/>
      <c r="AA51" s="7917"/>
      <c r="AB51" s="7917"/>
      <c r="AC51" s="7918"/>
      <c r="AD51" s="7916">
        <f>SUM(AD49:AD50)</f>
        <v>0</v>
      </c>
      <c r="AE51" s="7917"/>
      <c r="AF51" s="7917"/>
      <c r="AG51" s="7917"/>
      <c r="AH51" s="7917"/>
      <c r="AI51" s="7918"/>
      <c r="AJ51" s="7724"/>
      <c r="AK51" s="6792"/>
      <c r="AL51" s="1582"/>
      <c r="AM51" s="1179"/>
      <c r="AN51" s="1179"/>
      <c r="AO51" s="1179"/>
      <c r="AP51" s="2757"/>
      <c r="AQ51" s="1284"/>
      <c r="AR51" s="1284"/>
      <c r="AS51" s="1284"/>
      <c r="AT51" s="1284"/>
      <c r="AU51" s="1284"/>
      <c r="AV51" s="1284"/>
      <c r="AW51" s="1284"/>
      <c r="AX51" s="3013"/>
      <c r="AY51" s="3851"/>
      <c r="AZ51" s="3851"/>
      <c r="BA51" s="3851"/>
      <c r="BB51" s="3851"/>
      <c r="BC51" s="3851"/>
      <c r="BD51" s="3851"/>
      <c r="BE51" s="3851"/>
      <c r="BF51" s="3851"/>
      <c r="BG51" s="3851"/>
      <c r="BH51" s="3851"/>
    </row>
    <row r="52" spans="1:60" ht="13.5" customHeight="1">
      <c r="A52" s="3910"/>
      <c r="B52" s="7716" t="s">
        <v>92</v>
      </c>
      <c r="C52" s="7716"/>
      <c r="D52" s="1262" t="s">
        <v>2189</v>
      </c>
      <c r="E52" s="1179"/>
      <c r="F52" s="1179"/>
      <c r="G52" s="1179"/>
      <c r="H52" s="1179"/>
      <c r="I52" s="1179"/>
      <c r="J52" s="1179"/>
      <c r="K52" s="1179"/>
      <c r="L52" s="1179"/>
      <c r="M52" s="1179"/>
      <c r="N52" s="1179"/>
      <c r="O52" s="1560" t="s">
        <v>2522</v>
      </c>
      <c r="P52" s="7953"/>
      <c r="Q52" s="7954"/>
      <c r="R52" s="7954"/>
      <c r="S52" s="7954"/>
      <c r="T52" s="7954"/>
      <c r="U52" s="7954"/>
      <c r="V52" s="7955"/>
      <c r="W52" s="7953"/>
      <c r="X52" s="7954"/>
      <c r="Y52" s="7954"/>
      <c r="Z52" s="7954"/>
      <c r="AA52" s="7954"/>
      <c r="AB52" s="7954"/>
      <c r="AC52" s="7955"/>
      <c r="AD52" s="7953"/>
      <c r="AE52" s="7954"/>
      <c r="AF52" s="7954"/>
      <c r="AG52" s="7954"/>
      <c r="AH52" s="7954"/>
      <c r="AI52" s="7955"/>
      <c r="AJ52" s="7724"/>
      <c r="AK52" s="6792"/>
      <c r="AL52" s="1582"/>
      <c r="AM52" s="1179"/>
      <c r="AN52" s="1179"/>
      <c r="AO52" s="1179"/>
      <c r="AP52" s="2757"/>
      <c r="AQ52" s="1284"/>
      <c r="AR52" s="1284"/>
      <c r="AS52" s="1284"/>
      <c r="AT52" s="1284"/>
      <c r="AU52" s="1284"/>
      <c r="AV52" s="1284"/>
      <c r="AW52" s="1284"/>
      <c r="AX52" s="3013"/>
      <c r="AY52" s="3851"/>
      <c r="AZ52" s="3851"/>
      <c r="BA52" s="3851"/>
      <c r="BB52" s="3851"/>
      <c r="BC52" s="3851"/>
      <c r="BD52" s="3851"/>
      <c r="BE52" s="3851"/>
      <c r="BF52" s="3851"/>
      <c r="BG52" s="3851"/>
      <c r="BH52" s="3851"/>
    </row>
    <row r="53" spans="1:60" ht="13.5" customHeight="1">
      <c r="A53" s="3910"/>
      <c r="B53" s="7716" t="s">
        <v>964</v>
      </c>
      <c r="C53" s="7716"/>
      <c r="D53" s="1262" t="s">
        <v>2190</v>
      </c>
      <c r="E53" s="1179"/>
      <c r="F53" s="1179"/>
      <c r="G53" s="1179"/>
      <c r="H53" s="1179"/>
      <c r="I53" s="1179"/>
      <c r="J53" s="1179"/>
      <c r="K53" s="1179"/>
      <c r="L53" s="1179"/>
      <c r="M53" s="1179"/>
      <c r="N53" s="1179"/>
      <c r="O53" s="1560" t="s">
        <v>2522</v>
      </c>
      <c r="P53" s="7953"/>
      <c r="Q53" s="7954"/>
      <c r="R53" s="7954"/>
      <c r="S53" s="7954"/>
      <c r="T53" s="7954"/>
      <c r="U53" s="7954"/>
      <c r="V53" s="7955"/>
      <c r="W53" s="7953"/>
      <c r="X53" s="7954"/>
      <c r="Y53" s="7954"/>
      <c r="Z53" s="7954"/>
      <c r="AA53" s="7954"/>
      <c r="AB53" s="7954"/>
      <c r="AC53" s="7955"/>
      <c r="AD53" s="7953"/>
      <c r="AE53" s="7954"/>
      <c r="AF53" s="7954"/>
      <c r="AG53" s="7954"/>
      <c r="AH53" s="7954"/>
      <c r="AI53" s="7955"/>
      <c r="AJ53" s="7724"/>
      <c r="AK53" s="6792"/>
      <c r="AL53" s="1582"/>
      <c r="AM53" s="1179"/>
      <c r="AN53" s="1179"/>
      <c r="AO53" s="1179"/>
      <c r="AP53" s="2757"/>
      <c r="AQ53" s="1284"/>
      <c r="AR53" s="1284"/>
      <c r="AS53" s="1284"/>
      <c r="AT53" s="1284"/>
      <c r="AU53" s="1284"/>
      <c r="AV53" s="1284"/>
      <c r="AW53" s="1284"/>
      <c r="AX53" s="3013"/>
      <c r="AY53" s="3851"/>
      <c r="AZ53" s="3851"/>
      <c r="BA53" s="3851"/>
      <c r="BB53" s="3851"/>
      <c r="BC53" s="3851"/>
      <c r="BD53" s="3851"/>
      <c r="BE53" s="3851"/>
      <c r="BF53" s="3851"/>
      <c r="BG53" s="3851"/>
      <c r="BH53" s="3851"/>
    </row>
    <row r="54" spans="1:60" ht="13.5" customHeight="1">
      <c r="A54" s="3910"/>
      <c r="B54" s="7716" t="s">
        <v>965</v>
      </c>
      <c r="C54" s="7716"/>
      <c r="D54" s="1262" t="s">
        <v>2191</v>
      </c>
      <c r="E54" s="1179"/>
      <c r="F54" s="1179"/>
      <c r="G54" s="1179"/>
      <c r="H54" s="1179"/>
      <c r="I54" s="1179"/>
      <c r="J54" s="1179"/>
      <c r="K54" s="1179"/>
      <c r="L54" s="1179"/>
      <c r="M54" s="1179"/>
      <c r="N54" s="1179"/>
      <c r="O54" s="1560" t="s">
        <v>2472</v>
      </c>
      <c r="P54" s="7968" t="str">
        <f>IF(P53=0,"",ROUND(P52/P53,4))</f>
        <v/>
      </c>
      <c r="Q54" s="7969"/>
      <c r="R54" s="7969"/>
      <c r="S54" s="7969"/>
      <c r="T54" s="7969"/>
      <c r="U54" s="7969"/>
      <c r="V54" s="7970"/>
      <c r="W54" s="7968" t="str">
        <f>IF(W53=0,"",ROUND(W52/W53,4))</f>
        <v/>
      </c>
      <c r="X54" s="7969"/>
      <c r="Y54" s="7969"/>
      <c r="Z54" s="7969"/>
      <c r="AA54" s="7969"/>
      <c r="AB54" s="7969"/>
      <c r="AC54" s="7970"/>
      <c r="AD54" s="7971" t="str">
        <f>IF(AD53=0,"",ROUND(AD52/AD53,4))</f>
        <v/>
      </c>
      <c r="AE54" s="7972"/>
      <c r="AF54" s="7972"/>
      <c r="AG54" s="7972"/>
      <c r="AH54" s="7972"/>
      <c r="AI54" s="7973"/>
      <c r="AJ54" s="7724"/>
      <c r="AK54" s="6792"/>
      <c r="AL54" s="1582"/>
      <c r="AM54" s="1179"/>
      <c r="AN54" s="1179"/>
      <c r="AO54" s="1179"/>
      <c r="AP54" s="2757"/>
      <c r="AQ54" s="1284"/>
      <c r="AR54" s="1284"/>
      <c r="AS54" s="1284"/>
      <c r="AT54" s="1284"/>
      <c r="AU54" s="1284"/>
      <c r="AV54" s="1284"/>
      <c r="AW54" s="1284"/>
      <c r="AX54" s="3013"/>
      <c r="AY54" s="3851"/>
      <c r="AZ54" s="3851"/>
      <c r="BA54" s="3851"/>
      <c r="BB54" s="3851"/>
      <c r="BC54" s="3851"/>
      <c r="BD54" s="3851"/>
      <c r="BE54" s="3851"/>
      <c r="BF54" s="3851"/>
      <c r="BG54" s="3851"/>
      <c r="BH54" s="3851"/>
    </row>
    <row r="55" spans="1:60" ht="13.5" customHeight="1">
      <c r="A55" s="3910"/>
      <c r="B55" s="7716" t="s">
        <v>2133</v>
      </c>
      <c r="C55" s="7716"/>
      <c r="D55" s="1262" t="s">
        <v>2192</v>
      </c>
      <c r="E55" s="1179"/>
      <c r="F55" s="1179"/>
      <c r="G55" s="1179"/>
      <c r="H55" s="1179"/>
      <c r="I55" s="1179"/>
      <c r="J55" s="1179"/>
      <c r="K55" s="1179"/>
      <c r="L55" s="1179"/>
      <c r="M55" s="1179"/>
      <c r="N55" s="1179"/>
      <c r="O55" s="1560" t="s">
        <v>2514</v>
      </c>
      <c r="P55" s="7916" t="str">
        <f>IF(OR(P51="",P54=""),"",P51*P54)</f>
        <v/>
      </c>
      <c r="Q55" s="7917"/>
      <c r="R55" s="7917"/>
      <c r="S55" s="7917"/>
      <c r="T55" s="7917"/>
      <c r="U55" s="7917"/>
      <c r="V55" s="7918"/>
      <c r="W55" s="7916" t="str">
        <f>IF(OR(W51="",W54=""),"",W51*W54)</f>
        <v/>
      </c>
      <c r="X55" s="7917"/>
      <c r="Y55" s="7917"/>
      <c r="Z55" s="7917"/>
      <c r="AA55" s="7917"/>
      <c r="AB55" s="7917"/>
      <c r="AC55" s="7918"/>
      <c r="AD55" s="7916" t="str">
        <f>IF(OR(AD51="",AD54=""),"",AD51*AD54)</f>
        <v/>
      </c>
      <c r="AE55" s="7917"/>
      <c r="AF55" s="7917"/>
      <c r="AG55" s="7917"/>
      <c r="AH55" s="7917"/>
      <c r="AI55" s="7918"/>
      <c r="AJ55" s="7724"/>
      <c r="AK55" s="6792"/>
      <c r="AL55" s="1582"/>
      <c r="AM55" s="1179"/>
      <c r="AN55" s="1179"/>
      <c r="AO55" s="1179"/>
      <c r="AP55" s="2757"/>
      <c r="AQ55" s="1284"/>
      <c r="AR55" s="1284"/>
      <c r="AS55" s="1284"/>
      <c r="AT55" s="1284"/>
      <c r="AU55" s="1284"/>
      <c r="AV55" s="1284"/>
      <c r="AW55" s="1284"/>
      <c r="AX55" s="3013"/>
      <c r="AY55" s="3851"/>
      <c r="AZ55" s="3851"/>
      <c r="BA55" s="3851"/>
      <c r="BB55" s="3851"/>
      <c r="BC55" s="3851"/>
      <c r="BD55" s="3851"/>
      <c r="BE55" s="3851"/>
      <c r="BF55" s="3851"/>
      <c r="BG55" s="3851"/>
      <c r="BH55" s="3851"/>
    </row>
    <row r="56" spans="1:60" ht="13.5" customHeight="1">
      <c r="A56" s="3910"/>
      <c r="B56" s="7766">
        <v>4</v>
      </c>
      <c r="C56" s="7766"/>
      <c r="D56" s="1262" t="s">
        <v>2494</v>
      </c>
      <c r="E56" s="1179"/>
      <c r="F56" s="1179"/>
      <c r="G56" s="1179"/>
      <c r="H56" s="1179"/>
      <c r="I56" s="1179"/>
      <c r="J56" s="1179"/>
      <c r="K56" s="1179"/>
      <c r="L56" s="1179"/>
      <c r="M56" s="1179"/>
      <c r="N56" s="1179"/>
      <c r="O56" s="1179"/>
      <c r="P56" s="2819"/>
      <c r="Q56" s="2820"/>
      <c r="R56" s="2820"/>
      <c r="S56" s="2820"/>
      <c r="T56" s="2820"/>
      <c r="U56" s="2820"/>
      <c r="V56" s="2821"/>
      <c r="W56" s="2819"/>
      <c r="X56" s="2820"/>
      <c r="Y56" s="2820"/>
      <c r="Z56" s="2820"/>
      <c r="AA56" s="2820"/>
      <c r="AB56" s="2820"/>
      <c r="AC56" s="2821"/>
      <c r="AD56" s="2819"/>
      <c r="AE56" s="2820"/>
      <c r="AF56" s="2820"/>
      <c r="AG56" s="2820"/>
      <c r="AH56" s="2820"/>
      <c r="AI56" s="2821"/>
      <c r="AJ56" s="7724"/>
      <c r="AK56" s="6792"/>
      <c r="AL56" s="1582"/>
      <c r="AM56" s="1179"/>
      <c r="AN56" s="1179"/>
      <c r="AO56" s="1179"/>
      <c r="AP56" s="2757"/>
      <c r="AQ56" s="1284"/>
      <c r="AR56" s="1284"/>
      <c r="AS56" s="1284"/>
      <c r="AT56" s="1284"/>
      <c r="AU56" s="1284"/>
      <c r="AV56" s="1284"/>
      <c r="AW56" s="1284"/>
      <c r="AX56" s="3013"/>
      <c r="AY56" s="3851"/>
      <c r="AZ56" s="3851"/>
      <c r="BA56" s="3851"/>
      <c r="BB56" s="3851"/>
      <c r="BC56" s="3851"/>
      <c r="BD56" s="3851"/>
      <c r="BE56" s="3851"/>
      <c r="BF56" s="3851"/>
      <c r="BG56" s="3851"/>
      <c r="BH56" s="3851"/>
    </row>
    <row r="57" spans="1:60" ht="13.5" customHeight="1">
      <c r="A57" s="3910"/>
      <c r="B57" s="7716" t="s">
        <v>33</v>
      </c>
      <c r="C57" s="7716"/>
      <c r="D57" s="1262" t="s">
        <v>2194</v>
      </c>
      <c r="E57" s="1179"/>
      <c r="F57" s="1179"/>
      <c r="G57" s="1179"/>
      <c r="H57" s="1179"/>
      <c r="I57" s="1179"/>
      <c r="J57" s="1179"/>
      <c r="K57" s="1179"/>
      <c r="L57" s="1179"/>
      <c r="M57" s="1179"/>
      <c r="N57" s="1179"/>
      <c r="O57" s="1179"/>
      <c r="P57" s="2822"/>
      <c r="Q57" s="1276"/>
      <c r="R57" s="1276"/>
      <c r="S57" s="1276"/>
      <c r="T57" s="1276"/>
      <c r="U57" s="1276"/>
      <c r="V57" s="2823"/>
      <c r="W57" s="1276"/>
      <c r="X57" s="1276"/>
      <c r="Y57" s="1276"/>
      <c r="Z57" s="1276"/>
      <c r="AA57" s="1276"/>
      <c r="AB57" s="1276"/>
      <c r="AC57" s="2823"/>
      <c r="AD57" s="1276"/>
      <c r="AE57" s="1276"/>
      <c r="AF57" s="1276"/>
      <c r="AG57" s="1276"/>
      <c r="AH57" s="1276"/>
      <c r="AI57" s="2823"/>
      <c r="AJ57" s="7724"/>
      <c r="AK57" s="6792"/>
      <c r="AL57" s="1582"/>
      <c r="AM57" s="1179"/>
      <c r="AN57" s="1179"/>
      <c r="AO57" s="1179"/>
      <c r="AP57" s="2757"/>
      <c r="AQ57" s="1284"/>
      <c r="AR57" s="1284"/>
      <c r="AS57" s="1284"/>
      <c r="AT57" s="1284"/>
      <c r="AU57" s="1284"/>
      <c r="AV57" s="1284"/>
      <c r="AW57" s="1284"/>
      <c r="AX57" s="3013"/>
      <c r="AY57" s="3851"/>
      <c r="AZ57" s="3851"/>
      <c r="BA57" s="3851"/>
      <c r="BB57" s="3851"/>
      <c r="BC57" s="3851"/>
      <c r="BD57" s="3851"/>
      <c r="BE57" s="3851"/>
      <c r="BF57" s="3851"/>
      <c r="BG57" s="3851"/>
      <c r="BH57" s="3851"/>
    </row>
    <row r="58" spans="1:60" ht="13.5" customHeight="1">
      <c r="A58" s="3910"/>
      <c r="B58" s="3771"/>
      <c r="C58" s="3771"/>
      <c r="D58" s="1262" t="s">
        <v>2195</v>
      </c>
      <c r="E58" s="1179"/>
      <c r="F58" s="1179"/>
      <c r="G58" s="1179"/>
      <c r="H58" s="1179"/>
      <c r="I58" s="1179"/>
      <c r="J58" s="1179"/>
      <c r="K58" s="1179"/>
      <c r="L58" s="1179"/>
      <c r="M58" s="1179"/>
      <c r="N58" s="1179"/>
      <c r="O58" s="1560" t="s">
        <v>2472</v>
      </c>
      <c r="P58" s="7763"/>
      <c r="Q58" s="7764"/>
      <c r="R58" s="7764"/>
      <c r="S58" s="7764"/>
      <c r="T58" s="7764"/>
      <c r="U58" s="7764"/>
      <c r="V58" s="7765"/>
      <c r="W58" s="7763"/>
      <c r="X58" s="7764"/>
      <c r="Y58" s="7764"/>
      <c r="Z58" s="7764"/>
      <c r="AA58" s="7764"/>
      <c r="AB58" s="7764"/>
      <c r="AC58" s="7765"/>
      <c r="AD58" s="7763"/>
      <c r="AE58" s="7764"/>
      <c r="AF58" s="7764"/>
      <c r="AG58" s="7764"/>
      <c r="AH58" s="7764"/>
      <c r="AI58" s="7765"/>
      <c r="AJ58" s="7724"/>
      <c r="AK58" s="6792"/>
      <c r="AL58" s="1582"/>
      <c r="AM58" s="1179"/>
      <c r="AN58" s="1179"/>
      <c r="AO58" s="1179"/>
      <c r="AP58" s="2757"/>
      <c r="AQ58" s="1284"/>
      <c r="AR58" s="1284"/>
      <c r="AS58" s="1284"/>
      <c r="AT58" s="1284"/>
      <c r="AU58" s="1284"/>
      <c r="AV58" s="1284"/>
      <c r="AW58" s="1284"/>
      <c r="AX58" s="3013"/>
      <c r="AY58" s="3851"/>
      <c r="AZ58" s="3851"/>
      <c r="BA58" s="3851"/>
      <c r="BB58" s="3851"/>
      <c r="BC58" s="3851"/>
      <c r="BD58" s="3851"/>
      <c r="BE58" s="3851"/>
      <c r="BF58" s="3851"/>
      <c r="BG58" s="3851"/>
      <c r="BH58" s="3851"/>
    </row>
    <row r="59" spans="1:60" ht="13.5" customHeight="1">
      <c r="A59" s="3910"/>
      <c r="B59" s="7716" t="s">
        <v>47</v>
      </c>
      <c r="C59" s="7716"/>
      <c r="D59" s="1262" t="s">
        <v>2193</v>
      </c>
      <c r="E59" s="1179"/>
      <c r="F59" s="1179"/>
      <c r="G59" s="1179"/>
      <c r="H59" s="1179"/>
      <c r="I59" s="1179"/>
      <c r="J59" s="1179"/>
      <c r="K59" s="1179"/>
      <c r="L59" s="1179"/>
      <c r="M59" s="1179"/>
      <c r="N59" s="1179"/>
      <c r="O59" s="1560" t="s">
        <v>2514</v>
      </c>
      <c r="P59" s="7953"/>
      <c r="Q59" s="7954"/>
      <c r="R59" s="7954"/>
      <c r="S59" s="7954"/>
      <c r="T59" s="7954"/>
      <c r="U59" s="7954"/>
      <c r="V59" s="7955"/>
      <c r="W59" s="7953"/>
      <c r="X59" s="7954"/>
      <c r="Y59" s="7954"/>
      <c r="Z59" s="7954"/>
      <c r="AA59" s="7954"/>
      <c r="AB59" s="7954"/>
      <c r="AC59" s="7955"/>
      <c r="AD59" s="7953"/>
      <c r="AE59" s="7954"/>
      <c r="AF59" s="7954"/>
      <c r="AG59" s="7954"/>
      <c r="AH59" s="7954"/>
      <c r="AI59" s="7955"/>
      <c r="AJ59" s="7724"/>
      <c r="AK59" s="6792"/>
      <c r="AL59" s="1582"/>
      <c r="AM59" s="1179"/>
      <c r="AN59" s="1179"/>
      <c r="AO59" s="1179"/>
      <c r="AP59" s="2757"/>
      <c r="AQ59" s="1284"/>
      <c r="AR59" s="1284"/>
      <c r="AS59" s="1284"/>
      <c r="AT59" s="1284"/>
      <c r="AU59" s="1284"/>
      <c r="AV59" s="1284"/>
      <c r="AW59" s="1284"/>
      <c r="AX59" s="3013"/>
      <c r="AY59" s="3851"/>
      <c r="AZ59" s="3851"/>
      <c r="BA59" s="3851"/>
      <c r="BB59" s="3851"/>
      <c r="BC59" s="3851"/>
      <c r="BD59" s="3851"/>
      <c r="BE59" s="3851"/>
      <c r="BF59" s="3851"/>
      <c r="BG59" s="3851"/>
      <c r="BH59" s="3851"/>
    </row>
    <row r="60" spans="1:60" ht="13.5" customHeight="1">
      <c r="A60" s="3910"/>
      <c r="B60" s="7766">
        <v>5</v>
      </c>
      <c r="C60" s="7766"/>
      <c r="D60" s="1262" t="s">
        <v>2196</v>
      </c>
      <c r="E60" s="1179"/>
      <c r="F60" s="1179"/>
      <c r="G60" s="1179"/>
      <c r="H60" s="1179"/>
      <c r="I60" s="1179"/>
      <c r="J60" s="1179"/>
      <c r="K60" s="1179"/>
      <c r="L60" s="1179"/>
      <c r="M60" s="1179"/>
      <c r="N60" s="1179"/>
      <c r="O60" s="1560" t="s">
        <v>1978</v>
      </c>
      <c r="P60" s="7953"/>
      <c r="Q60" s="7954"/>
      <c r="R60" s="7954"/>
      <c r="S60" s="7954"/>
      <c r="T60" s="7954"/>
      <c r="U60" s="7954"/>
      <c r="V60" s="7955"/>
      <c r="W60" s="7953"/>
      <c r="X60" s="7954"/>
      <c r="Y60" s="7954"/>
      <c r="Z60" s="7954"/>
      <c r="AA60" s="7954"/>
      <c r="AB60" s="7954"/>
      <c r="AC60" s="7955"/>
      <c r="AD60" s="7953"/>
      <c r="AE60" s="7954"/>
      <c r="AF60" s="7954"/>
      <c r="AG60" s="7954"/>
      <c r="AH60" s="7954"/>
      <c r="AI60" s="7955"/>
      <c r="AJ60" s="7724"/>
      <c r="AK60" s="6792"/>
      <c r="AL60" s="1582"/>
      <c r="AM60" s="1179"/>
      <c r="AN60" s="1179"/>
      <c r="AO60" s="1179"/>
      <c r="AP60" s="2757"/>
      <c r="AQ60" s="2757"/>
      <c r="AR60" s="2757"/>
      <c r="AS60" s="2757"/>
      <c r="AT60" s="2757"/>
      <c r="AU60" s="2757"/>
      <c r="AV60" s="1179"/>
      <c r="AW60" s="1179"/>
      <c r="AX60" s="3013"/>
      <c r="AY60" s="3851"/>
      <c r="AZ60" s="3851"/>
      <c r="BA60" s="3851"/>
      <c r="BB60" s="3851"/>
      <c r="BC60" s="3851"/>
      <c r="BD60" s="3851"/>
      <c r="BE60" s="3851"/>
      <c r="BF60" s="3851"/>
      <c r="BG60" s="3851"/>
      <c r="BH60" s="3851"/>
    </row>
    <row r="61" spans="1:60" ht="13.5" customHeight="1">
      <c r="A61" s="3910"/>
      <c r="B61" s="7766">
        <v>6</v>
      </c>
      <c r="C61" s="7766"/>
      <c r="D61" s="1262" t="s">
        <v>2197</v>
      </c>
      <c r="E61" s="1179"/>
      <c r="F61" s="1179"/>
      <c r="G61" s="1179"/>
      <c r="H61" s="1179"/>
      <c r="I61" s="1179"/>
      <c r="J61" s="1179"/>
      <c r="K61" s="1179"/>
      <c r="L61" s="1179"/>
      <c r="M61" s="1179"/>
      <c r="N61" s="1179"/>
      <c r="O61" s="1560" t="s">
        <v>1978</v>
      </c>
      <c r="P61" s="7965">
        <f>SUM(P45,P55,P58,P59,P60)</f>
        <v>0</v>
      </c>
      <c r="Q61" s="7966"/>
      <c r="R61" s="7966"/>
      <c r="S61" s="7966"/>
      <c r="T61" s="7966"/>
      <c r="U61" s="7966"/>
      <c r="V61" s="7967"/>
      <c r="W61" s="7965">
        <f>SUM(W45,W55,W58,W59,W60)</f>
        <v>0</v>
      </c>
      <c r="X61" s="7966"/>
      <c r="Y61" s="7966"/>
      <c r="Z61" s="7966"/>
      <c r="AA61" s="7966"/>
      <c r="AB61" s="7966"/>
      <c r="AC61" s="7967"/>
      <c r="AD61" s="7965">
        <f>SUM(AD45,AD55,AD58,AD59,AD60)</f>
        <v>0</v>
      </c>
      <c r="AE61" s="7966"/>
      <c r="AF61" s="7966"/>
      <c r="AG61" s="7966"/>
      <c r="AH61" s="7966"/>
      <c r="AI61" s="7967"/>
      <c r="AJ61" s="7774">
        <v>6</v>
      </c>
      <c r="AK61" s="7089"/>
      <c r="AL61" s="7976" t="str">
        <f>IF(AQ61&lt;&gt;"",ROUND(AQ61,0),IF(AO20=0,"",ROUND(SUM(P61,W61,AD61),0)))</f>
        <v/>
      </c>
      <c r="AM61" s="7977"/>
      <c r="AN61" s="7977"/>
      <c r="AO61" s="7977"/>
      <c r="AP61" s="2757"/>
      <c r="AQ61" s="7752"/>
      <c r="AR61" s="7753"/>
      <c r="AS61" s="7753"/>
      <c r="AT61" s="7753"/>
      <c r="AU61" s="2757"/>
      <c r="AV61" s="1179"/>
      <c r="AW61" s="1179"/>
      <c r="AX61" s="3013"/>
      <c r="AY61" s="3851"/>
      <c r="AZ61" s="3851"/>
      <c r="BA61" s="3851"/>
      <c r="BB61" s="3851"/>
      <c r="BC61" s="3851"/>
      <c r="BD61" s="3851"/>
      <c r="BE61" s="3851"/>
      <c r="BF61" s="3851"/>
      <c r="BG61" s="3851"/>
      <c r="BH61" s="3851"/>
    </row>
    <row r="62" spans="1:60" ht="16.5" customHeight="1">
      <c r="A62" s="3910"/>
      <c r="B62" s="7840">
        <v>7</v>
      </c>
      <c r="C62" s="7840"/>
      <c r="D62" s="2817" t="s">
        <v>2198</v>
      </c>
      <c r="E62" s="1554"/>
      <c r="F62" s="1554"/>
      <c r="G62" s="1554"/>
      <c r="H62" s="1554"/>
      <c r="I62" s="1554"/>
      <c r="J62" s="1554"/>
      <c r="K62" s="1554"/>
      <c r="L62" s="1554"/>
      <c r="M62" s="1554"/>
      <c r="N62" s="1554"/>
      <c r="O62" s="1554"/>
      <c r="P62" s="1554"/>
      <c r="Q62" s="1554"/>
      <c r="R62" s="1554"/>
      <c r="S62" s="1554"/>
      <c r="T62" s="1554"/>
      <c r="U62" s="1554"/>
      <c r="V62" s="1554"/>
      <c r="W62" s="1554"/>
      <c r="X62" s="1554"/>
      <c r="Y62" s="1554"/>
      <c r="Z62" s="1554"/>
      <c r="AA62" s="1554"/>
      <c r="AB62" s="1554"/>
      <c r="AC62" s="1554"/>
      <c r="AD62" s="1554"/>
      <c r="AE62" s="1554"/>
      <c r="AF62" s="1554"/>
      <c r="AG62" s="1554"/>
      <c r="AH62" s="1554"/>
      <c r="AI62" s="1560" t="s">
        <v>2401</v>
      </c>
      <c r="AJ62" s="7800">
        <v>7</v>
      </c>
      <c r="AK62" s="7841"/>
      <c r="AL62" s="7976" t="str">
        <f>IF(AQ62&lt;&gt;"",ROUND(AQ62,0),IF(AO20=0,"",ROUND(SUM(AL36,-AL61),0)))</f>
        <v/>
      </c>
      <c r="AM62" s="7977"/>
      <c r="AN62" s="7977"/>
      <c r="AO62" s="7977"/>
      <c r="AP62" s="2757"/>
      <c r="AQ62" s="7752"/>
      <c r="AR62" s="7753"/>
      <c r="AS62" s="7753"/>
      <c r="AT62" s="7753"/>
      <c r="AU62" s="2757"/>
      <c r="AV62" s="1179"/>
      <c r="AW62" s="1179"/>
      <c r="AX62" s="3013"/>
      <c r="AY62" s="3851"/>
      <c r="AZ62" s="3851"/>
      <c r="BA62" s="3851"/>
      <c r="BB62" s="3851"/>
      <c r="BC62" s="3851"/>
      <c r="BD62" s="3851"/>
      <c r="BE62" s="3851"/>
      <c r="BF62" s="3851"/>
      <c r="BG62" s="3851"/>
      <c r="BH62" s="3851"/>
    </row>
    <row r="63" spans="1:60" s="2689" customFormat="1" ht="17.25" customHeight="1">
      <c r="A63" s="3912"/>
      <c r="B63" s="7220" t="s">
        <v>118</v>
      </c>
      <c r="C63" s="7220"/>
      <c r="D63" s="7221"/>
      <c r="E63" s="7921" t="s">
        <v>3008</v>
      </c>
      <c r="F63" s="7922"/>
      <c r="G63" s="7922"/>
      <c r="H63" s="7922"/>
      <c r="I63" s="7922"/>
      <c r="J63" s="7922"/>
      <c r="K63" s="7922"/>
      <c r="L63" s="7922"/>
      <c r="M63" s="7922"/>
      <c r="N63" s="7922"/>
      <c r="O63" s="7922"/>
      <c r="P63" s="7922"/>
      <c r="Q63" s="7922"/>
      <c r="R63" s="7922"/>
      <c r="S63" s="7922"/>
      <c r="T63" s="7922"/>
      <c r="U63" s="7922"/>
      <c r="V63" s="7922"/>
      <c r="W63" s="7922"/>
      <c r="X63" s="7922"/>
      <c r="Y63" s="7922"/>
      <c r="Z63" s="7922"/>
      <c r="AA63" s="7922"/>
      <c r="AB63" s="7922"/>
      <c r="AC63" s="7922"/>
      <c r="AD63" s="7922"/>
      <c r="AE63" s="7922"/>
      <c r="AF63" s="7922"/>
      <c r="AG63" s="7922"/>
      <c r="AH63" s="7922"/>
      <c r="AI63" s="7922"/>
      <c r="AJ63" s="7922"/>
      <c r="AK63" s="7922"/>
      <c r="AL63" s="7922"/>
      <c r="AM63" s="7922"/>
      <c r="AN63" s="7922"/>
      <c r="AO63" s="7922"/>
      <c r="AP63" s="2757"/>
      <c r="AQ63" s="2757"/>
      <c r="AR63" s="2757"/>
      <c r="AS63" s="2757"/>
      <c r="AT63" s="2757"/>
      <c r="AU63" s="2757"/>
      <c r="AV63" s="1540"/>
      <c r="AW63" s="1540"/>
      <c r="AX63" s="3013"/>
      <c r="AY63" s="3851"/>
      <c r="AZ63" s="3851"/>
      <c r="BA63" s="3851"/>
      <c r="BB63" s="3851"/>
      <c r="BC63" s="3851"/>
      <c r="BD63" s="3851"/>
      <c r="BE63" s="3851"/>
      <c r="BF63" s="3851"/>
      <c r="BG63" s="3851"/>
      <c r="BH63" s="3851"/>
    </row>
    <row r="64" spans="1:60" s="2689" customFormat="1" ht="10.5" customHeight="1">
      <c r="A64" s="3912"/>
      <c r="B64" s="7883" t="s">
        <v>2207</v>
      </c>
      <c r="C64" s="7886" t="s">
        <v>2521</v>
      </c>
      <c r="D64" s="7325"/>
      <c r="E64" s="7325"/>
      <c r="F64" s="7325"/>
      <c r="G64" s="7326"/>
      <c r="H64" s="7887" t="s">
        <v>2240</v>
      </c>
      <c r="I64" s="7888"/>
      <c r="J64" s="7888"/>
      <c r="K64" s="7888"/>
      <c r="L64" s="7888"/>
      <c r="M64" s="7888"/>
      <c r="N64" s="7888"/>
      <c r="O64" s="7888"/>
      <c r="P64" s="7888"/>
      <c r="Q64" s="7888"/>
      <c r="R64" s="7888"/>
      <c r="S64" s="7888"/>
      <c r="T64" s="7888"/>
      <c r="U64" s="7888"/>
      <c r="V64" s="7888"/>
      <c r="W64" s="7888"/>
      <c r="X64" s="7888"/>
      <c r="Y64" s="7888"/>
      <c r="Z64" s="7888"/>
      <c r="AA64" s="7888"/>
      <c r="AB64" s="7888"/>
      <c r="AC64" s="7888"/>
      <c r="AD64" s="7888"/>
      <c r="AE64" s="7888"/>
      <c r="AF64" s="7888"/>
      <c r="AG64" s="7888"/>
      <c r="AH64" s="7888"/>
      <c r="AI64" s="7888"/>
      <c r="AJ64" s="7888"/>
      <c r="AK64" s="7888"/>
      <c r="AL64" s="7888"/>
      <c r="AM64" s="7888"/>
      <c r="AN64" s="7888"/>
      <c r="AO64" s="7888"/>
      <c r="AP64" s="2757"/>
      <c r="AQ64" s="1540"/>
      <c r="AR64" s="1540"/>
      <c r="AS64" s="1540"/>
      <c r="AT64" s="1540"/>
      <c r="AU64" s="1540"/>
      <c r="AV64" s="1540"/>
      <c r="AW64" s="1540"/>
      <c r="AX64" s="3013"/>
      <c r="AY64" s="3851"/>
      <c r="AZ64" s="3851"/>
      <c r="BA64" s="3851"/>
      <c r="BB64" s="3851"/>
      <c r="BC64" s="3851"/>
      <c r="BD64" s="3851"/>
      <c r="BE64" s="3851"/>
      <c r="BF64" s="3851"/>
      <c r="BG64" s="3851"/>
      <c r="BH64" s="3851"/>
    </row>
    <row r="65" spans="1:60" s="2689" customFormat="1" ht="10.5" customHeight="1">
      <c r="A65" s="3912"/>
      <c r="B65" s="7884"/>
      <c r="C65" s="7262"/>
      <c r="D65" s="7263"/>
      <c r="E65" s="7263"/>
      <c r="F65" s="7263"/>
      <c r="G65" s="7130"/>
      <c r="H65" s="7889"/>
      <c r="I65" s="7890"/>
      <c r="J65" s="7890"/>
      <c r="K65" s="7890"/>
      <c r="L65" s="7890"/>
      <c r="M65" s="7890"/>
      <c r="N65" s="7890"/>
      <c r="O65" s="7890"/>
      <c r="P65" s="7890"/>
      <c r="Q65" s="7890"/>
      <c r="R65" s="7890"/>
      <c r="S65" s="7890"/>
      <c r="T65" s="7890"/>
      <c r="U65" s="7890"/>
      <c r="V65" s="7890"/>
      <c r="W65" s="7890"/>
      <c r="X65" s="7890"/>
      <c r="Y65" s="7890"/>
      <c r="Z65" s="7890"/>
      <c r="AA65" s="7890"/>
      <c r="AB65" s="7890"/>
      <c r="AC65" s="7890"/>
      <c r="AD65" s="7890"/>
      <c r="AE65" s="7890"/>
      <c r="AF65" s="7890"/>
      <c r="AG65" s="7890"/>
      <c r="AH65" s="7890"/>
      <c r="AI65" s="7890"/>
      <c r="AJ65" s="7890"/>
      <c r="AK65" s="7890"/>
      <c r="AL65" s="7890"/>
      <c r="AM65" s="7890"/>
      <c r="AN65" s="7890"/>
      <c r="AO65" s="7890"/>
      <c r="AP65" s="2757"/>
      <c r="AQ65" s="1540"/>
      <c r="AR65" s="1540"/>
      <c r="AS65" s="1540"/>
      <c r="AT65" s="1540"/>
      <c r="AU65" s="1540"/>
      <c r="AV65" s="1540"/>
      <c r="AW65" s="1540"/>
      <c r="AX65" s="3013"/>
      <c r="AY65" s="3851"/>
      <c r="AZ65" s="3851"/>
      <c r="BA65" s="3851"/>
      <c r="BB65" s="3851"/>
      <c r="BC65" s="3851"/>
      <c r="BD65" s="3851"/>
      <c r="BE65" s="3851"/>
      <c r="BF65" s="3851"/>
      <c r="BG65" s="3851"/>
      <c r="BH65" s="3851"/>
    </row>
    <row r="66" spans="1:60" s="2689" customFormat="1" ht="12.75" customHeight="1">
      <c r="A66" s="3912"/>
      <c r="B66" s="7884"/>
      <c r="C66" s="7262"/>
      <c r="D66" s="7263"/>
      <c r="E66" s="7263"/>
      <c r="F66" s="7263"/>
      <c r="G66" s="7130"/>
      <c r="H66" s="7891"/>
      <c r="I66" s="7892"/>
      <c r="J66" s="7892"/>
      <c r="K66" s="7892"/>
      <c r="L66" s="7892"/>
      <c r="M66" s="7892"/>
      <c r="N66" s="7892"/>
      <c r="O66" s="7892"/>
      <c r="P66" s="7892"/>
      <c r="Q66" s="7892"/>
      <c r="R66" s="7892"/>
      <c r="S66" s="7892"/>
      <c r="T66" s="7892"/>
      <c r="U66" s="7892"/>
      <c r="V66" s="7892"/>
      <c r="W66" s="7892"/>
      <c r="X66" s="7892"/>
      <c r="Y66" s="7892"/>
      <c r="Z66" s="7892"/>
      <c r="AA66" s="7892"/>
      <c r="AB66" s="7892"/>
      <c r="AC66" s="7892"/>
      <c r="AD66" s="7892"/>
      <c r="AE66" s="7892"/>
      <c r="AF66" s="7892"/>
      <c r="AG66" s="7892"/>
      <c r="AH66" s="7892"/>
      <c r="AI66" s="7892"/>
      <c r="AJ66" s="7892"/>
      <c r="AK66" s="7892"/>
      <c r="AL66" s="7892"/>
      <c r="AM66" s="7892"/>
      <c r="AN66" s="7892"/>
      <c r="AO66" s="7892"/>
      <c r="AP66" s="2757"/>
      <c r="AQ66" s="1540"/>
      <c r="AR66" s="1540"/>
      <c r="AS66" s="1540"/>
      <c r="AT66" s="1540"/>
      <c r="AU66" s="1540"/>
      <c r="AV66" s="1540"/>
      <c r="AW66" s="1540"/>
      <c r="AX66" s="3013"/>
      <c r="AY66" s="3851"/>
      <c r="AZ66" s="3851"/>
      <c r="BA66" s="3851"/>
      <c r="BB66" s="3851"/>
      <c r="BC66" s="3851"/>
      <c r="BD66" s="3851"/>
      <c r="BE66" s="3851"/>
      <c r="BF66" s="3851"/>
      <c r="BG66" s="3851"/>
      <c r="BH66" s="3851"/>
    </row>
    <row r="67" spans="1:60" s="2689" customFormat="1" ht="10.5" customHeight="1">
      <c r="A67" s="3912"/>
      <c r="B67" s="7884"/>
      <c r="C67" s="2810">
        <f>IF(E67&lt;&gt;"",1,0)</f>
        <v>1</v>
      </c>
      <c r="D67" s="1824" t="s">
        <v>2495</v>
      </c>
      <c r="E67" s="1182" t="s">
        <v>1262</v>
      </c>
      <c r="F67" s="1857" t="s">
        <v>2205</v>
      </c>
      <c r="G67" s="2796"/>
      <c r="H67" s="7241" t="s">
        <v>2238</v>
      </c>
      <c r="I67" s="7242"/>
      <c r="J67" s="7242"/>
      <c r="K67" s="7242"/>
      <c r="L67" s="7242"/>
      <c r="M67" s="7242"/>
      <c r="N67" s="7242"/>
      <c r="O67" s="7242"/>
      <c r="P67" s="7242"/>
      <c r="Q67" s="7242"/>
      <c r="R67" s="7242"/>
      <c r="S67" s="7242"/>
      <c r="T67" s="7242"/>
      <c r="U67" s="7242"/>
      <c r="V67" s="7242"/>
      <c r="W67" s="7243"/>
      <c r="X67" s="7241" t="s">
        <v>2239</v>
      </c>
      <c r="Y67" s="7226"/>
      <c r="Z67" s="7226"/>
      <c r="AA67" s="7226"/>
      <c r="AB67" s="7226"/>
      <c r="AC67" s="7226"/>
      <c r="AD67" s="7226"/>
      <c r="AE67" s="7226"/>
      <c r="AF67" s="7226"/>
      <c r="AG67" s="7226"/>
      <c r="AH67" s="7226"/>
      <c r="AI67" s="7226"/>
      <c r="AJ67" s="7226"/>
      <c r="AK67" s="7226"/>
      <c r="AL67" s="7226"/>
      <c r="AM67" s="7226"/>
      <c r="AN67" s="7226"/>
      <c r="AO67" s="7226"/>
      <c r="AP67" s="2757"/>
      <c r="AQ67" s="7984"/>
      <c r="AR67" s="3555"/>
      <c r="AS67" s="3555"/>
      <c r="AT67" s="3555"/>
      <c r="AU67" s="3555"/>
      <c r="AV67" s="3555"/>
      <c r="AW67" s="3555"/>
      <c r="AX67" s="3013"/>
      <c r="AY67" s="3851"/>
      <c r="AZ67" s="3851"/>
      <c r="BA67" s="3851"/>
      <c r="BB67" s="3851"/>
      <c r="BC67" s="3851"/>
      <c r="BD67" s="3851"/>
      <c r="BE67" s="3851"/>
      <c r="BF67" s="3851"/>
      <c r="BG67" s="3851"/>
      <c r="BH67" s="3851"/>
    </row>
    <row r="68" spans="1:60" ht="6.75" customHeight="1">
      <c r="A68" s="3910"/>
      <c r="B68" s="7884"/>
      <c r="C68" s="2811"/>
      <c r="D68" s="1276"/>
      <c r="E68" s="1179"/>
      <c r="F68" s="1179"/>
      <c r="G68" s="1583"/>
      <c r="H68" s="7247"/>
      <c r="I68" s="7248"/>
      <c r="J68" s="7248"/>
      <c r="K68" s="7248"/>
      <c r="L68" s="7248"/>
      <c r="M68" s="7248"/>
      <c r="N68" s="7248"/>
      <c r="O68" s="7248"/>
      <c r="P68" s="7248"/>
      <c r="Q68" s="7248"/>
      <c r="R68" s="7248"/>
      <c r="S68" s="7248"/>
      <c r="T68" s="7248"/>
      <c r="U68" s="7248"/>
      <c r="V68" s="7248"/>
      <c r="W68" s="7249"/>
      <c r="X68" s="7893"/>
      <c r="Y68" s="7894"/>
      <c r="Z68" s="7894"/>
      <c r="AA68" s="7894"/>
      <c r="AB68" s="7894"/>
      <c r="AC68" s="7894"/>
      <c r="AD68" s="7894"/>
      <c r="AE68" s="7894"/>
      <c r="AF68" s="7894"/>
      <c r="AG68" s="7894"/>
      <c r="AH68" s="7894"/>
      <c r="AI68" s="7894"/>
      <c r="AJ68" s="7894"/>
      <c r="AK68" s="7894"/>
      <c r="AL68" s="7894"/>
      <c r="AM68" s="7894"/>
      <c r="AN68" s="7894"/>
      <c r="AO68" s="7894"/>
      <c r="AP68" s="2757"/>
      <c r="AQ68" s="7984"/>
      <c r="AR68" s="3556"/>
      <c r="AS68" s="3556"/>
      <c r="AT68" s="3556"/>
      <c r="AU68" s="3556"/>
      <c r="AV68" s="3556"/>
      <c r="AW68" s="3556"/>
      <c r="AX68" s="3013"/>
      <c r="AY68" s="3851"/>
      <c r="AZ68" s="3851"/>
      <c r="BA68" s="3851"/>
      <c r="BB68" s="3851"/>
      <c r="BC68" s="3851"/>
      <c r="BD68" s="3851"/>
      <c r="BE68" s="3851"/>
      <c r="BF68" s="3851"/>
      <c r="BG68" s="3851"/>
      <c r="BH68" s="3851"/>
    </row>
    <row r="69" spans="1:60" ht="10.5" customHeight="1">
      <c r="A69" s="3910"/>
      <c r="B69" s="7884"/>
      <c r="C69" s="2810">
        <f>IF(E69&lt;&gt;"",1,0)</f>
        <v>0</v>
      </c>
      <c r="D69" s="1444" t="s">
        <v>2496</v>
      </c>
      <c r="E69" s="1182"/>
      <c r="F69" s="1857" t="s">
        <v>2199</v>
      </c>
      <c r="G69" s="2798"/>
      <c r="H69" s="7324" t="s">
        <v>2201</v>
      </c>
      <c r="I69" s="7325"/>
      <c r="J69" s="7325"/>
      <c r="K69" s="7325"/>
      <c r="L69" s="7325"/>
      <c r="M69" s="7325"/>
      <c r="N69" s="7325"/>
      <c r="O69" s="7325"/>
      <c r="P69" s="7325"/>
      <c r="Q69" s="7325"/>
      <c r="R69" s="7325"/>
      <c r="S69" s="7326"/>
      <c r="T69" s="7324" t="s">
        <v>2501</v>
      </c>
      <c r="U69" s="7325"/>
      <c r="V69" s="7325"/>
      <c r="W69" s="7326"/>
      <c r="X69" s="7324" t="s">
        <v>2201</v>
      </c>
      <c r="Y69" s="7325"/>
      <c r="Z69" s="7325"/>
      <c r="AA69" s="7325"/>
      <c r="AB69" s="7325"/>
      <c r="AC69" s="7325"/>
      <c r="AD69" s="7325"/>
      <c r="AE69" s="7325"/>
      <c r="AF69" s="7325"/>
      <c r="AG69" s="7325"/>
      <c r="AH69" s="7326"/>
      <c r="AI69" s="7324" t="s">
        <v>2505</v>
      </c>
      <c r="AJ69" s="7325"/>
      <c r="AK69" s="7325"/>
      <c r="AL69" s="7326"/>
      <c r="AM69" s="7324" t="s">
        <v>2518</v>
      </c>
      <c r="AN69" s="7895"/>
      <c r="AO69" s="7895"/>
      <c r="AP69" s="2757"/>
      <c r="AQ69" s="7984"/>
      <c r="AR69" s="7984"/>
      <c r="AS69" s="7984"/>
      <c r="AT69" s="7984"/>
      <c r="AU69" s="7984"/>
      <c r="AV69" s="7984"/>
      <c r="AW69" s="7984"/>
      <c r="AX69" s="3013"/>
      <c r="AY69" s="3851"/>
      <c r="AZ69" s="3851"/>
      <c r="BA69" s="3851"/>
      <c r="BB69" s="3851"/>
      <c r="BC69" s="3851"/>
      <c r="BD69" s="3851"/>
      <c r="BE69" s="3851"/>
      <c r="BF69" s="3851"/>
      <c r="BG69" s="3851"/>
      <c r="BH69" s="3851"/>
    </row>
    <row r="70" spans="1:60" ht="7.5" customHeight="1">
      <c r="A70" s="3910"/>
      <c r="B70" s="7885"/>
      <c r="C70" s="2799"/>
      <c r="D70" s="1570"/>
      <c r="E70" s="1570"/>
      <c r="F70" s="1570"/>
      <c r="G70" s="2800"/>
      <c r="H70" s="7330"/>
      <c r="I70" s="7331"/>
      <c r="J70" s="7331"/>
      <c r="K70" s="7331"/>
      <c r="L70" s="7331"/>
      <c r="M70" s="7331"/>
      <c r="N70" s="7331"/>
      <c r="O70" s="7331"/>
      <c r="P70" s="7331"/>
      <c r="Q70" s="7331"/>
      <c r="R70" s="7331"/>
      <c r="S70" s="7332"/>
      <c r="T70" s="7327"/>
      <c r="U70" s="7328"/>
      <c r="V70" s="7328"/>
      <c r="W70" s="7329"/>
      <c r="X70" s="7330"/>
      <c r="Y70" s="7331"/>
      <c r="Z70" s="7331"/>
      <c r="AA70" s="7331"/>
      <c r="AB70" s="7331"/>
      <c r="AC70" s="7331"/>
      <c r="AD70" s="7331"/>
      <c r="AE70" s="7331"/>
      <c r="AF70" s="7331"/>
      <c r="AG70" s="7331"/>
      <c r="AH70" s="7332"/>
      <c r="AI70" s="7327"/>
      <c r="AJ70" s="7328"/>
      <c r="AK70" s="7328"/>
      <c r="AL70" s="7329"/>
      <c r="AM70" s="7896"/>
      <c r="AN70" s="7897"/>
      <c r="AO70" s="7897"/>
      <c r="AP70" s="2757"/>
      <c r="AQ70" s="1179"/>
      <c r="AR70" s="1179"/>
      <c r="AS70" s="1179"/>
      <c r="AT70" s="1179"/>
      <c r="AU70" s="1179"/>
      <c r="AV70" s="1179"/>
      <c r="AW70" s="1179"/>
      <c r="AX70" s="3013"/>
      <c r="AY70" s="3851"/>
      <c r="AZ70" s="3851"/>
      <c r="BA70" s="3851"/>
      <c r="BB70" s="3851"/>
      <c r="BC70" s="3851"/>
      <c r="BD70" s="3851"/>
      <c r="BE70" s="3851"/>
      <c r="BF70" s="3851"/>
      <c r="BG70" s="3851"/>
      <c r="BH70" s="3851"/>
    </row>
    <row r="71" spans="1:60" ht="7.5" customHeight="1">
      <c r="A71" s="3910"/>
      <c r="B71" s="2795"/>
      <c r="C71" s="7900" t="s">
        <v>3011</v>
      </c>
      <c r="D71" s="7901"/>
      <c r="E71" s="7901"/>
      <c r="F71" s="7901"/>
      <c r="G71" s="7902"/>
      <c r="H71" s="7324" t="s">
        <v>2498</v>
      </c>
      <c r="I71" s="7325"/>
      <c r="J71" s="7325"/>
      <c r="K71" s="7324" t="s">
        <v>2499</v>
      </c>
      <c r="L71" s="7325"/>
      <c r="M71" s="7325"/>
      <c r="N71" s="7325"/>
      <c r="O71" s="7324" t="s">
        <v>2500</v>
      </c>
      <c r="P71" s="7325"/>
      <c r="Q71" s="7325"/>
      <c r="R71" s="7325"/>
      <c r="S71" s="7820"/>
      <c r="T71" s="7327"/>
      <c r="U71" s="7328"/>
      <c r="V71" s="7328"/>
      <c r="W71" s="7329"/>
      <c r="X71" s="7324" t="s">
        <v>2502</v>
      </c>
      <c r="Y71" s="7325"/>
      <c r="Z71" s="7325"/>
      <c r="AA71" s="7324" t="s">
        <v>2503</v>
      </c>
      <c r="AB71" s="7325"/>
      <c r="AC71" s="7325"/>
      <c r="AD71" s="7325"/>
      <c r="AE71" s="7324" t="s">
        <v>2504</v>
      </c>
      <c r="AF71" s="7819"/>
      <c r="AG71" s="7819"/>
      <c r="AH71" s="7820"/>
      <c r="AI71" s="7327"/>
      <c r="AJ71" s="7328"/>
      <c r="AK71" s="7328"/>
      <c r="AL71" s="7329"/>
      <c r="AM71" s="7896"/>
      <c r="AN71" s="7897"/>
      <c r="AO71" s="7897"/>
      <c r="AP71" s="2757"/>
      <c r="AQ71" s="1179"/>
      <c r="AR71" s="1179"/>
      <c r="AS71" s="1179"/>
      <c r="AT71" s="1179"/>
      <c r="AU71" s="1179"/>
      <c r="AV71" s="1179"/>
      <c r="AW71" s="1179"/>
      <c r="AX71" s="3013"/>
      <c r="AY71" s="3851"/>
      <c r="AZ71" s="3851"/>
      <c r="BA71" s="3851"/>
      <c r="BB71" s="3851"/>
      <c r="BC71" s="3851"/>
      <c r="BD71" s="3851"/>
      <c r="BE71" s="3851"/>
      <c r="BF71" s="3851"/>
      <c r="BG71" s="3851"/>
      <c r="BH71" s="3851"/>
    </row>
    <row r="72" spans="1:60" ht="13.5" customHeight="1">
      <c r="A72" s="3910"/>
      <c r="B72" s="2850" t="b">
        <f>IF(SUM(C67,C69)=1,TRUE,FALSE)</f>
        <v>1</v>
      </c>
      <c r="C72" s="7903"/>
      <c r="D72" s="7904"/>
      <c r="E72" s="7904"/>
      <c r="F72" s="7904"/>
      <c r="G72" s="7905"/>
      <c r="H72" s="7327"/>
      <c r="I72" s="7328"/>
      <c r="J72" s="7328"/>
      <c r="K72" s="7327"/>
      <c r="L72" s="7328"/>
      <c r="M72" s="7328"/>
      <c r="N72" s="7328"/>
      <c r="O72" s="7327"/>
      <c r="P72" s="7328"/>
      <c r="Q72" s="7328"/>
      <c r="R72" s="7328"/>
      <c r="S72" s="7823"/>
      <c r="T72" s="7327"/>
      <c r="U72" s="7328"/>
      <c r="V72" s="7328"/>
      <c r="W72" s="7329"/>
      <c r="X72" s="7327"/>
      <c r="Y72" s="7328"/>
      <c r="Z72" s="7328"/>
      <c r="AA72" s="7327"/>
      <c r="AB72" s="7328"/>
      <c r="AC72" s="7328"/>
      <c r="AD72" s="7328"/>
      <c r="AE72" s="7821"/>
      <c r="AF72" s="7822"/>
      <c r="AG72" s="7822"/>
      <c r="AH72" s="7823"/>
      <c r="AI72" s="7327"/>
      <c r="AJ72" s="7328"/>
      <c r="AK72" s="7328"/>
      <c r="AL72" s="7329"/>
      <c r="AM72" s="7896"/>
      <c r="AN72" s="7897"/>
      <c r="AO72" s="7897"/>
      <c r="AP72" s="2757"/>
      <c r="AQ72" s="1179"/>
      <c r="AR72" s="1179"/>
      <c r="AS72" s="1179"/>
      <c r="AT72" s="1179"/>
      <c r="AU72" s="1179"/>
      <c r="AV72" s="1179"/>
      <c r="AW72" s="1179"/>
      <c r="AX72" s="3013"/>
      <c r="AY72" s="3851"/>
      <c r="AZ72" s="3851"/>
      <c r="BA72" s="3851"/>
      <c r="BB72" s="3851"/>
      <c r="BC72" s="3851"/>
      <c r="BD72" s="3851"/>
      <c r="BE72" s="3851"/>
      <c r="BF72" s="3851"/>
      <c r="BG72" s="3851"/>
      <c r="BH72" s="3851"/>
    </row>
    <row r="73" spans="1:60" ht="13.5" customHeight="1">
      <c r="A73" s="3910"/>
      <c r="B73" s="2795"/>
      <c r="C73" s="7906" t="s">
        <v>2200</v>
      </c>
      <c r="D73" s="7907"/>
      <c r="E73" s="7907"/>
      <c r="F73" s="7907"/>
      <c r="G73" s="7908"/>
      <c r="H73" s="7327"/>
      <c r="I73" s="7328"/>
      <c r="J73" s="7328"/>
      <c r="K73" s="7327"/>
      <c r="L73" s="7328"/>
      <c r="M73" s="7328"/>
      <c r="N73" s="7328"/>
      <c r="O73" s="7327"/>
      <c r="P73" s="7328"/>
      <c r="Q73" s="7328"/>
      <c r="R73" s="7328"/>
      <c r="S73" s="7823"/>
      <c r="T73" s="7327"/>
      <c r="U73" s="7328"/>
      <c r="V73" s="7328"/>
      <c r="W73" s="7329"/>
      <c r="X73" s="7327"/>
      <c r="Y73" s="7328"/>
      <c r="Z73" s="7328"/>
      <c r="AA73" s="7327"/>
      <c r="AB73" s="7328"/>
      <c r="AC73" s="7328"/>
      <c r="AD73" s="7328"/>
      <c r="AE73" s="7821"/>
      <c r="AF73" s="7822"/>
      <c r="AG73" s="7822"/>
      <c r="AH73" s="7823"/>
      <c r="AI73" s="7327"/>
      <c r="AJ73" s="7328"/>
      <c r="AK73" s="7328"/>
      <c r="AL73" s="7329"/>
      <c r="AM73" s="7896"/>
      <c r="AN73" s="7897"/>
      <c r="AO73" s="7897"/>
      <c r="AP73" s="2757"/>
      <c r="AQ73" s="1179"/>
      <c r="AR73" s="1179"/>
      <c r="AS73" s="1179"/>
      <c r="AT73" s="1179"/>
      <c r="AU73" s="1179"/>
      <c r="AV73" s="1179"/>
      <c r="AW73" s="1179"/>
      <c r="AX73" s="3013"/>
      <c r="AY73" s="3851"/>
      <c r="AZ73" s="3851"/>
      <c r="BA73" s="3851"/>
      <c r="BB73" s="3851"/>
      <c r="BC73" s="3851"/>
      <c r="BD73" s="3851"/>
      <c r="BE73" s="3851"/>
      <c r="BF73" s="3851"/>
      <c r="BG73" s="3851"/>
      <c r="BH73" s="3851"/>
    </row>
    <row r="74" spans="1:60" ht="6.75" customHeight="1">
      <c r="A74" s="3910"/>
      <c r="B74" s="2797"/>
      <c r="C74" s="2801"/>
      <c r="D74" s="2782"/>
      <c r="E74" s="2782"/>
      <c r="F74" s="2782"/>
      <c r="G74" s="2802"/>
      <c r="H74" s="7330"/>
      <c r="I74" s="7331"/>
      <c r="J74" s="7331"/>
      <c r="K74" s="7330"/>
      <c r="L74" s="7331"/>
      <c r="M74" s="7331"/>
      <c r="N74" s="7331"/>
      <c r="O74" s="7909"/>
      <c r="P74" s="7825"/>
      <c r="Q74" s="7825"/>
      <c r="R74" s="7825"/>
      <c r="S74" s="7826"/>
      <c r="T74" s="7330"/>
      <c r="U74" s="7331"/>
      <c r="V74" s="7331"/>
      <c r="W74" s="7332"/>
      <c r="X74" s="7330"/>
      <c r="Y74" s="7331"/>
      <c r="Z74" s="7331"/>
      <c r="AA74" s="7330"/>
      <c r="AB74" s="7331"/>
      <c r="AC74" s="7331"/>
      <c r="AD74" s="7331"/>
      <c r="AE74" s="7824"/>
      <c r="AF74" s="7825"/>
      <c r="AG74" s="7825"/>
      <c r="AH74" s="7826"/>
      <c r="AI74" s="7330"/>
      <c r="AJ74" s="7331"/>
      <c r="AK74" s="7331"/>
      <c r="AL74" s="7332"/>
      <c r="AM74" s="7898"/>
      <c r="AN74" s="7899"/>
      <c r="AO74" s="7899"/>
      <c r="AP74" s="2757"/>
      <c r="AQ74" s="1179"/>
      <c r="AR74" s="1179"/>
      <c r="AS74" s="1179"/>
      <c r="AT74" s="1179"/>
      <c r="AU74" s="1179"/>
      <c r="AV74" s="1179"/>
      <c r="AW74" s="1179"/>
      <c r="AX74" s="3013"/>
      <c r="AY74" s="3851"/>
      <c r="AZ74" s="3851"/>
      <c r="BA74" s="3851"/>
      <c r="BB74" s="3851"/>
      <c r="BC74" s="3851"/>
      <c r="BD74" s="3851"/>
      <c r="BE74" s="3851"/>
      <c r="BF74" s="3851"/>
      <c r="BG74" s="3851"/>
      <c r="BH74" s="3851"/>
    </row>
    <row r="75" spans="1:60" ht="15" customHeight="1">
      <c r="A75" s="3970">
        <f>SUM(X75:AL75)</f>
        <v>0</v>
      </c>
      <c r="B75" s="2744" t="s">
        <v>143</v>
      </c>
      <c r="C75" s="7956"/>
      <c r="D75" s="7957"/>
      <c r="E75" s="7957"/>
      <c r="F75" s="7957"/>
      <c r="G75" s="7958"/>
      <c r="H75" s="7704"/>
      <c r="I75" s="7705"/>
      <c r="J75" s="7706"/>
      <c r="K75" s="7705"/>
      <c r="L75" s="7707"/>
      <c r="M75" s="7707"/>
      <c r="N75" s="7707"/>
      <c r="O75" s="7704"/>
      <c r="P75" s="7705"/>
      <c r="Q75" s="7705"/>
      <c r="R75" s="7705"/>
      <c r="S75" s="7706"/>
      <c r="T75" s="7704"/>
      <c r="U75" s="7705"/>
      <c r="V75" s="7705"/>
      <c r="W75" s="7706"/>
      <c r="X75" s="7704"/>
      <c r="Y75" s="7707"/>
      <c r="Z75" s="7708"/>
      <c r="AA75" s="7705"/>
      <c r="AB75" s="7705"/>
      <c r="AC75" s="7705"/>
      <c r="AD75" s="7706"/>
      <c r="AE75" s="7704"/>
      <c r="AF75" s="7705"/>
      <c r="AG75" s="7705"/>
      <c r="AH75" s="7706"/>
      <c r="AI75" s="7704"/>
      <c r="AJ75" s="7705"/>
      <c r="AK75" s="7705"/>
      <c r="AL75" s="7706"/>
      <c r="AM75" s="7818">
        <f>ROUND(SUM(X75:AL75),0)</f>
        <v>0</v>
      </c>
      <c r="AN75" s="7818"/>
      <c r="AO75" s="7818"/>
      <c r="AP75" s="2757"/>
      <c r="AQ75" s="4038" t="str">
        <f>IF(AND(ForeignTaxPaid&lt;&gt;"",ForeignTaxPaid&gt;0,X75="",AA75="",AE75="",AI75="",X76="",AA76="",AE76="",AI76="",X77="",AA77="",AE77="",AI77=""),"←  Enter foreign tax paid.","")</f>
        <v/>
      </c>
      <c r="AR75" s="1179"/>
      <c r="AS75" s="1179"/>
      <c r="AT75" s="1179"/>
      <c r="AU75" s="1179"/>
      <c r="AV75" s="1179"/>
      <c r="AW75" s="1179"/>
      <c r="AX75" s="3013"/>
      <c r="AY75" s="3851"/>
      <c r="AZ75" s="3851"/>
      <c r="BA75" s="3851"/>
      <c r="BB75" s="3851"/>
      <c r="BC75" s="3851"/>
      <c r="BD75" s="3851"/>
      <c r="BE75" s="3851"/>
      <c r="BF75" s="3851"/>
      <c r="BG75" s="3851"/>
      <c r="BH75" s="3851"/>
    </row>
    <row r="76" spans="1:60" ht="15" customHeight="1">
      <c r="A76" s="3970">
        <f>SUM(X76:AL76)</f>
        <v>0</v>
      </c>
      <c r="B76" s="2744" t="s">
        <v>288</v>
      </c>
      <c r="C76" s="7956"/>
      <c r="D76" s="7957"/>
      <c r="E76" s="7957"/>
      <c r="F76" s="7957"/>
      <c r="G76" s="7958"/>
      <c r="H76" s="7704"/>
      <c r="I76" s="7705"/>
      <c r="J76" s="7706"/>
      <c r="K76" s="7705"/>
      <c r="L76" s="7707"/>
      <c r="M76" s="7707"/>
      <c r="N76" s="7707"/>
      <c r="O76" s="7704"/>
      <c r="P76" s="7705"/>
      <c r="Q76" s="7705"/>
      <c r="R76" s="7705"/>
      <c r="S76" s="7706"/>
      <c r="T76" s="7704"/>
      <c r="U76" s="7705"/>
      <c r="V76" s="7705"/>
      <c r="W76" s="7706"/>
      <c r="X76" s="7704"/>
      <c r="Y76" s="7707"/>
      <c r="Z76" s="7708"/>
      <c r="AA76" s="7705"/>
      <c r="AB76" s="7705"/>
      <c r="AC76" s="7705"/>
      <c r="AD76" s="7706"/>
      <c r="AE76" s="7704"/>
      <c r="AF76" s="7705"/>
      <c r="AG76" s="7705"/>
      <c r="AH76" s="7706"/>
      <c r="AI76" s="7704"/>
      <c r="AJ76" s="7705"/>
      <c r="AK76" s="7705"/>
      <c r="AL76" s="7706"/>
      <c r="AM76" s="7818">
        <f>ROUND(SUM(X76:AL76),0)</f>
        <v>0</v>
      </c>
      <c r="AN76" s="7818"/>
      <c r="AO76" s="7818"/>
      <c r="AP76" s="2757"/>
      <c r="AQ76" s="1179"/>
      <c r="AR76" s="1179"/>
      <c r="AS76" s="1179"/>
      <c r="AT76" s="1179"/>
      <c r="AU76" s="1179"/>
      <c r="AV76" s="1179"/>
      <c r="AW76" s="1179"/>
      <c r="AX76" s="3013"/>
      <c r="AY76" s="3851"/>
      <c r="AZ76" s="3851"/>
      <c r="BA76" s="3851"/>
      <c r="BB76" s="3851"/>
      <c r="BC76" s="3851"/>
      <c r="BD76" s="3851"/>
      <c r="BE76" s="3851"/>
      <c r="BF76" s="3851"/>
      <c r="BG76" s="3851"/>
      <c r="BH76" s="3851"/>
    </row>
    <row r="77" spans="1:60" ht="15" customHeight="1">
      <c r="A77" s="3970">
        <f>SUM(X77:AL77)</f>
        <v>0</v>
      </c>
      <c r="B77" s="2744" t="s">
        <v>144</v>
      </c>
      <c r="C77" s="7956"/>
      <c r="D77" s="7957"/>
      <c r="E77" s="7957"/>
      <c r="F77" s="7957"/>
      <c r="G77" s="7958"/>
      <c r="H77" s="7704"/>
      <c r="I77" s="7705"/>
      <c r="J77" s="7706"/>
      <c r="K77" s="7705"/>
      <c r="L77" s="7707"/>
      <c r="M77" s="7707"/>
      <c r="N77" s="7707"/>
      <c r="O77" s="7704"/>
      <c r="P77" s="7705"/>
      <c r="Q77" s="7705"/>
      <c r="R77" s="7705"/>
      <c r="S77" s="7706"/>
      <c r="T77" s="7704"/>
      <c r="U77" s="7705"/>
      <c r="V77" s="7705"/>
      <c r="W77" s="7706"/>
      <c r="X77" s="7704"/>
      <c r="Y77" s="7707"/>
      <c r="Z77" s="7708"/>
      <c r="AA77" s="7705"/>
      <c r="AB77" s="7705"/>
      <c r="AC77" s="7705"/>
      <c r="AD77" s="7706"/>
      <c r="AE77" s="7704"/>
      <c r="AF77" s="7705"/>
      <c r="AG77" s="7705"/>
      <c r="AH77" s="7706"/>
      <c r="AI77" s="7704"/>
      <c r="AJ77" s="7705"/>
      <c r="AK77" s="7705"/>
      <c r="AL77" s="7706"/>
      <c r="AM77" s="7818">
        <f>ROUND(SUM(X77:AL77),0)</f>
        <v>0</v>
      </c>
      <c r="AN77" s="7818"/>
      <c r="AO77" s="7818"/>
      <c r="AP77" s="2757"/>
      <c r="AQ77" s="2757"/>
      <c r="AR77" s="2757"/>
      <c r="AS77" s="2757"/>
      <c r="AT77" s="2757"/>
      <c r="AU77" s="2757"/>
      <c r="AV77" s="1179"/>
      <c r="AW77" s="1179"/>
      <c r="AX77" s="3013"/>
      <c r="AY77" s="3851"/>
      <c r="AZ77" s="3851"/>
      <c r="BA77" s="3851"/>
      <c r="BB77" s="3851"/>
      <c r="BC77" s="3851"/>
      <c r="BD77" s="3851"/>
      <c r="BE77" s="3851"/>
      <c r="BF77" s="3851"/>
      <c r="BG77" s="3851"/>
      <c r="BH77" s="3851"/>
    </row>
    <row r="78" spans="1:60" ht="16.5" customHeight="1">
      <c r="A78" s="3916" t="b">
        <f>SUM(A75:A77)&gt;0</f>
        <v>0</v>
      </c>
      <c r="B78" s="7877">
        <v>8</v>
      </c>
      <c r="C78" s="7877"/>
      <c r="D78" s="2807" t="s">
        <v>2506</v>
      </c>
      <c r="E78" s="1554"/>
      <c r="F78" s="1554"/>
      <c r="G78" s="1554"/>
      <c r="H78" s="1554"/>
      <c r="I78" s="1554"/>
      <c r="J78" s="1554"/>
      <c r="K78" s="1554"/>
      <c r="L78" s="1554"/>
      <c r="M78" s="1554"/>
      <c r="N78" s="1554"/>
      <c r="O78" s="1554"/>
      <c r="P78" s="1554"/>
      <c r="Q78" s="1554"/>
      <c r="R78" s="1554"/>
      <c r="S78" s="1554"/>
      <c r="T78" s="1554"/>
      <c r="U78" s="1554"/>
      <c r="V78" s="1554"/>
      <c r="W78" s="1554"/>
      <c r="X78" s="1554"/>
      <c r="Y78" s="1554"/>
      <c r="Z78" s="1554"/>
      <c r="AA78" s="1554"/>
      <c r="AB78" s="1554"/>
      <c r="AC78" s="1554"/>
      <c r="AD78" s="1554"/>
      <c r="AE78" s="1554"/>
      <c r="AF78" s="1554"/>
      <c r="AG78" s="1554"/>
      <c r="AH78" s="1554"/>
      <c r="AI78" s="1554"/>
      <c r="AJ78" s="3777" t="s">
        <v>2514</v>
      </c>
      <c r="AK78" s="7800">
        <v>8</v>
      </c>
      <c r="AL78" s="7841"/>
      <c r="AM78" s="7974">
        <f>IF(AQ78&lt;&gt;"",ROUND(AQ78,0),ROUND(SUM(AM75:AM77),0))</f>
        <v>0</v>
      </c>
      <c r="AN78" s="7975"/>
      <c r="AO78" s="7975"/>
      <c r="AP78" s="2757"/>
      <c r="AQ78" s="7847"/>
      <c r="AR78" s="7848"/>
      <c r="AS78" s="7848"/>
      <c r="AT78" s="7848"/>
      <c r="AU78" s="2757"/>
      <c r="AV78" s="1179"/>
      <c r="AW78" s="1179"/>
      <c r="AX78" s="3013"/>
      <c r="AY78" s="3851"/>
      <c r="AZ78" s="3851"/>
      <c r="BA78" s="3851"/>
      <c r="BB78" s="3851"/>
      <c r="BC78" s="3851"/>
      <c r="BD78" s="3851"/>
      <c r="BE78" s="3851"/>
      <c r="BF78" s="3851"/>
      <c r="BG78" s="3851"/>
      <c r="BH78" s="3851"/>
    </row>
    <row r="79" spans="1:60" ht="18">
      <c r="A79" s="3910"/>
      <c r="B79" s="2703" t="s">
        <v>2204</v>
      </c>
      <c r="C79" s="2701"/>
      <c r="D79" s="1179"/>
      <c r="E79" s="1179"/>
      <c r="F79" s="1179"/>
      <c r="G79" s="1179"/>
      <c r="H79" s="1179"/>
      <c r="I79" s="1179"/>
      <c r="J79" s="1179"/>
      <c r="K79" s="1179"/>
      <c r="L79" s="1179"/>
      <c r="M79" s="1179"/>
      <c r="N79" s="1179"/>
      <c r="O79" s="1179"/>
      <c r="P79" s="1179"/>
      <c r="Q79" s="1179"/>
      <c r="R79" s="1179"/>
      <c r="S79" s="1179"/>
      <c r="T79" s="1179"/>
      <c r="U79" s="1179"/>
      <c r="V79" s="1179"/>
      <c r="W79" s="1179"/>
      <c r="X79" s="1276" t="s">
        <v>2203</v>
      </c>
      <c r="Y79" s="1179"/>
      <c r="Z79" s="1179"/>
      <c r="AA79" s="1179"/>
      <c r="AB79" s="1179"/>
      <c r="AC79" s="1179"/>
      <c r="AD79" s="1179"/>
      <c r="AE79" s="1179"/>
      <c r="AF79" s="1179"/>
      <c r="AG79" s="1179"/>
      <c r="AH79" s="1179"/>
      <c r="AI79" s="1179"/>
      <c r="AJ79" s="1179"/>
      <c r="AK79" s="2065"/>
      <c r="AL79" s="1179"/>
      <c r="AM79" s="2065"/>
      <c r="AN79" s="2065" t="s">
        <v>2202</v>
      </c>
      <c r="AO79" s="1927" t="str">
        <f>"("&amp;TaxYear&amp;")"</f>
        <v>(2021)</v>
      </c>
      <c r="AP79" s="2757"/>
      <c r="AQ79" s="2757"/>
      <c r="AR79" s="2757"/>
      <c r="AS79" s="2757"/>
      <c r="AT79" s="2757"/>
      <c r="AU79" s="2757"/>
      <c r="AV79" s="1179"/>
      <c r="AW79" s="1179"/>
      <c r="AX79" s="3013"/>
      <c r="AY79" s="3851"/>
      <c r="AZ79" s="3851"/>
      <c r="BA79" s="3851"/>
      <c r="BB79" s="3851"/>
      <c r="BC79" s="3851"/>
      <c r="BD79" s="3851"/>
      <c r="BE79" s="3851"/>
      <c r="BF79" s="3851"/>
      <c r="BG79" s="3851"/>
      <c r="BH79" s="3851"/>
    </row>
    <row r="80" spans="1:60" ht="6" customHeight="1">
      <c r="A80" s="3910"/>
      <c r="B80" s="1179"/>
      <c r="C80" s="1179"/>
      <c r="D80" s="1179"/>
      <c r="E80" s="1179"/>
      <c r="F80" s="1179"/>
      <c r="G80" s="1179"/>
      <c r="H80" s="1179"/>
      <c r="I80" s="1179"/>
      <c r="J80" s="1179"/>
      <c r="K80" s="1179"/>
      <c r="L80" s="1179"/>
      <c r="M80" s="1179"/>
      <c r="N80" s="1179"/>
      <c r="O80" s="1179"/>
      <c r="P80" s="1179"/>
      <c r="Q80" s="1179"/>
      <c r="R80" s="1179"/>
      <c r="S80" s="1179"/>
      <c r="T80" s="1285"/>
      <c r="U80" s="1179"/>
      <c r="V80" s="1179"/>
      <c r="W80" s="1179"/>
      <c r="X80" s="1179"/>
      <c r="Y80" s="1179"/>
      <c r="Z80" s="1179"/>
      <c r="AA80" s="1179"/>
      <c r="AB80" s="1179"/>
      <c r="AC80" s="1179"/>
      <c r="AD80" s="1179"/>
      <c r="AE80" s="1179"/>
      <c r="AF80" s="1179"/>
      <c r="AG80" s="1179"/>
      <c r="AH80" s="1179"/>
      <c r="AI80" s="1179"/>
      <c r="AJ80" s="1179"/>
      <c r="AK80" s="1179"/>
      <c r="AL80" s="1179"/>
      <c r="AM80" s="1179"/>
      <c r="AN80" s="1179"/>
      <c r="AO80" s="1179"/>
      <c r="AP80" s="2757"/>
      <c r="AQ80" s="1179"/>
      <c r="AR80" s="1179"/>
      <c r="AS80" s="1179"/>
      <c r="AT80" s="1179"/>
      <c r="AU80" s="1179"/>
      <c r="AV80" s="1179"/>
      <c r="AW80" s="1179"/>
      <c r="AX80" s="3013"/>
      <c r="AY80" s="3851"/>
      <c r="AZ80" s="3851"/>
      <c r="BA80" s="3851"/>
      <c r="BB80" s="3851"/>
      <c r="BC80" s="3851"/>
      <c r="BD80" s="3851"/>
      <c r="BE80" s="3851"/>
      <c r="BF80" s="3851"/>
      <c r="BG80" s="3851"/>
      <c r="BH80" s="3851"/>
    </row>
    <row r="81" spans="1:60" ht="18" customHeight="1" thickBot="1">
      <c r="A81" s="3910"/>
      <c r="B81" s="1929" t="str">
        <f>"Form 1116 ("&amp;TaxYear&amp;")"</f>
        <v>Form 1116 (2021)</v>
      </c>
      <c r="C81" s="1280"/>
      <c r="D81" s="1280"/>
      <c r="E81" s="1280"/>
      <c r="F81" s="1280"/>
      <c r="G81" s="1280"/>
      <c r="H81" s="1280"/>
      <c r="I81" s="1280"/>
      <c r="J81" s="1280"/>
      <c r="K81" s="1280"/>
      <c r="L81" s="1280"/>
      <c r="M81" s="1280"/>
      <c r="N81" s="1280"/>
      <c r="O81" s="1280"/>
      <c r="P81" s="1280"/>
      <c r="Q81" s="1280"/>
      <c r="R81" s="1280"/>
      <c r="S81" s="1280"/>
      <c r="T81" s="1280"/>
      <c r="U81" s="1280"/>
      <c r="V81" s="1280"/>
      <c r="W81" s="1280"/>
      <c r="X81" s="1280"/>
      <c r="Y81" s="1280"/>
      <c r="Z81" s="1280"/>
      <c r="AA81" s="1280"/>
      <c r="AB81" s="1280"/>
      <c r="AC81" s="1280"/>
      <c r="AD81" s="1280"/>
      <c r="AE81" s="1280"/>
      <c r="AF81" s="1280"/>
      <c r="AG81" s="1280"/>
      <c r="AH81" s="1280"/>
      <c r="AI81" s="1280"/>
      <c r="AJ81" s="1280"/>
      <c r="AK81" s="1280"/>
      <c r="AL81" s="1280"/>
      <c r="AM81" s="1280"/>
      <c r="AN81" s="1280"/>
      <c r="AO81" s="2743" t="s">
        <v>3009</v>
      </c>
      <c r="AP81" s="2757"/>
      <c r="AQ81" s="1179"/>
      <c r="AR81" s="1179"/>
      <c r="AS81" s="1179"/>
      <c r="AT81" s="1179"/>
      <c r="AU81" s="1179"/>
      <c r="AV81" s="1179"/>
      <c r="AW81" s="1179"/>
      <c r="AX81" s="3013"/>
      <c r="AY81" s="3851"/>
      <c r="AZ81" s="3851"/>
      <c r="BA81" s="3851"/>
      <c r="BB81" s="3851"/>
      <c r="BC81" s="3851"/>
      <c r="BD81" s="3851"/>
      <c r="BE81" s="3851"/>
      <c r="BF81" s="3851"/>
      <c r="BG81" s="3851"/>
      <c r="BH81" s="3851"/>
    </row>
    <row r="82" spans="1:60" s="2689" customFormat="1" ht="16.5" customHeight="1">
      <c r="A82" s="3912"/>
      <c r="B82" s="7942" t="s">
        <v>319</v>
      </c>
      <c r="C82" s="7942"/>
      <c r="D82" s="7943"/>
      <c r="E82" s="2690"/>
      <c r="F82" s="2778" t="s">
        <v>2214</v>
      </c>
      <c r="G82" s="2690"/>
      <c r="H82" s="2690"/>
      <c r="I82" s="2690"/>
      <c r="J82" s="2690"/>
      <c r="K82" s="2690"/>
      <c r="L82" s="2690"/>
      <c r="M82" s="2690"/>
      <c r="N82" s="2690"/>
      <c r="O82" s="2690"/>
      <c r="P82" s="2690"/>
      <c r="Q82" s="2690"/>
      <c r="R82" s="2690"/>
      <c r="S82" s="2690"/>
      <c r="T82" s="2690"/>
      <c r="U82" s="2690"/>
      <c r="V82" s="2690"/>
      <c r="W82" s="2690"/>
      <c r="X82" s="2690"/>
      <c r="Y82" s="2690"/>
      <c r="Z82" s="2690"/>
      <c r="AA82" s="2690"/>
      <c r="AB82" s="2690"/>
      <c r="AC82" s="2690"/>
      <c r="AD82" s="2690"/>
      <c r="AE82" s="2690"/>
      <c r="AF82" s="2690"/>
      <c r="AG82" s="2690"/>
      <c r="AH82" s="2690"/>
      <c r="AI82" s="2690"/>
      <c r="AJ82" s="2690"/>
      <c r="AK82" s="2690"/>
      <c r="AL82" s="2690"/>
      <c r="AM82" s="2690"/>
      <c r="AN82" s="2690"/>
      <c r="AO82" s="2690"/>
      <c r="AP82" s="2757"/>
      <c r="AQ82" s="1540"/>
      <c r="AR82" s="1540"/>
      <c r="AS82" s="1540"/>
      <c r="AT82" s="1540"/>
      <c r="AU82" s="1540"/>
      <c r="AV82" s="1540"/>
      <c r="AW82" s="1540"/>
      <c r="AX82" s="3013"/>
      <c r="AY82" s="3851"/>
      <c r="AZ82" s="3851"/>
      <c r="BA82" s="3851"/>
      <c r="BB82" s="3851"/>
      <c r="BC82" s="3851"/>
      <c r="BD82" s="3851"/>
      <c r="BE82" s="3851"/>
      <c r="BF82" s="3851"/>
      <c r="BG82" s="3851"/>
      <c r="BH82" s="3851"/>
    </row>
    <row r="83" spans="1:60" ht="17.25" customHeight="1">
      <c r="A83" s="3910"/>
      <c r="B83" s="7944">
        <v>9</v>
      </c>
      <c r="C83" s="7944"/>
      <c r="D83" s="1179" t="s">
        <v>2215</v>
      </c>
      <c r="E83" s="1179"/>
      <c r="F83" s="2686"/>
      <c r="G83" s="1179"/>
      <c r="H83" s="1179"/>
      <c r="I83" s="1179"/>
      <c r="J83" s="1179"/>
      <c r="K83" s="1179"/>
      <c r="L83" s="1179"/>
      <c r="M83" s="1179"/>
      <c r="N83" s="1179"/>
      <c r="O83" s="1179"/>
      <c r="P83" s="1179"/>
      <c r="Q83" s="1179"/>
      <c r="R83" s="1179"/>
      <c r="S83" s="1179"/>
      <c r="T83" s="1179"/>
      <c r="U83" s="1179"/>
      <c r="V83" s="1179"/>
      <c r="W83" s="1179"/>
      <c r="X83" s="1179"/>
      <c r="Y83" s="1179"/>
      <c r="Z83" s="7872"/>
      <c r="AA83" s="7873"/>
      <c r="AB83" s="1581"/>
      <c r="AC83" s="1574"/>
      <c r="AD83" s="1574"/>
      <c r="AE83" s="1574"/>
      <c r="AF83" s="1574"/>
      <c r="AG83" s="1574"/>
      <c r="AH83" s="1574"/>
      <c r="AI83" s="1575"/>
      <c r="AJ83" s="7724"/>
      <c r="AK83" s="7770"/>
      <c r="AL83" s="1581"/>
      <c r="AM83" s="1574"/>
      <c r="AN83" s="1574"/>
      <c r="AO83" s="1574"/>
      <c r="AP83" s="2757"/>
      <c r="AQ83" s="1540"/>
      <c r="AR83" s="1540"/>
      <c r="AS83" s="1540"/>
      <c r="AT83" s="1540"/>
      <c r="AU83" s="1540"/>
      <c r="AV83" s="1179"/>
      <c r="AW83" s="1179"/>
      <c r="AX83" s="3013"/>
      <c r="AY83" s="3851"/>
      <c r="AZ83" s="3851"/>
      <c r="BA83" s="3851"/>
      <c r="BB83" s="3851"/>
      <c r="BC83" s="3851"/>
      <c r="BD83" s="3851"/>
      <c r="BE83" s="3851"/>
      <c r="BF83" s="3851"/>
      <c r="BG83" s="3851"/>
      <c r="BH83" s="3851"/>
    </row>
    <row r="84" spans="1:60" ht="14.25" customHeight="1">
      <c r="A84" s="3910"/>
      <c r="B84" s="1276"/>
      <c r="C84" s="1276"/>
      <c r="D84" s="1179" t="s">
        <v>2216</v>
      </c>
      <c r="E84" s="1179"/>
      <c r="F84" s="2686"/>
      <c r="G84" s="1179"/>
      <c r="H84" s="1179"/>
      <c r="I84" s="1179"/>
      <c r="J84" s="1179"/>
      <c r="K84" s="1179"/>
      <c r="L84" s="1179"/>
      <c r="M84" s="1179"/>
      <c r="N84" s="1179"/>
      <c r="O84" s="1179"/>
      <c r="P84" s="1179"/>
      <c r="Q84" s="1179"/>
      <c r="R84" s="1179"/>
      <c r="S84" s="1179"/>
      <c r="T84" s="1179"/>
      <c r="U84" s="1179"/>
      <c r="V84" s="1179"/>
      <c r="W84" s="1179"/>
      <c r="X84" s="1179"/>
      <c r="Y84" s="1560" t="s">
        <v>2415</v>
      </c>
      <c r="Z84" s="7729">
        <v>9</v>
      </c>
      <c r="AA84" s="7730"/>
      <c r="AB84" s="7736">
        <f>AM78</f>
        <v>0</v>
      </c>
      <c r="AC84" s="7737"/>
      <c r="AD84" s="7737"/>
      <c r="AE84" s="7737"/>
      <c r="AF84" s="7737"/>
      <c r="AG84" s="7737"/>
      <c r="AH84" s="7737"/>
      <c r="AI84" s="7738"/>
      <c r="AJ84" s="7724"/>
      <c r="AK84" s="7770"/>
      <c r="AL84" s="1582"/>
      <c r="AM84" s="1179"/>
      <c r="AN84" s="1179"/>
      <c r="AO84" s="1179"/>
      <c r="AP84" s="2757"/>
      <c r="AQ84" s="1540"/>
      <c r="AR84" s="1540"/>
      <c r="AS84" s="1540"/>
      <c r="AT84" s="1540"/>
      <c r="AU84" s="1540"/>
      <c r="AV84" s="1179"/>
      <c r="AW84" s="1179"/>
      <c r="AX84" s="3013"/>
      <c r="AY84" s="3851"/>
      <c r="AZ84" s="3851"/>
      <c r="BA84" s="3851"/>
      <c r="BB84" s="3851"/>
      <c r="BC84" s="3851"/>
      <c r="BD84" s="3851"/>
      <c r="BE84" s="3851"/>
      <c r="BF84" s="3851"/>
      <c r="BG84" s="3851"/>
      <c r="BH84" s="3851"/>
    </row>
    <row r="85" spans="1:60" ht="9.75" customHeight="1">
      <c r="A85" s="3910"/>
      <c r="B85" s="7717"/>
      <c r="C85" s="7717"/>
      <c r="D85" s="1179"/>
      <c r="E85" s="1179"/>
      <c r="F85" s="2686"/>
      <c r="G85" s="1179"/>
      <c r="H85" s="1179"/>
      <c r="I85" s="1179"/>
      <c r="J85" s="1179"/>
      <c r="K85" s="1179"/>
      <c r="L85" s="1179"/>
      <c r="M85" s="1179"/>
      <c r="N85" s="1179"/>
      <c r="O85" s="1179"/>
      <c r="P85" s="1179"/>
      <c r="Q85" s="1179"/>
      <c r="R85" s="1179"/>
      <c r="S85" s="1179"/>
      <c r="T85" s="1179"/>
      <c r="U85" s="1179"/>
      <c r="V85" s="1179"/>
      <c r="W85" s="1179"/>
      <c r="X85" s="1179"/>
      <c r="Y85" s="1179"/>
      <c r="Z85" s="7872"/>
      <c r="AA85" s="7873"/>
      <c r="AB85" s="1581"/>
      <c r="AC85" s="1574"/>
      <c r="AD85" s="1574"/>
      <c r="AE85" s="1574"/>
      <c r="AF85" s="1574"/>
      <c r="AG85" s="1574"/>
      <c r="AH85" s="1574"/>
      <c r="AI85" s="1575"/>
      <c r="AJ85" s="7724"/>
      <c r="AK85" s="7770"/>
      <c r="AL85" s="1582"/>
      <c r="AM85" s="1179"/>
      <c r="AN85" s="1179"/>
      <c r="AO85" s="1179"/>
      <c r="AP85" s="2757"/>
      <c r="AQ85" s="1540"/>
      <c r="AR85" s="1540"/>
      <c r="AS85" s="1540"/>
      <c r="AT85" s="1540"/>
      <c r="AU85" s="1540"/>
      <c r="AV85" s="1179"/>
      <c r="AW85" s="1179"/>
      <c r="AX85" s="3013"/>
      <c r="AY85" s="3851"/>
      <c r="AZ85" s="3851"/>
      <c r="BA85" s="3851"/>
      <c r="BB85" s="3851"/>
      <c r="BC85" s="3851"/>
      <c r="BD85" s="3851"/>
      <c r="BE85" s="3851"/>
      <c r="BF85" s="3851"/>
      <c r="BG85" s="3851"/>
      <c r="BH85" s="3851"/>
    </row>
    <row r="86" spans="1:60" ht="13.5" customHeight="1" thickBot="1">
      <c r="A86" s="3910"/>
      <c r="B86" s="7717">
        <v>10</v>
      </c>
      <c r="C86" s="7717"/>
      <c r="D86" s="1276" t="s">
        <v>2236</v>
      </c>
      <c r="E86" s="1179"/>
      <c r="F86" s="2686"/>
      <c r="G86" s="1179"/>
      <c r="H86" s="1179"/>
      <c r="I86" s="1179"/>
      <c r="J86" s="1179"/>
      <c r="K86" s="1179"/>
      <c r="L86" s="1179"/>
      <c r="M86" s="1179"/>
      <c r="N86" s="1179"/>
      <c r="O86" s="1179"/>
      <c r="P86" s="1179"/>
      <c r="Q86" s="1179"/>
      <c r="R86" s="1179"/>
      <c r="S86" s="1179"/>
      <c r="T86" s="1179"/>
      <c r="U86" s="1179"/>
      <c r="V86" s="1179"/>
      <c r="W86" s="1179"/>
      <c r="X86" s="1179"/>
      <c r="Y86" s="1560" t="s">
        <v>2514</v>
      </c>
      <c r="Z86" s="7804">
        <v>10</v>
      </c>
      <c r="AA86" s="7805"/>
      <c r="AB86" s="7962"/>
      <c r="AC86" s="7963"/>
      <c r="AD86" s="7963"/>
      <c r="AE86" s="7963"/>
      <c r="AF86" s="7963"/>
      <c r="AG86" s="7963"/>
      <c r="AH86" s="7963"/>
      <c r="AI86" s="7964"/>
      <c r="AJ86" s="7724"/>
      <c r="AK86" s="7770"/>
      <c r="AL86" s="1582"/>
      <c r="AM86" s="1179"/>
      <c r="AN86" s="1179"/>
      <c r="AO86" s="1179"/>
      <c r="AP86" s="2757"/>
      <c r="AQ86" s="1179"/>
      <c r="AR86" s="1179"/>
      <c r="AS86" s="1179"/>
      <c r="AT86" s="1179"/>
      <c r="AU86" s="1179"/>
      <c r="AV86" s="1179"/>
      <c r="AW86" s="1179"/>
      <c r="AX86" s="3013"/>
      <c r="AY86" s="3851"/>
      <c r="AZ86" s="3851"/>
      <c r="BA86" s="3851"/>
      <c r="BB86" s="3851"/>
      <c r="BC86" s="3851"/>
      <c r="BD86" s="3851"/>
      <c r="BE86" s="3851"/>
      <c r="BF86" s="3851"/>
      <c r="BG86" s="3851"/>
      <c r="BH86" s="3851"/>
    </row>
    <row r="87" spans="1:60" ht="13.5" customHeight="1">
      <c r="A87" s="3910"/>
      <c r="B87" s="7717"/>
      <c r="C87" s="7717"/>
      <c r="D87" s="1276" t="s">
        <v>2507</v>
      </c>
      <c r="E87" s="1179"/>
      <c r="F87" s="2686"/>
      <c r="G87" s="1179"/>
      <c r="H87" s="1179"/>
      <c r="I87" s="1179"/>
      <c r="J87" s="1179"/>
      <c r="K87" s="1179"/>
      <c r="L87" s="1179"/>
      <c r="M87" s="1179"/>
      <c r="N87" s="1179"/>
      <c r="O87" s="1179"/>
      <c r="P87" s="1179"/>
      <c r="Q87" s="1179"/>
      <c r="R87" s="1179"/>
      <c r="S87" s="1179"/>
      <c r="T87" s="1179"/>
      <c r="U87" s="1179"/>
      <c r="V87" s="1179"/>
      <c r="W87" s="1179"/>
      <c r="X87" s="1179"/>
      <c r="Y87" s="1179"/>
      <c r="Z87" s="7959"/>
      <c r="AA87" s="7960"/>
      <c r="AB87" s="1552"/>
      <c r="AC87" s="1274"/>
      <c r="AD87" s="1274"/>
      <c r="AE87" s="1274"/>
      <c r="AF87" s="1274"/>
      <c r="AG87" s="1274"/>
      <c r="AH87" s="1274"/>
      <c r="AI87" s="3306"/>
      <c r="AJ87" s="7724"/>
      <c r="AK87" s="7770"/>
      <c r="AL87" s="1582"/>
      <c r="AM87" s="1179"/>
      <c r="AN87" s="1179"/>
      <c r="AO87" s="1179"/>
      <c r="AP87" s="2757"/>
      <c r="AQ87" s="1179"/>
      <c r="AR87" s="1179"/>
      <c r="AS87" s="1179"/>
      <c r="AT87" s="1179"/>
      <c r="AU87" s="1179"/>
      <c r="AV87" s="1179"/>
      <c r="AW87" s="1179"/>
      <c r="AX87" s="3013"/>
      <c r="AY87" s="3851"/>
      <c r="AZ87" s="3851"/>
      <c r="BA87" s="3851"/>
      <c r="BB87" s="3851"/>
      <c r="BC87" s="3851"/>
      <c r="BD87" s="3851"/>
      <c r="BE87" s="3851"/>
      <c r="BF87" s="3851"/>
      <c r="BG87" s="3851"/>
      <c r="BH87" s="3851"/>
    </row>
    <row r="88" spans="1:60" ht="13.5" customHeight="1">
      <c r="A88" s="3910"/>
      <c r="B88" s="7717"/>
      <c r="C88" s="7717"/>
      <c r="D88" s="1276" t="s">
        <v>2508</v>
      </c>
      <c r="E88" s="1179"/>
      <c r="F88" s="2686"/>
      <c r="G88" s="1179"/>
      <c r="H88" s="1179"/>
      <c r="I88" s="1179"/>
      <c r="J88" s="1179"/>
      <c r="K88" s="1179"/>
      <c r="L88" s="1179"/>
      <c r="M88" s="1179"/>
      <c r="N88" s="1179"/>
      <c r="O88" s="1179"/>
      <c r="P88" s="1179"/>
      <c r="Q88" s="1179"/>
      <c r="R88" s="1179"/>
      <c r="S88" s="1179"/>
      <c r="T88" s="1179"/>
      <c r="U88" s="1179"/>
      <c r="V88" s="1179"/>
      <c r="W88" s="1179"/>
      <c r="X88" s="1179"/>
      <c r="Y88" s="1179"/>
      <c r="Z88" s="7804"/>
      <c r="AA88" s="7805"/>
      <c r="AB88" s="1582"/>
      <c r="AC88" s="1179"/>
      <c r="AD88" s="1179"/>
      <c r="AE88" s="1179"/>
      <c r="AF88" s="1179"/>
      <c r="AG88" s="1179"/>
      <c r="AH88" s="1179"/>
      <c r="AI88" s="1583"/>
      <c r="AJ88" s="7724"/>
      <c r="AK88" s="7770"/>
      <c r="AL88" s="1582"/>
      <c r="AM88" s="1179"/>
      <c r="AN88" s="1179"/>
      <c r="AO88" s="1179"/>
      <c r="AP88" s="2757"/>
      <c r="AQ88" s="1179"/>
      <c r="AR88" s="1179"/>
      <c r="AS88" s="1179"/>
      <c r="AT88" s="1179"/>
      <c r="AU88" s="1179"/>
      <c r="AV88" s="1179"/>
      <c r="AW88" s="1179"/>
      <c r="AX88" s="3013"/>
      <c r="AY88" s="3851"/>
      <c r="AZ88" s="3851"/>
      <c r="BA88" s="3851"/>
      <c r="BB88" s="3851"/>
      <c r="BC88" s="3851"/>
      <c r="BD88" s="3851"/>
      <c r="BE88" s="3851"/>
      <c r="BF88" s="3851"/>
      <c r="BG88" s="3851"/>
      <c r="BH88" s="3851"/>
    </row>
    <row r="89" spans="1:60" ht="13.5" customHeight="1">
      <c r="A89" s="3910"/>
      <c r="B89" s="7717">
        <v>11</v>
      </c>
      <c r="C89" s="7717"/>
      <c r="D89" s="1179" t="s">
        <v>1901</v>
      </c>
      <c r="E89" s="1179"/>
      <c r="F89" s="2686"/>
      <c r="G89" s="1179"/>
      <c r="H89" s="1179"/>
      <c r="I89" s="1179"/>
      <c r="J89" s="1179"/>
      <c r="K89" s="1179"/>
      <c r="L89" s="1179"/>
      <c r="M89" s="1179"/>
      <c r="N89" s="1179"/>
      <c r="O89" s="1179"/>
      <c r="P89" s="1179"/>
      <c r="Q89" s="1179"/>
      <c r="R89" s="1179"/>
      <c r="S89" s="1179"/>
      <c r="T89" s="1179"/>
      <c r="U89" s="1179"/>
      <c r="V89" s="1179"/>
      <c r="W89" s="1179"/>
      <c r="X89" s="1179"/>
      <c r="Y89" s="1560" t="s">
        <v>2883</v>
      </c>
      <c r="Z89" s="7729">
        <v>11</v>
      </c>
      <c r="AA89" s="7730"/>
      <c r="AB89" s="7736">
        <f>ROUND(SUM(AB84,AB86),0)</f>
        <v>0</v>
      </c>
      <c r="AC89" s="7737"/>
      <c r="AD89" s="7737"/>
      <c r="AE89" s="7737"/>
      <c r="AF89" s="7737"/>
      <c r="AG89" s="7737"/>
      <c r="AH89" s="7737"/>
      <c r="AI89" s="7738"/>
      <c r="AJ89" s="7724"/>
      <c r="AK89" s="7770"/>
      <c r="AL89" s="1582"/>
      <c r="AM89" s="1179"/>
      <c r="AN89" s="1179"/>
      <c r="AO89" s="1179"/>
      <c r="AP89" s="2757"/>
      <c r="AQ89" s="1179"/>
      <c r="AR89" s="1179"/>
      <c r="AS89" s="1179"/>
      <c r="AT89" s="1179"/>
      <c r="AU89" s="1179"/>
      <c r="AV89" s="1179"/>
      <c r="AW89" s="1179"/>
      <c r="AX89" s="3013"/>
      <c r="AY89" s="3851"/>
      <c r="AZ89" s="3851"/>
      <c r="BA89" s="3851"/>
      <c r="BB89" s="3851"/>
      <c r="BC89" s="3851"/>
      <c r="BD89" s="3851"/>
      <c r="BE89" s="3851"/>
      <c r="BF89" s="3851"/>
      <c r="BG89" s="3851"/>
      <c r="BH89" s="3851"/>
    </row>
    <row r="90" spans="1:60" ht="13.5" customHeight="1">
      <c r="A90" s="3910"/>
      <c r="B90" s="7717"/>
      <c r="C90" s="7717"/>
      <c r="D90" s="1179"/>
      <c r="E90" s="1179"/>
      <c r="F90" s="2686"/>
      <c r="G90" s="1179"/>
      <c r="H90" s="1179"/>
      <c r="I90" s="1179"/>
      <c r="J90" s="1179"/>
      <c r="K90" s="1179"/>
      <c r="L90" s="1179"/>
      <c r="M90" s="1179"/>
      <c r="N90" s="1179"/>
      <c r="O90" s="1179"/>
      <c r="P90" s="1179"/>
      <c r="Q90" s="1179"/>
      <c r="R90" s="1179"/>
      <c r="S90" s="1179"/>
      <c r="T90" s="1179"/>
      <c r="U90" s="1179"/>
      <c r="V90" s="1179"/>
      <c r="W90" s="1179"/>
      <c r="X90" s="1179"/>
      <c r="Y90" s="1179"/>
      <c r="Z90" s="7872"/>
      <c r="AA90" s="7873"/>
      <c r="AB90" s="1581"/>
      <c r="AC90" s="1574"/>
      <c r="AD90" s="1574"/>
      <c r="AE90" s="1574"/>
      <c r="AF90" s="1574"/>
      <c r="AG90" s="1574"/>
      <c r="AH90" s="1574"/>
      <c r="AI90" s="1575"/>
      <c r="AJ90" s="7724"/>
      <c r="AK90" s="7770"/>
      <c r="AL90" s="7784" t="str">
        <f>IF(AB91&gt;0,"Line 12 cannot be","")</f>
        <v/>
      </c>
      <c r="AM90" s="7785"/>
      <c r="AN90" s="7785"/>
      <c r="AO90" s="7785"/>
      <c r="AP90" s="2757"/>
      <c r="AQ90" s="1179"/>
      <c r="AR90" s="1179"/>
      <c r="AS90" s="1179"/>
      <c r="AT90" s="1179"/>
      <c r="AU90" s="1179"/>
      <c r="AV90" s="1179"/>
      <c r="AW90" s="1179"/>
      <c r="AX90" s="3013"/>
      <c r="AY90" s="3851"/>
      <c r="AZ90" s="3851"/>
      <c r="BA90" s="3851"/>
      <c r="BB90" s="3851"/>
      <c r="BC90" s="3851"/>
      <c r="BD90" s="3851"/>
      <c r="BE90" s="3851"/>
      <c r="BF90" s="3851"/>
      <c r="BG90" s="3851"/>
      <c r="BH90" s="3851"/>
    </row>
    <row r="91" spans="1:60" ht="13.5" customHeight="1">
      <c r="A91" s="3910"/>
      <c r="B91" s="7717">
        <v>12</v>
      </c>
      <c r="C91" s="7717"/>
      <c r="D91" s="1276" t="s">
        <v>2217</v>
      </c>
      <c r="E91" s="1179"/>
      <c r="F91" s="2686"/>
      <c r="G91" s="1179"/>
      <c r="H91" s="1179"/>
      <c r="I91" s="1179"/>
      <c r="J91" s="1179"/>
      <c r="K91" s="1179"/>
      <c r="L91" s="1179"/>
      <c r="M91" s="1179"/>
      <c r="N91" s="1179"/>
      <c r="O91" s="1179"/>
      <c r="P91" s="1179"/>
      <c r="Q91" s="1179"/>
      <c r="R91" s="1179"/>
      <c r="S91" s="1179"/>
      <c r="T91" s="1179"/>
      <c r="U91" s="1179"/>
      <c r="V91" s="1179"/>
      <c r="W91" s="1179"/>
      <c r="X91" s="1179"/>
      <c r="Y91" s="1560" t="s">
        <v>2401</v>
      </c>
      <c r="Z91" s="7729">
        <v>12</v>
      </c>
      <c r="AA91" s="7730"/>
      <c r="AB91" s="7961"/>
      <c r="AC91" s="7768"/>
      <c r="AD91" s="7768"/>
      <c r="AE91" s="7768"/>
      <c r="AF91" s="7768"/>
      <c r="AG91" s="7768"/>
      <c r="AH91" s="7768"/>
      <c r="AI91" s="7769"/>
      <c r="AJ91" s="7724"/>
      <c r="AK91" s="7770"/>
      <c r="AL91" s="7784" t="str">
        <f>IF(AB91&gt;0,"a positive number.","")</f>
        <v/>
      </c>
      <c r="AM91" s="7785"/>
      <c r="AN91" s="7785"/>
      <c r="AO91" s="7785"/>
      <c r="AP91" s="2757"/>
      <c r="AQ91" s="1179"/>
      <c r="AR91" s="1179"/>
      <c r="AS91" s="1179"/>
      <c r="AT91" s="1179"/>
      <c r="AU91" s="1179"/>
      <c r="AV91" s="1179"/>
      <c r="AW91" s="1179"/>
      <c r="AX91" s="3013"/>
      <c r="AY91" s="3851"/>
      <c r="AZ91" s="3851"/>
      <c r="BA91" s="3851"/>
      <c r="BB91" s="3851"/>
      <c r="BC91" s="3851"/>
      <c r="BD91" s="3851"/>
      <c r="BE91" s="3851"/>
      <c r="BF91" s="3851"/>
      <c r="BG91" s="3851"/>
      <c r="BH91" s="3851"/>
    </row>
    <row r="92" spans="1:60" ht="13.5" customHeight="1">
      <c r="A92" s="3910"/>
      <c r="B92" s="7717"/>
      <c r="C92" s="7717"/>
      <c r="D92" s="1179"/>
      <c r="E92" s="1179"/>
      <c r="F92" s="2686"/>
      <c r="G92" s="1179"/>
      <c r="H92" s="1179"/>
      <c r="I92" s="1179"/>
      <c r="J92" s="1179"/>
      <c r="K92" s="1179"/>
      <c r="L92" s="1179"/>
      <c r="M92" s="1179"/>
      <c r="N92" s="1179"/>
      <c r="O92" s="1179"/>
      <c r="P92" s="1179"/>
      <c r="Q92" s="1179"/>
      <c r="R92" s="1179"/>
      <c r="S92" s="1179"/>
      <c r="T92" s="1179"/>
      <c r="U92" s="1179"/>
      <c r="V92" s="1179"/>
      <c r="W92" s="1179"/>
      <c r="X92" s="1179"/>
      <c r="Y92" s="1179"/>
      <c r="Z92" s="7872"/>
      <c r="AA92" s="7873"/>
      <c r="AB92" s="1581"/>
      <c r="AC92" s="1574"/>
      <c r="AD92" s="1574"/>
      <c r="AE92" s="1574"/>
      <c r="AF92" s="1574"/>
      <c r="AG92" s="1574"/>
      <c r="AH92" s="1574"/>
      <c r="AI92" s="1575"/>
      <c r="AJ92" s="7724"/>
      <c r="AK92" s="7770"/>
      <c r="AL92" s="1582"/>
      <c r="AM92" s="1179"/>
      <c r="AN92" s="1179"/>
      <c r="AO92" s="1179"/>
      <c r="AP92" s="2757"/>
      <c r="AQ92" s="1179"/>
      <c r="AR92" s="1179"/>
      <c r="AS92" s="1179"/>
      <c r="AT92" s="1179"/>
      <c r="AU92" s="1179"/>
      <c r="AV92" s="1179"/>
      <c r="AW92" s="1179"/>
      <c r="AX92" s="3013"/>
      <c r="AY92" s="3851"/>
      <c r="AZ92" s="3851"/>
      <c r="BA92" s="3851"/>
      <c r="BB92" s="3851"/>
      <c r="BC92" s="3851"/>
      <c r="BD92" s="3851"/>
      <c r="BE92" s="3851"/>
      <c r="BF92" s="3851"/>
      <c r="BG92" s="3851"/>
      <c r="BH92" s="3851"/>
    </row>
    <row r="93" spans="1:60" ht="13.5" customHeight="1" thickBot="1">
      <c r="A93" s="3910"/>
      <c r="B93" s="7717">
        <v>13</v>
      </c>
      <c r="C93" s="7717"/>
      <c r="D93" s="1276" t="s">
        <v>2218</v>
      </c>
      <c r="E93" s="1179"/>
      <c r="F93" s="2686"/>
      <c r="G93" s="1179"/>
      <c r="H93" s="1179"/>
      <c r="I93" s="1179"/>
      <c r="J93" s="1179"/>
      <c r="K93" s="1179"/>
      <c r="L93" s="1179"/>
      <c r="M93" s="1179"/>
      <c r="N93" s="1179"/>
      <c r="O93" s="1179"/>
      <c r="P93" s="1179"/>
      <c r="Q93" s="1179"/>
      <c r="R93" s="1179"/>
      <c r="S93" s="1179"/>
      <c r="T93" s="1179"/>
      <c r="U93" s="1179"/>
      <c r="V93" s="1179"/>
      <c r="W93" s="1179"/>
      <c r="X93" s="1179"/>
      <c r="Y93" s="1560" t="s">
        <v>2415</v>
      </c>
      <c r="Z93" s="7729">
        <v>13</v>
      </c>
      <c r="AA93" s="7730"/>
      <c r="AB93" s="7767"/>
      <c r="AC93" s="7768"/>
      <c r="AD93" s="7768"/>
      <c r="AE93" s="7768"/>
      <c r="AF93" s="7768"/>
      <c r="AG93" s="7768"/>
      <c r="AH93" s="7768"/>
      <c r="AI93" s="7769"/>
      <c r="AJ93" s="7724"/>
      <c r="AK93" s="7770"/>
      <c r="AL93" s="1582"/>
      <c r="AM93" s="1179"/>
      <c r="AN93" s="1179"/>
      <c r="AO93" s="1179"/>
      <c r="AP93" s="2757"/>
      <c r="AQ93" s="1179"/>
      <c r="AR93" s="1179"/>
      <c r="AS93" s="1179"/>
      <c r="AT93" s="1179"/>
      <c r="AU93" s="1179"/>
      <c r="AV93" s="1179"/>
      <c r="AW93" s="1179"/>
      <c r="AX93" s="3013"/>
      <c r="AY93" s="3851"/>
      <c r="AZ93" s="3851"/>
      <c r="BA93" s="3851"/>
      <c r="BB93" s="3851"/>
      <c r="BC93" s="3851"/>
      <c r="BD93" s="3851"/>
      <c r="BE93" s="3851"/>
      <c r="BF93" s="3851"/>
      <c r="BG93" s="3851"/>
      <c r="BH93" s="3851"/>
    </row>
    <row r="94" spans="1:60" ht="13.5" customHeight="1">
      <c r="A94" s="3910"/>
      <c r="B94" s="7717"/>
      <c r="C94" s="7717"/>
      <c r="D94" s="1179"/>
      <c r="E94" s="1179"/>
      <c r="F94" s="2686"/>
      <c r="G94" s="1179"/>
      <c r="H94" s="1179"/>
      <c r="I94" s="1179"/>
      <c r="J94" s="1179"/>
      <c r="K94" s="1179"/>
      <c r="L94" s="1179"/>
      <c r="M94" s="1179"/>
      <c r="N94" s="1179"/>
      <c r="O94" s="1179"/>
      <c r="P94" s="1179"/>
      <c r="Q94" s="1179"/>
      <c r="R94" s="1179"/>
      <c r="S94" s="1179"/>
      <c r="T94" s="1179"/>
      <c r="U94" s="1179"/>
      <c r="V94" s="1179"/>
      <c r="W94" s="1179"/>
      <c r="X94" s="1179"/>
      <c r="Y94" s="1179"/>
      <c r="Z94" s="1179"/>
      <c r="AA94" s="1179"/>
      <c r="AB94" s="1179"/>
      <c r="AC94" s="1179"/>
      <c r="AD94" s="1179"/>
      <c r="AE94" s="1179"/>
      <c r="AF94" s="1179"/>
      <c r="AG94" s="1179"/>
      <c r="AH94" s="1179"/>
      <c r="AI94" s="1179"/>
      <c r="AJ94" s="1581"/>
      <c r="AK94" s="1575"/>
      <c r="AL94" s="1581"/>
      <c r="AM94" s="1574"/>
      <c r="AN94" s="1574"/>
      <c r="AO94" s="1574"/>
      <c r="AP94" s="2757"/>
      <c r="AQ94" s="1179"/>
      <c r="AR94" s="1179"/>
      <c r="AS94" s="1179"/>
      <c r="AT94" s="1179"/>
      <c r="AU94" s="1179"/>
      <c r="AV94" s="1179"/>
      <c r="AW94" s="1179"/>
      <c r="AX94" s="6033"/>
      <c r="AY94" s="6034"/>
      <c r="AZ94" s="6034"/>
      <c r="BA94" s="6034"/>
      <c r="BB94" s="6034"/>
      <c r="BC94" s="6034"/>
      <c r="BD94" s="6034"/>
      <c r="BE94" s="6034"/>
      <c r="BF94" s="6034"/>
      <c r="BG94" s="6034"/>
      <c r="BH94" s="6035"/>
    </row>
    <row r="95" spans="1:60" ht="13.5" customHeight="1">
      <c r="A95" s="3910"/>
      <c r="B95" s="7717">
        <v>14</v>
      </c>
      <c r="C95" s="7717"/>
      <c r="D95" s="1276" t="s">
        <v>2219</v>
      </c>
      <c r="E95" s="1179"/>
      <c r="F95" s="2686"/>
      <c r="G95" s="1179"/>
      <c r="H95" s="1179"/>
      <c r="I95" s="1179"/>
      <c r="J95" s="1179"/>
      <c r="K95" s="1179"/>
      <c r="L95" s="1179"/>
      <c r="M95" s="1179"/>
      <c r="N95" s="1179"/>
      <c r="O95" s="1179"/>
      <c r="P95" s="1179"/>
      <c r="Q95" s="1179"/>
      <c r="R95" s="1179"/>
      <c r="S95" s="1179"/>
      <c r="T95" s="1179"/>
      <c r="U95" s="1179"/>
      <c r="V95" s="1179"/>
      <c r="W95" s="1179"/>
      <c r="X95" s="1179"/>
      <c r="Y95" s="1179"/>
      <c r="Z95" s="1179"/>
      <c r="AA95" s="1179"/>
      <c r="AB95" s="1179"/>
      <c r="AC95" s="1179"/>
      <c r="AD95" s="1179"/>
      <c r="AE95" s="1179"/>
      <c r="AF95" s="1179"/>
      <c r="AG95" s="1179"/>
      <c r="AH95" s="1179"/>
      <c r="AI95" s="1560" t="s">
        <v>517</v>
      </c>
      <c r="AJ95" s="7729">
        <v>14</v>
      </c>
      <c r="AK95" s="7730"/>
      <c r="AL95" s="7742">
        <f>SUM(AB89,AB91,AB93)</f>
        <v>0</v>
      </c>
      <c r="AM95" s="6685"/>
      <c r="AN95" s="6685"/>
      <c r="AO95" s="6685"/>
      <c r="AP95" s="2757"/>
      <c r="AQ95" s="1179"/>
      <c r="AR95" s="1179"/>
      <c r="AS95" s="1179"/>
      <c r="AT95" s="1179"/>
      <c r="AU95" s="1179"/>
      <c r="AV95" s="1179"/>
      <c r="AW95" s="1179"/>
      <c r="AX95" s="6040" t="s">
        <v>5884</v>
      </c>
      <c r="AY95" s="6039"/>
      <c r="AZ95" s="4040"/>
      <c r="BA95" s="4040"/>
      <c r="BB95" s="4040"/>
      <c r="BC95" s="4040"/>
      <c r="BD95" s="4040"/>
      <c r="BE95" s="4040"/>
      <c r="BF95" s="4040"/>
      <c r="BG95" s="4040"/>
      <c r="BH95" s="6036"/>
    </row>
    <row r="96" spans="1:60" ht="18" customHeight="1">
      <c r="A96" s="3910"/>
      <c r="B96" s="7717">
        <v>15</v>
      </c>
      <c r="C96" s="7717"/>
      <c r="D96" s="1179" t="s">
        <v>2220</v>
      </c>
      <c r="E96" s="1179"/>
      <c r="F96" s="2686"/>
      <c r="G96" s="1179"/>
      <c r="H96" s="1179"/>
      <c r="I96" s="1179"/>
      <c r="J96" s="1179"/>
      <c r="K96" s="1179"/>
      <c r="L96" s="1179"/>
      <c r="M96" s="1179"/>
      <c r="N96" s="1179"/>
      <c r="O96" s="1179"/>
      <c r="P96" s="1179"/>
      <c r="Q96" s="1179"/>
      <c r="R96" s="1179"/>
      <c r="S96" s="1179"/>
      <c r="T96" s="1179"/>
      <c r="U96" s="1179"/>
      <c r="V96" s="1179"/>
      <c r="W96" s="1179"/>
      <c r="X96" s="1179"/>
      <c r="Y96" s="1179"/>
      <c r="Z96" s="7804"/>
      <c r="AA96" s="7805"/>
      <c r="AB96" s="1582"/>
      <c r="AC96" s="1179"/>
      <c r="AD96" s="1179"/>
      <c r="AE96" s="1179"/>
      <c r="AF96" s="1179"/>
      <c r="AG96" s="1179"/>
      <c r="AH96" s="1179"/>
      <c r="AI96" s="1583"/>
      <c r="AJ96" s="7724"/>
      <c r="AK96" s="7770"/>
      <c r="AL96" s="1582"/>
      <c r="AM96" s="1179"/>
      <c r="AN96" s="1179"/>
      <c r="AO96" s="1179"/>
      <c r="AP96" s="2757"/>
      <c r="AQ96" s="1179"/>
      <c r="AR96" s="1179"/>
      <c r="AS96" s="1179"/>
      <c r="AT96" s="1179"/>
      <c r="AU96" s="1179"/>
      <c r="AV96" s="1179"/>
      <c r="AW96" s="1179"/>
      <c r="AX96" s="6041" t="b">
        <f>AND(CGTW_Line5&gt;0,CGTW_Line5&lt;&gt;"")</f>
        <v>0</v>
      </c>
      <c r="AY96" s="6039" t="s">
        <v>5885</v>
      </c>
      <c r="AZ96" s="4040"/>
      <c r="BA96" s="4040"/>
      <c r="BB96" s="4040"/>
      <c r="BC96" s="4040"/>
      <c r="BD96" s="4040"/>
      <c r="BE96" s="4040"/>
      <c r="BF96" s="4040"/>
      <c r="BG96" s="4040"/>
      <c r="BH96" s="6036"/>
    </row>
    <row r="97" spans="1:60" ht="13.5" customHeight="1">
      <c r="A97" s="3910"/>
      <c r="B97" s="7717"/>
      <c r="C97" s="7717"/>
      <c r="D97" s="1179" t="s">
        <v>2221</v>
      </c>
      <c r="E97" s="1179"/>
      <c r="F97" s="2686"/>
      <c r="G97" s="1179"/>
      <c r="H97" s="1179"/>
      <c r="I97" s="1179"/>
      <c r="J97" s="1179"/>
      <c r="K97" s="1179"/>
      <c r="L97" s="1179"/>
      <c r="M97" s="1179"/>
      <c r="N97" s="1179"/>
      <c r="O97" s="1179"/>
      <c r="P97" s="1179"/>
      <c r="Q97" s="1179"/>
      <c r="R97" s="1179"/>
      <c r="S97" s="1179"/>
      <c r="T97" s="1179"/>
      <c r="U97" s="1179"/>
      <c r="V97" s="1179"/>
      <c r="W97" s="1179"/>
      <c r="X97" s="1179"/>
      <c r="Y97" s="1179"/>
      <c r="Z97" s="7804"/>
      <c r="AA97" s="7805"/>
      <c r="AB97" s="1582"/>
      <c r="AC97" s="1179"/>
      <c r="AD97" s="1179"/>
      <c r="AE97" s="1179"/>
      <c r="AF97" s="1179"/>
      <c r="AG97" s="1179"/>
      <c r="AH97" s="1179"/>
      <c r="AI97" s="1583"/>
      <c r="AJ97" s="7724"/>
      <c r="AK97" s="7770"/>
      <c r="AL97" s="1582"/>
      <c r="AM97" s="1179"/>
      <c r="AN97" s="1179"/>
      <c r="AO97" s="1179"/>
      <c r="AP97" s="2757"/>
      <c r="AQ97" s="1179"/>
      <c r="AR97" s="1179"/>
      <c r="AS97" s="1179"/>
      <c r="AT97" s="1179"/>
      <c r="AU97" s="1179"/>
      <c r="AV97" s="1179"/>
      <c r="AW97" s="1179"/>
      <c r="AX97" s="6041" t="b">
        <f>AND(CGTW_Line23&lt;CGTW_Line24,CGTW_Line23&lt;&gt;"",CGTW_Line24&lt;&gt;"")</f>
        <v>0</v>
      </c>
      <c r="AY97" s="6039" t="s">
        <v>5886</v>
      </c>
      <c r="AZ97" s="4040"/>
      <c r="BA97" s="4040"/>
      <c r="BB97" s="4040"/>
      <c r="BC97" s="4040"/>
      <c r="BD97" s="4040"/>
      <c r="BE97" s="4040"/>
      <c r="BF97" s="4040"/>
      <c r="BG97" s="4040"/>
      <c r="BH97" s="6036"/>
    </row>
    <row r="98" spans="1:60" ht="13.5" customHeight="1">
      <c r="A98" s="3910"/>
      <c r="B98" s="2945"/>
      <c r="C98" s="2945"/>
      <c r="D98" s="1277" t="s">
        <v>2222</v>
      </c>
      <c r="E98" s="1179"/>
      <c r="F98" s="1179"/>
      <c r="G98" s="1179"/>
      <c r="H98" s="1179"/>
      <c r="I98" s="1179"/>
      <c r="J98" s="1179"/>
      <c r="K98" s="1179"/>
      <c r="L98" s="1179"/>
      <c r="M98" s="1179"/>
      <c r="N98" s="1179"/>
      <c r="O98" s="1179"/>
      <c r="P98" s="1179"/>
      <c r="Q98" s="1179"/>
      <c r="R98" s="1179"/>
      <c r="S98" s="1179"/>
      <c r="T98" s="1179"/>
      <c r="U98" s="1179"/>
      <c r="V98" s="1179"/>
      <c r="W98" s="1179"/>
      <c r="X98" s="1179"/>
      <c r="Y98" s="1560" t="s">
        <v>2419</v>
      </c>
      <c r="Z98" s="7729">
        <v>15</v>
      </c>
      <c r="AA98" s="7735"/>
      <c r="AB98" s="7736" t="str">
        <f>AL62</f>
        <v/>
      </c>
      <c r="AC98" s="7737"/>
      <c r="AD98" s="7737"/>
      <c r="AE98" s="7737"/>
      <c r="AF98" s="7737"/>
      <c r="AG98" s="7737"/>
      <c r="AH98" s="7737"/>
      <c r="AI98" s="7738"/>
      <c r="AJ98" s="7724"/>
      <c r="AK98" s="7770"/>
      <c r="AL98" s="1582"/>
      <c r="AM98" s="1179"/>
      <c r="AN98" s="1179"/>
      <c r="AO98" s="1179"/>
      <c r="AP98" s="2757"/>
      <c r="AQ98" s="1179"/>
      <c r="AR98" s="1179"/>
      <c r="AS98" s="1179"/>
      <c r="AT98" s="1179"/>
      <c r="AU98" s="1179"/>
      <c r="AV98" s="1179"/>
      <c r="AW98" s="1179"/>
      <c r="AX98" s="6045" t="b">
        <f>AND(AX96,AX97)</f>
        <v>0</v>
      </c>
      <c r="AY98" s="6039"/>
      <c r="AZ98" s="4040"/>
      <c r="BA98" s="4040"/>
      <c r="BB98" s="4040"/>
      <c r="BC98" s="4040"/>
      <c r="BD98" s="4040"/>
      <c r="BE98" s="4040"/>
      <c r="BF98" s="4040"/>
      <c r="BG98" s="4040"/>
      <c r="BH98" s="6036"/>
    </row>
    <row r="99" spans="1:60" ht="13.5" customHeight="1">
      <c r="A99" s="3910"/>
      <c r="B99" s="7717">
        <v>16</v>
      </c>
      <c r="C99" s="7717"/>
      <c r="D99" s="2246" t="s">
        <v>2223</v>
      </c>
      <c r="E99" s="1444"/>
      <c r="F99" s="1857"/>
      <c r="G99" s="1179"/>
      <c r="H99" s="1179"/>
      <c r="I99" s="1179"/>
      <c r="J99" s="1179"/>
      <c r="K99" s="1179"/>
      <c r="L99" s="1179"/>
      <c r="M99" s="1179"/>
      <c r="N99" s="1179"/>
      <c r="O99" s="1179"/>
      <c r="P99" s="2772"/>
      <c r="Q99" s="1444"/>
      <c r="R99" s="1857"/>
      <c r="S99" s="1276"/>
      <c r="T99" s="1179"/>
      <c r="U99" s="1179"/>
      <c r="V99" s="1179"/>
      <c r="W99" s="1179"/>
      <c r="X99" s="1179"/>
      <c r="Y99" s="1560" t="s">
        <v>2401</v>
      </c>
      <c r="Z99" s="7871">
        <v>16</v>
      </c>
      <c r="AA99" s="7222"/>
      <c r="AB99" s="7767"/>
      <c r="AC99" s="7768"/>
      <c r="AD99" s="7768"/>
      <c r="AE99" s="7768"/>
      <c r="AF99" s="7768"/>
      <c r="AG99" s="7768"/>
      <c r="AH99" s="7768"/>
      <c r="AI99" s="7769"/>
      <c r="AJ99" s="7724"/>
      <c r="AK99" s="7770"/>
      <c r="AL99" s="1582"/>
      <c r="AM99" s="1179"/>
      <c r="AN99" s="1179"/>
      <c r="AO99" s="1179"/>
      <c r="AP99" s="2757"/>
      <c r="AQ99" s="1179"/>
      <c r="AR99" s="1179"/>
      <c r="AS99" s="1179"/>
      <c r="AT99" s="1179"/>
      <c r="AU99" s="1179"/>
      <c r="AV99" s="1179"/>
      <c r="AW99" s="1179"/>
      <c r="AX99" s="6043" t="s">
        <v>5887</v>
      </c>
      <c r="AY99" s="6039"/>
      <c r="AZ99" s="4040"/>
      <c r="BA99" s="4040"/>
      <c r="BB99" s="4040"/>
      <c r="BC99" s="4040"/>
      <c r="BD99" s="4040"/>
      <c r="BE99" s="4040"/>
      <c r="BF99" s="4040"/>
      <c r="BG99" s="4040"/>
      <c r="BH99" s="6036"/>
    </row>
    <row r="100" spans="1:60" ht="18" customHeight="1" thickBot="1">
      <c r="A100" s="3910"/>
      <c r="B100" s="7717">
        <v>17</v>
      </c>
      <c r="C100" s="7717"/>
      <c r="D100" s="1276" t="s">
        <v>2224</v>
      </c>
      <c r="E100" s="1179"/>
      <c r="F100" s="2686"/>
      <c r="G100" s="1179"/>
      <c r="H100" s="1179"/>
      <c r="I100" s="1179"/>
      <c r="J100" s="1179"/>
      <c r="K100" s="1179"/>
      <c r="L100" s="1179"/>
      <c r="M100" s="1179"/>
      <c r="N100" s="1179"/>
      <c r="O100" s="1179"/>
      <c r="P100" s="1179"/>
      <c r="Q100" s="1179"/>
      <c r="R100" s="1179"/>
      <c r="S100" s="1179"/>
      <c r="T100" s="1179"/>
      <c r="U100" s="1179"/>
      <c r="V100" s="1179"/>
      <c r="W100" s="1179"/>
      <c r="X100" s="1179"/>
      <c r="Y100" s="1179"/>
      <c r="Z100" s="7804"/>
      <c r="AA100" s="7805"/>
      <c r="AB100" s="1582"/>
      <c r="AC100" s="1179"/>
      <c r="AD100" s="1179"/>
      <c r="AE100" s="1179"/>
      <c r="AF100" s="1179"/>
      <c r="AG100" s="1179"/>
      <c r="AH100" s="1179"/>
      <c r="AI100" s="1583"/>
      <c r="AJ100" s="7724"/>
      <c r="AK100" s="7770"/>
      <c r="AL100" s="1582"/>
      <c r="AM100" s="1179"/>
      <c r="AN100" s="1179"/>
      <c r="AO100" s="1179"/>
      <c r="AP100" s="2757"/>
      <c r="AQ100" s="1179"/>
      <c r="AR100" s="1179"/>
      <c r="AS100" s="1179"/>
      <c r="AT100" s="1179"/>
      <c r="AU100" s="1179"/>
      <c r="AV100" s="1179"/>
      <c r="AW100" s="1179"/>
      <c r="AX100" s="6044" t="s">
        <v>5888</v>
      </c>
      <c r="AY100" s="6042"/>
      <c r="AZ100" s="6037"/>
      <c r="BA100" s="6037"/>
      <c r="BB100" s="6037"/>
      <c r="BC100" s="6037"/>
      <c r="BD100" s="6037"/>
      <c r="BE100" s="6037"/>
      <c r="BF100" s="6037"/>
      <c r="BG100" s="6037"/>
      <c r="BH100" s="6038"/>
    </row>
    <row r="101" spans="1:60" ht="13.5" customHeight="1">
      <c r="A101" s="3910"/>
      <c r="B101" s="7717"/>
      <c r="C101" s="7717"/>
      <c r="D101" s="1179" t="s">
        <v>2225</v>
      </c>
      <c r="E101" s="1179"/>
      <c r="F101" s="2686"/>
      <c r="G101" s="1179"/>
      <c r="H101" s="1179"/>
      <c r="I101" s="1179"/>
      <c r="J101" s="1179"/>
      <c r="K101" s="1179"/>
      <c r="L101" s="1179"/>
      <c r="M101" s="1179"/>
      <c r="N101" s="1179"/>
      <c r="O101" s="1179"/>
      <c r="P101" s="1179"/>
      <c r="Q101" s="1179"/>
      <c r="R101" s="1179"/>
      <c r="S101" s="1179"/>
      <c r="T101" s="1179"/>
      <c r="U101" s="1179"/>
      <c r="V101" s="1179"/>
      <c r="W101" s="1179"/>
      <c r="X101" s="1179"/>
      <c r="Y101" s="1179"/>
      <c r="Z101" s="7804"/>
      <c r="AA101" s="7805"/>
      <c r="AB101" s="1582"/>
      <c r="AC101" s="1179"/>
      <c r="AD101" s="1179"/>
      <c r="AE101" s="1179"/>
      <c r="AF101" s="1179"/>
      <c r="AG101" s="1179"/>
      <c r="AH101" s="1179"/>
      <c r="AI101" s="1583"/>
      <c r="AJ101" s="7724"/>
      <c r="AK101" s="7770"/>
      <c r="AL101" s="1582"/>
      <c r="AM101" s="1179"/>
      <c r="AN101" s="1179"/>
      <c r="AO101" s="1179"/>
      <c r="AP101" s="2757"/>
      <c r="AQ101" s="1179"/>
      <c r="AR101" s="1179"/>
      <c r="AS101" s="1179"/>
      <c r="AT101" s="1179"/>
      <c r="AU101" s="1179"/>
      <c r="AV101" s="1179"/>
      <c r="AW101" s="1179"/>
      <c r="AX101" s="7978" t="s">
        <v>3270</v>
      </c>
      <c r="AY101" s="7979"/>
      <c r="AZ101" s="7979"/>
      <c r="BA101" s="7979"/>
      <c r="BB101" s="7979"/>
      <c r="BC101" s="7979"/>
      <c r="BD101" s="7979"/>
      <c r="BE101" s="7979"/>
      <c r="BF101" s="7982" t="s">
        <v>175</v>
      </c>
      <c r="BG101" s="7982"/>
      <c r="BH101" s="4043"/>
    </row>
    <row r="102" spans="1:60" ht="13.5" customHeight="1">
      <c r="A102" s="3910"/>
      <c r="B102" s="7717"/>
      <c r="C102" s="7717"/>
      <c r="D102" s="1179" t="s">
        <v>2226</v>
      </c>
      <c r="E102" s="1179"/>
      <c r="F102" s="2686"/>
      <c r="G102" s="1179"/>
      <c r="H102" s="1179"/>
      <c r="I102" s="1179"/>
      <c r="J102" s="1179"/>
      <c r="K102" s="1179"/>
      <c r="L102" s="1179"/>
      <c r="M102" s="1179"/>
      <c r="N102" s="1179"/>
      <c r="O102" s="1179"/>
      <c r="P102" s="1179"/>
      <c r="Q102" s="1179"/>
      <c r="R102" s="1179"/>
      <c r="S102" s="1179"/>
      <c r="T102" s="1179"/>
      <c r="U102" s="1179"/>
      <c r="V102" s="1179"/>
      <c r="W102" s="1179"/>
      <c r="X102" s="1179"/>
      <c r="Y102" s="1179"/>
      <c r="Z102" s="7804"/>
      <c r="AA102" s="7805"/>
      <c r="AB102" s="1582"/>
      <c r="AC102" s="1179"/>
      <c r="AD102" s="1179"/>
      <c r="AE102" s="1179"/>
      <c r="AF102" s="1179"/>
      <c r="AG102" s="1179"/>
      <c r="AH102" s="1179"/>
      <c r="AI102" s="1583"/>
      <c r="AJ102" s="7724"/>
      <c r="AK102" s="7770"/>
      <c r="AL102" s="1582"/>
      <c r="AM102" s="1179"/>
      <c r="AN102" s="1179"/>
      <c r="AO102" s="1179"/>
      <c r="AP102" s="2757"/>
      <c r="AQ102" s="1179"/>
      <c r="AR102" s="1179"/>
      <c r="AS102" s="1179"/>
      <c r="AT102" s="1179"/>
      <c r="AU102" s="1179"/>
      <c r="AV102" s="1179"/>
      <c r="AW102" s="1179"/>
      <c r="AX102" s="7980"/>
      <c r="AY102" s="7981"/>
      <c r="AZ102" s="7981"/>
      <c r="BA102" s="7981"/>
      <c r="BB102" s="7981"/>
      <c r="BC102" s="7981"/>
      <c r="BD102" s="7981"/>
      <c r="BE102" s="7981"/>
      <c r="BF102" s="7983"/>
      <c r="BG102" s="7983"/>
      <c r="BH102" s="4044"/>
    </row>
    <row r="103" spans="1:60" ht="13.5" customHeight="1">
      <c r="A103" s="3910"/>
      <c r="B103" s="7717"/>
      <c r="C103" s="7717"/>
      <c r="D103" s="1179" t="s">
        <v>4175</v>
      </c>
      <c r="E103" s="1179"/>
      <c r="F103" s="2686"/>
      <c r="G103" s="1179"/>
      <c r="H103" s="1179"/>
      <c r="I103" s="1179"/>
      <c r="J103" s="1179"/>
      <c r="K103" s="1179"/>
      <c r="L103" s="1179"/>
      <c r="M103" s="1179"/>
      <c r="N103" s="1179"/>
      <c r="O103" s="1179"/>
      <c r="P103" s="1179"/>
      <c r="Q103" s="1179"/>
      <c r="R103" s="1179"/>
      <c r="S103" s="1179"/>
      <c r="T103" s="1179"/>
      <c r="U103" s="1179"/>
      <c r="V103" s="1179"/>
      <c r="W103" s="1179"/>
      <c r="X103" s="1179"/>
      <c r="Y103" s="1179"/>
      <c r="Z103" s="7804"/>
      <c r="AA103" s="7805"/>
      <c r="AB103" s="1582"/>
      <c r="AC103" s="1179"/>
      <c r="AD103" s="1179"/>
      <c r="AE103" s="1179"/>
      <c r="AF103" s="1179"/>
      <c r="AG103" s="1179"/>
      <c r="AH103" s="1179"/>
      <c r="AI103" s="1583"/>
      <c r="AJ103" s="7724"/>
      <c r="AK103" s="7770"/>
      <c r="AL103" s="1582"/>
      <c r="AM103" s="1179"/>
      <c r="AN103" s="1179"/>
      <c r="AO103" s="1179"/>
      <c r="AP103" s="2757"/>
      <c r="AQ103" s="1179"/>
      <c r="AR103" s="1179"/>
      <c r="AS103" s="1179"/>
      <c r="AT103" s="1179"/>
      <c r="AU103" s="1179"/>
      <c r="AV103" s="1179"/>
      <c r="AW103" s="1179"/>
      <c r="AX103" s="4045"/>
      <c r="AY103" s="2079"/>
      <c r="AZ103" s="2079"/>
      <c r="BA103" s="2079"/>
      <c r="BB103" s="2079"/>
      <c r="BC103" s="2079"/>
      <c r="BD103" s="2079"/>
      <c r="BE103" s="2079"/>
      <c r="BF103" s="2079"/>
      <c r="BG103" s="2079"/>
      <c r="BH103" s="4046"/>
    </row>
    <row r="104" spans="1:60" ht="13.5" customHeight="1">
      <c r="A104" s="3910"/>
      <c r="B104" s="2945"/>
      <c r="C104" s="2945"/>
      <c r="D104" s="1277" t="s">
        <v>2227</v>
      </c>
      <c r="E104" s="1179"/>
      <c r="F104" s="1179"/>
      <c r="G104" s="1179"/>
      <c r="H104" s="1179"/>
      <c r="I104" s="1179"/>
      <c r="J104" s="1179"/>
      <c r="K104" s="1179"/>
      <c r="L104" s="1179"/>
      <c r="M104" s="1179"/>
      <c r="N104" s="1179"/>
      <c r="O104" s="1179"/>
      <c r="P104" s="1179"/>
      <c r="Q104" s="1179"/>
      <c r="R104" s="1179"/>
      <c r="S104" s="1179"/>
      <c r="T104" s="1179"/>
      <c r="U104" s="1179"/>
      <c r="V104" s="1179"/>
      <c r="W104" s="1179"/>
      <c r="X104" s="1179"/>
      <c r="Y104" s="1560" t="s">
        <v>1930</v>
      </c>
      <c r="Z104" s="7729">
        <v>17</v>
      </c>
      <c r="AA104" s="7735"/>
      <c r="AB104" s="7736">
        <f>SUM(AB98,AB99)</f>
        <v>0</v>
      </c>
      <c r="AC104" s="7737"/>
      <c r="AD104" s="7737"/>
      <c r="AE104" s="7737"/>
      <c r="AF104" s="7737"/>
      <c r="AG104" s="7737"/>
      <c r="AH104" s="7737"/>
      <c r="AI104" s="7738"/>
      <c r="AJ104" s="7724"/>
      <c r="AK104" s="7770"/>
      <c r="AL104" s="7809"/>
      <c r="AM104" s="7810"/>
      <c r="AN104" s="7810"/>
      <c r="AO104" s="7810"/>
      <c r="AP104" s="2757"/>
      <c r="AQ104" s="7739" t="str">
        <f>IF(AND(AL95&gt;0,AB105),"Skip lines 18 through 24.","")</f>
        <v/>
      </c>
      <c r="AR104" s="7739"/>
      <c r="AS104" s="7739"/>
      <c r="AT104" s="7739"/>
      <c r="AU104" s="7739"/>
      <c r="AV104" s="1179"/>
      <c r="AW104" s="1179"/>
      <c r="AX104" s="4045"/>
      <c r="AY104" s="4047" t="s">
        <v>3271</v>
      </c>
      <c r="AZ104" s="2079"/>
      <c r="BA104" s="2079"/>
      <c r="BB104" s="2079"/>
      <c r="BC104" s="2079"/>
      <c r="BD104" s="2079"/>
      <c r="BE104" s="2079"/>
      <c r="BF104" s="2079"/>
      <c r="BG104" s="2079"/>
      <c r="BH104" s="4046"/>
    </row>
    <row r="105" spans="1:60" ht="18.75" customHeight="1">
      <c r="A105" s="3910"/>
      <c r="B105" s="7717">
        <v>18</v>
      </c>
      <c r="C105" s="7717"/>
      <c r="D105" s="1276" t="s">
        <v>4160</v>
      </c>
      <c r="E105" s="1179"/>
      <c r="F105" s="2686"/>
      <c r="G105" s="1179"/>
      <c r="H105" s="1179"/>
      <c r="I105" s="1179"/>
      <c r="J105" s="1179"/>
      <c r="K105" s="1179"/>
      <c r="L105" s="1179"/>
      <c r="M105" s="1179"/>
      <c r="N105" s="1179"/>
      <c r="O105" s="1179"/>
      <c r="P105" s="1179"/>
      <c r="Q105" s="1179"/>
      <c r="R105" s="1179"/>
      <c r="S105" s="1179"/>
      <c r="T105" s="1179"/>
      <c r="U105" s="1179"/>
      <c r="V105" s="1179"/>
      <c r="W105" s="1179"/>
      <c r="X105" s="1179"/>
      <c r="Y105" s="1179"/>
      <c r="Z105" s="7804"/>
      <c r="AA105" s="7805"/>
      <c r="AB105" s="7811" t="b">
        <f>AND(AB104&lt;=0,AQ107="")</f>
        <v>1</v>
      </c>
      <c r="AC105" s="7467"/>
      <c r="AD105" s="7467"/>
      <c r="AE105" s="7467"/>
      <c r="AF105" s="7467"/>
      <c r="AG105" s="7467"/>
      <c r="AH105" s="7467"/>
      <c r="AI105" s="7812"/>
      <c r="AJ105" s="7724"/>
      <c r="AK105" s="7770"/>
      <c r="AL105" s="7813"/>
      <c r="AM105" s="7814"/>
      <c r="AN105" s="7814"/>
      <c r="AO105" s="7814"/>
      <c r="AP105" s="2757"/>
      <c r="AQ105" s="7817"/>
      <c r="AR105" s="7814"/>
      <c r="AS105" s="7814"/>
      <c r="AT105" s="7814"/>
      <c r="AU105" s="6636"/>
      <c r="AV105" s="6636"/>
      <c r="AW105" s="6636"/>
      <c r="AX105" s="4045"/>
      <c r="AY105" s="2079"/>
      <c r="AZ105" s="2079"/>
      <c r="BA105" s="2079"/>
      <c r="BB105" s="2079"/>
      <c r="BC105" s="2079"/>
      <c r="BD105" s="2079"/>
      <c r="BE105" s="2079"/>
      <c r="BF105" s="2079"/>
      <c r="BG105" s="2079"/>
      <c r="BH105" s="4046"/>
    </row>
    <row r="106" spans="1:60" ht="12.75" customHeight="1">
      <c r="A106" s="3910"/>
      <c r="B106" s="7717"/>
      <c r="C106" s="7717"/>
      <c r="D106" s="1276" t="s">
        <v>4180</v>
      </c>
      <c r="E106" s="1179"/>
      <c r="F106" s="2686"/>
      <c r="G106" s="1179"/>
      <c r="H106" s="1179"/>
      <c r="I106" s="1179"/>
      <c r="J106" s="1179"/>
      <c r="K106" s="1179"/>
      <c r="L106" s="1179"/>
      <c r="M106" s="1179"/>
      <c r="N106" s="1179"/>
      <c r="O106" s="1179"/>
      <c r="P106" s="1179"/>
      <c r="Q106" s="1179"/>
      <c r="R106" s="1179"/>
      <c r="S106" s="1179"/>
      <c r="T106" s="1179"/>
      <c r="U106" s="1179"/>
      <c r="V106" s="1179"/>
      <c r="W106" s="1179"/>
      <c r="X106" s="1179"/>
      <c r="Y106" s="1179"/>
      <c r="Z106" s="7804"/>
      <c r="AA106" s="7805"/>
      <c r="AB106" s="7771"/>
      <c r="AC106" s="7772"/>
      <c r="AD106" s="7772"/>
      <c r="AE106" s="7772"/>
      <c r="AF106" s="7772"/>
      <c r="AG106" s="7772"/>
      <c r="AH106" s="7772"/>
      <c r="AI106" s="7773"/>
      <c r="AJ106" s="7724"/>
      <c r="AK106" s="7770"/>
      <c r="AL106" s="1582"/>
      <c r="AM106" s="1179"/>
      <c r="AN106" s="1179"/>
      <c r="AO106" s="1179"/>
      <c r="AP106" s="2757"/>
      <c r="AQ106" s="2757"/>
      <c r="AR106" s="2757"/>
      <c r="AS106" s="2757"/>
      <c r="AT106" s="2757"/>
      <c r="AU106" s="2757"/>
      <c r="AV106" s="1179"/>
      <c r="AW106" s="1179"/>
      <c r="AX106" s="4048"/>
      <c r="AY106" s="4047"/>
      <c r="AZ106" s="2079"/>
      <c r="BA106" s="2079"/>
      <c r="BB106" s="2079"/>
      <c r="BC106" s="2079"/>
      <c r="BD106" s="2079"/>
      <c r="BE106" s="2079"/>
      <c r="BF106" s="2079"/>
      <c r="BG106" s="2079"/>
      <c r="BH106" s="4046"/>
    </row>
    <row r="107" spans="1:60" ht="12.75" customHeight="1">
      <c r="A107" s="3910"/>
      <c r="B107" s="2945"/>
      <c r="C107" s="2945"/>
      <c r="D107" s="1926" t="s">
        <v>4178</v>
      </c>
      <c r="E107" s="1179"/>
      <c r="F107" s="1179"/>
      <c r="G107" s="1179"/>
      <c r="H107" s="1179"/>
      <c r="I107" s="1179"/>
      <c r="J107" s="1179"/>
      <c r="K107" s="1179"/>
      <c r="L107" s="1179"/>
      <c r="M107" s="1179"/>
      <c r="N107" s="1179"/>
      <c r="O107" s="1179"/>
      <c r="P107" s="1179"/>
      <c r="Q107" s="1179"/>
      <c r="R107" s="1179"/>
      <c r="S107" s="1179"/>
      <c r="T107" s="1179"/>
      <c r="U107" s="1179"/>
      <c r="V107" s="1179"/>
      <c r="W107" s="1179"/>
      <c r="X107" s="1179"/>
      <c r="Y107" s="1560" t="s">
        <v>2419</v>
      </c>
      <c r="Z107" s="7729">
        <v>18</v>
      </c>
      <c r="AA107" s="7735"/>
      <c r="AB107" s="7736" t="str">
        <f>IF(AQ107&lt;&gt;"",ROUND(AQ107,0),IF(AB105,"",IF(AX98,BG120,Taxable_Inc)))</f>
        <v/>
      </c>
      <c r="AC107" s="7737"/>
      <c r="AD107" s="7737"/>
      <c r="AE107" s="7737"/>
      <c r="AF107" s="7737"/>
      <c r="AG107" s="7737"/>
      <c r="AH107" s="7737"/>
      <c r="AI107" s="7738"/>
      <c r="AJ107" s="7724"/>
      <c r="AK107" s="7770"/>
      <c r="AL107" s="1582"/>
      <c r="AM107" s="1179"/>
      <c r="AN107" s="1179"/>
      <c r="AO107" s="1179"/>
      <c r="AP107" s="2757"/>
      <c r="AQ107" s="7752"/>
      <c r="AR107" s="7753"/>
      <c r="AS107" s="7753"/>
      <c r="AT107" s="7753"/>
      <c r="AU107" s="2757"/>
      <c r="AV107" s="1179"/>
      <c r="AW107" s="1179"/>
      <c r="AX107" s="4048" t="s">
        <v>294</v>
      </c>
      <c r="AY107" s="4047" t="s">
        <v>4174</v>
      </c>
      <c r="AZ107" s="2079"/>
      <c r="BA107" s="2079"/>
      <c r="BB107" s="2079"/>
      <c r="BC107" s="2079"/>
      <c r="BD107" s="2079"/>
      <c r="BE107" s="2079"/>
      <c r="BF107" s="2079"/>
      <c r="BG107" s="2079"/>
      <c r="BH107" s="4046"/>
    </row>
    <row r="108" spans="1:60" ht="12.75" customHeight="1">
      <c r="A108" s="3910"/>
      <c r="B108" s="2945"/>
      <c r="C108" s="2945"/>
      <c r="D108" s="1926" t="s">
        <v>2237</v>
      </c>
      <c r="E108" s="1444"/>
      <c r="F108" s="1857"/>
      <c r="G108" s="1179"/>
      <c r="H108" s="1179"/>
      <c r="I108" s="1179"/>
      <c r="J108" s="1179"/>
      <c r="K108" s="1179"/>
      <c r="L108" s="1179"/>
      <c r="M108" s="1179"/>
      <c r="N108" s="1179"/>
      <c r="O108" s="1179"/>
      <c r="P108" s="2772"/>
      <c r="Q108" s="1444"/>
      <c r="R108" s="1857"/>
      <c r="S108" s="1276"/>
      <c r="T108" s="1179"/>
      <c r="U108" s="1179"/>
      <c r="V108" s="1179"/>
      <c r="W108" s="1179"/>
      <c r="X108" s="1179"/>
      <c r="Y108" s="1179"/>
      <c r="Z108" s="1179"/>
      <c r="AA108" s="1179"/>
      <c r="AB108" s="1179"/>
      <c r="AC108" s="1179"/>
      <c r="AD108" s="2772"/>
      <c r="AE108" s="1444"/>
      <c r="AF108" s="1857"/>
      <c r="AG108" s="1179"/>
      <c r="AH108" s="1179"/>
      <c r="AI108" s="1179"/>
      <c r="AJ108" s="1581"/>
      <c r="AK108" s="1575"/>
      <c r="AL108" s="1179"/>
      <c r="AM108" s="1179"/>
      <c r="AN108" s="1179"/>
      <c r="AO108" s="1179"/>
      <c r="AP108" s="2757"/>
      <c r="AQ108" s="2757"/>
      <c r="AR108" s="2757"/>
      <c r="AS108" s="2757"/>
      <c r="AT108" s="2757"/>
      <c r="AU108" s="2757"/>
      <c r="AV108" s="1179"/>
      <c r="AW108" s="1179"/>
      <c r="AX108" s="4045"/>
      <c r="AY108" s="4047" t="s">
        <v>3272</v>
      </c>
      <c r="AZ108" s="2079"/>
      <c r="BA108" s="2079"/>
      <c r="BB108" s="2079"/>
      <c r="BC108" s="2079"/>
      <c r="BD108" s="2079"/>
      <c r="BE108" s="4040"/>
      <c r="BF108" s="4041" t="s">
        <v>294</v>
      </c>
      <c r="BG108" s="4289" t="str">
        <f>IF(AX98,Taxable_Inc,"")</f>
        <v/>
      </c>
      <c r="BH108" s="4046"/>
    </row>
    <row r="109" spans="1:60" ht="12.75" customHeight="1">
      <c r="A109" s="3910"/>
      <c r="B109" s="1276"/>
      <c r="C109" s="1276"/>
      <c r="D109" s="1277" t="s">
        <v>485</v>
      </c>
      <c r="E109" s="1179"/>
      <c r="F109" s="1179"/>
      <c r="G109" s="1179"/>
      <c r="H109" s="1179"/>
      <c r="I109" s="1179"/>
      <c r="J109" s="1179"/>
      <c r="K109" s="1179"/>
      <c r="L109" s="1179"/>
      <c r="M109" s="1179"/>
      <c r="N109" s="1179"/>
      <c r="O109" s="1179"/>
      <c r="P109" s="1179"/>
      <c r="Q109" s="1179"/>
      <c r="R109" s="1179"/>
      <c r="S109" s="1179"/>
      <c r="T109" s="1285"/>
      <c r="U109" s="1179"/>
      <c r="V109" s="1179"/>
      <c r="W109" s="1179"/>
      <c r="X109" s="1179"/>
      <c r="Y109" s="1179"/>
      <c r="Z109" s="1179"/>
      <c r="AA109" s="1179"/>
      <c r="AB109" s="1179"/>
      <c r="AC109" s="1179"/>
      <c r="AD109" s="1179"/>
      <c r="AE109" s="1179"/>
      <c r="AF109" s="1179"/>
      <c r="AG109" s="1179"/>
      <c r="AH109" s="1179"/>
      <c r="AI109" s="1179"/>
      <c r="AJ109" s="1582"/>
      <c r="AK109" s="1583"/>
      <c r="AL109" s="1179"/>
      <c r="AM109" s="1179"/>
      <c r="AN109" s="1179"/>
      <c r="AO109" s="1179"/>
      <c r="AP109" s="2757"/>
      <c r="AQ109" s="2757"/>
      <c r="AR109" s="2757"/>
      <c r="AS109" s="2757"/>
      <c r="AT109" s="2757"/>
      <c r="AU109" s="2757"/>
      <c r="AV109" s="1179"/>
      <c r="AW109" s="1179"/>
      <c r="AX109" s="4048" t="s">
        <v>0</v>
      </c>
      <c r="AY109" s="4047" t="str">
        <f>"Enter your worldwide "&amp;TEXT(BF109,"0%")&amp;" gains (see instructions)"</f>
        <v>Enter your worldwide 28% gains (see instructions)</v>
      </c>
      <c r="AZ109" s="2079"/>
      <c r="BA109" s="2079"/>
      <c r="BB109" s="2079"/>
      <c r="BC109" s="2079"/>
      <c r="BD109" s="4049" t="s">
        <v>0</v>
      </c>
      <c r="BE109" s="1849"/>
      <c r="BF109" s="4052">
        <v>0.28000000000000003</v>
      </c>
      <c r="BG109" s="2079"/>
      <c r="BH109" s="4046"/>
    </row>
    <row r="110" spans="1:60" ht="16.5" customHeight="1">
      <c r="A110" s="3910"/>
      <c r="B110" s="7717">
        <v>19</v>
      </c>
      <c r="C110" s="7717"/>
      <c r="D110" s="1276" t="s">
        <v>2228</v>
      </c>
      <c r="E110" s="1179"/>
      <c r="F110" s="2686"/>
      <c r="G110" s="1179"/>
      <c r="H110" s="1179"/>
      <c r="I110" s="1179"/>
      <c r="J110" s="1179"/>
      <c r="K110" s="1179"/>
      <c r="L110" s="1179"/>
      <c r="M110" s="1179"/>
      <c r="N110" s="1179"/>
      <c r="O110" s="1179"/>
      <c r="P110" s="1179"/>
      <c r="Q110" s="1179"/>
      <c r="R110" s="1179"/>
      <c r="S110" s="1179"/>
      <c r="T110" s="1179"/>
      <c r="U110" s="1179"/>
      <c r="V110" s="1179"/>
      <c r="W110" s="1179"/>
      <c r="X110" s="1179"/>
      <c r="Y110" s="1179"/>
      <c r="Z110" s="1179"/>
      <c r="AA110" s="1179"/>
      <c r="AB110" s="1179"/>
      <c r="AC110" s="1179"/>
      <c r="AD110" s="1179"/>
      <c r="AE110" s="1179"/>
      <c r="AF110" s="1179"/>
      <c r="AG110" s="1179"/>
      <c r="AH110" s="1179"/>
      <c r="AI110" s="1560" t="s">
        <v>1055</v>
      </c>
      <c r="AJ110" s="7729">
        <v>19</v>
      </c>
      <c r="AK110" s="7730"/>
      <c r="AL110" s="7869" t="str">
        <f>IF(AQ110&lt;&gt;"",ROUND(AQ110,4),IF(AB105,"",IF(OR(AB107="",AB107=0),"                    ---",IF(AB104&gt;AB107,1,ROUND(AB104/AB107,4)))))</f>
        <v/>
      </c>
      <c r="AM110" s="7870"/>
      <c r="AN110" s="7870"/>
      <c r="AO110" s="7870"/>
      <c r="AP110" s="2757"/>
      <c r="AQ110" s="7779"/>
      <c r="AR110" s="7780"/>
      <c r="AS110" s="7780"/>
      <c r="AT110" s="7780"/>
      <c r="AU110" s="2757"/>
      <c r="AV110" s="1179"/>
      <c r="AW110" s="1179"/>
      <c r="AX110" s="4048" t="s">
        <v>1</v>
      </c>
      <c r="AY110" s="4047" t="str">
        <f>"Multiply line 2 by "&amp;TEXT(BF110,"0.0000")</f>
        <v>Multiply line 2 by 0.2432</v>
      </c>
      <c r="AZ110" s="2079"/>
      <c r="BA110" s="2079"/>
      <c r="BB110" s="2079"/>
      <c r="BC110" s="2079"/>
      <c r="BD110" s="4049" t="s">
        <v>1</v>
      </c>
      <c r="BE110" s="2045" t="str">
        <f>IF(BE109&lt;&gt;"",ROUND(BE109*BF110,0),"")</f>
        <v/>
      </c>
      <c r="BF110" s="4053">
        <v>0.2432</v>
      </c>
      <c r="BG110" s="2079"/>
      <c r="BH110" s="4046"/>
    </row>
    <row r="111" spans="1:60" ht="18" customHeight="1">
      <c r="A111" s="3910"/>
      <c r="B111" s="7717">
        <v>20</v>
      </c>
      <c r="C111" s="7717"/>
      <c r="D111" s="1276" t="s">
        <v>4161</v>
      </c>
      <c r="E111" s="1179"/>
      <c r="F111" s="2686"/>
      <c r="G111" s="1179"/>
      <c r="H111" s="1179"/>
      <c r="I111" s="1179"/>
      <c r="J111" s="1179"/>
      <c r="K111" s="1179"/>
      <c r="L111" s="1179"/>
      <c r="M111" s="1179"/>
      <c r="N111" s="1179"/>
      <c r="O111" s="1179"/>
      <c r="P111" s="1179"/>
      <c r="Q111" s="1179"/>
      <c r="R111" s="1179"/>
      <c r="S111" s="1179"/>
      <c r="T111" s="1179"/>
      <c r="U111" s="1179"/>
      <c r="V111" s="1179"/>
      <c r="W111" s="1179"/>
      <c r="X111" s="1179"/>
      <c r="Y111" s="1179"/>
      <c r="Z111" s="1179"/>
      <c r="AA111" s="1179"/>
      <c r="AB111" s="1179"/>
      <c r="AC111" s="1179"/>
      <c r="AD111" s="1179"/>
      <c r="AE111" s="1179"/>
      <c r="AF111" s="1179"/>
      <c r="AG111" s="1179"/>
      <c r="AH111" s="1179"/>
      <c r="AI111" s="1179"/>
      <c r="AJ111" s="7731"/>
      <c r="AK111" s="7732"/>
      <c r="AL111" s="1582"/>
      <c r="AM111" s="1179"/>
      <c r="AN111" s="1179"/>
      <c r="AO111" s="1179"/>
      <c r="AP111" s="2757"/>
      <c r="AQ111" s="2757"/>
      <c r="AR111" s="2757"/>
      <c r="AS111" s="2757"/>
      <c r="AT111" s="2757"/>
      <c r="AU111" s="2757"/>
      <c r="AV111" s="1179"/>
      <c r="AW111" s="1179"/>
      <c r="AX111" s="4048" t="s">
        <v>399</v>
      </c>
      <c r="AY111" s="4047" t="str">
        <f>"Enter your worldwide "&amp;TEXT(BF111,"0%")&amp;" gains (see instructions)"</f>
        <v>Enter your worldwide 25% gains (see instructions)</v>
      </c>
      <c r="AZ111" s="2079"/>
      <c r="BA111" s="2079"/>
      <c r="BB111" s="2079"/>
      <c r="BC111" s="2079"/>
      <c r="BD111" s="4049" t="s">
        <v>399</v>
      </c>
      <c r="BE111" s="1849"/>
      <c r="BF111" s="4052">
        <v>0.25</v>
      </c>
      <c r="BG111" s="2079"/>
      <c r="BH111" s="4046"/>
    </row>
    <row r="112" spans="1:60" ht="13.5" customHeight="1">
      <c r="A112" s="3910"/>
      <c r="B112" s="7717"/>
      <c r="C112" s="7717"/>
      <c r="D112" s="1276" t="s">
        <v>4162</v>
      </c>
      <c r="E112" s="1179"/>
      <c r="F112" s="2686"/>
      <c r="G112" s="1179"/>
      <c r="H112" s="1179"/>
      <c r="I112" s="1179"/>
      <c r="J112" s="1179"/>
      <c r="K112" s="1179"/>
      <c r="L112" s="1179"/>
      <c r="M112" s="1179"/>
      <c r="N112" s="1179"/>
      <c r="O112" s="1179"/>
      <c r="P112" s="1179"/>
      <c r="Q112" s="1179"/>
      <c r="R112" s="1179"/>
      <c r="S112" s="1179"/>
      <c r="T112" s="1179"/>
      <c r="U112" s="1179"/>
      <c r="V112" s="1179"/>
      <c r="W112" s="1179"/>
      <c r="X112" s="1179"/>
      <c r="Y112" s="1179"/>
      <c r="Z112" s="1179"/>
      <c r="AA112" s="1179"/>
      <c r="AB112" s="1179"/>
      <c r="AC112" s="1179"/>
      <c r="AD112" s="1179"/>
      <c r="AE112" s="1179"/>
      <c r="AF112" s="1179"/>
      <c r="AG112" s="1179"/>
      <c r="AH112" s="1179"/>
      <c r="AI112" s="1179"/>
      <c r="AJ112" s="7731"/>
      <c r="AK112" s="7732"/>
      <c r="AL112" s="1582"/>
      <c r="AM112" s="1179"/>
      <c r="AN112" s="1179"/>
      <c r="AO112" s="1179"/>
      <c r="AP112" s="2757"/>
      <c r="AQ112" s="2757"/>
      <c r="AR112" s="2757"/>
      <c r="AS112" s="2757"/>
      <c r="AT112" s="2757"/>
      <c r="AU112" s="2757"/>
      <c r="AV112" s="1179"/>
      <c r="AW112" s="1179"/>
      <c r="AX112" s="4048" t="s">
        <v>31</v>
      </c>
      <c r="AY112" s="4047" t="str">
        <f>"Multiply line 4 by "&amp;TEXT(BF112,"0.0000")</f>
        <v>Multiply line 4 by 0.3243</v>
      </c>
      <c r="AZ112" s="2079"/>
      <c r="BA112" s="2079"/>
      <c r="BB112" s="2079"/>
      <c r="BC112" s="2079"/>
      <c r="BD112" s="4049" t="s">
        <v>31</v>
      </c>
      <c r="BE112" s="2045" t="str">
        <f>IF(BE111&lt;&gt;"",ROUND(BE111*BF112,0),"")</f>
        <v/>
      </c>
      <c r="BF112" s="4053">
        <v>0.32429999999999998</v>
      </c>
      <c r="BG112" s="2079"/>
      <c r="BH112" s="4046"/>
    </row>
    <row r="113" spans="1:60" ht="13.5" customHeight="1">
      <c r="A113" s="3910"/>
      <c r="B113" s="7717"/>
      <c r="C113" s="7717"/>
      <c r="D113" s="1276" t="s">
        <v>4163</v>
      </c>
      <c r="E113" s="1179"/>
      <c r="F113" s="2686"/>
      <c r="G113" s="1179"/>
      <c r="H113" s="1179"/>
      <c r="I113" s="1179"/>
      <c r="J113" s="1179"/>
      <c r="K113" s="1179"/>
      <c r="L113" s="1179"/>
      <c r="M113" s="1179"/>
      <c r="N113" s="1179"/>
      <c r="O113" s="1179"/>
      <c r="P113" s="1179"/>
      <c r="Q113" s="1179"/>
      <c r="R113" s="1179"/>
      <c r="S113" s="1179"/>
      <c r="T113" s="1179"/>
      <c r="U113" s="1179"/>
      <c r="V113" s="1179"/>
      <c r="W113" s="1179"/>
      <c r="X113" s="1179"/>
      <c r="Y113" s="1179"/>
      <c r="Z113" s="1179"/>
      <c r="AA113" s="1179"/>
      <c r="AB113" s="1179"/>
      <c r="AC113" s="1179"/>
      <c r="AD113" s="1179"/>
      <c r="AE113" s="1179"/>
      <c r="AF113" s="1179"/>
      <c r="AG113" s="1179"/>
      <c r="AH113" s="1179"/>
      <c r="AI113" s="1179"/>
      <c r="AJ113" s="7731"/>
      <c r="AK113" s="7732"/>
      <c r="AL113" s="1582"/>
      <c r="AM113" s="1179"/>
      <c r="AN113" s="1179"/>
      <c r="AO113" s="1179"/>
      <c r="AP113" s="2757"/>
      <c r="AQ113" s="2757"/>
      <c r="AR113" s="2757"/>
      <c r="AS113" s="2757"/>
      <c r="AT113" s="2757"/>
      <c r="AU113" s="2757"/>
      <c r="AV113" s="1179"/>
      <c r="AW113" s="1179"/>
      <c r="AX113" s="4048" t="s">
        <v>67</v>
      </c>
      <c r="AY113" s="4047" t="str">
        <f>"Enter your worldwide "&amp;TEXT(BF113,"0%")&amp;" gains (see instructions)"</f>
        <v>Enter your worldwide 20% gains (see instructions)</v>
      </c>
      <c r="AZ113" s="2079"/>
      <c r="BA113" s="2079"/>
      <c r="BB113" s="2079"/>
      <c r="BC113" s="2079"/>
      <c r="BD113" s="4049" t="s">
        <v>67</v>
      </c>
      <c r="BE113" s="1849"/>
      <c r="BF113" s="4052">
        <v>0.2</v>
      </c>
      <c r="BG113" s="2079"/>
      <c r="BH113" s="4046"/>
    </row>
    <row r="114" spans="1:60" ht="13.5" customHeight="1">
      <c r="A114" s="3910"/>
      <c r="B114" s="4697"/>
      <c r="C114" s="4697"/>
      <c r="D114" s="1926" t="s">
        <v>4165</v>
      </c>
      <c r="E114" s="1179"/>
      <c r="F114" s="2686"/>
      <c r="G114" s="1179"/>
      <c r="H114" s="1179"/>
      <c r="I114" s="1179"/>
      <c r="J114" s="1179"/>
      <c r="K114" s="1179"/>
      <c r="L114" s="1179"/>
      <c r="M114" s="1179"/>
      <c r="N114" s="1179"/>
      <c r="O114" s="1179"/>
      <c r="P114" s="1179"/>
      <c r="Q114" s="1179"/>
      <c r="R114" s="1179"/>
      <c r="S114" s="1179"/>
      <c r="T114" s="1179"/>
      <c r="U114" s="1179"/>
      <c r="V114" s="1179"/>
      <c r="W114" s="1179"/>
      <c r="X114" s="1179"/>
      <c r="Y114" s="1179"/>
      <c r="Z114" s="1179"/>
      <c r="AA114" s="1179"/>
      <c r="AB114" s="1179"/>
      <c r="AC114" s="1179"/>
      <c r="AD114" s="1179"/>
      <c r="AE114" s="1179"/>
      <c r="AF114" s="1179"/>
      <c r="AG114" s="1179"/>
      <c r="AH114" s="1179"/>
      <c r="AI114" s="1179"/>
      <c r="AJ114" s="4695"/>
      <c r="AK114" s="3431"/>
      <c r="AL114" s="1582"/>
      <c r="AM114" s="1179"/>
      <c r="AN114" s="1179"/>
      <c r="AO114" s="1179"/>
      <c r="AP114" s="2757"/>
      <c r="AQ114" s="2757"/>
      <c r="AR114" s="2757"/>
      <c r="AS114" s="2757"/>
      <c r="AT114" s="2757"/>
      <c r="AU114" s="2757"/>
      <c r="AV114" s="1179"/>
      <c r="AW114" s="1179"/>
      <c r="AX114" s="4048" t="s">
        <v>68</v>
      </c>
      <c r="AY114" s="4047" t="str">
        <f>"Multiply line 6 by "&amp;TEXT(BF114,"0.0000")</f>
        <v>Multiply line 6 by 0.4595</v>
      </c>
      <c r="AZ114" s="2079"/>
      <c r="BA114" s="2079"/>
      <c r="BB114" s="2079"/>
      <c r="BC114" s="2079"/>
      <c r="BD114" s="4049" t="s">
        <v>68</v>
      </c>
      <c r="BE114" s="2045" t="str">
        <f>IF(BE113&lt;&gt;"",ROUND(BE113*BF114,0),"")</f>
        <v/>
      </c>
      <c r="BF114" s="4053">
        <v>0.45950000000000002</v>
      </c>
      <c r="BG114" s="2079"/>
      <c r="BH114" s="4046"/>
    </row>
    <row r="115" spans="1:60" ht="13.5" customHeight="1">
      <c r="A115" s="3910"/>
      <c r="B115" s="2945"/>
      <c r="C115" s="2945"/>
      <c r="D115" s="1926" t="s">
        <v>4166</v>
      </c>
      <c r="E115" s="1179"/>
      <c r="F115" s="1179"/>
      <c r="G115" s="1179"/>
      <c r="H115" s="1179"/>
      <c r="I115" s="1179"/>
      <c r="J115" s="1179"/>
      <c r="K115" s="1179"/>
      <c r="L115" s="1179"/>
      <c r="M115" s="1179"/>
      <c r="N115" s="1179"/>
      <c r="O115" s="1179"/>
      <c r="P115" s="1179"/>
      <c r="Q115" s="1179"/>
      <c r="R115" s="1179"/>
      <c r="S115" s="1179"/>
      <c r="T115" s="1179"/>
      <c r="U115" s="1179"/>
      <c r="V115" s="1179"/>
      <c r="W115" s="1179"/>
      <c r="X115" s="1179"/>
      <c r="Y115" s="1179"/>
      <c r="Z115" s="1179"/>
      <c r="AA115" s="1179"/>
      <c r="AB115" s="1179"/>
      <c r="AC115" s="1179"/>
      <c r="AD115" s="1179"/>
      <c r="AE115" s="1179"/>
      <c r="AF115" s="1179"/>
      <c r="AG115" s="1179"/>
      <c r="AH115" s="1179"/>
      <c r="AI115" s="1560" t="s">
        <v>1044</v>
      </c>
      <c r="AJ115" s="7729">
        <v>20</v>
      </c>
      <c r="AK115" s="7730"/>
      <c r="AL115" s="7742" t="str">
        <f>IF(AQ115&lt;&gt;"",ROUND(AQ115,0),IF(AB105,"",IF(AO20&lt;&gt;1,"",SUM(Tax_SubTotal,PTC_ExcessAdv))))</f>
        <v/>
      </c>
      <c r="AM115" s="6685"/>
      <c r="AN115" s="6685"/>
      <c r="AO115" s="6685"/>
      <c r="AP115" s="2757"/>
      <c r="AQ115" s="7752"/>
      <c r="AR115" s="7753"/>
      <c r="AS115" s="7753"/>
      <c r="AT115" s="7753"/>
      <c r="AU115" s="2757"/>
      <c r="AV115" s="1179"/>
      <c r="AW115" s="1179"/>
      <c r="AX115" s="4048" t="s">
        <v>204</v>
      </c>
      <c r="AY115" s="4047" t="str">
        <f>"Enter your worldwide "&amp;TEXT(BF115,"0%")&amp;" gains (see instructions)"</f>
        <v>Enter your worldwide 15% gains (see instructions)</v>
      </c>
      <c r="AZ115" s="2079"/>
      <c r="BA115" s="2079"/>
      <c r="BB115" s="2079"/>
      <c r="BC115" s="2079"/>
      <c r="BD115" s="4049" t="s">
        <v>204</v>
      </c>
      <c r="BE115" s="1849"/>
      <c r="BF115" s="4052">
        <v>0.15</v>
      </c>
      <c r="BG115" s="2079"/>
      <c r="BH115" s="4046"/>
    </row>
    <row r="116" spans="1:60" ht="13.5" customHeight="1">
      <c r="A116" s="3910"/>
      <c r="B116" s="7717"/>
      <c r="C116" s="7717"/>
      <c r="D116" s="1276" t="s">
        <v>2509</v>
      </c>
      <c r="E116" s="1179"/>
      <c r="F116" s="2686"/>
      <c r="G116" s="1179"/>
      <c r="H116" s="1179"/>
      <c r="I116" s="1179"/>
      <c r="J116" s="1179"/>
      <c r="K116" s="1179"/>
      <c r="L116" s="1179"/>
      <c r="M116" s="1179"/>
      <c r="N116" s="1179"/>
      <c r="O116" s="1179"/>
      <c r="P116" s="1179"/>
      <c r="Q116" s="1179"/>
      <c r="R116" s="1179"/>
      <c r="S116" s="1179"/>
      <c r="T116" s="1179"/>
      <c r="U116" s="1179"/>
      <c r="V116" s="1179"/>
      <c r="W116" s="1179"/>
      <c r="X116" s="1179"/>
      <c r="Y116" s="1179"/>
      <c r="Z116" s="1179"/>
      <c r="AA116" s="1179"/>
      <c r="AB116" s="1179"/>
      <c r="AC116" s="1179"/>
      <c r="AD116" s="1179"/>
      <c r="AE116" s="1179"/>
      <c r="AF116" s="1179"/>
      <c r="AG116" s="1179"/>
      <c r="AH116" s="1179"/>
      <c r="AI116" s="1179"/>
      <c r="AJ116" s="1582"/>
      <c r="AK116" s="1583"/>
      <c r="AL116" s="1179"/>
      <c r="AM116" s="1179"/>
      <c r="AN116" s="1179"/>
      <c r="AO116" s="1179"/>
      <c r="AP116" s="2757"/>
      <c r="AQ116" s="2757"/>
      <c r="AR116" s="2757"/>
      <c r="AS116" s="2757"/>
      <c r="AT116" s="2757"/>
      <c r="AU116" s="2757"/>
      <c r="AV116" s="1179"/>
      <c r="AW116" s="1179"/>
      <c r="AX116" s="4048" t="s">
        <v>205</v>
      </c>
      <c r="AY116" s="4047" t="str">
        <f>"Multiply line 8 by "&amp;TEXT(BF116,"0.0000")</f>
        <v>Multiply line 8 by 0.5946</v>
      </c>
      <c r="AZ116" s="2079"/>
      <c r="BA116" s="2079"/>
      <c r="BB116" s="2079"/>
      <c r="BC116" s="2079"/>
      <c r="BD116" s="4049" t="s">
        <v>205</v>
      </c>
      <c r="BE116" s="2045" t="str">
        <f>IF(BE115&lt;&gt;"",ROUND(BE115*BF116,0),"")</f>
        <v/>
      </c>
      <c r="BF116" s="4053">
        <v>0.59460000000000002</v>
      </c>
      <c r="BG116" s="2079"/>
      <c r="BH116" s="4046"/>
    </row>
    <row r="117" spans="1:60" ht="13.5" customHeight="1">
      <c r="A117" s="3910"/>
      <c r="B117" s="1276"/>
      <c r="C117" s="1276"/>
      <c r="D117" s="1277" t="s">
        <v>485</v>
      </c>
      <c r="E117" s="1179"/>
      <c r="F117" s="1179"/>
      <c r="G117" s="1179"/>
      <c r="H117" s="1179"/>
      <c r="I117" s="1179"/>
      <c r="J117" s="1179"/>
      <c r="K117" s="1179"/>
      <c r="L117" s="1179"/>
      <c r="M117" s="1179"/>
      <c r="N117" s="1179"/>
      <c r="O117" s="1179"/>
      <c r="P117" s="1179"/>
      <c r="Q117" s="1179"/>
      <c r="R117" s="1179"/>
      <c r="S117" s="1179"/>
      <c r="T117" s="1285"/>
      <c r="U117" s="1179"/>
      <c r="V117" s="1179"/>
      <c r="W117" s="1179"/>
      <c r="X117" s="1179"/>
      <c r="Y117" s="1179"/>
      <c r="Z117" s="1179"/>
      <c r="AA117" s="1179"/>
      <c r="AB117" s="1179"/>
      <c r="AC117" s="1179"/>
      <c r="AD117" s="1179"/>
      <c r="AE117" s="1179"/>
      <c r="AF117" s="1179"/>
      <c r="AG117" s="1179"/>
      <c r="AH117" s="1179"/>
      <c r="AI117" s="1179"/>
      <c r="AJ117" s="1582"/>
      <c r="AK117" s="1583"/>
      <c r="AL117" s="1179"/>
      <c r="AM117" s="1179"/>
      <c r="AN117" s="1179"/>
      <c r="AO117" s="1179"/>
      <c r="AP117" s="2757"/>
      <c r="AQ117" s="2757"/>
      <c r="AR117" s="2757"/>
      <c r="AS117" s="2757"/>
      <c r="AT117" s="2757"/>
      <c r="AU117" s="2757"/>
      <c r="AV117" s="1179"/>
      <c r="AW117" s="1179"/>
      <c r="AX117" s="4048" t="s">
        <v>295</v>
      </c>
      <c r="AY117" s="4047" t="str">
        <f>"Enter your worldwide "&amp;TEXT(BF117,"0%")&amp;" gains and qualified dividends"</f>
        <v>Enter your worldwide 0% gains and qualified dividends</v>
      </c>
      <c r="AZ117" s="2079"/>
      <c r="BA117" s="2079"/>
      <c r="BB117" s="2079"/>
      <c r="BC117" s="2079"/>
      <c r="BD117" s="4049"/>
      <c r="BE117" s="4042"/>
      <c r="BF117" s="4052">
        <v>0</v>
      </c>
      <c r="BG117" s="2079"/>
      <c r="BH117" s="4046"/>
    </row>
    <row r="118" spans="1:60" ht="13.5" customHeight="1">
      <c r="A118" s="3910"/>
      <c r="B118" s="7717">
        <v>21</v>
      </c>
      <c r="C118" s="7717"/>
      <c r="D118" s="1179" t="s">
        <v>2229</v>
      </c>
      <c r="E118" s="1179"/>
      <c r="F118" s="1179"/>
      <c r="G118" s="1179"/>
      <c r="H118" s="1179"/>
      <c r="I118" s="1179"/>
      <c r="J118" s="1179"/>
      <c r="K118" s="1179"/>
      <c r="L118" s="1179"/>
      <c r="M118" s="1179"/>
      <c r="N118" s="1179"/>
      <c r="O118" s="1179"/>
      <c r="P118" s="1179"/>
      <c r="Q118" s="1179"/>
      <c r="R118" s="1179"/>
      <c r="S118" s="1179"/>
      <c r="T118" s="1285"/>
      <c r="U118" s="1179"/>
      <c r="V118" s="1179"/>
      <c r="W118" s="1179"/>
      <c r="X118" s="1179"/>
      <c r="Y118" s="1179"/>
      <c r="Z118" s="1179"/>
      <c r="AA118" s="1179"/>
      <c r="AB118" s="1179"/>
      <c r="AC118" s="1179"/>
      <c r="AD118" s="1179"/>
      <c r="AE118" s="1179"/>
      <c r="AF118" s="1179"/>
      <c r="AG118" s="1179"/>
      <c r="AH118" s="1179"/>
      <c r="AI118" s="1560" t="s">
        <v>644</v>
      </c>
      <c r="AJ118" s="7729">
        <v>21</v>
      </c>
      <c r="AK118" s="7730"/>
      <c r="AL118" s="7742" t="str">
        <f>IF(AB105,"",IF(ISERROR(AL110*AL115),"                    ---",ROUND(AL110*AL115,0)))</f>
        <v/>
      </c>
      <c r="AM118" s="6685"/>
      <c r="AN118" s="6685"/>
      <c r="AO118" s="6685"/>
      <c r="AP118" s="2757"/>
      <c r="AQ118" s="2757"/>
      <c r="AR118" s="2757"/>
      <c r="AS118" s="2757"/>
      <c r="AT118" s="2757"/>
      <c r="AU118" s="2757"/>
      <c r="AV118" s="1179"/>
      <c r="AW118" s="1179"/>
      <c r="AX118" s="4045"/>
      <c r="AY118" s="4047" t="s">
        <v>1794</v>
      </c>
      <c r="AZ118" s="2079"/>
      <c r="BA118" s="2079"/>
      <c r="BB118" s="2079"/>
      <c r="BC118" s="2079"/>
      <c r="BD118" s="4049" t="s">
        <v>295</v>
      </c>
      <c r="BE118" s="1849"/>
      <c r="BF118" s="2079"/>
      <c r="BG118" s="3978">
        <f>ROUND(BE118,0)</f>
        <v>0</v>
      </c>
      <c r="BH118" s="4046"/>
    </row>
    <row r="119" spans="1:60" ht="13.5" customHeight="1">
      <c r="A119" s="3910"/>
      <c r="B119" s="4697"/>
      <c r="C119" s="4697"/>
      <c r="D119" s="1179"/>
      <c r="E119" s="1179"/>
      <c r="F119" s="1179"/>
      <c r="G119" s="1179"/>
      <c r="H119" s="1179"/>
      <c r="I119" s="1179"/>
      <c r="J119" s="1179"/>
      <c r="K119" s="1179"/>
      <c r="L119" s="1179"/>
      <c r="M119" s="1179"/>
      <c r="N119" s="1179"/>
      <c r="O119" s="1179"/>
      <c r="P119" s="1179"/>
      <c r="Q119" s="1179"/>
      <c r="R119" s="1179"/>
      <c r="S119" s="1179"/>
      <c r="T119" s="1285"/>
      <c r="U119" s="1179"/>
      <c r="V119" s="1179"/>
      <c r="W119" s="1179"/>
      <c r="X119" s="1179"/>
      <c r="Y119" s="1179"/>
      <c r="Z119" s="1179"/>
      <c r="AA119" s="1179"/>
      <c r="AB119" s="1179"/>
      <c r="AC119" s="1179"/>
      <c r="AD119" s="1179"/>
      <c r="AE119" s="1179"/>
      <c r="AF119" s="1179"/>
      <c r="AG119" s="1179"/>
      <c r="AH119" s="1179"/>
      <c r="AI119" s="1560"/>
      <c r="AJ119" s="3768"/>
      <c r="AK119" s="4696"/>
      <c r="AL119" s="1179"/>
      <c r="AM119" s="1179"/>
      <c r="AN119" s="1179"/>
      <c r="AO119" s="1179"/>
      <c r="AP119" s="2757"/>
      <c r="AQ119" s="2757"/>
      <c r="AR119" s="2757"/>
      <c r="AS119" s="2757"/>
      <c r="AT119" s="2757"/>
      <c r="AU119" s="2757"/>
      <c r="AV119" s="1179"/>
      <c r="AW119" s="1179"/>
      <c r="AX119" s="4048" t="s">
        <v>296</v>
      </c>
      <c r="AY119" s="4047" t="s">
        <v>3273</v>
      </c>
      <c r="AZ119" s="2079"/>
      <c r="BA119" s="2079"/>
      <c r="BB119" s="2079"/>
      <c r="BC119" s="2079"/>
      <c r="BD119" s="2079"/>
      <c r="BE119" s="3978" t="b">
        <f>OR(BE109&lt;&gt;"",BE111&lt;&gt;"",BE113&lt;&gt;"",BE115&lt;&gt;"",BE118&lt;&gt;"")</f>
        <v>0</v>
      </c>
      <c r="BF119" s="4049" t="s">
        <v>296</v>
      </c>
      <c r="BG119" s="2045" t="str">
        <f>IF(BE119,SUM(BE110,BE112,BE114,BE116,BG118),IF(AB105,"",0))</f>
        <v/>
      </c>
      <c r="BH119" s="4046"/>
    </row>
    <row r="120" spans="1:60" ht="13.5" customHeight="1">
      <c r="A120" s="3910"/>
      <c r="B120" s="7717">
        <v>22</v>
      </c>
      <c r="C120" s="7717"/>
      <c r="D120" s="1276" t="s">
        <v>4167</v>
      </c>
      <c r="E120" s="1179"/>
      <c r="F120" s="1179"/>
      <c r="G120" s="1179"/>
      <c r="H120" s="1179"/>
      <c r="I120" s="1179"/>
      <c r="J120" s="1179"/>
      <c r="K120" s="1179"/>
      <c r="L120" s="1179"/>
      <c r="M120" s="1179"/>
      <c r="N120" s="1179"/>
      <c r="O120" s="1179"/>
      <c r="P120" s="1179"/>
      <c r="Q120" s="1179"/>
      <c r="R120" s="1179"/>
      <c r="S120" s="1179"/>
      <c r="T120" s="1285"/>
      <c r="U120" s="1179"/>
      <c r="V120" s="1179"/>
      <c r="W120" s="1179"/>
      <c r="X120" s="1179"/>
      <c r="Y120" s="1179"/>
      <c r="Z120" s="1179"/>
      <c r="AA120" s="1179"/>
      <c r="AB120" s="1179"/>
      <c r="AC120" s="1179"/>
      <c r="AD120" s="1179"/>
      <c r="AE120" s="1179"/>
      <c r="AF120" s="1179"/>
      <c r="AG120" s="1179"/>
      <c r="AH120" s="1179"/>
      <c r="AI120" s="1560" t="s">
        <v>805</v>
      </c>
      <c r="AJ120" s="7729">
        <v>22</v>
      </c>
      <c r="AK120" s="7730"/>
      <c r="AL120" s="7741"/>
      <c r="AM120" s="6677"/>
      <c r="AN120" s="6677"/>
      <c r="AO120" s="6677"/>
      <c r="AP120" s="2757"/>
      <c r="AQ120" s="4714">
        <f>ROUND(AL120,0)</f>
        <v>0</v>
      </c>
      <c r="AR120" s="2757"/>
      <c r="AS120" s="2757"/>
      <c r="AT120" s="2757"/>
      <c r="AU120" s="2757"/>
      <c r="AV120" s="1179"/>
      <c r="AW120" s="1179"/>
      <c r="AX120" s="4048" t="s">
        <v>297</v>
      </c>
      <c r="AY120" s="4047" t="s">
        <v>3274</v>
      </c>
      <c r="AZ120" s="2079"/>
      <c r="BA120" s="2079"/>
      <c r="BB120" s="2079"/>
      <c r="BC120" s="2079"/>
      <c r="BD120" s="2079"/>
      <c r="BE120" s="2079"/>
      <c r="BF120" s="4049" t="s">
        <v>297</v>
      </c>
      <c r="BG120" s="2045" t="str">
        <f>IF(BG119="","",SUM(BG108,-BG119))</f>
        <v/>
      </c>
      <c r="BH120" s="4046"/>
    </row>
    <row r="121" spans="1:60" s="2689" customFormat="1" ht="16.5" customHeight="1" thickBot="1">
      <c r="A121" s="3910"/>
      <c r="B121" s="4697"/>
      <c r="C121" s="4697"/>
      <c r="D121" s="1179"/>
      <c r="E121" s="1179"/>
      <c r="F121" s="1179"/>
      <c r="G121" s="1179"/>
      <c r="H121" s="1179"/>
      <c r="I121" s="1179"/>
      <c r="J121" s="1179"/>
      <c r="K121" s="1179"/>
      <c r="L121" s="1179"/>
      <c r="M121" s="1179"/>
      <c r="N121" s="1179"/>
      <c r="O121" s="1179"/>
      <c r="P121" s="1179"/>
      <c r="Q121" s="1179"/>
      <c r="R121" s="1179"/>
      <c r="S121" s="1179"/>
      <c r="T121" s="1285"/>
      <c r="U121" s="1179"/>
      <c r="V121" s="1179"/>
      <c r="W121" s="1179"/>
      <c r="X121" s="1179"/>
      <c r="Y121" s="1179"/>
      <c r="Z121" s="1179"/>
      <c r="AA121" s="1179"/>
      <c r="AB121" s="1179"/>
      <c r="AC121" s="1179"/>
      <c r="AD121" s="1179"/>
      <c r="AE121" s="1179"/>
      <c r="AF121" s="1179"/>
      <c r="AG121" s="1179"/>
      <c r="AH121" s="1179"/>
      <c r="AI121" s="1560"/>
      <c r="AJ121" s="3768"/>
      <c r="AK121" s="4696"/>
      <c r="AL121" s="1179"/>
      <c r="AM121" s="1179"/>
      <c r="AN121" s="1179"/>
      <c r="AO121" s="1179"/>
      <c r="AP121" s="2757"/>
      <c r="AQ121" s="2757"/>
      <c r="AR121" s="2757"/>
      <c r="AS121" s="2757"/>
      <c r="AT121" s="2757"/>
      <c r="AU121" s="2757"/>
      <c r="AV121" s="1179"/>
      <c r="AW121" s="1179"/>
      <c r="AX121" s="4050"/>
      <c r="AY121" s="4051"/>
      <c r="AZ121" s="4051"/>
      <c r="BA121" s="4051"/>
      <c r="BB121" s="4051"/>
      <c r="BC121" s="4051"/>
      <c r="BD121" s="4051"/>
      <c r="BE121" s="4051"/>
      <c r="BF121" s="4051"/>
      <c r="BG121" s="4051"/>
      <c r="BH121" s="4054"/>
    </row>
    <row r="122" spans="1:60" ht="14.25" customHeight="1">
      <c r="A122" s="3910"/>
      <c r="B122" s="7717">
        <v>23</v>
      </c>
      <c r="C122" s="7717"/>
      <c r="D122" s="1276" t="s">
        <v>3476</v>
      </c>
      <c r="E122" s="1179"/>
      <c r="F122" s="1179"/>
      <c r="G122" s="1179"/>
      <c r="H122" s="1179"/>
      <c r="I122" s="1179"/>
      <c r="J122" s="1179"/>
      <c r="K122" s="1179"/>
      <c r="L122" s="1179"/>
      <c r="M122" s="1179"/>
      <c r="N122" s="1179"/>
      <c r="O122" s="1179"/>
      <c r="P122" s="1179"/>
      <c r="Q122" s="1179"/>
      <c r="R122" s="1179"/>
      <c r="S122" s="1179"/>
      <c r="T122" s="1285"/>
      <c r="U122" s="1179"/>
      <c r="V122" s="1179"/>
      <c r="W122" s="1179"/>
      <c r="X122" s="1179"/>
      <c r="Y122" s="1179"/>
      <c r="Z122" s="1179"/>
      <c r="AA122" s="1179"/>
      <c r="AB122" s="1179"/>
      <c r="AC122" s="1179"/>
      <c r="AD122" s="1179"/>
      <c r="AE122" s="1179"/>
      <c r="AF122" s="1179"/>
      <c r="AG122" s="1179"/>
      <c r="AH122" s="1179"/>
      <c r="AI122" s="1560" t="s">
        <v>2908</v>
      </c>
      <c r="AJ122" s="7729">
        <v>23</v>
      </c>
      <c r="AK122" s="7730"/>
      <c r="AL122" s="7742" t="str">
        <f>IF(AB105,"",SUM(AL118,AQ120))</f>
        <v/>
      </c>
      <c r="AM122" s="6685"/>
      <c r="AN122" s="6685"/>
      <c r="AO122" s="6685"/>
      <c r="AP122" s="2757"/>
      <c r="AQ122" s="2757"/>
      <c r="AR122" s="2757"/>
      <c r="AS122" s="2757"/>
      <c r="AT122" s="2757"/>
      <c r="AU122" s="2757"/>
      <c r="AV122" s="1179"/>
      <c r="AW122" s="1179"/>
      <c r="AX122" s="3013"/>
      <c r="AY122" s="3851"/>
      <c r="AZ122" s="3851"/>
      <c r="BA122" s="3851"/>
      <c r="BB122" s="3851"/>
      <c r="BC122" s="3851"/>
      <c r="BD122" s="3851"/>
      <c r="BE122" s="3851"/>
      <c r="BF122" s="3851"/>
      <c r="BG122" s="3851"/>
      <c r="BH122" s="3851"/>
    </row>
    <row r="123" spans="1:60" ht="14.25" customHeight="1">
      <c r="A123" s="3910"/>
      <c r="B123" s="7717">
        <v>24</v>
      </c>
      <c r="C123" s="7717"/>
      <c r="D123" s="1276" t="s">
        <v>4168</v>
      </c>
      <c r="E123" s="1179"/>
      <c r="F123" s="2686"/>
      <c r="G123" s="1179"/>
      <c r="H123" s="1179"/>
      <c r="I123" s="1179"/>
      <c r="J123" s="1179"/>
      <c r="K123" s="1179"/>
      <c r="L123" s="1179"/>
      <c r="M123" s="1179"/>
      <c r="N123" s="1179"/>
      <c r="O123" s="1179"/>
      <c r="P123" s="1179"/>
      <c r="Q123" s="1179"/>
      <c r="R123" s="1179"/>
      <c r="S123" s="1179"/>
      <c r="T123" s="1179"/>
      <c r="U123" s="1179"/>
      <c r="V123" s="1179"/>
      <c r="W123" s="1179"/>
      <c r="X123" s="1179"/>
      <c r="Y123" s="1179"/>
      <c r="Z123" s="1179"/>
      <c r="AA123" s="1179"/>
      <c r="AB123" s="1179"/>
      <c r="AC123" s="1179"/>
      <c r="AD123" s="1179"/>
      <c r="AE123" s="1179"/>
      <c r="AF123" s="1179"/>
      <c r="AG123" s="1179"/>
      <c r="AH123" s="1179"/>
      <c r="AI123" s="1179"/>
      <c r="AJ123" s="1582"/>
      <c r="AK123" s="1583"/>
      <c r="AL123" s="1179"/>
      <c r="AM123" s="1179"/>
      <c r="AN123" s="1179"/>
      <c r="AO123" s="1179"/>
      <c r="AP123" s="2757"/>
      <c r="AQ123" s="2757"/>
      <c r="AR123" s="2757"/>
      <c r="AS123" s="2757"/>
      <c r="AT123" s="2757"/>
      <c r="AU123" s="2757"/>
      <c r="AV123" s="1179"/>
      <c r="AW123" s="1179"/>
      <c r="AX123" s="3013"/>
      <c r="AY123" s="3851"/>
      <c r="AZ123" s="3851"/>
      <c r="BA123" s="3851"/>
      <c r="BB123" s="3851"/>
      <c r="BC123" s="3851"/>
      <c r="BD123" s="3851"/>
      <c r="BE123" s="3851"/>
      <c r="BF123" s="3851"/>
      <c r="BG123" s="3851"/>
      <c r="BH123" s="3851"/>
    </row>
    <row r="124" spans="1:60" ht="14.25" customHeight="1">
      <c r="A124" s="3910"/>
      <c r="B124" s="1276"/>
      <c r="C124" s="1276"/>
      <c r="D124" s="1926" t="s">
        <v>4169</v>
      </c>
      <c r="E124" s="1179"/>
      <c r="F124" s="1179"/>
      <c r="G124" s="1179"/>
      <c r="H124" s="1179"/>
      <c r="I124" s="1179"/>
      <c r="J124" s="1179"/>
      <c r="K124" s="1179"/>
      <c r="L124" s="1179"/>
      <c r="M124" s="1179"/>
      <c r="N124" s="1179"/>
      <c r="O124" s="1179"/>
      <c r="P124" s="1179"/>
      <c r="Q124" s="1179"/>
      <c r="R124" s="1179"/>
      <c r="S124" s="1179"/>
      <c r="T124" s="1285"/>
      <c r="U124" s="1179"/>
      <c r="V124" s="1179"/>
      <c r="W124" s="1179"/>
      <c r="X124" s="1179"/>
      <c r="Y124" s="1179"/>
      <c r="Z124" s="1179"/>
      <c r="AA124" s="1179"/>
      <c r="AB124" s="1179"/>
      <c r="AC124" s="1179"/>
      <c r="AD124" s="1179"/>
      <c r="AE124" s="1179"/>
      <c r="AF124" s="1179"/>
      <c r="AG124" s="1179"/>
      <c r="AH124" s="1179"/>
      <c r="AI124" s="1179"/>
      <c r="AJ124" s="1582"/>
      <c r="AK124" s="1583"/>
      <c r="AL124" s="7861">
        <f>SUM($AO$20,$AO$151,$AO$281)</f>
        <v>0</v>
      </c>
      <c r="AM124" s="7862"/>
      <c r="AN124" s="7862"/>
      <c r="AO124" s="7862"/>
      <c r="AP124" s="2757"/>
      <c r="AQ124" s="2757"/>
      <c r="AR124" s="2757"/>
      <c r="AS124" s="2757"/>
      <c r="AT124" s="2757"/>
      <c r="AU124" s="2757"/>
      <c r="AV124" s="1179"/>
      <c r="AW124" s="1179"/>
      <c r="AX124" s="3013"/>
      <c r="AY124" s="3851"/>
      <c r="AZ124" s="3851"/>
      <c r="BA124" s="3851"/>
      <c r="BB124" s="3851"/>
      <c r="BC124" s="3851"/>
      <c r="BD124" s="3851"/>
      <c r="BE124" s="3851"/>
      <c r="BF124" s="3851"/>
      <c r="BG124" s="3851"/>
      <c r="BH124" s="3851"/>
    </row>
    <row r="125" spans="1:60" ht="14.25" customHeight="1" thickBot="1">
      <c r="A125" s="3910"/>
      <c r="B125" s="7717"/>
      <c r="C125" s="7717"/>
      <c r="D125" s="1179" t="s">
        <v>891</v>
      </c>
      <c r="E125" s="1179"/>
      <c r="F125" s="1179"/>
      <c r="G125" s="1179"/>
      <c r="H125" s="1179"/>
      <c r="I125" s="1179"/>
      <c r="J125" s="1179"/>
      <c r="K125" s="1179"/>
      <c r="L125" s="1179"/>
      <c r="M125" s="1179"/>
      <c r="N125" s="1179"/>
      <c r="O125" s="1179"/>
      <c r="P125" s="1179"/>
      <c r="Q125" s="1179"/>
      <c r="R125" s="1179"/>
      <c r="S125" s="1179"/>
      <c r="T125" s="1285"/>
      <c r="U125" s="1179"/>
      <c r="V125" s="1179"/>
      <c r="W125" s="1179"/>
      <c r="X125" s="1179"/>
      <c r="Y125" s="1179"/>
      <c r="Z125" s="1179"/>
      <c r="AA125" s="1179"/>
      <c r="AB125" s="1179"/>
      <c r="AC125" s="1179"/>
      <c r="AD125" s="1179"/>
      <c r="AE125" s="1179"/>
      <c r="AF125" s="1179"/>
      <c r="AG125" s="1179"/>
      <c r="AH125" s="1179"/>
      <c r="AI125" s="1560" t="s">
        <v>562</v>
      </c>
      <c r="AJ125" s="7729">
        <v>24</v>
      </c>
      <c r="AK125" s="7730"/>
      <c r="AL125" s="7742" t="str">
        <f>IF(AQ125&lt;&gt;"",ROUND(AQ125,0),IF(AB105,"",IF(ISERROR(AL95*AL118),"                    ---",MIN(AL95,AL118))))</f>
        <v/>
      </c>
      <c r="AM125" s="6685"/>
      <c r="AN125" s="6685"/>
      <c r="AO125" s="6685"/>
      <c r="AP125" s="2757"/>
      <c r="AQ125" s="7752"/>
      <c r="AR125" s="7753"/>
      <c r="AS125" s="7753"/>
      <c r="AT125" s="7753"/>
      <c r="AU125" s="2757"/>
      <c r="AV125" s="1179"/>
      <c r="AW125" s="1179"/>
      <c r="AX125" s="3013"/>
      <c r="AY125" s="3851"/>
      <c r="AZ125" s="3851"/>
      <c r="BA125" s="3851"/>
      <c r="BB125" s="3851"/>
      <c r="BC125" s="3851"/>
      <c r="BD125" s="3851"/>
      <c r="BE125" s="3851"/>
      <c r="BF125" s="3851"/>
      <c r="BG125" s="3851"/>
      <c r="BH125" s="3851"/>
    </row>
    <row r="126" spans="1:60" ht="14.25" customHeight="1">
      <c r="A126" s="3912"/>
      <c r="B126" s="7854" t="s">
        <v>470</v>
      </c>
      <c r="C126" s="7854"/>
      <c r="D126" s="7855"/>
      <c r="E126" s="2690"/>
      <c r="F126" s="2814" t="s">
        <v>2243</v>
      </c>
      <c r="G126" s="2690"/>
      <c r="H126" s="2690"/>
      <c r="I126" s="2690"/>
      <c r="J126" s="2690"/>
      <c r="K126" s="2690"/>
      <c r="L126" s="2690"/>
      <c r="M126" s="2690"/>
      <c r="N126" s="2690"/>
      <c r="O126" s="2690"/>
      <c r="P126" s="2690"/>
      <c r="Q126" s="2690"/>
      <c r="R126" s="2690"/>
      <c r="S126" s="2690"/>
      <c r="T126" s="2690"/>
      <c r="U126" s="2690"/>
      <c r="V126" s="2690"/>
      <c r="W126" s="2690"/>
      <c r="X126" s="2690"/>
      <c r="Y126" s="2690"/>
      <c r="Z126" s="2690"/>
      <c r="AA126" s="2690"/>
      <c r="AB126" s="2690"/>
      <c r="AC126" s="2690"/>
      <c r="AD126" s="2690"/>
      <c r="AE126" s="2690"/>
      <c r="AF126" s="2690"/>
      <c r="AG126" s="2690"/>
      <c r="AH126" s="2690"/>
      <c r="AI126" s="2690"/>
      <c r="AJ126" s="2690"/>
      <c r="AK126" s="2690"/>
      <c r="AL126" s="7864" t="b">
        <f>AND(AL124&gt;1,AL125=MAX($AL$125,$AL$255,$AL$386))</f>
        <v>0</v>
      </c>
      <c r="AM126" s="7865"/>
      <c r="AN126" s="7865"/>
      <c r="AO126" s="7865"/>
      <c r="AP126" s="2757"/>
      <c r="AQ126" s="2757"/>
      <c r="AR126" s="2757"/>
      <c r="AS126" s="2757"/>
      <c r="AT126" s="2757"/>
      <c r="AU126" s="2757"/>
      <c r="AV126" s="1179"/>
      <c r="AW126" s="1179"/>
      <c r="AX126" s="3013"/>
      <c r="AY126" s="3851"/>
      <c r="AZ126" s="3851"/>
      <c r="BA126" s="3851"/>
      <c r="BB126" s="3851"/>
      <c r="BC126" s="3851"/>
      <c r="BD126" s="3851"/>
      <c r="BE126" s="3851"/>
      <c r="BF126" s="3851"/>
      <c r="BG126" s="3851"/>
      <c r="BH126" s="3851"/>
    </row>
    <row r="127" spans="1:60" ht="14.25" customHeight="1">
      <c r="A127" s="3910"/>
      <c r="B127" s="7717">
        <v>25</v>
      </c>
      <c r="C127" s="7717"/>
      <c r="D127" s="1276" t="s">
        <v>2510</v>
      </c>
      <c r="E127" s="1179"/>
      <c r="F127" s="2686"/>
      <c r="G127" s="1179"/>
      <c r="H127" s="1179"/>
      <c r="I127" s="1179"/>
      <c r="J127" s="1179"/>
      <c r="K127" s="1179"/>
      <c r="L127" s="1179"/>
      <c r="M127" s="1179"/>
      <c r="N127" s="1179"/>
      <c r="O127" s="1179"/>
      <c r="P127" s="1179"/>
      <c r="Q127" s="1179"/>
      <c r="R127" s="1179"/>
      <c r="S127" s="1179"/>
      <c r="T127" s="1179"/>
      <c r="U127" s="1179"/>
      <c r="V127" s="1179"/>
      <c r="W127" s="1179"/>
      <c r="X127" s="3022"/>
      <c r="Y127" s="1560" t="s">
        <v>2513</v>
      </c>
      <c r="Z127" s="7729">
        <v>25</v>
      </c>
      <c r="AA127" s="7730"/>
      <c r="AB127" s="7767" t="str">
        <f>IF(AL126,$AR$25,"")</f>
        <v/>
      </c>
      <c r="AC127" s="7768"/>
      <c r="AD127" s="7768"/>
      <c r="AE127" s="7768"/>
      <c r="AF127" s="7768"/>
      <c r="AG127" s="7768"/>
      <c r="AH127" s="7768"/>
      <c r="AI127" s="7769"/>
      <c r="AJ127" s="7724"/>
      <c r="AK127" s="7770"/>
      <c r="AL127" s="1582"/>
      <c r="AM127" s="1179"/>
      <c r="AN127" s="1179"/>
      <c r="AO127" s="1179"/>
      <c r="AP127" s="2757"/>
      <c r="AQ127" s="1284" t="s">
        <v>33</v>
      </c>
      <c r="AR127" s="7751">
        <f>IF(C21&lt;&gt;"",$AL$125,0)</f>
        <v>0</v>
      </c>
      <c r="AS127" s="7751"/>
      <c r="AT127" s="7751"/>
      <c r="AU127" s="7751"/>
      <c r="AV127" s="1179"/>
      <c r="AW127" s="1179"/>
      <c r="AX127" s="3013"/>
      <c r="AY127" s="3851"/>
      <c r="AZ127" s="3851"/>
      <c r="BA127" s="3851"/>
      <c r="BB127" s="3851"/>
      <c r="BC127" s="3851"/>
      <c r="BD127" s="3851"/>
      <c r="BE127" s="3851"/>
      <c r="BF127" s="3851"/>
      <c r="BG127" s="3851"/>
      <c r="BH127" s="3851"/>
    </row>
    <row r="128" spans="1:60" ht="14.25" customHeight="1">
      <c r="A128" s="3910"/>
      <c r="B128" s="7717">
        <v>26</v>
      </c>
      <c r="C128" s="7717"/>
      <c r="D128" s="1276" t="s">
        <v>2511</v>
      </c>
      <c r="E128" s="1179"/>
      <c r="F128" s="2686"/>
      <c r="G128" s="1179"/>
      <c r="H128" s="1179"/>
      <c r="I128" s="1179"/>
      <c r="J128" s="1179"/>
      <c r="K128" s="1179"/>
      <c r="L128" s="1179"/>
      <c r="M128" s="1179"/>
      <c r="N128" s="1179"/>
      <c r="O128" s="1179"/>
      <c r="P128" s="1179"/>
      <c r="Q128" s="1179"/>
      <c r="R128" s="1179"/>
      <c r="S128" s="1179"/>
      <c r="T128" s="1179"/>
      <c r="U128" s="1179"/>
      <c r="V128" s="1179"/>
      <c r="W128" s="1179"/>
      <c r="X128" s="3022"/>
      <c r="Y128" s="1560" t="s">
        <v>2401</v>
      </c>
      <c r="Z128" s="7729">
        <v>26</v>
      </c>
      <c r="AA128" s="7730"/>
      <c r="AB128" s="7767" t="str">
        <f>IF(AL126,$AR$26,"")</f>
        <v/>
      </c>
      <c r="AC128" s="7768"/>
      <c r="AD128" s="7768"/>
      <c r="AE128" s="7768"/>
      <c r="AF128" s="7768"/>
      <c r="AG128" s="7768"/>
      <c r="AH128" s="7768"/>
      <c r="AI128" s="7769"/>
      <c r="AJ128" s="7724"/>
      <c r="AK128" s="7770"/>
      <c r="AL128" s="1582"/>
      <c r="AM128" s="1179"/>
      <c r="AN128" s="1179"/>
      <c r="AO128" s="1179"/>
      <c r="AP128" s="2757"/>
      <c r="AQ128" s="1284" t="s">
        <v>47</v>
      </c>
      <c r="AR128" s="7751">
        <f>IF(C23&lt;&gt;"",$AL$125,0)</f>
        <v>0</v>
      </c>
      <c r="AS128" s="7751"/>
      <c r="AT128" s="7751"/>
      <c r="AU128" s="7751"/>
      <c r="AV128" s="1179"/>
      <c r="AW128" s="1179"/>
      <c r="AX128" s="3013"/>
      <c r="AY128" s="3851"/>
      <c r="AZ128" s="3851"/>
      <c r="BA128" s="3851"/>
      <c r="BB128" s="3851"/>
      <c r="BC128" s="3851"/>
      <c r="BD128" s="3851"/>
      <c r="BE128" s="3851"/>
      <c r="BF128" s="3851"/>
      <c r="BG128" s="3851"/>
      <c r="BH128" s="3851"/>
    </row>
    <row r="129" spans="1:60" ht="14.25" customHeight="1">
      <c r="A129" s="3910"/>
      <c r="B129" s="7717">
        <v>27</v>
      </c>
      <c r="C129" s="7717"/>
      <c r="D129" s="1276" t="s">
        <v>2230</v>
      </c>
      <c r="E129" s="1179"/>
      <c r="F129" s="2686"/>
      <c r="G129" s="1179"/>
      <c r="H129" s="1179"/>
      <c r="I129" s="1179"/>
      <c r="J129" s="1179"/>
      <c r="K129" s="1179"/>
      <c r="L129" s="1179"/>
      <c r="M129" s="1179"/>
      <c r="N129" s="1179"/>
      <c r="O129" s="1179"/>
      <c r="P129" s="1179"/>
      <c r="Q129" s="1179"/>
      <c r="R129" s="1179"/>
      <c r="S129" s="1179"/>
      <c r="T129" s="1179"/>
      <c r="U129" s="1179"/>
      <c r="V129" s="1179"/>
      <c r="W129" s="1179"/>
      <c r="X129" s="3022"/>
      <c r="Y129" s="1560" t="s">
        <v>1930</v>
      </c>
      <c r="Z129" s="7729">
        <v>27</v>
      </c>
      <c r="AA129" s="7730"/>
      <c r="AB129" s="7767" t="str">
        <f>IF(AL126,$AR$27,"")</f>
        <v/>
      </c>
      <c r="AC129" s="7768"/>
      <c r="AD129" s="7768"/>
      <c r="AE129" s="7768"/>
      <c r="AF129" s="7768"/>
      <c r="AG129" s="7768"/>
      <c r="AH129" s="7768"/>
      <c r="AI129" s="7769"/>
      <c r="AJ129" s="7724"/>
      <c r="AK129" s="7770"/>
      <c r="AL129" s="1582"/>
      <c r="AM129" s="1179"/>
      <c r="AN129" s="1179"/>
      <c r="AO129" s="1179"/>
      <c r="AP129" s="2757"/>
      <c r="AQ129" s="1284" t="s">
        <v>48</v>
      </c>
      <c r="AR129" s="7751">
        <f>IF(K21&lt;&gt;"",$AL$125,0)</f>
        <v>0</v>
      </c>
      <c r="AS129" s="7751"/>
      <c r="AT129" s="7751"/>
      <c r="AU129" s="7751"/>
      <c r="AV129" s="1179"/>
      <c r="AW129" s="1179"/>
      <c r="AX129" s="3013"/>
      <c r="AY129" s="3860" t="s">
        <v>3080</v>
      </c>
      <c r="AZ129" s="3851"/>
      <c r="BA129" s="3851"/>
      <c r="BB129" s="3862" t="str">
        <f>IF(ISERROR(SUM(AL118,-ForeignTaxCredit_1))," ---",MAX(SUM(AL118,-ForeignTaxCredit_1),0))</f>
        <v xml:space="preserve"> ---</v>
      </c>
      <c r="BC129" s="3864" t="s">
        <v>3081</v>
      </c>
      <c r="BD129" s="3851"/>
      <c r="BE129" s="3851"/>
      <c r="BF129" s="3851"/>
      <c r="BG129" s="3851"/>
      <c r="BH129" s="3851"/>
    </row>
    <row r="130" spans="1:60" ht="14.25" customHeight="1">
      <c r="A130" s="3910"/>
      <c r="B130" s="7717">
        <v>28</v>
      </c>
      <c r="C130" s="7717"/>
      <c r="D130" s="1276" t="s">
        <v>2231</v>
      </c>
      <c r="E130" s="1179"/>
      <c r="F130" s="2686"/>
      <c r="G130" s="1179"/>
      <c r="H130" s="1179"/>
      <c r="I130" s="1179"/>
      <c r="J130" s="1179"/>
      <c r="K130" s="1179"/>
      <c r="L130" s="1179"/>
      <c r="M130" s="1179"/>
      <c r="N130" s="1179"/>
      <c r="O130" s="1179"/>
      <c r="P130" s="1179"/>
      <c r="Q130" s="1179"/>
      <c r="R130" s="1179"/>
      <c r="S130" s="1179"/>
      <c r="T130" s="1179"/>
      <c r="U130" s="1179"/>
      <c r="V130" s="1179"/>
      <c r="W130" s="1179"/>
      <c r="X130" s="3022"/>
      <c r="Y130" s="1560" t="s">
        <v>1930</v>
      </c>
      <c r="Z130" s="7729">
        <v>28</v>
      </c>
      <c r="AA130" s="7730"/>
      <c r="AB130" s="7767" t="str">
        <f>IF(AL126,$AR$28,"")</f>
        <v/>
      </c>
      <c r="AC130" s="7768"/>
      <c r="AD130" s="7768"/>
      <c r="AE130" s="7768"/>
      <c r="AF130" s="7768"/>
      <c r="AG130" s="7768"/>
      <c r="AH130" s="7768"/>
      <c r="AI130" s="7769"/>
      <c r="AJ130" s="7724"/>
      <c r="AK130" s="7770"/>
      <c r="AL130" s="1582"/>
      <c r="AM130" s="1179"/>
      <c r="AN130" s="1179"/>
      <c r="AO130" s="1179"/>
      <c r="AP130" s="2757"/>
      <c r="AQ130" s="1284" t="s">
        <v>92</v>
      </c>
      <c r="AR130" s="7751">
        <f>IF(K23&lt;&gt;"",$AL$125,0)</f>
        <v>0</v>
      </c>
      <c r="AS130" s="7751"/>
      <c r="AT130" s="7751"/>
      <c r="AU130" s="7751"/>
      <c r="AV130" s="1179"/>
      <c r="AW130" s="1179"/>
      <c r="AX130" s="3013"/>
      <c r="AY130" s="3860" t="s">
        <v>3082</v>
      </c>
      <c r="AZ130" s="3851"/>
      <c r="BA130" s="3851"/>
      <c r="BB130" s="3863" t="str">
        <f>IF(ISERROR(SUM(AL95,-ForeignTaxCredit_1))," ---",MAX(SUM(AL95,-ForeignTaxCredit_1),0))</f>
        <v xml:space="preserve"> ---</v>
      </c>
      <c r="BC130" s="3864" t="s">
        <v>3083</v>
      </c>
      <c r="BD130" s="3851"/>
      <c r="BE130" s="3851"/>
      <c r="BF130" s="3851"/>
      <c r="BG130" s="3851"/>
      <c r="BH130" s="3851"/>
    </row>
    <row r="131" spans="1:60" ht="14.25" customHeight="1">
      <c r="A131" s="3910"/>
      <c r="B131" s="7717">
        <v>29</v>
      </c>
      <c r="C131" s="7717"/>
      <c r="D131" s="1276" t="s">
        <v>2512</v>
      </c>
      <c r="E131" s="1179"/>
      <c r="F131" s="2686"/>
      <c r="G131" s="1179"/>
      <c r="H131" s="1179"/>
      <c r="I131" s="1179"/>
      <c r="J131" s="1179"/>
      <c r="K131" s="1179"/>
      <c r="L131" s="1179"/>
      <c r="M131" s="1179"/>
      <c r="N131" s="1179"/>
      <c r="O131" s="1179"/>
      <c r="P131" s="1179"/>
      <c r="Q131" s="1179"/>
      <c r="R131" s="1179"/>
      <c r="S131" s="1179"/>
      <c r="T131" s="1179"/>
      <c r="U131" s="1179"/>
      <c r="V131" s="1179"/>
      <c r="W131" s="1179"/>
      <c r="X131" s="3022"/>
      <c r="Y131" s="1560" t="s">
        <v>2401</v>
      </c>
      <c r="Z131" s="7729">
        <v>29</v>
      </c>
      <c r="AA131" s="7730"/>
      <c r="AB131" s="7767" t="str">
        <f>IF(AL126,$AR$29,"")</f>
        <v/>
      </c>
      <c r="AC131" s="7768"/>
      <c r="AD131" s="7768"/>
      <c r="AE131" s="7768"/>
      <c r="AF131" s="7768"/>
      <c r="AG131" s="7768"/>
      <c r="AH131" s="7768"/>
      <c r="AI131" s="7769"/>
      <c r="AJ131" s="7724"/>
      <c r="AK131" s="7770"/>
      <c r="AL131" s="1582"/>
      <c r="AM131" s="1179"/>
      <c r="AN131" s="1179"/>
      <c r="AO131" s="1179"/>
      <c r="AP131" s="2757"/>
      <c r="AQ131" s="1284" t="s">
        <v>964</v>
      </c>
      <c r="AR131" s="7751">
        <f>IF(W21&lt;&gt;"",$AL$125,0)</f>
        <v>0</v>
      </c>
      <c r="AS131" s="7751"/>
      <c r="AT131" s="7751"/>
      <c r="AU131" s="7751"/>
      <c r="AV131" s="1179"/>
      <c r="AW131" s="1179"/>
      <c r="AX131" s="3013"/>
      <c r="AY131" s="3851"/>
      <c r="AZ131" s="3851"/>
      <c r="BA131" s="3851"/>
      <c r="BB131" s="3851"/>
      <c r="BC131" s="3851"/>
      <c r="BD131" s="3851"/>
      <c r="BE131" s="3851"/>
      <c r="BF131" s="3851"/>
      <c r="BG131" s="3851"/>
      <c r="BH131" s="3851"/>
    </row>
    <row r="132" spans="1:60" ht="14.25" customHeight="1">
      <c r="A132" s="3910"/>
      <c r="B132" s="7717">
        <v>30</v>
      </c>
      <c r="C132" s="7717"/>
      <c r="D132" s="1276" t="s">
        <v>2232</v>
      </c>
      <c r="E132" s="1179"/>
      <c r="F132" s="2686"/>
      <c r="G132" s="1179"/>
      <c r="H132" s="1179"/>
      <c r="I132" s="1179"/>
      <c r="J132" s="1179"/>
      <c r="K132" s="1179"/>
      <c r="L132" s="1179"/>
      <c r="M132" s="1179"/>
      <c r="N132" s="1179"/>
      <c r="O132" s="1179"/>
      <c r="P132" s="1179"/>
      <c r="Q132" s="1179"/>
      <c r="R132" s="1179"/>
      <c r="S132" s="1179"/>
      <c r="T132" s="1179"/>
      <c r="U132" s="1179"/>
      <c r="V132" s="1179"/>
      <c r="W132" s="1179"/>
      <c r="X132" s="3022"/>
      <c r="Y132" s="1560" t="s">
        <v>1978</v>
      </c>
      <c r="Z132" s="7729">
        <v>30</v>
      </c>
      <c r="AA132" s="7730"/>
      <c r="AB132" s="7767" t="str">
        <f>IF(AL126,$AR$30,"")</f>
        <v/>
      </c>
      <c r="AC132" s="7768"/>
      <c r="AD132" s="7768"/>
      <c r="AE132" s="7768"/>
      <c r="AF132" s="7768"/>
      <c r="AG132" s="7768"/>
      <c r="AH132" s="7768"/>
      <c r="AI132" s="7769"/>
      <c r="AJ132" s="7724"/>
      <c r="AK132" s="7770"/>
      <c r="AL132" s="1582"/>
      <c r="AM132" s="1179"/>
      <c r="AN132" s="1179"/>
      <c r="AO132" s="1179"/>
      <c r="AP132" s="2757"/>
      <c r="AQ132" s="1284" t="s">
        <v>965</v>
      </c>
      <c r="AR132" s="7751">
        <f>IF(W23&lt;&gt;"",$AL$125,0)</f>
        <v>0</v>
      </c>
      <c r="AS132" s="7751"/>
      <c r="AT132" s="7751"/>
      <c r="AU132" s="7751"/>
      <c r="AV132" s="1179"/>
      <c r="AW132" s="1179"/>
      <c r="AX132" s="3013"/>
      <c r="AY132" s="3860" t="s">
        <v>3084</v>
      </c>
      <c r="AZ132" s="3851"/>
      <c r="BA132" s="3851"/>
      <c r="BB132" s="3851"/>
      <c r="BC132" s="3851"/>
      <c r="BD132" s="3851"/>
      <c r="BE132" s="3851"/>
      <c r="BF132" s="3851"/>
      <c r="BG132" s="3851"/>
      <c r="BH132" s="3851"/>
    </row>
    <row r="133" spans="1:60" ht="14.25" customHeight="1" thickBot="1">
      <c r="A133" s="3910"/>
      <c r="B133" s="7717">
        <v>31</v>
      </c>
      <c r="C133" s="7717"/>
      <c r="D133" s="1276" t="s">
        <v>2233</v>
      </c>
      <c r="E133" s="1179"/>
      <c r="F133" s="2686"/>
      <c r="G133" s="1179"/>
      <c r="H133" s="1179"/>
      <c r="I133" s="1179"/>
      <c r="J133" s="1179"/>
      <c r="K133" s="1179"/>
      <c r="L133" s="1179"/>
      <c r="M133" s="1179"/>
      <c r="N133" s="1179"/>
      <c r="O133" s="1179"/>
      <c r="P133" s="1179"/>
      <c r="Q133" s="1179"/>
      <c r="R133" s="1179"/>
      <c r="S133" s="1179"/>
      <c r="T133" s="1179"/>
      <c r="U133" s="1179"/>
      <c r="V133" s="1179"/>
      <c r="W133" s="1179"/>
      <c r="X133" s="3022"/>
      <c r="Y133" s="1560" t="s">
        <v>2401</v>
      </c>
      <c r="Z133" s="7786">
        <v>31</v>
      </c>
      <c r="AA133" s="7787"/>
      <c r="AB133" s="7788" t="str">
        <f>IF(AL126,$AR$31,"")</f>
        <v/>
      </c>
      <c r="AC133" s="7789"/>
      <c r="AD133" s="7789"/>
      <c r="AE133" s="7789"/>
      <c r="AF133" s="7789"/>
      <c r="AG133" s="7789"/>
      <c r="AH133" s="7789"/>
      <c r="AI133" s="7790"/>
      <c r="AJ133" s="7724"/>
      <c r="AK133" s="7770"/>
      <c r="AL133" s="1582"/>
      <c r="AM133" s="1179"/>
      <c r="AN133" s="1179"/>
      <c r="AO133" s="1179"/>
      <c r="AP133" s="2757"/>
      <c r="AQ133" s="1284" t="s">
        <v>2133</v>
      </c>
      <c r="AR133" s="7751">
        <f>IF(AI21&lt;&gt;"",$AL$125,0)</f>
        <v>0</v>
      </c>
      <c r="AS133" s="7751"/>
      <c r="AT133" s="7751"/>
      <c r="AU133" s="7751"/>
      <c r="AV133" s="1179"/>
      <c r="AW133" s="1179"/>
      <c r="AX133" s="3013"/>
      <c r="AY133" s="3860" t="s">
        <v>3085</v>
      </c>
      <c r="AZ133" s="3851"/>
      <c r="BA133" s="3851"/>
      <c r="BB133" s="3851"/>
      <c r="BC133" s="3851"/>
      <c r="BD133" s="3851"/>
      <c r="BE133" s="3851"/>
      <c r="BF133" s="3851"/>
      <c r="BG133" s="3851"/>
      <c r="BH133" s="3851"/>
    </row>
    <row r="134" spans="1:60" ht="14.25" customHeight="1">
      <c r="A134" s="3910"/>
      <c r="B134" s="7717">
        <v>32</v>
      </c>
      <c r="C134" s="7717"/>
      <c r="D134" s="1276" t="s">
        <v>4170</v>
      </c>
      <c r="E134" s="1179"/>
      <c r="F134" s="2686"/>
      <c r="G134" s="1179"/>
      <c r="H134" s="1179"/>
      <c r="I134" s="1179"/>
      <c r="J134" s="1179"/>
      <c r="K134" s="1179"/>
      <c r="L134" s="1179"/>
      <c r="M134" s="1179"/>
      <c r="N134" s="1179"/>
      <c r="O134" s="1179"/>
      <c r="P134" s="1179"/>
      <c r="Q134" s="1179"/>
      <c r="R134" s="1179"/>
      <c r="S134" s="1179"/>
      <c r="T134" s="1179"/>
      <c r="U134" s="1179"/>
      <c r="V134" s="1179"/>
      <c r="W134" s="1179"/>
      <c r="X134" s="1179"/>
      <c r="Y134" s="1179"/>
      <c r="Z134" s="1824"/>
      <c r="AA134" s="1824"/>
      <c r="AB134" s="1179"/>
      <c r="AC134" s="1179"/>
      <c r="AD134" s="1179"/>
      <c r="AE134" s="1179"/>
      <c r="AF134" s="1179"/>
      <c r="AG134" s="1179"/>
      <c r="AH134" s="1179"/>
      <c r="AI134" s="1560" t="s">
        <v>2524</v>
      </c>
      <c r="AJ134" s="7729">
        <v>32</v>
      </c>
      <c r="AK134" s="7730"/>
      <c r="AL134" s="7742" t="str">
        <f>IF(AQ134&lt;&gt;"",ROUND(AQ134,0),IF(NOT(AL126),"",SUM(AB127:AI133)))</f>
        <v/>
      </c>
      <c r="AM134" s="6685"/>
      <c r="AN134" s="6685"/>
      <c r="AO134" s="6685"/>
      <c r="AP134" s="2757"/>
      <c r="AQ134" s="7752"/>
      <c r="AR134" s="7753"/>
      <c r="AS134" s="7753"/>
      <c r="AT134" s="7753"/>
      <c r="AU134" s="2757"/>
      <c r="AV134" s="1540"/>
      <c r="AW134" s="1540"/>
      <c r="AX134" s="3013"/>
      <c r="AY134" s="3861" t="s">
        <v>3086</v>
      </c>
      <c r="AZ134" s="3851"/>
      <c r="BA134" s="3851"/>
      <c r="BB134" s="3851"/>
      <c r="BC134" s="3851"/>
      <c r="BD134" s="3851"/>
      <c r="BE134" s="3851"/>
      <c r="BF134" s="3851"/>
      <c r="BG134" s="3851"/>
      <c r="BH134" s="3851"/>
    </row>
    <row r="135" spans="1:60" ht="18" customHeight="1">
      <c r="A135" s="3910"/>
      <c r="B135" s="7717">
        <v>33</v>
      </c>
      <c r="C135" s="7717"/>
      <c r="D135" s="1276" t="s">
        <v>4171</v>
      </c>
      <c r="E135" s="1179"/>
      <c r="F135" s="2686"/>
      <c r="G135" s="1179"/>
      <c r="H135" s="1179"/>
      <c r="I135" s="1179"/>
      <c r="J135" s="1179"/>
      <c r="K135" s="1179"/>
      <c r="L135" s="1179"/>
      <c r="M135" s="1179"/>
      <c r="N135" s="1179"/>
      <c r="O135" s="1179"/>
      <c r="P135" s="1179"/>
      <c r="Q135" s="1179"/>
      <c r="R135" s="1179"/>
      <c r="S135" s="1179"/>
      <c r="T135" s="1179"/>
      <c r="U135" s="1179"/>
      <c r="V135" s="1179"/>
      <c r="W135" s="1179"/>
      <c r="X135" s="1179"/>
      <c r="Y135" s="1179"/>
      <c r="Z135" s="1824"/>
      <c r="AA135" s="1824"/>
      <c r="AB135" s="1179"/>
      <c r="AC135" s="1179"/>
      <c r="AD135" s="1179"/>
      <c r="AE135" s="1179"/>
      <c r="AF135" s="1179"/>
      <c r="AG135" s="1179"/>
      <c r="AH135" s="1179"/>
      <c r="AI135" s="1560" t="s">
        <v>2883</v>
      </c>
      <c r="AJ135" s="7729">
        <v>33</v>
      </c>
      <c r="AK135" s="7730"/>
      <c r="AL135" s="7742" t="str">
        <f>IF(NOT(AQ18),AL125,IF(ISERROR(MIN(AL115,AL134)),"",MIN(AL115,AL134)))</f>
        <v/>
      </c>
      <c r="AM135" s="6685"/>
      <c r="AN135" s="6685"/>
      <c r="AO135" s="6685"/>
      <c r="AP135" s="2757"/>
      <c r="AQ135" s="2757"/>
      <c r="AR135" s="2757"/>
      <c r="AS135" s="2757"/>
      <c r="AT135" s="2757"/>
      <c r="AU135" s="2757"/>
      <c r="AV135" s="1179"/>
      <c r="AW135" s="1179"/>
      <c r="AX135" s="3013"/>
      <c r="AY135" s="3861"/>
      <c r="AZ135" s="3851"/>
      <c r="BA135" s="3851"/>
      <c r="BB135" s="3851"/>
      <c r="BC135" s="3851"/>
      <c r="BD135" s="3851"/>
      <c r="BE135" s="3851"/>
      <c r="BF135" s="3851"/>
      <c r="BG135" s="3851"/>
      <c r="BH135" s="3851"/>
    </row>
    <row r="136" spans="1:60" ht="15.75" thickBot="1">
      <c r="A136" s="3910"/>
      <c r="B136" s="7717">
        <v>34</v>
      </c>
      <c r="C136" s="7717"/>
      <c r="D136" s="1276" t="s">
        <v>2234</v>
      </c>
      <c r="E136" s="1179"/>
      <c r="F136" s="2686"/>
      <c r="G136" s="1179"/>
      <c r="H136" s="1179"/>
      <c r="I136" s="1179"/>
      <c r="J136" s="1179"/>
      <c r="K136" s="1179"/>
      <c r="L136" s="1179"/>
      <c r="M136" s="1179"/>
      <c r="N136" s="1179"/>
      <c r="O136" s="1179"/>
      <c r="P136" s="1179"/>
      <c r="Q136" s="1179"/>
      <c r="R136" s="1179"/>
      <c r="S136" s="1179"/>
      <c r="T136" s="1179"/>
      <c r="U136" s="1179"/>
      <c r="V136" s="1179"/>
      <c r="W136" s="1179"/>
      <c r="X136" s="1179"/>
      <c r="Y136" s="1179"/>
      <c r="Z136" s="1824"/>
      <c r="AA136" s="1824"/>
      <c r="AB136" s="1179"/>
      <c r="AC136" s="1179"/>
      <c r="AD136" s="1179"/>
      <c r="AE136" s="1179"/>
      <c r="AF136" s="1179"/>
      <c r="AG136" s="1179"/>
      <c r="AH136" s="1179"/>
      <c r="AI136" s="1560" t="s">
        <v>1978</v>
      </c>
      <c r="AJ136" s="7786">
        <v>34</v>
      </c>
      <c r="AK136" s="7787"/>
      <c r="AL136" s="7852"/>
      <c r="AM136" s="7853"/>
      <c r="AN136" s="7853"/>
      <c r="AO136" s="7853"/>
      <c r="AP136" s="2757"/>
      <c r="AQ136" s="1179"/>
      <c r="AR136" s="1179"/>
      <c r="AS136" s="1179"/>
      <c r="AT136" s="1179"/>
      <c r="AU136" s="1179"/>
      <c r="AV136" s="1179"/>
      <c r="AW136" s="1179"/>
      <c r="AX136" s="3012"/>
      <c r="AY136" s="3851"/>
      <c r="AZ136" s="3851"/>
      <c r="BA136" s="3851"/>
      <c r="BB136" s="3851"/>
      <c r="BC136" s="3851"/>
      <c r="BD136" s="3851"/>
      <c r="BE136" s="3851"/>
      <c r="BF136" s="3851"/>
      <c r="BG136" s="3851"/>
      <c r="BH136" s="3851"/>
    </row>
    <row r="137" spans="1:60" ht="12.75" customHeight="1">
      <c r="A137" s="3910"/>
      <c r="B137" s="7717">
        <v>35</v>
      </c>
      <c r="C137" s="7717"/>
      <c r="D137" s="1276" t="s">
        <v>4172</v>
      </c>
      <c r="E137" s="1179"/>
      <c r="F137" s="1179"/>
      <c r="G137" s="1179"/>
      <c r="H137" s="1179"/>
      <c r="I137" s="1179"/>
      <c r="J137" s="1179"/>
      <c r="K137" s="1179"/>
      <c r="L137" s="1179"/>
      <c r="M137" s="1179"/>
      <c r="N137" s="1179"/>
      <c r="O137" s="1179"/>
      <c r="P137" s="1179"/>
      <c r="Q137" s="1179"/>
      <c r="R137" s="1179"/>
      <c r="S137" s="1179"/>
      <c r="T137" s="1285"/>
      <c r="U137" s="1179"/>
      <c r="V137" s="1179"/>
      <c r="W137" s="1179"/>
      <c r="X137" s="1179"/>
      <c r="Y137" s="1179"/>
      <c r="Z137" s="1179"/>
      <c r="AA137" s="1179"/>
      <c r="AB137" s="1179"/>
      <c r="AC137" s="1179"/>
      <c r="AD137" s="1179"/>
      <c r="AE137" s="1179"/>
      <c r="AF137" s="1179"/>
      <c r="AG137" s="1179"/>
      <c r="AH137" s="1179"/>
      <c r="AI137" s="1179"/>
      <c r="AJ137" s="7731"/>
      <c r="AK137" s="7732"/>
      <c r="AL137" s="1582"/>
      <c r="AM137" s="1179"/>
      <c r="AN137" s="1179"/>
      <c r="AO137" s="1179"/>
      <c r="AP137" s="2757"/>
      <c r="AQ137" s="2757"/>
      <c r="AR137" s="2757"/>
      <c r="AS137" s="2757"/>
      <c r="AT137" s="2757"/>
      <c r="AU137" s="2757"/>
      <c r="AV137" s="1179"/>
      <c r="AW137" s="1179"/>
      <c r="AX137" s="3012" t="s">
        <v>2033</v>
      </c>
      <c r="AY137" s="3851"/>
      <c r="AZ137" s="3851"/>
      <c r="BA137" s="3851"/>
      <c r="BB137" s="3851"/>
      <c r="BC137" s="3851"/>
      <c r="BD137" s="3851"/>
      <c r="BE137" s="3851"/>
      <c r="BF137" s="3851"/>
      <c r="BG137" s="3851"/>
      <c r="BH137" s="3851"/>
    </row>
    <row r="138" spans="1:60" ht="13.5" thickBot="1">
      <c r="A138" s="3910"/>
      <c r="B138" s="3772"/>
      <c r="C138" s="3772"/>
      <c r="D138" s="1704" t="s">
        <v>4173</v>
      </c>
      <c r="E138" s="1280"/>
      <c r="F138" s="1280"/>
      <c r="G138" s="1280"/>
      <c r="H138" s="1280"/>
      <c r="I138" s="1280"/>
      <c r="J138" s="1280"/>
      <c r="K138" s="1280"/>
      <c r="L138" s="1280"/>
      <c r="M138" s="1280"/>
      <c r="N138" s="1280"/>
      <c r="O138" s="1280"/>
      <c r="P138" s="1280"/>
      <c r="Q138" s="1280"/>
      <c r="R138" s="1280"/>
      <c r="S138" s="1280"/>
      <c r="T138" s="2813"/>
      <c r="U138" s="1280"/>
      <c r="V138" s="1280"/>
      <c r="W138" s="1280"/>
      <c r="X138" s="1280"/>
      <c r="Y138" s="1280"/>
      <c r="Z138" s="1280"/>
      <c r="AA138" s="1280"/>
      <c r="AB138" s="1280"/>
      <c r="AC138" s="1280"/>
      <c r="AD138" s="1280"/>
      <c r="AE138" s="1280"/>
      <c r="AF138" s="1280"/>
      <c r="AG138" s="1280"/>
      <c r="AH138" s="1280"/>
      <c r="AI138" s="3307" t="s">
        <v>2419</v>
      </c>
      <c r="AJ138" s="7857">
        <v>35</v>
      </c>
      <c r="AK138" s="7858"/>
      <c r="AL138" s="7859" t="str">
        <f>IF(AQ138&lt;&gt;"",ROUND(AQ138,0),IF(AND(AL124=1,AO20=1),AL125,IF(NOT(AL126),"",IF(ISERROR(SUM(AL135,-AL136)),"",SUM(AL135,-AL136)))))</f>
        <v/>
      </c>
      <c r="AM138" s="7860"/>
      <c r="AN138" s="7860"/>
      <c r="AO138" s="7860"/>
      <c r="AP138" s="2757"/>
      <c r="AQ138" s="7752"/>
      <c r="AR138" s="7753"/>
      <c r="AS138" s="7753"/>
      <c r="AT138" s="7753"/>
      <c r="AU138" s="2757"/>
      <c r="AV138" s="1179"/>
      <c r="AW138" s="1179"/>
      <c r="AX138" s="3013"/>
      <c r="AY138" s="3851"/>
      <c r="AZ138" s="3851"/>
      <c r="BA138" s="3851"/>
      <c r="BB138" s="3851"/>
      <c r="BC138" s="3851"/>
      <c r="BD138" s="3851"/>
      <c r="BE138" s="3851"/>
      <c r="BF138" s="3851"/>
      <c r="BG138" s="3851"/>
      <c r="BH138" s="3851"/>
    </row>
    <row r="139" spans="1:60" ht="18">
      <c r="A139" s="3910"/>
      <c r="B139" s="2703"/>
      <c r="C139" s="2701"/>
      <c r="D139" s="1179"/>
      <c r="E139" s="1179"/>
      <c r="F139" s="1179"/>
      <c r="G139" s="1179"/>
      <c r="H139" s="1179"/>
      <c r="I139" s="1179"/>
      <c r="J139" s="1179"/>
      <c r="K139" s="1179"/>
      <c r="L139" s="1179"/>
      <c r="M139" s="1179"/>
      <c r="N139" s="1179"/>
      <c r="O139" s="1179"/>
      <c r="P139" s="1179"/>
      <c r="Q139" s="1179"/>
      <c r="R139" s="1179"/>
      <c r="S139" s="1179"/>
      <c r="T139" s="1179"/>
      <c r="U139" s="1179"/>
      <c r="V139" s="1179"/>
      <c r="W139" s="1179"/>
      <c r="X139" s="1179"/>
      <c r="Y139" s="1179"/>
      <c r="Z139" s="1179"/>
      <c r="AA139" s="1179"/>
      <c r="AB139" s="1179"/>
      <c r="AC139" s="1179"/>
      <c r="AD139" s="1179"/>
      <c r="AE139" s="1179"/>
      <c r="AF139" s="1179"/>
      <c r="AG139" s="1179"/>
      <c r="AH139" s="1179"/>
      <c r="AI139" s="1179"/>
      <c r="AJ139" s="1179"/>
      <c r="AK139" s="2065"/>
      <c r="AL139" s="1179"/>
      <c r="AM139" s="1179"/>
      <c r="AN139" s="2065" t="s">
        <v>2235</v>
      </c>
      <c r="AO139" s="1927" t="str">
        <f>"("&amp;TaxYear&amp;")"</f>
        <v>(2021)</v>
      </c>
      <c r="AP139" s="2757"/>
      <c r="AQ139" s="2757"/>
      <c r="AR139" s="2757"/>
      <c r="AS139" s="2757"/>
      <c r="AT139" s="2757"/>
      <c r="AU139" s="2757"/>
      <c r="AV139" s="1179"/>
      <c r="AW139" s="1179"/>
      <c r="AX139" s="3855" t="s">
        <v>111</v>
      </c>
      <c r="AY139" s="3851"/>
      <c r="AZ139" s="3851"/>
      <c r="BA139" s="3851"/>
      <c r="BB139" s="3851"/>
      <c r="BC139" s="3851"/>
      <c r="BD139" s="3851"/>
      <c r="BE139" s="3851"/>
      <c r="BF139" s="3851"/>
      <c r="BG139" s="3851"/>
      <c r="BH139" s="3851"/>
    </row>
    <row r="140" spans="1:60" ht="11.25" customHeight="1">
      <c r="A140" s="3910"/>
      <c r="B140" s="2757"/>
      <c r="C140" s="2757"/>
      <c r="D140" s="2757"/>
      <c r="E140" s="2757"/>
      <c r="F140" s="2757"/>
      <c r="G140" s="2757"/>
      <c r="H140" s="2757"/>
      <c r="I140" s="2757"/>
      <c r="J140" s="2757"/>
      <c r="K140" s="2757"/>
      <c r="L140" s="2757"/>
      <c r="M140" s="2757"/>
      <c r="N140" s="2757"/>
      <c r="O140" s="2757"/>
      <c r="P140" s="2757"/>
      <c r="Q140" s="2757"/>
      <c r="R140" s="2757"/>
      <c r="S140" s="2757"/>
      <c r="T140" s="2757"/>
      <c r="U140" s="2757"/>
      <c r="V140" s="2757"/>
      <c r="W140" s="2757"/>
      <c r="X140" s="2757"/>
      <c r="Y140" s="2757"/>
      <c r="Z140" s="2757"/>
      <c r="AA140" s="2757"/>
      <c r="AB140" s="2757"/>
      <c r="AC140" s="2757"/>
      <c r="AD140" s="2757"/>
      <c r="AE140" s="2757"/>
      <c r="AF140" s="2757"/>
      <c r="AG140" s="2757"/>
      <c r="AH140" s="2757"/>
      <c r="AI140" s="2757"/>
      <c r="AJ140" s="2757"/>
      <c r="AK140" s="2757"/>
      <c r="AL140" s="2757"/>
      <c r="AM140" s="2757"/>
      <c r="AN140" s="2757"/>
      <c r="AO140" s="2757"/>
      <c r="AP140" s="2757"/>
      <c r="AQ140" s="1179"/>
      <c r="AR140" s="1179"/>
      <c r="AS140" s="1179"/>
      <c r="AT140" s="1179"/>
      <c r="AU140" s="1179"/>
      <c r="AV140" s="1179"/>
      <c r="AW140" s="1179"/>
      <c r="AX140" s="3013"/>
      <c r="AY140" s="3851"/>
      <c r="AZ140" s="3851"/>
      <c r="BA140" s="3851"/>
      <c r="BB140" s="3851"/>
      <c r="BC140" s="3851"/>
      <c r="BD140" s="3851"/>
      <c r="BE140" s="3851"/>
      <c r="BF140" s="3851"/>
      <c r="BG140" s="3851"/>
      <c r="BH140" s="3851"/>
    </row>
    <row r="141" spans="1:60" ht="11.25" customHeight="1">
      <c r="A141" s="3910"/>
      <c r="B141" s="7754" t="s">
        <v>3010</v>
      </c>
      <c r="C141" s="6792"/>
      <c r="D141" s="6792"/>
      <c r="E141" s="6792"/>
      <c r="F141" s="6792"/>
      <c r="G141" s="6792"/>
      <c r="H141" s="7743" t="s">
        <v>2162</v>
      </c>
      <c r="I141" s="7744"/>
      <c r="J141" s="7744"/>
      <c r="K141" s="7744"/>
      <c r="L141" s="7744"/>
      <c r="M141" s="7744"/>
      <c r="N141" s="7744"/>
      <c r="O141" s="7744"/>
      <c r="P141" s="7744"/>
      <c r="Q141" s="7744"/>
      <c r="R141" s="7744"/>
      <c r="S141" s="7744"/>
      <c r="T141" s="7744"/>
      <c r="U141" s="7744"/>
      <c r="V141" s="7744"/>
      <c r="W141" s="7744"/>
      <c r="X141" s="7744"/>
      <c r="Y141" s="7744"/>
      <c r="Z141" s="7744"/>
      <c r="AA141" s="7744"/>
      <c r="AB141" s="7744"/>
      <c r="AC141" s="7744"/>
      <c r="AD141" s="7744"/>
      <c r="AE141" s="7744"/>
      <c r="AF141" s="7744"/>
      <c r="AG141" s="7744"/>
      <c r="AH141" s="7745"/>
      <c r="AI141" s="7413" t="s">
        <v>2206</v>
      </c>
      <c r="AJ141" s="7265"/>
      <c r="AK141" s="7265"/>
      <c r="AL141" s="7265"/>
      <c r="AM141" s="7265"/>
      <c r="AN141" s="7265"/>
      <c r="AO141" s="7265"/>
      <c r="AP141" s="2757"/>
      <c r="AQ141" s="1179"/>
      <c r="AR141" s="1179"/>
      <c r="AS141" s="1179"/>
      <c r="AT141" s="1179"/>
      <c r="AU141" s="1179"/>
      <c r="AV141" s="1179"/>
      <c r="AW141" s="1179"/>
      <c r="AX141" s="3013"/>
      <c r="AY141" s="3851"/>
      <c r="AZ141" s="3851"/>
      <c r="BA141" s="3851"/>
      <c r="BB141" s="3851"/>
      <c r="BC141" s="3851"/>
      <c r="BD141" s="3851"/>
      <c r="BE141" s="3851"/>
      <c r="BF141" s="3851"/>
      <c r="BG141" s="3851"/>
      <c r="BH141" s="3851"/>
    </row>
    <row r="142" spans="1:60" ht="14.25" customHeight="1">
      <c r="A142" s="3909"/>
      <c r="B142" s="6792"/>
      <c r="C142" s="6792"/>
      <c r="D142" s="6792"/>
      <c r="E142" s="6792"/>
      <c r="F142" s="6792"/>
      <c r="G142" s="6792"/>
      <c r="H142" s="7743"/>
      <c r="I142" s="7744"/>
      <c r="J142" s="7744"/>
      <c r="K142" s="7744"/>
      <c r="L142" s="7744"/>
      <c r="M142" s="7744"/>
      <c r="N142" s="7744"/>
      <c r="O142" s="7744"/>
      <c r="P142" s="7744"/>
      <c r="Q142" s="7744"/>
      <c r="R142" s="7744"/>
      <c r="S142" s="7744"/>
      <c r="T142" s="7744"/>
      <c r="U142" s="7744"/>
      <c r="V142" s="7744"/>
      <c r="W142" s="7744"/>
      <c r="X142" s="7744"/>
      <c r="Y142" s="7744"/>
      <c r="Z142" s="7744"/>
      <c r="AA142" s="7744"/>
      <c r="AB142" s="7744"/>
      <c r="AC142" s="7744"/>
      <c r="AD142" s="7744"/>
      <c r="AE142" s="7744"/>
      <c r="AF142" s="7744"/>
      <c r="AG142" s="7744"/>
      <c r="AH142" s="7745"/>
      <c r="AI142" s="7931">
        <f>TaxYear</f>
        <v>2021</v>
      </c>
      <c r="AJ142" s="7932"/>
      <c r="AK142" s="7932"/>
      <c r="AL142" s="7932"/>
      <c r="AM142" s="7932"/>
      <c r="AN142" s="7932"/>
      <c r="AO142" s="7932"/>
      <c r="AP142" s="2757"/>
      <c r="AQ142" s="1179"/>
      <c r="AR142" s="1179"/>
      <c r="AS142" s="1179"/>
      <c r="AT142" s="1179"/>
      <c r="AU142" s="1179"/>
      <c r="AV142" s="1179"/>
      <c r="AW142" s="1179"/>
      <c r="AX142" s="3013"/>
      <c r="AY142" s="3851"/>
      <c r="AZ142" s="3851"/>
      <c r="BA142" s="3851"/>
      <c r="BB142" s="3851"/>
      <c r="BC142" s="3851"/>
      <c r="BD142" s="3851"/>
      <c r="BE142" s="3851"/>
      <c r="BF142" s="3851"/>
      <c r="BG142" s="3851"/>
      <c r="BH142" s="3851"/>
    </row>
    <row r="143" spans="1:60">
      <c r="A143" s="3910"/>
      <c r="B143" s="2124"/>
      <c r="C143" s="1179"/>
      <c r="D143" s="1179"/>
      <c r="E143" s="1179"/>
      <c r="F143" s="1179"/>
      <c r="G143" s="1179"/>
      <c r="H143" s="7829" t="s">
        <v>2163</v>
      </c>
      <c r="I143" s="6514"/>
      <c r="J143" s="6514"/>
      <c r="K143" s="6514"/>
      <c r="L143" s="6514"/>
      <c r="M143" s="6514"/>
      <c r="N143" s="6514"/>
      <c r="O143" s="6514"/>
      <c r="P143" s="6514"/>
      <c r="Q143" s="6514"/>
      <c r="R143" s="6514"/>
      <c r="S143" s="6514"/>
      <c r="T143" s="6514"/>
      <c r="U143" s="6514"/>
      <c r="V143" s="6514"/>
      <c r="W143" s="6514"/>
      <c r="X143" s="6514"/>
      <c r="Y143" s="6514"/>
      <c r="Z143" s="6514"/>
      <c r="AA143" s="6514"/>
      <c r="AB143" s="6514"/>
      <c r="AC143" s="6514"/>
      <c r="AD143" s="6514"/>
      <c r="AE143" s="6514"/>
      <c r="AF143" s="6514"/>
      <c r="AG143" s="6514"/>
      <c r="AH143" s="7830"/>
      <c r="AI143" s="7933"/>
      <c r="AJ143" s="7934"/>
      <c r="AK143" s="7934"/>
      <c r="AL143" s="7934"/>
      <c r="AM143" s="7934"/>
      <c r="AN143" s="7934"/>
      <c r="AO143" s="7934"/>
      <c r="AP143" s="2757"/>
      <c r="AQ143" s="1179"/>
      <c r="AR143" s="1179"/>
      <c r="AS143" s="1179"/>
      <c r="AT143" s="1179"/>
      <c r="AU143" s="1179"/>
      <c r="AV143" s="1179"/>
      <c r="AW143" s="1179"/>
      <c r="AX143" s="3013"/>
      <c r="AY143" s="3851"/>
      <c r="AZ143" s="3851"/>
      <c r="BA143" s="3851"/>
      <c r="BB143" s="3851"/>
      <c r="BC143" s="3851"/>
      <c r="BD143" s="3851"/>
      <c r="BE143" s="3851"/>
      <c r="BF143" s="3851"/>
      <c r="BG143" s="3851"/>
      <c r="BH143" s="3851"/>
    </row>
    <row r="144" spans="1:60" ht="9.75" customHeight="1">
      <c r="A144" s="3910"/>
      <c r="B144" s="7422" t="s">
        <v>2122</v>
      </c>
      <c r="C144" s="6764"/>
      <c r="D144" s="6764"/>
      <c r="E144" s="6764"/>
      <c r="F144" s="6764"/>
      <c r="G144" s="7423"/>
      <c r="H144" s="7791" t="s">
        <v>3506</v>
      </c>
      <c r="I144" s="7792"/>
      <c r="J144" s="7792"/>
      <c r="K144" s="7792"/>
      <c r="L144" s="7792"/>
      <c r="M144" s="7792"/>
      <c r="N144" s="7792"/>
      <c r="O144" s="7792"/>
      <c r="P144" s="7792"/>
      <c r="Q144" s="7792"/>
      <c r="R144" s="7792"/>
      <c r="S144" s="7792"/>
      <c r="T144" s="7792"/>
      <c r="U144" s="7792"/>
      <c r="V144" s="7792"/>
      <c r="W144" s="7792"/>
      <c r="X144" s="7792"/>
      <c r="Y144" s="7792"/>
      <c r="Z144" s="7792"/>
      <c r="AA144" s="7792"/>
      <c r="AB144" s="7792"/>
      <c r="AC144" s="7792"/>
      <c r="AD144" s="7792"/>
      <c r="AE144" s="7792"/>
      <c r="AF144" s="7792"/>
      <c r="AG144" s="7792"/>
      <c r="AH144" s="7793"/>
      <c r="AI144" s="7935" t="s">
        <v>2070</v>
      </c>
      <c r="AJ144" s="7936"/>
      <c r="AK144" s="7936"/>
      <c r="AL144" s="7936"/>
      <c r="AM144" s="7936"/>
      <c r="AN144" s="7939">
        <v>19</v>
      </c>
      <c r="AO144" s="7940"/>
      <c r="AP144" s="2757"/>
      <c r="AQ144" s="1179"/>
      <c r="AR144" s="1179"/>
      <c r="AS144" s="1179"/>
      <c r="AT144" s="1179"/>
      <c r="AU144" s="1179"/>
      <c r="AV144" s="1179"/>
      <c r="AW144" s="1179"/>
      <c r="AX144" s="3013"/>
      <c r="AY144" s="3851"/>
      <c r="AZ144" s="3851"/>
      <c r="BA144" s="3851"/>
      <c r="BB144" s="3851"/>
      <c r="BC144" s="3851"/>
      <c r="BD144" s="3851"/>
      <c r="BE144" s="3851"/>
      <c r="BF144" s="3851"/>
      <c r="BG144" s="3851"/>
      <c r="BH144" s="3851"/>
    </row>
    <row r="145" spans="1:60" ht="12.75" customHeight="1" thickBot="1">
      <c r="A145" s="3910"/>
      <c r="B145" s="6765"/>
      <c r="C145" s="6765"/>
      <c r="D145" s="6765"/>
      <c r="E145" s="6765"/>
      <c r="F145" s="6765"/>
      <c r="G145" s="7424"/>
      <c r="H145" s="7849" t="s">
        <v>3006</v>
      </c>
      <c r="I145" s="7850"/>
      <c r="J145" s="7850"/>
      <c r="K145" s="7850"/>
      <c r="L145" s="7850"/>
      <c r="M145" s="7850"/>
      <c r="N145" s="7850"/>
      <c r="O145" s="7850"/>
      <c r="P145" s="7850"/>
      <c r="Q145" s="7850"/>
      <c r="R145" s="7850"/>
      <c r="S145" s="7850"/>
      <c r="T145" s="7850"/>
      <c r="U145" s="7850"/>
      <c r="V145" s="7850"/>
      <c r="W145" s="7850"/>
      <c r="X145" s="7850"/>
      <c r="Y145" s="7850"/>
      <c r="Z145" s="7850"/>
      <c r="AA145" s="7850"/>
      <c r="AB145" s="7850"/>
      <c r="AC145" s="7850"/>
      <c r="AD145" s="7850"/>
      <c r="AE145" s="7850"/>
      <c r="AF145" s="7850"/>
      <c r="AG145" s="7850"/>
      <c r="AH145" s="7851"/>
      <c r="AI145" s="7937"/>
      <c r="AJ145" s="7938"/>
      <c r="AK145" s="7938"/>
      <c r="AL145" s="7938"/>
      <c r="AM145" s="7938"/>
      <c r="AN145" s="7941"/>
      <c r="AO145" s="7941"/>
      <c r="AP145" s="2757"/>
      <c r="AQ145" s="1179"/>
      <c r="AR145" s="1179"/>
      <c r="AS145" s="1179"/>
      <c r="AT145" s="1179"/>
      <c r="AU145" s="1179"/>
      <c r="AV145" s="1179"/>
      <c r="AW145" s="1179"/>
      <c r="AX145" s="3013"/>
      <c r="AY145" s="3851"/>
      <c r="AZ145" s="3851"/>
      <c r="BA145" s="3851"/>
      <c r="BB145" s="3851"/>
      <c r="BC145" s="3851"/>
      <c r="BD145" s="3851"/>
      <c r="BE145" s="3851"/>
      <c r="BF145" s="3851"/>
      <c r="BG145" s="3851"/>
      <c r="BH145" s="3851"/>
    </row>
    <row r="146" spans="1:60" ht="12.75" customHeight="1">
      <c r="A146" s="3910"/>
      <c r="B146" s="1551" t="s">
        <v>2164</v>
      </c>
      <c r="C146" s="1274"/>
      <c r="D146" s="1274"/>
      <c r="E146" s="1274"/>
      <c r="F146" s="1274"/>
      <c r="G146" s="1274"/>
      <c r="H146" s="1274"/>
      <c r="I146" s="1274"/>
      <c r="J146" s="1274"/>
      <c r="K146" s="1274"/>
      <c r="L146" s="1274"/>
      <c r="M146" s="1274"/>
      <c r="N146" s="1274"/>
      <c r="O146" s="1274"/>
      <c r="P146" s="1274"/>
      <c r="Q146" s="1274"/>
      <c r="R146" s="1274"/>
      <c r="S146" s="1274"/>
      <c r="T146" s="1274"/>
      <c r="U146" s="1274"/>
      <c r="V146" s="1274"/>
      <c r="W146" s="1274"/>
      <c r="X146" s="1274"/>
      <c r="Y146" s="1274"/>
      <c r="Z146" s="1274"/>
      <c r="AA146" s="7827" t="s">
        <v>2210</v>
      </c>
      <c r="AB146" s="7828"/>
      <c r="AC146" s="7828"/>
      <c r="AD146" s="7828"/>
      <c r="AE146" s="7828"/>
      <c r="AF146" s="7828"/>
      <c r="AG146" s="7828"/>
      <c r="AH146" s="7828"/>
      <c r="AI146" s="7828"/>
      <c r="AJ146" s="7828"/>
      <c r="AK146" s="7828"/>
      <c r="AL146" s="7828"/>
      <c r="AM146" s="7828"/>
      <c r="AN146" s="7828"/>
      <c r="AO146" s="7828"/>
      <c r="AP146" s="2757"/>
      <c r="AQ146" s="1179"/>
      <c r="AR146" s="1179"/>
      <c r="AS146" s="1179"/>
      <c r="AT146" s="1179"/>
      <c r="AU146" s="1179"/>
      <c r="AV146" s="1179"/>
      <c r="AW146" s="1179"/>
      <c r="AX146" s="3013"/>
      <c r="AY146" s="3851"/>
      <c r="AZ146" s="3851"/>
      <c r="BA146" s="3851"/>
      <c r="BB146" s="3851"/>
      <c r="BC146" s="3851"/>
      <c r="BD146" s="3851"/>
      <c r="BE146" s="3851"/>
      <c r="BF146" s="3851"/>
      <c r="BG146" s="3851"/>
      <c r="BH146" s="3851"/>
    </row>
    <row r="147" spans="1:60" ht="8.25" customHeight="1">
      <c r="A147" s="3910"/>
      <c r="B147" s="7727" t="str">
        <f>Names</f>
        <v/>
      </c>
      <c r="C147" s="6792"/>
      <c r="D147" s="6792"/>
      <c r="E147" s="6792"/>
      <c r="F147" s="6792"/>
      <c r="G147" s="6792"/>
      <c r="H147" s="6792"/>
      <c r="I147" s="6792"/>
      <c r="J147" s="6792"/>
      <c r="K147" s="6792"/>
      <c r="L147" s="6792"/>
      <c r="M147" s="6792"/>
      <c r="N147" s="6792"/>
      <c r="O147" s="6792"/>
      <c r="P147" s="6792"/>
      <c r="Q147" s="6792"/>
      <c r="R147" s="6792"/>
      <c r="S147" s="6792"/>
      <c r="T147" s="6792"/>
      <c r="U147" s="6792"/>
      <c r="V147" s="6792"/>
      <c r="W147" s="6792"/>
      <c r="X147" s="6792"/>
      <c r="Y147" s="6792"/>
      <c r="Z147" s="6792"/>
      <c r="AA147" s="7746">
        <f>IF(NoSSN,"",SS_Yours)</f>
        <v>1010001</v>
      </c>
      <c r="AB147" s="7747"/>
      <c r="AC147" s="7747"/>
      <c r="AD147" s="7747"/>
      <c r="AE147" s="7747"/>
      <c r="AF147" s="7747"/>
      <c r="AG147" s="7747"/>
      <c r="AH147" s="7747"/>
      <c r="AI147" s="7747"/>
      <c r="AJ147" s="7747"/>
      <c r="AK147" s="7747"/>
      <c r="AL147" s="7747"/>
      <c r="AM147" s="7747"/>
      <c r="AN147" s="7747"/>
      <c r="AO147" s="7747"/>
      <c r="AP147" s="2757"/>
      <c r="AQ147" s="1179"/>
      <c r="AR147" s="1179"/>
      <c r="AS147" s="1179"/>
      <c r="AT147" s="1179"/>
      <c r="AU147" s="1179"/>
      <c r="AV147" s="1179"/>
      <c r="AW147" s="1179"/>
      <c r="AX147" s="3013"/>
      <c r="AY147" s="3851"/>
      <c r="AZ147" s="3851"/>
      <c r="BA147" s="3851"/>
      <c r="BB147" s="3851"/>
      <c r="BC147" s="3851"/>
      <c r="BD147" s="3851"/>
      <c r="BE147" s="3851"/>
      <c r="BF147" s="3851"/>
      <c r="BG147" s="3851"/>
      <c r="BH147" s="3851"/>
    </row>
    <row r="148" spans="1:60" ht="13.5" customHeight="1">
      <c r="A148" s="3910"/>
      <c r="B148" s="7088"/>
      <c r="C148" s="7088"/>
      <c r="D148" s="7088"/>
      <c r="E148" s="7088"/>
      <c r="F148" s="7088"/>
      <c r="G148" s="7088"/>
      <c r="H148" s="7088"/>
      <c r="I148" s="7088"/>
      <c r="J148" s="7088"/>
      <c r="K148" s="7088"/>
      <c r="L148" s="7088"/>
      <c r="M148" s="7088"/>
      <c r="N148" s="7088"/>
      <c r="O148" s="7088"/>
      <c r="P148" s="7088"/>
      <c r="Q148" s="7088"/>
      <c r="R148" s="7088"/>
      <c r="S148" s="7088"/>
      <c r="T148" s="7088"/>
      <c r="U148" s="7088"/>
      <c r="V148" s="7088"/>
      <c r="W148" s="7088"/>
      <c r="X148" s="7088"/>
      <c r="Y148" s="7088"/>
      <c r="Z148" s="7088"/>
      <c r="AA148" s="7748"/>
      <c r="AB148" s="7749"/>
      <c r="AC148" s="7749"/>
      <c r="AD148" s="7749"/>
      <c r="AE148" s="7749"/>
      <c r="AF148" s="7749"/>
      <c r="AG148" s="7749"/>
      <c r="AH148" s="7749"/>
      <c r="AI148" s="7749"/>
      <c r="AJ148" s="7749"/>
      <c r="AK148" s="7749"/>
      <c r="AL148" s="7749"/>
      <c r="AM148" s="7749"/>
      <c r="AN148" s="7749"/>
      <c r="AO148" s="7749"/>
      <c r="AP148" s="2757"/>
      <c r="AQ148" s="1179"/>
      <c r="AR148" s="1179"/>
      <c r="AS148" s="1179"/>
      <c r="AT148" s="1179"/>
      <c r="AU148" s="1179"/>
      <c r="AV148" s="1179"/>
      <c r="AW148" s="1179"/>
      <c r="AX148" s="3013"/>
      <c r="AY148" s="3851"/>
      <c r="AZ148" s="3851"/>
      <c r="BA148" s="3851"/>
      <c r="BB148" s="3851"/>
      <c r="BC148" s="3851"/>
      <c r="BD148" s="3851"/>
      <c r="BE148" s="3851"/>
      <c r="BF148" s="3851"/>
      <c r="BG148" s="3851"/>
      <c r="BH148" s="3851"/>
    </row>
    <row r="149" spans="1:60">
      <c r="A149" s="3910"/>
      <c r="B149" s="2731" t="s">
        <v>2489</v>
      </c>
      <c r="C149" s="1574"/>
      <c r="D149" s="1574"/>
      <c r="E149" s="1574"/>
      <c r="F149" s="1574"/>
      <c r="G149" s="1574"/>
      <c r="H149" s="1574"/>
      <c r="I149" s="1574"/>
      <c r="J149" s="1574"/>
      <c r="K149" s="1574"/>
      <c r="L149" s="1574"/>
      <c r="M149" s="1574"/>
      <c r="N149" s="1574"/>
      <c r="O149" s="1574"/>
      <c r="P149" s="1574"/>
      <c r="Q149" s="1574"/>
      <c r="R149" s="1574"/>
      <c r="S149" s="1574"/>
      <c r="T149" s="1574"/>
      <c r="U149" s="1574"/>
      <c r="V149" s="1574"/>
      <c r="W149" s="1574"/>
      <c r="X149" s="1574"/>
      <c r="Y149" s="1574"/>
      <c r="Z149" s="1574"/>
      <c r="AA149" s="1574"/>
      <c r="AB149" s="1574"/>
      <c r="AC149" s="1574"/>
      <c r="AD149" s="1574"/>
      <c r="AE149" s="1574"/>
      <c r="AF149" s="1574"/>
      <c r="AG149" s="1574"/>
      <c r="AH149" s="1574"/>
      <c r="AI149" s="3654" t="s">
        <v>2490</v>
      </c>
      <c r="AJ149" s="1574"/>
      <c r="AK149" s="1574"/>
      <c r="AL149" s="1574"/>
      <c r="AM149" s="1574"/>
      <c r="AN149" s="1574"/>
      <c r="AO149" s="1574"/>
      <c r="AP149" s="2757"/>
      <c r="AQ149" s="1179"/>
      <c r="AR149" s="1179"/>
      <c r="AS149" s="1179"/>
      <c r="AT149" s="1179"/>
      <c r="AU149" s="1179"/>
      <c r="AV149" s="1179"/>
      <c r="AW149" s="1179"/>
      <c r="AX149" s="3013"/>
      <c r="AY149" s="3851"/>
      <c r="AZ149" s="3851"/>
      <c r="BA149" s="3851"/>
      <c r="BB149" s="3851"/>
      <c r="BC149" s="3851"/>
      <c r="BD149" s="3851"/>
      <c r="BE149" s="3851"/>
      <c r="BF149" s="3851"/>
      <c r="BG149" s="3851"/>
      <c r="BH149" s="3851"/>
    </row>
    <row r="150" spans="1:60" ht="13.5" customHeight="1">
      <c r="A150" s="3909"/>
      <c r="B150" s="1179" t="s">
        <v>2491</v>
      </c>
      <c r="C150" s="1179"/>
      <c r="D150" s="1179"/>
      <c r="E150" s="1179" t="s">
        <v>2492</v>
      </c>
      <c r="F150" s="1540"/>
      <c r="G150" s="1179"/>
      <c r="H150" s="1179"/>
      <c r="I150" s="1179"/>
      <c r="J150" s="1179"/>
      <c r="K150" s="1179"/>
      <c r="L150" s="1179"/>
      <c r="M150" s="1179"/>
      <c r="N150" s="1179"/>
      <c r="O150" s="1179"/>
      <c r="P150" s="1179"/>
      <c r="Q150" s="1179"/>
      <c r="R150" s="1179"/>
      <c r="S150" s="1179"/>
      <c r="T150" s="1179"/>
      <c r="U150" s="1179"/>
      <c r="V150" s="1179"/>
      <c r="W150" s="1179"/>
      <c r="X150" s="1179"/>
      <c r="Y150" s="1179"/>
      <c r="Z150" s="1179"/>
      <c r="AA150" s="1179"/>
      <c r="AB150" s="1179"/>
      <c r="AC150" s="1179"/>
      <c r="AD150" s="1179"/>
      <c r="AE150" s="1179"/>
      <c r="AF150" s="1179"/>
      <c r="AG150" s="1179"/>
      <c r="AH150" s="1179"/>
      <c r="AI150" s="1179"/>
      <c r="AJ150" s="1179"/>
      <c r="AK150" s="1179"/>
      <c r="AL150" s="1179"/>
      <c r="AM150" s="1179"/>
      <c r="AN150" s="1179"/>
      <c r="AO150" s="1179"/>
      <c r="AP150" s="2757"/>
      <c r="AQ150" s="1284"/>
      <c r="AR150" s="4698"/>
      <c r="AS150" s="4699"/>
      <c r="AT150" s="4699"/>
      <c r="AU150" s="4699"/>
      <c r="AV150" s="1179"/>
      <c r="AW150" s="1179"/>
      <c r="AX150" s="3013"/>
      <c r="AY150" s="3851"/>
      <c r="AZ150" s="3851"/>
      <c r="BA150" s="3851"/>
      <c r="BB150" s="3851"/>
      <c r="BC150" s="3851"/>
      <c r="BD150" s="3851"/>
      <c r="BE150" s="3851"/>
      <c r="BF150" s="3851"/>
      <c r="BG150" s="3851"/>
      <c r="BH150" s="3851"/>
    </row>
    <row r="151" spans="1:60" ht="7.5" customHeight="1">
      <c r="A151" s="3910"/>
      <c r="B151" s="1179"/>
      <c r="C151" s="2258">
        <f>IF(C152&lt;&gt;"",1,0)</f>
        <v>0</v>
      </c>
      <c r="D151" s="1284"/>
      <c r="E151" s="1284"/>
      <c r="F151" s="2815"/>
      <c r="G151" s="1284"/>
      <c r="H151" s="1284"/>
      <c r="I151" s="1284"/>
      <c r="J151" s="1284"/>
      <c r="K151" s="2258">
        <f>IF(K152&lt;&gt;"",1,0)</f>
        <v>0</v>
      </c>
      <c r="L151" s="1284"/>
      <c r="M151" s="1284"/>
      <c r="N151" s="2258"/>
      <c r="O151" s="1284"/>
      <c r="P151" s="1284"/>
      <c r="Q151" s="1284"/>
      <c r="R151" s="1284"/>
      <c r="S151" s="1284"/>
      <c r="T151" s="1284"/>
      <c r="U151" s="1284"/>
      <c r="V151" s="1284"/>
      <c r="W151" s="2258">
        <f>IF(W152&lt;&gt;"",1,0)</f>
        <v>0</v>
      </c>
      <c r="X151" s="1284"/>
      <c r="Y151" s="1284"/>
      <c r="Z151" s="1284"/>
      <c r="AA151" s="1284"/>
      <c r="AB151" s="2258"/>
      <c r="AC151" s="1179"/>
      <c r="AD151" s="1179"/>
      <c r="AE151" s="1179"/>
      <c r="AF151" s="1179"/>
      <c r="AG151" s="1179"/>
      <c r="AH151" s="1179"/>
      <c r="AI151" s="2258">
        <f>IF(AI152&lt;&gt;"",1,0)</f>
        <v>0</v>
      </c>
      <c r="AJ151" s="1179"/>
      <c r="AK151" s="1179"/>
      <c r="AL151" s="1179"/>
      <c r="AM151" s="1179"/>
      <c r="AN151" s="1179"/>
      <c r="AO151" s="2523">
        <f>SUM(C151,K151,W151,AI151,C153,K153,W153)</f>
        <v>0</v>
      </c>
      <c r="AP151" s="2757"/>
      <c r="AQ151" s="1284"/>
      <c r="AR151" s="1284"/>
      <c r="AS151" s="1284"/>
      <c r="AT151" s="1284"/>
      <c r="AU151" s="1284"/>
      <c r="AV151" s="1179"/>
      <c r="AW151" s="1179"/>
      <c r="AX151" s="3013"/>
      <c r="AY151" s="3851"/>
      <c r="AZ151" s="3851"/>
      <c r="BA151" s="3851"/>
      <c r="BB151" s="3851"/>
      <c r="BC151" s="3851"/>
      <c r="BD151" s="3851"/>
      <c r="BE151" s="3851"/>
      <c r="BF151" s="3851"/>
      <c r="BG151" s="3851"/>
      <c r="BH151" s="3851"/>
    </row>
    <row r="152" spans="1:60" ht="12.75" customHeight="1">
      <c r="A152" s="3909" t="b">
        <f>AND(K152&lt;&gt;"",AO151=1,A209)</f>
        <v>0</v>
      </c>
      <c r="B152" s="2772" t="s">
        <v>33</v>
      </c>
      <c r="C152" s="1334"/>
      <c r="D152" s="2787" t="s">
        <v>2487</v>
      </c>
      <c r="E152" s="1179"/>
      <c r="F152" s="1179"/>
      <c r="G152" s="1179"/>
      <c r="H152" s="1179"/>
      <c r="I152" s="1179"/>
      <c r="J152" s="2772" t="s">
        <v>48</v>
      </c>
      <c r="K152" s="1334"/>
      <c r="L152" s="2787" t="s">
        <v>2165</v>
      </c>
      <c r="M152" s="2787"/>
      <c r="N152" s="1276"/>
      <c r="O152" s="2787"/>
      <c r="P152" s="1276"/>
      <c r="Q152" s="1179"/>
      <c r="R152" s="1179"/>
      <c r="S152" s="1179"/>
      <c r="T152" s="1179"/>
      <c r="U152" s="1179"/>
      <c r="V152" s="2772" t="s">
        <v>964</v>
      </c>
      <c r="W152" s="1334"/>
      <c r="X152" s="2787" t="s">
        <v>2166</v>
      </c>
      <c r="Y152" s="1179"/>
      <c r="Z152" s="1179"/>
      <c r="AA152" s="2772"/>
      <c r="AB152" s="1179"/>
      <c r="AC152" s="2787"/>
      <c r="AD152" s="2772"/>
      <c r="AE152" s="1179"/>
      <c r="AF152" s="2772"/>
      <c r="AG152" s="1179"/>
      <c r="AH152" s="2772" t="s">
        <v>2133</v>
      </c>
      <c r="AI152" s="1334"/>
      <c r="AJ152" s="2787" t="s">
        <v>2167</v>
      </c>
      <c r="AK152" s="1179"/>
      <c r="AL152" s="1179"/>
      <c r="AM152" s="1179"/>
      <c r="AN152" s="1179"/>
      <c r="AO152" s="1258"/>
      <c r="AP152" s="2757"/>
      <c r="AQ152" s="1284"/>
      <c r="AR152" s="4698"/>
      <c r="AS152" s="4699"/>
      <c r="AT152" s="4699"/>
      <c r="AU152" s="4699"/>
      <c r="AV152" s="1179"/>
      <c r="AW152" s="1179"/>
      <c r="AX152" s="3013"/>
      <c r="AY152" s="3851"/>
      <c r="AZ152" s="3851"/>
      <c r="BA152" s="3851"/>
      <c r="BB152" s="3851"/>
      <c r="BC152" s="3851"/>
      <c r="BD152" s="3851"/>
      <c r="BE152" s="3851"/>
      <c r="BF152" s="3851"/>
      <c r="BG152" s="3851"/>
      <c r="BH152" s="3851"/>
    </row>
    <row r="153" spans="1:60" ht="9" customHeight="1">
      <c r="A153" s="3910"/>
      <c r="B153" s="2702"/>
      <c r="C153" s="2258">
        <f>IF(C154&lt;&gt;"",1,0)</f>
        <v>0</v>
      </c>
      <c r="D153" s="2816"/>
      <c r="E153" s="1284"/>
      <c r="F153" s="1284"/>
      <c r="G153" s="1284"/>
      <c r="H153" s="1284"/>
      <c r="I153" s="1284"/>
      <c r="J153" s="1284"/>
      <c r="K153" s="2258">
        <f>IF(K154&lt;&gt;"",1,0)</f>
        <v>0</v>
      </c>
      <c r="L153" s="1284"/>
      <c r="M153" s="1284"/>
      <c r="N153" s="2258"/>
      <c r="O153" s="1179"/>
      <c r="P153" s="1179"/>
      <c r="Q153" s="1179"/>
      <c r="R153" s="1179"/>
      <c r="S153" s="1179"/>
      <c r="T153" s="1179"/>
      <c r="U153" s="1179"/>
      <c r="V153" s="1179"/>
      <c r="W153" s="2258">
        <f>IF(W154&lt;&gt;"",1,0)</f>
        <v>0</v>
      </c>
      <c r="X153" s="1179"/>
      <c r="Y153" s="1179"/>
      <c r="Z153" s="1179"/>
      <c r="AA153" s="1179"/>
      <c r="AB153" s="1179"/>
      <c r="AC153" s="1179"/>
      <c r="AD153" s="1179"/>
      <c r="AE153" s="1179"/>
      <c r="AF153" s="1179"/>
      <c r="AG153" s="1179"/>
      <c r="AH153" s="1179"/>
      <c r="AI153" s="1179"/>
      <c r="AJ153" s="1179"/>
      <c r="AK153" s="1179"/>
      <c r="AL153" s="1179"/>
      <c r="AM153" s="1179"/>
      <c r="AN153" s="1179"/>
      <c r="AO153" s="1179"/>
      <c r="AP153" s="2757"/>
      <c r="AQ153" s="1284"/>
      <c r="AR153" s="1284"/>
      <c r="AS153" s="1284"/>
      <c r="AT153" s="1284"/>
      <c r="AU153" s="1284"/>
      <c r="AV153" s="1179"/>
      <c r="AW153" s="1179"/>
      <c r="AX153" s="3013"/>
      <c r="AY153" s="3851"/>
      <c r="AZ153" s="3851"/>
      <c r="BA153" s="3851"/>
      <c r="BB153" s="3851"/>
      <c r="BC153" s="3851"/>
      <c r="BD153" s="3851"/>
      <c r="BE153" s="3851"/>
      <c r="BF153" s="3851"/>
      <c r="BG153" s="3851"/>
      <c r="BH153" s="3851"/>
    </row>
    <row r="154" spans="1:60" ht="12.75" customHeight="1">
      <c r="A154" s="3910"/>
      <c r="B154" s="2772" t="s">
        <v>47</v>
      </c>
      <c r="C154" s="1334"/>
      <c r="D154" s="2787" t="s">
        <v>2488</v>
      </c>
      <c r="E154" s="1179"/>
      <c r="F154" s="1179"/>
      <c r="G154" s="1179"/>
      <c r="H154" s="1179"/>
      <c r="I154" s="1179"/>
      <c r="J154" s="2772" t="s">
        <v>92</v>
      </c>
      <c r="K154" s="1334"/>
      <c r="L154" s="2787" t="s">
        <v>2168</v>
      </c>
      <c r="M154" s="2787"/>
      <c r="N154" s="1276"/>
      <c r="O154" s="2787"/>
      <c r="P154" s="1276"/>
      <c r="Q154" s="1179"/>
      <c r="R154" s="1179"/>
      <c r="S154" s="1179"/>
      <c r="T154" s="1179"/>
      <c r="U154" s="1179"/>
      <c r="V154" s="2772" t="s">
        <v>965</v>
      </c>
      <c r="W154" s="1334"/>
      <c r="X154" s="2787" t="s">
        <v>2169</v>
      </c>
      <c r="Y154" s="1179"/>
      <c r="Z154" s="1179"/>
      <c r="AA154" s="1179"/>
      <c r="AB154" s="1179"/>
      <c r="AC154" s="1179"/>
      <c r="AD154" s="1179"/>
      <c r="AE154" s="1179"/>
      <c r="AF154" s="1179"/>
      <c r="AG154" s="1179"/>
      <c r="AH154" s="1179"/>
      <c r="AI154" s="1179"/>
      <c r="AJ154" s="1179"/>
      <c r="AK154" s="1179"/>
      <c r="AL154" s="1179"/>
      <c r="AM154" s="1179"/>
      <c r="AN154" s="1179"/>
      <c r="AO154" s="1284" t="b">
        <f>IF(AO151&lt;&gt;1,TRUE,FALSE)</f>
        <v>1</v>
      </c>
      <c r="AP154" s="2757"/>
      <c r="AQ154" s="1284"/>
      <c r="AR154" s="4698"/>
      <c r="AS154" s="4699"/>
      <c r="AT154" s="4699"/>
      <c r="AU154" s="4699"/>
      <c r="AV154" s="1179"/>
      <c r="AW154" s="1179"/>
      <c r="AX154" s="3013"/>
      <c r="AY154" s="3851"/>
      <c r="AZ154" s="3851"/>
      <c r="BA154" s="3851"/>
      <c r="BB154" s="3851"/>
      <c r="BC154" s="3851"/>
      <c r="BD154" s="3851"/>
      <c r="BE154" s="3851"/>
      <c r="BF154" s="3851"/>
      <c r="BG154" s="3851"/>
      <c r="BH154" s="3851"/>
    </row>
    <row r="155" spans="1:60" s="2689" customFormat="1" ht="8.25" customHeight="1">
      <c r="A155" s="3910"/>
      <c r="B155" s="2702"/>
      <c r="C155" s="2773"/>
      <c r="D155" s="2686"/>
      <c r="E155" s="1179"/>
      <c r="F155" s="1179"/>
      <c r="G155" s="1179"/>
      <c r="H155" s="1179"/>
      <c r="I155" s="1179"/>
      <c r="J155" s="1179"/>
      <c r="K155" s="1179"/>
      <c r="L155" s="1179"/>
      <c r="M155" s="1179"/>
      <c r="N155" s="1179"/>
      <c r="O155" s="1179"/>
      <c r="P155" s="1179"/>
      <c r="Q155" s="1179"/>
      <c r="R155" s="1179"/>
      <c r="S155" s="1179"/>
      <c r="T155" s="1179"/>
      <c r="U155" s="1179"/>
      <c r="V155" s="1179"/>
      <c r="W155" s="1179"/>
      <c r="X155" s="1179"/>
      <c r="Y155" s="1179"/>
      <c r="Z155" s="1179"/>
      <c r="AA155" s="1179"/>
      <c r="AB155" s="1179"/>
      <c r="AC155" s="1179"/>
      <c r="AD155" s="1179"/>
      <c r="AE155" s="1179"/>
      <c r="AF155" s="1179"/>
      <c r="AG155" s="1179"/>
      <c r="AH155" s="1179"/>
      <c r="AI155" s="1179"/>
      <c r="AJ155" s="1179"/>
      <c r="AK155" s="1179"/>
      <c r="AL155" s="1179"/>
      <c r="AM155" s="1179"/>
      <c r="AN155" s="1179"/>
      <c r="AO155" s="1179"/>
      <c r="AP155" s="2757"/>
      <c r="AQ155" s="1284"/>
      <c r="AR155" s="1284"/>
      <c r="AS155" s="1284"/>
      <c r="AT155" s="1284"/>
      <c r="AU155" s="1284"/>
      <c r="AV155" s="1179"/>
      <c r="AW155" s="1179"/>
      <c r="AX155" s="3013"/>
      <c r="AY155" s="3851"/>
      <c r="AZ155" s="3851"/>
      <c r="BA155" s="3851"/>
      <c r="BB155" s="3851"/>
      <c r="BC155" s="3851"/>
      <c r="BD155" s="3851"/>
      <c r="BE155" s="3851"/>
      <c r="BF155" s="3851"/>
      <c r="BG155" s="3851"/>
      <c r="BH155" s="3851"/>
    </row>
    <row r="156" spans="1:60" ht="15">
      <c r="A156" s="3910"/>
      <c r="B156" s="2788" t="s">
        <v>965</v>
      </c>
      <c r="C156" s="2789" t="s">
        <v>2170</v>
      </c>
      <c r="D156" s="1554"/>
      <c r="E156" s="1554"/>
      <c r="F156" s="1554"/>
      <c r="G156" s="1554"/>
      <c r="H156" s="1554"/>
      <c r="I156" s="1554"/>
      <c r="J156" s="1554"/>
      <c r="K156" s="1554"/>
      <c r="L156" s="7750"/>
      <c r="M156" s="7750"/>
      <c r="N156" s="7750"/>
      <c r="O156" s="7750"/>
      <c r="P156" s="7750"/>
      <c r="Q156" s="7750"/>
      <c r="R156" s="7750"/>
      <c r="S156" s="7750"/>
      <c r="T156" s="7750"/>
      <c r="U156" s="7750"/>
      <c r="V156" s="7750"/>
      <c r="W156" s="7750"/>
      <c r="X156" s="7750"/>
      <c r="Y156" s="7750"/>
      <c r="Z156" s="7750"/>
      <c r="AA156" s="7750"/>
      <c r="AB156" s="7750"/>
      <c r="AC156" s="7750"/>
      <c r="AD156" s="7750"/>
      <c r="AE156" s="7750"/>
      <c r="AF156" s="7750"/>
      <c r="AG156" s="7750"/>
      <c r="AH156" s="7750"/>
      <c r="AI156" s="7750"/>
      <c r="AJ156" s="7750"/>
      <c r="AK156" s="7750"/>
      <c r="AL156" s="7750"/>
      <c r="AM156" s="7750"/>
      <c r="AN156" s="7750"/>
      <c r="AO156" s="7750"/>
      <c r="AP156" s="2757"/>
      <c r="AQ156" s="1179"/>
      <c r="AR156" s="1179"/>
      <c r="AS156" s="1179"/>
      <c r="AT156" s="1179"/>
      <c r="AU156" s="1179"/>
      <c r="AV156" s="1179"/>
      <c r="AW156" s="1179"/>
      <c r="AX156" s="3013"/>
      <c r="AY156" s="3851"/>
      <c r="AZ156" s="3851"/>
      <c r="BA156" s="3851"/>
      <c r="BB156" s="3851"/>
      <c r="BC156" s="3851"/>
      <c r="BD156" s="3851"/>
      <c r="BE156" s="3851"/>
      <c r="BF156" s="3851"/>
      <c r="BG156" s="3851"/>
      <c r="BH156" s="3851"/>
    </row>
    <row r="157" spans="1:60" ht="15">
      <c r="A157" s="3910"/>
      <c r="B157" s="6176" t="s">
        <v>27</v>
      </c>
      <c r="C157" s="7778"/>
      <c r="D157" s="1276" t="s">
        <v>2171</v>
      </c>
      <c r="E157" s="1179"/>
      <c r="F157" s="1179"/>
      <c r="G157" s="1179"/>
      <c r="H157" s="1179"/>
      <c r="I157" s="1179"/>
      <c r="J157" s="1179"/>
      <c r="K157" s="1179"/>
      <c r="L157" s="1179"/>
      <c r="M157" s="1179"/>
      <c r="N157" s="1179"/>
      <c r="O157" s="1179"/>
      <c r="P157" s="1179"/>
      <c r="Q157" s="1179"/>
      <c r="R157" s="1179"/>
      <c r="S157" s="1179"/>
      <c r="T157" s="1179"/>
      <c r="U157" s="1179"/>
      <c r="V157" s="1179"/>
      <c r="W157" s="1179"/>
      <c r="X157" s="1179"/>
      <c r="Y157" s="1179"/>
      <c r="Z157" s="1179"/>
      <c r="AA157" s="1179"/>
      <c r="AB157" s="1179"/>
      <c r="AC157" s="1179"/>
      <c r="AD157" s="1179"/>
      <c r="AE157" s="1179"/>
      <c r="AF157" s="1179"/>
      <c r="AG157" s="1179"/>
      <c r="AH157" s="1179"/>
      <c r="AI157" s="1179"/>
      <c r="AJ157" s="1179"/>
      <c r="AK157" s="1179"/>
      <c r="AL157" s="1179"/>
      <c r="AM157" s="1179"/>
      <c r="AN157" s="1179"/>
      <c r="AO157" s="1179"/>
      <c r="AP157" s="2757"/>
      <c r="AQ157" s="1179"/>
      <c r="AR157" s="1179"/>
      <c r="AS157" s="1179"/>
      <c r="AT157" s="1179"/>
      <c r="AU157" s="1179"/>
      <c r="AV157" s="1179"/>
      <c r="AW157" s="1179"/>
      <c r="AX157" s="3013"/>
      <c r="AY157" s="3851"/>
      <c r="AZ157" s="3851"/>
      <c r="BA157" s="3851"/>
      <c r="BB157" s="3851"/>
      <c r="BC157" s="3851"/>
      <c r="BD157" s="3851"/>
      <c r="BE157" s="3851"/>
      <c r="BF157" s="3851"/>
      <c r="BG157" s="3851"/>
      <c r="BH157" s="3851"/>
    </row>
    <row r="158" spans="1:60" s="946" customFormat="1" ht="13.5" customHeight="1">
      <c r="A158" s="3910"/>
      <c r="B158" s="2803" t="s">
        <v>2209</v>
      </c>
      <c r="C158" s="2790"/>
      <c r="D158" s="2791"/>
      <c r="E158" s="1553"/>
      <c r="F158" s="1553"/>
      <c r="G158" s="1553"/>
      <c r="H158" s="1553"/>
      <c r="I158" s="1553"/>
      <c r="J158" s="1553"/>
      <c r="K158" s="1553"/>
      <c r="L158" s="1553"/>
      <c r="M158" s="1553"/>
      <c r="N158" s="1553"/>
      <c r="O158" s="1553"/>
      <c r="P158" s="1553"/>
      <c r="Q158" s="1553"/>
      <c r="R158" s="1553"/>
      <c r="S158" s="1553"/>
      <c r="T158" s="1553"/>
      <c r="U158" s="1553"/>
      <c r="V158" s="1553"/>
      <c r="W158" s="1553"/>
      <c r="X158" s="1553"/>
      <c r="Y158" s="1553"/>
      <c r="Z158" s="1553"/>
      <c r="AA158" s="1553"/>
      <c r="AB158" s="1553"/>
      <c r="AC158" s="1553"/>
      <c r="AD158" s="1553"/>
      <c r="AE158" s="1553"/>
      <c r="AF158" s="1553"/>
      <c r="AG158" s="1553"/>
      <c r="AH158" s="1553"/>
      <c r="AI158" s="1553"/>
      <c r="AJ158" s="1553"/>
      <c r="AK158" s="1553"/>
      <c r="AL158" s="1553"/>
      <c r="AM158" s="1553"/>
      <c r="AN158" s="1553"/>
      <c r="AO158" s="1553"/>
      <c r="AP158" s="2757"/>
      <c r="AQ158" s="1179"/>
      <c r="AR158" s="1179"/>
      <c r="AS158" s="1179"/>
      <c r="AT158" s="1179"/>
      <c r="AU158" s="1179"/>
      <c r="AV158" s="1179"/>
      <c r="AW158" s="1179"/>
      <c r="AX158" s="3854"/>
      <c r="AY158" s="3852"/>
      <c r="AZ158" s="3852"/>
      <c r="BA158" s="3852"/>
      <c r="BB158" s="3852"/>
      <c r="BC158" s="3852"/>
      <c r="BD158" s="3852"/>
      <c r="BE158" s="3852"/>
      <c r="BF158" s="3852"/>
      <c r="BG158" s="3852"/>
      <c r="BH158" s="3852"/>
    </row>
    <row r="159" spans="1:60" ht="15.75">
      <c r="A159" s="3912"/>
      <c r="B159" s="7794" t="s">
        <v>51</v>
      </c>
      <c r="C159" s="7794"/>
      <c r="D159" s="7930"/>
      <c r="E159" s="7832" t="s">
        <v>2519</v>
      </c>
      <c r="F159" s="7833"/>
      <c r="G159" s="7833"/>
      <c r="H159" s="7833"/>
      <c r="I159" s="7833"/>
      <c r="J159" s="7833"/>
      <c r="K159" s="7833"/>
      <c r="L159" s="7833"/>
      <c r="M159" s="7833"/>
      <c r="N159" s="7833"/>
      <c r="O159" s="7833"/>
      <c r="P159" s="7833"/>
      <c r="Q159" s="7833"/>
      <c r="R159" s="7833"/>
      <c r="S159" s="7833"/>
      <c r="T159" s="7833"/>
      <c r="U159" s="7833"/>
      <c r="V159" s="7833"/>
      <c r="W159" s="7833"/>
      <c r="X159" s="7833"/>
      <c r="Y159" s="7833"/>
      <c r="Z159" s="7833"/>
      <c r="AA159" s="7833"/>
      <c r="AB159" s="7833"/>
      <c r="AC159" s="7833"/>
      <c r="AD159" s="7833"/>
      <c r="AE159" s="7833"/>
      <c r="AF159" s="7833"/>
      <c r="AG159" s="7833"/>
      <c r="AH159" s="7833"/>
      <c r="AI159" s="7833"/>
      <c r="AJ159" s="7833"/>
      <c r="AK159" s="7833"/>
      <c r="AL159" s="7833"/>
      <c r="AM159" s="7833"/>
      <c r="AN159" s="7833"/>
      <c r="AO159" s="7833"/>
      <c r="AP159" s="2757"/>
      <c r="AQ159" s="1540"/>
      <c r="AR159" s="1540"/>
      <c r="AS159" s="1540"/>
      <c r="AT159" s="1540"/>
      <c r="AU159" s="1540"/>
      <c r="AV159" s="1540"/>
      <c r="AW159" s="1540"/>
      <c r="AX159" s="3013"/>
      <c r="AY159" s="3851"/>
      <c r="AZ159" s="3851"/>
      <c r="BA159" s="3851"/>
      <c r="BB159" s="3851"/>
      <c r="BC159" s="3851"/>
      <c r="BD159" s="3851"/>
      <c r="BE159" s="3851"/>
      <c r="BF159" s="3851"/>
      <c r="BG159" s="3851"/>
      <c r="BH159" s="3851"/>
    </row>
    <row r="160" spans="1:60" ht="12" customHeight="1">
      <c r="A160" s="3910"/>
      <c r="B160" s="7796"/>
      <c r="C160" s="7796"/>
      <c r="D160" s="2686"/>
      <c r="E160" s="1179"/>
      <c r="F160" s="1179"/>
      <c r="G160" s="1179"/>
      <c r="H160" s="1179"/>
      <c r="I160" s="1179"/>
      <c r="J160" s="1179"/>
      <c r="K160" s="1179"/>
      <c r="L160" s="1179"/>
      <c r="M160" s="1179"/>
      <c r="N160" s="1179"/>
      <c r="O160" s="1179"/>
      <c r="P160" s="7797" t="s">
        <v>2178</v>
      </c>
      <c r="Q160" s="7798"/>
      <c r="R160" s="7798"/>
      <c r="S160" s="7798"/>
      <c r="T160" s="7798"/>
      <c r="U160" s="7798"/>
      <c r="V160" s="7798"/>
      <c r="W160" s="7798"/>
      <c r="X160" s="7798"/>
      <c r="Y160" s="7798"/>
      <c r="Z160" s="7798"/>
      <c r="AA160" s="7798"/>
      <c r="AB160" s="7798"/>
      <c r="AC160" s="7798"/>
      <c r="AD160" s="7798"/>
      <c r="AE160" s="7798"/>
      <c r="AF160" s="7798"/>
      <c r="AG160" s="7798"/>
      <c r="AH160" s="7798"/>
      <c r="AI160" s="7799"/>
      <c r="AJ160" s="7261" t="s">
        <v>2172</v>
      </c>
      <c r="AK160" s="6869"/>
      <c r="AL160" s="6869"/>
      <c r="AM160" s="6869"/>
      <c r="AN160" s="6869"/>
      <c r="AO160" s="6869"/>
      <c r="AP160" s="2757"/>
      <c r="AQ160" s="1179"/>
      <c r="AR160" s="1179"/>
      <c r="AS160" s="1179"/>
      <c r="AT160" s="1179"/>
      <c r="AU160" s="1179"/>
      <c r="AV160" s="1179"/>
      <c r="AW160" s="1179"/>
      <c r="AX160" s="3013"/>
      <c r="AY160" s="3851"/>
      <c r="AZ160" s="3851"/>
      <c r="BA160" s="3851"/>
      <c r="BB160" s="3851"/>
      <c r="BC160" s="3851"/>
      <c r="BD160" s="3851"/>
      <c r="BE160" s="3851"/>
      <c r="BF160" s="3851"/>
      <c r="BG160" s="3851"/>
      <c r="BH160" s="3851"/>
    </row>
    <row r="161" spans="1:60" ht="12" customHeight="1">
      <c r="A161" s="3910"/>
      <c r="B161" s="7766" t="str">
        <f>B30</f>
        <v>i</v>
      </c>
      <c r="C161" s="7766"/>
      <c r="D161" s="2808" t="s">
        <v>2173</v>
      </c>
      <c r="E161" s="1179"/>
      <c r="F161" s="1179"/>
      <c r="G161" s="1179"/>
      <c r="H161" s="1179"/>
      <c r="I161" s="1179"/>
      <c r="J161" s="1179"/>
      <c r="K161" s="1179"/>
      <c r="L161" s="1179"/>
      <c r="M161" s="1179"/>
      <c r="N161" s="1179"/>
      <c r="O161" s="1179"/>
      <c r="P161" s="7800" t="s">
        <v>143</v>
      </c>
      <c r="Q161" s="7801"/>
      <c r="R161" s="7801"/>
      <c r="S161" s="7801"/>
      <c r="T161" s="7801"/>
      <c r="U161" s="7801"/>
      <c r="V161" s="7802"/>
      <c r="W161" s="7800" t="s">
        <v>288</v>
      </c>
      <c r="X161" s="7801"/>
      <c r="Y161" s="7801"/>
      <c r="Z161" s="7801"/>
      <c r="AA161" s="7801"/>
      <c r="AB161" s="7801"/>
      <c r="AC161" s="7802"/>
      <c r="AD161" s="7800" t="s">
        <v>144</v>
      </c>
      <c r="AE161" s="7801"/>
      <c r="AF161" s="7801"/>
      <c r="AG161" s="7801"/>
      <c r="AH161" s="7801"/>
      <c r="AI161" s="7802"/>
      <c r="AJ161" s="7264"/>
      <c r="AK161" s="7265"/>
      <c r="AL161" s="7265"/>
      <c r="AM161" s="7265"/>
      <c r="AN161" s="7265"/>
      <c r="AO161" s="7265"/>
      <c r="AP161" s="2757"/>
      <c r="AQ161" s="1179"/>
      <c r="AR161" s="1179"/>
      <c r="AS161" s="1179"/>
      <c r="AT161" s="1179"/>
      <c r="AU161" s="1179"/>
      <c r="AV161" s="1179"/>
      <c r="AW161" s="1179"/>
      <c r="AX161" s="3013"/>
      <c r="AY161" s="3851"/>
      <c r="AZ161" s="3851"/>
      <c r="BA161" s="3851"/>
      <c r="BB161" s="3851"/>
      <c r="BC161" s="3851"/>
      <c r="BD161" s="3851"/>
      <c r="BE161" s="3851"/>
      <c r="BF161" s="3851"/>
      <c r="BG161" s="3851"/>
      <c r="BH161" s="3851"/>
    </row>
    <row r="162" spans="1:60" ht="12" customHeight="1">
      <c r="A162" s="3913"/>
      <c r="B162" s="7718"/>
      <c r="C162" s="7718"/>
      <c r="D162" s="2809" t="s">
        <v>2174</v>
      </c>
      <c r="E162" s="1277"/>
      <c r="F162" s="1277"/>
      <c r="G162" s="1277"/>
      <c r="H162" s="1277"/>
      <c r="I162" s="1277"/>
      <c r="J162" s="1277"/>
      <c r="K162" s="1277"/>
      <c r="L162" s="1277"/>
      <c r="M162" s="1277"/>
      <c r="N162" s="1277"/>
      <c r="O162" s="3770" t="s">
        <v>1055</v>
      </c>
      <c r="P162" s="7719"/>
      <c r="Q162" s="7720"/>
      <c r="R162" s="7720"/>
      <c r="S162" s="7720"/>
      <c r="T162" s="7720"/>
      <c r="U162" s="7720"/>
      <c r="V162" s="7721"/>
      <c r="W162" s="7719"/>
      <c r="X162" s="7720"/>
      <c r="Y162" s="7720"/>
      <c r="Z162" s="7720"/>
      <c r="AA162" s="7720"/>
      <c r="AB162" s="7720"/>
      <c r="AC162" s="7721"/>
      <c r="AD162" s="7719"/>
      <c r="AE162" s="7720"/>
      <c r="AF162" s="7720"/>
      <c r="AG162" s="7720"/>
      <c r="AH162" s="7720"/>
      <c r="AI162" s="7721"/>
      <c r="AJ162" s="7722"/>
      <c r="AK162" s="7723"/>
      <c r="AL162" s="2818"/>
      <c r="AM162" s="1277"/>
      <c r="AN162" s="1277"/>
      <c r="AO162" s="1277"/>
      <c r="AP162" s="2792"/>
      <c r="AQ162" s="1277"/>
      <c r="AR162" s="1277"/>
      <c r="AS162" s="1277"/>
      <c r="AT162" s="1277"/>
      <c r="AU162" s="1277"/>
      <c r="AV162" s="1277"/>
      <c r="AW162" s="1277"/>
      <c r="AX162" s="3013"/>
      <c r="AY162" s="3851"/>
      <c r="AZ162" s="3851"/>
      <c r="BA162" s="3851"/>
      <c r="BB162" s="3851"/>
      <c r="BC162" s="3851"/>
      <c r="BD162" s="3851"/>
      <c r="BE162" s="3851"/>
      <c r="BF162" s="3851"/>
      <c r="BG162" s="3851"/>
      <c r="BH162" s="3851"/>
    </row>
    <row r="163" spans="1:60" ht="12" customHeight="1">
      <c r="A163" s="3910"/>
      <c r="B163" s="7716" t="s">
        <v>12</v>
      </c>
      <c r="C163" s="7716"/>
      <c r="D163" s="1262" t="s">
        <v>2175</v>
      </c>
      <c r="E163" s="1179"/>
      <c r="F163" s="1179"/>
      <c r="G163" s="1179"/>
      <c r="H163" s="1179"/>
      <c r="I163" s="1179"/>
      <c r="J163" s="1179"/>
      <c r="K163" s="1179"/>
      <c r="L163" s="1179"/>
      <c r="M163" s="1179"/>
      <c r="N163" s="1179"/>
      <c r="O163" s="1179"/>
      <c r="P163" s="1825"/>
      <c r="Q163" s="1562"/>
      <c r="R163" s="1562"/>
      <c r="S163" s="1562"/>
      <c r="T163" s="1562"/>
      <c r="U163" s="1562"/>
      <c r="V163" s="1826"/>
      <c r="W163" s="1825"/>
      <c r="X163" s="1562"/>
      <c r="Y163" s="1562"/>
      <c r="Z163" s="1562"/>
      <c r="AA163" s="1562"/>
      <c r="AB163" s="1562"/>
      <c r="AC163" s="1826"/>
      <c r="AD163" s="1825"/>
      <c r="AE163" s="1562"/>
      <c r="AF163" s="1562"/>
      <c r="AG163" s="1562"/>
      <c r="AH163" s="1562"/>
      <c r="AI163" s="1826"/>
      <c r="AJ163" s="7724"/>
      <c r="AK163" s="6792"/>
      <c r="AL163" s="1582"/>
      <c r="AM163" s="1179"/>
      <c r="AN163" s="1179"/>
      <c r="AO163" s="1179"/>
      <c r="AP163" s="2757"/>
      <c r="AQ163" s="1179"/>
      <c r="AR163" s="1179"/>
      <c r="AS163" s="1179"/>
      <c r="AT163" s="1179"/>
      <c r="AU163" s="1179"/>
      <c r="AV163" s="1179"/>
      <c r="AW163" s="1179"/>
      <c r="AX163" s="3013"/>
      <c r="AY163" s="3851"/>
      <c r="AZ163" s="3851"/>
      <c r="BA163" s="3851"/>
      <c r="BB163" s="3851"/>
      <c r="BC163" s="3851"/>
      <c r="BD163" s="3851"/>
      <c r="BE163" s="3851"/>
      <c r="BF163" s="3851"/>
      <c r="BG163" s="3851"/>
      <c r="BH163" s="3851"/>
    </row>
    <row r="164" spans="1:60" ht="12" customHeight="1">
      <c r="A164" s="3910"/>
      <c r="B164" s="2701"/>
      <c r="C164" s="2701"/>
      <c r="D164" s="1276" t="s">
        <v>2176</v>
      </c>
      <c r="E164" s="1179"/>
      <c r="F164" s="1179"/>
      <c r="G164" s="1179"/>
      <c r="H164" s="1179"/>
      <c r="I164" s="1179"/>
      <c r="J164" s="1179"/>
      <c r="K164" s="1179"/>
      <c r="L164" s="1179"/>
      <c r="M164" s="1179"/>
      <c r="N164" s="1179"/>
      <c r="O164" s="1179"/>
      <c r="P164" s="1827"/>
      <c r="Q164" s="1562"/>
      <c r="R164" s="1562"/>
      <c r="S164" s="1562"/>
      <c r="T164" s="1562"/>
      <c r="U164" s="1562"/>
      <c r="V164" s="1828"/>
      <c r="W164" s="1827"/>
      <c r="X164" s="1562"/>
      <c r="Y164" s="1562"/>
      <c r="Z164" s="1562"/>
      <c r="AA164" s="1562"/>
      <c r="AB164" s="1562"/>
      <c r="AC164" s="1828"/>
      <c r="AD164" s="1827"/>
      <c r="AE164" s="1562"/>
      <c r="AF164" s="1562"/>
      <c r="AG164" s="1562"/>
      <c r="AH164" s="1562"/>
      <c r="AI164" s="1828"/>
      <c r="AJ164" s="7724"/>
      <c r="AK164" s="6792"/>
      <c r="AL164" s="1582"/>
      <c r="AM164" s="1179"/>
      <c r="AN164" s="1179"/>
      <c r="AO164" s="1179"/>
      <c r="AP164" s="2757"/>
      <c r="AQ164" s="1179"/>
      <c r="AR164" s="1179"/>
      <c r="AS164" s="1179"/>
      <c r="AT164" s="1179"/>
      <c r="AU164" s="1179"/>
      <c r="AV164" s="1179"/>
      <c r="AW164" s="1179"/>
      <c r="AX164" s="3013"/>
      <c r="AY164" s="3851"/>
      <c r="AZ164" s="3851"/>
      <c r="BA164" s="3851"/>
      <c r="BB164" s="3851"/>
      <c r="BC164" s="3851"/>
      <c r="BD164" s="3851"/>
      <c r="BE164" s="3851"/>
      <c r="BF164" s="3851"/>
      <c r="BG164" s="3851"/>
      <c r="BH164" s="3851"/>
    </row>
    <row r="165" spans="1:60" ht="12" customHeight="1">
      <c r="A165" s="3910"/>
      <c r="B165" s="2701"/>
      <c r="C165" s="2701"/>
      <c r="D165" s="1926" t="s">
        <v>2177</v>
      </c>
      <c r="E165" s="1179"/>
      <c r="F165" s="1179"/>
      <c r="G165" s="1179"/>
      <c r="H165" s="7725"/>
      <c r="I165" s="7726"/>
      <c r="J165" s="7726"/>
      <c r="K165" s="7726"/>
      <c r="L165" s="7726"/>
      <c r="M165" s="7726"/>
      <c r="N165" s="7726"/>
      <c r="O165" s="1179"/>
      <c r="P165" s="1827"/>
      <c r="Q165" s="1562"/>
      <c r="R165" s="1562"/>
      <c r="S165" s="1562"/>
      <c r="T165" s="1562"/>
      <c r="U165" s="1562"/>
      <c r="V165" s="1828"/>
      <c r="W165" s="1827"/>
      <c r="X165" s="1562"/>
      <c r="Y165" s="1562"/>
      <c r="Z165" s="1562"/>
      <c r="AA165" s="1562"/>
      <c r="AB165" s="1562"/>
      <c r="AC165" s="1828"/>
      <c r="AD165" s="1827"/>
      <c r="AE165" s="1562"/>
      <c r="AF165" s="1562"/>
      <c r="AG165" s="1562"/>
      <c r="AH165" s="1562"/>
      <c r="AI165" s="1828"/>
      <c r="AJ165" s="7724"/>
      <c r="AK165" s="6792"/>
      <c r="AL165" s="1582"/>
      <c r="AM165" s="1179"/>
      <c r="AN165" s="1179"/>
      <c r="AO165" s="1179"/>
      <c r="AP165" s="2757"/>
      <c r="AQ165" s="1179"/>
      <c r="AR165" s="1179"/>
      <c r="AS165" s="1179"/>
      <c r="AT165" s="1179"/>
      <c r="AU165" s="1179"/>
      <c r="AV165" s="1179"/>
      <c r="AW165" s="1179"/>
      <c r="AX165" s="3013"/>
      <c r="AY165" s="3851"/>
      <c r="AZ165" s="3851"/>
      <c r="BA165" s="3851"/>
      <c r="BB165" s="3851"/>
      <c r="BC165" s="3851"/>
      <c r="BD165" s="3851"/>
      <c r="BE165" s="3851"/>
      <c r="BF165" s="3851"/>
      <c r="BG165" s="3851"/>
      <c r="BH165" s="3851"/>
    </row>
    <row r="166" spans="1:60" ht="12" customHeight="1">
      <c r="A166" s="3910"/>
      <c r="B166" s="2701"/>
      <c r="C166" s="2701"/>
      <c r="D166" s="7759"/>
      <c r="E166" s="7760"/>
      <c r="F166" s="7760"/>
      <c r="G166" s="7760"/>
      <c r="H166" s="7760"/>
      <c r="I166" s="7760"/>
      <c r="J166" s="7760"/>
      <c r="K166" s="7760"/>
      <c r="L166" s="7760"/>
      <c r="M166" s="7760"/>
      <c r="N166" s="7760"/>
      <c r="O166" s="1179"/>
      <c r="P166" s="1827"/>
      <c r="Q166" s="1562"/>
      <c r="R166" s="1562"/>
      <c r="S166" s="1562"/>
      <c r="T166" s="1562"/>
      <c r="U166" s="1562"/>
      <c r="V166" s="1828"/>
      <c r="W166" s="1827"/>
      <c r="X166" s="1562"/>
      <c r="Y166" s="1562"/>
      <c r="Z166" s="1562"/>
      <c r="AA166" s="1562"/>
      <c r="AB166" s="1562"/>
      <c r="AC166" s="1828"/>
      <c r="AD166" s="1827"/>
      <c r="AE166" s="1562"/>
      <c r="AF166" s="1562"/>
      <c r="AG166" s="1562"/>
      <c r="AH166" s="1562"/>
      <c r="AI166" s="1828"/>
      <c r="AJ166" s="7724"/>
      <c r="AK166" s="6792"/>
      <c r="AL166" s="1582"/>
      <c r="AM166" s="1179"/>
      <c r="AN166" s="1179"/>
      <c r="AO166" s="1179"/>
      <c r="AP166" s="2757"/>
      <c r="AQ166" s="1179"/>
      <c r="AR166" s="1179"/>
      <c r="AS166" s="1179"/>
      <c r="AT166" s="1179"/>
      <c r="AU166" s="1179"/>
      <c r="AV166" s="1179"/>
      <c r="AW166" s="1179"/>
      <c r="AX166" s="3013"/>
      <c r="AY166" s="3851"/>
      <c r="AZ166" s="3851"/>
      <c r="BA166" s="3851"/>
      <c r="BB166" s="3851"/>
      <c r="BC166" s="3851"/>
      <c r="BD166" s="3851"/>
      <c r="BE166" s="3851"/>
      <c r="BF166" s="3851"/>
      <c r="BG166" s="3851"/>
      <c r="BH166" s="3851"/>
    </row>
    <row r="167" spans="1:60" ht="12" customHeight="1">
      <c r="A167" s="3910"/>
      <c r="B167" s="2701"/>
      <c r="C167" s="2701"/>
      <c r="D167" s="7761"/>
      <c r="E167" s="7762"/>
      <c r="F167" s="7762"/>
      <c r="G167" s="7762"/>
      <c r="H167" s="7762"/>
      <c r="I167" s="7762"/>
      <c r="J167" s="7762"/>
      <c r="K167" s="7762"/>
      <c r="L167" s="7762"/>
      <c r="M167" s="7762"/>
      <c r="N167" s="7762"/>
      <c r="O167" s="1179"/>
      <c r="P167" s="7926"/>
      <c r="Q167" s="7927"/>
      <c r="R167" s="7927"/>
      <c r="S167" s="7927"/>
      <c r="T167" s="7927"/>
      <c r="U167" s="7927"/>
      <c r="V167" s="7928"/>
      <c r="W167" s="7926"/>
      <c r="X167" s="7927"/>
      <c r="Y167" s="7927"/>
      <c r="Z167" s="7927"/>
      <c r="AA167" s="7927"/>
      <c r="AB167" s="7927"/>
      <c r="AC167" s="7928"/>
      <c r="AD167" s="7926"/>
      <c r="AE167" s="7927"/>
      <c r="AF167" s="7927"/>
      <c r="AG167" s="7927"/>
      <c r="AH167" s="7927"/>
      <c r="AI167" s="7928"/>
      <c r="AJ167" s="7774" t="s">
        <v>12</v>
      </c>
      <c r="AK167" s="7089"/>
      <c r="AL167" s="7775">
        <f>IF(AND(SUM(P167,W167,AD167)&gt;0,AO151=0),"Check one box.",ROUND(SUM(P167,W167,AD167),0))</f>
        <v>0</v>
      </c>
      <c r="AM167" s="7776"/>
      <c r="AN167" s="7776"/>
      <c r="AO167" s="7776"/>
      <c r="AP167" s="2757"/>
      <c r="AQ167" s="1179"/>
      <c r="AR167" s="1179"/>
      <c r="AS167" s="1179"/>
      <c r="AT167" s="1179"/>
      <c r="AU167" s="1179"/>
      <c r="AV167" s="1179"/>
      <c r="AW167" s="1179"/>
      <c r="AX167" s="3013"/>
      <c r="AY167" s="3851"/>
      <c r="AZ167" s="3851"/>
      <c r="BA167" s="3851"/>
      <c r="BB167" s="3851"/>
      <c r="BC167" s="3851"/>
      <c r="BD167" s="3851"/>
      <c r="BE167" s="3851"/>
      <c r="BF167" s="3851"/>
      <c r="BG167" s="3851"/>
      <c r="BH167" s="3851"/>
    </row>
    <row r="168" spans="1:60" ht="12" customHeight="1">
      <c r="A168" s="3910"/>
      <c r="B168" s="7929" t="s">
        <v>47</v>
      </c>
      <c r="C168" s="7929"/>
      <c r="D168" s="1926" t="s">
        <v>2179</v>
      </c>
      <c r="E168" s="1179"/>
      <c r="F168" s="1179"/>
      <c r="G168" s="1179"/>
      <c r="H168" s="1179"/>
      <c r="I168" s="1179"/>
      <c r="J168" s="1179"/>
      <c r="K168" s="1179"/>
      <c r="L168" s="1179"/>
      <c r="M168" s="1179"/>
      <c r="N168" s="1179"/>
      <c r="O168" s="1179"/>
      <c r="P168" s="2819"/>
      <c r="Q168" s="2820"/>
      <c r="R168" s="2820"/>
      <c r="S168" s="2820"/>
      <c r="T168" s="2820"/>
      <c r="U168" s="2820"/>
      <c r="V168" s="2821"/>
      <c r="W168" s="2819"/>
      <c r="X168" s="2820"/>
      <c r="Y168" s="2820"/>
      <c r="Z168" s="2820"/>
      <c r="AA168" s="2820"/>
      <c r="AB168" s="2820"/>
      <c r="AC168" s="2821"/>
      <c r="AD168" s="2819"/>
      <c r="AE168" s="2820"/>
      <c r="AF168" s="2820"/>
      <c r="AG168" s="2820"/>
      <c r="AH168" s="2820"/>
      <c r="AI168" s="2821"/>
      <c r="AJ168" s="7866"/>
      <c r="AK168" s="7086"/>
      <c r="AL168" s="1581"/>
      <c r="AM168" s="1179"/>
      <c r="AN168" s="1179"/>
      <c r="AO168" s="1179"/>
      <c r="AP168" s="2757"/>
      <c r="AQ168" s="1179"/>
      <c r="AR168" s="1179"/>
      <c r="AS168" s="1179"/>
      <c r="AT168" s="1179"/>
      <c r="AU168" s="1179"/>
      <c r="AV168" s="1179"/>
      <c r="AW168" s="1179"/>
      <c r="AX168" s="3013"/>
      <c r="AY168" s="3851"/>
      <c r="AZ168" s="3851"/>
      <c r="BA168" s="3851"/>
      <c r="BB168" s="3851"/>
      <c r="BC168" s="3851"/>
      <c r="BD168" s="3851"/>
      <c r="BE168" s="3851"/>
      <c r="BF168" s="3851"/>
      <c r="BG168" s="3851"/>
      <c r="BH168" s="3851"/>
    </row>
    <row r="169" spans="1:60">
      <c r="A169" s="3910"/>
      <c r="B169" s="2701"/>
      <c r="C169" s="2701"/>
      <c r="D169" s="1926" t="s">
        <v>2180</v>
      </c>
      <c r="E169" s="1179"/>
      <c r="F169" s="1179"/>
      <c r="G169" s="1179"/>
      <c r="H169" s="1179"/>
      <c r="I169" s="1179"/>
      <c r="J169" s="1179"/>
      <c r="K169" s="1179"/>
      <c r="L169" s="1179"/>
      <c r="M169" s="1179"/>
      <c r="N169" s="1179"/>
      <c r="O169" s="1179"/>
      <c r="P169" s="2819"/>
      <c r="Q169" s="2820"/>
      <c r="R169" s="2820"/>
      <c r="S169" s="2820"/>
      <c r="T169" s="2820"/>
      <c r="U169" s="2820"/>
      <c r="V169" s="2821"/>
      <c r="W169" s="2819"/>
      <c r="X169" s="2820"/>
      <c r="Y169" s="2820"/>
      <c r="Z169" s="2820"/>
      <c r="AA169" s="2820"/>
      <c r="AB169" s="2820"/>
      <c r="AC169" s="2821"/>
      <c r="AD169" s="2819"/>
      <c r="AE169" s="2820"/>
      <c r="AF169" s="2820"/>
      <c r="AG169" s="2820"/>
      <c r="AH169" s="2820"/>
      <c r="AI169" s="2821"/>
      <c r="AJ169" s="7724"/>
      <c r="AK169" s="6792"/>
      <c r="AL169" s="1582"/>
      <c r="AM169" s="1179"/>
      <c r="AN169" s="1179"/>
      <c r="AO169" s="1179"/>
      <c r="AP169" s="2757"/>
      <c r="AQ169" s="1179"/>
      <c r="AR169" s="1179"/>
      <c r="AS169" s="1179"/>
      <c r="AT169" s="1179"/>
      <c r="AU169" s="1179"/>
      <c r="AV169" s="1179"/>
      <c r="AW169" s="1179"/>
      <c r="AX169" s="3013"/>
      <c r="AY169" s="3851"/>
      <c r="AZ169" s="3851"/>
      <c r="BA169" s="3851"/>
      <c r="BB169" s="3851"/>
      <c r="BC169" s="3851"/>
      <c r="BD169" s="3851"/>
      <c r="BE169" s="3851"/>
      <c r="BF169" s="3851"/>
      <c r="BG169" s="3851"/>
      <c r="BH169" s="3851"/>
    </row>
    <row r="170" spans="1:60" ht="13.5" customHeight="1">
      <c r="A170" s="3910"/>
      <c r="B170" s="2701"/>
      <c r="C170" s="2701"/>
      <c r="D170" s="1926" t="s">
        <v>2181</v>
      </c>
      <c r="E170" s="1179"/>
      <c r="F170" s="1179"/>
      <c r="G170" s="1179"/>
      <c r="H170" s="1179"/>
      <c r="I170" s="1179"/>
      <c r="J170" s="1179"/>
      <c r="K170" s="1179"/>
      <c r="L170" s="1179"/>
      <c r="M170" s="1179"/>
      <c r="N170" s="1179"/>
      <c r="O170" s="1179"/>
      <c r="P170" s="2819"/>
      <c r="Q170" s="2820"/>
      <c r="R170" s="2820"/>
      <c r="S170" s="2820"/>
      <c r="T170" s="2820"/>
      <c r="U170" s="2820"/>
      <c r="V170" s="2821"/>
      <c r="W170" s="2819"/>
      <c r="X170" s="2820"/>
      <c r="Y170" s="2820"/>
      <c r="Z170" s="2820"/>
      <c r="AA170" s="2820"/>
      <c r="AB170" s="2820"/>
      <c r="AC170" s="2821"/>
      <c r="AD170" s="2819"/>
      <c r="AE170" s="2820"/>
      <c r="AF170" s="2820"/>
      <c r="AG170" s="2820"/>
      <c r="AH170" s="2820"/>
      <c r="AI170" s="2821"/>
      <c r="AJ170" s="7724"/>
      <c r="AK170" s="6792"/>
      <c r="AL170" s="1582"/>
      <c r="AM170" s="1179"/>
      <c r="AN170" s="1179"/>
      <c r="AO170" s="1179"/>
      <c r="AP170" s="2757"/>
      <c r="AQ170" s="1179"/>
      <c r="AR170" s="1179"/>
      <c r="AS170" s="1179"/>
      <c r="AT170" s="1179"/>
      <c r="AU170" s="1179"/>
      <c r="AV170" s="1179"/>
      <c r="AW170" s="1179"/>
      <c r="AX170" s="3013"/>
      <c r="AY170" s="3851"/>
      <c r="AZ170" s="3851"/>
      <c r="BA170" s="3851"/>
      <c r="BB170" s="3851"/>
      <c r="BC170" s="3851"/>
      <c r="BD170" s="3851"/>
      <c r="BE170" s="3851"/>
      <c r="BF170" s="3851"/>
      <c r="BG170" s="3851"/>
      <c r="BH170" s="3851"/>
    </row>
    <row r="171" spans="1:60" ht="13.5" customHeight="1">
      <c r="A171" s="3910"/>
      <c r="B171" s="2701"/>
      <c r="C171" s="2701"/>
      <c r="D171" s="1926" t="s">
        <v>2182</v>
      </c>
      <c r="E171" s="1179"/>
      <c r="F171" s="1179"/>
      <c r="G171" s="1179"/>
      <c r="H171" s="1179"/>
      <c r="I171" s="1179"/>
      <c r="J171" s="1179"/>
      <c r="K171" s="1179"/>
      <c r="L171" s="1179"/>
      <c r="M171" s="1179"/>
      <c r="N171" s="1179"/>
      <c r="O171" s="1179"/>
      <c r="P171" s="2819"/>
      <c r="Q171" s="2820"/>
      <c r="R171" s="2820"/>
      <c r="S171" s="2820"/>
      <c r="T171" s="2820"/>
      <c r="U171" s="2820"/>
      <c r="V171" s="2821"/>
      <c r="W171" s="2819"/>
      <c r="X171" s="2820"/>
      <c r="Y171" s="2820"/>
      <c r="Z171" s="2820"/>
      <c r="AA171" s="2820"/>
      <c r="AB171" s="2820"/>
      <c r="AC171" s="2821"/>
      <c r="AD171" s="2819"/>
      <c r="AE171" s="2820"/>
      <c r="AF171" s="2820"/>
      <c r="AG171" s="2820"/>
      <c r="AH171" s="2820"/>
      <c r="AI171" s="2821"/>
      <c r="AJ171" s="7724"/>
      <c r="AK171" s="6792"/>
      <c r="AL171" s="1582"/>
      <c r="AM171" s="1179"/>
      <c r="AN171" s="1179"/>
      <c r="AO171" s="1179"/>
      <c r="AP171" s="2757"/>
      <c r="AQ171" s="1179"/>
      <c r="AR171" s="1179"/>
      <c r="AS171" s="1179"/>
      <c r="AT171" s="1179"/>
      <c r="AU171" s="1179"/>
      <c r="AV171" s="1179"/>
      <c r="AW171" s="1179"/>
      <c r="AX171" s="3013"/>
      <c r="AY171" s="3851"/>
      <c r="AZ171" s="3851"/>
      <c r="BA171" s="3851"/>
      <c r="BB171" s="3851"/>
      <c r="BC171" s="3851"/>
      <c r="BD171" s="3851"/>
      <c r="BE171" s="3851"/>
      <c r="BF171" s="3851"/>
      <c r="BG171" s="3851"/>
      <c r="BH171" s="3851"/>
    </row>
    <row r="172" spans="1:60" ht="13.5" customHeight="1">
      <c r="A172" s="3910"/>
      <c r="B172" s="2701"/>
      <c r="C172" s="2701"/>
      <c r="D172" s="1926" t="s">
        <v>2183</v>
      </c>
      <c r="E172" s="1179"/>
      <c r="F172" s="1179"/>
      <c r="G172" s="1179"/>
      <c r="H172" s="1179"/>
      <c r="I172" s="1179"/>
      <c r="J172" s="1179"/>
      <c r="K172" s="1179"/>
      <c r="L172" s="1179"/>
      <c r="M172" s="1560" t="s">
        <v>1037</v>
      </c>
      <c r="N172" s="1180"/>
      <c r="O172" s="1179"/>
      <c r="P172" s="2819"/>
      <c r="Q172" s="2820"/>
      <c r="R172" s="2820"/>
      <c r="S172" s="2820"/>
      <c r="T172" s="2820"/>
      <c r="U172" s="2820"/>
      <c r="V172" s="2821"/>
      <c r="W172" s="2819"/>
      <c r="X172" s="2820"/>
      <c r="Y172" s="2820"/>
      <c r="Z172" s="2820"/>
      <c r="AA172" s="2820"/>
      <c r="AB172" s="2820"/>
      <c r="AC172" s="2821"/>
      <c r="AD172" s="2819"/>
      <c r="AE172" s="2820"/>
      <c r="AF172" s="2820"/>
      <c r="AG172" s="2820"/>
      <c r="AH172" s="2820"/>
      <c r="AI172" s="2821"/>
      <c r="AJ172" s="7724"/>
      <c r="AK172" s="6792"/>
      <c r="AL172" s="1582"/>
      <c r="AM172" s="1179"/>
      <c r="AN172" s="1179"/>
      <c r="AO172" s="1179"/>
      <c r="AP172" s="2757"/>
      <c r="AQ172" s="1179"/>
      <c r="AR172" s="1179"/>
      <c r="AS172" s="1179"/>
      <c r="AT172" s="1179"/>
      <c r="AU172" s="1179"/>
      <c r="AV172" s="1179"/>
      <c r="AW172" s="1179"/>
      <c r="AX172" s="3013"/>
      <c r="AY172" s="3851"/>
      <c r="AZ172" s="3851"/>
      <c r="BA172" s="3851"/>
      <c r="BB172" s="3851"/>
      <c r="BC172" s="3851"/>
      <c r="BD172" s="3851"/>
      <c r="BE172" s="3851"/>
      <c r="BF172" s="3851"/>
      <c r="BG172" s="3851"/>
      <c r="BH172" s="3851"/>
    </row>
    <row r="173" spans="1:60" ht="6" customHeight="1">
      <c r="A173" s="3910"/>
      <c r="B173" s="2790"/>
      <c r="C173" s="2790"/>
      <c r="D173" s="2793"/>
      <c r="E173" s="1553"/>
      <c r="F173" s="1553"/>
      <c r="G173" s="1553"/>
      <c r="H173" s="1553"/>
      <c r="I173" s="1553"/>
      <c r="J173" s="1553"/>
      <c r="K173" s="1553"/>
      <c r="L173" s="1553"/>
      <c r="M173" s="1553"/>
      <c r="N173" s="1553"/>
      <c r="O173" s="1553"/>
      <c r="P173" s="2824"/>
      <c r="Q173" s="2825"/>
      <c r="R173" s="2825"/>
      <c r="S173" s="2825"/>
      <c r="T173" s="2825"/>
      <c r="U173" s="2825"/>
      <c r="V173" s="2826"/>
      <c r="W173" s="2824"/>
      <c r="X173" s="2825"/>
      <c r="Y173" s="2825"/>
      <c r="Z173" s="2825"/>
      <c r="AA173" s="2825"/>
      <c r="AB173" s="2825"/>
      <c r="AC173" s="2826"/>
      <c r="AD173" s="2824"/>
      <c r="AE173" s="2825"/>
      <c r="AF173" s="2825"/>
      <c r="AG173" s="2825"/>
      <c r="AH173" s="2825"/>
      <c r="AI173" s="2826"/>
      <c r="AJ173" s="7724"/>
      <c r="AK173" s="6792"/>
      <c r="AL173" s="1582"/>
      <c r="AM173" s="1179"/>
      <c r="AN173" s="1179"/>
      <c r="AO173" s="1179"/>
      <c r="AP173" s="2757"/>
      <c r="AQ173" s="1179"/>
      <c r="AR173" s="1179"/>
      <c r="AS173" s="1179"/>
      <c r="AT173" s="1179"/>
      <c r="AU173" s="1179"/>
      <c r="AV173" s="1179"/>
      <c r="AW173" s="1179"/>
      <c r="AX173" s="3013"/>
      <c r="AY173" s="3851"/>
      <c r="AZ173" s="3851"/>
      <c r="BA173" s="3851"/>
      <c r="BB173" s="3851"/>
      <c r="BC173" s="3851"/>
      <c r="BD173" s="3851"/>
      <c r="BE173" s="3851"/>
      <c r="BF173" s="3851"/>
      <c r="BG173" s="3851"/>
      <c r="BH173" s="3851"/>
    </row>
    <row r="174" spans="1:60" ht="13.5" customHeight="1">
      <c r="A174" s="3910"/>
      <c r="B174" s="1276" t="s">
        <v>2184</v>
      </c>
      <c r="C174" s="2701"/>
      <c r="D174" s="2686"/>
      <c r="E174" s="1179"/>
      <c r="F174" s="1179"/>
      <c r="G174" s="1179"/>
      <c r="H174" s="1179"/>
      <c r="I174" s="1179"/>
      <c r="J174" s="1179"/>
      <c r="K174" s="1179"/>
      <c r="L174" s="1179"/>
      <c r="M174" s="1179"/>
      <c r="N174" s="1179"/>
      <c r="O174" s="1179"/>
      <c r="P174" s="2819"/>
      <c r="Q174" s="2820"/>
      <c r="R174" s="2820"/>
      <c r="S174" s="2820"/>
      <c r="T174" s="2820"/>
      <c r="U174" s="2820"/>
      <c r="V174" s="2821"/>
      <c r="W174" s="2819"/>
      <c r="X174" s="2820"/>
      <c r="Y174" s="2820"/>
      <c r="Z174" s="2820"/>
      <c r="AA174" s="2820"/>
      <c r="AB174" s="2820"/>
      <c r="AC174" s="2821"/>
      <c r="AD174" s="2819"/>
      <c r="AE174" s="2820"/>
      <c r="AF174" s="2820"/>
      <c r="AG174" s="2820"/>
      <c r="AH174" s="2820"/>
      <c r="AI174" s="2821"/>
      <c r="AJ174" s="7724"/>
      <c r="AK174" s="6792"/>
      <c r="AL174" s="1582"/>
      <c r="AM174" s="1179"/>
      <c r="AN174" s="1179"/>
      <c r="AO174" s="1179"/>
      <c r="AP174" s="2757"/>
      <c r="AQ174" s="1179"/>
      <c r="AR174" s="1179"/>
      <c r="AS174" s="1179"/>
      <c r="AT174" s="1179"/>
      <c r="AU174" s="1179"/>
      <c r="AV174" s="1179"/>
      <c r="AW174" s="1179"/>
      <c r="AX174" s="3013"/>
      <c r="AY174" s="3851"/>
      <c r="AZ174" s="3851"/>
      <c r="BA174" s="3851"/>
      <c r="BB174" s="3851"/>
      <c r="BC174" s="3851"/>
      <c r="BD174" s="3851"/>
      <c r="BE174" s="3851"/>
      <c r="BF174" s="3851"/>
      <c r="BG174" s="3851"/>
      <c r="BH174" s="3851"/>
    </row>
    <row r="175" spans="1:60" ht="13.5" customHeight="1">
      <c r="A175" s="3910"/>
      <c r="B175" s="7925" t="s">
        <v>149</v>
      </c>
      <c r="C175" s="7716"/>
      <c r="D175" s="1262" t="s">
        <v>2185</v>
      </c>
      <c r="E175" s="1179"/>
      <c r="F175" s="1179"/>
      <c r="G175" s="1179"/>
      <c r="H175" s="1179"/>
      <c r="I175" s="1179"/>
      <c r="J175" s="1179"/>
      <c r="K175" s="1179"/>
      <c r="L175" s="1179"/>
      <c r="M175" s="1179"/>
      <c r="N175" s="1179"/>
      <c r="O175" s="1179"/>
      <c r="P175" s="2822"/>
      <c r="Q175" s="1276"/>
      <c r="R175" s="1276"/>
      <c r="S175" s="1276"/>
      <c r="T175" s="1276"/>
      <c r="U175" s="1276"/>
      <c r="V175" s="2823"/>
      <c r="W175" s="1276"/>
      <c r="X175" s="1276"/>
      <c r="Y175" s="1276"/>
      <c r="Z175" s="1276"/>
      <c r="AA175" s="1276"/>
      <c r="AB175" s="1276"/>
      <c r="AC175" s="2823"/>
      <c r="AD175" s="1276"/>
      <c r="AE175" s="1276"/>
      <c r="AF175" s="1276"/>
      <c r="AG175" s="1276"/>
      <c r="AH175" s="1276"/>
      <c r="AI175" s="2823"/>
      <c r="AJ175" s="7724"/>
      <c r="AK175" s="6792"/>
      <c r="AL175" s="1582"/>
      <c r="AM175" s="1179"/>
      <c r="AN175" s="1179"/>
      <c r="AO175" s="1179"/>
      <c r="AP175" s="2757"/>
      <c r="AQ175" s="1179"/>
      <c r="AR175" s="1179"/>
      <c r="AS175" s="1179"/>
      <c r="AT175" s="1179"/>
      <c r="AU175" s="1179"/>
      <c r="AV175" s="1179"/>
      <c r="AW175" s="1179"/>
      <c r="AX175" s="3013"/>
      <c r="AY175" s="3851"/>
      <c r="AZ175" s="3851"/>
      <c r="BA175" s="3851"/>
      <c r="BB175" s="3851"/>
      <c r="BC175" s="3851"/>
      <c r="BD175" s="3851"/>
      <c r="BE175" s="3851"/>
      <c r="BF175" s="3851"/>
      <c r="BG175" s="3851"/>
      <c r="BH175" s="3851"/>
    </row>
    <row r="176" spans="1:60" ht="13.5" customHeight="1">
      <c r="A176" s="3910"/>
      <c r="B176" s="7716"/>
      <c r="C176" s="7716"/>
      <c r="D176" s="1276" t="s">
        <v>2186</v>
      </c>
      <c r="E176" s="1179"/>
      <c r="F176" s="1179"/>
      <c r="G176" s="1179"/>
      <c r="H176" s="1179"/>
      <c r="I176" s="1179"/>
      <c r="J176" s="1179"/>
      <c r="K176" s="1179"/>
      <c r="L176" s="1179"/>
      <c r="M176" s="1179"/>
      <c r="N176" s="1179"/>
      <c r="O176" s="1560" t="s">
        <v>2517</v>
      </c>
      <c r="P176" s="7763"/>
      <c r="Q176" s="7764"/>
      <c r="R176" s="7764"/>
      <c r="S176" s="7764"/>
      <c r="T176" s="7764"/>
      <c r="U176" s="7764"/>
      <c r="V176" s="7765"/>
      <c r="W176" s="7763"/>
      <c r="X176" s="7764"/>
      <c r="Y176" s="7764"/>
      <c r="Z176" s="7764"/>
      <c r="AA176" s="7764"/>
      <c r="AB176" s="7764"/>
      <c r="AC176" s="7765"/>
      <c r="AD176" s="7763"/>
      <c r="AE176" s="7764"/>
      <c r="AF176" s="7764"/>
      <c r="AG176" s="7764"/>
      <c r="AH176" s="7764"/>
      <c r="AI176" s="7765"/>
      <c r="AJ176" s="7724"/>
      <c r="AK176" s="6792"/>
      <c r="AL176" s="1582"/>
      <c r="AM176" s="1179"/>
      <c r="AN176" s="1179"/>
      <c r="AO176" s="1179"/>
      <c r="AP176" s="2757"/>
      <c r="AQ176" s="1179"/>
      <c r="AR176" s="1179"/>
      <c r="AS176" s="1179"/>
      <c r="AT176" s="1179"/>
      <c r="AU176" s="1179"/>
      <c r="AV176" s="1179"/>
      <c r="AW176" s="1179"/>
      <c r="AX176" s="3013"/>
      <c r="AY176" s="3851"/>
      <c r="AZ176" s="3851"/>
      <c r="BA176" s="3851"/>
      <c r="BB176" s="3851"/>
      <c r="BC176" s="3851"/>
      <c r="BD176" s="3851"/>
      <c r="BE176" s="3851"/>
      <c r="BF176" s="3851"/>
      <c r="BG176" s="3851"/>
      <c r="BH176" s="3851"/>
    </row>
    <row r="177" spans="1:60" ht="13.5" customHeight="1">
      <c r="A177" s="3910"/>
      <c r="B177" s="7925" t="s">
        <v>150</v>
      </c>
      <c r="C177" s="7716"/>
      <c r="D177" s="1262" t="s">
        <v>2241</v>
      </c>
      <c r="E177" s="1179"/>
      <c r="F177" s="1179"/>
      <c r="G177" s="1179"/>
      <c r="H177" s="1179"/>
      <c r="I177" s="1179"/>
      <c r="J177" s="1179"/>
      <c r="K177" s="1179"/>
      <c r="L177" s="1179"/>
      <c r="M177" s="1179"/>
      <c r="N177" s="1179"/>
      <c r="O177" s="1179"/>
      <c r="P177" s="2819"/>
      <c r="Q177" s="2820"/>
      <c r="R177" s="2820"/>
      <c r="S177" s="2820"/>
      <c r="T177" s="2820"/>
      <c r="U177" s="2820"/>
      <c r="V177" s="2821"/>
      <c r="W177" s="2819"/>
      <c r="X177" s="2820"/>
      <c r="Y177" s="2820"/>
      <c r="Z177" s="2820"/>
      <c r="AA177" s="2820"/>
      <c r="AB177" s="2820"/>
      <c r="AC177" s="2821"/>
      <c r="AD177" s="2819"/>
      <c r="AE177" s="2820"/>
      <c r="AF177" s="2820"/>
      <c r="AG177" s="2820"/>
      <c r="AH177" s="2820"/>
      <c r="AI177" s="2821"/>
      <c r="AJ177" s="7724"/>
      <c r="AK177" s="6792"/>
      <c r="AL177" s="1582"/>
      <c r="AM177" s="1179"/>
      <c r="AN177" s="1179"/>
      <c r="AO177" s="1179"/>
      <c r="AP177" s="2757"/>
      <c r="AQ177" s="1179"/>
      <c r="AR177" s="1179"/>
      <c r="AS177" s="1179"/>
      <c r="AT177" s="1179"/>
      <c r="AU177" s="1179"/>
      <c r="AV177" s="1179"/>
      <c r="AW177" s="1179"/>
      <c r="AX177" s="3013"/>
      <c r="AY177" s="3851"/>
      <c r="AZ177" s="3851"/>
      <c r="BA177" s="3851"/>
      <c r="BB177" s="3851"/>
      <c r="BC177" s="3851"/>
      <c r="BD177" s="3851"/>
      <c r="BE177" s="3851"/>
      <c r="BF177" s="3851"/>
      <c r="BG177" s="3851"/>
      <c r="BH177" s="3851"/>
    </row>
    <row r="178" spans="1:60" ht="13.5" customHeight="1">
      <c r="A178" s="3910"/>
      <c r="B178" s="7716"/>
      <c r="C178" s="7716"/>
      <c r="D178" s="2808" t="s">
        <v>2242</v>
      </c>
      <c r="E178" s="1179"/>
      <c r="F178" s="1179"/>
      <c r="G178" s="1179"/>
      <c r="H178" s="1179"/>
      <c r="I178" s="1179"/>
      <c r="J178" s="1179"/>
      <c r="K178" s="1179"/>
      <c r="L178" s="1179"/>
      <c r="M178" s="1179"/>
      <c r="N178" s="1179"/>
      <c r="O178" s="1179"/>
      <c r="P178" s="2819"/>
      <c r="Q178" s="2820"/>
      <c r="R178" s="2820"/>
      <c r="S178" s="2820"/>
      <c r="T178" s="2820"/>
      <c r="U178" s="2820"/>
      <c r="V178" s="2821"/>
      <c r="W178" s="2819"/>
      <c r="X178" s="2820"/>
      <c r="Y178" s="2820"/>
      <c r="Z178" s="2820"/>
      <c r="AA178" s="2820"/>
      <c r="AB178" s="2820"/>
      <c r="AC178" s="2821"/>
      <c r="AD178" s="2819"/>
      <c r="AE178" s="2820"/>
      <c r="AF178" s="2820"/>
      <c r="AG178" s="2820"/>
      <c r="AH178" s="2820"/>
      <c r="AI178" s="2821"/>
      <c r="AJ178" s="7724"/>
      <c r="AK178" s="6792"/>
      <c r="AL178" s="1582"/>
      <c r="AM178" s="1179"/>
      <c r="AN178" s="1179"/>
      <c r="AO178" s="1179"/>
      <c r="AP178" s="2757"/>
      <c r="AQ178" s="1179"/>
      <c r="AR178" s="1179"/>
      <c r="AS178" s="1179"/>
      <c r="AT178" s="1179"/>
      <c r="AU178" s="1179"/>
      <c r="AV178" s="1179"/>
      <c r="AW178" s="1179"/>
      <c r="AX178" s="3013"/>
      <c r="AY178" s="3851"/>
      <c r="AZ178" s="3851"/>
      <c r="BA178" s="3851"/>
      <c r="BB178" s="3851"/>
      <c r="BC178" s="3851"/>
      <c r="BD178" s="3851"/>
      <c r="BE178" s="3851"/>
      <c r="BF178" s="3851"/>
      <c r="BG178" s="3851"/>
      <c r="BH178" s="3851"/>
    </row>
    <row r="179" spans="1:60" ht="13.5" customHeight="1">
      <c r="A179" s="3910"/>
      <c r="B179" s="7716" t="s">
        <v>33</v>
      </c>
      <c r="C179" s="7716"/>
      <c r="D179" s="1262" t="s">
        <v>2493</v>
      </c>
      <c r="E179" s="1179"/>
      <c r="F179" s="1179"/>
      <c r="G179" s="1179"/>
      <c r="H179" s="1179"/>
      <c r="I179" s="1179"/>
      <c r="J179" s="1179"/>
      <c r="K179" s="1179"/>
      <c r="L179" s="1179"/>
      <c r="M179" s="1179"/>
      <c r="N179" s="1179"/>
      <c r="O179" s="1179"/>
      <c r="P179" s="2822"/>
      <c r="Q179" s="1276"/>
      <c r="R179" s="1276"/>
      <c r="S179" s="1276"/>
      <c r="T179" s="1276"/>
      <c r="U179" s="1276"/>
      <c r="V179" s="2823"/>
      <c r="W179" s="1276"/>
      <c r="X179" s="1276"/>
      <c r="Y179" s="1276"/>
      <c r="Z179" s="1276"/>
      <c r="AA179" s="1276"/>
      <c r="AB179" s="1276"/>
      <c r="AC179" s="2823"/>
      <c r="AD179" s="1276"/>
      <c r="AE179" s="1276"/>
      <c r="AF179" s="1276"/>
      <c r="AG179" s="1276"/>
      <c r="AH179" s="1276"/>
      <c r="AI179" s="2823"/>
      <c r="AJ179" s="7724"/>
      <c r="AK179" s="6792"/>
      <c r="AL179" s="1582"/>
      <c r="AM179" s="1179"/>
      <c r="AN179" s="1179"/>
      <c r="AO179" s="1179"/>
      <c r="AP179" s="2757"/>
      <c r="AQ179" s="1179"/>
      <c r="AR179" s="1179"/>
      <c r="AS179" s="1179"/>
      <c r="AT179" s="1179"/>
      <c r="AU179" s="1179"/>
      <c r="AV179" s="1179"/>
      <c r="AW179" s="1179"/>
      <c r="AX179" s="3013"/>
      <c r="AY179" s="3851"/>
      <c r="AZ179" s="3851"/>
      <c r="BA179" s="3851"/>
      <c r="BB179" s="3851"/>
      <c r="BC179" s="3851"/>
      <c r="BD179" s="3851"/>
      <c r="BE179" s="3851"/>
      <c r="BF179" s="3851"/>
      <c r="BG179" s="3851"/>
      <c r="BH179" s="3851"/>
    </row>
    <row r="180" spans="1:60" ht="13.5" customHeight="1">
      <c r="A180" s="3910"/>
      <c r="B180" s="3771"/>
      <c r="C180" s="3771"/>
      <c r="D180" s="1262" t="s">
        <v>1794</v>
      </c>
      <c r="E180" s="1179"/>
      <c r="F180" s="1179"/>
      <c r="G180" s="1179"/>
      <c r="H180" s="1179"/>
      <c r="I180" s="1179"/>
      <c r="J180" s="1179"/>
      <c r="K180" s="1179"/>
      <c r="L180" s="1179"/>
      <c r="M180" s="1179"/>
      <c r="N180" s="1179"/>
      <c r="O180" s="1560" t="s">
        <v>1930</v>
      </c>
      <c r="P180" s="7763"/>
      <c r="Q180" s="7764"/>
      <c r="R180" s="7764"/>
      <c r="S180" s="7764"/>
      <c r="T180" s="7764"/>
      <c r="U180" s="7764"/>
      <c r="V180" s="7765"/>
      <c r="W180" s="7763"/>
      <c r="X180" s="7764"/>
      <c r="Y180" s="7764"/>
      <c r="Z180" s="7764"/>
      <c r="AA180" s="7764"/>
      <c r="AB180" s="7764"/>
      <c r="AC180" s="7765"/>
      <c r="AD180" s="7763"/>
      <c r="AE180" s="7764"/>
      <c r="AF180" s="7764"/>
      <c r="AG180" s="7764"/>
      <c r="AH180" s="7764"/>
      <c r="AI180" s="7765"/>
      <c r="AJ180" s="7724"/>
      <c r="AK180" s="6792"/>
      <c r="AL180" s="1582"/>
      <c r="AM180" s="1179"/>
      <c r="AN180" s="1179"/>
      <c r="AO180" s="1179"/>
      <c r="AP180" s="2757"/>
      <c r="AQ180" s="1179"/>
      <c r="AR180" s="1179"/>
      <c r="AS180" s="1179"/>
      <c r="AT180" s="1179"/>
      <c r="AU180" s="1179"/>
      <c r="AV180" s="1179"/>
      <c r="AW180" s="1179"/>
      <c r="AX180" s="3013"/>
      <c r="AY180" s="3851"/>
      <c r="AZ180" s="3851"/>
      <c r="BA180" s="3851"/>
      <c r="BB180" s="3851"/>
      <c r="BC180" s="3851"/>
      <c r="BD180" s="3851"/>
      <c r="BE180" s="3851"/>
      <c r="BF180" s="3851"/>
      <c r="BG180" s="3851"/>
      <c r="BH180" s="3851"/>
    </row>
    <row r="181" spans="1:60" ht="13.5" customHeight="1">
      <c r="A181" s="3910"/>
      <c r="B181" s="7716" t="s">
        <v>47</v>
      </c>
      <c r="C181" s="7716"/>
      <c r="D181" s="1262" t="s">
        <v>2187</v>
      </c>
      <c r="E181" s="1179"/>
      <c r="F181" s="1179"/>
      <c r="G181" s="1179"/>
      <c r="H181" s="1179"/>
      <c r="I181" s="1179"/>
      <c r="J181" s="1179"/>
      <c r="K181" s="1179"/>
      <c r="L181" s="1179"/>
      <c r="M181" s="1179"/>
      <c r="N181" s="1179"/>
      <c r="O181" s="1560" t="s">
        <v>517</v>
      </c>
      <c r="P181" s="7763"/>
      <c r="Q181" s="7764"/>
      <c r="R181" s="7764"/>
      <c r="S181" s="7764"/>
      <c r="T181" s="7764"/>
      <c r="U181" s="7764"/>
      <c r="V181" s="7765"/>
      <c r="W181" s="7763"/>
      <c r="X181" s="7764"/>
      <c r="Y181" s="7764"/>
      <c r="Z181" s="7764"/>
      <c r="AA181" s="7764"/>
      <c r="AB181" s="7764"/>
      <c r="AC181" s="7765"/>
      <c r="AD181" s="7763"/>
      <c r="AE181" s="7764"/>
      <c r="AF181" s="7764"/>
      <c r="AG181" s="7764"/>
      <c r="AH181" s="7764"/>
      <c r="AI181" s="7765"/>
      <c r="AJ181" s="7724"/>
      <c r="AK181" s="6792"/>
      <c r="AL181" s="1582"/>
      <c r="AM181" s="1179"/>
      <c r="AN181" s="1179"/>
      <c r="AO181" s="1179"/>
      <c r="AP181" s="2757"/>
      <c r="AQ181" s="1179"/>
      <c r="AR181" s="1179"/>
      <c r="AS181" s="1179"/>
      <c r="AT181" s="1179"/>
      <c r="AU181" s="1179"/>
      <c r="AV181" s="1179"/>
      <c r="AW181" s="1179"/>
      <c r="AX181" s="3013"/>
      <c r="AY181" s="3851"/>
      <c r="AZ181" s="3851"/>
      <c r="BA181" s="3851"/>
      <c r="BB181" s="3851"/>
      <c r="BC181" s="3851"/>
      <c r="BD181" s="3851"/>
      <c r="BE181" s="3851"/>
      <c r="BF181" s="3851"/>
      <c r="BG181" s="3851"/>
      <c r="BH181" s="3851"/>
    </row>
    <row r="182" spans="1:60" ht="13.5" customHeight="1">
      <c r="A182" s="3910"/>
      <c r="B182" s="7716" t="s">
        <v>48</v>
      </c>
      <c r="C182" s="7716"/>
      <c r="D182" s="1262" t="s">
        <v>2188</v>
      </c>
      <c r="E182" s="1179"/>
      <c r="F182" s="1179"/>
      <c r="G182" s="1179"/>
      <c r="H182" s="1179"/>
      <c r="I182" s="1179"/>
      <c r="J182" s="1179"/>
      <c r="K182" s="1179"/>
      <c r="L182" s="1179"/>
      <c r="M182" s="1179"/>
      <c r="N182" s="1179"/>
      <c r="O182" s="1560" t="s">
        <v>2419</v>
      </c>
      <c r="P182" s="7916">
        <f>SUM(P180:P181)</f>
        <v>0</v>
      </c>
      <c r="Q182" s="7917"/>
      <c r="R182" s="7917"/>
      <c r="S182" s="7917"/>
      <c r="T182" s="7917"/>
      <c r="U182" s="7917"/>
      <c r="V182" s="7918"/>
      <c r="W182" s="7916">
        <f>SUM(W180:W181)</f>
        <v>0</v>
      </c>
      <c r="X182" s="7917"/>
      <c r="Y182" s="7917"/>
      <c r="Z182" s="7917"/>
      <c r="AA182" s="7917"/>
      <c r="AB182" s="7917"/>
      <c r="AC182" s="7918"/>
      <c r="AD182" s="7916">
        <f>SUM(AD180:AD181)</f>
        <v>0</v>
      </c>
      <c r="AE182" s="7917"/>
      <c r="AF182" s="7917"/>
      <c r="AG182" s="7917"/>
      <c r="AH182" s="7917"/>
      <c r="AI182" s="7918"/>
      <c r="AJ182" s="7724"/>
      <c r="AK182" s="6792"/>
      <c r="AL182" s="1582"/>
      <c r="AM182" s="1179"/>
      <c r="AN182" s="1179"/>
      <c r="AO182" s="1179"/>
      <c r="AP182" s="2757"/>
      <c r="AQ182" s="1179"/>
      <c r="AR182" s="1179"/>
      <c r="AS182" s="1179"/>
      <c r="AT182" s="1179"/>
      <c r="AU182" s="1179"/>
      <c r="AV182" s="1179"/>
      <c r="AW182" s="1179"/>
      <c r="AX182" s="3013"/>
      <c r="AY182" s="3851"/>
      <c r="AZ182" s="3851"/>
      <c r="BA182" s="3851"/>
      <c r="BB182" s="3851"/>
      <c r="BC182" s="3851"/>
      <c r="BD182" s="3851"/>
      <c r="BE182" s="3851"/>
      <c r="BF182" s="3851"/>
      <c r="BG182" s="3851"/>
      <c r="BH182" s="3851"/>
    </row>
    <row r="183" spans="1:60" ht="13.5" customHeight="1">
      <c r="A183" s="3910"/>
      <c r="B183" s="7716" t="s">
        <v>92</v>
      </c>
      <c r="C183" s="7716"/>
      <c r="D183" s="1262" t="s">
        <v>2189</v>
      </c>
      <c r="E183" s="1179"/>
      <c r="F183" s="1179"/>
      <c r="G183" s="1179"/>
      <c r="H183" s="1179"/>
      <c r="I183" s="1179"/>
      <c r="J183" s="1179"/>
      <c r="K183" s="1179"/>
      <c r="L183" s="1179"/>
      <c r="M183" s="1179"/>
      <c r="N183" s="1179"/>
      <c r="O183" s="1560" t="s">
        <v>2522</v>
      </c>
      <c r="P183" s="7763"/>
      <c r="Q183" s="7764"/>
      <c r="R183" s="7764"/>
      <c r="S183" s="7764"/>
      <c r="T183" s="7764"/>
      <c r="U183" s="7764"/>
      <c r="V183" s="7765"/>
      <c r="W183" s="7763"/>
      <c r="X183" s="7764"/>
      <c r="Y183" s="7764"/>
      <c r="Z183" s="7764"/>
      <c r="AA183" s="7764"/>
      <c r="AB183" s="7764"/>
      <c r="AC183" s="7765"/>
      <c r="AD183" s="7763"/>
      <c r="AE183" s="7764"/>
      <c r="AF183" s="7764"/>
      <c r="AG183" s="7764"/>
      <c r="AH183" s="7764"/>
      <c r="AI183" s="7765"/>
      <c r="AJ183" s="7724"/>
      <c r="AK183" s="6792"/>
      <c r="AL183" s="1582"/>
      <c r="AM183" s="1179"/>
      <c r="AN183" s="1179"/>
      <c r="AO183" s="1179"/>
      <c r="AP183" s="2757"/>
      <c r="AQ183" s="1179"/>
      <c r="AR183" s="1179"/>
      <c r="AS183" s="1179"/>
      <c r="AT183" s="1179"/>
      <c r="AU183" s="1179"/>
      <c r="AV183" s="1179"/>
      <c r="AW183" s="1179"/>
      <c r="AX183" s="3013"/>
      <c r="AY183" s="3851"/>
      <c r="AZ183" s="3851"/>
      <c r="BA183" s="3851"/>
      <c r="BB183" s="3851"/>
      <c r="BC183" s="3851"/>
      <c r="BD183" s="3851"/>
      <c r="BE183" s="3851"/>
      <c r="BF183" s="3851"/>
      <c r="BG183" s="3851"/>
      <c r="BH183" s="3851"/>
    </row>
    <row r="184" spans="1:60" ht="13.5" customHeight="1">
      <c r="A184" s="3910"/>
      <c r="B184" s="7716" t="s">
        <v>964</v>
      </c>
      <c r="C184" s="7716"/>
      <c r="D184" s="1262" t="s">
        <v>2190</v>
      </c>
      <c r="E184" s="1179"/>
      <c r="F184" s="1179"/>
      <c r="G184" s="1179"/>
      <c r="H184" s="1179"/>
      <c r="I184" s="1179"/>
      <c r="J184" s="1179"/>
      <c r="K184" s="1179"/>
      <c r="L184" s="1179"/>
      <c r="M184" s="1179"/>
      <c r="N184" s="1179"/>
      <c r="O184" s="1560" t="s">
        <v>2522</v>
      </c>
      <c r="P184" s="7763"/>
      <c r="Q184" s="7764"/>
      <c r="R184" s="7764"/>
      <c r="S184" s="7764"/>
      <c r="T184" s="7764"/>
      <c r="U184" s="7764"/>
      <c r="V184" s="7765"/>
      <c r="W184" s="7763"/>
      <c r="X184" s="7764"/>
      <c r="Y184" s="7764"/>
      <c r="Z184" s="7764"/>
      <c r="AA184" s="7764"/>
      <c r="AB184" s="7764"/>
      <c r="AC184" s="7765"/>
      <c r="AD184" s="7763"/>
      <c r="AE184" s="7764"/>
      <c r="AF184" s="7764"/>
      <c r="AG184" s="7764"/>
      <c r="AH184" s="7764"/>
      <c r="AI184" s="7765"/>
      <c r="AJ184" s="7724"/>
      <c r="AK184" s="6792"/>
      <c r="AL184" s="1582"/>
      <c r="AM184" s="1179"/>
      <c r="AN184" s="1179"/>
      <c r="AO184" s="1179"/>
      <c r="AP184" s="2757"/>
      <c r="AQ184" s="1179"/>
      <c r="AR184" s="1179"/>
      <c r="AS184" s="1179"/>
      <c r="AT184" s="1179"/>
      <c r="AU184" s="1179"/>
      <c r="AV184" s="1179"/>
      <c r="AW184" s="1179"/>
      <c r="AX184" s="3013"/>
      <c r="AY184" s="3851"/>
      <c r="AZ184" s="3851"/>
      <c r="BA184" s="3851"/>
      <c r="BB184" s="3851"/>
      <c r="BC184" s="3851"/>
      <c r="BD184" s="3851"/>
      <c r="BE184" s="3851"/>
      <c r="BF184" s="3851"/>
      <c r="BG184" s="3851"/>
      <c r="BH184" s="3851"/>
    </row>
    <row r="185" spans="1:60" ht="13.5" customHeight="1">
      <c r="A185" s="3910"/>
      <c r="B185" s="7716" t="s">
        <v>965</v>
      </c>
      <c r="C185" s="7716"/>
      <c r="D185" s="1262" t="s">
        <v>2191</v>
      </c>
      <c r="E185" s="1179"/>
      <c r="F185" s="1179"/>
      <c r="G185" s="1179"/>
      <c r="H185" s="1179"/>
      <c r="I185" s="1179"/>
      <c r="J185" s="1179"/>
      <c r="K185" s="1179"/>
      <c r="L185" s="1179"/>
      <c r="M185" s="1179"/>
      <c r="N185" s="1179"/>
      <c r="O185" s="1560" t="s">
        <v>2472</v>
      </c>
      <c r="P185" s="7910" t="str">
        <f>IF(P184=0,"",ROUND(P183/P184,4))</f>
        <v/>
      </c>
      <c r="Q185" s="7911"/>
      <c r="R185" s="7911"/>
      <c r="S185" s="7911"/>
      <c r="T185" s="7911"/>
      <c r="U185" s="7911"/>
      <c r="V185" s="7912"/>
      <c r="W185" s="7910" t="str">
        <f>IF(W184=0,"",ROUND(W183/W184,4))</f>
        <v/>
      </c>
      <c r="X185" s="7911"/>
      <c r="Y185" s="7911"/>
      <c r="Z185" s="7911"/>
      <c r="AA185" s="7911"/>
      <c r="AB185" s="7911"/>
      <c r="AC185" s="7912"/>
      <c r="AD185" s="7913" t="str">
        <f>IF(AD184=0,"",ROUND(AD183/AD184,4))</f>
        <v/>
      </c>
      <c r="AE185" s="7914"/>
      <c r="AF185" s="7914"/>
      <c r="AG185" s="7914"/>
      <c r="AH185" s="7914"/>
      <c r="AI185" s="7915"/>
      <c r="AJ185" s="7724"/>
      <c r="AK185" s="6792"/>
      <c r="AL185" s="1582"/>
      <c r="AM185" s="1179"/>
      <c r="AN185" s="1179"/>
      <c r="AO185" s="1179"/>
      <c r="AP185" s="2757"/>
      <c r="AQ185" s="1179"/>
      <c r="AR185" s="1179"/>
      <c r="AS185" s="1179"/>
      <c r="AT185" s="1179"/>
      <c r="AU185" s="1179"/>
      <c r="AV185" s="1179"/>
      <c r="AW185" s="1179"/>
      <c r="AX185" s="3013"/>
      <c r="AY185" s="3851"/>
      <c r="AZ185" s="3851"/>
      <c r="BA185" s="3851"/>
      <c r="BB185" s="3851"/>
      <c r="BC185" s="3851"/>
      <c r="BD185" s="3851"/>
      <c r="BE185" s="3851"/>
      <c r="BF185" s="3851"/>
      <c r="BG185" s="3851"/>
      <c r="BH185" s="3851"/>
    </row>
    <row r="186" spans="1:60" ht="13.5" customHeight="1">
      <c r="A186" s="3910"/>
      <c r="B186" s="7716" t="s">
        <v>2133</v>
      </c>
      <c r="C186" s="7716"/>
      <c r="D186" s="1262" t="s">
        <v>2192</v>
      </c>
      <c r="E186" s="1179"/>
      <c r="F186" s="1179"/>
      <c r="G186" s="1179"/>
      <c r="H186" s="1179"/>
      <c r="I186" s="1179"/>
      <c r="J186" s="1179"/>
      <c r="K186" s="1179"/>
      <c r="L186" s="1179"/>
      <c r="M186" s="1179"/>
      <c r="N186" s="1179"/>
      <c r="O186" s="1560" t="s">
        <v>2514</v>
      </c>
      <c r="P186" s="7842" t="str">
        <f>IF(OR(P182="",P185=""),"",P182*P185)</f>
        <v/>
      </c>
      <c r="Q186" s="7843"/>
      <c r="R186" s="7843"/>
      <c r="S186" s="7843"/>
      <c r="T186" s="7843"/>
      <c r="U186" s="7843"/>
      <c r="V186" s="7844"/>
      <c r="W186" s="7842" t="str">
        <f>IF(OR(W182="",W185=""),"",W182*W185)</f>
        <v/>
      </c>
      <c r="X186" s="7843"/>
      <c r="Y186" s="7843"/>
      <c r="Z186" s="7843"/>
      <c r="AA186" s="7843"/>
      <c r="AB186" s="7843"/>
      <c r="AC186" s="7844"/>
      <c r="AD186" s="7842" t="str">
        <f>IF(OR(AD182="",AD185=""),"",AD182*AD185)</f>
        <v/>
      </c>
      <c r="AE186" s="7843"/>
      <c r="AF186" s="7843"/>
      <c r="AG186" s="7843"/>
      <c r="AH186" s="7843"/>
      <c r="AI186" s="7844"/>
      <c r="AJ186" s="7724"/>
      <c r="AK186" s="6792"/>
      <c r="AL186" s="1582"/>
      <c r="AM186" s="1179"/>
      <c r="AN186" s="1179"/>
      <c r="AO186" s="1179"/>
      <c r="AP186" s="2757"/>
      <c r="AQ186" s="1179"/>
      <c r="AR186" s="1179"/>
      <c r="AS186" s="1179"/>
      <c r="AT186" s="1179"/>
      <c r="AU186" s="1179"/>
      <c r="AV186" s="1179"/>
      <c r="AW186" s="1179"/>
      <c r="AX186" s="3013"/>
      <c r="AY186" s="3851"/>
      <c r="AZ186" s="3851"/>
      <c r="BA186" s="3851"/>
      <c r="BB186" s="3851"/>
      <c r="BC186" s="3851"/>
      <c r="BD186" s="3851"/>
      <c r="BE186" s="3851"/>
      <c r="BF186" s="3851"/>
      <c r="BG186" s="3851"/>
      <c r="BH186" s="3851"/>
    </row>
    <row r="187" spans="1:60" ht="13.5" customHeight="1">
      <c r="A187" s="3910"/>
      <c r="B187" s="7924" t="s">
        <v>151</v>
      </c>
      <c r="C187" s="7766"/>
      <c r="D187" s="1262" t="s">
        <v>2494</v>
      </c>
      <c r="E187" s="1179"/>
      <c r="F187" s="1179"/>
      <c r="G187" s="1179"/>
      <c r="H187" s="1179"/>
      <c r="I187" s="1179"/>
      <c r="J187" s="1179"/>
      <c r="K187" s="1179"/>
      <c r="L187" s="1179"/>
      <c r="M187" s="1179"/>
      <c r="N187" s="1179"/>
      <c r="O187" s="1179"/>
      <c r="P187" s="2819"/>
      <c r="Q187" s="2820"/>
      <c r="R187" s="2820"/>
      <c r="S187" s="2820"/>
      <c r="T187" s="2820"/>
      <c r="U187" s="2820"/>
      <c r="V187" s="2821"/>
      <c r="W187" s="2819"/>
      <c r="X187" s="2820"/>
      <c r="Y187" s="2820"/>
      <c r="Z187" s="2820"/>
      <c r="AA187" s="2820"/>
      <c r="AB187" s="2820"/>
      <c r="AC187" s="2821"/>
      <c r="AD187" s="2819"/>
      <c r="AE187" s="2820"/>
      <c r="AF187" s="2820"/>
      <c r="AG187" s="2820"/>
      <c r="AH187" s="2820"/>
      <c r="AI187" s="2821"/>
      <c r="AJ187" s="7724"/>
      <c r="AK187" s="6792"/>
      <c r="AL187" s="1582"/>
      <c r="AM187" s="1179"/>
      <c r="AN187" s="1179"/>
      <c r="AO187" s="1179"/>
      <c r="AP187" s="2757"/>
      <c r="AQ187" s="1179"/>
      <c r="AR187" s="1179"/>
      <c r="AS187" s="1179"/>
      <c r="AT187" s="1179"/>
      <c r="AU187" s="1179"/>
      <c r="AV187" s="1179"/>
      <c r="AW187" s="1179"/>
      <c r="AX187" s="3013"/>
      <c r="AY187" s="3851"/>
      <c r="AZ187" s="3851"/>
      <c r="BA187" s="3851"/>
      <c r="BB187" s="3851"/>
      <c r="BC187" s="3851"/>
      <c r="BD187" s="3851"/>
      <c r="BE187" s="3851"/>
      <c r="BF187" s="3851"/>
      <c r="BG187" s="3851"/>
      <c r="BH187" s="3851"/>
    </row>
    <row r="188" spans="1:60" ht="13.5" customHeight="1">
      <c r="A188" s="3910"/>
      <c r="B188" s="7716" t="s">
        <v>33</v>
      </c>
      <c r="C188" s="7716"/>
      <c r="D188" s="1262" t="s">
        <v>2194</v>
      </c>
      <c r="E188" s="1179"/>
      <c r="F188" s="1179"/>
      <c r="G188" s="1179"/>
      <c r="H188" s="1179"/>
      <c r="I188" s="1179"/>
      <c r="J188" s="1179"/>
      <c r="K188" s="1179"/>
      <c r="L188" s="1179"/>
      <c r="M188" s="1179"/>
      <c r="N188" s="1179"/>
      <c r="O188" s="1179"/>
      <c r="P188" s="2822"/>
      <c r="Q188" s="1276"/>
      <c r="R188" s="1276"/>
      <c r="S188" s="1276"/>
      <c r="T188" s="1276"/>
      <c r="U188" s="1276"/>
      <c r="V188" s="2823"/>
      <c r="W188" s="1276"/>
      <c r="X188" s="1276"/>
      <c r="Y188" s="1276"/>
      <c r="Z188" s="1276"/>
      <c r="AA188" s="1276"/>
      <c r="AB188" s="1276"/>
      <c r="AC188" s="2823"/>
      <c r="AD188" s="1276"/>
      <c r="AE188" s="1276"/>
      <c r="AF188" s="1276"/>
      <c r="AG188" s="1276"/>
      <c r="AH188" s="1276"/>
      <c r="AI188" s="2823"/>
      <c r="AJ188" s="7724"/>
      <c r="AK188" s="6792"/>
      <c r="AL188" s="1582"/>
      <c r="AM188" s="1179"/>
      <c r="AN188" s="1179"/>
      <c r="AO188" s="1179"/>
      <c r="AP188" s="2757"/>
      <c r="AQ188" s="1179"/>
      <c r="AR188" s="1179"/>
      <c r="AS188" s="1179"/>
      <c r="AT188" s="1179"/>
      <c r="AU188" s="1179"/>
      <c r="AV188" s="1179"/>
      <c r="AW188" s="1179"/>
      <c r="AX188" s="3013"/>
      <c r="AY188" s="3851"/>
      <c r="AZ188" s="3851"/>
      <c r="BA188" s="3851"/>
      <c r="BB188" s="3851"/>
      <c r="BC188" s="3851"/>
      <c r="BD188" s="3851"/>
      <c r="BE188" s="3851"/>
      <c r="BF188" s="3851"/>
      <c r="BG188" s="3851"/>
      <c r="BH188" s="3851"/>
    </row>
    <row r="189" spans="1:60">
      <c r="A189" s="3910"/>
      <c r="B189" s="3771"/>
      <c r="C189" s="3771"/>
      <c r="D189" s="1262" t="s">
        <v>2195</v>
      </c>
      <c r="E189" s="1179"/>
      <c r="F189" s="1179"/>
      <c r="G189" s="1179"/>
      <c r="H189" s="1179"/>
      <c r="I189" s="1179"/>
      <c r="J189" s="1179"/>
      <c r="K189" s="1179"/>
      <c r="L189" s="1179"/>
      <c r="M189" s="1179"/>
      <c r="N189" s="1179"/>
      <c r="O189" s="1560" t="s">
        <v>2472</v>
      </c>
      <c r="P189" s="7763"/>
      <c r="Q189" s="7764"/>
      <c r="R189" s="7764"/>
      <c r="S189" s="7764"/>
      <c r="T189" s="7764"/>
      <c r="U189" s="7764"/>
      <c r="V189" s="7765"/>
      <c r="W189" s="7763"/>
      <c r="X189" s="7764"/>
      <c r="Y189" s="7764"/>
      <c r="Z189" s="7764"/>
      <c r="AA189" s="7764"/>
      <c r="AB189" s="7764"/>
      <c r="AC189" s="7765"/>
      <c r="AD189" s="7763"/>
      <c r="AE189" s="7764"/>
      <c r="AF189" s="7764"/>
      <c r="AG189" s="7764"/>
      <c r="AH189" s="7764"/>
      <c r="AI189" s="7765"/>
      <c r="AJ189" s="7724"/>
      <c r="AK189" s="6792"/>
      <c r="AL189" s="1582"/>
      <c r="AM189" s="1179"/>
      <c r="AN189" s="1179"/>
      <c r="AO189" s="1179"/>
      <c r="AP189" s="2757"/>
      <c r="AQ189" s="1179"/>
      <c r="AR189" s="1179"/>
      <c r="AS189" s="1179"/>
      <c r="AT189" s="1179"/>
      <c r="AU189" s="1179"/>
      <c r="AV189" s="1179"/>
      <c r="AW189" s="1179"/>
      <c r="AX189" s="3013"/>
      <c r="AY189" s="3851"/>
      <c r="AZ189" s="3851"/>
      <c r="BA189" s="3851"/>
      <c r="BB189" s="3851"/>
      <c r="BC189" s="3851"/>
      <c r="BD189" s="3851"/>
      <c r="BE189" s="3851"/>
      <c r="BF189" s="3851"/>
      <c r="BG189" s="3851"/>
      <c r="BH189" s="3851"/>
    </row>
    <row r="190" spans="1:60" s="2689" customFormat="1" ht="15">
      <c r="A190" s="3910"/>
      <c r="B190" s="7716" t="s">
        <v>47</v>
      </c>
      <c r="C190" s="7716"/>
      <c r="D190" s="1262" t="s">
        <v>2193</v>
      </c>
      <c r="E190" s="1179"/>
      <c r="F190" s="1179"/>
      <c r="G190" s="1179"/>
      <c r="H190" s="1179"/>
      <c r="I190" s="1179"/>
      <c r="J190" s="1179"/>
      <c r="K190" s="1179"/>
      <c r="L190" s="1179"/>
      <c r="M190" s="1179"/>
      <c r="N190" s="1179"/>
      <c r="O190" s="1560" t="s">
        <v>2514</v>
      </c>
      <c r="P190" s="7763"/>
      <c r="Q190" s="7764"/>
      <c r="R190" s="7764"/>
      <c r="S190" s="7764"/>
      <c r="T190" s="7764"/>
      <c r="U190" s="7764"/>
      <c r="V190" s="7765"/>
      <c r="W190" s="7763"/>
      <c r="X190" s="7764"/>
      <c r="Y190" s="7764"/>
      <c r="Z190" s="7764"/>
      <c r="AA190" s="7764"/>
      <c r="AB190" s="7764"/>
      <c r="AC190" s="7765"/>
      <c r="AD190" s="7763"/>
      <c r="AE190" s="7764"/>
      <c r="AF190" s="7764"/>
      <c r="AG190" s="7764"/>
      <c r="AH190" s="7764"/>
      <c r="AI190" s="7765"/>
      <c r="AJ190" s="7724"/>
      <c r="AK190" s="6792"/>
      <c r="AL190" s="1582"/>
      <c r="AM190" s="1179"/>
      <c r="AN190" s="1179"/>
      <c r="AO190" s="1179"/>
      <c r="AP190" s="2757"/>
      <c r="AQ190" s="1179"/>
      <c r="AR190" s="1179"/>
      <c r="AS190" s="1179"/>
      <c r="AT190" s="1179"/>
      <c r="AU190" s="1179"/>
      <c r="AV190" s="1179"/>
      <c r="AW190" s="1179"/>
      <c r="AX190" s="3013"/>
      <c r="AY190" s="3851"/>
      <c r="AZ190" s="3851"/>
      <c r="BA190" s="3851"/>
      <c r="BB190" s="3851"/>
      <c r="BC190" s="3851"/>
      <c r="BD190" s="3851"/>
      <c r="BE190" s="3851"/>
      <c r="BF190" s="3851"/>
      <c r="BG190" s="3851"/>
      <c r="BH190" s="3851"/>
    </row>
    <row r="191" spans="1:60" s="2689" customFormat="1" ht="12" customHeight="1">
      <c r="A191" s="3910"/>
      <c r="B191" s="7924" t="s">
        <v>200</v>
      </c>
      <c r="C191" s="7766"/>
      <c r="D191" s="1262" t="s">
        <v>2196</v>
      </c>
      <c r="E191" s="1179"/>
      <c r="F191" s="1179"/>
      <c r="G191" s="1179"/>
      <c r="H191" s="1179"/>
      <c r="I191" s="1179"/>
      <c r="J191" s="1179"/>
      <c r="K191" s="1179"/>
      <c r="L191" s="1179"/>
      <c r="M191" s="1179"/>
      <c r="N191" s="1179"/>
      <c r="O191" s="1560" t="s">
        <v>1978</v>
      </c>
      <c r="P191" s="7763"/>
      <c r="Q191" s="7764"/>
      <c r="R191" s="7764"/>
      <c r="S191" s="7764"/>
      <c r="T191" s="7764"/>
      <c r="U191" s="7764"/>
      <c r="V191" s="7765"/>
      <c r="W191" s="7763"/>
      <c r="X191" s="7764"/>
      <c r="Y191" s="7764"/>
      <c r="Z191" s="7764"/>
      <c r="AA191" s="7764"/>
      <c r="AB191" s="7764"/>
      <c r="AC191" s="7765"/>
      <c r="AD191" s="7763"/>
      <c r="AE191" s="7764"/>
      <c r="AF191" s="7764"/>
      <c r="AG191" s="7764"/>
      <c r="AH191" s="7764"/>
      <c r="AI191" s="7765"/>
      <c r="AJ191" s="7724"/>
      <c r="AK191" s="6792"/>
      <c r="AL191" s="1582"/>
      <c r="AM191" s="1179"/>
      <c r="AN191" s="1179"/>
      <c r="AO191" s="1179"/>
      <c r="AP191" s="2757"/>
      <c r="AQ191" s="2757"/>
      <c r="AR191" s="2757"/>
      <c r="AS191" s="2757"/>
      <c r="AT191" s="2757"/>
      <c r="AU191" s="2757"/>
      <c r="AV191" s="1179"/>
      <c r="AW191" s="1179"/>
      <c r="AX191" s="3013"/>
      <c r="AY191" s="3851"/>
      <c r="AZ191" s="3851"/>
      <c r="BA191" s="3851"/>
      <c r="BB191" s="3851"/>
      <c r="BC191" s="3851"/>
      <c r="BD191" s="3851"/>
      <c r="BE191" s="3851"/>
      <c r="BF191" s="3851"/>
      <c r="BG191" s="3851"/>
      <c r="BH191" s="3851"/>
    </row>
    <row r="192" spans="1:60" s="2689" customFormat="1" ht="12" customHeight="1">
      <c r="A192" s="3910"/>
      <c r="B192" s="7766">
        <v>6</v>
      </c>
      <c r="C192" s="7766"/>
      <c r="D192" s="1276" t="s">
        <v>2197</v>
      </c>
      <c r="E192" s="1179"/>
      <c r="F192" s="1179"/>
      <c r="G192" s="1179"/>
      <c r="H192" s="1179"/>
      <c r="I192" s="1179"/>
      <c r="J192" s="1179"/>
      <c r="K192" s="1179"/>
      <c r="L192" s="1179"/>
      <c r="M192" s="1179"/>
      <c r="N192" s="1179"/>
      <c r="O192" s="1560" t="s">
        <v>1978</v>
      </c>
      <c r="P192" s="7842">
        <f>SUM(P176,P186,P189,P190,P191)</f>
        <v>0</v>
      </c>
      <c r="Q192" s="7843"/>
      <c r="R192" s="7843"/>
      <c r="S192" s="7843"/>
      <c r="T192" s="7843"/>
      <c r="U192" s="7843"/>
      <c r="V192" s="7844"/>
      <c r="W192" s="7842">
        <f>SUM(W176,W186,W189,W190,W191)</f>
        <v>0</v>
      </c>
      <c r="X192" s="7843"/>
      <c r="Y192" s="7843"/>
      <c r="Z192" s="7843"/>
      <c r="AA192" s="7843"/>
      <c r="AB192" s="7843"/>
      <c r="AC192" s="7844"/>
      <c r="AD192" s="7842">
        <f>SUM(AD176,AD186,AD189,AD190,AD191)</f>
        <v>0</v>
      </c>
      <c r="AE192" s="7843"/>
      <c r="AF192" s="7843"/>
      <c r="AG192" s="7843"/>
      <c r="AH192" s="7843"/>
      <c r="AI192" s="7844"/>
      <c r="AJ192" s="7774">
        <v>6</v>
      </c>
      <c r="AK192" s="7089"/>
      <c r="AL192" s="7775" t="str">
        <f>IF(AQ192&lt;&gt;"",ROUND(AQ192,0),IF(AO151=0,"",ROUND(SUM(P192,W192,AD192),0)))</f>
        <v/>
      </c>
      <c r="AM192" s="7776"/>
      <c r="AN192" s="7776"/>
      <c r="AO192" s="7776"/>
      <c r="AP192" s="2757"/>
      <c r="AQ192" s="7752"/>
      <c r="AR192" s="7753"/>
      <c r="AS192" s="7753"/>
      <c r="AT192" s="7753"/>
      <c r="AU192" s="2757"/>
      <c r="AV192" s="1179"/>
      <c r="AW192" s="1179"/>
      <c r="AX192" s="3013"/>
      <c r="AY192" s="3851"/>
      <c r="AZ192" s="3851"/>
      <c r="BA192" s="3851"/>
      <c r="BB192" s="3851"/>
      <c r="BC192" s="3851"/>
      <c r="BD192" s="3851"/>
      <c r="BE192" s="3851"/>
      <c r="BF192" s="3851"/>
      <c r="BG192" s="3851"/>
      <c r="BH192" s="3851"/>
    </row>
    <row r="193" spans="1:60" s="2689" customFormat="1" ht="12" customHeight="1">
      <c r="A193" s="3910"/>
      <c r="B193" s="7840">
        <v>7</v>
      </c>
      <c r="C193" s="7840"/>
      <c r="D193" s="2817" t="s">
        <v>2198</v>
      </c>
      <c r="E193" s="1554"/>
      <c r="F193" s="1554"/>
      <c r="G193" s="1554"/>
      <c r="H193" s="1554"/>
      <c r="I193" s="1554"/>
      <c r="J193" s="1554"/>
      <c r="K193" s="1554"/>
      <c r="L193" s="1554"/>
      <c r="M193" s="1554"/>
      <c r="N193" s="1554"/>
      <c r="O193" s="1554"/>
      <c r="P193" s="1554"/>
      <c r="Q193" s="1554"/>
      <c r="R193" s="1554"/>
      <c r="S193" s="1554"/>
      <c r="T193" s="1554"/>
      <c r="U193" s="1554"/>
      <c r="V193" s="1554"/>
      <c r="W193" s="1554"/>
      <c r="X193" s="1554"/>
      <c r="Y193" s="1554"/>
      <c r="Z193" s="1554"/>
      <c r="AA193" s="1554"/>
      <c r="AB193" s="1554"/>
      <c r="AC193" s="1554"/>
      <c r="AD193" s="1554"/>
      <c r="AE193" s="1554"/>
      <c r="AF193" s="1554"/>
      <c r="AG193" s="1554"/>
      <c r="AH193" s="1554"/>
      <c r="AI193" s="1560" t="s">
        <v>1625</v>
      </c>
      <c r="AJ193" s="7800">
        <v>7</v>
      </c>
      <c r="AK193" s="7841"/>
      <c r="AL193" s="7775" t="str">
        <f>IF(AQ193&lt;&gt;"",ROUND(AQ193,0),IF(AO151=0,"",ROUND(SUM(AL167,-AL192),0)))</f>
        <v/>
      </c>
      <c r="AM193" s="7776"/>
      <c r="AN193" s="7776"/>
      <c r="AO193" s="7776"/>
      <c r="AP193" s="2757"/>
      <c r="AQ193" s="7752"/>
      <c r="AR193" s="7753"/>
      <c r="AS193" s="7753"/>
      <c r="AT193" s="7753"/>
      <c r="AU193" s="2757"/>
      <c r="AV193" s="1179"/>
      <c r="AW193" s="1179"/>
      <c r="AX193" s="3013"/>
      <c r="AY193" s="3851"/>
      <c r="AZ193" s="3851"/>
      <c r="BA193" s="3851"/>
      <c r="BB193" s="3851"/>
      <c r="BC193" s="3851"/>
      <c r="BD193" s="3851"/>
      <c r="BE193" s="3851"/>
      <c r="BF193" s="3851"/>
      <c r="BG193" s="3851"/>
      <c r="BH193" s="3851"/>
    </row>
    <row r="194" spans="1:60" s="2689" customFormat="1" ht="18">
      <c r="A194" s="3912"/>
      <c r="B194" s="7220" t="s">
        <v>118</v>
      </c>
      <c r="C194" s="7220"/>
      <c r="D194" s="7221"/>
      <c r="E194" s="7921" t="s">
        <v>3008</v>
      </c>
      <c r="F194" s="7922"/>
      <c r="G194" s="7922"/>
      <c r="H194" s="7922"/>
      <c r="I194" s="7922"/>
      <c r="J194" s="7922"/>
      <c r="K194" s="7922"/>
      <c r="L194" s="7922"/>
      <c r="M194" s="7922"/>
      <c r="N194" s="7922"/>
      <c r="O194" s="7922"/>
      <c r="P194" s="7922"/>
      <c r="Q194" s="7922"/>
      <c r="R194" s="7922"/>
      <c r="S194" s="7922"/>
      <c r="T194" s="7922"/>
      <c r="U194" s="7922"/>
      <c r="V194" s="7922"/>
      <c r="W194" s="7922"/>
      <c r="X194" s="7922"/>
      <c r="Y194" s="7922"/>
      <c r="Z194" s="7922"/>
      <c r="AA194" s="7922"/>
      <c r="AB194" s="7922"/>
      <c r="AC194" s="7922"/>
      <c r="AD194" s="7922"/>
      <c r="AE194" s="7922"/>
      <c r="AF194" s="7922"/>
      <c r="AG194" s="7922"/>
      <c r="AH194" s="7922"/>
      <c r="AI194" s="7922"/>
      <c r="AJ194" s="7922"/>
      <c r="AK194" s="7922"/>
      <c r="AL194" s="7922"/>
      <c r="AM194" s="7922"/>
      <c r="AN194" s="7922"/>
      <c r="AO194" s="7922"/>
      <c r="AP194" s="2757"/>
      <c r="AQ194" s="2757"/>
      <c r="AR194" s="2757"/>
      <c r="AS194" s="2757"/>
      <c r="AT194" s="2757"/>
      <c r="AU194" s="2757"/>
      <c r="AV194" s="1540"/>
      <c r="AW194" s="1540"/>
      <c r="AX194" s="3013"/>
      <c r="AY194" s="3851"/>
      <c r="AZ194" s="3851"/>
      <c r="BA194" s="3851"/>
      <c r="BB194" s="3851"/>
      <c r="BC194" s="3851"/>
      <c r="BD194" s="3851"/>
      <c r="BE194" s="3851"/>
      <c r="BF194" s="3851"/>
      <c r="BG194" s="3851"/>
      <c r="BH194" s="3851"/>
    </row>
    <row r="195" spans="1:60" ht="8.25" customHeight="1">
      <c r="A195" s="3912"/>
      <c r="B195" s="7883" t="s">
        <v>2207</v>
      </c>
      <c r="C195" s="7886" t="s">
        <v>2521</v>
      </c>
      <c r="D195" s="7325"/>
      <c r="E195" s="7325"/>
      <c r="F195" s="7325"/>
      <c r="G195" s="7326"/>
      <c r="H195" s="7887" t="s">
        <v>2240</v>
      </c>
      <c r="I195" s="7888"/>
      <c r="J195" s="7888"/>
      <c r="K195" s="7888"/>
      <c r="L195" s="7888"/>
      <c r="M195" s="7888"/>
      <c r="N195" s="7888"/>
      <c r="O195" s="7888"/>
      <c r="P195" s="7888"/>
      <c r="Q195" s="7888"/>
      <c r="R195" s="7888"/>
      <c r="S195" s="7888"/>
      <c r="T195" s="7888"/>
      <c r="U195" s="7888"/>
      <c r="V195" s="7888"/>
      <c r="W195" s="7888"/>
      <c r="X195" s="7888"/>
      <c r="Y195" s="7888"/>
      <c r="Z195" s="7888"/>
      <c r="AA195" s="7888"/>
      <c r="AB195" s="7888"/>
      <c r="AC195" s="7888"/>
      <c r="AD195" s="7888"/>
      <c r="AE195" s="7888"/>
      <c r="AF195" s="7888"/>
      <c r="AG195" s="7888"/>
      <c r="AH195" s="7888"/>
      <c r="AI195" s="7888"/>
      <c r="AJ195" s="7888"/>
      <c r="AK195" s="7888"/>
      <c r="AL195" s="7888"/>
      <c r="AM195" s="7888"/>
      <c r="AN195" s="7888"/>
      <c r="AO195" s="7888"/>
      <c r="AP195" s="2757"/>
      <c r="AQ195" s="1540"/>
      <c r="AR195" s="1540"/>
      <c r="AS195" s="1540"/>
      <c r="AT195" s="1540"/>
      <c r="AU195" s="1540"/>
      <c r="AV195" s="1540"/>
      <c r="AW195" s="1540"/>
      <c r="AX195" s="3013"/>
      <c r="AY195" s="3851"/>
      <c r="AZ195" s="3851"/>
      <c r="BA195" s="3851"/>
      <c r="BB195" s="3851"/>
      <c r="BC195" s="3851"/>
      <c r="BD195" s="3851"/>
      <c r="BE195" s="3851"/>
      <c r="BF195" s="3851"/>
      <c r="BG195" s="3851"/>
      <c r="BH195" s="3851"/>
    </row>
    <row r="196" spans="1:60" ht="15">
      <c r="A196" s="3912"/>
      <c r="B196" s="7884"/>
      <c r="C196" s="7262"/>
      <c r="D196" s="7263"/>
      <c r="E196" s="7263"/>
      <c r="F196" s="7263"/>
      <c r="G196" s="7130"/>
      <c r="H196" s="7889"/>
      <c r="I196" s="7890"/>
      <c r="J196" s="7890"/>
      <c r="K196" s="7890"/>
      <c r="L196" s="7890"/>
      <c r="M196" s="7890"/>
      <c r="N196" s="7890"/>
      <c r="O196" s="7890"/>
      <c r="P196" s="7890"/>
      <c r="Q196" s="7890"/>
      <c r="R196" s="7890"/>
      <c r="S196" s="7890"/>
      <c r="T196" s="7890"/>
      <c r="U196" s="7890"/>
      <c r="V196" s="7890"/>
      <c r="W196" s="7890"/>
      <c r="X196" s="7890"/>
      <c r="Y196" s="7890"/>
      <c r="Z196" s="7890"/>
      <c r="AA196" s="7890"/>
      <c r="AB196" s="7890"/>
      <c r="AC196" s="7890"/>
      <c r="AD196" s="7890"/>
      <c r="AE196" s="7890"/>
      <c r="AF196" s="7890"/>
      <c r="AG196" s="7890"/>
      <c r="AH196" s="7890"/>
      <c r="AI196" s="7890"/>
      <c r="AJ196" s="7890"/>
      <c r="AK196" s="7890"/>
      <c r="AL196" s="7890"/>
      <c r="AM196" s="7890"/>
      <c r="AN196" s="7890"/>
      <c r="AO196" s="7890"/>
      <c r="AP196" s="2757"/>
      <c r="AQ196" s="1540"/>
      <c r="AR196" s="1540"/>
      <c r="AS196" s="1540"/>
      <c r="AT196" s="1540"/>
      <c r="AU196" s="1540"/>
      <c r="AV196" s="1540"/>
      <c r="AW196" s="1540"/>
      <c r="AX196" s="3013"/>
      <c r="AY196" s="3851"/>
      <c r="AZ196" s="3851"/>
      <c r="BA196" s="3851"/>
      <c r="BB196" s="3851"/>
      <c r="BC196" s="3851"/>
      <c r="BD196" s="3851"/>
      <c r="BE196" s="3851"/>
      <c r="BF196" s="3851"/>
      <c r="BG196" s="3851"/>
      <c r="BH196" s="3851"/>
    </row>
    <row r="197" spans="1:60" ht="8.25" customHeight="1">
      <c r="A197" s="3912"/>
      <c r="B197" s="7884"/>
      <c r="C197" s="7262"/>
      <c r="D197" s="7263"/>
      <c r="E197" s="7263"/>
      <c r="F197" s="7263"/>
      <c r="G197" s="7130"/>
      <c r="H197" s="7891"/>
      <c r="I197" s="7892"/>
      <c r="J197" s="7892"/>
      <c r="K197" s="7892"/>
      <c r="L197" s="7892"/>
      <c r="M197" s="7892"/>
      <c r="N197" s="7892"/>
      <c r="O197" s="7892"/>
      <c r="P197" s="7892"/>
      <c r="Q197" s="7892"/>
      <c r="R197" s="7892"/>
      <c r="S197" s="7892"/>
      <c r="T197" s="7892"/>
      <c r="U197" s="7892"/>
      <c r="V197" s="7892"/>
      <c r="W197" s="7892"/>
      <c r="X197" s="7892"/>
      <c r="Y197" s="7892"/>
      <c r="Z197" s="7892"/>
      <c r="AA197" s="7892"/>
      <c r="AB197" s="7892"/>
      <c r="AC197" s="7892"/>
      <c r="AD197" s="7892"/>
      <c r="AE197" s="7892"/>
      <c r="AF197" s="7892"/>
      <c r="AG197" s="7892"/>
      <c r="AH197" s="7892"/>
      <c r="AI197" s="7892"/>
      <c r="AJ197" s="7892"/>
      <c r="AK197" s="7892"/>
      <c r="AL197" s="7892"/>
      <c r="AM197" s="7892"/>
      <c r="AN197" s="7892"/>
      <c r="AO197" s="7892"/>
      <c r="AP197" s="2757"/>
      <c r="AQ197" s="1540"/>
      <c r="AR197" s="1540"/>
      <c r="AS197" s="1540"/>
      <c r="AT197" s="1540"/>
      <c r="AU197" s="1540"/>
      <c r="AV197" s="1540"/>
      <c r="AW197" s="1540"/>
      <c r="AX197" s="3013"/>
      <c r="AY197" s="3851"/>
      <c r="AZ197" s="3851"/>
      <c r="BA197" s="3851"/>
      <c r="BB197" s="3851"/>
      <c r="BC197" s="3851"/>
      <c r="BD197" s="3851"/>
      <c r="BE197" s="3851"/>
      <c r="BF197" s="3851"/>
      <c r="BG197" s="3851"/>
      <c r="BH197" s="3851"/>
    </row>
    <row r="198" spans="1:60" ht="12" customHeight="1">
      <c r="A198" s="3912"/>
      <c r="B198" s="7884"/>
      <c r="C198" s="2810">
        <f>IF(E198&lt;&gt;"",1,0)</f>
        <v>1</v>
      </c>
      <c r="D198" s="1824" t="s">
        <v>2495</v>
      </c>
      <c r="E198" s="1182" t="s">
        <v>1262</v>
      </c>
      <c r="F198" s="1857" t="s">
        <v>2205</v>
      </c>
      <c r="G198" s="2796"/>
      <c r="H198" s="7241" t="s">
        <v>2238</v>
      </c>
      <c r="I198" s="7242"/>
      <c r="J198" s="7242"/>
      <c r="K198" s="7242"/>
      <c r="L198" s="7242"/>
      <c r="M198" s="7242"/>
      <c r="N198" s="7242"/>
      <c r="O198" s="7242"/>
      <c r="P198" s="7242"/>
      <c r="Q198" s="7242"/>
      <c r="R198" s="7242"/>
      <c r="S198" s="7242"/>
      <c r="T198" s="7242"/>
      <c r="U198" s="7242"/>
      <c r="V198" s="7242"/>
      <c r="W198" s="7243"/>
      <c r="X198" s="7241" t="s">
        <v>2239</v>
      </c>
      <c r="Y198" s="7226"/>
      <c r="Z198" s="7226"/>
      <c r="AA198" s="7226"/>
      <c r="AB198" s="7226"/>
      <c r="AC198" s="7226"/>
      <c r="AD198" s="7226"/>
      <c r="AE198" s="7226"/>
      <c r="AF198" s="7226"/>
      <c r="AG198" s="7226"/>
      <c r="AH198" s="7226"/>
      <c r="AI198" s="7226"/>
      <c r="AJ198" s="7226"/>
      <c r="AK198" s="7226"/>
      <c r="AL198" s="7226"/>
      <c r="AM198" s="7226"/>
      <c r="AN198" s="7226"/>
      <c r="AO198" s="7226"/>
      <c r="AP198" s="2757"/>
      <c r="AQ198" s="1540"/>
      <c r="AR198" s="1540"/>
      <c r="AS198" s="1540"/>
      <c r="AT198" s="1540"/>
      <c r="AU198" s="1540"/>
      <c r="AV198" s="1540"/>
      <c r="AW198" s="1540"/>
      <c r="AX198" s="3013"/>
      <c r="AY198" s="3851"/>
      <c r="AZ198" s="3851"/>
      <c r="BA198" s="3851"/>
      <c r="BB198" s="3851"/>
      <c r="BC198" s="3851"/>
      <c r="BD198" s="3851"/>
      <c r="BE198" s="3851"/>
      <c r="BF198" s="3851"/>
      <c r="BG198" s="3851"/>
      <c r="BH198" s="3851"/>
    </row>
    <row r="199" spans="1:60" ht="7.5" customHeight="1">
      <c r="A199" s="3910"/>
      <c r="B199" s="7884"/>
      <c r="C199" s="2811"/>
      <c r="D199" s="1276"/>
      <c r="E199" s="1179"/>
      <c r="F199" s="1179"/>
      <c r="G199" s="1583"/>
      <c r="H199" s="7247"/>
      <c r="I199" s="7248"/>
      <c r="J199" s="7248"/>
      <c r="K199" s="7248"/>
      <c r="L199" s="7248"/>
      <c r="M199" s="7248"/>
      <c r="N199" s="7248"/>
      <c r="O199" s="7248"/>
      <c r="P199" s="7248"/>
      <c r="Q199" s="7248"/>
      <c r="R199" s="7248"/>
      <c r="S199" s="7248"/>
      <c r="T199" s="7248"/>
      <c r="U199" s="7248"/>
      <c r="V199" s="7248"/>
      <c r="W199" s="7249"/>
      <c r="X199" s="7893"/>
      <c r="Y199" s="7894"/>
      <c r="Z199" s="7894"/>
      <c r="AA199" s="7894"/>
      <c r="AB199" s="7894"/>
      <c r="AC199" s="7894"/>
      <c r="AD199" s="7894"/>
      <c r="AE199" s="7894"/>
      <c r="AF199" s="7894"/>
      <c r="AG199" s="7894"/>
      <c r="AH199" s="7894"/>
      <c r="AI199" s="7894"/>
      <c r="AJ199" s="7894"/>
      <c r="AK199" s="7894"/>
      <c r="AL199" s="7894"/>
      <c r="AM199" s="7894"/>
      <c r="AN199" s="7894"/>
      <c r="AO199" s="7894"/>
      <c r="AP199" s="2757"/>
      <c r="AQ199" s="1179"/>
      <c r="AR199" s="1179"/>
      <c r="AS199" s="1179"/>
      <c r="AT199" s="1179"/>
      <c r="AU199" s="1179"/>
      <c r="AV199" s="1179"/>
      <c r="AW199" s="1179"/>
      <c r="AX199" s="3013"/>
      <c r="AY199" s="3851"/>
      <c r="AZ199" s="3851"/>
      <c r="BA199" s="3851"/>
      <c r="BB199" s="3851"/>
      <c r="BC199" s="3851"/>
      <c r="BD199" s="3851"/>
      <c r="BE199" s="3851"/>
      <c r="BF199" s="3851"/>
      <c r="BG199" s="3851"/>
      <c r="BH199" s="3851"/>
    </row>
    <row r="200" spans="1:60" ht="9.75" customHeight="1">
      <c r="A200" s="3910"/>
      <c r="B200" s="7884"/>
      <c r="C200" s="2810">
        <f>IF(E200&lt;&gt;"",1,0)</f>
        <v>0</v>
      </c>
      <c r="D200" s="1444" t="s">
        <v>2496</v>
      </c>
      <c r="E200" s="1182"/>
      <c r="F200" s="1857" t="s">
        <v>2199</v>
      </c>
      <c r="G200" s="2798"/>
      <c r="H200" s="7324" t="s">
        <v>2201</v>
      </c>
      <c r="I200" s="7325"/>
      <c r="J200" s="7325"/>
      <c r="K200" s="7325"/>
      <c r="L200" s="7325"/>
      <c r="M200" s="7325"/>
      <c r="N200" s="7325"/>
      <c r="O200" s="7325"/>
      <c r="P200" s="7325"/>
      <c r="Q200" s="7325"/>
      <c r="R200" s="7325"/>
      <c r="S200" s="7326"/>
      <c r="T200" s="7324" t="s">
        <v>2501</v>
      </c>
      <c r="U200" s="7325"/>
      <c r="V200" s="7325"/>
      <c r="W200" s="7326"/>
      <c r="X200" s="7324" t="s">
        <v>2201</v>
      </c>
      <c r="Y200" s="7325"/>
      <c r="Z200" s="7325"/>
      <c r="AA200" s="7325"/>
      <c r="AB200" s="7325"/>
      <c r="AC200" s="7325"/>
      <c r="AD200" s="7325"/>
      <c r="AE200" s="7325"/>
      <c r="AF200" s="7325"/>
      <c r="AG200" s="7325"/>
      <c r="AH200" s="7326"/>
      <c r="AI200" s="7324" t="s">
        <v>2505</v>
      </c>
      <c r="AJ200" s="7325"/>
      <c r="AK200" s="7325"/>
      <c r="AL200" s="7326"/>
      <c r="AM200" s="7324" t="s">
        <v>2518</v>
      </c>
      <c r="AN200" s="7895"/>
      <c r="AO200" s="7895"/>
      <c r="AP200" s="2757"/>
      <c r="AQ200" s="1179"/>
      <c r="AR200" s="1179"/>
      <c r="AS200" s="1179"/>
      <c r="AT200" s="1179"/>
      <c r="AU200" s="1179"/>
      <c r="AV200" s="1179"/>
      <c r="AW200" s="1179"/>
      <c r="AX200" s="3013"/>
      <c r="AY200" s="3851"/>
      <c r="AZ200" s="3851"/>
      <c r="BA200" s="3851"/>
      <c r="BB200" s="3851"/>
      <c r="BC200" s="3851"/>
      <c r="BD200" s="3851"/>
      <c r="BE200" s="3851"/>
      <c r="BF200" s="3851"/>
      <c r="BG200" s="3851"/>
      <c r="BH200" s="3851"/>
    </row>
    <row r="201" spans="1:60" ht="6.75" customHeight="1">
      <c r="A201" s="3910"/>
      <c r="B201" s="7885"/>
      <c r="C201" s="2799"/>
      <c r="D201" s="1570"/>
      <c r="E201" s="1570"/>
      <c r="F201" s="1570"/>
      <c r="G201" s="2800"/>
      <c r="H201" s="7330"/>
      <c r="I201" s="7331"/>
      <c r="J201" s="7331"/>
      <c r="K201" s="7331"/>
      <c r="L201" s="7331"/>
      <c r="M201" s="7331"/>
      <c r="N201" s="7331"/>
      <c r="O201" s="7331"/>
      <c r="P201" s="7331"/>
      <c r="Q201" s="7331"/>
      <c r="R201" s="7331"/>
      <c r="S201" s="7332"/>
      <c r="T201" s="7327"/>
      <c r="U201" s="7328"/>
      <c r="V201" s="7328"/>
      <c r="W201" s="7329"/>
      <c r="X201" s="7330"/>
      <c r="Y201" s="7331"/>
      <c r="Z201" s="7331"/>
      <c r="AA201" s="7331"/>
      <c r="AB201" s="7331"/>
      <c r="AC201" s="7331"/>
      <c r="AD201" s="7331"/>
      <c r="AE201" s="7331"/>
      <c r="AF201" s="7331"/>
      <c r="AG201" s="7331"/>
      <c r="AH201" s="7332"/>
      <c r="AI201" s="7327"/>
      <c r="AJ201" s="7328"/>
      <c r="AK201" s="7328"/>
      <c r="AL201" s="7329"/>
      <c r="AM201" s="7896"/>
      <c r="AN201" s="7897"/>
      <c r="AO201" s="7897"/>
      <c r="AP201" s="2757"/>
      <c r="AQ201" s="1179"/>
      <c r="AR201" s="1179"/>
      <c r="AS201" s="1179"/>
      <c r="AT201" s="1179"/>
      <c r="AU201" s="1179"/>
      <c r="AV201" s="1179"/>
      <c r="AW201" s="1179"/>
      <c r="AX201" s="3013"/>
      <c r="AY201" s="3851"/>
      <c r="AZ201" s="3851"/>
      <c r="BA201" s="3851"/>
      <c r="BB201" s="3851"/>
      <c r="BC201" s="3851"/>
      <c r="BD201" s="3851"/>
      <c r="BE201" s="3851"/>
      <c r="BF201" s="3851"/>
      <c r="BG201" s="3851"/>
      <c r="BH201" s="3851"/>
    </row>
    <row r="202" spans="1:60" ht="12.75" customHeight="1">
      <c r="A202" s="3910"/>
      <c r="B202" s="2795"/>
      <c r="C202" s="7923" t="s">
        <v>2497</v>
      </c>
      <c r="D202" s="7901"/>
      <c r="E202" s="7901"/>
      <c r="F202" s="7901"/>
      <c r="G202" s="7902"/>
      <c r="H202" s="7324" t="s">
        <v>2498</v>
      </c>
      <c r="I202" s="7325"/>
      <c r="J202" s="7325"/>
      <c r="K202" s="7324" t="s">
        <v>2499</v>
      </c>
      <c r="L202" s="7325"/>
      <c r="M202" s="7325"/>
      <c r="N202" s="7325"/>
      <c r="O202" s="7324" t="s">
        <v>2500</v>
      </c>
      <c r="P202" s="7325"/>
      <c r="Q202" s="7325"/>
      <c r="R202" s="7325"/>
      <c r="S202" s="7820"/>
      <c r="T202" s="7327"/>
      <c r="U202" s="7328"/>
      <c r="V202" s="7328"/>
      <c r="W202" s="7329"/>
      <c r="X202" s="7324" t="s">
        <v>2502</v>
      </c>
      <c r="Y202" s="7325"/>
      <c r="Z202" s="7325"/>
      <c r="AA202" s="7324" t="s">
        <v>2503</v>
      </c>
      <c r="AB202" s="7325"/>
      <c r="AC202" s="7325"/>
      <c r="AD202" s="7325"/>
      <c r="AE202" s="7324" t="s">
        <v>2504</v>
      </c>
      <c r="AF202" s="7819"/>
      <c r="AG202" s="7819"/>
      <c r="AH202" s="7820"/>
      <c r="AI202" s="7327"/>
      <c r="AJ202" s="7328"/>
      <c r="AK202" s="7328"/>
      <c r="AL202" s="7329"/>
      <c r="AM202" s="7896"/>
      <c r="AN202" s="7897"/>
      <c r="AO202" s="7897"/>
      <c r="AP202" s="2757"/>
      <c r="AQ202" s="1179"/>
      <c r="AR202" s="1179"/>
      <c r="AS202" s="1179"/>
      <c r="AT202" s="1179"/>
      <c r="AU202" s="1179"/>
      <c r="AV202" s="1179"/>
      <c r="AW202" s="1179"/>
      <c r="AX202" s="3013"/>
      <c r="AY202" s="3851"/>
      <c r="AZ202" s="3851"/>
      <c r="BA202" s="3851"/>
      <c r="BB202" s="3851"/>
      <c r="BC202" s="3851"/>
      <c r="BD202" s="3851"/>
      <c r="BE202" s="3851"/>
      <c r="BF202" s="3851"/>
      <c r="BG202" s="3851"/>
      <c r="BH202" s="3851"/>
    </row>
    <row r="203" spans="1:60" ht="11.25" customHeight="1">
      <c r="A203" s="3910"/>
      <c r="B203" s="2795"/>
      <c r="C203" s="7903"/>
      <c r="D203" s="7904"/>
      <c r="E203" s="7904"/>
      <c r="F203" s="7904"/>
      <c r="G203" s="7905"/>
      <c r="H203" s="7327"/>
      <c r="I203" s="7328"/>
      <c r="J203" s="7328"/>
      <c r="K203" s="7327"/>
      <c r="L203" s="7328"/>
      <c r="M203" s="7328"/>
      <c r="N203" s="7328"/>
      <c r="O203" s="7327"/>
      <c r="P203" s="7328"/>
      <c r="Q203" s="7328"/>
      <c r="R203" s="7328"/>
      <c r="S203" s="7823"/>
      <c r="T203" s="7327"/>
      <c r="U203" s="7328"/>
      <c r="V203" s="7328"/>
      <c r="W203" s="7329"/>
      <c r="X203" s="7327"/>
      <c r="Y203" s="7328"/>
      <c r="Z203" s="7328"/>
      <c r="AA203" s="7327"/>
      <c r="AB203" s="7328"/>
      <c r="AC203" s="7328"/>
      <c r="AD203" s="7328"/>
      <c r="AE203" s="7821"/>
      <c r="AF203" s="7822"/>
      <c r="AG203" s="7822"/>
      <c r="AH203" s="7823"/>
      <c r="AI203" s="7327"/>
      <c r="AJ203" s="7328"/>
      <c r="AK203" s="7328"/>
      <c r="AL203" s="7329"/>
      <c r="AM203" s="7896"/>
      <c r="AN203" s="7897"/>
      <c r="AO203" s="7897"/>
      <c r="AP203" s="2757"/>
      <c r="AQ203" s="1179"/>
      <c r="AR203" s="1179"/>
      <c r="AS203" s="1179"/>
      <c r="AT203" s="1179"/>
      <c r="AU203" s="1179"/>
      <c r="AV203" s="1179"/>
      <c r="AW203" s="1179"/>
      <c r="AX203" s="3013"/>
      <c r="AY203" s="3851"/>
      <c r="AZ203" s="3851"/>
      <c r="BA203" s="3851"/>
      <c r="BB203" s="3851"/>
      <c r="BC203" s="3851"/>
      <c r="BD203" s="3851"/>
      <c r="BE203" s="3851"/>
      <c r="BF203" s="3851"/>
      <c r="BG203" s="3851"/>
      <c r="BH203" s="3851"/>
    </row>
    <row r="204" spans="1:60" ht="15" customHeight="1">
      <c r="A204" s="3910"/>
      <c r="B204" s="2795"/>
      <c r="C204" s="7906" t="s">
        <v>2200</v>
      </c>
      <c r="D204" s="7919"/>
      <c r="E204" s="7919"/>
      <c r="F204" s="7919"/>
      <c r="G204" s="7920"/>
      <c r="H204" s="7327"/>
      <c r="I204" s="7328"/>
      <c r="J204" s="7328"/>
      <c r="K204" s="7327"/>
      <c r="L204" s="7328"/>
      <c r="M204" s="7328"/>
      <c r="N204" s="7328"/>
      <c r="O204" s="7327"/>
      <c r="P204" s="7328"/>
      <c r="Q204" s="7328"/>
      <c r="R204" s="7328"/>
      <c r="S204" s="7823"/>
      <c r="T204" s="7327"/>
      <c r="U204" s="7328"/>
      <c r="V204" s="7328"/>
      <c r="W204" s="7329"/>
      <c r="X204" s="7327"/>
      <c r="Y204" s="7328"/>
      <c r="Z204" s="7328"/>
      <c r="AA204" s="7327"/>
      <c r="AB204" s="7328"/>
      <c r="AC204" s="7328"/>
      <c r="AD204" s="7328"/>
      <c r="AE204" s="7821"/>
      <c r="AF204" s="7822"/>
      <c r="AG204" s="7822"/>
      <c r="AH204" s="7823"/>
      <c r="AI204" s="7327"/>
      <c r="AJ204" s="7328"/>
      <c r="AK204" s="7328"/>
      <c r="AL204" s="7329"/>
      <c r="AM204" s="7896"/>
      <c r="AN204" s="7897"/>
      <c r="AO204" s="7897"/>
      <c r="AP204" s="2757"/>
      <c r="AQ204" s="1179"/>
      <c r="AR204" s="1179"/>
      <c r="AS204" s="1179"/>
      <c r="AT204" s="1179"/>
      <c r="AU204" s="1179"/>
      <c r="AV204" s="1179"/>
      <c r="AW204" s="1179"/>
      <c r="AX204" s="3013"/>
      <c r="AY204" s="3851"/>
      <c r="AZ204" s="3851"/>
      <c r="BA204" s="3851"/>
      <c r="BB204" s="3851"/>
      <c r="BC204" s="3851"/>
      <c r="BD204" s="3851"/>
      <c r="BE204" s="3851"/>
      <c r="BF204" s="3851"/>
      <c r="BG204" s="3851"/>
      <c r="BH204" s="3851"/>
    </row>
    <row r="205" spans="1:60" ht="6.75" customHeight="1">
      <c r="A205" s="3910"/>
      <c r="B205" s="2797"/>
      <c r="C205" s="2801"/>
      <c r="D205" s="2782"/>
      <c r="E205" s="2782"/>
      <c r="F205" s="2782"/>
      <c r="G205" s="2802"/>
      <c r="H205" s="7330"/>
      <c r="I205" s="7331"/>
      <c r="J205" s="7331"/>
      <c r="K205" s="7330"/>
      <c r="L205" s="7331"/>
      <c r="M205" s="7331"/>
      <c r="N205" s="7331"/>
      <c r="O205" s="7909"/>
      <c r="P205" s="7825"/>
      <c r="Q205" s="7825"/>
      <c r="R205" s="7825"/>
      <c r="S205" s="7826"/>
      <c r="T205" s="7330"/>
      <c r="U205" s="7331"/>
      <c r="V205" s="7331"/>
      <c r="W205" s="7332"/>
      <c r="X205" s="7330"/>
      <c r="Y205" s="7331"/>
      <c r="Z205" s="7331"/>
      <c r="AA205" s="7330"/>
      <c r="AB205" s="7331"/>
      <c r="AC205" s="7331"/>
      <c r="AD205" s="7331"/>
      <c r="AE205" s="7824"/>
      <c r="AF205" s="7825"/>
      <c r="AG205" s="7825"/>
      <c r="AH205" s="7826"/>
      <c r="AI205" s="7330"/>
      <c r="AJ205" s="7331"/>
      <c r="AK205" s="7331"/>
      <c r="AL205" s="7332"/>
      <c r="AM205" s="7898"/>
      <c r="AN205" s="7899"/>
      <c r="AO205" s="7899"/>
      <c r="AP205" s="2757"/>
      <c r="AQ205" s="1179"/>
      <c r="AR205" s="1179"/>
      <c r="AS205" s="1179"/>
      <c r="AT205" s="1179"/>
      <c r="AU205" s="1179"/>
      <c r="AV205" s="1179"/>
      <c r="AW205" s="1179"/>
      <c r="AX205" s="3013"/>
      <c r="AY205" s="3851"/>
      <c r="AZ205" s="3851"/>
      <c r="BA205" s="3851"/>
      <c r="BB205" s="3851"/>
      <c r="BC205" s="3851"/>
      <c r="BD205" s="3851"/>
      <c r="BE205" s="3851"/>
      <c r="BF205" s="3851"/>
      <c r="BG205" s="3851"/>
      <c r="BH205" s="3851"/>
    </row>
    <row r="206" spans="1:60" ht="15" customHeight="1">
      <c r="A206" s="3970">
        <f>SUM(X206:AL206)</f>
        <v>0</v>
      </c>
      <c r="B206" s="2744" t="s">
        <v>143</v>
      </c>
      <c r="C206" s="7709"/>
      <c r="D206" s="7710"/>
      <c r="E206" s="7710"/>
      <c r="F206" s="7710"/>
      <c r="G206" s="7711"/>
      <c r="H206" s="7704"/>
      <c r="I206" s="7705"/>
      <c r="J206" s="7706"/>
      <c r="K206" s="7705"/>
      <c r="L206" s="7707"/>
      <c r="M206" s="7707"/>
      <c r="N206" s="7707"/>
      <c r="O206" s="7704"/>
      <c r="P206" s="7705"/>
      <c r="Q206" s="7705"/>
      <c r="R206" s="7705"/>
      <c r="S206" s="7706"/>
      <c r="T206" s="7704"/>
      <c r="U206" s="7705"/>
      <c r="V206" s="7705"/>
      <c r="W206" s="7706"/>
      <c r="X206" s="7704"/>
      <c r="Y206" s="7707"/>
      <c r="Z206" s="7708"/>
      <c r="AA206" s="7705"/>
      <c r="AB206" s="7705"/>
      <c r="AC206" s="7705"/>
      <c r="AD206" s="7706"/>
      <c r="AE206" s="7704"/>
      <c r="AF206" s="7705"/>
      <c r="AG206" s="7705"/>
      <c r="AH206" s="7706"/>
      <c r="AI206" s="7704"/>
      <c r="AJ206" s="7705"/>
      <c r="AK206" s="7705"/>
      <c r="AL206" s="7706"/>
      <c r="AM206" s="7818">
        <f>ROUND(SUM(X206:AL206),0)</f>
        <v>0</v>
      </c>
      <c r="AN206" s="7818"/>
      <c r="AO206" s="7818"/>
      <c r="AP206" s="2757"/>
      <c r="AQ206" s="1179"/>
      <c r="AR206" s="1179"/>
      <c r="AS206" s="1179"/>
      <c r="AT206" s="1179"/>
      <c r="AU206" s="1179"/>
      <c r="AV206" s="1179"/>
      <c r="AW206" s="1179"/>
      <c r="AX206" s="3013"/>
      <c r="AY206" s="3851"/>
      <c r="AZ206" s="3851"/>
      <c r="BA206" s="3851"/>
      <c r="BB206" s="3851"/>
      <c r="BC206" s="3851"/>
      <c r="BD206" s="3851"/>
      <c r="BE206" s="3851"/>
      <c r="BF206" s="3851"/>
      <c r="BG206" s="3851"/>
      <c r="BH206" s="3851"/>
    </row>
    <row r="207" spans="1:60" ht="15" customHeight="1">
      <c r="A207" s="3970">
        <f>SUM(X207:AL207)</f>
        <v>0</v>
      </c>
      <c r="B207" s="2744" t="s">
        <v>288</v>
      </c>
      <c r="C207" s="7709"/>
      <c r="D207" s="7710"/>
      <c r="E207" s="7710"/>
      <c r="F207" s="7710"/>
      <c r="G207" s="7711"/>
      <c r="H207" s="7704"/>
      <c r="I207" s="7705"/>
      <c r="J207" s="7706"/>
      <c r="K207" s="7705"/>
      <c r="L207" s="7707"/>
      <c r="M207" s="7707"/>
      <c r="N207" s="7707"/>
      <c r="O207" s="7704"/>
      <c r="P207" s="7705"/>
      <c r="Q207" s="7705"/>
      <c r="R207" s="7705"/>
      <c r="S207" s="7706"/>
      <c r="T207" s="7704"/>
      <c r="U207" s="7705"/>
      <c r="V207" s="7705"/>
      <c r="W207" s="7706"/>
      <c r="X207" s="7704"/>
      <c r="Y207" s="7707"/>
      <c r="Z207" s="7708"/>
      <c r="AA207" s="7705"/>
      <c r="AB207" s="7705"/>
      <c r="AC207" s="7705"/>
      <c r="AD207" s="7706"/>
      <c r="AE207" s="7704"/>
      <c r="AF207" s="7705"/>
      <c r="AG207" s="7705"/>
      <c r="AH207" s="7706"/>
      <c r="AI207" s="7704"/>
      <c r="AJ207" s="7705"/>
      <c r="AK207" s="7705"/>
      <c r="AL207" s="7706"/>
      <c r="AM207" s="7818">
        <f>ROUND(SUM(X207:AL207),0)</f>
        <v>0</v>
      </c>
      <c r="AN207" s="7818"/>
      <c r="AO207" s="7818"/>
      <c r="AP207" s="2757"/>
      <c r="AQ207" s="1179"/>
      <c r="AR207" s="1179"/>
      <c r="AS207" s="1179"/>
      <c r="AT207" s="1179"/>
      <c r="AU207" s="1179"/>
      <c r="AV207" s="1179"/>
      <c r="AW207" s="1179"/>
      <c r="AX207" s="3013"/>
      <c r="AY207" s="3851"/>
      <c r="AZ207" s="3851"/>
      <c r="BA207" s="3851"/>
      <c r="BB207" s="3851"/>
      <c r="BC207" s="3851"/>
      <c r="BD207" s="3851"/>
      <c r="BE207" s="3851"/>
      <c r="BF207" s="3851"/>
      <c r="BG207" s="3851"/>
      <c r="BH207" s="3851"/>
    </row>
    <row r="208" spans="1:60" ht="15" customHeight="1">
      <c r="A208" s="3970">
        <f>SUM(X208:AL208)</f>
        <v>0</v>
      </c>
      <c r="B208" s="2744" t="s">
        <v>144</v>
      </c>
      <c r="C208" s="7709"/>
      <c r="D208" s="7710"/>
      <c r="E208" s="7710"/>
      <c r="F208" s="7710"/>
      <c r="G208" s="7711"/>
      <c r="H208" s="7704"/>
      <c r="I208" s="7705"/>
      <c r="J208" s="7706"/>
      <c r="K208" s="7705"/>
      <c r="L208" s="7707"/>
      <c r="M208" s="7707"/>
      <c r="N208" s="7707"/>
      <c r="O208" s="7704"/>
      <c r="P208" s="7705"/>
      <c r="Q208" s="7705"/>
      <c r="R208" s="7705"/>
      <c r="S208" s="7706"/>
      <c r="T208" s="7704"/>
      <c r="U208" s="7705"/>
      <c r="V208" s="7705"/>
      <c r="W208" s="7706"/>
      <c r="X208" s="7704"/>
      <c r="Y208" s="7707"/>
      <c r="Z208" s="7708"/>
      <c r="AA208" s="7705"/>
      <c r="AB208" s="7705"/>
      <c r="AC208" s="7705"/>
      <c r="AD208" s="7706"/>
      <c r="AE208" s="7704"/>
      <c r="AF208" s="7705"/>
      <c r="AG208" s="7705"/>
      <c r="AH208" s="7706"/>
      <c r="AI208" s="7704"/>
      <c r="AJ208" s="7705"/>
      <c r="AK208" s="7705"/>
      <c r="AL208" s="7706"/>
      <c r="AM208" s="7818">
        <f>ROUND(SUM(X208:AL208),0)</f>
        <v>0</v>
      </c>
      <c r="AN208" s="7818"/>
      <c r="AO208" s="7818"/>
      <c r="AP208" s="2757"/>
      <c r="AQ208" s="2757"/>
      <c r="AR208" s="2757"/>
      <c r="AS208" s="2757"/>
      <c r="AT208" s="2757"/>
      <c r="AU208" s="2757"/>
      <c r="AV208" s="1179"/>
      <c r="AW208" s="1179"/>
      <c r="AX208" s="3013"/>
      <c r="AY208" s="3851"/>
      <c r="AZ208" s="3851"/>
      <c r="BA208" s="3851"/>
      <c r="BB208" s="3851"/>
      <c r="BC208" s="3851"/>
      <c r="BD208" s="3851"/>
      <c r="BE208" s="3851"/>
      <c r="BF208" s="3851"/>
      <c r="BG208" s="3851"/>
      <c r="BH208" s="3851"/>
    </row>
    <row r="209" spans="1:60" s="2689" customFormat="1" ht="16.5" customHeight="1">
      <c r="A209" s="3916" t="b">
        <f>SUM(A206:A208)&gt;0</f>
        <v>0</v>
      </c>
      <c r="B209" s="7877">
        <v>8</v>
      </c>
      <c r="C209" s="7877"/>
      <c r="D209" s="2807" t="s">
        <v>2208</v>
      </c>
      <c r="E209" s="1554"/>
      <c r="F209" s="1554"/>
      <c r="G209" s="1554"/>
      <c r="H209" s="1554"/>
      <c r="I209" s="1554"/>
      <c r="J209" s="1554"/>
      <c r="K209" s="1554"/>
      <c r="L209" s="1554"/>
      <c r="M209" s="1554"/>
      <c r="N209" s="1554"/>
      <c r="O209" s="1554"/>
      <c r="P209" s="1554"/>
      <c r="Q209" s="1554"/>
      <c r="R209" s="1554"/>
      <c r="S209" s="1554"/>
      <c r="T209" s="1554"/>
      <c r="U209" s="1554"/>
      <c r="V209" s="1554"/>
      <c r="W209" s="1554"/>
      <c r="X209" s="1554"/>
      <c r="Y209" s="1554"/>
      <c r="Z209" s="1554"/>
      <c r="AA209" s="1554"/>
      <c r="AB209" s="1554"/>
      <c r="AC209" s="1554"/>
      <c r="AD209" s="1554"/>
      <c r="AE209" s="1554"/>
      <c r="AF209" s="1554"/>
      <c r="AG209" s="1554"/>
      <c r="AH209" s="1554"/>
      <c r="AI209" s="1554"/>
      <c r="AJ209" s="3777" t="s">
        <v>2514</v>
      </c>
      <c r="AK209" s="7800">
        <v>8</v>
      </c>
      <c r="AL209" s="7841"/>
      <c r="AM209" s="7878">
        <f>IF(AQ209&lt;&gt;"",ROUND(AQ209,0),ROUND(SUM(AM206:AO208),0))</f>
        <v>0</v>
      </c>
      <c r="AN209" s="7879"/>
      <c r="AO209" s="7879"/>
      <c r="AP209" s="2757"/>
      <c r="AQ209" s="7847"/>
      <c r="AR209" s="7848"/>
      <c r="AS209" s="7848"/>
      <c r="AT209" s="7848"/>
      <c r="AU209" s="2757"/>
      <c r="AV209" s="1179"/>
      <c r="AW209" s="1179"/>
      <c r="AX209" s="3013"/>
      <c r="AY209" s="3851"/>
      <c r="AZ209" s="3851"/>
      <c r="BA209" s="3851"/>
      <c r="BB209" s="3851"/>
      <c r="BC209" s="3851"/>
      <c r="BD209" s="3851"/>
      <c r="BE209" s="3851"/>
      <c r="BF209" s="3851"/>
      <c r="BG209" s="3851"/>
      <c r="BH209" s="3851"/>
    </row>
    <row r="210" spans="1:60" ht="15.75" customHeight="1">
      <c r="A210" s="3910"/>
      <c r="B210" s="2703" t="s">
        <v>2204</v>
      </c>
      <c r="C210" s="2701"/>
      <c r="D210" s="1179"/>
      <c r="E210" s="1179"/>
      <c r="F210" s="1179"/>
      <c r="G210" s="1179"/>
      <c r="H210" s="1179"/>
      <c r="I210" s="1179"/>
      <c r="J210" s="1179"/>
      <c r="K210" s="1179"/>
      <c r="L210" s="1179"/>
      <c r="M210" s="1179"/>
      <c r="N210" s="1179"/>
      <c r="O210" s="1179"/>
      <c r="P210" s="1179"/>
      <c r="Q210" s="1179"/>
      <c r="R210" s="1179"/>
      <c r="S210" s="1179"/>
      <c r="T210" s="1179"/>
      <c r="U210" s="1179"/>
      <c r="V210" s="1179"/>
      <c r="W210" s="1179"/>
      <c r="X210" s="1276" t="s">
        <v>2203</v>
      </c>
      <c r="Y210" s="1179"/>
      <c r="Z210" s="1179"/>
      <c r="AA210" s="1179"/>
      <c r="AB210" s="1179"/>
      <c r="AC210" s="1179"/>
      <c r="AD210" s="1179"/>
      <c r="AE210" s="1179"/>
      <c r="AF210" s="1179"/>
      <c r="AG210" s="1179"/>
      <c r="AH210" s="1179"/>
      <c r="AI210" s="1179"/>
      <c r="AJ210" s="1179"/>
      <c r="AK210" s="2065"/>
      <c r="AL210" s="1179"/>
      <c r="AM210" s="2065"/>
      <c r="AN210" s="2065" t="s">
        <v>2202</v>
      </c>
      <c r="AO210" s="1927" t="str">
        <f>"("&amp;TaxYear&amp;")"</f>
        <v>(2021)</v>
      </c>
      <c r="AP210" s="2757"/>
      <c r="AQ210" s="2757"/>
      <c r="AR210" s="2757"/>
      <c r="AS210" s="2757"/>
      <c r="AT210" s="2757"/>
      <c r="AU210" s="2757"/>
      <c r="AV210" s="1179"/>
      <c r="AW210" s="1179"/>
      <c r="AX210" s="3013"/>
      <c r="AY210" s="3851"/>
      <c r="AZ210" s="3851"/>
      <c r="BA210" s="3851"/>
      <c r="BB210" s="3851"/>
      <c r="BC210" s="3851"/>
      <c r="BD210" s="3851"/>
      <c r="BE210" s="3851"/>
      <c r="BF210" s="3851"/>
      <c r="BG210" s="3851"/>
      <c r="BH210" s="3851"/>
    </row>
    <row r="211" spans="1:60" ht="16.5" thickBot="1">
      <c r="A211" s="3910"/>
      <c r="B211" s="1929" t="str">
        <f>"Form 1116 ("&amp;TaxYear&amp;")"</f>
        <v>Form 1116 (2021)</v>
      </c>
      <c r="C211" s="1280"/>
      <c r="D211" s="1280"/>
      <c r="E211" s="1280"/>
      <c r="F211" s="1280"/>
      <c r="G211" s="1280"/>
      <c r="H211" s="1280"/>
      <c r="I211" s="1280"/>
      <c r="J211" s="1280"/>
      <c r="K211" s="1280"/>
      <c r="L211" s="1280"/>
      <c r="M211" s="1280"/>
      <c r="N211" s="1280"/>
      <c r="O211" s="1280"/>
      <c r="P211" s="1280"/>
      <c r="Q211" s="1280"/>
      <c r="R211" s="1280"/>
      <c r="S211" s="1280"/>
      <c r="T211" s="1280"/>
      <c r="U211" s="1280"/>
      <c r="V211" s="1280"/>
      <c r="W211" s="1280"/>
      <c r="X211" s="1280"/>
      <c r="Y211" s="1280"/>
      <c r="Z211" s="1280"/>
      <c r="AA211" s="1280"/>
      <c r="AB211" s="1280"/>
      <c r="AC211" s="1280"/>
      <c r="AD211" s="1280"/>
      <c r="AE211" s="1280"/>
      <c r="AF211" s="1280"/>
      <c r="AG211" s="1280"/>
      <c r="AH211" s="1280"/>
      <c r="AI211" s="1280"/>
      <c r="AJ211" s="1280"/>
      <c r="AK211" s="1280"/>
      <c r="AL211" s="1280"/>
      <c r="AM211" s="1280"/>
      <c r="AN211" s="1280"/>
      <c r="AO211" s="2743" t="s">
        <v>3009</v>
      </c>
      <c r="AP211" s="2757"/>
      <c r="AQ211" s="1179"/>
      <c r="AR211" s="1179"/>
      <c r="AS211" s="1179"/>
      <c r="AT211" s="1179"/>
      <c r="AU211" s="1179"/>
      <c r="AV211" s="1179"/>
      <c r="AW211" s="1179"/>
      <c r="AX211" s="3013"/>
      <c r="AY211" s="3851"/>
      <c r="AZ211" s="3851"/>
      <c r="BA211" s="3851"/>
      <c r="BB211" s="3851"/>
      <c r="BC211" s="3851"/>
      <c r="BD211" s="3851"/>
      <c r="BE211" s="3851"/>
      <c r="BF211" s="3851"/>
      <c r="BG211" s="3851"/>
      <c r="BH211" s="3851"/>
    </row>
    <row r="212" spans="1:60" ht="13.5" customHeight="1">
      <c r="A212" s="3912"/>
      <c r="B212" s="7854" t="s">
        <v>319</v>
      </c>
      <c r="C212" s="7854"/>
      <c r="D212" s="7855"/>
      <c r="E212" s="2690"/>
      <c r="F212" s="2778" t="s">
        <v>2214</v>
      </c>
      <c r="G212" s="2690"/>
      <c r="H212" s="2690"/>
      <c r="I212" s="2690"/>
      <c r="J212" s="2690"/>
      <c r="K212" s="2690"/>
      <c r="L212" s="2690"/>
      <c r="M212" s="2690"/>
      <c r="N212" s="2690"/>
      <c r="O212" s="2690"/>
      <c r="P212" s="2690"/>
      <c r="Q212" s="2690"/>
      <c r="R212" s="2690"/>
      <c r="S212" s="2690"/>
      <c r="T212" s="2690"/>
      <c r="U212" s="2690"/>
      <c r="V212" s="2690"/>
      <c r="W212" s="2690"/>
      <c r="X212" s="2690"/>
      <c r="Y212" s="2690"/>
      <c r="Z212" s="2690"/>
      <c r="AA212" s="2690"/>
      <c r="AB212" s="2690"/>
      <c r="AC212" s="2690"/>
      <c r="AD212" s="2690"/>
      <c r="AE212" s="2690"/>
      <c r="AF212" s="2690"/>
      <c r="AG212" s="2690"/>
      <c r="AH212" s="2690"/>
      <c r="AI212" s="2690"/>
      <c r="AJ212" s="2690"/>
      <c r="AK212" s="2690"/>
      <c r="AL212" s="2690"/>
      <c r="AM212" s="2690"/>
      <c r="AN212" s="2690"/>
      <c r="AO212" s="2690"/>
      <c r="AP212" s="2757"/>
      <c r="AQ212" s="1540"/>
      <c r="AR212" s="1540"/>
      <c r="AS212" s="1540"/>
      <c r="AT212" s="1540"/>
      <c r="AU212" s="1540"/>
      <c r="AV212" s="1540"/>
      <c r="AW212" s="1540"/>
      <c r="AX212" s="3013"/>
      <c r="AY212" s="3851"/>
      <c r="AZ212" s="3851"/>
      <c r="BA212" s="3851"/>
      <c r="BB212" s="3851"/>
      <c r="BC212" s="3851"/>
      <c r="BD212" s="3851"/>
      <c r="BE212" s="3851"/>
      <c r="BF212" s="3851"/>
      <c r="BG212" s="3851"/>
      <c r="BH212" s="3851"/>
    </row>
    <row r="213" spans="1:60" ht="13.5" customHeight="1">
      <c r="A213" s="3910"/>
      <c r="B213" s="7880">
        <v>9</v>
      </c>
      <c r="C213" s="7880"/>
      <c r="D213" s="1179" t="s">
        <v>2215</v>
      </c>
      <c r="E213" s="1179"/>
      <c r="F213" s="2686"/>
      <c r="G213" s="1179"/>
      <c r="H213" s="1179"/>
      <c r="I213" s="1179"/>
      <c r="J213" s="1179"/>
      <c r="K213" s="1179"/>
      <c r="L213" s="1179"/>
      <c r="M213" s="1179"/>
      <c r="N213" s="1179"/>
      <c r="O213" s="1179"/>
      <c r="P213" s="1179"/>
      <c r="Q213" s="1179"/>
      <c r="R213" s="1179"/>
      <c r="S213" s="1179"/>
      <c r="T213" s="1179"/>
      <c r="U213" s="1179"/>
      <c r="V213" s="1179"/>
      <c r="W213" s="1179"/>
      <c r="X213" s="1179"/>
      <c r="Y213" s="1179"/>
      <c r="Z213" s="7872"/>
      <c r="AA213" s="7873"/>
      <c r="AB213" s="1581"/>
      <c r="AC213" s="1574"/>
      <c r="AD213" s="1574"/>
      <c r="AE213" s="1574"/>
      <c r="AF213" s="1574"/>
      <c r="AG213" s="1574"/>
      <c r="AH213" s="1574"/>
      <c r="AI213" s="1575"/>
      <c r="AJ213" s="7724"/>
      <c r="AK213" s="7770"/>
      <c r="AL213" s="1581"/>
      <c r="AM213" s="1574"/>
      <c r="AN213" s="1574"/>
      <c r="AO213" s="1574"/>
      <c r="AP213" s="2757"/>
      <c r="AQ213" s="1179"/>
      <c r="AR213" s="1179"/>
      <c r="AS213" s="1179"/>
      <c r="AT213" s="1179"/>
      <c r="AU213" s="1179"/>
      <c r="AV213" s="1179"/>
      <c r="AW213" s="1179"/>
      <c r="AX213" s="3013"/>
      <c r="AY213" s="3851"/>
      <c r="AZ213" s="3851"/>
      <c r="BA213" s="3851"/>
      <c r="BB213" s="3851"/>
      <c r="BC213" s="3851"/>
      <c r="BD213" s="3851"/>
      <c r="BE213" s="3851"/>
      <c r="BF213" s="3851"/>
      <c r="BG213" s="3851"/>
      <c r="BH213" s="3851"/>
    </row>
    <row r="214" spans="1:60" ht="13.5" customHeight="1">
      <c r="A214" s="3910"/>
      <c r="B214" s="1179"/>
      <c r="C214" s="1179"/>
      <c r="D214" s="1179" t="s">
        <v>2216</v>
      </c>
      <c r="E214" s="1179"/>
      <c r="F214" s="2686"/>
      <c r="G214" s="1179"/>
      <c r="H214" s="1179"/>
      <c r="I214" s="1179"/>
      <c r="J214" s="1179"/>
      <c r="K214" s="1179"/>
      <c r="L214" s="1179"/>
      <c r="M214" s="1179"/>
      <c r="N214" s="1179"/>
      <c r="O214" s="1179"/>
      <c r="P214" s="1179"/>
      <c r="Q214" s="1179"/>
      <c r="R214" s="1179"/>
      <c r="S214" s="1179"/>
      <c r="T214" s="1179"/>
      <c r="U214" s="1179"/>
      <c r="V214" s="1179"/>
      <c r="W214" s="1179"/>
      <c r="X214" s="1179"/>
      <c r="Y214" s="1179"/>
      <c r="Z214" s="7729">
        <v>9</v>
      </c>
      <c r="AA214" s="7730"/>
      <c r="AB214" s="7736">
        <f>AM209</f>
        <v>0</v>
      </c>
      <c r="AC214" s="7737"/>
      <c r="AD214" s="7737"/>
      <c r="AE214" s="7737"/>
      <c r="AF214" s="7737"/>
      <c r="AG214" s="7737"/>
      <c r="AH214" s="7737"/>
      <c r="AI214" s="7738"/>
      <c r="AJ214" s="7724"/>
      <c r="AK214" s="7770"/>
      <c r="AL214" s="1582"/>
      <c r="AM214" s="1179"/>
      <c r="AN214" s="1179"/>
      <c r="AO214" s="1179"/>
      <c r="AP214" s="2757"/>
      <c r="AQ214" s="1179"/>
      <c r="AR214" s="1179"/>
      <c r="AS214" s="1179"/>
      <c r="AT214" s="1179"/>
      <c r="AU214" s="1179"/>
      <c r="AV214" s="1179"/>
      <c r="AW214" s="1179"/>
      <c r="AX214" s="3013"/>
      <c r="AY214" s="3851"/>
      <c r="AZ214" s="3851"/>
      <c r="BA214" s="3851"/>
      <c r="BB214" s="3851"/>
      <c r="BC214" s="3851"/>
      <c r="BD214" s="3851"/>
      <c r="BE214" s="3851"/>
      <c r="BF214" s="3851"/>
      <c r="BG214" s="3851"/>
      <c r="BH214" s="3851"/>
    </row>
    <row r="215" spans="1:60" ht="13.5" customHeight="1">
      <c r="A215" s="3910"/>
      <c r="B215" s="7728"/>
      <c r="C215" s="7728"/>
      <c r="D215" s="1179"/>
      <c r="E215" s="1179"/>
      <c r="F215" s="2686"/>
      <c r="G215" s="1179"/>
      <c r="H215" s="1179"/>
      <c r="I215" s="1179"/>
      <c r="J215" s="1179"/>
      <c r="K215" s="1179"/>
      <c r="L215" s="1179"/>
      <c r="M215" s="1179"/>
      <c r="N215" s="1179"/>
      <c r="O215" s="1179"/>
      <c r="P215" s="1179"/>
      <c r="Q215" s="1179"/>
      <c r="R215" s="1179"/>
      <c r="S215" s="1179"/>
      <c r="T215" s="1179"/>
      <c r="U215" s="1179"/>
      <c r="V215" s="1179"/>
      <c r="W215" s="1179"/>
      <c r="X215" s="1179"/>
      <c r="Y215" s="1179"/>
      <c r="Z215" s="7872"/>
      <c r="AA215" s="7873"/>
      <c r="AB215" s="1581"/>
      <c r="AC215" s="1574"/>
      <c r="AD215" s="1574"/>
      <c r="AE215" s="1574"/>
      <c r="AF215" s="1574"/>
      <c r="AG215" s="1574"/>
      <c r="AH215" s="1574"/>
      <c r="AI215" s="1575"/>
      <c r="AJ215" s="7724"/>
      <c r="AK215" s="7770"/>
      <c r="AL215" s="1582"/>
      <c r="AM215" s="1179"/>
      <c r="AN215" s="1179"/>
      <c r="AO215" s="1179"/>
      <c r="AP215" s="2757"/>
      <c r="AQ215" s="1179"/>
      <c r="AR215" s="1179"/>
      <c r="AS215" s="1179"/>
      <c r="AT215" s="1179"/>
      <c r="AU215" s="1179"/>
      <c r="AV215" s="1179"/>
      <c r="AW215" s="1179"/>
      <c r="AX215" s="3013"/>
      <c r="AY215" s="3851"/>
      <c r="AZ215" s="3851"/>
      <c r="BA215" s="3851"/>
      <c r="BB215" s="3851"/>
      <c r="BC215" s="3851"/>
      <c r="BD215" s="3851"/>
      <c r="BE215" s="3851"/>
      <c r="BF215" s="3851"/>
      <c r="BG215" s="3851"/>
      <c r="BH215" s="3851"/>
    </row>
    <row r="216" spans="1:60" ht="13.5" customHeight="1" thickBot="1">
      <c r="A216" s="3910"/>
      <c r="B216" s="7728">
        <v>10</v>
      </c>
      <c r="C216" s="7728"/>
      <c r="D216" s="1276" t="s">
        <v>2236</v>
      </c>
      <c r="E216" s="1179"/>
      <c r="F216" s="2686"/>
      <c r="G216" s="1179"/>
      <c r="H216" s="1179"/>
      <c r="I216" s="1179"/>
      <c r="J216" s="1179"/>
      <c r="K216" s="1179"/>
      <c r="L216" s="1179"/>
      <c r="M216" s="1179"/>
      <c r="N216" s="1179"/>
      <c r="O216" s="1179"/>
      <c r="P216" s="1179"/>
      <c r="Q216" s="1179"/>
      <c r="R216" s="1179"/>
      <c r="S216" s="1179"/>
      <c r="T216" s="1179"/>
      <c r="U216" s="1179"/>
      <c r="V216" s="1179"/>
      <c r="W216" s="1179"/>
      <c r="X216" s="1179"/>
      <c r="Y216" s="1560" t="s">
        <v>2514</v>
      </c>
      <c r="Z216" s="7857">
        <v>10</v>
      </c>
      <c r="AA216" s="7858"/>
      <c r="AB216" s="7874"/>
      <c r="AC216" s="7875"/>
      <c r="AD216" s="7875"/>
      <c r="AE216" s="7875"/>
      <c r="AF216" s="7875"/>
      <c r="AG216" s="7875"/>
      <c r="AH216" s="7875"/>
      <c r="AI216" s="7876"/>
      <c r="AJ216" s="7724"/>
      <c r="AK216" s="7770"/>
      <c r="AL216" s="1582"/>
      <c r="AM216" s="1179"/>
      <c r="AN216" s="1179"/>
      <c r="AO216" s="1179"/>
      <c r="AP216" s="2757"/>
      <c r="AQ216" s="1179"/>
      <c r="AR216" s="1179"/>
      <c r="AS216" s="1179"/>
      <c r="AT216" s="1179"/>
      <c r="AU216" s="1179"/>
      <c r="AV216" s="1179"/>
      <c r="AW216" s="1179"/>
      <c r="AX216" s="3013"/>
      <c r="AY216" s="3851"/>
      <c r="AZ216" s="3851"/>
      <c r="BA216" s="3851"/>
      <c r="BB216" s="3851"/>
      <c r="BC216" s="3851"/>
      <c r="BD216" s="3851"/>
      <c r="BE216" s="3851"/>
      <c r="BF216" s="3851"/>
      <c r="BG216" s="3851"/>
      <c r="BH216" s="3851"/>
    </row>
    <row r="217" spans="1:60" ht="13.5" customHeight="1">
      <c r="A217" s="3910"/>
      <c r="B217" s="3767"/>
      <c r="C217" s="3767"/>
      <c r="D217" s="1276" t="s">
        <v>2507</v>
      </c>
      <c r="E217" s="1179"/>
      <c r="F217" s="2686"/>
      <c r="G217" s="1179"/>
      <c r="H217" s="1179"/>
      <c r="I217" s="1179"/>
      <c r="J217" s="1179"/>
      <c r="K217" s="1179"/>
      <c r="L217" s="1179"/>
      <c r="M217" s="1179"/>
      <c r="N217" s="1179"/>
      <c r="O217" s="1179"/>
      <c r="P217" s="1179"/>
      <c r="Q217" s="1179"/>
      <c r="R217" s="1179"/>
      <c r="S217" s="1179"/>
      <c r="T217" s="1179"/>
      <c r="U217" s="1179"/>
      <c r="V217" s="1179"/>
      <c r="W217" s="1179"/>
      <c r="X217" s="1179"/>
      <c r="Y217" s="1560"/>
      <c r="Z217" s="3768"/>
      <c r="AA217" s="3769"/>
      <c r="AB217" s="3774"/>
      <c r="AC217" s="3775"/>
      <c r="AD217" s="3775"/>
      <c r="AE217" s="3775"/>
      <c r="AF217" s="3775"/>
      <c r="AG217" s="3775"/>
      <c r="AH217" s="3775"/>
      <c r="AI217" s="3776"/>
      <c r="AJ217" s="7724"/>
      <c r="AK217" s="7770"/>
      <c r="AL217" s="1582"/>
      <c r="AM217" s="1179"/>
      <c r="AN217" s="1179"/>
      <c r="AO217" s="1179"/>
      <c r="AP217" s="2757"/>
      <c r="AQ217" s="1179"/>
      <c r="AR217" s="1179"/>
      <c r="AS217" s="1179"/>
      <c r="AT217" s="1179"/>
      <c r="AU217" s="1179"/>
      <c r="AV217" s="1179"/>
      <c r="AW217" s="1179"/>
      <c r="AX217" s="3013"/>
      <c r="AY217" s="3851"/>
      <c r="AZ217" s="3851"/>
      <c r="BA217" s="3851"/>
      <c r="BB217" s="3851"/>
      <c r="BC217" s="3851"/>
      <c r="BD217" s="3851"/>
      <c r="BE217" s="3851"/>
      <c r="BF217" s="3851"/>
      <c r="BG217" s="3851"/>
      <c r="BH217" s="3851"/>
    </row>
    <row r="218" spans="1:60" ht="13.5" customHeight="1">
      <c r="A218" s="3910"/>
      <c r="B218" s="7728"/>
      <c r="C218" s="7728"/>
      <c r="D218" s="1276" t="s">
        <v>2508</v>
      </c>
      <c r="E218" s="1179"/>
      <c r="F218" s="2686"/>
      <c r="G218" s="1179"/>
      <c r="H218" s="1179"/>
      <c r="I218" s="1179"/>
      <c r="J218" s="1179"/>
      <c r="K218" s="1179"/>
      <c r="L218" s="1179"/>
      <c r="M218" s="1179"/>
      <c r="N218" s="1179"/>
      <c r="O218" s="1179"/>
      <c r="P218" s="1179"/>
      <c r="Q218" s="1179"/>
      <c r="R218" s="1179"/>
      <c r="S218" s="1179"/>
      <c r="T218" s="1179"/>
      <c r="U218" s="1179"/>
      <c r="V218" s="1179"/>
      <c r="W218" s="1179"/>
      <c r="X218" s="1179"/>
      <c r="Y218" s="1179"/>
      <c r="Z218" s="7804"/>
      <c r="AA218" s="7831"/>
      <c r="AB218" s="1582"/>
      <c r="AC218" s="1179"/>
      <c r="AD218" s="1179"/>
      <c r="AE218" s="1179"/>
      <c r="AF218" s="1179"/>
      <c r="AG218" s="1179"/>
      <c r="AH218" s="1179"/>
      <c r="AI218" s="1583"/>
      <c r="AJ218" s="7724"/>
      <c r="AK218" s="7770"/>
      <c r="AL218" s="1582"/>
      <c r="AM218" s="1179"/>
      <c r="AN218" s="1179"/>
      <c r="AO218" s="1179"/>
      <c r="AP218" s="2757"/>
      <c r="AQ218" s="1179"/>
      <c r="AR218" s="1179"/>
      <c r="AS218" s="1179"/>
      <c r="AT218" s="1179"/>
      <c r="AU218" s="1179"/>
      <c r="AV218" s="1179"/>
      <c r="AW218" s="1179"/>
      <c r="AX218" s="3013"/>
      <c r="AY218" s="3851"/>
      <c r="AZ218" s="3851"/>
      <c r="BA218" s="3851"/>
      <c r="BB218" s="3851"/>
      <c r="BC218" s="3851"/>
      <c r="BD218" s="3851"/>
      <c r="BE218" s="3851"/>
      <c r="BF218" s="3851"/>
      <c r="BG218" s="3851"/>
      <c r="BH218" s="3851"/>
    </row>
    <row r="219" spans="1:60" ht="13.5" customHeight="1">
      <c r="A219" s="3910"/>
      <c r="B219" s="7728">
        <v>11</v>
      </c>
      <c r="C219" s="7728"/>
      <c r="D219" s="1179" t="s">
        <v>1901</v>
      </c>
      <c r="E219" s="1179"/>
      <c r="F219" s="2686"/>
      <c r="G219" s="1179"/>
      <c r="H219" s="1179"/>
      <c r="I219" s="1179"/>
      <c r="J219" s="1179"/>
      <c r="K219" s="1179"/>
      <c r="L219" s="1179"/>
      <c r="M219" s="1179"/>
      <c r="N219" s="1179"/>
      <c r="O219" s="1179"/>
      <c r="P219" s="1179"/>
      <c r="Q219" s="1179"/>
      <c r="R219" s="1179"/>
      <c r="S219" s="1179"/>
      <c r="T219" s="1179"/>
      <c r="U219" s="1179"/>
      <c r="V219" s="1179"/>
      <c r="W219" s="1179"/>
      <c r="X219" s="1179"/>
      <c r="Y219" s="1560" t="s">
        <v>2883</v>
      </c>
      <c r="Z219" s="7729">
        <v>11</v>
      </c>
      <c r="AA219" s="7730"/>
      <c r="AB219" s="7736">
        <f>ROUND(SUM(AB214,AB216),0)</f>
        <v>0</v>
      </c>
      <c r="AC219" s="7737"/>
      <c r="AD219" s="7737"/>
      <c r="AE219" s="7737"/>
      <c r="AF219" s="7737"/>
      <c r="AG219" s="7737"/>
      <c r="AH219" s="7737"/>
      <c r="AI219" s="7738"/>
      <c r="AJ219" s="7724"/>
      <c r="AK219" s="7770"/>
      <c r="AL219" s="1582"/>
      <c r="AM219" s="1179"/>
      <c r="AN219" s="1179"/>
      <c r="AO219" s="1179"/>
      <c r="AP219" s="2757"/>
      <c r="AQ219" s="1179"/>
      <c r="AR219" s="1179"/>
      <c r="AS219" s="1179"/>
      <c r="AT219" s="1179"/>
      <c r="AU219" s="1179"/>
      <c r="AV219" s="1179"/>
      <c r="AW219" s="1179"/>
      <c r="AX219" s="3013"/>
      <c r="AY219" s="3851"/>
      <c r="AZ219" s="3851"/>
      <c r="BA219" s="3851"/>
      <c r="BB219" s="3851"/>
      <c r="BC219" s="3851"/>
      <c r="BD219" s="3851"/>
      <c r="BE219" s="3851"/>
      <c r="BF219" s="3851"/>
      <c r="BG219" s="3851"/>
      <c r="BH219" s="3851"/>
    </row>
    <row r="220" spans="1:60" ht="13.5" customHeight="1">
      <c r="A220" s="3910"/>
      <c r="B220" s="7728"/>
      <c r="C220" s="7728"/>
      <c r="D220" s="1179"/>
      <c r="E220" s="1179"/>
      <c r="F220" s="2686"/>
      <c r="G220" s="1179"/>
      <c r="H220" s="1179"/>
      <c r="I220" s="1179"/>
      <c r="J220" s="1179"/>
      <c r="K220" s="1179"/>
      <c r="L220" s="1179"/>
      <c r="M220" s="1179"/>
      <c r="N220" s="1179"/>
      <c r="O220" s="1179"/>
      <c r="P220" s="1179"/>
      <c r="Q220" s="1179"/>
      <c r="R220" s="1179"/>
      <c r="S220" s="1179"/>
      <c r="T220" s="1179"/>
      <c r="U220" s="1179"/>
      <c r="V220" s="1179"/>
      <c r="W220" s="1179"/>
      <c r="X220" s="1179"/>
      <c r="Y220" s="1179"/>
      <c r="Z220" s="7872"/>
      <c r="AA220" s="7873"/>
      <c r="AB220" s="1581"/>
      <c r="AC220" s="1574"/>
      <c r="AD220" s="1574"/>
      <c r="AE220" s="1574"/>
      <c r="AF220" s="1574"/>
      <c r="AG220" s="1574"/>
      <c r="AH220" s="1574"/>
      <c r="AI220" s="1575"/>
      <c r="AJ220" s="7724"/>
      <c r="AK220" s="7770"/>
      <c r="AL220" s="7784" t="str">
        <f>IF(AB221&gt;0,"Line 12 cannot be","")</f>
        <v/>
      </c>
      <c r="AM220" s="7785"/>
      <c r="AN220" s="7785"/>
      <c r="AO220" s="7785"/>
      <c r="AP220" s="2757"/>
      <c r="AQ220" s="1179"/>
      <c r="AR220" s="1179"/>
      <c r="AS220" s="1179"/>
      <c r="AT220" s="1179"/>
      <c r="AU220" s="1179"/>
      <c r="AV220" s="1179"/>
      <c r="AW220" s="1179"/>
      <c r="AX220" s="3013"/>
      <c r="AY220" s="3851"/>
      <c r="AZ220" s="3851"/>
      <c r="BA220" s="3851"/>
      <c r="BB220" s="3851"/>
      <c r="BC220" s="3851"/>
      <c r="BD220" s="3851"/>
      <c r="BE220" s="3851"/>
      <c r="BF220" s="3851"/>
      <c r="BG220" s="3851"/>
      <c r="BH220" s="3851"/>
    </row>
    <row r="221" spans="1:60" ht="13.5" customHeight="1">
      <c r="A221" s="3910"/>
      <c r="B221" s="7728">
        <v>12</v>
      </c>
      <c r="C221" s="7728"/>
      <c r="D221" s="1276" t="s">
        <v>2217</v>
      </c>
      <c r="E221" s="1179"/>
      <c r="F221" s="2686"/>
      <c r="G221" s="1179"/>
      <c r="H221" s="1179"/>
      <c r="I221" s="1179"/>
      <c r="J221" s="1179"/>
      <c r="K221" s="1179"/>
      <c r="L221" s="1179"/>
      <c r="M221" s="1179"/>
      <c r="N221" s="1179"/>
      <c r="O221" s="1179"/>
      <c r="P221" s="1179"/>
      <c r="Q221" s="1179"/>
      <c r="R221" s="1179"/>
      <c r="S221" s="1179"/>
      <c r="T221" s="1179"/>
      <c r="U221" s="1179"/>
      <c r="V221" s="1179"/>
      <c r="W221" s="1179"/>
      <c r="X221" s="1179"/>
      <c r="Y221" s="1560" t="s">
        <v>2401</v>
      </c>
      <c r="Z221" s="7729">
        <v>12</v>
      </c>
      <c r="AA221" s="7730"/>
      <c r="AB221" s="7767"/>
      <c r="AC221" s="7768"/>
      <c r="AD221" s="7768"/>
      <c r="AE221" s="7768"/>
      <c r="AF221" s="7768"/>
      <c r="AG221" s="7768"/>
      <c r="AH221" s="7768"/>
      <c r="AI221" s="7769"/>
      <c r="AJ221" s="7724"/>
      <c r="AK221" s="7770"/>
      <c r="AL221" s="7784" t="str">
        <f>IF(AB221&gt;0,"a positive number.","")</f>
        <v/>
      </c>
      <c r="AM221" s="7785"/>
      <c r="AN221" s="7785"/>
      <c r="AO221" s="7785"/>
      <c r="AP221" s="2757"/>
      <c r="AQ221" s="1179"/>
      <c r="AR221" s="1179"/>
      <c r="AS221" s="1179"/>
      <c r="AT221" s="1179"/>
      <c r="AU221" s="1179"/>
      <c r="AV221" s="1179"/>
      <c r="AW221" s="1179"/>
      <c r="AX221" s="3013"/>
      <c r="AY221" s="3851"/>
      <c r="AZ221" s="3851"/>
      <c r="BA221" s="3851"/>
      <c r="BB221" s="3851"/>
      <c r="BC221" s="3851"/>
      <c r="BD221" s="3851"/>
      <c r="BE221" s="3851"/>
      <c r="BF221" s="3851"/>
      <c r="BG221" s="3851"/>
      <c r="BH221" s="3851"/>
    </row>
    <row r="222" spans="1:60" ht="18" customHeight="1">
      <c r="A222" s="3910"/>
      <c r="B222" s="7728"/>
      <c r="C222" s="7728"/>
      <c r="D222" s="1179"/>
      <c r="E222" s="1179"/>
      <c r="F222" s="2686"/>
      <c r="G222" s="1179"/>
      <c r="H222" s="1179"/>
      <c r="I222" s="1179"/>
      <c r="J222" s="1179"/>
      <c r="K222" s="1179"/>
      <c r="L222" s="1179"/>
      <c r="M222" s="1179"/>
      <c r="N222" s="1179"/>
      <c r="O222" s="1179"/>
      <c r="P222" s="1179"/>
      <c r="Q222" s="1179"/>
      <c r="R222" s="1179"/>
      <c r="S222" s="1179"/>
      <c r="T222" s="1179"/>
      <c r="U222" s="1179"/>
      <c r="V222" s="1179"/>
      <c r="W222" s="1179"/>
      <c r="X222" s="1179"/>
      <c r="Y222" s="1179"/>
      <c r="Z222" s="7872"/>
      <c r="AA222" s="7873"/>
      <c r="AB222" s="1581"/>
      <c r="AC222" s="1574"/>
      <c r="AD222" s="1574"/>
      <c r="AE222" s="1574"/>
      <c r="AF222" s="1574"/>
      <c r="AG222" s="1574"/>
      <c r="AH222" s="1574"/>
      <c r="AI222" s="1575"/>
      <c r="AJ222" s="7724"/>
      <c r="AK222" s="7770"/>
      <c r="AL222" s="1582"/>
      <c r="AM222" s="1179"/>
      <c r="AN222" s="1179"/>
      <c r="AO222" s="1179"/>
      <c r="AP222" s="2757"/>
      <c r="AQ222" s="1179"/>
      <c r="AR222" s="1179"/>
      <c r="AS222" s="1179"/>
      <c r="AT222" s="1179"/>
      <c r="AU222" s="1179"/>
      <c r="AV222" s="1179"/>
      <c r="AW222" s="1179"/>
      <c r="AX222" s="3013"/>
      <c r="AY222" s="3851"/>
      <c r="AZ222" s="3851"/>
      <c r="BA222" s="3851"/>
      <c r="BB222" s="3851"/>
      <c r="BC222" s="3851"/>
      <c r="BD222" s="3851"/>
      <c r="BE222" s="3851"/>
      <c r="BF222" s="3851"/>
      <c r="BG222" s="3851"/>
      <c r="BH222" s="3851"/>
    </row>
    <row r="223" spans="1:60" ht="13.5" customHeight="1" thickBot="1">
      <c r="A223" s="3910"/>
      <c r="B223" s="7728">
        <v>13</v>
      </c>
      <c r="C223" s="7728"/>
      <c r="D223" s="1276" t="s">
        <v>2218</v>
      </c>
      <c r="E223" s="1179"/>
      <c r="F223" s="2686"/>
      <c r="G223" s="1179"/>
      <c r="H223" s="1179"/>
      <c r="I223" s="1179"/>
      <c r="J223" s="1179"/>
      <c r="K223" s="1179"/>
      <c r="L223" s="1179"/>
      <c r="M223" s="1179"/>
      <c r="N223" s="1179"/>
      <c r="O223" s="1179"/>
      <c r="P223" s="1179"/>
      <c r="Q223" s="1179"/>
      <c r="R223" s="1179"/>
      <c r="S223" s="1179"/>
      <c r="T223" s="1179"/>
      <c r="U223" s="1179"/>
      <c r="V223" s="1179"/>
      <c r="W223" s="1179"/>
      <c r="X223" s="1179"/>
      <c r="Y223" s="1560" t="s">
        <v>2415</v>
      </c>
      <c r="Z223" s="7729">
        <v>13</v>
      </c>
      <c r="AA223" s="7730"/>
      <c r="AB223" s="7767"/>
      <c r="AC223" s="7768"/>
      <c r="AD223" s="7768"/>
      <c r="AE223" s="7768"/>
      <c r="AF223" s="7768"/>
      <c r="AG223" s="7768"/>
      <c r="AH223" s="7768"/>
      <c r="AI223" s="7769"/>
      <c r="AJ223" s="7724"/>
      <c r="AK223" s="7770"/>
      <c r="AL223" s="1582"/>
      <c r="AM223" s="1179"/>
      <c r="AN223" s="1179"/>
      <c r="AO223" s="1179"/>
      <c r="AP223" s="2757"/>
      <c r="AQ223" s="1179"/>
      <c r="AR223" s="1179"/>
      <c r="AS223" s="1179"/>
      <c r="AT223" s="1179"/>
      <c r="AU223" s="1179"/>
      <c r="AV223" s="1179"/>
      <c r="AW223" s="1179"/>
      <c r="AX223" s="3013"/>
      <c r="AY223" s="3851"/>
      <c r="AZ223" s="3851"/>
      <c r="BA223" s="3851"/>
      <c r="BB223" s="3851"/>
      <c r="BC223" s="3851"/>
      <c r="BD223" s="3851"/>
      <c r="BE223" s="3851"/>
      <c r="BF223" s="3851"/>
      <c r="BG223" s="3851"/>
      <c r="BH223" s="3851"/>
    </row>
    <row r="224" spans="1:60" ht="13.5" customHeight="1">
      <c r="A224" s="3910"/>
      <c r="B224" s="7728"/>
      <c r="C224" s="7728"/>
      <c r="D224" s="1179"/>
      <c r="E224" s="1179"/>
      <c r="F224" s="2686"/>
      <c r="G224" s="1179"/>
      <c r="H224" s="1179"/>
      <c r="I224" s="1179"/>
      <c r="J224" s="1179"/>
      <c r="K224" s="1179"/>
      <c r="L224" s="1179"/>
      <c r="M224" s="1179"/>
      <c r="N224" s="1179"/>
      <c r="O224" s="1179"/>
      <c r="P224" s="1179"/>
      <c r="Q224" s="1179"/>
      <c r="R224" s="1179"/>
      <c r="S224" s="1179"/>
      <c r="T224" s="1179"/>
      <c r="U224" s="1179"/>
      <c r="V224" s="1179"/>
      <c r="W224" s="1179"/>
      <c r="X224" s="1179"/>
      <c r="Y224" s="1179"/>
      <c r="Z224" s="1179"/>
      <c r="AA224" s="1179"/>
      <c r="AB224" s="1179"/>
      <c r="AC224" s="1179"/>
      <c r="AD224" s="1179"/>
      <c r="AE224" s="1179"/>
      <c r="AF224" s="1179"/>
      <c r="AG224" s="1179"/>
      <c r="AH224" s="1179"/>
      <c r="AI224" s="1179"/>
      <c r="AJ224" s="1581"/>
      <c r="AK224" s="1575"/>
      <c r="AL224" s="1581"/>
      <c r="AM224" s="1574"/>
      <c r="AN224" s="1574"/>
      <c r="AO224" s="1574"/>
      <c r="AP224" s="2757"/>
      <c r="AQ224" s="1179"/>
      <c r="AR224" s="1179"/>
      <c r="AS224" s="1179"/>
      <c r="AT224" s="1179"/>
      <c r="AU224" s="1179"/>
      <c r="AV224" s="1179"/>
      <c r="AW224" s="1179"/>
      <c r="AX224" s="6033"/>
      <c r="AY224" s="6034"/>
      <c r="AZ224" s="6034"/>
      <c r="BA224" s="6034"/>
      <c r="BB224" s="6034"/>
      <c r="BC224" s="6034"/>
      <c r="BD224" s="6034"/>
      <c r="BE224" s="6034"/>
      <c r="BF224" s="6034"/>
      <c r="BG224" s="6034"/>
      <c r="BH224" s="6035"/>
    </row>
    <row r="225" spans="1:60" ht="13.5" customHeight="1">
      <c r="A225" s="3910"/>
      <c r="B225" s="7728">
        <v>14</v>
      </c>
      <c r="C225" s="7728"/>
      <c r="D225" s="1276" t="s">
        <v>2219</v>
      </c>
      <c r="E225" s="1179"/>
      <c r="F225" s="2686"/>
      <c r="G225" s="1179"/>
      <c r="H225" s="1179"/>
      <c r="I225" s="1179"/>
      <c r="J225" s="1179"/>
      <c r="K225" s="1179"/>
      <c r="L225" s="1179"/>
      <c r="M225" s="1179"/>
      <c r="N225" s="1179"/>
      <c r="O225" s="1179"/>
      <c r="P225" s="1179"/>
      <c r="Q225" s="1179"/>
      <c r="R225" s="1179"/>
      <c r="S225" s="1179"/>
      <c r="T225" s="1179"/>
      <c r="U225" s="1179"/>
      <c r="V225" s="1179"/>
      <c r="W225" s="1179"/>
      <c r="X225" s="1179"/>
      <c r="Y225" s="1179"/>
      <c r="Z225" s="1179"/>
      <c r="AA225" s="1179"/>
      <c r="AB225" s="1179"/>
      <c r="AC225" s="1179"/>
      <c r="AD225" s="1179"/>
      <c r="AE225" s="1179"/>
      <c r="AF225" s="1179"/>
      <c r="AG225" s="1179"/>
      <c r="AH225" s="1179"/>
      <c r="AI225" s="1560" t="s">
        <v>2415</v>
      </c>
      <c r="AJ225" s="7729">
        <v>14</v>
      </c>
      <c r="AK225" s="7730"/>
      <c r="AL225" s="7742">
        <f>SUM(AB219,AB221,AB223)</f>
        <v>0</v>
      </c>
      <c r="AM225" s="6685"/>
      <c r="AN225" s="6685"/>
      <c r="AO225" s="6685"/>
      <c r="AP225" s="2757"/>
      <c r="AQ225" s="1179"/>
      <c r="AR225" s="1179"/>
      <c r="AS225" s="1179"/>
      <c r="AT225" s="1179"/>
      <c r="AU225" s="1179"/>
      <c r="AV225" s="1179"/>
      <c r="AW225" s="1179"/>
      <c r="AX225" s="6040" t="s">
        <v>5884</v>
      </c>
      <c r="AY225" s="6039"/>
      <c r="AZ225" s="4040"/>
      <c r="BA225" s="4040"/>
      <c r="BB225" s="4040"/>
      <c r="BC225" s="4040"/>
      <c r="BD225" s="4040"/>
      <c r="BE225" s="4040"/>
      <c r="BF225" s="4040"/>
      <c r="BG225" s="4040"/>
      <c r="BH225" s="6036"/>
    </row>
    <row r="226" spans="1:60" ht="18" customHeight="1">
      <c r="A226" s="3910"/>
      <c r="B226" s="7728">
        <v>15</v>
      </c>
      <c r="C226" s="7728"/>
      <c r="D226" s="1179" t="s">
        <v>2220</v>
      </c>
      <c r="E226" s="1179"/>
      <c r="F226" s="2686"/>
      <c r="G226" s="1179"/>
      <c r="H226" s="1179"/>
      <c r="I226" s="1179"/>
      <c r="J226" s="1179"/>
      <c r="K226" s="1179"/>
      <c r="L226" s="1179"/>
      <c r="M226" s="1179"/>
      <c r="N226" s="1179"/>
      <c r="O226" s="1179"/>
      <c r="P226" s="1179"/>
      <c r="Q226" s="1179"/>
      <c r="R226" s="1179"/>
      <c r="S226" s="1179"/>
      <c r="T226" s="1179"/>
      <c r="U226" s="1179"/>
      <c r="V226" s="1179"/>
      <c r="W226" s="1179"/>
      <c r="X226" s="1179"/>
      <c r="Y226" s="1179"/>
      <c r="Z226" s="7804"/>
      <c r="AA226" s="7805"/>
      <c r="AB226" s="1582"/>
      <c r="AC226" s="1179"/>
      <c r="AD226" s="1179"/>
      <c r="AE226" s="1179"/>
      <c r="AF226" s="1179"/>
      <c r="AG226" s="1179"/>
      <c r="AH226" s="1179"/>
      <c r="AI226" s="1583"/>
      <c r="AJ226" s="7724"/>
      <c r="AK226" s="7770"/>
      <c r="AL226" s="1582"/>
      <c r="AM226" s="1179"/>
      <c r="AN226" s="1179"/>
      <c r="AO226" s="1179"/>
      <c r="AP226" s="2757"/>
      <c r="AQ226" s="1179"/>
      <c r="AR226" s="1179"/>
      <c r="AS226" s="1179"/>
      <c r="AT226" s="1179"/>
      <c r="AU226" s="1179"/>
      <c r="AV226" s="1179"/>
      <c r="AW226" s="1179"/>
      <c r="AX226" s="6041" t="b">
        <f>AND(CGTW_Line5&gt;0,CGTW_Line5&lt;&gt;"")</f>
        <v>0</v>
      </c>
      <c r="AY226" s="6039" t="s">
        <v>5885</v>
      </c>
      <c r="AZ226" s="4040"/>
      <c r="BA226" s="4040"/>
      <c r="BB226" s="4040"/>
      <c r="BC226" s="4040"/>
      <c r="BD226" s="4040"/>
      <c r="BE226" s="4040"/>
      <c r="BF226" s="4040"/>
      <c r="BG226" s="4040"/>
      <c r="BH226" s="6036"/>
    </row>
    <row r="227" spans="1:60" ht="13.5" customHeight="1">
      <c r="A227" s="3910"/>
      <c r="B227" s="7728"/>
      <c r="C227" s="7728"/>
      <c r="D227" s="1179" t="s">
        <v>2221</v>
      </c>
      <c r="E227" s="1179"/>
      <c r="F227" s="2686"/>
      <c r="G227" s="1179"/>
      <c r="H227" s="1179"/>
      <c r="I227" s="1179"/>
      <c r="J227" s="1179"/>
      <c r="K227" s="1179"/>
      <c r="L227" s="1179"/>
      <c r="M227" s="1179"/>
      <c r="N227" s="1179"/>
      <c r="O227" s="1179"/>
      <c r="P227" s="1179"/>
      <c r="Q227" s="1179"/>
      <c r="R227" s="1179"/>
      <c r="S227" s="1179"/>
      <c r="T227" s="1179"/>
      <c r="U227" s="1179"/>
      <c r="V227" s="1179"/>
      <c r="W227" s="1179"/>
      <c r="X227" s="1179"/>
      <c r="Y227" s="1179"/>
      <c r="Z227" s="7804"/>
      <c r="AA227" s="7805"/>
      <c r="AB227" s="1582"/>
      <c r="AC227" s="1179"/>
      <c r="AD227" s="1179"/>
      <c r="AE227" s="1179"/>
      <c r="AF227" s="1179"/>
      <c r="AG227" s="1179"/>
      <c r="AH227" s="1179"/>
      <c r="AI227" s="1583"/>
      <c r="AJ227" s="7724"/>
      <c r="AK227" s="7770"/>
      <c r="AL227" s="1582"/>
      <c r="AM227" s="1179"/>
      <c r="AN227" s="1179"/>
      <c r="AO227" s="1179"/>
      <c r="AP227" s="2757"/>
      <c r="AQ227" s="1179"/>
      <c r="AR227" s="1179"/>
      <c r="AS227" s="1179"/>
      <c r="AT227" s="1179"/>
      <c r="AU227" s="1179"/>
      <c r="AV227" s="1179"/>
      <c r="AW227" s="1179"/>
      <c r="AX227" s="6041" t="b">
        <f>AND(CGTW_Line23&lt;CGTW_Line24,CGTW_Line23&lt;&gt;"",CGTW_Line24&lt;&gt;"")</f>
        <v>0</v>
      </c>
      <c r="AY227" s="6039" t="s">
        <v>5886</v>
      </c>
      <c r="AZ227" s="4040"/>
      <c r="BA227" s="4040"/>
      <c r="BB227" s="4040"/>
      <c r="BC227" s="4040"/>
      <c r="BD227" s="4040"/>
      <c r="BE227" s="4040"/>
      <c r="BF227" s="4040"/>
      <c r="BG227" s="4040"/>
      <c r="BH227" s="6036"/>
    </row>
    <row r="228" spans="1:60" ht="13.5" customHeight="1">
      <c r="A228" s="3910"/>
      <c r="B228" s="2795"/>
      <c r="C228" s="2795"/>
      <c r="D228" s="1277" t="s">
        <v>2222</v>
      </c>
      <c r="E228" s="1179"/>
      <c r="F228" s="1179"/>
      <c r="G228" s="1179"/>
      <c r="H228" s="1179"/>
      <c r="I228" s="1179"/>
      <c r="J228" s="1179"/>
      <c r="K228" s="1179"/>
      <c r="L228" s="1179"/>
      <c r="M228" s="1179"/>
      <c r="N228" s="1179"/>
      <c r="O228" s="1179"/>
      <c r="P228" s="1179"/>
      <c r="Q228" s="1179"/>
      <c r="R228" s="1179"/>
      <c r="S228" s="1179"/>
      <c r="T228" s="1179"/>
      <c r="U228" s="1179"/>
      <c r="V228" s="1179"/>
      <c r="W228" s="1179"/>
      <c r="X228" s="1179"/>
      <c r="Y228" s="1560" t="s">
        <v>2419</v>
      </c>
      <c r="Z228" s="7729">
        <v>15</v>
      </c>
      <c r="AA228" s="7735"/>
      <c r="AB228" s="7736" t="str">
        <f>AL193</f>
        <v/>
      </c>
      <c r="AC228" s="7737"/>
      <c r="AD228" s="7737"/>
      <c r="AE228" s="7737"/>
      <c r="AF228" s="7737"/>
      <c r="AG228" s="7737"/>
      <c r="AH228" s="7737"/>
      <c r="AI228" s="7738"/>
      <c r="AJ228" s="7724"/>
      <c r="AK228" s="7770"/>
      <c r="AL228" s="1582"/>
      <c r="AM228" s="1179"/>
      <c r="AN228" s="1179"/>
      <c r="AO228" s="1179"/>
      <c r="AP228" s="2757"/>
      <c r="AQ228" s="1179"/>
      <c r="AR228" s="1179"/>
      <c r="AS228" s="1179"/>
      <c r="AT228" s="1179"/>
      <c r="AU228" s="1179"/>
      <c r="AV228" s="1179"/>
      <c r="AW228" s="1179"/>
      <c r="AX228" s="6045" t="b">
        <f>AND(AX226,AX227)</f>
        <v>0</v>
      </c>
      <c r="AY228" s="6039"/>
      <c r="AZ228" s="4040"/>
      <c r="BA228" s="4040"/>
      <c r="BB228" s="4040"/>
      <c r="BC228" s="4040"/>
      <c r="BD228" s="4040"/>
      <c r="BE228" s="4040"/>
      <c r="BF228" s="4040"/>
      <c r="BG228" s="4040"/>
      <c r="BH228" s="6036"/>
    </row>
    <row r="229" spans="1:60" ht="13.5" customHeight="1">
      <c r="A229" s="3910"/>
      <c r="B229" s="7728">
        <v>16</v>
      </c>
      <c r="C229" s="7728"/>
      <c r="D229" s="2246" t="s">
        <v>2223</v>
      </c>
      <c r="E229" s="1444"/>
      <c r="F229" s="1857"/>
      <c r="G229" s="1179"/>
      <c r="H229" s="1179"/>
      <c r="I229" s="1179"/>
      <c r="J229" s="1179"/>
      <c r="K229" s="1179"/>
      <c r="L229" s="1179"/>
      <c r="M229" s="1179"/>
      <c r="N229" s="1179"/>
      <c r="O229" s="1179"/>
      <c r="P229" s="2772"/>
      <c r="Q229" s="1444"/>
      <c r="R229" s="1857"/>
      <c r="S229" s="1276"/>
      <c r="T229" s="1179"/>
      <c r="U229" s="1179"/>
      <c r="V229" s="1179"/>
      <c r="W229" s="1179"/>
      <c r="X229" s="1179"/>
      <c r="Y229" s="1560" t="s">
        <v>1625</v>
      </c>
      <c r="Z229" s="7871">
        <v>16</v>
      </c>
      <c r="AA229" s="7222"/>
      <c r="AB229" s="7767"/>
      <c r="AC229" s="7768"/>
      <c r="AD229" s="7768"/>
      <c r="AE229" s="7768"/>
      <c r="AF229" s="7768"/>
      <c r="AG229" s="7768"/>
      <c r="AH229" s="7768"/>
      <c r="AI229" s="7769"/>
      <c r="AJ229" s="7724"/>
      <c r="AK229" s="7770"/>
      <c r="AL229" s="1582"/>
      <c r="AM229" s="1179"/>
      <c r="AN229" s="1179"/>
      <c r="AO229" s="1179"/>
      <c r="AP229" s="2757"/>
      <c r="AQ229" s="1179"/>
      <c r="AR229" s="1179"/>
      <c r="AS229" s="1179"/>
      <c r="AT229" s="1179"/>
      <c r="AU229" s="1179"/>
      <c r="AV229" s="1179"/>
      <c r="AW229" s="1179"/>
      <c r="AX229" s="6043" t="s">
        <v>5887</v>
      </c>
      <c r="AY229" s="6039"/>
      <c r="AZ229" s="4040"/>
      <c r="BA229" s="4040"/>
      <c r="BB229" s="4040"/>
      <c r="BC229" s="4040"/>
      <c r="BD229" s="4040"/>
      <c r="BE229" s="4040"/>
      <c r="BF229" s="4040"/>
      <c r="BG229" s="4040"/>
      <c r="BH229" s="6036"/>
    </row>
    <row r="230" spans="1:60" ht="21" customHeight="1" thickBot="1">
      <c r="A230" s="3910"/>
      <c r="B230" s="7728">
        <v>17</v>
      </c>
      <c r="C230" s="7728"/>
      <c r="D230" s="1276" t="s">
        <v>2224</v>
      </c>
      <c r="E230" s="1179"/>
      <c r="F230" s="2686"/>
      <c r="G230" s="1179"/>
      <c r="H230" s="1179"/>
      <c r="I230" s="1179"/>
      <c r="J230" s="1179"/>
      <c r="K230" s="1179"/>
      <c r="L230" s="1179"/>
      <c r="M230" s="1179"/>
      <c r="N230" s="1179"/>
      <c r="O230" s="1179"/>
      <c r="P230" s="1179"/>
      <c r="Q230" s="1179"/>
      <c r="R230" s="1179"/>
      <c r="S230" s="1179"/>
      <c r="T230" s="1179"/>
      <c r="U230" s="1179"/>
      <c r="V230" s="1179"/>
      <c r="W230" s="1179"/>
      <c r="X230" s="1179"/>
      <c r="Y230" s="1179"/>
      <c r="Z230" s="7804"/>
      <c r="AA230" s="7805"/>
      <c r="AB230" s="1582"/>
      <c r="AC230" s="1179"/>
      <c r="AD230" s="1179"/>
      <c r="AE230" s="1179"/>
      <c r="AF230" s="1179"/>
      <c r="AG230" s="1179"/>
      <c r="AH230" s="1179"/>
      <c r="AI230" s="1583"/>
      <c r="AJ230" s="7724"/>
      <c r="AK230" s="7770"/>
      <c r="AL230" s="1582"/>
      <c r="AM230" s="1179"/>
      <c r="AN230" s="1179"/>
      <c r="AO230" s="1179"/>
      <c r="AP230" s="2757"/>
      <c r="AQ230" s="1179"/>
      <c r="AR230" s="1179"/>
      <c r="AS230" s="1179"/>
      <c r="AT230" s="1179"/>
      <c r="AU230" s="1179"/>
      <c r="AV230" s="1179"/>
      <c r="AW230" s="1179"/>
      <c r="AX230" s="6044" t="s">
        <v>5888</v>
      </c>
      <c r="AY230" s="6042"/>
      <c r="AZ230" s="6037"/>
      <c r="BA230" s="6037"/>
      <c r="BB230" s="6037"/>
      <c r="BC230" s="6037"/>
      <c r="BD230" s="6037"/>
      <c r="BE230" s="6037"/>
      <c r="BF230" s="6037"/>
      <c r="BG230" s="6037"/>
      <c r="BH230" s="6038"/>
    </row>
    <row r="231" spans="1:60" ht="15">
      <c r="A231" s="3910"/>
      <c r="B231" s="7728"/>
      <c r="C231" s="7728"/>
      <c r="D231" s="1179" t="s">
        <v>2225</v>
      </c>
      <c r="E231" s="1179"/>
      <c r="F231" s="2686"/>
      <c r="G231" s="1179"/>
      <c r="H231" s="1179"/>
      <c r="I231" s="1179"/>
      <c r="J231" s="1179"/>
      <c r="K231" s="1179"/>
      <c r="L231" s="1179"/>
      <c r="M231" s="1179"/>
      <c r="N231" s="1179"/>
      <c r="O231" s="1179"/>
      <c r="P231" s="1179"/>
      <c r="Q231" s="1179"/>
      <c r="R231" s="1179"/>
      <c r="S231" s="1179"/>
      <c r="T231" s="1179"/>
      <c r="U231" s="1179"/>
      <c r="V231" s="1179"/>
      <c r="W231" s="1179"/>
      <c r="X231" s="1179"/>
      <c r="Y231" s="1179"/>
      <c r="Z231" s="7804"/>
      <c r="AA231" s="7805"/>
      <c r="AB231" s="1582"/>
      <c r="AC231" s="1179"/>
      <c r="AD231" s="1179"/>
      <c r="AE231" s="1179"/>
      <c r="AF231" s="1179"/>
      <c r="AG231" s="1179"/>
      <c r="AH231" s="1179"/>
      <c r="AI231" s="1583"/>
      <c r="AJ231" s="7724"/>
      <c r="AK231" s="7770"/>
      <c r="AL231" s="1582"/>
      <c r="AM231" s="1179"/>
      <c r="AN231" s="1179"/>
      <c r="AO231" s="1179"/>
      <c r="AP231" s="2757"/>
      <c r="AQ231" s="1179"/>
      <c r="AR231" s="1179"/>
      <c r="AS231" s="1179"/>
      <c r="AT231" s="1179"/>
      <c r="AU231" s="1179"/>
      <c r="AV231" s="1179"/>
      <c r="AW231" s="1179"/>
      <c r="AX231" s="7978" t="s">
        <v>3270</v>
      </c>
      <c r="AY231" s="7979"/>
      <c r="AZ231" s="7979"/>
      <c r="BA231" s="7979"/>
      <c r="BB231" s="7979"/>
      <c r="BC231" s="7979"/>
      <c r="BD231" s="7979"/>
      <c r="BE231" s="7979"/>
      <c r="BF231" s="7982" t="s">
        <v>175</v>
      </c>
      <c r="BG231" s="7982"/>
      <c r="BH231" s="4043"/>
    </row>
    <row r="232" spans="1:60" ht="12.75" customHeight="1">
      <c r="A232" s="3910"/>
      <c r="B232" s="7728"/>
      <c r="C232" s="7728"/>
      <c r="D232" s="1179" t="s">
        <v>2226</v>
      </c>
      <c r="E232" s="1179"/>
      <c r="F232" s="2686"/>
      <c r="G232" s="1179"/>
      <c r="H232" s="1179"/>
      <c r="I232" s="1179"/>
      <c r="J232" s="1179"/>
      <c r="K232" s="1179"/>
      <c r="L232" s="1179"/>
      <c r="M232" s="1179"/>
      <c r="N232" s="1179"/>
      <c r="O232" s="1179"/>
      <c r="P232" s="1179"/>
      <c r="Q232" s="1179"/>
      <c r="R232" s="1179"/>
      <c r="S232" s="1179"/>
      <c r="T232" s="1179"/>
      <c r="U232" s="1179"/>
      <c r="V232" s="1179"/>
      <c r="W232" s="1179"/>
      <c r="X232" s="1179"/>
      <c r="Y232" s="1179"/>
      <c r="Z232" s="7804"/>
      <c r="AA232" s="7805"/>
      <c r="AB232" s="1582"/>
      <c r="AC232" s="1179"/>
      <c r="AD232" s="1179"/>
      <c r="AE232" s="1179"/>
      <c r="AF232" s="1179"/>
      <c r="AG232" s="1179"/>
      <c r="AH232" s="1179"/>
      <c r="AI232" s="1583"/>
      <c r="AJ232" s="7724"/>
      <c r="AK232" s="7770"/>
      <c r="AL232" s="1582"/>
      <c r="AM232" s="1179"/>
      <c r="AN232" s="1179"/>
      <c r="AO232" s="1179"/>
      <c r="AP232" s="2757"/>
      <c r="AQ232" s="1179"/>
      <c r="AR232" s="1179"/>
      <c r="AS232" s="1179"/>
      <c r="AT232" s="1179"/>
      <c r="AU232" s="1179"/>
      <c r="AV232" s="1179"/>
      <c r="AW232" s="1179"/>
      <c r="AX232" s="7980"/>
      <c r="AY232" s="7981"/>
      <c r="AZ232" s="7981"/>
      <c r="BA232" s="7981"/>
      <c r="BB232" s="7981"/>
      <c r="BC232" s="7981"/>
      <c r="BD232" s="7981"/>
      <c r="BE232" s="7981"/>
      <c r="BF232" s="7983"/>
      <c r="BG232" s="7983"/>
      <c r="BH232" s="4044"/>
    </row>
    <row r="233" spans="1:60" ht="12.75" customHeight="1">
      <c r="A233" s="3910"/>
      <c r="B233" s="7728"/>
      <c r="C233" s="7728"/>
      <c r="D233" s="1179" t="s">
        <v>4175</v>
      </c>
      <c r="E233" s="1179"/>
      <c r="F233" s="2686"/>
      <c r="G233" s="1179"/>
      <c r="H233" s="1179"/>
      <c r="I233" s="1179"/>
      <c r="J233" s="1179"/>
      <c r="K233" s="1179"/>
      <c r="L233" s="1179"/>
      <c r="M233" s="1179"/>
      <c r="N233" s="1179"/>
      <c r="O233" s="1179"/>
      <c r="P233" s="1179"/>
      <c r="Q233" s="1179"/>
      <c r="R233" s="1179"/>
      <c r="S233" s="1179"/>
      <c r="T233" s="1179"/>
      <c r="U233" s="1179"/>
      <c r="V233" s="1179"/>
      <c r="W233" s="1179"/>
      <c r="X233" s="1179"/>
      <c r="Y233" s="1179"/>
      <c r="Z233" s="7804"/>
      <c r="AA233" s="7805"/>
      <c r="AB233" s="1582"/>
      <c r="AC233" s="1179"/>
      <c r="AD233" s="1179"/>
      <c r="AE233" s="1179"/>
      <c r="AF233" s="1179"/>
      <c r="AG233" s="1179"/>
      <c r="AH233" s="1179"/>
      <c r="AI233" s="1583"/>
      <c r="AJ233" s="7724"/>
      <c r="AK233" s="7770"/>
      <c r="AL233" s="1582"/>
      <c r="AM233" s="1179"/>
      <c r="AN233" s="1179"/>
      <c r="AO233" s="1179"/>
      <c r="AP233" s="2757"/>
      <c r="AQ233" s="1179"/>
      <c r="AR233" s="1179"/>
      <c r="AS233" s="1179"/>
      <c r="AT233" s="1179"/>
      <c r="AU233" s="1179"/>
      <c r="AV233" s="1179"/>
      <c r="AW233" s="1179"/>
      <c r="AX233" s="4045"/>
      <c r="AY233" s="2079"/>
      <c r="AZ233" s="2079"/>
      <c r="BA233" s="2079"/>
      <c r="BB233" s="2079"/>
      <c r="BC233" s="2079"/>
      <c r="BD233" s="2079"/>
      <c r="BE233" s="2079"/>
      <c r="BF233" s="2079"/>
      <c r="BG233" s="2079"/>
      <c r="BH233" s="4046"/>
    </row>
    <row r="234" spans="1:60" ht="12.75" customHeight="1">
      <c r="A234" s="3910"/>
      <c r="B234" s="2795"/>
      <c r="C234" s="2795"/>
      <c r="D234" s="1277" t="s">
        <v>2227</v>
      </c>
      <c r="E234" s="1179"/>
      <c r="F234" s="1179"/>
      <c r="G234" s="1179"/>
      <c r="H234" s="1179"/>
      <c r="I234" s="1179"/>
      <c r="J234" s="1179"/>
      <c r="K234" s="1179"/>
      <c r="L234" s="1179"/>
      <c r="M234" s="1179"/>
      <c r="N234" s="1179"/>
      <c r="O234" s="1179"/>
      <c r="P234" s="1179"/>
      <c r="Q234" s="1179"/>
      <c r="R234" s="1179"/>
      <c r="S234" s="1179"/>
      <c r="T234" s="1179"/>
      <c r="U234" s="1179"/>
      <c r="V234" s="1179"/>
      <c r="W234" s="1179"/>
      <c r="X234" s="1179"/>
      <c r="Y234" s="1560" t="s">
        <v>2401</v>
      </c>
      <c r="Z234" s="7729">
        <v>17</v>
      </c>
      <c r="AA234" s="7735"/>
      <c r="AB234" s="7736">
        <f>SUM(AB228,AB229)</f>
        <v>0</v>
      </c>
      <c r="AC234" s="7737"/>
      <c r="AD234" s="7737"/>
      <c r="AE234" s="7737"/>
      <c r="AF234" s="7737"/>
      <c r="AG234" s="7737"/>
      <c r="AH234" s="7737"/>
      <c r="AI234" s="7738"/>
      <c r="AJ234" s="7724"/>
      <c r="AK234" s="7770"/>
      <c r="AL234" s="7809"/>
      <c r="AM234" s="7810"/>
      <c r="AN234" s="7810"/>
      <c r="AO234" s="7810"/>
      <c r="AP234" s="2757"/>
      <c r="AQ234" s="7739" t="str">
        <f>IF(AND(AL225&gt;0,AB235),"Skip lines 18 through 24.","")</f>
        <v/>
      </c>
      <c r="AR234" s="7739"/>
      <c r="AS234" s="7739"/>
      <c r="AT234" s="7739"/>
      <c r="AU234" s="7739"/>
      <c r="AV234" s="1179"/>
      <c r="AW234" s="1179"/>
      <c r="AX234" s="4045"/>
      <c r="AY234" s="4047" t="s">
        <v>3271</v>
      </c>
      <c r="AZ234" s="2079"/>
      <c r="BA234" s="2079"/>
      <c r="BB234" s="2079"/>
      <c r="BC234" s="2079"/>
      <c r="BD234" s="2079"/>
      <c r="BE234" s="2079"/>
      <c r="BF234" s="2079"/>
      <c r="BG234" s="2079"/>
      <c r="BH234" s="4046"/>
    </row>
    <row r="235" spans="1:60" ht="20.25" customHeight="1">
      <c r="A235" s="3910"/>
      <c r="B235" s="7728">
        <v>18</v>
      </c>
      <c r="C235" s="7728"/>
      <c r="D235" s="1276" t="s">
        <v>4160</v>
      </c>
      <c r="E235" s="1179"/>
      <c r="F235" s="2686"/>
      <c r="G235" s="1179"/>
      <c r="H235" s="1179"/>
      <c r="I235" s="1179"/>
      <c r="J235" s="1179"/>
      <c r="K235" s="1179"/>
      <c r="L235" s="1179"/>
      <c r="M235" s="1179"/>
      <c r="N235" s="1179"/>
      <c r="O235" s="1179"/>
      <c r="P235" s="1179"/>
      <c r="Q235" s="1179"/>
      <c r="R235" s="1179"/>
      <c r="S235" s="1179"/>
      <c r="T235" s="1179"/>
      <c r="U235" s="1179"/>
      <c r="V235" s="1179"/>
      <c r="W235" s="1179"/>
      <c r="X235" s="1179"/>
      <c r="Y235" s="1179"/>
      <c r="Z235" s="7804"/>
      <c r="AA235" s="7805"/>
      <c r="AB235" s="7811" t="b">
        <f>AND(AB234&lt;=0,AQ237="")</f>
        <v>1</v>
      </c>
      <c r="AC235" s="7467"/>
      <c r="AD235" s="7467"/>
      <c r="AE235" s="7467"/>
      <c r="AF235" s="7467"/>
      <c r="AG235" s="7467"/>
      <c r="AH235" s="7467"/>
      <c r="AI235" s="7812"/>
      <c r="AJ235" s="7724"/>
      <c r="AK235" s="7770"/>
      <c r="AL235" s="7813"/>
      <c r="AM235" s="7814"/>
      <c r="AN235" s="7814"/>
      <c r="AO235" s="7814"/>
      <c r="AP235" s="2757"/>
      <c r="AQ235" s="3693"/>
      <c r="AR235" s="4715"/>
      <c r="AS235" s="4715"/>
      <c r="AT235" s="4715"/>
      <c r="AU235" s="1145"/>
      <c r="AV235" s="1145"/>
      <c r="AW235" s="1504"/>
      <c r="AX235" s="4045"/>
      <c r="AY235" s="2079"/>
      <c r="AZ235" s="2079"/>
      <c r="BA235" s="2079"/>
      <c r="BB235" s="2079"/>
      <c r="BC235" s="2079"/>
      <c r="BD235" s="2079"/>
      <c r="BE235" s="2079"/>
      <c r="BF235" s="2079"/>
      <c r="BG235" s="2079"/>
      <c r="BH235" s="4046"/>
    </row>
    <row r="236" spans="1:60" ht="14.25" customHeight="1">
      <c r="A236" s="3910"/>
      <c r="B236" s="7728"/>
      <c r="C236" s="7728"/>
      <c r="D236" s="1276" t="s">
        <v>4179</v>
      </c>
      <c r="E236" s="1179"/>
      <c r="F236" s="2686"/>
      <c r="G236" s="1179"/>
      <c r="H236" s="1179"/>
      <c r="I236" s="1179"/>
      <c r="J236" s="1179"/>
      <c r="K236" s="1179"/>
      <c r="L236" s="1179"/>
      <c r="M236" s="1179"/>
      <c r="N236" s="1179"/>
      <c r="O236" s="1179"/>
      <c r="P236" s="1179"/>
      <c r="Q236" s="1179"/>
      <c r="R236" s="1179"/>
      <c r="S236" s="1179"/>
      <c r="T236" s="1179"/>
      <c r="U236" s="1179"/>
      <c r="V236" s="1179"/>
      <c r="W236" s="1179"/>
      <c r="X236" s="1179"/>
      <c r="Y236" s="1179"/>
      <c r="Z236" s="7804"/>
      <c r="AA236" s="7805"/>
      <c r="AB236" s="7771"/>
      <c r="AC236" s="7772"/>
      <c r="AD236" s="7772"/>
      <c r="AE236" s="7772"/>
      <c r="AF236" s="7772"/>
      <c r="AG236" s="7772"/>
      <c r="AH236" s="7772"/>
      <c r="AI236" s="7773"/>
      <c r="AJ236" s="7724"/>
      <c r="AK236" s="7806"/>
      <c r="AL236" s="1582"/>
      <c r="AM236" s="1179"/>
      <c r="AN236" s="1179"/>
      <c r="AO236" s="1179"/>
      <c r="AP236" s="2757"/>
      <c r="AQ236" s="2757"/>
      <c r="AR236" s="2757"/>
      <c r="AS236" s="2757"/>
      <c r="AT236" s="2757"/>
      <c r="AU236" s="2757"/>
      <c r="AV236" s="1179"/>
      <c r="AW236" s="1179"/>
      <c r="AX236" s="4048"/>
      <c r="AY236" s="4047"/>
      <c r="AZ236" s="2079"/>
      <c r="BA236" s="2079"/>
      <c r="BB236" s="2079"/>
      <c r="BC236" s="2079"/>
      <c r="BD236" s="2079"/>
      <c r="BE236" s="2079"/>
      <c r="BF236" s="2079"/>
      <c r="BG236" s="2079"/>
      <c r="BH236" s="4046"/>
    </row>
    <row r="237" spans="1:60" s="946" customFormat="1" ht="13.5" customHeight="1">
      <c r="A237" s="3913"/>
      <c r="B237" s="4719"/>
      <c r="C237" s="4719"/>
      <c r="D237" s="1926" t="s">
        <v>4178</v>
      </c>
      <c r="E237" s="1277"/>
      <c r="F237" s="1277"/>
      <c r="G237" s="1277"/>
      <c r="H237" s="1277"/>
      <c r="I237" s="1277"/>
      <c r="J237" s="1277"/>
      <c r="K237" s="1277"/>
      <c r="L237" s="1277"/>
      <c r="M237" s="1277"/>
      <c r="N237" s="1277"/>
      <c r="O237" s="1277"/>
      <c r="P237" s="1277"/>
      <c r="Q237" s="1277"/>
      <c r="R237" s="1277"/>
      <c r="S237" s="1277"/>
      <c r="T237" s="1277"/>
      <c r="U237" s="1277"/>
      <c r="V237" s="1277"/>
      <c r="W237" s="1277"/>
      <c r="X237" s="1277"/>
      <c r="Y237" s="3770" t="s">
        <v>2419</v>
      </c>
      <c r="Z237" s="7807">
        <v>18</v>
      </c>
      <c r="AA237" s="7808"/>
      <c r="AB237" s="7736" t="str">
        <f>IF(AQ237&lt;&gt;"",ROUND(AQ237,0),IF(AB235,"",IF(AX228,BG250,Taxable_Inc)))</f>
        <v/>
      </c>
      <c r="AC237" s="7737"/>
      <c r="AD237" s="7737"/>
      <c r="AE237" s="7737"/>
      <c r="AF237" s="7737"/>
      <c r="AG237" s="7737"/>
      <c r="AH237" s="7737"/>
      <c r="AI237" s="7738"/>
      <c r="AJ237" s="7733"/>
      <c r="AK237" s="7734"/>
      <c r="AL237" s="4720"/>
      <c r="AM237" s="1277"/>
      <c r="AN237" s="1277"/>
      <c r="AO237" s="1277"/>
      <c r="AP237" s="2792"/>
      <c r="AQ237" s="7867"/>
      <c r="AR237" s="7868"/>
      <c r="AS237" s="7868"/>
      <c r="AT237" s="7868"/>
      <c r="AU237" s="2792"/>
      <c r="AV237" s="1277"/>
      <c r="AW237" s="1277"/>
      <c r="AX237" s="4048" t="s">
        <v>294</v>
      </c>
      <c r="AY237" s="4047" t="s">
        <v>4174</v>
      </c>
      <c r="AZ237" s="2079"/>
      <c r="BA237" s="2079"/>
      <c r="BB237" s="2079"/>
      <c r="BC237" s="2079"/>
      <c r="BD237" s="2079"/>
      <c r="BE237" s="2079"/>
      <c r="BF237" s="2079"/>
      <c r="BG237" s="2079"/>
      <c r="BH237" s="4046"/>
    </row>
    <row r="238" spans="1:60" ht="13.5" customHeight="1">
      <c r="A238" s="3910"/>
      <c r="B238" s="2795"/>
      <c r="C238" s="2795"/>
      <c r="D238" s="1926" t="s">
        <v>2237</v>
      </c>
      <c r="E238" s="1444"/>
      <c r="F238" s="1857"/>
      <c r="G238" s="1179"/>
      <c r="H238" s="1179"/>
      <c r="I238" s="1179"/>
      <c r="J238" s="1179"/>
      <c r="K238" s="1179"/>
      <c r="L238" s="1179"/>
      <c r="M238" s="1179"/>
      <c r="N238" s="1179"/>
      <c r="O238" s="1179"/>
      <c r="P238" s="2772"/>
      <c r="Q238" s="1444"/>
      <c r="R238" s="1857"/>
      <c r="S238" s="1276"/>
      <c r="T238" s="1179"/>
      <c r="U238" s="1179"/>
      <c r="V238" s="1179"/>
      <c r="W238" s="1179"/>
      <c r="X238" s="1179"/>
      <c r="Y238" s="1179"/>
      <c r="Z238" s="1179"/>
      <c r="AA238" s="1179"/>
      <c r="AB238" s="1179"/>
      <c r="AC238" s="1179"/>
      <c r="AD238" s="2772"/>
      <c r="AE238" s="1444"/>
      <c r="AF238" s="1857"/>
      <c r="AG238" s="1179"/>
      <c r="AH238" s="1179"/>
      <c r="AI238" s="1179"/>
      <c r="AJ238" s="1581"/>
      <c r="AK238" s="1575"/>
      <c r="AL238" s="1179"/>
      <c r="AM238" s="1179"/>
      <c r="AN238" s="1179"/>
      <c r="AO238" s="1179"/>
      <c r="AP238" s="2757"/>
      <c r="AQ238" s="2757"/>
      <c r="AR238" s="2757"/>
      <c r="AS238" s="2757"/>
      <c r="AT238" s="2757"/>
      <c r="AU238" s="2757"/>
      <c r="AV238" s="1179"/>
      <c r="AW238" s="1179"/>
      <c r="AX238" s="4045"/>
      <c r="AY238" s="4047" t="s">
        <v>3272</v>
      </c>
      <c r="AZ238" s="2079"/>
      <c r="BA238" s="2079"/>
      <c r="BB238" s="2079"/>
      <c r="BC238" s="2079"/>
      <c r="BD238" s="2079"/>
      <c r="BE238" s="4040"/>
      <c r="BF238" s="4041" t="s">
        <v>294</v>
      </c>
      <c r="BG238" s="4289" t="str">
        <f>IF(AX228,Taxable_Inc,"")</f>
        <v/>
      </c>
      <c r="BH238" s="4046"/>
    </row>
    <row r="239" spans="1:60" ht="13.5" customHeight="1">
      <c r="A239" s="3910"/>
      <c r="B239" s="1179"/>
      <c r="C239" s="1185"/>
      <c r="D239" s="1277" t="s">
        <v>485</v>
      </c>
      <c r="E239" s="1179"/>
      <c r="F239" s="1179"/>
      <c r="G239" s="1179"/>
      <c r="H239" s="1179"/>
      <c r="I239" s="1179"/>
      <c r="J239" s="1179"/>
      <c r="K239" s="1179"/>
      <c r="L239" s="1179"/>
      <c r="M239" s="1179"/>
      <c r="N239" s="1179"/>
      <c r="O239" s="1179"/>
      <c r="P239" s="1179"/>
      <c r="Q239" s="1179"/>
      <c r="R239" s="1179"/>
      <c r="S239" s="1179"/>
      <c r="T239" s="1285"/>
      <c r="U239" s="1179"/>
      <c r="V239" s="1179"/>
      <c r="W239" s="1179"/>
      <c r="X239" s="1179"/>
      <c r="Y239" s="1179"/>
      <c r="Z239" s="1179"/>
      <c r="AA239" s="1179"/>
      <c r="AB239" s="1179"/>
      <c r="AC239" s="1179"/>
      <c r="AD239" s="1179"/>
      <c r="AE239" s="1179"/>
      <c r="AF239" s="1179"/>
      <c r="AG239" s="1179"/>
      <c r="AH239" s="1179"/>
      <c r="AI239" s="1179"/>
      <c r="AJ239" s="1582"/>
      <c r="AK239" s="1583"/>
      <c r="AL239" s="1179"/>
      <c r="AM239" s="1179"/>
      <c r="AN239" s="1179"/>
      <c r="AO239" s="1179"/>
      <c r="AP239" s="2757"/>
      <c r="AQ239" s="2757"/>
      <c r="AR239" s="2757"/>
      <c r="AS239" s="2757"/>
      <c r="AT239" s="2757"/>
      <c r="AU239" s="2757"/>
      <c r="AV239" s="1179"/>
      <c r="AW239" s="1179"/>
      <c r="AX239" s="4048" t="s">
        <v>0</v>
      </c>
      <c r="AY239" s="4047" t="str">
        <f>"Enter your worldwide "&amp;TEXT(BF239,"0%")&amp;" gains (see instructions)"</f>
        <v>Enter your worldwide 28% gains (see instructions)</v>
      </c>
      <c r="AZ239" s="2079"/>
      <c r="BA239" s="2079"/>
      <c r="BB239" s="2079"/>
      <c r="BC239" s="2079"/>
      <c r="BD239" s="4049" t="s">
        <v>0</v>
      </c>
      <c r="BE239" s="1849"/>
      <c r="BF239" s="4052">
        <v>0.28000000000000003</v>
      </c>
      <c r="BG239" s="2079"/>
      <c r="BH239" s="4046"/>
    </row>
    <row r="240" spans="1:60" ht="18" customHeight="1">
      <c r="A240" s="3910"/>
      <c r="B240" s="7728">
        <v>19</v>
      </c>
      <c r="C240" s="7728"/>
      <c r="D240" s="1276" t="s">
        <v>2228</v>
      </c>
      <c r="E240" s="1179"/>
      <c r="F240" s="2686"/>
      <c r="G240" s="1179"/>
      <c r="H240" s="1179"/>
      <c r="I240" s="1179"/>
      <c r="J240" s="1179"/>
      <c r="K240" s="1179"/>
      <c r="L240" s="1179"/>
      <c r="M240" s="1179"/>
      <c r="N240" s="1179"/>
      <c r="O240" s="1179"/>
      <c r="P240" s="1179"/>
      <c r="Q240" s="1179"/>
      <c r="R240" s="1179"/>
      <c r="S240" s="1179"/>
      <c r="T240" s="1179"/>
      <c r="U240" s="1179"/>
      <c r="V240" s="1179"/>
      <c r="W240" s="1179"/>
      <c r="X240" s="1179"/>
      <c r="Y240" s="1179"/>
      <c r="Z240" s="1179"/>
      <c r="AA240" s="1179"/>
      <c r="AB240" s="1179"/>
      <c r="AC240" s="1179"/>
      <c r="AD240" s="1179"/>
      <c r="AE240" s="1179"/>
      <c r="AF240" s="1179"/>
      <c r="AG240" s="1179"/>
      <c r="AH240" s="1179"/>
      <c r="AI240" s="1560" t="s">
        <v>1055</v>
      </c>
      <c r="AJ240" s="7729">
        <v>19</v>
      </c>
      <c r="AK240" s="7730"/>
      <c r="AL240" s="7869" t="str">
        <f>IF(AQ240&lt;&gt;"",ROUND(AQ240,4),IF(AB235,"",IF(OR(AB237="",AB237=0),"                    ---",IF(AB234&gt;AB237,1,ROUND(AB234/AB237,4)))))</f>
        <v/>
      </c>
      <c r="AM240" s="7870"/>
      <c r="AN240" s="7870"/>
      <c r="AO240" s="7870"/>
      <c r="AP240" s="2757"/>
      <c r="AQ240" s="7779"/>
      <c r="AR240" s="7780"/>
      <c r="AS240" s="7780"/>
      <c r="AT240" s="7780"/>
      <c r="AU240" s="2757"/>
      <c r="AV240" s="1179"/>
      <c r="AW240" s="1179"/>
      <c r="AX240" s="4048" t="s">
        <v>1</v>
      </c>
      <c r="AY240" s="4047" t="str">
        <f>"Multiply line 2 by "&amp;TEXT(BF240,"0.0000")</f>
        <v>Multiply line 2 by 0.2432</v>
      </c>
      <c r="AZ240" s="2079"/>
      <c r="BA240" s="2079"/>
      <c r="BB240" s="2079"/>
      <c r="BC240" s="2079"/>
      <c r="BD240" s="4049" t="s">
        <v>1</v>
      </c>
      <c r="BE240" s="2045" t="str">
        <f>IF(BE239&lt;&gt;"",ROUND(BE239*BF240,0),"")</f>
        <v/>
      </c>
      <c r="BF240" s="4053">
        <v>0.2432</v>
      </c>
      <c r="BG240" s="2079"/>
      <c r="BH240" s="4046"/>
    </row>
    <row r="241" spans="1:60" ht="20.25" customHeight="1">
      <c r="A241" s="3910"/>
      <c r="B241" s="7728">
        <v>20</v>
      </c>
      <c r="C241" s="7728"/>
      <c r="D241" s="1276" t="s">
        <v>4164</v>
      </c>
      <c r="E241" s="1179"/>
      <c r="F241" s="2686"/>
      <c r="G241" s="1179"/>
      <c r="H241" s="1179"/>
      <c r="I241" s="1179"/>
      <c r="J241" s="1179"/>
      <c r="K241" s="1179"/>
      <c r="L241" s="1179"/>
      <c r="M241" s="1179"/>
      <c r="N241" s="1179"/>
      <c r="O241" s="1179"/>
      <c r="P241" s="1179"/>
      <c r="Q241" s="1179"/>
      <c r="R241" s="1179"/>
      <c r="S241" s="1179"/>
      <c r="T241" s="1179"/>
      <c r="U241" s="1179"/>
      <c r="V241" s="1179"/>
      <c r="W241" s="1179"/>
      <c r="X241" s="1179"/>
      <c r="Y241" s="1179"/>
      <c r="Z241" s="1179"/>
      <c r="AA241" s="1179"/>
      <c r="AB241" s="1179"/>
      <c r="AC241" s="1179"/>
      <c r="AD241" s="1179"/>
      <c r="AE241" s="1179"/>
      <c r="AF241" s="1179"/>
      <c r="AG241" s="1179"/>
      <c r="AH241" s="1179"/>
      <c r="AI241" s="1179"/>
      <c r="AJ241" s="7731"/>
      <c r="AK241" s="7732"/>
      <c r="AL241" s="1582"/>
      <c r="AM241" s="1179"/>
      <c r="AN241" s="1179"/>
      <c r="AO241" s="1179"/>
      <c r="AP241" s="2757"/>
      <c r="AQ241" s="2757"/>
      <c r="AR241" s="2757"/>
      <c r="AS241" s="2757"/>
      <c r="AT241" s="2757"/>
      <c r="AU241" s="2757"/>
      <c r="AV241" s="1179"/>
      <c r="AW241" s="1179"/>
      <c r="AX241" s="4721" t="s">
        <v>399</v>
      </c>
      <c r="AY241" s="4713" t="str">
        <f>"Enter your worldwide "&amp;TEXT(BF241,"0%")&amp;" gains (see instructions)"</f>
        <v>Enter your worldwide 25% gains (see instructions)</v>
      </c>
      <c r="AZ241" s="4722"/>
      <c r="BA241" s="4722"/>
      <c r="BB241" s="4722"/>
      <c r="BC241" s="4722"/>
      <c r="BD241" s="4723" t="s">
        <v>399</v>
      </c>
      <c r="BE241" s="4724"/>
      <c r="BF241" s="4725">
        <v>0.25</v>
      </c>
      <c r="BG241" s="4722"/>
      <c r="BH241" s="4726"/>
    </row>
    <row r="242" spans="1:60" ht="13.5" customHeight="1">
      <c r="A242" s="3910"/>
      <c r="B242" s="7728"/>
      <c r="C242" s="7728"/>
      <c r="D242" s="1276" t="s">
        <v>4162</v>
      </c>
      <c r="E242" s="1179"/>
      <c r="F242" s="2686"/>
      <c r="G242" s="1179"/>
      <c r="H242" s="1179"/>
      <c r="I242" s="1179"/>
      <c r="J242" s="1179"/>
      <c r="K242" s="1179"/>
      <c r="L242" s="1179"/>
      <c r="M242" s="1179"/>
      <c r="N242" s="1179"/>
      <c r="O242" s="1179"/>
      <c r="P242" s="1179"/>
      <c r="Q242" s="1179"/>
      <c r="R242" s="1179"/>
      <c r="S242" s="1179"/>
      <c r="T242" s="1179"/>
      <c r="U242" s="1179"/>
      <c r="V242" s="1179"/>
      <c r="W242" s="1179"/>
      <c r="X242" s="1179"/>
      <c r="Y242" s="1179"/>
      <c r="Z242" s="1179"/>
      <c r="AA242" s="1179"/>
      <c r="AB242" s="1179"/>
      <c r="AC242" s="1179"/>
      <c r="AD242" s="1179"/>
      <c r="AE242" s="1179"/>
      <c r="AF242" s="1179"/>
      <c r="AG242" s="1179"/>
      <c r="AH242" s="1179"/>
      <c r="AI242" s="1179"/>
      <c r="AJ242" s="7731"/>
      <c r="AK242" s="7732"/>
      <c r="AL242" s="1582"/>
      <c r="AM242" s="1179"/>
      <c r="AN242" s="1179"/>
      <c r="AO242" s="1179"/>
      <c r="AP242" s="2757"/>
      <c r="AQ242" s="1179"/>
      <c r="AR242" s="1179"/>
      <c r="AS242" s="1179"/>
      <c r="AT242" s="1179"/>
      <c r="AU242" s="1179"/>
      <c r="AV242" s="1179"/>
      <c r="AW242" s="1179"/>
      <c r="AX242" s="4048" t="s">
        <v>31</v>
      </c>
      <c r="AY242" s="4047" t="str">
        <f>"Multiply line 4 by "&amp;TEXT(BF242,"0.0000")</f>
        <v>Multiply line 4 by 0.3243</v>
      </c>
      <c r="AZ242" s="2079"/>
      <c r="BA242" s="2079"/>
      <c r="BB242" s="2079"/>
      <c r="BC242" s="2079"/>
      <c r="BD242" s="4049" t="s">
        <v>31</v>
      </c>
      <c r="BE242" s="2045" t="str">
        <f>IF(BE241&lt;&gt;"",ROUND(BE241*BF242,0),"")</f>
        <v/>
      </c>
      <c r="BF242" s="4053">
        <v>0.32429999999999998</v>
      </c>
      <c r="BG242" s="2079"/>
      <c r="BH242" s="4046"/>
    </row>
    <row r="243" spans="1:60" ht="13.5" customHeight="1">
      <c r="A243" s="3910"/>
      <c r="B243" s="3767"/>
      <c r="C243" s="3767"/>
      <c r="D243" s="1276" t="s">
        <v>4163</v>
      </c>
      <c r="E243" s="1179"/>
      <c r="F243" s="2686"/>
      <c r="G243" s="1179"/>
      <c r="H243" s="1179"/>
      <c r="I243" s="1179"/>
      <c r="J243" s="1179"/>
      <c r="K243" s="1179"/>
      <c r="L243" s="1179"/>
      <c r="M243" s="1179"/>
      <c r="N243" s="1179"/>
      <c r="O243" s="1179"/>
      <c r="P243" s="1179"/>
      <c r="Q243" s="1179"/>
      <c r="R243" s="1179"/>
      <c r="S243" s="1179"/>
      <c r="T243" s="1179"/>
      <c r="U243" s="1179"/>
      <c r="V243" s="1179"/>
      <c r="W243" s="1179"/>
      <c r="X243" s="1179"/>
      <c r="Y243" s="1179"/>
      <c r="Z243" s="1179"/>
      <c r="AA243" s="1179"/>
      <c r="AB243" s="1179"/>
      <c r="AC243" s="1179"/>
      <c r="AD243" s="1179"/>
      <c r="AE243" s="1179"/>
      <c r="AF243" s="1179"/>
      <c r="AG243" s="1179"/>
      <c r="AH243" s="1179"/>
      <c r="AI243" s="1179"/>
      <c r="AJ243" s="4695"/>
      <c r="AK243" s="3431"/>
      <c r="AL243" s="1582"/>
      <c r="AM243" s="1179"/>
      <c r="AN243" s="1179"/>
      <c r="AO243" s="1179"/>
      <c r="AP243" s="2757"/>
      <c r="AQ243" s="1179"/>
      <c r="AR243" s="1179"/>
      <c r="AS243" s="1179"/>
      <c r="AT243" s="1179"/>
      <c r="AU243" s="1179"/>
      <c r="AV243" s="1179"/>
      <c r="AW243" s="1179"/>
      <c r="AX243" s="4048" t="s">
        <v>67</v>
      </c>
      <c r="AY243" s="4047" t="str">
        <f>"Enter your worldwide "&amp;TEXT(BF243,"0%")&amp;" gains (see instructions)"</f>
        <v>Enter your worldwide 20% gains (see instructions)</v>
      </c>
      <c r="AZ243" s="2079"/>
      <c r="BA243" s="2079"/>
      <c r="BB243" s="2079"/>
      <c r="BC243" s="2079"/>
      <c r="BD243" s="4049" t="s">
        <v>67</v>
      </c>
      <c r="BE243" s="1849"/>
      <c r="BF243" s="4052">
        <v>0.2</v>
      </c>
      <c r="BG243" s="2079"/>
      <c r="BH243" s="4046"/>
    </row>
    <row r="244" spans="1:60" ht="13.5" customHeight="1">
      <c r="A244" s="3910"/>
      <c r="B244" s="7728"/>
      <c r="C244" s="7728"/>
      <c r="D244" s="1926" t="s">
        <v>4165</v>
      </c>
      <c r="E244" s="1179"/>
      <c r="F244" s="2686"/>
      <c r="G244" s="1179"/>
      <c r="H244" s="1179"/>
      <c r="I244" s="1179"/>
      <c r="J244" s="1179"/>
      <c r="K244" s="1179"/>
      <c r="L244" s="1179"/>
      <c r="M244" s="1179"/>
      <c r="N244" s="1179"/>
      <c r="O244" s="1179"/>
      <c r="P244" s="1179"/>
      <c r="Q244" s="1179"/>
      <c r="R244" s="1179"/>
      <c r="S244" s="1179"/>
      <c r="T244" s="1179"/>
      <c r="U244" s="1179"/>
      <c r="V244" s="1179"/>
      <c r="W244" s="1179"/>
      <c r="X244" s="1179"/>
      <c r="Y244" s="1179"/>
      <c r="Z244" s="1179"/>
      <c r="AA244" s="1179"/>
      <c r="AB244" s="1179"/>
      <c r="AC244" s="1179"/>
      <c r="AD244" s="1179"/>
      <c r="AE244" s="1179"/>
      <c r="AF244" s="1179"/>
      <c r="AG244" s="1179"/>
      <c r="AH244" s="1179"/>
      <c r="AI244" s="1179"/>
      <c r="AJ244" s="7731"/>
      <c r="AK244" s="7732"/>
      <c r="AL244" s="1582"/>
      <c r="AM244" s="1179"/>
      <c r="AN244" s="1179"/>
      <c r="AO244" s="1179"/>
      <c r="AP244" s="2757"/>
      <c r="AQ244" s="2757"/>
      <c r="AR244" s="2757"/>
      <c r="AS244" s="2757"/>
      <c r="AT244" s="2757"/>
      <c r="AU244" s="2757"/>
      <c r="AV244" s="1179"/>
      <c r="AW244" s="1179"/>
      <c r="AX244" s="4048" t="s">
        <v>68</v>
      </c>
      <c r="AY244" s="4047" t="str">
        <f>"Multiply line 6 by "&amp;TEXT(BF244,"0.0000")</f>
        <v>Multiply line 6 by 0.4595</v>
      </c>
      <c r="AZ244" s="2079"/>
      <c r="BA244" s="2079"/>
      <c r="BB244" s="2079"/>
      <c r="BC244" s="2079"/>
      <c r="BD244" s="4049" t="s">
        <v>68</v>
      </c>
      <c r="BE244" s="2045" t="str">
        <f>IF(BE243&lt;&gt;"",ROUND(BE243*BF244,0),"")</f>
        <v/>
      </c>
      <c r="BF244" s="4053">
        <v>0.45950000000000002</v>
      </c>
      <c r="BG244" s="2079"/>
      <c r="BH244" s="4046"/>
    </row>
    <row r="245" spans="1:60" ht="13.5" customHeight="1">
      <c r="A245" s="3910"/>
      <c r="B245" s="2795"/>
      <c r="C245" s="2795"/>
      <c r="D245" s="1926" t="s">
        <v>4166</v>
      </c>
      <c r="E245" s="1179"/>
      <c r="F245" s="1179"/>
      <c r="G245" s="1179"/>
      <c r="H245" s="1179"/>
      <c r="I245" s="1179"/>
      <c r="J245" s="1179"/>
      <c r="K245" s="1179"/>
      <c r="L245" s="1179"/>
      <c r="M245" s="1179"/>
      <c r="N245" s="1179"/>
      <c r="O245" s="1179"/>
      <c r="P245" s="1179"/>
      <c r="Q245" s="1179"/>
      <c r="R245" s="1179"/>
      <c r="S245" s="1179"/>
      <c r="T245" s="1179"/>
      <c r="U245" s="1179"/>
      <c r="V245" s="1179"/>
      <c r="W245" s="1179"/>
      <c r="X245" s="1179"/>
      <c r="Y245" s="1179"/>
      <c r="Z245" s="1179"/>
      <c r="AA245" s="1179"/>
      <c r="AB245" s="1179"/>
      <c r="AC245" s="1179"/>
      <c r="AD245" s="1179"/>
      <c r="AE245" s="1179"/>
      <c r="AF245" s="1179"/>
      <c r="AG245" s="1179"/>
      <c r="AH245" s="1179"/>
      <c r="AI245" s="1560" t="s">
        <v>2524</v>
      </c>
      <c r="AJ245" s="7729">
        <v>20</v>
      </c>
      <c r="AK245" s="7730"/>
      <c r="AL245" s="7742" t="str">
        <f>IF(AQ245&lt;&gt;"",ROUND(AQ245,0),IF(AB235,"",IF(AO151&lt;&gt;1,"",SUM(Tax_SubTotal,PTC_ExcessAdv))))</f>
        <v/>
      </c>
      <c r="AM245" s="6685"/>
      <c r="AN245" s="6685"/>
      <c r="AO245" s="6685"/>
      <c r="AP245" s="2757"/>
      <c r="AQ245" s="7752"/>
      <c r="AR245" s="7753"/>
      <c r="AS245" s="7753"/>
      <c r="AT245" s="7753"/>
      <c r="AU245" s="2757"/>
      <c r="AV245" s="1179"/>
      <c r="AW245" s="1179"/>
      <c r="AX245" s="4048" t="s">
        <v>204</v>
      </c>
      <c r="AY245" s="4047" t="str">
        <f>"Enter your worldwide "&amp;TEXT(BF245,"0%")&amp;" gains (see instructions)"</f>
        <v>Enter your worldwide 15% gains (see instructions)</v>
      </c>
      <c r="AZ245" s="2079"/>
      <c r="BA245" s="2079"/>
      <c r="BB245" s="2079"/>
      <c r="BC245" s="2079"/>
      <c r="BD245" s="4049" t="s">
        <v>204</v>
      </c>
      <c r="BE245" s="1849"/>
      <c r="BF245" s="4052">
        <v>0.15</v>
      </c>
      <c r="BG245" s="2079"/>
      <c r="BH245" s="4046"/>
    </row>
    <row r="246" spans="1:60" ht="13.5" customHeight="1">
      <c r="A246" s="4716"/>
      <c r="B246" s="7856"/>
      <c r="C246" s="7856"/>
      <c r="D246" s="2946" t="s">
        <v>2509</v>
      </c>
      <c r="E246" s="1830"/>
      <c r="F246" s="3355"/>
      <c r="G246" s="1830"/>
      <c r="H246" s="1830"/>
      <c r="I246" s="1830"/>
      <c r="J246" s="1830"/>
      <c r="K246" s="1830"/>
      <c r="L246" s="1830"/>
      <c r="M246" s="1830"/>
      <c r="N246" s="1830"/>
      <c r="O246" s="1830"/>
      <c r="P246" s="1830"/>
      <c r="Q246" s="1830"/>
      <c r="R246" s="1830"/>
      <c r="S246" s="1830"/>
      <c r="T246" s="1830"/>
      <c r="U246" s="1830"/>
      <c r="V246" s="1830"/>
      <c r="W246" s="1830"/>
      <c r="X246" s="1830"/>
      <c r="Y246" s="1830"/>
      <c r="Z246" s="1830"/>
      <c r="AA246" s="1830"/>
      <c r="AB246" s="1830"/>
      <c r="AC246" s="1830"/>
      <c r="AD246" s="1830"/>
      <c r="AE246" s="1830"/>
      <c r="AF246" s="1830"/>
      <c r="AG246" s="1830"/>
      <c r="AH246" s="1830"/>
      <c r="AI246" s="1830"/>
      <c r="AJ246" s="4717"/>
      <c r="AK246" s="4718"/>
      <c r="AL246" s="1830"/>
      <c r="AM246" s="1830"/>
      <c r="AN246" s="1830"/>
      <c r="AO246" s="1830"/>
      <c r="AP246" s="2948"/>
      <c r="AQ246" s="2948"/>
      <c r="AR246" s="2948"/>
      <c r="AS246" s="2948"/>
      <c r="AT246" s="2948"/>
      <c r="AU246" s="2948"/>
      <c r="AV246" s="1830"/>
      <c r="AW246" s="1830"/>
      <c r="AX246" s="4048" t="s">
        <v>205</v>
      </c>
      <c r="AY246" s="4047" t="str">
        <f>"Multiply line 8 by "&amp;TEXT(BF246,"0.0000")</f>
        <v>Multiply line 8 by 0.5946</v>
      </c>
      <c r="AZ246" s="2079"/>
      <c r="BA246" s="2079"/>
      <c r="BB246" s="2079"/>
      <c r="BC246" s="2079"/>
      <c r="BD246" s="4049" t="s">
        <v>205</v>
      </c>
      <c r="BE246" s="2045" t="str">
        <f>IF(BE245&lt;&gt;"",ROUND(BE245*BF246,0),"")</f>
        <v/>
      </c>
      <c r="BF246" s="4053">
        <v>0.59460000000000002</v>
      </c>
      <c r="BG246" s="2079"/>
      <c r="BH246" s="4046"/>
    </row>
    <row r="247" spans="1:60" s="4732" customFormat="1" ht="12" customHeight="1">
      <c r="A247" s="3913"/>
      <c r="B247" s="1277"/>
      <c r="C247" s="2254"/>
      <c r="D247" s="1277" t="s">
        <v>485</v>
      </c>
      <c r="E247" s="1277"/>
      <c r="F247" s="1277"/>
      <c r="G247" s="1277"/>
      <c r="H247" s="1277"/>
      <c r="I247" s="1277"/>
      <c r="J247" s="1277"/>
      <c r="K247" s="1277"/>
      <c r="L247" s="1277"/>
      <c r="M247" s="1277"/>
      <c r="N247" s="1277"/>
      <c r="O247" s="1277"/>
      <c r="P247" s="1277"/>
      <c r="Q247" s="1277"/>
      <c r="R247" s="1277"/>
      <c r="S247" s="1277"/>
      <c r="T247" s="4727"/>
      <c r="U247" s="1277"/>
      <c r="V247" s="1277"/>
      <c r="W247" s="1277"/>
      <c r="X247" s="1277"/>
      <c r="Y247" s="1277"/>
      <c r="Z247" s="1277"/>
      <c r="AA247" s="1277"/>
      <c r="AB247" s="1277"/>
      <c r="AC247" s="1277"/>
      <c r="AD247" s="1277"/>
      <c r="AE247" s="1277"/>
      <c r="AF247" s="1277"/>
      <c r="AG247" s="1277"/>
      <c r="AH247" s="1277"/>
      <c r="AI247" s="1277"/>
      <c r="AJ247" s="4720"/>
      <c r="AK247" s="4728"/>
      <c r="AL247" s="1277"/>
      <c r="AM247" s="1277"/>
      <c r="AN247" s="1277"/>
      <c r="AO247" s="1277"/>
      <c r="AP247" s="2792"/>
      <c r="AQ247" s="2792"/>
      <c r="AR247" s="2792"/>
      <c r="AS247" s="2792"/>
      <c r="AT247" s="2792"/>
      <c r="AU247" s="2792"/>
      <c r="AV247" s="1277"/>
      <c r="AW247" s="1277"/>
      <c r="AX247" s="4048" t="s">
        <v>295</v>
      </c>
      <c r="AY247" s="4047" t="str">
        <f>"Enter your worldwide "&amp;TEXT(BF247,"0%")&amp;" gains and qualified dividends"</f>
        <v>Enter your worldwide 0% gains and qualified dividends</v>
      </c>
      <c r="AZ247" s="2079"/>
      <c r="BA247" s="2079"/>
      <c r="BB247" s="2079"/>
      <c r="BC247" s="2079"/>
      <c r="BD247" s="4049"/>
      <c r="BE247" s="4042"/>
      <c r="BF247" s="4052">
        <v>0</v>
      </c>
      <c r="BG247" s="2079"/>
      <c r="BH247" s="4046"/>
    </row>
    <row r="248" spans="1:60" ht="15">
      <c r="A248" s="3910"/>
      <c r="B248" s="7728">
        <v>21</v>
      </c>
      <c r="C248" s="7728"/>
      <c r="D248" s="1179" t="s">
        <v>2229</v>
      </c>
      <c r="E248" s="1179"/>
      <c r="F248" s="1179"/>
      <c r="G248" s="1179"/>
      <c r="H248" s="1179"/>
      <c r="I248" s="1179"/>
      <c r="J248" s="1179"/>
      <c r="K248" s="1179"/>
      <c r="L248" s="1179"/>
      <c r="M248" s="1179"/>
      <c r="N248" s="1179"/>
      <c r="O248" s="1179"/>
      <c r="P248" s="1179"/>
      <c r="Q248" s="1179"/>
      <c r="R248" s="1179"/>
      <c r="S248" s="1179"/>
      <c r="T248" s="1285"/>
      <c r="U248" s="1179"/>
      <c r="V248" s="1179"/>
      <c r="W248" s="1179"/>
      <c r="X248" s="1179"/>
      <c r="Y248" s="1179"/>
      <c r="Z248" s="1179"/>
      <c r="AA248" s="1179"/>
      <c r="AB248" s="1179"/>
      <c r="AC248" s="1179"/>
      <c r="AD248" s="1179"/>
      <c r="AE248" s="1179"/>
      <c r="AF248" s="1179"/>
      <c r="AG248" s="1179"/>
      <c r="AH248" s="1179"/>
      <c r="AI248" s="1560" t="s">
        <v>644</v>
      </c>
      <c r="AJ248" s="7729">
        <v>21</v>
      </c>
      <c r="AK248" s="7730"/>
      <c r="AL248" s="7742" t="str">
        <f>IF(AB235,"",IF(ISERROR(AL240*AL245),"                    ---",ROUND(AL240*AL245,0)))</f>
        <v/>
      </c>
      <c r="AM248" s="6685"/>
      <c r="AN248" s="6685"/>
      <c r="AO248" s="6685"/>
      <c r="AP248" s="2757"/>
      <c r="AQ248" s="2757"/>
      <c r="AR248" s="2757"/>
      <c r="AS248" s="2757"/>
      <c r="AT248" s="2757"/>
      <c r="AU248" s="2757"/>
      <c r="AV248" s="1179"/>
      <c r="AW248" s="1179"/>
      <c r="AX248" s="4045"/>
      <c r="AY248" s="4047" t="s">
        <v>1794</v>
      </c>
      <c r="AZ248" s="2079"/>
      <c r="BA248" s="2079"/>
      <c r="BB248" s="2079"/>
      <c r="BC248" s="2079"/>
      <c r="BD248" s="4049" t="s">
        <v>295</v>
      </c>
      <c r="BE248" s="1849"/>
      <c r="BF248" s="2079"/>
      <c r="BG248" s="3978">
        <f>ROUND(BE248,0)</f>
        <v>0</v>
      </c>
      <c r="BH248" s="4046"/>
    </row>
    <row r="249" spans="1:60" ht="12" customHeight="1">
      <c r="A249" s="3910"/>
      <c r="B249" s="4697"/>
      <c r="C249" s="4697"/>
      <c r="D249" s="1179"/>
      <c r="E249" s="1179"/>
      <c r="F249" s="1179"/>
      <c r="G249" s="1179"/>
      <c r="H249" s="1179"/>
      <c r="I249" s="1179"/>
      <c r="J249" s="1179"/>
      <c r="K249" s="1179"/>
      <c r="L249" s="1179"/>
      <c r="M249" s="1179"/>
      <c r="N249" s="1179"/>
      <c r="O249" s="1179"/>
      <c r="P249" s="1179"/>
      <c r="Q249" s="1179"/>
      <c r="R249" s="1179"/>
      <c r="S249" s="1179"/>
      <c r="T249" s="1285"/>
      <c r="U249" s="1179"/>
      <c r="V249" s="1179"/>
      <c r="W249" s="1179"/>
      <c r="X249" s="1179"/>
      <c r="Y249" s="1179"/>
      <c r="Z249" s="1179"/>
      <c r="AA249" s="1179"/>
      <c r="AB249" s="1179"/>
      <c r="AC249" s="1179"/>
      <c r="AD249" s="1179"/>
      <c r="AE249" s="1179"/>
      <c r="AF249" s="1179"/>
      <c r="AG249" s="1179"/>
      <c r="AH249" s="1179"/>
      <c r="AI249" s="1560"/>
      <c r="AJ249" s="3768"/>
      <c r="AK249" s="4696"/>
      <c r="AL249" s="1179"/>
      <c r="AM249" s="1179"/>
      <c r="AN249" s="1179"/>
      <c r="AO249" s="1179"/>
      <c r="AP249" s="2757"/>
      <c r="AQ249" s="2757"/>
      <c r="AR249" s="2757"/>
      <c r="AS249" s="2757"/>
      <c r="AT249" s="2757"/>
      <c r="AU249" s="2757"/>
      <c r="AV249" s="1179"/>
      <c r="AW249" s="1179"/>
      <c r="AX249" s="4048" t="s">
        <v>296</v>
      </c>
      <c r="AY249" s="4047" t="s">
        <v>3273</v>
      </c>
      <c r="AZ249" s="2079"/>
      <c r="BA249" s="2079"/>
      <c r="BB249" s="2079"/>
      <c r="BC249" s="2079"/>
      <c r="BD249" s="2079"/>
      <c r="BE249" s="3978" t="b">
        <f>OR(BE239&lt;&gt;"",BE241&lt;&gt;"",BE243&lt;&gt;"",BE245&lt;&gt;"",BE248&lt;&gt;"")</f>
        <v>0</v>
      </c>
      <c r="BF249" s="4049" t="s">
        <v>296</v>
      </c>
      <c r="BG249" s="2045">
        <f>IF(BE249,SUM(BE240,BE242,BE244,BE246,BG248),IF(AB231,"",0))</f>
        <v>0</v>
      </c>
      <c r="BH249" s="4046"/>
    </row>
    <row r="250" spans="1:60" ht="14.25" customHeight="1">
      <c r="A250" s="3910"/>
      <c r="B250" s="7717">
        <v>22</v>
      </c>
      <c r="C250" s="7717"/>
      <c r="D250" s="1276" t="s">
        <v>4167</v>
      </c>
      <c r="E250" s="1179"/>
      <c r="F250" s="1179"/>
      <c r="G250" s="1179"/>
      <c r="H250" s="1179"/>
      <c r="I250" s="1179"/>
      <c r="J250" s="1179"/>
      <c r="K250" s="1179"/>
      <c r="L250" s="1179"/>
      <c r="M250" s="1179"/>
      <c r="N250" s="1179"/>
      <c r="O250" s="1179"/>
      <c r="P250" s="1179"/>
      <c r="Q250" s="1179"/>
      <c r="R250" s="1179"/>
      <c r="S250" s="1179"/>
      <c r="T250" s="1285"/>
      <c r="U250" s="1179"/>
      <c r="V250" s="1179"/>
      <c r="W250" s="1179"/>
      <c r="X250" s="1179"/>
      <c r="Y250" s="1179"/>
      <c r="Z250" s="1179"/>
      <c r="AA250" s="1179"/>
      <c r="AB250" s="1179"/>
      <c r="AC250" s="1179"/>
      <c r="AD250" s="1179"/>
      <c r="AE250" s="1179"/>
      <c r="AF250" s="1179"/>
      <c r="AG250" s="1179"/>
      <c r="AH250" s="1179"/>
      <c r="AI250" s="1560" t="s">
        <v>805</v>
      </c>
      <c r="AJ250" s="7729">
        <v>22</v>
      </c>
      <c r="AK250" s="7740"/>
      <c r="AL250" s="7741"/>
      <c r="AM250" s="6677"/>
      <c r="AN250" s="6677"/>
      <c r="AO250" s="6677"/>
      <c r="AP250" s="2757"/>
      <c r="AQ250" s="4714">
        <f>ROUND(AL250,0)</f>
        <v>0</v>
      </c>
      <c r="AR250" s="2757"/>
      <c r="AS250" s="2757"/>
      <c r="AT250" s="2757"/>
      <c r="AU250" s="2757"/>
      <c r="AV250" s="1179"/>
      <c r="AW250" s="1179"/>
      <c r="AX250" s="4048" t="s">
        <v>297</v>
      </c>
      <c r="AY250" s="4047" t="s">
        <v>3274</v>
      </c>
      <c r="AZ250" s="2079"/>
      <c r="BA250" s="2079"/>
      <c r="BB250" s="2079"/>
      <c r="BC250" s="2079"/>
      <c r="BD250" s="2079"/>
      <c r="BE250" s="2079"/>
      <c r="BF250" s="4049" t="s">
        <v>297</v>
      </c>
      <c r="BG250" s="2045">
        <f>IF(BG249="","",SUM(BG238,-BG249))</f>
        <v>0</v>
      </c>
      <c r="BH250" s="4046"/>
    </row>
    <row r="251" spans="1:60" ht="14.25" customHeight="1" thickBot="1">
      <c r="A251" s="3910"/>
      <c r="B251" s="4697"/>
      <c r="C251" s="4697"/>
      <c r="D251" s="1179"/>
      <c r="E251" s="1179"/>
      <c r="F251" s="1179"/>
      <c r="G251" s="1179"/>
      <c r="H251" s="1179"/>
      <c r="I251" s="1179"/>
      <c r="J251" s="1179"/>
      <c r="K251" s="1179"/>
      <c r="L251" s="1179"/>
      <c r="M251" s="1179"/>
      <c r="N251" s="1179"/>
      <c r="O251" s="1179"/>
      <c r="P251" s="1179"/>
      <c r="Q251" s="1179"/>
      <c r="R251" s="1179"/>
      <c r="S251" s="1179"/>
      <c r="T251" s="1285"/>
      <c r="U251" s="1179"/>
      <c r="V251" s="1179"/>
      <c r="W251" s="1179"/>
      <c r="X251" s="1179"/>
      <c r="Y251" s="1179"/>
      <c r="Z251" s="1179"/>
      <c r="AA251" s="1179"/>
      <c r="AB251" s="1179"/>
      <c r="AC251" s="1179"/>
      <c r="AD251" s="1179"/>
      <c r="AE251" s="1179"/>
      <c r="AF251" s="1179"/>
      <c r="AG251" s="1179"/>
      <c r="AH251" s="1179"/>
      <c r="AI251" s="1560"/>
      <c r="AJ251" s="3768"/>
      <c r="AK251" s="4696"/>
      <c r="AL251" s="1179"/>
      <c r="AM251" s="1179"/>
      <c r="AN251" s="1179"/>
      <c r="AO251" s="1179"/>
      <c r="AP251" s="2757"/>
      <c r="AQ251" s="2757"/>
      <c r="AR251" s="2757"/>
      <c r="AS251" s="2757"/>
      <c r="AT251" s="2757"/>
      <c r="AU251" s="2757"/>
      <c r="AV251" s="1179"/>
      <c r="AW251" s="1179"/>
      <c r="AX251" s="4729"/>
      <c r="AY251" s="4730"/>
      <c r="AZ251" s="4730"/>
      <c r="BA251" s="4730"/>
      <c r="BB251" s="4730"/>
      <c r="BC251" s="4730"/>
      <c r="BD251" s="4730"/>
      <c r="BE251" s="4730"/>
      <c r="BF251" s="4730"/>
      <c r="BG251" s="4730"/>
      <c r="BH251" s="4731"/>
    </row>
    <row r="252" spans="1:60" ht="14.25" customHeight="1">
      <c r="A252" s="3910"/>
      <c r="B252" s="7717">
        <v>23</v>
      </c>
      <c r="C252" s="7717"/>
      <c r="D252" s="1276" t="s">
        <v>3476</v>
      </c>
      <c r="E252" s="1179"/>
      <c r="F252" s="1179"/>
      <c r="G252" s="1179"/>
      <c r="H252" s="1179"/>
      <c r="I252" s="1179"/>
      <c r="J252" s="1179"/>
      <c r="K252" s="1179"/>
      <c r="L252" s="1179"/>
      <c r="M252" s="1179"/>
      <c r="N252" s="1179"/>
      <c r="O252" s="1179"/>
      <c r="P252" s="1179"/>
      <c r="Q252" s="1179"/>
      <c r="R252" s="1179"/>
      <c r="S252" s="1179"/>
      <c r="T252" s="1285"/>
      <c r="U252" s="1179"/>
      <c r="V252" s="1179"/>
      <c r="W252" s="1179"/>
      <c r="X252" s="1179"/>
      <c r="Y252" s="1179"/>
      <c r="Z252" s="1179"/>
      <c r="AA252" s="1179"/>
      <c r="AB252" s="1179"/>
      <c r="AC252" s="1179"/>
      <c r="AD252" s="1179"/>
      <c r="AE252" s="1179"/>
      <c r="AF252" s="1179"/>
      <c r="AG252" s="1179"/>
      <c r="AH252" s="1179"/>
      <c r="AI252" s="1560" t="s">
        <v>2971</v>
      </c>
      <c r="AJ252" s="7729">
        <v>23</v>
      </c>
      <c r="AK252" s="7740"/>
      <c r="AL252" s="7742" t="str">
        <f>IF(AB235,"",SUM(AL248,AQ250))</f>
        <v/>
      </c>
      <c r="AM252" s="6676"/>
      <c r="AN252" s="6676"/>
      <c r="AO252" s="6676"/>
      <c r="AP252" s="2757"/>
      <c r="AQ252" s="2757"/>
      <c r="AR252" s="2757"/>
      <c r="AS252" s="2757"/>
      <c r="AT252" s="2757"/>
      <c r="AU252" s="2757"/>
      <c r="AV252" s="1179"/>
      <c r="AW252" s="1179"/>
      <c r="AX252" s="3013"/>
      <c r="AY252" s="3851"/>
      <c r="AZ252" s="3851"/>
      <c r="BA252" s="3851"/>
      <c r="BB252" s="3851"/>
      <c r="BC252" s="3851"/>
      <c r="BD252" s="3851"/>
      <c r="BE252" s="3851"/>
      <c r="BF252" s="3851"/>
      <c r="BG252" s="3851"/>
      <c r="BH252" s="3851"/>
    </row>
    <row r="253" spans="1:60" ht="14.25" customHeight="1">
      <c r="A253" s="3910"/>
      <c r="B253" s="7717">
        <v>24</v>
      </c>
      <c r="C253" s="7717"/>
      <c r="D253" s="1276" t="s">
        <v>4168</v>
      </c>
      <c r="E253" s="1179"/>
      <c r="F253" s="2686"/>
      <c r="G253" s="1179"/>
      <c r="H253" s="1179"/>
      <c r="I253" s="1179"/>
      <c r="J253" s="1179"/>
      <c r="K253" s="1179"/>
      <c r="L253" s="1179"/>
      <c r="M253" s="1179"/>
      <c r="N253" s="1179"/>
      <c r="O253" s="1179"/>
      <c r="P253" s="1179"/>
      <c r="Q253" s="1179"/>
      <c r="R253" s="1179"/>
      <c r="S253" s="1179"/>
      <c r="T253" s="1179"/>
      <c r="U253" s="1179"/>
      <c r="V253" s="1179"/>
      <c r="W253" s="1179"/>
      <c r="X253" s="1179"/>
      <c r="Y253" s="1179"/>
      <c r="Z253" s="1179"/>
      <c r="AA253" s="1179"/>
      <c r="AB253" s="1179"/>
      <c r="AC253" s="1179"/>
      <c r="AD253" s="1179"/>
      <c r="AE253" s="1179"/>
      <c r="AF253" s="1179"/>
      <c r="AG253" s="1179"/>
      <c r="AH253" s="1179"/>
      <c r="AI253" s="1179"/>
      <c r="AJ253" s="1582"/>
      <c r="AK253" s="1583"/>
      <c r="AL253" s="1179"/>
      <c r="AM253" s="1179"/>
      <c r="AN253" s="1179"/>
      <c r="AO253" s="1179"/>
      <c r="AP253" s="2757"/>
      <c r="AQ253" s="2757"/>
      <c r="AR253" s="2757"/>
      <c r="AS253" s="2757"/>
      <c r="AT253" s="2757"/>
      <c r="AU253" s="2757"/>
      <c r="AV253" s="1179"/>
      <c r="AW253" s="1179"/>
      <c r="AX253" s="3013"/>
      <c r="AY253" s="3851"/>
      <c r="AZ253" s="3851"/>
      <c r="BA253" s="3851"/>
      <c r="BB253" s="3851"/>
      <c r="BC253" s="3851"/>
      <c r="BD253" s="3851"/>
      <c r="BE253" s="3851"/>
      <c r="BF253" s="3851"/>
      <c r="BG253" s="3851"/>
      <c r="BH253" s="3851"/>
    </row>
    <row r="254" spans="1:60" ht="14.25" customHeight="1">
      <c r="A254" s="3910"/>
      <c r="B254" s="1179"/>
      <c r="C254" s="1185"/>
      <c r="D254" s="1926" t="s">
        <v>4169</v>
      </c>
      <c r="E254" s="1179"/>
      <c r="F254" s="1179"/>
      <c r="G254" s="1179"/>
      <c r="H254" s="1179"/>
      <c r="I254" s="1179"/>
      <c r="J254" s="1179"/>
      <c r="K254" s="1179"/>
      <c r="L254" s="1179"/>
      <c r="M254" s="1179"/>
      <c r="N254" s="1179"/>
      <c r="O254" s="1179"/>
      <c r="P254" s="1179"/>
      <c r="Q254" s="1179"/>
      <c r="R254" s="1179"/>
      <c r="S254" s="1179"/>
      <c r="T254" s="1285"/>
      <c r="U254" s="1179"/>
      <c r="V254" s="1179"/>
      <c r="W254" s="1179"/>
      <c r="X254" s="1179"/>
      <c r="Y254" s="1179"/>
      <c r="Z254" s="1179"/>
      <c r="AA254" s="1179"/>
      <c r="AB254" s="1179"/>
      <c r="AC254" s="1179"/>
      <c r="AD254" s="1179"/>
      <c r="AE254" s="1179"/>
      <c r="AF254" s="1179"/>
      <c r="AG254" s="1179"/>
      <c r="AH254" s="1179"/>
      <c r="AI254" s="1179"/>
      <c r="AJ254" s="1582"/>
      <c r="AK254" s="1583"/>
      <c r="AL254" s="7861">
        <f>SUM($AO$20,$AO$151,$AO$281)</f>
        <v>0</v>
      </c>
      <c r="AM254" s="7863"/>
      <c r="AN254" s="7863"/>
      <c r="AO254" s="7863"/>
      <c r="AP254" s="2757"/>
      <c r="AQ254" s="2757"/>
      <c r="AR254" s="2757"/>
      <c r="AS254" s="2757"/>
      <c r="AT254" s="2757"/>
      <c r="AU254" s="2757"/>
      <c r="AV254" s="1179"/>
      <c r="AW254" s="1179"/>
      <c r="AX254" s="3013"/>
      <c r="AY254" s="3851"/>
      <c r="AZ254" s="3851"/>
      <c r="BA254" s="3851"/>
      <c r="BB254" s="3851"/>
      <c r="BC254" s="3851"/>
      <c r="BD254" s="3851"/>
      <c r="BE254" s="3851"/>
      <c r="BF254" s="3851"/>
      <c r="BG254" s="3851"/>
      <c r="BH254" s="3851"/>
    </row>
    <row r="255" spans="1:60" ht="14.25" customHeight="1" thickBot="1">
      <c r="A255" s="3910"/>
      <c r="B255" s="7803"/>
      <c r="C255" s="7803"/>
      <c r="D255" s="1179" t="s">
        <v>891</v>
      </c>
      <c r="E255" s="1179"/>
      <c r="F255" s="1179"/>
      <c r="G255" s="1179"/>
      <c r="H255" s="1179"/>
      <c r="I255" s="1179"/>
      <c r="J255" s="1179"/>
      <c r="K255" s="1179"/>
      <c r="L255" s="1179"/>
      <c r="M255" s="1179"/>
      <c r="N255" s="1179"/>
      <c r="O255" s="1179"/>
      <c r="P255" s="1179"/>
      <c r="Q255" s="1179"/>
      <c r="R255" s="1179"/>
      <c r="S255" s="1179"/>
      <c r="T255" s="1285"/>
      <c r="U255" s="1179"/>
      <c r="V255" s="1179"/>
      <c r="W255" s="1179"/>
      <c r="X255" s="1179"/>
      <c r="Y255" s="1179"/>
      <c r="Z255" s="1179"/>
      <c r="AA255" s="1179"/>
      <c r="AB255" s="1179"/>
      <c r="AC255" s="1179"/>
      <c r="AD255" s="1179"/>
      <c r="AE255" s="1179"/>
      <c r="AF255" s="1179"/>
      <c r="AG255" s="1179"/>
      <c r="AH255" s="1179"/>
      <c r="AI255" s="1560" t="s">
        <v>4176</v>
      </c>
      <c r="AJ255" s="7729">
        <v>24</v>
      </c>
      <c r="AK255" s="7740"/>
      <c r="AL255" s="7742" t="str">
        <f>IF(AQ255&lt;&gt;"",ROUND(AQ255,0),IF(AB235,"",IF(ISERROR(AL225*AL248),"                    ---",MIN(AL225,AL248))))</f>
        <v/>
      </c>
      <c r="AM255" s="6676"/>
      <c r="AN255" s="6676"/>
      <c r="AO255" s="6676"/>
      <c r="AP255" s="2757"/>
      <c r="AQ255" s="7752"/>
      <c r="AR255" s="7752"/>
      <c r="AS255" s="7752"/>
      <c r="AT255" s="7752"/>
      <c r="AU255" s="2757"/>
      <c r="AV255" s="1179"/>
      <c r="AW255" s="1179"/>
      <c r="AX255" s="3013"/>
      <c r="AY255" s="3860" t="s">
        <v>3080</v>
      </c>
      <c r="AZ255" s="3851"/>
      <c r="BA255" s="3851"/>
      <c r="BB255" s="3862" t="str">
        <f>IF(ISERROR(SUM(AL248,-ForeignTaxCredit_2))," ---",MAX(SUM(AL248,-ForeignTaxCredit_2),0))</f>
        <v xml:space="preserve"> ---</v>
      </c>
      <c r="BC255" s="3864" t="s">
        <v>3081</v>
      </c>
      <c r="BD255" s="3851"/>
      <c r="BE255" s="3851"/>
      <c r="BF255" s="3851"/>
      <c r="BG255" s="3851"/>
      <c r="BH255" s="3851"/>
    </row>
    <row r="256" spans="1:60" ht="14.25" customHeight="1">
      <c r="A256" s="3912"/>
      <c r="B256" s="7854" t="s">
        <v>470</v>
      </c>
      <c r="C256" s="7854"/>
      <c r="D256" s="7855"/>
      <c r="E256" s="2690"/>
      <c r="F256" s="2814" t="s">
        <v>2243</v>
      </c>
      <c r="G256" s="2690"/>
      <c r="H256" s="2690"/>
      <c r="I256" s="2690"/>
      <c r="J256" s="2690"/>
      <c r="K256" s="2690"/>
      <c r="L256" s="2690"/>
      <c r="M256" s="2690"/>
      <c r="N256" s="2690"/>
      <c r="O256" s="2690"/>
      <c r="P256" s="2690"/>
      <c r="Q256" s="2690"/>
      <c r="R256" s="2690"/>
      <c r="S256" s="2690"/>
      <c r="T256" s="2690"/>
      <c r="U256" s="2690"/>
      <c r="V256" s="2690"/>
      <c r="W256" s="2690"/>
      <c r="X256" s="2690"/>
      <c r="Y256" s="2690"/>
      <c r="Z256" s="2690"/>
      <c r="AA256" s="2690"/>
      <c r="AB256" s="2690"/>
      <c r="AC256" s="2690"/>
      <c r="AD256" s="2690"/>
      <c r="AE256" s="2690"/>
      <c r="AF256" s="2690"/>
      <c r="AG256" s="2690"/>
      <c r="AH256" s="2690"/>
      <c r="AI256" s="2690"/>
      <c r="AJ256" s="2690"/>
      <c r="AK256" s="2690"/>
      <c r="AL256" s="7864" t="b">
        <f>IF(AND(AL254&gt;1,AL255=MAX($AL$125,$AL$255,$AL$385)),TRUE,FALSE)</f>
        <v>0</v>
      </c>
      <c r="AM256" s="7865"/>
      <c r="AN256" s="7865"/>
      <c r="AO256" s="7865"/>
      <c r="AP256" s="2757"/>
      <c r="AQ256" s="2757"/>
      <c r="AR256" s="2757"/>
      <c r="AS256" s="2757"/>
      <c r="AT256" s="2757"/>
      <c r="AU256" s="2757"/>
      <c r="AV256" s="1540"/>
      <c r="AW256" s="1540"/>
      <c r="AX256" s="3013"/>
      <c r="AY256" s="3860" t="s">
        <v>3082</v>
      </c>
      <c r="AZ256" s="3851"/>
      <c r="BA256" s="3851"/>
      <c r="BB256" s="3863" t="str">
        <f>IF(ISERROR(SUM(AL225,-ForeignTaxCredit_2))," ---",MAX(SUM(AL225,-ForeignTaxCredit_2),0))</f>
        <v xml:space="preserve"> ---</v>
      </c>
      <c r="BC256" s="3864" t="s">
        <v>3083</v>
      </c>
      <c r="BD256" s="3851"/>
      <c r="BE256" s="3851"/>
      <c r="BF256" s="3851"/>
      <c r="BG256" s="3851"/>
      <c r="BH256" s="3851"/>
    </row>
    <row r="257" spans="1:60" ht="14.25" customHeight="1">
      <c r="A257" s="3910"/>
      <c r="B257" s="7717">
        <v>25</v>
      </c>
      <c r="C257" s="7717"/>
      <c r="D257" s="1276" t="s">
        <v>2510</v>
      </c>
      <c r="E257" s="1179"/>
      <c r="F257" s="2686"/>
      <c r="G257" s="1179"/>
      <c r="H257" s="1179"/>
      <c r="I257" s="1179"/>
      <c r="J257" s="1179"/>
      <c r="K257" s="1179"/>
      <c r="L257" s="1179"/>
      <c r="M257" s="1179"/>
      <c r="N257" s="1179"/>
      <c r="O257" s="1179"/>
      <c r="P257" s="1179"/>
      <c r="Q257" s="1179"/>
      <c r="R257" s="1179"/>
      <c r="S257" s="1179"/>
      <c r="T257" s="1179"/>
      <c r="U257" s="1179"/>
      <c r="V257" s="1179"/>
      <c r="W257" s="1179"/>
      <c r="X257" s="3022"/>
      <c r="Y257" s="1560" t="s">
        <v>2513</v>
      </c>
      <c r="Z257" s="7729">
        <v>25</v>
      </c>
      <c r="AA257" s="7730"/>
      <c r="AB257" s="7767" t="str">
        <f>IF(AL256,$AR$25,"")</f>
        <v/>
      </c>
      <c r="AC257" s="7768"/>
      <c r="AD257" s="7768"/>
      <c r="AE257" s="7768"/>
      <c r="AF257" s="7768"/>
      <c r="AG257" s="7768"/>
      <c r="AH257" s="7768"/>
      <c r="AI257" s="7769"/>
      <c r="AJ257" s="7724"/>
      <c r="AK257" s="7770"/>
      <c r="AL257" s="1582"/>
      <c r="AM257" s="1179"/>
      <c r="AN257" s="1179"/>
      <c r="AO257" s="1179"/>
      <c r="AP257" s="2757"/>
      <c r="AQ257" s="1284" t="s">
        <v>33</v>
      </c>
      <c r="AR257" s="7751">
        <f>IF(C152&lt;&gt;"",AL255,0)</f>
        <v>0</v>
      </c>
      <c r="AS257" s="7751"/>
      <c r="AT257" s="7751"/>
      <c r="AU257" s="7751"/>
      <c r="AV257" s="1179"/>
      <c r="AW257" s="1179"/>
      <c r="AX257" s="3013"/>
      <c r="AY257" s="3851"/>
      <c r="AZ257" s="3851"/>
      <c r="BA257" s="3851"/>
      <c r="BB257" s="3851"/>
      <c r="BC257" s="3851"/>
      <c r="BD257" s="3851"/>
      <c r="BE257" s="3851"/>
      <c r="BF257" s="3851"/>
      <c r="BG257" s="3851"/>
      <c r="BH257" s="3851"/>
    </row>
    <row r="258" spans="1:60" ht="14.25" customHeight="1">
      <c r="A258" s="3910"/>
      <c r="B258" s="7717">
        <v>26</v>
      </c>
      <c r="C258" s="7717"/>
      <c r="D258" s="1276" t="s">
        <v>2511</v>
      </c>
      <c r="E258" s="1179"/>
      <c r="F258" s="2686"/>
      <c r="G258" s="1179"/>
      <c r="H258" s="1179"/>
      <c r="I258" s="1179"/>
      <c r="J258" s="1179"/>
      <c r="K258" s="1179"/>
      <c r="L258" s="1179"/>
      <c r="M258" s="1179"/>
      <c r="N258" s="1179"/>
      <c r="O258" s="1179"/>
      <c r="P258" s="1179"/>
      <c r="Q258" s="1179"/>
      <c r="R258" s="1179"/>
      <c r="S258" s="1179"/>
      <c r="T258" s="1179"/>
      <c r="U258" s="1179"/>
      <c r="V258" s="1179"/>
      <c r="W258" s="1179"/>
      <c r="X258" s="3022"/>
      <c r="Y258" s="1560" t="s">
        <v>2401</v>
      </c>
      <c r="Z258" s="7729">
        <v>26</v>
      </c>
      <c r="AA258" s="7730"/>
      <c r="AB258" s="7767" t="str">
        <f>IF(AL256,$AR$26,"")</f>
        <v/>
      </c>
      <c r="AC258" s="7768"/>
      <c r="AD258" s="7768"/>
      <c r="AE258" s="7768"/>
      <c r="AF258" s="7768"/>
      <c r="AG258" s="7768"/>
      <c r="AH258" s="7768"/>
      <c r="AI258" s="7769"/>
      <c r="AJ258" s="7724"/>
      <c r="AK258" s="7770"/>
      <c r="AL258" s="1582"/>
      <c r="AM258" s="1179"/>
      <c r="AN258" s="1179"/>
      <c r="AO258" s="1179"/>
      <c r="AP258" s="2757"/>
      <c r="AQ258" s="1284" t="s">
        <v>47</v>
      </c>
      <c r="AR258" s="7751">
        <f>IF(C154&lt;&gt;"",AL255,0)</f>
        <v>0</v>
      </c>
      <c r="AS258" s="7751"/>
      <c r="AT258" s="7751"/>
      <c r="AU258" s="7751"/>
      <c r="AV258" s="1179"/>
      <c r="AW258" s="1179"/>
      <c r="AX258" s="3013"/>
      <c r="AY258" s="3860" t="s">
        <v>3084</v>
      </c>
      <c r="AZ258" s="3851"/>
      <c r="BA258" s="3851"/>
      <c r="BB258" s="3851"/>
      <c r="BC258" s="3851"/>
      <c r="BD258" s="3851"/>
      <c r="BE258" s="3851"/>
      <c r="BF258" s="3851"/>
      <c r="BG258" s="3851"/>
      <c r="BH258" s="3851"/>
    </row>
    <row r="259" spans="1:60" ht="14.25" customHeight="1">
      <c r="A259" s="3910"/>
      <c r="B259" s="7717">
        <v>27</v>
      </c>
      <c r="C259" s="7717"/>
      <c r="D259" s="1276" t="s">
        <v>2230</v>
      </c>
      <c r="E259" s="1179"/>
      <c r="F259" s="2686"/>
      <c r="G259" s="1179"/>
      <c r="H259" s="1179"/>
      <c r="I259" s="1179"/>
      <c r="J259" s="1179"/>
      <c r="K259" s="1179"/>
      <c r="L259" s="1179"/>
      <c r="M259" s="1179"/>
      <c r="N259" s="1179"/>
      <c r="O259" s="1179"/>
      <c r="P259" s="1179"/>
      <c r="Q259" s="1179"/>
      <c r="R259" s="1179"/>
      <c r="S259" s="1179"/>
      <c r="T259" s="1179"/>
      <c r="U259" s="1179"/>
      <c r="V259" s="1179"/>
      <c r="W259" s="1179"/>
      <c r="X259" s="3022"/>
      <c r="Y259" s="1560" t="s">
        <v>1930</v>
      </c>
      <c r="Z259" s="7729">
        <v>27</v>
      </c>
      <c r="AA259" s="7730"/>
      <c r="AB259" s="7767" t="str">
        <f>IF(AL256,$AR$27,"")</f>
        <v/>
      </c>
      <c r="AC259" s="7768"/>
      <c r="AD259" s="7768"/>
      <c r="AE259" s="7768"/>
      <c r="AF259" s="7768"/>
      <c r="AG259" s="7768"/>
      <c r="AH259" s="7768"/>
      <c r="AI259" s="7769"/>
      <c r="AJ259" s="7724"/>
      <c r="AK259" s="7770"/>
      <c r="AL259" s="1582"/>
      <c r="AM259" s="1179"/>
      <c r="AN259" s="1179"/>
      <c r="AO259" s="1179"/>
      <c r="AP259" s="2757"/>
      <c r="AQ259" s="1284" t="s">
        <v>48</v>
      </c>
      <c r="AR259" s="7751">
        <f>IF(K152&lt;&gt;"",AL255,0)</f>
        <v>0</v>
      </c>
      <c r="AS259" s="7751"/>
      <c r="AT259" s="7751"/>
      <c r="AU259" s="7751"/>
      <c r="AV259" s="1179"/>
      <c r="AW259" s="1179"/>
      <c r="AX259" s="3013"/>
      <c r="AY259" s="3860" t="s">
        <v>3085</v>
      </c>
      <c r="AZ259" s="3851"/>
      <c r="BA259" s="3851"/>
      <c r="BB259" s="3851"/>
      <c r="BC259" s="3851"/>
      <c r="BD259" s="3851"/>
      <c r="BE259" s="3851"/>
      <c r="BF259" s="3851"/>
      <c r="BG259" s="3851"/>
      <c r="BH259" s="3851"/>
    </row>
    <row r="260" spans="1:60" ht="14.25" customHeight="1">
      <c r="A260" s="3910"/>
      <c r="B260" s="7717">
        <v>28</v>
      </c>
      <c r="C260" s="7717"/>
      <c r="D260" s="1276" t="s">
        <v>2231</v>
      </c>
      <c r="E260" s="1179"/>
      <c r="F260" s="2686"/>
      <c r="G260" s="1179"/>
      <c r="H260" s="1179"/>
      <c r="I260" s="1179"/>
      <c r="J260" s="1179"/>
      <c r="K260" s="1179"/>
      <c r="L260" s="1179"/>
      <c r="M260" s="1179"/>
      <c r="N260" s="1179"/>
      <c r="O260" s="1179"/>
      <c r="P260" s="1179"/>
      <c r="Q260" s="1179"/>
      <c r="R260" s="1179"/>
      <c r="S260" s="1179"/>
      <c r="T260" s="1179"/>
      <c r="U260" s="1179"/>
      <c r="V260" s="1179"/>
      <c r="W260" s="1179"/>
      <c r="X260" s="3022"/>
      <c r="Y260" s="1560" t="s">
        <v>1930</v>
      </c>
      <c r="Z260" s="7729">
        <v>28</v>
      </c>
      <c r="AA260" s="7730"/>
      <c r="AB260" s="7767" t="str">
        <f>IF(AL256,$AR$28,"")</f>
        <v/>
      </c>
      <c r="AC260" s="7768"/>
      <c r="AD260" s="7768"/>
      <c r="AE260" s="7768"/>
      <c r="AF260" s="7768"/>
      <c r="AG260" s="7768"/>
      <c r="AH260" s="7768"/>
      <c r="AI260" s="7769"/>
      <c r="AJ260" s="7724"/>
      <c r="AK260" s="7770"/>
      <c r="AL260" s="1582"/>
      <c r="AM260" s="1179"/>
      <c r="AN260" s="1179"/>
      <c r="AO260" s="1179"/>
      <c r="AP260" s="2757"/>
      <c r="AQ260" s="1284" t="s">
        <v>92</v>
      </c>
      <c r="AR260" s="7751">
        <f>IF(K154&lt;&gt;"",AL255,0)</f>
        <v>0</v>
      </c>
      <c r="AS260" s="7751"/>
      <c r="AT260" s="7751"/>
      <c r="AU260" s="7751"/>
      <c r="AV260" s="1179"/>
      <c r="AW260" s="1179"/>
      <c r="AX260" s="3013"/>
      <c r="AY260" s="3861" t="s">
        <v>3086</v>
      </c>
      <c r="AZ260" s="3851"/>
      <c r="BA260" s="3851"/>
      <c r="BB260" s="3851"/>
      <c r="BC260" s="3851"/>
      <c r="BD260" s="3851"/>
      <c r="BE260" s="3851"/>
      <c r="BF260" s="3851"/>
      <c r="BG260" s="3851"/>
      <c r="BH260" s="3851"/>
    </row>
    <row r="261" spans="1:60" ht="15" customHeight="1">
      <c r="A261" s="3910"/>
      <c r="B261" s="7717">
        <v>29</v>
      </c>
      <c r="C261" s="7717"/>
      <c r="D261" s="1276" t="s">
        <v>2512</v>
      </c>
      <c r="E261" s="1179"/>
      <c r="F261" s="2686"/>
      <c r="G261" s="1179"/>
      <c r="H261" s="1179"/>
      <c r="I261" s="1179"/>
      <c r="J261" s="1179"/>
      <c r="K261" s="1179"/>
      <c r="L261" s="1179"/>
      <c r="M261" s="1179"/>
      <c r="N261" s="1179"/>
      <c r="O261" s="1179"/>
      <c r="P261" s="1179"/>
      <c r="Q261" s="1179"/>
      <c r="R261" s="1179"/>
      <c r="S261" s="1179"/>
      <c r="T261" s="1179"/>
      <c r="U261" s="1179"/>
      <c r="V261" s="1179"/>
      <c r="W261" s="1179"/>
      <c r="X261" s="3022"/>
      <c r="Y261" s="1560" t="s">
        <v>2401</v>
      </c>
      <c r="Z261" s="7729">
        <v>29</v>
      </c>
      <c r="AA261" s="7730"/>
      <c r="AB261" s="7767" t="str">
        <f>IF(AL256,$AR$29,"")</f>
        <v/>
      </c>
      <c r="AC261" s="7768"/>
      <c r="AD261" s="7768"/>
      <c r="AE261" s="7768"/>
      <c r="AF261" s="7768"/>
      <c r="AG261" s="7768"/>
      <c r="AH261" s="7768"/>
      <c r="AI261" s="7769"/>
      <c r="AJ261" s="7724"/>
      <c r="AK261" s="7770"/>
      <c r="AL261" s="1582"/>
      <c r="AM261" s="1179"/>
      <c r="AN261" s="1179"/>
      <c r="AO261" s="1179"/>
      <c r="AP261" s="2757"/>
      <c r="AQ261" s="1284" t="s">
        <v>964</v>
      </c>
      <c r="AR261" s="7751">
        <f>IF(W152&lt;&gt;"",AL255,0)</f>
        <v>0</v>
      </c>
      <c r="AS261" s="7751"/>
      <c r="AT261" s="7751"/>
      <c r="AU261" s="7751"/>
      <c r="AV261" s="1179"/>
      <c r="AW261" s="1179"/>
      <c r="AX261" s="3013"/>
      <c r="AY261" s="3861"/>
      <c r="AZ261" s="3851"/>
      <c r="BA261" s="3851"/>
      <c r="BB261" s="3851"/>
      <c r="BC261" s="3851"/>
      <c r="BD261" s="3851"/>
      <c r="BE261" s="3851"/>
      <c r="BF261" s="3851"/>
      <c r="BG261" s="3851"/>
      <c r="BH261" s="3851"/>
    </row>
    <row r="262" spans="1:60" ht="15">
      <c r="A262" s="3910"/>
      <c r="B262" s="7717">
        <v>30</v>
      </c>
      <c r="C262" s="7717"/>
      <c r="D262" s="1276" t="s">
        <v>2232</v>
      </c>
      <c r="E262" s="1179"/>
      <c r="F262" s="2686"/>
      <c r="G262" s="1179"/>
      <c r="H262" s="1179"/>
      <c r="I262" s="1179"/>
      <c r="J262" s="1179"/>
      <c r="K262" s="1179"/>
      <c r="L262" s="1179"/>
      <c r="M262" s="1179"/>
      <c r="N262" s="1179"/>
      <c r="O262" s="1179"/>
      <c r="P262" s="1179"/>
      <c r="Q262" s="1179"/>
      <c r="R262" s="1179"/>
      <c r="S262" s="1179"/>
      <c r="T262" s="1179"/>
      <c r="U262" s="1179"/>
      <c r="V262" s="1179"/>
      <c r="W262" s="1179"/>
      <c r="X262" s="3022"/>
      <c r="Y262" s="1560" t="s">
        <v>1978</v>
      </c>
      <c r="Z262" s="7729">
        <v>30</v>
      </c>
      <c r="AA262" s="7730"/>
      <c r="AB262" s="7767" t="str">
        <f>IF(AL256,$AR$30,"")</f>
        <v/>
      </c>
      <c r="AC262" s="7768"/>
      <c r="AD262" s="7768"/>
      <c r="AE262" s="7768"/>
      <c r="AF262" s="7768"/>
      <c r="AG262" s="7768"/>
      <c r="AH262" s="7768"/>
      <c r="AI262" s="7769"/>
      <c r="AJ262" s="7724"/>
      <c r="AK262" s="7770"/>
      <c r="AL262" s="1582"/>
      <c r="AM262" s="1179"/>
      <c r="AN262" s="1179"/>
      <c r="AO262" s="1179"/>
      <c r="AP262" s="2757"/>
      <c r="AQ262" s="1284" t="s">
        <v>965</v>
      </c>
      <c r="AR262" s="7751">
        <f>IF(W154&lt;&gt;"",AL255,0)</f>
        <v>0</v>
      </c>
      <c r="AS262" s="7751"/>
      <c r="AT262" s="7751"/>
      <c r="AU262" s="7751"/>
      <c r="AV262" s="1179"/>
      <c r="AW262" s="1179"/>
      <c r="AX262" s="3012"/>
      <c r="AY262" s="3851"/>
      <c r="AZ262" s="3851"/>
      <c r="BA262" s="3851"/>
      <c r="BB262" s="3851"/>
      <c r="BC262" s="3851"/>
      <c r="BD262" s="3851"/>
      <c r="BE262" s="3851"/>
      <c r="BF262" s="3851"/>
      <c r="BG262" s="3851"/>
      <c r="BH262" s="3851"/>
    </row>
    <row r="263" spans="1:60" ht="12.75" customHeight="1" thickBot="1">
      <c r="A263" s="3910"/>
      <c r="B263" s="7717">
        <v>31</v>
      </c>
      <c r="C263" s="7717"/>
      <c r="D263" s="1276" t="s">
        <v>2233</v>
      </c>
      <c r="E263" s="1179"/>
      <c r="F263" s="2686"/>
      <c r="G263" s="1179"/>
      <c r="H263" s="1179"/>
      <c r="I263" s="1179"/>
      <c r="J263" s="1179"/>
      <c r="K263" s="1179"/>
      <c r="L263" s="1179"/>
      <c r="M263" s="1179"/>
      <c r="N263" s="1179"/>
      <c r="O263" s="1179"/>
      <c r="P263" s="1179"/>
      <c r="Q263" s="1179"/>
      <c r="R263" s="1179"/>
      <c r="S263" s="1179"/>
      <c r="T263" s="1179"/>
      <c r="U263" s="1179"/>
      <c r="V263" s="1179"/>
      <c r="W263" s="1179"/>
      <c r="X263" s="3022"/>
      <c r="Y263" s="1560" t="s">
        <v>2401</v>
      </c>
      <c r="Z263" s="7786">
        <v>31</v>
      </c>
      <c r="AA263" s="7787"/>
      <c r="AB263" s="7788" t="str">
        <f>IF(AL256,$AR$31,"")</f>
        <v/>
      </c>
      <c r="AC263" s="7789"/>
      <c r="AD263" s="7789"/>
      <c r="AE263" s="7789"/>
      <c r="AF263" s="7789"/>
      <c r="AG263" s="7789"/>
      <c r="AH263" s="7789"/>
      <c r="AI263" s="7790"/>
      <c r="AJ263" s="7724"/>
      <c r="AK263" s="7770"/>
      <c r="AL263" s="1582"/>
      <c r="AM263" s="1179"/>
      <c r="AN263" s="1179"/>
      <c r="AO263" s="1179"/>
      <c r="AP263" s="2757"/>
      <c r="AQ263" s="1284" t="s">
        <v>2133</v>
      </c>
      <c r="AR263" s="7751">
        <f>IF(AI152&lt;&gt;"",AL255,0)</f>
        <v>0</v>
      </c>
      <c r="AS263" s="7751"/>
      <c r="AT263" s="7751"/>
      <c r="AU263" s="7751"/>
      <c r="AV263" s="1179"/>
      <c r="AW263" s="1179"/>
      <c r="AX263" s="3012" t="s">
        <v>2033</v>
      </c>
      <c r="AY263" s="3851"/>
      <c r="AZ263" s="3851"/>
      <c r="BA263" s="3851"/>
      <c r="BB263" s="3851"/>
      <c r="BC263" s="3851"/>
      <c r="BD263" s="3851"/>
      <c r="BE263" s="3851"/>
      <c r="BF263" s="3851"/>
      <c r="BG263" s="3851"/>
      <c r="BH263" s="3851"/>
    </row>
    <row r="264" spans="1:60" ht="13.5" customHeight="1">
      <c r="A264" s="3910"/>
      <c r="B264" s="7717">
        <v>32</v>
      </c>
      <c r="C264" s="7717"/>
      <c r="D264" s="1276" t="s">
        <v>4170</v>
      </c>
      <c r="E264" s="1179"/>
      <c r="F264" s="2686"/>
      <c r="G264" s="1179"/>
      <c r="H264" s="1179"/>
      <c r="I264" s="1179"/>
      <c r="J264" s="1179"/>
      <c r="K264" s="1179"/>
      <c r="L264" s="1179"/>
      <c r="M264" s="1179"/>
      <c r="N264" s="1179"/>
      <c r="O264" s="1179"/>
      <c r="P264" s="1179"/>
      <c r="Q264" s="1179"/>
      <c r="R264" s="1179"/>
      <c r="S264" s="1179"/>
      <c r="T264" s="1179"/>
      <c r="U264" s="1179"/>
      <c r="V264" s="1179"/>
      <c r="W264" s="1179"/>
      <c r="X264" s="1179"/>
      <c r="Y264" s="1179"/>
      <c r="Z264" s="1824"/>
      <c r="AA264" s="1824"/>
      <c r="AB264" s="1179"/>
      <c r="AC264" s="1179"/>
      <c r="AD264" s="1179"/>
      <c r="AE264" s="1179"/>
      <c r="AF264" s="1179"/>
      <c r="AG264" s="1179"/>
      <c r="AH264" s="1179"/>
      <c r="AI264" s="1560" t="s">
        <v>2524</v>
      </c>
      <c r="AJ264" s="7729">
        <v>32</v>
      </c>
      <c r="AK264" s="7730"/>
      <c r="AL264" s="7742" t="str">
        <f>IF(AQ264&lt;&gt;"",ROUND(AQ264,0),IF(NOT(AL256),"",SUM(AB257:AI263)))</f>
        <v/>
      </c>
      <c r="AM264" s="6685"/>
      <c r="AN264" s="6685"/>
      <c r="AO264" s="6685"/>
      <c r="AP264" s="2757"/>
      <c r="AQ264" s="7752"/>
      <c r="AR264" s="7753"/>
      <c r="AS264" s="7753"/>
      <c r="AT264" s="7753"/>
      <c r="AU264" s="2757"/>
      <c r="AV264" s="1179"/>
      <c r="AW264" s="1179"/>
      <c r="AX264" s="3013"/>
      <c r="AY264" s="3851"/>
      <c r="AZ264" s="3851"/>
      <c r="BA264" s="3851"/>
      <c r="BB264" s="3851"/>
      <c r="BC264" s="3851"/>
      <c r="BD264" s="3851"/>
      <c r="BE264" s="3851"/>
      <c r="BF264" s="3851"/>
      <c r="BG264" s="3851"/>
      <c r="BH264" s="3851"/>
    </row>
    <row r="265" spans="1:60" ht="21" customHeight="1">
      <c r="A265" s="3910"/>
      <c r="B265" s="7717">
        <v>33</v>
      </c>
      <c r="C265" s="7717"/>
      <c r="D265" s="1276" t="s">
        <v>4171</v>
      </c>
      <c r="E265" s="1179"/>
      <c r="F265" s="2686"/>
      <c r="G265" s="1179"/>
      <c r="H265" s="1179"/>
      <c r="I265" s="1179"/>
      <c r="J265" s="1179"/>
      <c r="K265" s="1179"/>
      <c r="L265" s="1179"/>
      <c r="M265" s="1179"/>
      <c r="N265" s="1179"/>
      <c r="O265" s="1179"/>
      <c r="P265" s="1179"/>
      <c r="Q265" s="1179"/>
      <c r="R265" s="1179"/>
      <c r="S265" s="1179"/>
      <c r="T265" s="1179"/>
      <c r="U265" s="1179"/>
      <c r="V265" s="1179"/>
      <c r="W265" s="1179"/>
      <c r="X265" s="1179"/>
      <c r="Y265" s="1179"/>
      <c r="Z265" s="1824"/>
      <c r="AA265" s="1824"/>
      <c r="AB265" s="1179"/>
      <c r="AC265" s="1179"/>
      <c r="AD265" s="1179"/>
      <c r="AE265" s="1179"/>
      <c r="AF265" s="1179"/>
      <c r="AG265" s="1179"/>
      <c r="AH265" s="1179"/>
      <c r="AI265" s="1560" t="s">
        <v>2883</v>
      </c>
      <c r="AJ265" s="7729">
        <v>33</v>
      </c>
      <c r="AK265" s="7730"/>
      <c r="AL265" s="7742" t="str">
        <f>IF(NOT(AL256),"",IF(ISERROR(MIN(AL245,AL264)),"",MIN(AL245,AL264)))</f>
        <v/>
      </c>
      <c r="AM265" s="6685"/>
      <c r="AN265" s="6685"/>
      <c r="AO265" s="6685"/>
      <c r="AP265" s="2757"/>
      <c r="AQ265" s="2757"/>
      <c r="AR265" s="2757"/>
      <c r="AS265" s="2757"/>
      <c r="AT265" s="2757"/>
      <c r="AU265" s="2757"/>
      <c r="AV265" s="1179"/>
      <c r="AW265" s="1179"/>
      <c r="AX265" s="3855" t="s">
        <v>111</v>
      </c>
      <c r="AY265" s="3851"/>
      <c r="AZ265" s="3851"/>
      <c r="BA265" s="3851"/>
      <c r="BB265" s="3851"/>
      <c r="BC265" s="3851"/>
      <c r="BD265" s="3851"/>
      <c r="BE265" s="3851"/>
      <c r="BF265" s="3851"/>
      <c r="BG265" s="3851"/>
      <c r="BH265" s="3851"/>
    </row>
    <row r="266" spans="1:60" ht="15" thickBot="1">
      <c r="A266" s="3910"/>
      <c r="B266" s="7717">
        <v>34</v>
      </c>
      <c r="C266" s="7717"/>
      <c r="D266" s="1276" t="s">
        <v>2234</v>
      </c>
      <c r="E266" s="1179"/>
      <c r="F266" s="2686"/>
      <c r="G266" s="1179"/>
      <c r="H266" s="1179"/>
      <c r="I266" s="1179"/>
      <c r="J266" s="1179"/>
      <c r="K266" s="1179"/>
      <c r="L266" s="1179"/>
      <c r="M266" s="1179"/>
      <c r="N266" s="1179"/>
      <c r="O266" s="1179"/>
      <c r="P266" s="1179"/>
      <c r="Q266" s="1179"/>
      <c r="R266" s="1179"/>
      <c r="S266" s="1179"/>
      <c r="T266" s="1179"/>
      <c r="U266" s="1179"/>
      <c r="V266" s="1179"/>
      <c r="W266" s="1179"/>
      <c r="X266" s="1179"/>
      <c r="Y266" s="1179"/>
      <c r="Z266" s="1824"/>
      <c r="AA266" s="1824"/>
      <c r="AB266" s="1179"/>
      <c r="AC266" s="1179"/>
      <c r="AD266" s="1179"/>
      <c r="AE266" s="1179"/>
      <c r="AF266" s="1179"/>
      <c r="AG266" s="1179"/>
      <c r="AH266" s="1179"/>
      <c r="AI266" s="1560" t="s">
        <v>1978</v>
      </c>
      <c r="AJ266" s="7786">
        <v>34</v>
      </c>
      <c r="AK266" s="7787"/>
      <c r="AL266" s="7852"/>
      <c r="AM266" s="7853"/>
      <c r="AN266" s="7853"/>
      <c r="AO266" s="7853"/>
      <c r="AP266" s="2757"/>
      <c r="AQ266" s="1179"/>
      <c r="AR266" s="1179"/>
      <c r="AS266" s="1179"/>
      <c r="AT266" s="1179"/>
      <c r="AU266" s="1179"/>
      <c r="AV266" s="1179"/>
      <c r="AW266" s="1179"/>
      <c r="AX266" s="3013"/>
      <c r="AY266" s="3851"/>
      <c r="AZ266" s="3851"/>
      <c r="BA266" s="3851"/>
      <c r="BB266" s="3851"/>
      <c r="BC266" s="3851"/>
      <c r="BD266" s="3851"/>
      <c r="BE266" s="3851"/>
      <c r="BF266" s="3851"/>
      <c r="BG266" s="3851"/>
      <c r="BH266" s="3851"/>
    </row>
    <row r="267" spans="1:60" ht="11.25" customHeight="1">
      <c r="A267" s="3910"/>
      <c r="B267" s="7717">
        <v>35</v>
      </c>
      <c r="C267" s="7717"/>
      <c r="D267" s="1276" t="s">
        <v>4172</v>
      </c>
      <c r="E267" s="1179"/>
      <c r="F267" s="1179"/>
      <c r="G267" s="1179"/>
      <c r="H267" s="1179"/>
      <c r="I267" s="1179"/>
      <c r="J267" s="1179"/>
      <c r="K267" s="1179"/>
      <c r="L267" s="1179"/>
      <c r="M267" s="1179"/>
      <c r="N267" s="1179"/>
      <c r="O267" s="1179"/>
      <c r="P267" s="1179"/>
      <c r="Q267" s="1179"/>
      <c r="R267" s="1179"/>
      <c r="S267" s="1179"/>
      <c r="T267" s="1285"/>
      <c r="U267" s="1179"/>
      <c r="V267" s="1179"/>
      <c r="W267" s="1179"/>
      <c r="X267" s="1179"/>
      <c r="Y267" s="1179"/>
      <c r="Z267" s="1179"/>
      <c r="AA267" s="1179"/>
      <c r="AB267" s="1179"/>
      <c r="AC267" s="1179"/>
      <c r="AD267" s="1179"/>
      <c r="AE267" s="1179"/>
      <c r="AF267" s="1179"/>
      <c r="AG267" s="1179"/>
      <c r="AH267" s="1179"/>
      <c r="AI267" s="1179"/>
      <c r="AJ267" s="7731"/>
      <c r="AK267" s="7732"/>
      <c r="AL267" s="1582"/>
      <c r="AM267" s="1179"/>
      <c r="AN267" s="1179"/>
      <c r="AO267" s="1179"/>
      <c r="AP267" s="2757"/>
      <c r="AQ267" s="2757"/>
      <c r="AR267" s="2757"/>
      <c r="AS267" s="2757"/>
      <c r="AT267" s="2757"/>
      <c r="AU267" s="2757"/>
      <c r="AV267" s="1179"/>
      <c r="AW267" s="1179"/>
      <c r="AX267" s="3013"/>
      <c r="AY267" s="3851"/>
      <c r="AZ267" s="3851"/>
      <c r="BA267" s="3851"/>
      <c r="BB267" s="3851"/>
      <c r="BC267" s="3851"/>
      <c r="BD267" s="3851"/>
      <c r="BE267" s="3851"/>
      <c r="BF267" s="3851"/>
      <c r="BG267" s="3851"/>
      <c r="BH267" s="3851"/>
    </row>
    <row r="268" spans="1:60" ht="15.75" thickBot="1">
      <c r="A268" s="3910"/>
      <c r="B268" s="2812"/>
      <c r="C268" s="2812"/>
      <c r="D268" s="1704" t="s">
        <v>4173</v>
      </c>
      <c r="E268" s="1280"/>
      <c r="F268" s="1280"/>
      <c r="G268" s="1280"/>
      <c r="H268" s="1280"/>
      <c r="I268" s="1280"/>
      <c r="J268" s="1280"/>
      <c r="K268" s="1280"/>
      <c r="L268" s="1280"/>
      <c r="M268" s="1280"/>
      <c r="N268" s="1280"/>
      <c r="O268" s="1280"/>
      <c r="P268" s="1280"/>
      <c r="Q268" s="1280"/>
      <c r="R268" s="1280"/>
      <c r="S268" s="1280"/>
      <c r="T268" s="2813"/>
      <c r="U268" s="1280"/>
      <c r="V268" s="1280"/>
      <c r="W268" s="1280"/>
      <c r="X268" s="1280"/>
      <c r="Y268" s="1280"/>
      <c r="Z268" s="1280"/>
      <c r="AA268" s="1280"/>
      <c r="AB268" s="1280"/>
      <c r="AC268" s="1280"/>
      <c r="AD268" s="1280"/>
      <c r="AE268" s="1280"/>
      <c r="AF268" s="1280"/>
      <c r="AG268" s="1280"/>
      <c r="AH268" s="1280"/>
      <c r="AI268" s="3307" t="s">
        <v>2419</v>
      </c>
      <c r="AJ268" s="7857">
        <v>35</v>
      </c>
      <c r="AK268" s="7858"/>
      <c r="AL268" s="7859" t="str">
        <f>IF(AQ268&lt;&gt;"",ROUND(AQ268,0),IF(AND(AL254=1,AO151=1),AL255,IF(NOT(AL256),"",IF(ISERROR(SUM(AL265,-AL266)),"",SUM(AL265,-AL266)))))</f>
        <v/>
      </c>
      <c r="AM268" s="7860"/>
      <c r="AN268" s="7860"/>
      <c r="AO268" s="7860"/>
      <c r="AP268" s="2757"/>
      <c r="AQ268" s="7752"/>
      <c r="AR268" s="7753"/>
      <c r="AS268" s="7753"/>
      <c r="AT268" s="7753"/>
      <c r="AU268" s="2757"/>
      <c r="AV268" s="1179"/>
      <c r="AW268" s="1179"/>
      <c r="AX268" s="3013"/>
      <c r="AY268" s="3851"/>
      <c r="AZ268" s="3851"/>
      <c r="BA268" s="3851"/>
      <c r="BB268" s="3851"/>
      <c r="BC268" s="3851"/>
      <c r="BD268" s="3851"/>
      <c r="BE268" s="3851"/>
      <c r="BF268" s="3851"/>
      <c r="BG268" s="3851"/>
      <c r="BH268" s="3851"/>
    </row>
    <row r="269" spans="1:60" ht="11.25" customHeight="1">
      <c r="A269" s="3910"/>
      <c r="B269" s="2757"/>
      <c r="C269" s="2757"/>
      <c r="D269" s="2757"/>
      <c r="E269" s="2757"/>
      <c r="F269" s="2757"/>
      <c r="G269" s="2757"/>
      <c r="H269" s="2757"/>
      <c r="I269" s="2757"/>
      <c r="J269" s="2757"/>
      <c r="K269" s="2757"/>
      <c r="L269" s="2757"/>
      <c r="M269" s="2757"/>
      <c r="N269" s="2757"/>
      <c r="O269" s="2757"/>
      <c r="P269" s="2757"/>
      <c r="Q269" s="2757"/>
      <c r="R269" s="2757"/>
      <c r="S269" s="2757"/>
      <c r="T269" s="2757"/>
      <c r="U269" s="2757"/>
      <c r="V269" s="2757"/>
      <c r="W269" s="2757"/>
      <c r="X269" s="2757"/>
      <c r="Y269" s="2757"/>
      <c r="Z269" s="2757"/>
      <c r="AA269" s="2757"/>
      <c r="AB269" s="2757"/>
      <c r="AC269" s="2757"/>
      <c r="AD269" s="2757"/>
      <c r="AE269" s="2757"/>
      <c r="AF269" s="2757"/>
      <c r="AG269" s="2757"/>
      <c r="AH269" s="2757"/>
      <c r="AI269" s="2757"/>
      <c r="AJ269" s="2757"/>
      <c r="AK269" s="2757"/>
      <c r="AL269" s="2757"/>
      <c r="AM269" s="2757"/>
      <c r="AN269" s="2757"/>
      <c r="AO269" s="2757"/>
      <c r="AP269" s="2757"/>
      <c r="AQ269" s="2757"/>
      <c r="AR269" s="2757"/>
      <c r="AS269" s="2757"/>
      <c r="AT269" s="2757"/>
      <c r="AU269" s="2757"/>
      <c r="AV269" s="1179"/>
      <c r="AW269" s="1179"/>
      <c r="AX269" s="3013"/>
      <c r="AY269" s="3851"/>
      <c r="AZ269" s="3851"/>
      <c r="BA269" s="3851"/>
      <c r="BB269" s="3851"/>
      <c r="BC269" s="3851"/>
      <c r="BD269" s="3851"/>
      <c r="BE269" s="3851"/>
      <c r="BF269" s="3851"/>
      <c r="BG269" s="3851"/>
      <c r="BH269" s="3851"/>
    </row>
    <row r="270" spans="1:60" ht="18">
      <c r="A270" s="3910"/>
      <c r="B270" s="2703"/>
      <c r="C270" s="2701"/>
      <c r="D270" s="1179"/>
      <c r="E270" s="1179"/>
      <c r="F270" s="1179"/>
      <c r="G270" s="1179"/>
      <c r="H270" s="1179"/>
      <c r="I270" s="1179"/>
      <c r="J270" s="1179"/>
      <c r="K270" s="1179"/>
      <c r="L270" s="1179"/>
      <c r="M270" s="1179"/>
      <c r="N270" s="1179"/>
      <c r="O270" s="1179"/>
      <c r="P270" s="1179"/>
      <c r="Q270" s="1179"/>
      <c r="R270" s="1179"/>
      <c r="S270" s="1179"/>
      <c r="T270" s="1179"/>
      <c r="U270" s="1179"/>
      <c r="V270" s="1179"/>
      <c r="W270" s="1179"/>
      <c r="X270" s="1179"/>
      <c r="Y270" s="1179"/>
      <c r="Z270" s="1179"/>
      <c r="AA270" s="1179"/>
      <c r="AB270" s="1179"/>
      <c r="AC270" s="1179"/>
      <c r="AD270" s="1179"/>
      <c r="AE270" s="1179"/>
      <c r="AF270" s="1179"/>
      <c r="AG270" s="1179"/>
      <c r="AH270" s="1179"/>
      <c r="AI270" s="1179"/>
      <c r="AJ270" s="1179"/>
      <c r="AK270" s="2065"/>
      <c r="AL270" s="1179"/>
      <c r="AM270" s="1179"/>
      <c r="AN270" s="2065" t="s">
        <v>2235</v>
      </c>
      <c r="AO270" s="1927" t="str">
        <f>"("&amp;TaxYear&amp;")"</f>
        <v>(2021)</v>
      </c>
      <c r="AP270" s="2757"/>
      <c r="AQ270" s="2757"/>
      <c r="AR270" s="2757"/>
      <c r="AS270" s="2757"/>
      <c r="AT270" s="2757"/>
      <c r="AU270" s="2757"/>
      <c r="AV270" s="1179"/>
      <c r="AW270" s="1179"/>
      <c r="AX270" s="3013"/>
      <c r="AY270" s="3851"/>
      <c r="AZ270" s="3851"/>
      <c r="BA270" s="3851"/>
      <c r="BB270" s="3851"/>
      <c r="BC270" s="3851"/>
      <c r="BD270" s="3851"/>
      <c r="BE270" s="3851"/>
      <c r="BF270" s="3851"/>
      <c r="BG270" s="3851"/>
      <c r="BH270" s="3851"/>
    </row>
    <row r="271" spans="1:60" ht="12.75" customHeight="1">
      <c r="A271" s="3910"/>
      <c r="B271" s="7754" t="s">
        <v>2161</v>
      </c>
      <c r="C271" s="6792"/>
      <c r="D271" s="6792"/>
      <c r="E271" s="6792"/>
      <c r="F271" s="6792"/>
      <c r="G271" s="6792"/>
      <c r="H271" s="7743" t="s">
        <v>2162</v>
      </c>
      <c r="I271" s="7744"/>
      <c r="J271" s="7744"/>
      <c r="K271" s="7744"/>
      <c r="L271" s="7744"/>
      <c r="M271" s="7744"/>
      <c r="N271" s="7744"/>
      <c r="O271" s="7744"/>
      <c r="P271" s="7744"/>
      <c r="Q271" s="7744"/>
      <c r="R271" s="7744"/>
      <c r="S271" s="7744"/>
      <c r="T271" s="7744"/>
      <c r="U271" s="7744"/>
      <c r="V271" s="7744"/>
      <c r="W271" s="7744"/>
      <c r="X271" s="7744"/>
      <c r="Y271" s="7744"/>
      <c r="Z271" s="7744"/>
      <c r="AA271" s="7744"/>
      <c r="AB271" s="7744"/>
      <c r="AC271" s="7744"/>
      <c r="AD271" s="7744"/>
      <c r="AE271" s="7744"/>
      <c r="AF271" s="7744"/>
      <c r="AG271" s="7744"/>
      <c r="AH271" s="7745"/>
      <c r="AI271" s="7413" t="s">
        <v>2206</v>
      </c>
      <c r="AJ271" s="7265"/>
      <c r="AK271" s="7265"/>
      <c r="AL271" s="7265"/>
      <c r="AM271" s="7265"/>
      <c r="AN271" s="7265"/>
      <c r="AO271" s="7265"/>
      <c r="AP271" s="2757"/>
      <c r="AQ271" s="1179"/>
      <c r="AR271" s="1179"/>
      <c r="AS271" s="1179"/>
      <c r="AT271" s="1179"/>
      <c r="AU271" s="1179"/>
      <c r="AV271" s="1179"/>
      <c r="AW271" s="1179"/>
      <c r="AX271" s="3013"/>
      <c r="AY271" s="3851"/>
      <c r="AZ271" s="3851"/>
      <c r="BA271" s="3851"/>
      <c r="BB271" s="3851"/>
      <c r="BC271" s="3851"/>
      <c r="BD271" s="3851"/>
      <c r="BE271" s="3851"/>
      <c r="BF271" s="3851"/>
      <c r="BG271" s="3851"/>
      <c r="BH271" s="3851"/>
    </row>
    <row r="272" spans="1:60" ht="12.75" customHeight="1">
      <c r="A272" s="3909"/>
      <c r="B272" s="6792"/>
      <c r="C272" s="6792"/>
      <c r="D272" s="6792"/>
      <c r="E272" s="6792"/>
      <c r="F272" s="6792"/>
      <c r="G272" s="6792"/>
      <c r="H272" s="7743"/>
      <c r="I272" s="7744"/>
      <c r="J272" s="7744"/>
      <c r="K272" s="7744"/>
      <c r="L272" s="7744"/>
      <c r="M272" s="7744"/>
      <c r="N272" s="7744"/>
      <c r="O272" s="7744"/>
      <c r="P272" s="7744"/>
      <c r="Q272" s="7744"/>
      <c r="R272" s="7744"/>
      <c r="S272" s="7744"/>
      <c r="T272" s="7744"/>
      <c r="U272" s="7744"/>
      <c r="V272" s="7744"/>
      <c r="W272" s="7744"/>
      <c r="X272" s="7744"/>
      <c r="Y272" s="7744"/>
      <c r="Z272" s="7744"/>
      <c r="AA272" s="7744"/>
      <c r="AB272" s="7744"/>
      <c r="AC272" s="7744"/>
      <c r="AD272" s="7744"/>
      <c r="AE272" s="7744"/>
      <c r="AF272" s="7744"/>
      <c r="AG272" s="7744"/>
      <c r="AH272" s="7745"/>
      <c r="AI272" s="7755">
        <f>TaxYear</f>
        <v>2021</v>
      </c>
      <c r="AJ272" s="7756"/>
      <c r="AK272" s="7756"/>
      <c r="AL272" s="7756"/>
      <c r="AM272" s="7756"/>
      <c r="AN272" s="7756"/>
      <c r="AO272" s="7756"/>
      <c r="AP272" s="2757"/>
      <c r="AQ272" s="1179"/>
      <c r="AR272" s="1179"/>
      <c r="AS272" s="1179"/>
      <c r="AT272" s="1179"/>
      <c r="AU272" s="1179"/>
      <c r="AV272" s="1179"/>
      <c r="AW272" s="1179"/>
      <c r="AX272" s="3013"/>
      <c r="AY272" s="3851"/>
      <c r="AZ272" s="3851"/>
      <c r="BA272" s="3851"/>
      <c r="BB272" s="3851"/>
      <c r="BC272" s="3851"/>
      <c r="BD272" s="3851"/>
      <c r="BE272" s="3851"/>
      <c r="BF272" s="3851"/>
      <c r="BG272" s="3851"/>
      <c r="BH272" s="3851"/>
    </row>
    <row r="273" spans="1:60">
      <c r="A273" s="3910"/>
      <c r="B273" s="2124"/>
      <c r="C273" s="1179"/>
      <c r="D273" s="1179"/>
      <c r="E273" s="1179"/>
      <c r="F273" s="1179"/>
      <c r="G273" s="1179"/>
      <c r="H273" s="7829" t="s">
        <v>2163</v>
      </c>
      <c r="I273" s="6514"/>
      <c r="J273" s="6514"/>
      <c r="K273" s="6514"/>
      <c r="L273" s="6514"/>
      <c r="M273" s="6514"/>
      <c r="N273" s="6514"/>
      <c r="O273" s="6514"/>
      <c r="P273" s="6514"/>
      <c r="Q273" s="6514"/>
      <c r="R273" s="6514"/>
      <c r="S273" s="6514"/>
      <c r="T273" s="6514"/>
      <c r="U273" s="6514"/>
      <c r="V273" s="6514"/>
      <c r="W273" s="6514"/>
      <c r="X273" s="6514"/>
      <c r="Y273" s="6514"/>
      <c r="Z273" s="6514"/>
      <c r="AA273" s="6514"/>
      <c r="AB273" s="6514"/>
      <c r="AC273" s="6514"/>
      <c r="AD273" s="6514"/>
      <c r="AE273" s="6514"/>
      <c r="AF273" s="6514"/>
      <c r="AG273" s="6514"/>
      <c r="AH273" s="7830"/>
      <c r="AI273" s="7757"/>
      <c r="AJ273" s="7758"/>
      <c r="AK273" s="7758"/>
      <c r="AL273" s="7758"/>
      <c r="AM273" s="7758"/>
      <c r="AN273" s="7758"/>
      <c r="AO273" s="7758"/>
      <c r="AP273" s="2757"/>
      <c r="AQ273" s="1179"/>
      <c r="AR273" s="1179"/>
      <c r="AS273" s="1179"/>
      <c r="AT273" s="1179"/>
      <c r="AU273" s="1179"/>
      <c r="AV273" s="1179"/>
      <c r="AW273" s="1179"/>
      <c r="AX273" s="3013"/>
      <c r="AY273" s="3851"/>
      <c r="AZ273" s="3851"/>
      <c r="BA273" s="3851"/>
      <c r="BB273" s="3851"/>
      <c r="BC273" s="3851"/>
      <c r="BD273" s="3851"/>
      <c r="BE273" s="3851"/>
      <c r="BF273" s="3851"/>
      <c r="BG273" s="3851"/>
      <c r="BH273" s="3851"/>
    </row>
    <row r="274" spans="1:60" ht="12.75" customHeight="1">
      <c r="A274" s="3910"/>
      <c r="B274" s="7422" t="s">
        <v>2122</v>
      </c>
      <c r="C274" s="6764"/>
      <c r="D274" s="6764"/>
      <c r="E274" s="6764"/>
      <c r="F274" s="6764"/>
      <c r="G274" s="7423"/>
      <c r="H274" s="7791" t="s">
        <v>3506</v>
      </c>
      <c r="I274" s="7792"/>
      <c r="J274" s="7792"/>
      <c r="K274" s="7792"/>
      <c r="L274" s="7792"/>
      <c r="M274" s="7792"/>
      <c r="N274" s="7792"/>
      <c r="O274" s="7792"/>
      <c r="P274" s="7792"/>
      <c r="Q274" s="7792"/>
      <c r="R274" s="7792"/>
      <c r="S274" s="7792"/>
      <c r="T274" s="7792"/>
      <c r="U274" s="7792"/>
      <c r="V274" s="7792"/>
      <c r="W274" s="7792"/>
      <c r="X274" s="7792"/>
      <c r="Y274" s="7792"/>
      <c r="Z274" s="7792"/>
      <c r="AA274" s="7792"/>
      <c r="AB274" s="7792"/>
      <c r="AC274" s="7792"/>
      <c r="AD274" s="7792"/>
      <c r="AE274" s="7792"/>
      <c r="AF274" s="7792"/>
      <c r="AG274" s="7792"/>
      <c r="AH274" s="7793"/>
      <c r="AI274" s="7836" t="s">
        <v>4177</v>
      </c>
      <c r="AJ274" s="7837"/>
      <c r="AK274" s="7837"/>
      <c r="AL274" s="7837"/>
      <c r="AM274" s="7837"/>
      <c r="AN274" s="7837"/>
      <c r="AO274" s="7834">
        <v>19</v>
      </c>
      <c r="AP274" s="2757"/>
      <c r="AQ274" s="1179"/>
      <c r="AR274" s="1179"/>
      <c r="AS274" s="1179"/>
      <c r="AT274" s="1179"/>
      <c r="AU274" s="1179"/>
      <c r="AV274" s="1179"/>
      <c r="AW274" s="1179"/>
      <c r="AX274" s="3013"/>
      <c r="AY274" s="3851"/>
      <c r="AZ274" s="3851"/>
      <c r="BA274" s="3851"/>
      <c r="BB274" s="3851"/>
      <c r="BC274" s="3851"/>
      <c r="BD274" s="3851"/>
      <c r="BE274" s="3851"/>
      <c r="BF274" s="3851"/>
      <c r="BG274" s="3851"/>
      <c r="BH274" s="3851"/>
    </row>
    <row r="275" spans="1:60" ht="13.5" customHeight="1" thickBot="1">
      <c r="A275" s="3910"/>
      <c r="B275" s="6765"/>
      <c r="C275" s="6765"/>
      <c r="D275" s="6765"/>
      <c r="E275" s="6765"/>
      <c r="F275" s="6765"/>
      <c r="G275" s="7424"/>
      <c r="H275" s="7849" t="s">
        <v>3006</v>
      </c>
      <c r="I275" s="7850"/>
      <c r="J275" s="7850"/>
      <c r="K275" s="7850"/>
      <c r="L275" s="7850"/>
      <c r="M275" s="7850"/>
      <c r="N275" s="7850"/>
      <c r="O275" s="7850"/>
      <c r="P275" s="7850"/>
      <c r="Q275" s="7850"/>
      <c r="R275" s="7850"/>
      <c r="S275" s="7850"/>
      <c r="T275" s="7850"/>
      <c r="U275" s="7850"/>
      <c r="V275" s="7850"/>
      <c r="W275" s="7850"/>
      <c r="X275" s="7850"/>
      <c r="Y275" s="7850"/>
      <c r="Z275" s="7850"/>
      <c r="AA275" s="7850"/>
      <c r="AB275" s="7850"/>
      <c r="AC275" s="7850"/>
      <c r="AD275" s="7850"/>
      <c r="AE275" s="7850"/>
      <c r="AF275" s="7850"/>
      <c r="AG275" s="7850"/>
      <c r="AH275" s="7851"/>
      <c r="AI275" s="7838"/>
      <c r="AJ275" s="7839"/>
      <c r="AK275" s="7839"/>
      <c r="AL275" s="7839"/>
      <c r="AM275" s="7839"/>
      <c r="AN275" s="7839"/>
      <c r="AO275" s="7835"/>
      <c r="AP275" s="2757"/>
      <c r="AQ275" s="1179"/>
      <c r="AR275" s="1179"/>
      <c r="AS275" s="1179"/>
      <c r="AT275" s="1179"/>
      <c r="AU275" s="1179"/>
      <c r="AV275" s="1179"/>
      <c r="AW275" s="1179"/>
      <c r="AX275" s="3013"/>
      <c r="AY275" s="3851"/>
      <c r="AZ275" s="3851"/>
      <c r="BA275" s="3851"/>
      <c r="BB275" s="3851"/>
      <c r="BC275" s="3851"/>
      <c r="BD275" s="3851"/>
      <c r="BE275" s="3851"/>
      <c r="BF275" s="3851"/>
      <c r="BG275" s="3851"/>
      <c r="BH275" s="3851"/>
    </row>
    <row r="276" spans="1:60" ht="13.5" customHeight="1">
      <c r="A276" s="3910"/>
      <c r="B276" s="1551" t="s">
        <v>2164</v>
      </c>
      <c r="C276" s="1274"/>
      <c r="D276" s="1274"/>
      <c r="E276" s="1274"/>
      <c r="F276" s="1274"/>
      <c r="G276" s="1274"/>
      <c r="H276" s="1274"/>
      <c r="I276" s="1274"/>
      <c r="J276" s="1274"/>
      <c r="K276" s="1274"/>
      <c r="L276" s="1274"/>
      <c r="M276" s="1274"/>
      <c r="N276" s="1274"/>
      <c r="O276" s="1274"/>
      <c r="P276" s="1274"/>
      <c r="Q276" s="1274"/>
      <c r="R276" s="1274"/>
      <c r="S276" s="1274"/>
      <c r="T276" s="1274"/>
      <c r="U276" s="1274"/>
      <c r="V276" s="1274"/>
      <c r="W276" s="1274"/>
      <c r="X276" s="1274"/>
      <c r="Y276" s="1274"/>
      <c r="Z276" s="1274"/>
      <c r="AA276" s="7827" t="s">
        <v>2210</v>
      </c>
      <c r="AB276" s="7828"/>
      <c r="AC276" s="7828"/>
      <c r="AD276" s="7828"/>
      <c r="AE276" s="7828"/>
      <c r="AF276" s="7828"/>
      <c r="AG276" s="7828"/>
      <c r="AH276" s="7828"/>
      <c r="AI276" s="7828"/>
      <c r="AJ276" s="7828"/>
      <c r="AK276" s="7828"/>
      <c r="AL276" s="7828"/>
      <c r="AM276" s="7828"/>
      <c r="AN276" s="7828"/>
      <c r="AO276" s="7828"/>
      <c r="AP276" s="2757"/>
      <c r="AQ276" s="1179"/>
      <c r="AR276" s="1179"/>
      <c r="AS276" s="1179"/>
      <c r="AT276" s="1179"/>
      <c r="AU276" s="1179"/>
      <c r="AV276" s="1179"/>
      <c r="AW276" s="1179"/>
      <c r="AX276" s="3013"/>
      <c r="AY276" s="3851"/>
      <c r="AZ276" s="3851"/>
      <c r="BA276" s="3851"/>
      <c r="BB276" s="3851"/>
      <c r="BC276" s="3851"/>
      <c r="BD276" s="3851"/>
      <c r="BE276" s="3851"/>
      <c r="BF276" s="3851"/>
      <c r="BG276" s="3851"/>
      <c r="BH276" s="3851"/>
    </row>
    <row r="277" spans="1:60">
      <c r="A277" s="3910"/>
      <c r="B277" s="7727" t="str">
        <f>Names</f>
        <v/>
      </c>
      <c r="C277" s="6792"/>
      <c r="D277" s="6792"/>
      <c r="E277" s="6792"/>
      <c r="F277" s="6792"/>
      <c r="G277" s="6792"/>
      <c r="H277" s="6792"/>
      <c r="I277" s="6792"/>
      <c r="J277" s="6792"/>
      <c r="K277" s="6792"/>
      <c r="L277" s="6792"/>
      <c r="M277" s="6792"/>
      <c r="N277" s="6792"/>
      <c r="O277" s="6792"/>
      <c r="P277" s="6792"/>
      <c r="Q277" s="6792"/>
      <c r="R277" s="6792"/>
      <c r="S277" s="6792"/>
      <c r="T277" s="6792"/>
      <c r="U277" s="6792"/>
      <c r="V277" s="6792"/>
      <c r="W277" s="6792"/>
      <c r="X277" s="6792"/>
      <c r="Y277" s="6792"/>
      <c r="Z277" s="6792"/>
      <c r="AA277" s="7746">
        <f>IF(NoSSN,"",SS_Yours)</f>
        <v>1010001</v>
      </c>
      <c r="AB277" s="7747"/>
      <c r="AC277" s="7747"/>
      <c r="AD277" s="7747"/>
      <c r="AE277" s="7747"/>
      <c r="AF277" s="7747"/>
      <c r="AG277" s="7747"/>
      <c r="AH277" s="7747"/>
      <c r="AI277" s="7747"/>
      <c r="AJ277" s="7747"/>
      <c r="AK277" s="7747"/>
      <c r="AL277" s="7747"/>
      <c r="AM277" s="7747"/>
      <c r="AN277" s="7747"/>
      <c r="AO277" s="7747"/>
      <c r="AP277" s="2757"/>
      <c r="AQ277" s="1179"/>
      <c r="AR277" s="1179"/>
      <c r="AS277" s="1179"/>
      <c r="AT277" s="1179"/>
      <c r="AU277" s="1179"/>
      <c r="AV277" s="1179"/>
      <c r="AW277" s="1179"/>
      <c r="AX277" s="3013"/>
      <c r="AY277" s="3851"/>
      <c r="AZ277" s="3851"/>
      <c r="BA277" s="3851"/>
      <c r="BB277" s="3851"/>
      <c r="BC277" s="3851"/>
      <c r="BD277" s="3851"/>
      <c r="BE277" s="3851"/>
      <c r="BF277" s="3851"/>
      <c r="BG277" s="3851"/>
      <c r="BH277" s="3851"/>
    </row>
    <row r="278" spans="1:60" ht="16.5" customHeight="1">
      <c r="A278" s="3910"/>
      <c r="B278" s="7088"/>
      <c r="C278" s="7088"/>
      <c r="D278" s="7088"/>
      <c r="E278" s="7088"/>
      <c r="F278" s="7088"/>
      <c r="G278" s="7088"/>
      <c r="H278" s="7088"/>
      <c r="I278" s="7088"/>
      <c r="J278" s="7088"/>
      <c r="K278" s="7088"/>
      <c r="L278" s="7088"/>
      <c r="M278" s="7088"/>
      <c r="N278" s="7088"/>
      <c r="O278" s="7088"/>
      <c r="P278" s="7088"/>
      <c r="Q278" s="7088"/>
      <c r="R278" s="7088"/>
      <c r="S278" s="7088"/>
      <c r="T278" s="7088"/>
      <c r="U278" s="7088"/>
      <c r="V278" s="7088"/>
      <c r="W278" s="7088"/>
      <c r="X278" s="7088"/>
      <c r="Y278" s="7088"/>
      <c r="Z278" s="7088"/>
      <c r="AA278" s="7748"/>
      <c r="AB278" s="7749"/>
      <c r="AC278" s="7749"/>
      <c r="AD278" s="7749"/>
      <c r="AE278" s="7749"/>
      <c r="AF278" s="7749"/>
      <c r="AG278" s="7749"/>
      <c r="AH278" s="7749"/>
      <c r="AI278" s="7749"/>
      <c r="AJ278" s="7749"/>
      <c r="AK278" s="7749"/>
      <c r="AL278" s="7749"/>
      <c r="AM278" s="7749"/>
      <c r="AN278" s="7749"/>
      <c r="AO278" s="7749"/>
      <c r="AP278" s="2757"/>
      <c r="AQ278" s="1179"/>
      <c r="AR278" s="1179"/>
      <c r="AS278" s="1179"/>
      <c r="AT278" s="1179"/>
      <c r="AU278" s="1179"/>
      <c r="AV278" s="1179"/>
      <c r="AW278" s="1179"/>
      <c r="AX278" s="3013"/>
      <c r="AY278" s="3851"/>
      <c r="AZ278" s="3851"/>
      <c r="BA278" s="3851"/>
      <c r="BB278" s="3851"/>
      <c r="BC278" s="3851"/>
      <c r="BD278" s="3851"/>
      <c r="BE278" s="3851"/>
      <c r="BF278" s="3851"/>
      <c r="BG278" s="3851"/>
      <c r="BH278" s="3851"/>
    </row>
    <row r="279" spans="1:60" ht="12.75" customHeight="1">
      <c r="A279" s="3910"/>
      <c r="B279" s="2731" t="s">
        <v>2489</v>
      </c>
      <c r="C279" s="1574"/>
      <c r="D279" s="1574"/>
      <c r="E279" s="1574"/>
      <c r="F279" s="1574"/>
      <c r="G279" s="1574"/>
      <c r="H279" s="1574"/>
      <c r="I279" s="1574"/>
      <c r="J279" s="1574"/>
      <c r="K279" s="1574"/>
      <c r="L279" s="1574"/>
      <c r="M279" s="1574"/>
      <c r="N279" s="1574"/>
      <c r="O279" s="1574"/>
      <c r="P279" s="1574"/>
      <c r="Q279" s="1574"/>
      <c r="R279" s="1574"/>
      <c r="S279" s="1574"/>
      <c r="T279" s="1574"/>
      <c r="U279" s="1574"/>
      <c r="V279" s="1574"/>
      <c r="W279" s="1574"/>
      <c r="X279" s="1574"/>
      <c r="Y279" s="1574"/>
      <c r="Z279" s="1574"/>
      <c r="AA279" s="1574"/>
      <c r="AB279" s="1574"/>
      <c r="AC279" s="1574"/>
      <c r="AD279" s="1574"/>
      <c r="AE279" s="1574"/>
      <c r="AF279" s="1574"/>
      <c r="AG279" s="1574"/>
      <c r="AH279" s="1574"/>
      <c r="AI279" s="3654" t="s">
        <v>2490</v>
      </c>
      <c r="AJ279" s="1574"/>
      <c r="AK279" s="1574"/>
      <c r="AL279" s="1574"/>
      <c r="AM279" s="1574"/>
      <c r="AN279" s="1574"/>
      <c r="AO279" s="1574"/>
      <c r="AP279" s="2757"/>
      <c r="AQ279" s="1179"/>
      <c r="AR279" s="1179"/>
      <c r="AS279" s="1179"/>
      <c r="AT279" s="1179"/>
      <c r="AU279" s="1179"/>
      <c r="AV279" s="1179"/>
      <c r="AW279" s="1179"/>
      <c r="AX279" s="3013"/>
      <c r="AY279" s="3851"/>
      <c r="AZ279" s="3851"/>
      <c r="BA279" s="3851"/>
      <c r="BB279" s="3851"/>
      <c r="BC279" s="3851"/>
      <c r="BD279" s="3851"/>
      <c r="BE279" s="3851"/>
      <c r="BF279" s="3851"/>
      <c r="BG279" s="3851"/>
      <c r="BH279" s="3851"/>
    </row>
    <row r="280" spans="1:60" ht="12.75" customHeight="1">
      <c r="A280" s="3909" t="b">
        <f>AO281=0</f>
        <v>1</v>
      </c>
      <c r="B280" s="1262" t="s">
        <v>2491</v>
      </c>
      <c r="C280" s="1179"/>
      <c r="D280" s="1179"/>
      <c r="E280" s="1179" t="s">
        <v>2492</v>
      </c>
      <c r="F280" s="1540"/>
      <c r="G280" s="1179"/>
      <c r="H280" s="1179"/>
      <c r="I280" s="1179"/>
      <c r="J280" s="1179"/>
      <c r="K280" s="1179"/>
      <c r="L280" s="1179"/>
      <c r="M280" s="1179"/>
      <c r="N280" s="1179"/>
      <c r="O280" s="1179"/>
      <c r="P280" s="1179"/>
      <c r="Q280" s="1179"/>
      <c r="R280" s="1179"/>
      <c r="S280" s="1179"/>
      <c r="T280" s="1179"/>
      <c r="U280" s="1179"/>
      <c r="V280" s="1179"/>
      <c r="W280" s="1179"/>
      <c r="X280" s="1179"/>
      <c r="Y280" s="1179"/>
      <c r="Z280" s="1179"/>
      <c r="AA280" s="1179"/>
      <c r="AB280" s="1179"/>
      <c r="AC280" s="1179"/>
      <c r="AD280" s="1179"/>
      <c r="AE280" s="1179"/>
      <c r="AF280" s="1179"/>
      <c r="AG280" s="1179"/>
      <c r="AH280" s="1179"/>
      <c r="AI280" s="1179"/>
      <c r="AJ280" s="1179"/>
      <c r="AK280" s="1179"/>
      <c r="AL280" s="1179"/>
      <c r="AM280" s="1179"/>
      <c r="AN280" s="1179"/>
      <c r="AO280" s="1179"/>
      <c r="AP280" s="2757"/>
      <c r="AQ280" s="1284"/>
      <c r="AR280" s="4698"/>
      <c r="AS280" s="4699"/>
      <c r="AT280" s="4699"/>
      <c r="AU280" s="4699"/>
      <c r="AV280" s="1179"/>
      <c r="AW280" s="1179"/>
      <c r="AX280" s="3013"/>
      <c r="AY280" s="3851"/>
      <c r="AZ280" s="3851"/>
      <c r="BA280" s="3851"/>
      <c r="BB280" s="3851"/>
      <c r="BC280" s="3851"/>
      <c r="BD280" s="3851"/>
      <c r="BE280" s="3851"/>
      <c r="BF280" s="3851"/>
      <c r="BG280" s="3851"/>
      <c r="BH280" s="3851"/>
    </row>
    <row r="281" spans="1:60" s="2689" customFormat="1" ht="8.25" customHeight="1">
      <c r="A281" s="3910"/>
      <c r="B281" s="1179"/>
      <c r="C281" s="2258">
        <f>IF(C282&lt;&gt;"",1,0)</f>
        <v>0</v>
      </c>
      <c r="D281" s="1284"/>
      <c r="E281" s="1284"/>
      <c r="F281" s="2815"/>
      <c r="G281" s="1284"/>
      <c r="H281" s="1284"/>
      <c r="I281" s="1284"/>
      <c r="J281" s="1284"/>
      <c r="K281" s="2258">
        <f>IF(K282&lt;&gt;"",1,0)</f>
        <v>0</v>
      </c>
      <c r="L281" s="1284"/>
      <c r="M281" s="1284"/>
      <c r="N281" s="2258"/>
      <c r="O281" s="1284"/>
      <c r="P281" s="1284"/>
      <c r="Q281" s="1284"/>
      <c r="R281" s="1284"/>
      <c r="S281" s="1284"/>
      <c r="T281" s="1284"/>
      <c r="U281" s="1284"/>
      <c r="V281" s="1284"/>
      <c r="W281" s="2258">
        <f>IF(W282&lt;&gt;"",1,0)</f>
        <v>0</v>
      </c>
      <c r="X281" s="1284"/>
      <c r="Y281" s="1284"/>
      <c r="Z281" s="1284"/>
      <c r="AA281" s="1284"/>
      <c r="AB281" s="2258"/>
      <c r="AC281" s="1179"/>
      <c r="AD281" s="1179"/>
      <c r="AE281" s="1179"/>
      <c r="AF281" s="1179"/>
      <c r="AG281" s="1179"/>
      <c r="AH281" s="1179"/>
      <c r="AI281" s="2258">
        <f>IF(AI282&lt;&gt;"",1,0)</f>
        <v>0</v>
      </c>
      <c r="AJ281" s="1179"/>
      <c r="AK281" s="1179"/>
      <c r="AL281" s="1179"/>
      <c r="AM281" s="1179"/>
      <c r="AN281" s="1179"/>
      <c r="AO281" s="2523">
        <f>SUM(C281,K281,W281,AI281,C283,K283,W283)</f>
        <v>0</v>
      </c>
      <c r="AP281" s="2757"/>
      <c r="AQ281" s="1284"/>
      <c r="AR281" s="1284"/>
      <c r="AS281" s="1284"/>
      <c r="AT281" s="1284"/>
      <c r="AU281" s="1284"/>
      <c r="AV281" s="1179"/>
      <c r="AW281" s="1179"/>
      <c r="AX281" s="3013"/>
      <c r="AY281" s="3851"/>
      <c r="AZ281" s="3851"/>
      <c r="BA281" s="3851"/>
      <c r="BB281" s="3851"/>
      <c r="BC281" s="3851"/>
      <c r="BD281" s="3851"/>
      <c r="BE281" s="3851"/>
      <c r="BF281" s="3851"/>
      <c r="BG281" s="3851"/>
      <c r="BH281" s="3851"/>
    </row>
    <row r="282" spans="1:60" ht="14.25" customHeight="1">
      <c r="A282" s="3909" t="b">
        <f>AND(K282&lt;&gt;"",AO281=1,A339)</f>
        <v>0</v>
      </c>
      <c r="B282" s="2772" t="s">
        <v>33</v>
      </c>
      <c r="C282" s="1334"/>
      <c r="D282" s="2787" t="s">
        <v>2487</v>
      </c>
      <c r="E282" s="1179"/>
      <c r="F282" s="1179"/>
      <c r="G282" s="1179"/>
      <c r="H282" s="1179"/>
      <c r="I282" s="1179"/>
      <c r="J282" s="2772" t="s">
        <v>48</v>
      </c>
      <c r="K282" s="1334"/>
      <c r="L282" s="2787" t="s">
        <v>2165</v>
      </c>
      <c r="M282" s="2787"/>
      <c r="N282" s="1276"/>
      <c r="O282" s="2787"/>
      <c r="P282" s="1276"/>
      <c r="Q282" s="1179"/>
      <c r="R282" s="1179"/>
      <c r="S282" s="1179"/>
      <c r="T282" s="1179"/>
      <c r="U282" s="1179"/>
      <c r="V282" s="2772" t="s">
        <v>964</v>
      </c>
      <c r="W282" s="1334"/>
      <c r="X282" s="2787" t="s">
        <v>2166</v>
      </c>
      <c r="Y282" s="1179"/>
      <c r="Z282" s="1179"/>
      <c r="AA282" s="2772"/>
      <c r="AB282" s="1179"/>
      <c r="AC282" s="2787"/>
      <c r="AD282" s="2772"/>
      <c r="AE282" s="1179"/>
      <c r="AF282" s="2772"/>
      <c r="AG282" s="1179"/>
      <c r="AH282" s="2772" t="s">
        <v>2133</v>
      </c>
      <c r="AI282" s="1334"/>
      <c r="AJ282" s="2787" t="s">
        <v>2167</v>
      </c>
      <c r="AK282" s="1179"/>
      <c r="AL282" s="1179"/>
      <c r="AM282" s="1179"/>
      <c r="AN282" s="1179"/>
      <c r="AO282" s="1258"/>
      <c r="AP282" s="2757"/>
      <c r="AQ282" s="1284"/>
      <c r="AR282" s="4698"/>
      <c r="AS282" s="4699"/>
      <c r="AT282" s="4699"/>
      <c r="AU282" s="4699"/>
      <c r="AV282" s="1179"/>
      <c r="AW282" s="1179"/>
      <c r="AX282" s="3013"/>
      <c r="AY282" s="3851"/>
      <c r="AZ282" s="3851"/>
      <c r="BA282" s="3851"/>
      <c r="BB282" s="3851"/>
      <c r="BC282" s="3851"/>
      <c r="BD282" s="3851"/>
      <c r="BE282" s="3851"/>
      <c r="BF282" s="3851"/>
      <c r="BG282" s="3851"/>
      <c r="BH282" s="3851"/>
    </row>
    <row r="283" spans="1:60" ht="7.5" customHeight="1">
      <c r="A283" s="3910"/>
      <c r="B283" s="2702"/>
      <c r="C283" s="2258">
        <f>IF(C284&lt;&gt;"",1,0)</f>
        <v>0</v>
      </c>
      <c r="D283" s="2816"/>
      <c r="E283" s="1284"/>
      <c r="F283" s="1284"/>
      <c r="G283" s="1284"/>
      <c r="H283" s="1284"/>
      <c r="I283" s="1284"/>
      <c r="J283" s="1284"/>
      <c r="K283" s="2258">
        <f>IF(K284&lt;&gt;"",1,0)</f>
        <v>0</v>
      </c>
      <c r="L283" s="1284"/>
      <c r="M283" s="1284"/>
      <c r="N283" s="2258"/>
      <c r="O283" s="1179"/>
      <c r="P283" s="1179"/>
      <c r="Q283" s="1179"/>
      <c r="R283" s="1179"/>
      <c r="S283" s="1179"/>
      <c r="T283" s="1179"/>
      <c r="U283" s="1179"/>
      <c r="V283" s="1179"/>
      <c r="W283" s="2258">
        <f>IF(W284&lt;&gt;"",1,0)</f>
        <v>0</v>
      </c>
      <c r="X283" s="1179"/>
      <c r="Y283" s="1179"/>
      <c r="Z283" s="1179"/>
      <c r="AA283" s="1179"/>
      <c r="AB283" s="1179"/>
      <c r="AC283" s="1179"/>
      <c r="AD283" s="1179"/>
      <c r="AE283" s="1179"/>
      <c r="AF283" s="1179"/>
      <c r="AG283" s="1179"/>
      <c r="AH283" s="1179"/>
      <c r="AI283" s="1179"/>
      <c r="AJ283" s="1179"/>
      <c r="AK283" s="1179"/>
      <c r="AL283" s="1179"/>
      <c r="AM283" s="1179"/>
      <c r="AN283" s="1179"/>
      <c r="AO283" s="1179"/>
      <c r="AP283" s="2757"/>
      <c r="AQ283" s="1284"/>
      <c r="AR283" s="1284"/>
      <c r="AS283" s="1284"/>
      <c r="AT283" s="1284"/>
      <c r="AU283" s="1284"/>
      <c r="AV283" s="1179"/>
      <c r="AW283" s="1179"/>
      <c r="AX283" s="3013"/>
      <c r="AY283" s="3851"/>
      <c r="AZ283" s="3851"/>
      <c r="BA283" s="3851"/>
      <c r="BB283" s="3851"/>
      <c r="BC283" s="3851"/>
      <c r="BD283" s="3851"/>
      <c r="BE283" s="3851"/>
      <c r="BF283" s="3851"/>
      <c r="BG283" s="3851"/>
      <c r="BH283" s="3851"/>
    </row>
    <row r="284" spans="1:60" s="946" customFormat="1" ht="13.5" customHeight="1">
      <c r="A284" s="3910"/>
      <c r="B284" s="2772" t="s">
        <v>47</v>
      </c>
      <c r="C284" s="1334"/>
      <c r="D284" s="2787" t="s">
        <v>2488</v>
      </c>
      <c r="E284" s="1179"/>
      <c r="F284" s="1179"/>
      <c r="G284" s="1179"/>
      <c r="H284" s="1179"/>
      <c r="I284" s="1179"/>
      <c r="J284" s="2772" t="s">
        <v>92</v>
      </c>
      <c r="K284" s="1334"/>
      <c r="L284" s="2787" t="s">
        <v>2168</v>
      </c>
      <c r="M284" s="2787"/>
      <c r="N284" s="1276"/>
      <c r="O284" s="2787"/>
      <c r="P284" s="1276"/>
      <c r="Q284" s="1179"/>
      <c r="R284" s="1179"/>
      <c r="S284" s="1179"/>
      <c r="T284" s="1179"/>
      <c r="U284" s="1179"/>
      <c r="V284" s="2772" t="s">
        <v>965</v>
      </c>
      <c r="W284" s="1334"/>
      <c r="X284" s="2787" t="s">
        <v>2169</v>
      </c>
      <c r="Y284" s="1179"/>
      <c r="Z284" s="1179"/>
      <c r="AA284" s="1179"/>
      <c r="AB284" s="1179"/>
      <c r="AC284" s="1179"/>
      <c r="AD284" s="1179"/>
      <c r="AE284" s="1179"/>
      <c r="AF284" s="1179"/>
      <c r="AG284" s="1179"/>
      <c r="AH284" s="1179"/>
      <c r="AI284" s="1179"/>
      <c r="AJ284" s="1179"/>
      <c r="AK284" s="1179"/>
      <c r="AL284" s="1179"/>
      <c r="AM284" s="1179"/>
      <c r="AN284" s="1179"/>
      <c r="AO284" s="1284" t="b">
        <f>IF(AO281&lt;&gt;1,TRUE,FALSE)</f>
        <v>1</v>
      </c>
      <c r="AP284" s="2757"/>
      <c r="AQ284" s="1284"/>
      <c r="AR284" s="4698"/>
      <c r="AS284" s="4699"/>
      <c r="AT284" s="4699"/>
      <c r="AU284" s="4699"/>
      <c r="AV284" s="1179"/>
      <c r="AW284" s="1179"/>
      <c r="AX284" s="3854"/>
      <c r="AY284" s="3852"/>
      <c r="AZ284" s="3852"/>
      <c r="BA284" s="3852"/>
      <c r="BB284" s="3852"/>
      <c r="BC284" s="3852"/>
      <c r="BD284" s="3852"/>
      <c r="BE284" s="3852"/>
      <c r="BF284" s="3852"/>
      <c r="BG284" s="3852"/>
      <c r="BH284" s="3852"/>
    </row>
    <row r="285" spans="1:60" ht="7.5" customHeight="1">
      <c r="A285" s="3910"/>
      <c r="B285" s="2702"/>
      <c r="C285" s="2773"/>
      <c r="D285" s="2686"/>
      <c r="E285" s="1179"/>
      <c r="F285" s="1179"/>
      <c r="G285" s="1179"/>
      <c r="H285" s="1179"/>
      <c r="I285" s="1179"/>
      <c r="J285" s="1179"/>
      <c r="K285" s="1179"/>
      <c r="L285" s="1179"/>
      <c r="M285" s="1179"/>
      <c r="N285" s="1179"/>
      <c r="O285" s="1179"/>
      <c r="P285" s="1179"/>
      <c r="Q285" s="1179"/>
      <c r="R285" s="1179"/>
      <c r="S285" s="1179"/>
      <c r="T285" s="1179"/>
      <c r="U285" s="1179"/>
      <c r="V285" s="1179"/>
      <c r="W285" s="1179"/>
      <c r="X285" s="1179"/>
      <c r="Y285" s="1179"/>
      <c r="Z285" s="1179"/>
      <c r="AA285" s="1179"/>
      <c r="AB285" s="1179"/>
      <c r="AC285" s="1179"/>
      <c r="AD285" s="1179"/>
      <c r="AE285" s="1179"/>
      <c r="AF285" s="1179"/>
      <c r="AG285" s="1179"/>
      <c r="AH285" s="1179"/>
      <c r="AI285" s="1179"/>
      <c r="AJ285" s="1179"/>
      <c r="AK285" s="1179"/>
      <c r="AL285" s="1179"/>
      <c r="AM285" s="1179"/>
      <c r="AN285" s="1179"/>
      <c r="AO285" s="1179"/>
      <c r="AP285" s="2757"/>
      <c r="AQ285" s="1284"/>
      <c r="AR285" s="1284"/>
      <c r="AS285" s="1284"/>
      <c r="AT285" s="1284"/>
      <c r="AU285" s="1284"/>
      <c r="AV285" s="1179"/>
      <c r="AW285" s="1179"/>
      <c r="AX285" s="3013"/>
      <c r="AY285" s="3851"/>
      <c r="AZ285" s="3851"/>
      <c r="BA285" s="3851"/>
      <c r="BB285" s="3851"/>
      <c r="BC285" s="3851"/>
      <c r="BD285" s="3851"/>
      <c r="BE285" s="3851"/>
      <c r="BF285" s="3851"/>
      <c r="BG285" s="3851"/>
      <c r="BH285" s="3851"/>
    </row>
    <row r="286" spans="1:60" ht="12" customHeight="1">
      <c r="A286" s="3910"/>
      <c r="B286" s="2788" t="s">
        <v>120</v>
      </c>
      <c r="C286" s="2789" t="s">
        <v>2170</v>
      </c>
      <c r="D286" s="1554"/>
      <c r="E286" s="1554"/>
      <c r="F286" s="1554"/>
      <c r="G286" s="1554"/>
      <c r="H286" s="1554"/>
      <c r="I286" s="1554"/>
      <c r="J286" s="1554"/>
      <c r="K286" s="1554"/>
      <c r="L286" s="7750"/>
      <c r="M286" s="7750"/>
      <c r="N286" s="7750"/>
      <c r="O286" s="7750"/>
      <c r="P286" s="7750"/>
      <c r="Q286" s="7750"/>
      <c r="R286" s="7750"/>
      <c r="S286" s="7750"/>
      <c r="T286" s="7750"/>
      <c r="U286" s="7750"/>
      <c r="V286" s="7750"/>
      <c r="W286" s="7750"/>
      <c r="X286" s="7750"/>
      <c r="Y286" s="7750"/>
      <c r="Z286" s="7750"/>
      <c r="AA286" s="7750"/>
      <c r="AB286" s="7750"/>
      <c r="AC286" s="7750"/>
      <c r="AD286" s="7750"/>
      <c r="AE286" s="7750"/>
      <c r="AF286" s="7750"/>
      <c r="AG286" s="7750"/>
      <c r="AH286" s="7750"/>
      <c r="AI286" s="7750"/>
      <c r="AJ286" s="7750"/>
      <c r="AK286" s="7750"/>
      <c r="AL286" s="7750"/>
      <c r="AM286" s="7750"/>
      <c r="AN286" s="7750"/>
      <c r="AO286" s="7750"/>
      <c r="AP286" s="2757"/>
      <c r="AQ286" s="1179"/>
      <c r="AR286" s="1179"/>
      <c r="AS286" s="1179"/>
      <c r="AT286" s="1179"/>
      <c r="AU286" s="1179"/>
      <c r="AV286" s="1179"/>
      <c r="AW286" s="1179"/>
      <c r="AX286" s="3013"/>
      <c r="AY286" s="3851"/>
      <c r="AZ286" s="3851"/>
      <c r="BA286" s="3851"/>
      <c r="BB286" s="3851"/>
      <c r="BC286" s="3851"/>
      <c r="BD286" s="3851"/>
      <c r="BE286" s="3851"/>
      <c r="BF286" s="3851"/>
      <c r="BG286" s="3851"/>
      <c r="BH286" s="3851"/>
    </row>
    <row r="287" spans="1:60" ht="12" customHeight="1">
      <c r="A287" s="3910"/>
      <c r="B287" s="6176" t="s">
        <v>27</v>
      </c>
      <c r="C287" s="7778"/>
      <c r="D287" s="1276" t="s">
        <v>2171</v>
      </c>
      <c r="E287" s="1179"/>
      <c r="F287" s="1179"/>
      <c r="G287" s="1179"/>
      <c r="H287" s="1179"/>
      <c r="I287" s="1179"/>
      <c r="J287" s="1179"/>
      <c r="K287" s="1179"/>
      <c r="L287" s="1179"/>
      <c r="M287" s="1179"/>
      <c r="N287" s="1179"/>
      <c r="O287" s="1179"/>
      <c r="P287" s="1179"/>
      <c r="Q287" s="1179"/>
      <c r="R287" s="1179"/>
      <c r="S287" s="1179"/>
      <c r="T287" s="1179"/>
      <c r="U287" s="1179"/>
      <c r="V287" s="1179"/>
      <c r="W287" s="1179"/>
      <c r="X287" s="1179"/>
      <c r="Y287" s="1179"/>
      <c r="Z287" s="1179"/>
      <c r="AA287" s="1179"/>
      <c r="AB287" s="1179"/>
      <c r="AC287" s="1179"/>
      <c r="AD287" s="1179"/>
      <c r="AE287" s="1179"/>
      <c r="AF287" s="1179"/>
      <c r="AG287" s="1179"/>
      <c r="AH287" s="1179"/>
      <c r="AI287" s="1179"/>
      <c r="AJ287" s="1179"/>
      <c r="AK287" s="1179"/>
      <c r="AL287" s="1179"/>
      <c r="AM287" s="1179"/>
      <c r="AN287" s="1179"/>
      <c r="AO287" s="1179"/>
      <c r="AP287" s="2757"/>
      <c r="AQ287" s="1179"/>
      <c r="AR287" s="1179"/>
      <c r="AS287" s="1179"/>
      <c r="AT287" s="1179"/>
      <c r="AU287" s="1179"/>
      <c r="AV287" s="1179"/>
      <c r="AW287" s="1179"/>
      <c r="AX287" s="3013"/>
      <c r="AY287" s="3851"/>
      <c r="AZ287" s="3851"/>
      <c r="BA287" s="3851"/>
      <c r="BB287" s="3851"/>
      <c r="BC287" s="3851"/>
      <c r="BD287" s="3851"/>
      <c r="BE287" s="3851"/>
      <c r="BF287" s="3851"/>
      <c r="BG287" s="3851"/>
      <c r="BH287" s="3851"/>
    </row>
    <row r="288" spans="1:60" ht="12" customHeight="1">
      <c r="A288" s="3910"/>
      <c r="B288" s="2803" t="s">
        <v>2209</v>
      </c>
      <c r="C288" s="2790"/>
      <c r="D288" s="2791"/>
      <c r="E288" s="1553"/>
      <c r="F288" s="1553"/>
      <c r="G288" s="1553"/>
      <c r="H288" s="1553"/>
      <c r="I288" s="1553"/>
      <c r="J288" s="1553"/>
      <c r="K288" s="1553"/>
      <c r="L288" s="1553"/>
      <c r="M288" s="1553"/>
      <c r="N288" s="1553"/>
      <c r="O288" s="1553"/>
      <c r="P288" s="1553"/>
      <c r="Q288" s="1553"/>
      <c r="R288" s="1553"/>
      <c r="S288" s="1553"/>
      <c r="T288" s="1553"/>
      <c r="U288" s="1553"/>
      <c r="V288" s="1553"/>
      <c r="W288" s="1553"/>
      <c r="X288" s="1553"/>
      <c r="Y288" s="1553"/>
      <c r="Z288" s="1553"/>
      <c r="AA288" s="1553"/>
      <c r="AB288" s="1553"/>
      <c r="AC288" s="1553"/>
      <c r="AD288" s="1553"/>
      <c r="AE288" s="1553"/>
      <c r="AF288" s="1553"/>
      <c r="AG288" s="1553"/>
      <c r="AH288" s="1553"/>
      <c r="AI288" s="1553"/>
      <c r="AJ288" s="1553"/>
      <c r="AK288" s="1553"/>
      <c r="AL288" s="1553"/>
      <c r="AM288" s="1553"/>
      <c r="AN288" s="1553"/>
      <c r="AO288" s="1553"/>
      <c r="AP288" s="2757"/>
      <c r="AQ288" s="1179"/>
      <c r="AR288" s="1179"/>
      <c r="AS288" s="1179"/>
      <c r="AT288" s="1179"/>
      <c r="AU288" s="1179"/>
      <c r="AV288" s="1179"/>
      <c r="AW288" s="1179"/>
      <c r="AX288" s="3013"/>
      <c r="AY288" s="3851"/>
      <c r="AZ288" s="3851"/>
      <c r="BA288" s="3851"/>
      <c r="BB288" s="3851"/>
      <c r="BC288" s="3851"/>
      <c r="BD288" s="3851"/>
      <c r="BE288" s="3851"/>
      <c r="BF288" s="3851"/>
      <c r="BG288" s="3851"/>
      <c r="BH288" s="3851"/>
    </row>
    <row r="289" spans="1:60" ht="15.75">
      <c r="A289" s="3912"/>
      <c r="B289" s="7794" t="s">
        <v>51</v>
      </c>
      <c r="C289" s="7794"/>
      <c r="D289" s="7795"/>
      <c r="E289" s="7832" t="s">
        <v>2519</v>
      </c>
      <c r="F289" s="7833"/>
      <c r="G289" s="7833"/>
      <c r="H289" s="7833"/>
      <c r="I289" s="7833"/>
      <c r="J289" s="7833"/>
      <c r="K289" s="7833"/>
      <c r="L289" s="7833"/>
      <c r="M289" s="7833"/>
      <c r="N289" s="7833"/>
      <c r="O289" s="7833"/>
      <c r="P289" s="7833"/>
      <c r="Q289" s="7833"/>
      <c r="R289" s="7833"/>
      <c r="S289" s="7833"/>
      <c r="T289" s="7833"/>
      <c r="U289" s="7833"/>
      <c r="V289" s="7833"/>
      <c r="W289" s="7833"/>
      <c r="X289" s="7833"/>
      <c r="Y289" s="7833"/>
      <c r="Z289" s="7833"/>
      <c r="AA289" s="7833"/>
      <c r="AB289" s="7833"/>
      <c r="AC289" s="7833"/>
      <c r="AD289" s="7833"/>
      <c r="AE289" s="7833"/>
      <c r="AF289" s="7833"/>
      <c r="AG289" s="7833"/>
      <c r="AH289" s="7833"/>
      <c r="AI289" s="7833"/>
      <c r="AJ289" s="7833"/>
      <c r="AK289" s="7833"/>
      <c r="AL289" s="7833"/>
      <c r="AM289" s="7833"/>
      <c r="AN289" s="7833"/>
      <c r="AO289" s="7833"/>
      <c r="AP289" s="2757"/>
      <c r="AQ289" s="1540"/>
      <c r="AR289" s="1540"/>
      <c r="AS289" s="1540"/>
      <c r="AT289" s="1540"/>
      <c r="AU289" s="1540"/>
      <c r="AV289" s="1540"/>
      <c r="AW289" s="1540"/>
      <c r="AX289" s="3013"/>
      <c r="AY289" s="3851"/>
      <c r="AZ289" s="3851"/>
      <c r="BA289" s="3851"/>
      <c r="BB289" s="3851"/>
      <c r="BC289" s="3851"/>
      <c r="BD289" s="3851"/>
      <c r="BE289" s="3851"/>
      <c r="BF289" s="3851"/>
      <c r="BG289" s="3851"/>
      <c r="BH289" s="3851"/>
    </row>
    <row r="290" spans="1:60" ht="12" customHeight="1">
      <c r="A290" s="3910"/>
      <c r="B290" s="7796"/>
      <c r="C290" s="7796"/>
      <c r="D290" s="2686"/>
      <c r="E290" s="1179"/>
      <c r="F290" s="1179"/>
      <c r="G290" s="1179"/>
      <c r="H290" s="1179"/>
      <c r="I290" s="1179"/>
      <c r="J290" s="1179"/>
      <c r="K290" s="1179"/>
      <c r="L290" s="1179"/>
      <c r="M290" s="1179"/>
      <c r="N290" s="1179"/>
      <c r="O290" s="1179"/>
      <c r="P290" s="7797" t="s">
        <v>2178</v>
      </c>
      <c r="Q290" s="7798"/>
      <c r="R290" s="7798"/>
      <c r="S290" s="7798"/>
      <c r="T290" s="7798"/>
      <c r="U290" s="7798"/>
      <c r="V290" s="7798"/>
      <c r="W290" s="7798"/>
      <c r="X290" s="7798"/>
      <c r="Y290" s="7798"/>
      <c r="Z290" s="7798"/>
      <c r="AA290" s="7798"/>
      <c r="AB290" s="7798"/>
      <c r="AC290" s="7798"/>
      <c r="AD290" s="7798"/>
      <c r="AE290" s="7798"/>
      <c r="AF290" s="7798"/>
      <c r="AG290" s="7798"/>
      <c r="AH290" s="7798"/>
      <c r="AI290" s="7799"/>
      <c r="AJ290" s="7261" t="s">
        <v>2172</v>
      </c>
      <c r="AK290" s="6869"/>
      <c r="AL290" s="6869"/>
      <c r="AM290" s="6869"/>
      <c r="AN290" s="6869"/>
      <c r="AO290" s="6869"/>
      <c r="AP290" s="2757"/>
      <c r="AQ290" s="1179"/>
      <c r="AR290" s="1179"/>
      <c r="AS290" s="1179"/>
      <c r="AT290" s="1179"/>
      <c r="AU290" s="1179"/>
      <c r="AV290" s="1179"/>
      <c r="AW290" s="1179"/>
      <c r="AX290" s="3013"/>
      <c r="AY290" s="3851"/>
      <c r="AZ290" s="3851"/>
      <c r="BA290" s="3851"/>
      <c r="BB290" s="3851"/>
      <c r="BC290" s="3851"/>
      <c r="BD290" s="3851"/>
      <c r="BE290" s="3851"/>
      <c r="BF290" s="3851"/>
      <c r="BG290" s="3851"/>
      <c r="BH290" s="3851"/>
    </row>
    <row r="291" spans="1:60" ht="12" customHeight="1">
      <c r="A291" s="3910"/>
      <c r="B291" s="7766" t="str">
        <f>B30</f>
        <v>i</v>
      </c>
      <c r="C291" s="7766"/>
      <c r="D291" s="2808" t="s">
        <v>2173</v>
      </c>
      <c r="E291" s="1179"/>
      <c r="F291" s="1179"/>
      <c r="G291" s="1179"/>
      <c r="H291" s="1179"/>
      <c r="I291" s="1179"/>
      <c r="J291" s="1179"/>
      <c r="K291" s="1179"/>
      <c r="L291" s="1179"/>
      <c r="M291" s="1179"/>
      <c r="N291" s="1179"/>
      <c r="O291" s="1179"/>
      <c r="P291" s="7800" t="s">
        <v>143</v>
      </c>
      <c r="Q291" s="7801"/>
      <c r="R291" s="7801"/>
      <c r="S291" s="7801"/>
      <c r="T291" s="7801"/>
      <c r="U291" s="7801"/>
      <c r="V291" s="7802"/>
      <c r="W291" s="7800" t="s">
        <v>288</v>
      </c>
      <c r="X291" s="7801"/>
      <c r="Y291" s="7801"/>
      <c r="Z291" s="7801"/>
      <c r="AA291" s="7801"/>
      <c r="AB291" s="7801"/>
      <c r="AC291" s="7802"/>
      <c r="AD291" s="7800" t="s">
        <v>144</v>
      </c>
      <c r="AE291" s="7801"/>
      <c r="AF291" s="7801"/>
      <c r="AG291" s="7801"/>
      <c r="AH291" s="7801"/>
      <c r="AI291" s="7802"/>
      <c r="AJ291" s="7264"/>
      <c r="AK291" s="7265"/>
      <c r="AL291" s="7265"/>
      <c r="AM291" s="7265"/>
      <c r="AN291" s="7265"/>
      <c r="AO291" s="7265"/>
      <c r="AP291" s="2757"/>
      <c r="AQ291" s="1179"/>
      <c r="AR291" s="1179"/>
      <c r="AS291" s="1179"/>
      <c r="AT291" s="1179"/>
      <c r="AU291" s="1179"/>
      <c r="AV291" s="1179"/>
      <c r="AW291" s="1179"/>
      <c r="AX291" s="3013"/>
      <c r="AY291" s="3851"/>
      <c r="AZ291" s="3851"/>
      <c r="BA291" s="3851"/>
      <c r="BB291" s="3851"/>
      <c r="BC291" s="3851"/>
      <c r="BD291" s="3851"/>
      <c r="BE291" s="3851"/>
      <c r="BF291" s="3851"/>
      <c r="BG291" s="3851"/>
      <c r="BH291" s="3851"/>
    </row>
    <row r="292" spans="1:60" ht="12" customHeight="1">
      <c r="A292" s="3913"/>
      <c r="B292" s="7718"/>
      <c r="C292" s="7718"/>
      <c r="D292" s="2809" t="s">
        <v>2174</v>
      </c>
      <c r="E292" s="1277"/>
      <c r="F292" s="1277"/>
      <c r="G292" s="1277"/>
      <c r="H292" s="1277"/>
      <c r="I292" s="1277"/>
      <c r="J292" s="1277"/>
      <c r="K292" s="1277"/>
      <c r="L292" s="1277"/>
      <c r="M292" s="1277"/>
      <c r="N292" s="1277"/>
      <c r="O292" s="3770" t="s">
        <v>1055</v>
      </c>
      <c r="P292" s="7719"/>
      <c r="Q292" s="7720"/>
      <c r="R292" s="7720"/>
      <c r="S292" s="7720"/>
      <c r="T292" s="7720"/>
      <c r="U292" s="7720"/>
      <c r="V292" s="7721"/>
      <c r="W292" s="7719"/>
      <c r="X292" s="7720"/>
      <c r="Y292" s="7720"/>
      <c r="Z292" s="7720"/>
      <c r="AA292" s="7720"/>
      <c r="AB292" s="7720"/>
      <c r="AC292" s="7721"/>
      <c r="AD292" s="7719"/>
      <c r="AE292" s="7720"/>
      <c r="AF292" s="7720"/>
      <c r="AG292" s="7720"/>
      <c r="AH292" s="7720"/>
      <c r="AI292" s="7721"/>
      <c r="AJ292" s="7722"/>
      <c r="AK292" s="7723"/>
      <c r="AL292" s="2818"/>
      <c r="AM292" s="1277"/>
      <c r="AN292" s="1277"/>
      <c r="AO292" s="1277"/>
      <c r="AP292" s="2792"/>
      <c r="AQ292" s="1277"/>
      <c r="AR292" s="1277"/>
      <c r="AS292" s="1277"/>
      <c r="AT292" s="1277"/>
      <c r="AU292" s="1277"/>
      <c r="AV292" s="1277"/>
      <c r="AW292" s="1277"/>
      <c r="AX292" s="3013"/>
      <c r="AY292" s="3851"/>
      <c r="AZ292" s="3851"/>
      <c r="BA292" s="3851"/>
      <c r="BB292" s="3851"/>
      <c r="BC292" s="3851"/>
      <c r="BD292" s="3851"/>
      <c r="BE292" s="3851"/>
      <c r="BF292" s="3851"/>
      <c r="BG292" s="3851"/>
      <c r="BH292" s="3851"/>
    </row>
    <row r="293" spans="1:60" ht="12" customHeight="1">
      <c r="A293" s="3910"/>
      <c r="B293" s="7716" t="s">
        <v>12</v>
      </c>
      <c r="C293" s="7716"/>
      <c r="D293" s="1262" t="s">
        <v>2175</v>
      </c>
      <c r="E293" s="1179"/>
      <c r="F293" s="1179"/>
      <c r="G293" s="1179"/>
      <c r="H293" s="1179"/>
      <c r="I293" s="1179"/>
      <c r="J293" s="1179"/>
      <c r="K293" s="1179"/>
      <c r="L293" s="1179"/>
      <c r="M293" s="1179"/>
      <c r="N293" s="1179"/>
      <c r="O293" s="1179"/>
      <c r="P293" s="1825"/>
      <c r="Q293" s="1562"/>
      <c r="R293" s="1562"/>
      <c r="S293" s="1562"/>
      <c r="T293" s="1562"/>
      <c r="U293" s="1562"/>
      <c r="V293" s="1826"/>
      <c r="W293" s="1825"/>
      <c r="X293" s="1562"/>
      <c r="Y293" s="1562"/>
      <c r="Z293" s="1562"/>
      <c r="AA293" s="1562"/>
      <c r="AB293" s="1562"/>
      <c r="AC293" s="1826"/>
      <c r="AD293" s="1825"/>
      <c r="AE293" s="1562"/>
      <c r="AF293" s="1562"/>
      <c r="AG293" s="1562"/>
      <c r="AH293" s="1562"/>
      <c r="AI293" s="1826"/>
      <c r="AJ293" s="7724"/>
      <c r="AK293" s="6792"/>
      <c r="AL293" s="1582"/>
      <c r="AM293" s="1179"/>
      <c r="AN293" s="1179"/>
      <c r="AO293" s="1179"/>
      <c r="AP293" s="2757"/>
      <c r="AQ293" s="1179"/>
      <c r="AR293" s="1179"/>
      <c r="AS293" s="1179"/>
      <c r="AT293" s="1179"/>
      <c r="AU293" s="1179"/>
      <c r="AV293" s="1179"/>
      <c r="AW293" s="1179"/>
      <c r="AX293" s="3013"/>
      <c r="AY293" s="3851"/>
      <c r="AZ293" s="3851"/>
      <c r="BA293" s="3851"/>
      <c r="BB293" s="3851"/>
      <c r="BC293" s="3851"/>
      <c r="BD293" s="3851"/>
      <c r="BE293" s="3851"/>
      <c r="BF293" s="3851"/>
      <c r="BG293" s="3851"/>
      <c r="BH293" s="3851"/>
    </row>
    <row r="294" spans="1:60" ht="12" customHeight="1">
      <c r="A294" s="3910"/>
      <c r="B294" s="3773"/>
      <c r="C294" s="3773"/>
      <c r="D294" s="1276" t="s">
        <v>2176</v>
      </c>
      <c r="E294" s="1179"/>
      <c r="F294" s="1179"/>
      <c r="G294" s="1179"/>
      <c r="H294" s="1179"/>
      <c r="I294" s="1179"/>
      <c r="J294" s="1179"/>
      <c r="K294" s="1179"/>
      <c r="L294" s="1179"/>
      <c r="M294" s="1179"/>
      <c r="N294" s="1179"/>
      <c r="O294" s="1179"/>
      <c r="P294" s="1827"/>
      <c r="Q294" s="1562"/>
      <c r="R294" s="1562"/>
      <c r="S294" s="1562"/>
      <c r="T294" s="1562"/>
      <c r="U294" s="1562"/>
      <c r="V294" s="1828"/>
      <c r="W294" s="1827"/>
      <c r="X294" s="1562"/>
      <c r="Y294" s="1562"/>
      <c r="Z294" s="1562"/>
      <c r="AA294" s="1562"/>
      <c r="AB294" s="1562"/>
      <c r="AC294" s="1828"/>
      <c r="AD294" s="1827"/>
      <c r="AE294" s="1562"/>
      <c r="AF294" s="1562"/>
      <c r="AG294" s="1562"/>
      <c r="AH294" s="1562"/>
      <c r="AI294" s="1828"/>
      <c r="AJ294" s="7724"/>
      <c r="AK294" s="6792"/>
      <c r="AL294" s="1582"/>
      <c r="AM294" s="1179"/>
      <c r="AN294" s="1179"/>
      <c r="AO294" s="1179"/>
      <c r="AP294" s="2757"/>
      <c r="AQ294" s="1179"/>
      <c r="AR294" s="1179"/>
      <c r="AS294" s="1179"/>
      <c r="AT294" s="1179"/>
      <c r="AU294" s="1179"/>
      <c r="AV294" s="1179"/>
      <c r="AW294" s="1179"/>
      <c r="AX294" s="3013"/>
      <c r="AY294" s="3851"/>
      <c r="AZ294" s="3851"/>
      <c r="BA294" s="3851"/>
      <c r="BB294" s="3851"/>
      <c r="BC294" s="3851"/>
      <c r="BD294" s="3851"/>
      <c r="BE294" s="3851"/>
      <c r="BF294" s="3851"/>
      <c r="BG294" s="3851"/>
      <c r="BH294" s="3851"/>
    </row>
    <row r="295" spans="1:60">
      <c r="A295" s="3910"/>
      <c r="B295" s="3773"/>
      <c r="C295" s="3773"/>
      <c r="D295" s="1926" t="s">
        <v>2177</v>
      </c>
      <c r="E295" s="1179"/>
      <c r="F295" s="1179"/>
      <c r="G295" s="1179"/>
      <c r="H295" s="7725"/>
      <c r="I295" s="7726"/>
      <c r="J295" s="7726"/>
      <c r="K295" s="7726"/>
      <c r="L295" s="7726"/>
      <c r="M295" s="7726"/>
      <c r="N295" s="7726"/>
      <c r="O295" s="1179"/>
      <c r="P295" s="1827"/>
      <c r="Q295" s="1562"/>
      <c r="R295" s="1562"/>
      <c r="S295" s="1562"/>
      <c r="T295" s="1562"/>
      <c r="U295" s="1562"/>
      <c r="V295" s="1828"/>
      <c r="W295" s="1827"/>
      <c r="X295" s="1562"/>
      <c r="Y295" s="1562"/>
      <c r="Z295" s="1562"/>
      <c r="AA295" s="1562"/>
      <c r="AB295" s="1562"/>
      <c r="AC295" s="1828"/>
      <c r="AD295" s="1827"/>
      <c r="AE295" s="1562"/>
      <c r="AF295" s="1562"/>
      <c r="AG295" s="1562"/>
      <c r="AH295" s="1562"/>
      <c r="AI295" s="1828"/>
      <c r="AJ295" s="7724"/>
      <c r="AK295" s="6792"/>
      <c r="AL295" s="1582"/>
      <c r="AM295" s="1179"/>
      <c r="AN295" s="1179"/>
      <c r="AO295" s="1179"/>
      <c r="AP295" s="2757"/>
      <c r="AQ295" s="1179"/>
      <c r="AR295" s="1179"/>
      <c r="AS295" s="1179"/>
      <c r="AT295" s="1179"/>
      <c r="AU295" s="1179"/>
      <c r="AV295" s="1179"/>
      <c r="AW295" s="1179"/>
      <c r="AX295" s="3013"/>
      <c r="AY295" s="3851"/>
      <c r="AZ295" s="3851"/>
      <c r="BA295" s="3851"/>
      <c r="BB295" s="3851"/>
      <c r="BC295" s="3851"/>
      <c r="BD295" s="3851"/>
      <c r="BE295" s="3851"/>
      <c r="BF295" s="3851"/>
      <c r="BG295" s="3851"/>
      <c r="BH295" s="3851"/>
    </row>
    <row r="296" spans="1:60" ht="13.5" customHeight="1">
      <c r="A296" s="3910"/>
      <c r="B296" s="3773"/>
      <c r="C296" s="3773"/>
      <c r="D296" s="7759"/>
      <c r="E296" s="7760"/>
      <c r="F296" s="7760"/>
      <c r="G296" s="7760"/>
      <c r="H296" s="7760"/>
      <c r="I296" s="7760"/>
      <c r="J296" s="7760"/>
      <c r="K296" s="7760"/>
      <c r="L296" s="7760"/>
      <c r="M296" s="7760"/>
      <c r="N296" s="7760"/>
      <c r="O296" s="1179"/>
      <c r="P296" s="1827"/>
      <c r="Q296" s="1562"/>
      <c r="R296" s="1562"/>
      <c r="S296" s="1562"/>
      <c r="T296" s="1562"/>
      <c r="U296" s="1562"/>
      <c r="V296" s="1828"/>
      <c r="W296" s="1827"/>
      <c r="X296" s="1562"/>
      <c r="Y296" s="1562"/>
      <c r="Z296" s="1562"/>
      <c r="AA296" s="1562"/>
      <c r="AB296" s="1562"/>
      <c r="AC296" s="1828"/>
      <c r="AD296" s="1827"/>
      <c r="AE296" s="1562"/>
      <c r="AF296" s="1562"/>
      <c r="AG296" s="1562"/>
      <c r="AH296" s="1562"/>
      <c r="AI296" s="1828"/>
      <c r="AJ296" s="7724"/>
      <c r="AK296" s="6792"/>
      <c r="AL296" s="1582"/>
      <c r="AM296" s="1179"/>
      <c r="AN296" s="1179"/>
      <c r="AO296" s="1179"/>
      <c r="AP296" s="2757"/>
      <c r="AQ296" s="1179"/>
      <c r="AR296" s="1179"/>
      <c r="AS296" s="1179"/>
      <c r="AT296" s="1179"/>
      <c r="AU296" s="1179"/>
      <c r="AV296" s="1179"/>
      <c r="AW296" s="1179"/>
      <c r="AX296" s="3013"/>
      <c r="AY296" s="3851"/>
      <c r="AZ296" s="3851"/>
      <c r="BA296" s="3851"/>
      <c r="BB296" s="3851"/>
      <c r="BC296" s="3851"/>
      <c r="BD296" s="3851"/>
      <c r="BE296" s="3851"/>
      <c r="BF296" s="3851"/>
      <c r="BG296" s="3851"/>
      <c r="BH296" s="3851"/>
    </row>
    <row r="297" spans="1:60" ht="13.5" customHeight="1">
      <c r="A297" s="3910"/>
      <c r="B297" s="3773"/>
      <c r="C297" s="3773"/>
      <c r="D297" s="7761"/>
      <c r="E297" s="7762"/>
      <c r="F297" s="7762"/>
      <c r="G297" s="7762"/>
      <c r="H297" s="7762"/>
      <c r="I297" s="7762"/>
      <c r="J297" s="7762"/>
      <c r="K297" s="7762"/>
      <c r="L297" s="7762"/>
      <c r="M297" s="7762"/>
      <c r="N297" s="7762"/>
      <c r="O297" s="1179"/>
      <c r="P297" s="7763"/>
      <c r="Q297" s="7764"/>
      <c r="R297" s="7764"/>
      <c r="S297" s="7764"/>
      <c r="T297" s="7764"/>
      <c r="U297" s="7764"/>
      <c r="V297" s="7765"/>
      <c r="W297" s="7763"/>
      <c r="X297" s="7764"/>
      <c r="Y297" s="7764"/>
      <c r="Z297" s="7764"/>
      <c r="AA297" s="7764"/>
      <c r="AB297" s="7764"/>
      <c r="AC297" s="7765"/>
      <c r="AD297" s="7763"/>
      <c r="AE297" s="7764"/>
      <c r="AF297" s="7764"/>
      <c r="AG297" s="7764"/>
      <c r="AH297" s="7764"/>
      <c r="AI297" s="7765"/>
      <c r="AJ297" s="7774" t="s">
        <v>12</v>
      </c>
      <c r="AK297" s="7089"/>
      <c r="AL297" s="7775">
        <f>IF(AND(SUM(P297,W297,AD297)&gt;0,AO281=0),"Check one box.",ROUND(SUM(P297,W297,AD297),0))</f>
        <v>0</v>
      </c>
      <c r="AM297" s="7776"/>
      <c r="AN297" s="7776"/>
      <c r="AO297" s="7776"/>
      <c r="AP297" s="2757"/>
      <c r="AQ297" s="1179"/>
      <c r="AR297" s="1179"/>
      <c r="AS297" s="1179"/>
      <c r="AT297" s="1179"/>
      <c r="AU297" s="1179"/>
      <c r="AV297" s="1179"/>
      <c r="AW297" s="1179"/>
      <c r="AX297" s="3013"/>
      <c r="AY297" s="3851"/>
      <c r="AZ297" s="3851"/>
      <c r="BA297" s="3851"/>
      <c r="BB297" s="3851"/>
      <c r="BC297" s="3851"/>
      <c r="BD297" s="3851"/>
      <c r="BE297" s="3851"/>
      <c r="BF297" s="3851"/>
      <c r="BG297" s="3851"/>
      <c r="BH297" s="3851"/>
    </row>
    <row r="298" spans="1:60" ht="13.5" customHeight="1">
      <c r="A298" s="3910"/>
      <c r="B298" s="7716" t="s">
        <v>47</v>
      </c>
      <c r="C298" s="7716"/>
      <c r="D298" s="1926" t="s">
        <v>2179</v>
      </c>
      <c r="E298" s="1179"/>
      <c r="F298" s="1179"/>
      <c r="G298" s="1179"/>
      <c r="H298" s="1179"/>
      <c r="I298" s="1179"/>
      <c r="J298" s="1179"/>
      <c r="K298" s="1179"/>
      <c r="L298" s="1179"/>
      <c r="M298" s="1179"/>
      <c r="N298" s="1179"/>
      <c r="O298" s="1179"/>
      <c r="P298" s="2819"/>
      <c r="Q298" s="2820"/>
      <c r="R298" s="2820"/>
      <c r="S298" s="2820"/>
      <c r="T298" s="2820"/>
      <c r="U298" s="2820"/>
      <c r="V298" s="2821"/>
      <c r="W298" s="2819"/>
      <c r="X298" s="2820"/>
      <c r="Y298" s="2820"/>
      <c r="Z298" s="2820"/>
      <c r="AA298" s="2820"/>
      <c r="AB298" s="2820"/>
      <c r="AC298" s="2821"/>
      <c r="AD298" s="2819"/>
      <c r="AE298" s="2820"/>
      <c r="AF298" s="2820"/>
      <c r="AG298" s="2820"/>
      <c r="AH298" s="2820"/>
      <c r="AI298" s="2821"/>
      <c r="AJ298" s="7866"/>
      <c r="AK298" s="7086"/>
      <c r="AL298" s="1581"/>
      <c r="AM298" s="1179"/>
      <c r="AN298" s="1179"/>
      <c r="AO298" s="1179"/>
      <c r="AP298" s="2757"/>
      <c r="AQ298" s="1179"/>
      <c r="AR298" s="1179"/>
      <c r="AS298" s="1179"/>
      <c r="AT298" s="1179"/>
      <c r="AU298" s="1179"/>
      <c r="AV298" s="1179"/>
      <c r="AW298" s="1179"/>
      <c r="AX298" s="3013"/>
      <c r="AY298" s="3851"/>
      <c r="AZ298" s="3851"/>
      <c r="BA298" s="3851"/>
      <c r="BB298" s="3851"/>
      <c r="BC298" s="3851"/>
      <c r="BD298" s="3851"/>
      <c r="BE298" s="3851"/>
      <c r="BF298" s="3851"/>
      <c r="BG298" s="3851"/>
      <c r="BH298" s="3851"/>
    </row>
    <row r="299" spans="1:60" ht="13.5" customHeight="1">
      <c r="A299" s="3910"/>
      <c r="B299" s="3773"/>
      <c r="C299" s="3773"/>
      <c r="D299" s="1926" t="s">
        <v>2180</v>
      </c>
      <c r="E299" s="1179"/>
      <c r="F299" s="1179"/>
      <c r="G299" s="1179"/>
      <c r="H299" s="1179"/>
      <c r="I299" s="1179"/>
      <c r="J299" s="1179"/>
      <c r="K299" s="1179"/>
      <c r="L299" s="1179"/>
      <c r="M299" s="1179"/>
      <c r="N299" s="1179"/>
      <c r="O299" s="1179"/>
      <c r="P299" s="2819"/>
      <c r="Q299" s="2820"/>
      <c r="R299" s="2820"/>
      <c r="S299" s="2820"/>
      <c r="T299" s="2820"/>
      <c r="U299" s="2820"/>
      <c r="V299" s="2821"/>
      <c r="W299" s="2819"/>
      <c r="X299" s="2820"/>
      <c r="Y299" s="2820"/>
      <c r="Z299" s="2820"/>
      <c r="AA299" s="2820"/>
      <c r="AB299" s="2820"/>
      <c r="AC299" s="2821"/>
      <c r="AD299" s="2819"/>
      <c r="AE299" s="2820"/>
      <c r="AF299" s="2820"/>
      <c r="AG299" s="2820"/>
      <c r="AH299" s="2820"/>
      <c r="AI299" s="2821"/>
      <c r="AJ299" s="7724"/>
      <c r="AK299" s="6792"/>
      <c r="AL299" s="1582"/>
      <c r="AM299" s="1179"/>
      <c r="AN299" s="1179"/>
      <c r="AO299" s="1179"/>
      <c r="AP299" s="2757"/>
      <c r="AQ299" s="1179"/>
      <c r="AR299" s="1179"/>
      <c r="AS299" s="1179"/>
      <c r="AT299" s="1179"/>
      <c r="AU299" s="1179"/>
      <c r="AV299" s="1179"/>
      <c r="AW299" s="1179"/>
      <c r="AX299" s="3013"/>
      <c r="AY299" s="3851"/>
      <c r="AZ299" s="3851"/>
      <c r="BA299" s="3851"/>
      <c r="BB299" s="3851"/>
      <c r="BC299" s="3851"/>
      <c r="BD299" s="3851"/>
      <c r="BE299" s="3851"/>
      <c r="BF299" s="3851"/>
      <c r="BG299" s="3851"/>
      <c r="BH299" s="3851"/>
    </row>
    <row r="300" spans="1:60" ht="13.5" customHeight="1">
      <c r="A300" s="3910"/>
      <c r="B300" s="3773"/>
      <c r="C300" s="3773"/>
      <c r="D300" s="1926" t="s">
        <v>2181</v>
      </c>
      <c r="E300" s="1179"/>
      <c r="F300" s="1179"/>
      <c r="G300" s="1179"/>
      <c r="H300" s="1179"/>
      <c r="I300" s="1179"/>
      <c r="J300" s="1179"/>
      <c r="K300" s="1179"/>
      <c r="L300" s="1179"/>
      <c r="M300" s="1179"/>
      <c r="N300" s="1179"/>
      <c r="O300" s="1179"/>
      <c r="P300" s="2819"/>
      <c r="Q300" s="2820"/>
      <c r="R300" s="2820"/>
      <c r="S300" s="2820"/>
      <c r="T300" s="2820"/>
      <c r="U300" s="2820"/>
      <c r="V300" s="2821"/>
      <c r="W300" s="2819"/>
      <c r="X300" s="2820"/>
      <c r="Y300" s="2820"/>
      <c r="Z300" s="2820"/>
      <c r="AA300" s="2820"/>
      <c r="AB300" s="2820"/>
      <c r="AC300" s="2821"/>
      <c r="AD300" s="2819"/>
      <c r="AE300" s="2820"/>
      <c r="AF300" s="2820"/>
      <c r="AG300" s="2820"/>
      <c r="AH300" s="2820"/>
      <c r="AI300" s="2821"/>
      <c r="AJ300" s="7724"/>
      <c r="AK300" s="6792"/>
      <c r="AL300" s="1582"/>
      <c r="AM300" s="1179"/>
      <c r="AN300" s="1179"/>
      <c r="AO300" s="1179"/>
      <c r="AP300" s="2757"/>
      <c r="AQ300" s="1179"/>
      <c r="AR300" s="1179"/>
      <c r="AS300" s="1179"/>
      <c r="AT300" s="1179"/>
      <c r="AU300" s="1179"/>
      <c r="AV300" s="1179"/>
      <c r="AW300" s="1179"/>
      <c r="AX300" s="3013"/>
      <c r="AY300" s="3851"/>
      <c r="AZ300" s="3851"/>
      <c r="BA300" s="3851"/>
      <c r="BB300" s="3851"/>
      <c r="BC300" s="3851"/>
      <c r="BD300" s="3851"/>
      <c r="BE300" s="3851"/>
      <c r="BF300" s="3851"/>
      <c r="BG300" s="3851"/>
      <c r="BH300" s="3851"/>
    </row>
    <row r="301" spans="1:60" ht="13.5" customHeight="1">
      <c r="A301" s="3910"/>
      <c r="B301" s="3773"/>
      <c r="C301" s="3773"/>
      <c r="D301" s="1926" t="s">
        <v>2182</v>
      </c>
      <c r="E301" s="1179"/>
      <c r="F301" s="1179"/>
      <c r="G301" s="1179"/>
      <c r="H301" s="1179"/>
      <c r="I301" s="1179"/>
      <c r="J301" s="1179"/>
      <c r="K301" s="1179"/>
      <c r="L301" s="1179"/>
      <c r="M301" s="1179"/>
      <c r="N301" s="1179"/>
      <c r="O301" s="1179"/>
      <c r="P301" s="2819"/>
      <c r="Q301" s="2820"/>
      <c r="R301" s="2820"/>
      <c r="S301" s="2820"/>
      <c r="T301" s="2820"/>
      <c r="U301" s="2820"/>
      <c r="V301" s="2821"/>
      <c r="W301" s="2819"/>
      <c r="X301" s="2820"/>
      <c r="Y301" s="2820"/>
      <c r="Z301" s="2820"/>
      <c r="AA301" s="2820"/>
      <c r="AB301" s="2820"/>
      <c r="AC301" s="2821"/>
      <c r="AD301" s="2819"/>
      <c r="AE301" s="2820"/>
      <c r="AF301" s="2820"/>
      <c r="AG301" s="2820"/>
      <c r="AH301" s="2820"/>
      <c r="AI301" s="2821"/>
      <c r="AJ301" s="7724"/>
      <c r="AK301" s="6792"/>
      <c r="AL301" s="1582"/>
      <c r="AM301" s="1179"/>
      <c r="AN301" s="1179"/>
      <c r="AO301" s="1179"/>
      <c r="AP301" s="2757"/>
      <c r="AQ301" s="1179"/>
      <c r="AR301" s="1179"/>
      <c r="AS301" s="1179"/>
      <c r="AT301" s="1179"/>
      <c r="AU301" s="1179"/>
      <c r="AV301" s="1179"/>
      <c r="AW301" s="1179"/>
      <c r="AX301" s="3013"/>
      <c r="AY301" s="3851"/>
      <c r="AZ301" s="3851"/>
      <c r="BA301" s="3851"/>
      <c r="BB301" s="3851"/>
      <c r="BC301" s="3851"/>
      <c r="BD301" s="3851"/>
      <c r="BE301" s="3851"/>
      <c r="BF301" s="3851"/>
      <c r="BG301" s="3851"/>
      <c r="BH301" s="3851"/>
    </row>
    <row r="302" spans="1:60" ht="13.5" customHeight="1">
      <c r="A302" s="3910"/>
      <c r="B302" s="3773"/>
      <c r="C302" s="3773"/>
      <c r="D302" s="1926" t="s">
        <v>2183</v>
      </c>
      <c r="E302" s="1179"/>
      <c r="F302" s="1179"/>
      <c r="G302" s="1179"/>
      <c r="H302" s="1179"/>
      <c r="I302" s="1179"/>
      <c r="J302" s="1179"/>
      <c r="K302" s="1179"/>
      <c r="L302" s="1179"/>
      <c r="M302" s="1560" t="s">
        <v>1037</v>
      </c>
      <c r="N302" s="1180"/>
      <c r="O302" s="1179"/>
      <c r="P302" s="2819"/>
      <c r="Q302" s="2820"/>
      <c r="R302" s="2820"/>
      <c r="S302" s="2820"/>
      <c r="T302" s="2820"/>
      <c r="U302" s="2820"/>
      <c r="V302" s="2821"/>
      <c r="W302" s="2819"/>
      <c r="X302" s="2820"/>
      <c r="Y302" s="2820"/>
      <c r="Z302" s="2820"/>
      <c r="AA302" s="2820"/>
      <c r="AB302" s="2820"/>
      <c r="AC302" s="2821"/>
      <c r="AD302" s="2819"/>
      <c r="AE302" s="2820"/>
      <c r="AF302" s="2820"/>
      <c r="AG302" s="2820"/>
      <c r="AH302" s="2820"/>
      <c r="AI302" s="2821"/>
      <c r="AJ302" s="7724"/>
      <c r="AK302" s="6792"/>
      <c r="AL302" s="1582"/>
      <c r="AM302" s="1179"/>
      <c r="AN302" s="1179"/>
      <c r="AO302" s="1179"/>
      <c r="AP302" s="2757"/>
      <c r="AQ302" s="1179"/>
      <c r="AR302" s="1179"/>
      <c r="AS302" s="1179"/>
      <c r="AT302" s="1179"/>
      <c r="AU302" s="1179"/>
      <c r="AV302" s="1179"/>
      <c r="AW302" s="1179"/>
      <c r="AX302" s="3013"/>
      <c r="AY302" s="3851"/>
      <c r="AZ302" s="3851"/>
      <c r="BA302" s="3851"/>
      <c r="BB302" s="3851"/>
      <c r="BC302" s="3851"/>
      <c r="BD302" s="3851"/>
      <c r="BE302" s="3851"/>
      <c r="BF302" s="3851"/>
      <c r="BG302" s="3851"/>
      <c r="BH302" s="3851"/>
    </row>
    <row r="303" spans="1:60" ht="5.25" customHeight="1">
      <c r="A303" s="3910"/>
      <c r="B303" s="2790"/>
      <c r="C303" s="2790"/>
      <c r="D303" s="2793"/>
      <c r="E303" s="1553"/>
      <c r="F303" s="1553"/>
      <c r="G303" s="1553"/>
      <c r="H303" s="1553"/>
      <c r="I303" s="1553"/>
      <c r="J303" s="1553"/>
      <c r="K303" s="1553"/>
      <c r="L303" s="1553"/>
      <c r="M303" s="1553"/>
      <c r="N303" s="1553"/>
      <c r="O303" s="1553"/>
      <c r="P303" s="2824"/>
      <c r="Q303" s="2825"/>
      <c r="R303" s="2825"/>
      <c r="S303" s="2825"/>
      <c r="T303" s="2825"/>
      <c r="U303" s="2825"/>
      <c r="V303" s="2826"/>
      <c r="W303" s="2824"/>
      <c r="X303" s="2825"/>
      <c r="Y303" s="2825"/>
      <c r="Z303" s="2825"/>
      <c r="AA303" s="2825"/>
      <c r="AB303" s="2825"/>
      <c r="AC303" s="2826"/>
      <c r="AD303" s="2824"/>
      <c r="AE303" s="2825"/>
      <c r="AF303" s="2825"/>
      <c r="AG303" s="2825"/>
      <c r="AH303" s="2825"/>
      <c r="AI303" s="2826"/>
      <c r="AJ303" s="7724"/>
      <c r="AK303" s="6792"/>
      <c r="AL303" s="1582"/>
      <c r="AM303" s="1179"/>
      <c r="AN303" s="1179"/>
      <c r="AO303" s="1179"/>
      <c r="AP303" s="2757"/>
      <c r="AQ303" s="1179"/>
      <c r="AR303" s="1179"/>
      <c r="AS303" s="1179"/>
      <c r="AT303" s="1179"/>
      <c r="AU303" s="1179"/>
      <c r="AV303" s="1179"/>
      <c r="AW303" s="1179"/>
      <c r="AX303" s="3013"/>
      <c r="AY303" s="3851"/>
      <c r="AZ303" s="3851"/>
      <c r="BA303" s="3851"/>
      <c r="BB303" s="3851"/>
      <c r="BC303" s="3851"/>
      <c r="BD303" s="3851"/>
      <c r="BE303" s="3851"/>
      <c r="BF303" s="3851"/>
      <c r="BG303" s="3851"/>
      <c r="BH303" s="3851"/>
    </row>
    <row r="304" spans="1:60" ht="13.5" customHeight="1">
      <c r="A304" s="3910"/>
      <c r="B304" s="1262" t="s">
        <v>3007</v>
      </c>
      <c r="C304" s="2701"/>
      <c r="D304" s="2686"/>
      <c r="E304" s="1179"/>
      <c r="F304" s="1179"/>
      <c r="G304" s="1179"/>
      <c r="H304" s="1179"/>
      <c r="I304" s="1179"/>
      <c r="J304" s="1179"/>
      <c r="K304" s="1179"/>
      <c r="L304" s="1179"/>
      <c r="M304" s="1179"/>
      <c r="N304" s="1179"/>
      <c r="O304" s="1179"/>
      <c r="P304" s="2819"/>
      <c r="Q304" s="2820"/>
      <c r="R304" s="2820"/>
      <c r="S304" s="2820"/>
      <c r="T304" s="2820"/>
      <c r="U304" s="2820"/>
      <c r="V304" s="2821"/>
      <c r="W304" s="2819"/>
      <c r="X304" s="2820"/>
      <c r="Y304" s="2820"/>
      <c r="Z304" s="2820"/>
      <c r="AA304" s="2820"/>
      <c r="AB304" s="2820"/>
      <c r="AC304" s="2821"/>
      <c r="AD304" s="2819"/>
      <c r="AE304" s="2820"/>
      <c r="AF304" s="2820"/>
      <c r="AG304" s="2820"/>
      <c r="AH304" s="2820"/>
      <c r="AI304" s="2821"/>
      <c r="AJ304" s="7724"/>
      <c r="AK304" s="6792"/>
      <c r="AL304" s="1582"/>
      <c r="AM304" s="1179"/>
      <c r="AN304" s="1179"/>
      <c r="AO304" s="1179"/>
      <c r="AP304" s="2757"/>
      <c r="AQ304" s="1179"/>
      <c r="AR304" s="1179"/>
      <c r="AS304" s="1179"/>
      <c r="AT304" s="1179"/>
      <c r="AU304" s="1179"/>
      <c r="AV304" s="1179"/>
      <c r="AW304" s="1179"/>
      <c r="AX304" s="3013"/>
      <c r="AY304" s="3851"/>
      <c r="AZ304" s="3851"/>
      <c r="BA304" s="3851"/>
      <c r="BB304" s="3851"/>
      <c r="BC304" s="3851"/>
      <c r="BD304" s="3851"/>
      <c r="BE304" s="3851"/>
      <c r="BF304" s="3851"/>
      <c r="BG304" s="3851"/>
      <c r="BH304" s="3851"/>
    </row>
    <row r="305" spans="1:60" ht="13.5" customHeight="1">
      <c r="A305" s="3910"/>
      <c r="B305" s="7766">
        <v>2</v>
      </c>
      <c r="C305" s="7766"/>
      <c r="D305" s="1262" t="s">
        <v>2185</v>
      </c>
      <c r="E305" s="1179"/>
      <c r="F305" s="1179"/>
      <c r="G305" s="1179"/>
      <c r="H305" s="1179"/>
      <c r="I305" s="1179"/>
      <c r="J305" s="1179"/>
      <c r="K305" s="1179"/>
      <c r="L305" s="1179"/>
      <c r="M305" s="1179"/>
      <c r="N305" s="1179"/>
      <c r="O305" s="1179"/>
      <c r="P305" s="2822"/>
      <c r="Q305" s="1276"/>
      <c r="R305" s="1276"/>
      <c r="S305" s="1276"/>
      <c r="T305" s="1276"/>
      <c r="U305" s="1276"/>
      <c r="V305" s="2823"/>
      <c r="W305" s="1276"/>
      <c r="X305" s="1276"/>
      <c r="Y305" s="1276"/>
      <c r="Z305" s="1276"/>
      <c r="AA305" s="1276"/>
      <c r="AB305" s="1276"/>
      <c r="AC305" s="2823"/>
      <c r="AD305" s="1276"/>
      <c r="AE305" s="1276"/>
      <c r="AF305" s="1276"/>
      <c r="AG305" s="1276"/>
      <c r="AH305" s="1276"/>
      <c r="AI305" s="2823"/>
      <c r="AJ305" s="7724"/>
      <c r="AK305" s="6792"/>
      <c r="AL305" s="1582"/>
      <c r="AM305" s="1179"/>
      <c r="AN305" s="1179"/>
      <c r="AO305" s="1179"/>
      <c r="AP305" s="2757"/>
      <c r="AQ305" s="1179"/>
      <c r="AR305" s="1179"/>
      <c r="AS305" s="1179"/>
      <c r="AT305" s="1179"/>
      <c r="AU305" s="1179"/>
      <c r="AV305" s="1179"/>
      <c r="AW305" s="1179"/>
      <c r="AX305" s="3013"/>
      <c r="AY305" s="3851"/>
      <c r="AZ305" s="3851"/>
      <c r="BA305" s="3851"/>
      <c r="BB305" s="3851"/>
      <c r="BC305" s="3851"/>
      <c r="BD305" s="3851"/>
      <c r="BE305" s="3851"/>
      <c r="BF305" s="3851"/>
      <c r="BG305" s="3851"/>
      <c r="BH305" s="3851"/>
    </row>
    <row r="306" spans="1:60" ht="13.5" customHeight="1">
      <c r="A306" s="3910"/>
      <c r="B306" s="7766"/>
      <c r="C306" s="7766"/>
      <c r="D306" s="1276" t="s">
        <v>2186</v>
      </c>
      <c r="E306" s="1179"/>
      <c r="F306" s="1179"/>
      <c r="G306" s="1179"/>
      <c r="H306" s="1179"/>
      <c r="I306" s="1179"/>
      <c r="J306" s="1179"/>
      <c r="K306" s="1179"/>
      <c r="L306" s="1179"/>
      <c r="M306" s="1179"/>
      <c r="N306" s="1179"/>
      <c r="O306" s="1560" t="s">
        <v>2517</v>
      </c>
      <c r="P306" s="7763"/>
      <c r="Q306" s="7764"/>
      <c r="R306" s="7764"/>
      <c r="S306" s="7764"/>
      <c r="T306" s="7764"/>
      <c r="U306" s="7764"/>
      <c r="V306" s="7765"/>
      <c r="W306" s="7763"/>
      <c r="X306" s="7764"/>
      <c r="Y306" s="7764"/>
      <c r="Z306" s="7764"/>
      <c r="AA306" s="7764"/>
      <c r="AB306" s="7764"/>
      <c r="AC306" s="7765"/>
      <c r="AD306" s="7763"/>
      <c r="AE306" s="7764"/>
      <c r="AF306" s="7764"/>
      <c r="AG306" s="7764"/>
      <c r="AH306" s="7764"/>
      <c r="AI306" s="7765"/>
      <c r="AJ306" s="7724"/>
      <c r="AK306" s="6792"/>
      <c r="AL306" s="1582"/>
      <c r="AM306" s="1179"/>
      <c r="AN306" s="1179"/>
      <c r="AO306" s="1179"/>
      <c r="AP306" s="2757"/>
      <c r="AQ306" s="1179"/>
      <c r="AR306" s="1179"/>
      <c r="AS306" s="1179"/>
      <c r="AT306" s="1179"/>
      <c r="AU306" s="1179"/>
      <c r="AV306" s="1179"/>
      <c r="AW306" s="1179"/>
      <c r="AX306" s="3013"/>
      <c r="AY306" s="3851"/>
      <c r="AZ306" s="3851"/>
      <c r="BA306" s="3851"/>
      <c r="BB306" s="3851"/>
      <c r="BC306" s="3851"/>
      <c r="BD306" s="3851"/>
      <c r="BE306" s="3851"/>
      <c r="BF306" s="3851"/>
      <c r="BG306" s="3851"/>
      <c r="BH306" s="3851"/>
    </row>
    <row r="307" spans="1:60" ht="13.5" customHeight="1">
      <c r="A307" s="3910"/>
      <c r="B307" s="7766">
        <v>3</v>
      </c>
      <c r="C307" s="7766"/>
      <c r="D307" s="1262" t="s">
        <v>2241</v>
      </c>
      <c r="E307" s="1179"/>
      <c r="F307" s="1179"/>
      <c r="G307" s="1179"/>
      <c r="H307" s="1179"/>
      <c r="I307" s="1179"/>
      <c r="J307" s="1179"/>
      <c r="K307" s="1179"/>
      <c r="L307" s="1179"/>
      <c r="M307" s="1179"/>
      <c r="N307" s="1179"/>
      <c r="O307" s="1179"/>
      <c r="P307" s="2819"/>
      <c r="Q307" s="2820"/>
      <c r="R307" s="2820"/>
      <c r="S307" s="2820"/>
      <c r="T307" s="2820"/>
      <c r="U307" s="2820"/>
      <c r="V307" s="2821"/>
      <c r="W307" s="2819"/>
      <c r="X307" s="2820"/>
      <c r="Y307" s="2820"/>
      <c r="Z307" s="2820"/>
      <c r="AA307" s="2820"/>
      <c r="AB307" s="2820"/>
      <c r="AC307" s="2821"/>
      <c r="AD307" s="2819"/>
      <c r="AE307" s="2820"/>
      <c r="AF307" s="2820"/>
      <c r="AG307" s="2820"/>
      <c r="AH307" s="2820"/>
      <c r="AI307" s="2821"/>
      <c r="AJ307" s="7724"/>
      <c r="AK307" s="6792"/>
      <c r="AL307" s="1582"/>
      <c r="AM307" s="1179"/>
      <c r="AN307" s="1179"/>
      <c r="AO307" s="1179"/>
      <c r="AP307" s="2757"/>
      <c r="AQ307" s="1179"/>
      <c r="AR307" s="1179"/>
      <c r="AS307" s="1179"/>
      <c r="AT307" s="1179"/>
      <c r="AU307" s="1179"/>
      <c r="AV307" s="1179"/>
      <c r="AW307" s="1179"/>
      <c r="AX307" s="3013"/>
      <c r="AY307" s="3851"/>
      <c r="AZ307" s="3851"/>
      <c r="BA307" s="3851"/>
      <c r="BB307" s="3851"/>
      <c r="BC307" s="3851"/>
      <c r="BD307" s="3851"/>
      <c r="BE307" s="3851"/>
      <c r="BF307" s="3851"/>
      <c r="BG307" s="3851"/>
      <c r="BH307" s="3851"/>
    </row>
    <row r="308" spans="1:60" ht="13.5" customHeight="1">
      <c r="A308" s="3910"/>
      <c r="B308" s="7716"/>
      <c r="C308" s="7716"/>
      <c r="D308" s="2808" t="s">
        <v>2242</v>
      </c>
      <c r="E308" s="1179"/>
      <c r="F308" s="1179"/>
      <c r="G308" s="1179"/>
      <c r="H308" s="1179"/>
      <c r="I308" s="1179"/>
      <c r="J308" s="1179"/>
      <c r="K308" s="1179"/>
      <c r="L308" s="1179"/>
      <c r="M308" s="1179"/>
      <c r="N308" s="1179"/>
      <c r="O308" s="1179"/>
      <c r="P308" s="2819"/>
      <c r="Q308" s="2820"/>
      <c r="R308" s="2820"/>
      <c r="S308" s="2820"/>
      <c r="T308" s="2820"/>
      <c r="U308" s="2820"/>
      <c r="V308" s="2821"/>
      <c r="W308" s="2819"/>
      <c r="X308" s="2820"/>
      <c r="Y308" s="2820"/>
      <c r="Z308" s="2820"/>
      <c r="AA308" s="2820"/>
      <c r="AB308" s="2820"/>
      <c r="AC308" s="2821"/>
      <c r="AD308" s="2819"/>
      <c r="AE308" s="2820"/>
      <c r="AF308" s="2820"/>
      <c r="AG308" s="2820"/>
      <c r="AH308" s="2820"/>
      <c r="AI308" s="2821"/>
      <c r="AJ308" s="7724"/>
      <c r="AK308" s="6792"/>
      <c r="AL308" s="1582"/>
      <c r="AM308" s="1179"/>
      <c r="AN308" s="1179"/>
      <c r="AO308" s="1179"/>
      <c r="AP308" s="2757"/>
      <c r="AQ308" s="1179"/>
      <c r="AR308" s="1179"/>
      <c r="AS308" s="1179"/>
      <c r="AT308" s="1179"/>
      <c r="AU308" s="1179"/>
      <c r="AV308" s="1179"/>
      <c r="AW308" s="1179"/>
      <c r="AX308" s="3013"/>
      <c r="AY308" s="3851"/>
      <c r="AZ308" s="3851"/>
      <c r="BA308" s="3851"/>
      <c r="BB308" s="3851"/>
      <c r="BC308" s="3851"/>
      <c r="BD308" s="3851"/>
      <c r="BE308" s="3851"/>
      <c r="BF308" s="3851"/>
      <c r="BG308" s="3851"/>
      <c r="BH308" s="3851"/>
    </row>
    <row r="309" spans="1:60" ht="13.5" customHeight="1">
      <c r="A309" s="3910"/>
      <c r="B309" s="7716" t="s">
        <v>33</v>
      </c>
      <c r="C309" s="7716"/>
      <c r="D309" s="1262" t="s">
        <v>2493</v>
      </c>
      <c r="E309" s="1179"/>
      <c r="F309" s="1179"/>
      <c r="G309" s="1179"/>
      <c r="H309" s="1179"/>
      <c r="I309" s="1179"/>
      <c r="J309" s="1179"/>
      <c r="K309" s="1179"/>
      <c r="L309" s="1179"/>
      <c r="M309" s="1179"/>
      <c r="N309" s="1179"/>
      <c r="O309" s="1179"/>
      <c r="P309" s="2822"/>
      <c r="Q309" s="1276"/>
      <c r="R309" s="1276"/>
      <c r="S309" s="1276"/>
      <c r="T309" s="1276"/>
      <c r="U309" s="1276"/>
      <c r="V309" s="2823"/>
      <c r="W309" s="1276"/>
      <c r="X309" s="1276"/>
      <c r="Y309" s="1276"/>
      <c r="Z309" s="1276"/>
      <c r="AA309" s="1276"/>
      <c r="AB309" s="1276"/>
      <c r="AC309" s="2823"/>
      <c r="AD309" s="1276"/>
      <c r="AE309" s="1276"/>
      <c r="AF309" s="1276"/>
      <c r="AG309" s="1276"/>
      <c r="AH309" s="1276"/>
      <c r="AI309" s="2823"/>
      <c r="AJ309" s="7724"/>
      <c r="AK309" s="6792"/>
      <c r="AL309" s="1582"/>
      <c r="AM309" s="1179"/>
      <c r="AN309" s="1179"/>
      <c r="AO309" s="1179"/>
      <c r="AP309" s="2757"/>
      <c r="AQ309" s="1179"/>
      <c r="AR309" s="1179"/>
      <c r="AS309" s="1179"/>
      <c r="AT309" s="1179"/>
      <c r="AU309" s="1179"/>
      <c r="AV309" s="1179"/>
      <c r="AW309" s="1179"/>
      <c r="AX309" s="3013"/>
      <c r="AY309" s="3851"/>
      <c r="AZ309" s="3851"/>
      <c r="BA309" s="3851"/>
      <c r="BB309" s="3851"/>
      <c r="BC309" s="3851"/>
      <c r="BD309" s="3851"/>
      <c r="BE309" s="3851"/>
      <c r="BF309" s="3851"/>
      <c r="BG309" s="3851"/>
      <c r="BH309" s="3851"/>
    </row>
    <row r="310" spans="1:60" ht="13.5" customHeight="1">
      <c r="A310" s="3910"/>
      <c r="B310" s="3771"/>
      <c r="C310" s="3771"/>
      <c r="D310" s="1262" t="s">
        <v>1794</v>
      </c>
      <c r="E310" s="1179"/>
      <c r="F310" s="1179"/>
      <c r="G310" s="1179"/>
      <c r="H310" s="1179"/>
      <c r="I310" s="1179"/>
      <c r="J310" s="1179"/>
      <c r="K310" s="1179"/>
      <c r="L310" s="1179"/>
      <c r="M310" s="1179"/>
      <c r="N310" s="1179"/>
      <c r="O310" s="1560" t="s">
        <v>1930</v>
      </c>
      <c r="P310" s="7763"/>
      <c r="Q310" s="7764"/>
      <c r="R310" s="7764"/>
      <c r="S310" s="7764"/>
      <c r="T310" s="7764"/>
      <c r="U310" s="7764"/>
      <c r="V310" s="7765"/>
      <c r="W310" s="7763"/>
      <c r="X310" s="7764"/>
      <c r="Y310" s="7764"/>
      <c r="Z310" s="7764"/>
      <c r="AA310" s="7764"/>
      <c r="AB310" s="7764"/>
      <c r="AC310" s="7765"/>
      <c r="AD310" s="7763"/>
      <c r="AE310" s="7764"/>
      <c r="AF310" s="7764"/>
      <c r="AG310" s="7764"/>
      <c r="AH310" s="7764"/>
      <c r="AI310" s="7765"/>
      <c r="AJ310" s="7724"/>
      <c r="AK310" s="6792"/>
      <c r="AL310" s="1582"/>
      <c r="AM310" s="1179"/>
      <c r="AN310" s="1179"/>
      <c r="AO310" s="1179"/>
      <c r="AP310" s="2757"/>
      <c r="AQ310" s="1179"/>
      <c r="AR310" s="1179"/>
      <c r="AS310" s="1179"/>
      <c r="AT310" s="1179"/>
      <c r="AU310" s="1179"/>
      <c r="AV310" s="1179"/>
      <c r="AW310" s="1179"/>
      <c r="AX310" s="3013"/>
      <c r="AY310" s="3851"/>
      <c r="AZ310" s="3851"/>
      <c r="BA310" s="3851"/>
      <c r="BB310" s="3851"/>
      <c r="BC310" s="3851"/>
      <c r="BD310" s="3851"/>
      <c r="BE310" s="3851"/>
      <c r="BF310" s="3851"/>
      <c r="BG310" s="3851"/>
      <c r="BH310" s="3851"/>
    </row>
    <row r="311" spans="1:60" ht="13.5" customHeight="1">
      <c r="A311" s="3910"/>
      <c r="B311" s="7716" t="s">
        <v>47</v>
      </c>
      <c r="C311" s="7716"/>
      <c r="D311" s="1262" t="s">
        <v>2187</v>
      </c>
      <c r="E311" s="1179"/>
      <c r="F311" s="1179"/>
      <c r="G311" s="1179"/>
      <c r="H311" s="1179"/>
      <c r="I311" s="1179"/>
      <c r="J311" s="1179"/>
      <c r="K311" s="1179"/>
      <c r="L311" s="1179"/>
      <c r="M311" s="1179"/>
      <c r="N311" s="1179"/>
      <c r="O311" s="1560" t="s">
        <v>517</v>
      </c>
      <c r="P311" s="7763"/>
      <c r="Q311" s="7764"/>
      <c r="R311" s="7764"/>
      <c r="S311" s="7764"/>
      <c r="T311" s="7764"/>
      <c r="U311" s="7764"/>
      <c r="V311" s="7765"/>
      <c r="W311" s="7763"/>
      <c r="X311" s="7764"/>
      <c r="Y311" s="7764"/>
      <c r="Z311" s="7764"/>
      <c r="AA311" s="7764"/>
      <c r="AB311" s="7764"/>
      <c r="AC311" s="7765"/>
      <c r="AD311" s="7763"/>
      <c r="AE311" s="7764"/>
      <c r="AF311" s="7764"/>
      <c r="AG311" s="7764"/>
      <c r="AH311" s="7764"/>
      <c r="AI311" s="7765"/>
      <c r="AJ311" s="7724"/>
      <c r="AK311" s="6792"/>
      <c r="AL311" s="1582"/>
      <c r="AM311" s="1179"/>
      <c r="AN311" s="1179"/>
      <c r="AO311" s="1179"/>
      <c r="AP311" s="2757"/>
      <c r="AQ311" s="1179"/>
      <c r="AR311" s="1179"/>
      <c r="AS311" s="1179"/>
      <c r="AT311" s="1179"/>
      <c r="AU311" s="1179"/>
      <c r="AV311" s="1179"/>
      <c r="AW311" s="1179"/>
      <c r="AX311" s="3013"/>
      <c r="AY311" s="3851"/>
      <c r="AZ311" s="3851"/>
      <c r="BA311" s="3851"/>
      <c r="BB311" s="3851"/>
      <c r="BC311" s="3851"/>
      <c r="BD311" s="3851"/>
      <c r="BE311" s="3851"/>
      <c r="BF311" s="3851"/>
      <c r="BG311" s="3851"/>
      <c r="BH311" s="3851"/>
    </row>
    <row r="312" spans="1:60" ht="13.5" customHeight="1">
      <c r="A312" s="3910"/>
      <c r="B312" s="7716" t="s">
        <v>48</v>
      </c>
      <c r="C312" s="7716"/>
      <c r="D312" s="1262" t="s">
        <v>2188</v>
      </c>
      <c r="E312" s="1179"/>
      <c r="F312" s="1179"/>
      <c r="G312" s="1179"/>
      <c r="H312" s="1179"/>
      <c r="I312" s="1179"/>
      <c r="J312" s="1179"/>
      <c r="K312" s="1179"/>
      <c r="L312" s="1179"/>
      <c r="M312" s="1179"/>
      <c r="N312" s="1179"/>
      <c r="O312" s="1560" t="s">
        <v>2419</v>
      </c>
      <c r="P312" s="7916">
        <f>SUM(P310:P311)</f>
        <v>0</v>
      </c>
      <c r="Q312" s="7917"/>
      <c r="R312" s="7917"/>
      <c r="S312" s="7917"/>
      <c r="T312" s="7917"/>
      <c r="U312" s="7917"/>
      <c r="V312" s="7918"/>
      <c r="W312" s="7916">
        <f>SUM(W310:W311)</f>
        <v>0</v>
      </c>
      <c r="X312" s="7917"/>
      <c r="Y312" s="7917"/>
      <c r="Z312" s="7917"/>
      <c r="AA312" s="7917"/>
      <c r="AB312" s="7917"/>
      <c r="AC312" s="7918"/>
      <c r="AD312" s="7916">
        <f>SUM(AD310:AD311)</f>
        <v>0</v>
      </c>
      <c r="AE312" s="7917"/>
      <c r="AF312" s="7917"/>
      <c r="AG312" s="7917"/>
      <c r="AH312" s="7917"/>
      <c r="AI312" s="7918"/>
      <c r="AJ312" s="7724"/>
      <c r="AK312" s="6792"/>
      <c r="AL312" s="1582"/>
      <c r="AM312" s="1179"/>
      <c r="AN312" s="1179"/>
      <c r="AO312" s="1179"/>
      <c r="AP312" s="2757"/>
      <c r="AQ312" s="1179"/>
      <c r="AR312" s="1179"/>
      <c r="AS312" s="1179"/>
      <c r="AT312" s="1179"/>
      <c r="AU312" s="1179"/>
      <c r="AV312" s="1179"/>
      <c r="AW312" s="1179"/>
      <c r="AX312" s="3013"/>
      <c r="AY312" s="3851"/>
      <c r="AZ312" s="3851"/>
      <c r="BA312" s="3851"/>
      <c r="BB312" s="3851"/>
      <c r="BC312" s="3851"/>
      <c r="BD312" s="3851"/>
      <c r="BE312" s="3851"/>
      <c r="BF312" s="3851"/>
      <c r="BG312" s="3851"/>
      <c r="BH312" s="3851"/>
    </row>
    <row r="313" spans="1:60" ht="13.5" customHeight="1">
      <c r="A313" s="3910"/>
      <c r="B313" s="7716" t="s">
        <v>92</v>
      </c>
      <c r="C313" s="7716"/>
      <c r="D313" s="1262" t="s">
        <v>2189</v>
      </c>
      <c r="E313" s="1179"/>
      <c r="F313" s="1179"/>
      <c r="G313" s="1179"/>
      <c r="H313" s="1179"/>
      <c r="I313" s="1179"/>
      <c r="J313" s="1179"/>
      <c r="K313" s="1179"/>
      <c r="L313" s="1179"/>
      <c r="M313" s="1179"/>
      <c r="N313" s="1179"/>
      <c r="O313" s="1560" t="s">
        <v>2522</v>
      </c>
      <c r="P313" s="7763"/>
      <c r="Q313" s="7764"/>
      <c r="R313" s="7764"/>
      <c r="S313" s="7764"/>
      <c r="T313" s="7764"/>
      <c r="U313" s="7764"/>
      <c r="V313" s="7765"/>
      <c r="W313" s="7763"/>
      <c r="X313" s="7764"/>
      <c r="Y313" s="7764"/>
      <c r="Z313" s="7764"/>
      <c r="AA313" s="7764"/>
      <c r="AB313" s="7764"/>
      <c r="AC313" s="7765"/>
      <c r="AD313" s="7763"/>
      <c r="AE313" s="7764"/>
      <c r="AF313" s="7764"/>
      <c r="AG313" s="7764"/>
      <c r="AH313" s="7764"/>
      <c r="AI313" s="7765"/>
      <c r="AJ313" s="7724"/>
      <c r="AK313" s="6792"/>
      <c r="AL313" s="1582"/>
      <c r="AM313" s="1179"/>
      <c r="AN313" s="1179"/>
      <c r="AO313" s="1179"/>
      <c r="AP313" s="2757"/>
      <c r="AQ313" s="1179"/>
      <c r="AR313" s="1179"/>
      <c r="AS313" s="1179"/>
      <c r="AT313" s="1179"/>
      <c r="AU313" s="1179"/>
      <c r="AV313" s="1179"/>
      <c r="AW313" s="1179"/>
      <c r="AX313" s="3013"/>
      <c r="AY313" s="3851"/>
      <c r="AZ313" s="3851"/>
      <c r="BA313" s="3851"/>
      <c r="BB313" s="3851"/>
      <c r="BC313" s="3851"/>
      <c r="BD313" s="3851"/>
      <c r="BE313" s="3851"/>
      <c r="BF313" s="3851"/>
      <c r="BG313" s="3851"/>
      <c r="BH313" s="3851"/>
    </row>
    <row r="314" spans="1:60" ht="13.5" customHeight="1">
      <c r="A314" s="3910"/>
      <c r="B314" s="7716" t="s">
        <v>964</v>
      </c>
      <c r="C314" s="7716"/>
      <c r="D314" s="1262" t="s">
        <v>2190</v>
      </c>
      <c r="E314" s="1179"/>
      <c r="F314" s="1179"/>
      <c r="G314" s="1179"/>
      <c r="H314" s="1179"/>
      <c r="I314" s="1179"/>
      <c r="J314" s="1179"/>
      <c r="K314" s="1179"/>
      <c r="L314" s="1179"/>
      <c r="M314" s="1179"/>
      <c r="N314" s="1179"/>
      <c r="O314" s="1560" t="s">
        <v>2522</v>
      </c>
      <c r="P314" s="7763"/>
      <c r="Q314" s="7764"/>
      <c r="R314" s="7764"/>
      <c r="S314" s="7764"/>
      <c r="T314" s="7764"/>
      <c r="U314" s="7764"/>
      <c r="V314" s="7765"/>
      <c r="W314" s="7763"/>
      <c r="X314" s="7764"/>
      <c r="Y314" s="7764"/>
      <c r="Z314" s="7764"/>
      <c r="AA314" s="7764"/>
      <c r="AB314" s="7764"/>
      <c r="AC314" s="7765"/>
      <c r="AD314" s="7763"/>
      <c r="AE314" s="7764"/>
      <c r="AF314" s="7764"/>
      <c r="AG314" s="7764"/>
      <c r="AH314" s="7764"/>
      <c r="AI314" s="7765"/>
      <c r="AJ314" s="7724"/>
      <c r="AK314" s="6792"/>
      <c r="AL314" s="1582"/>
      <c r="AM314" s="1179"/>
      <c r="AN314" s="1179"/>
      <c r="AO314" s="1179"/>
      <c r="AP314" s="2757"/>
      <c r="AQ314" s="1179"/>
      <c r="AR314" s="1179"/>
      <c r="AS314" s="1179"/>
      <c r="AT314" s="1179"/>
      <c r="AU314" s="1179"/>
      <c r="AV314" s="1179"/>
      <c r="AW314" s="1179"/>
      <c r="AX314" s="3013"/>
      <c r="AY314" s="3851"/>
      <c r="AZ314" s="3851"/>
      <c r="BA314" s="3851"/>
      <c r="BB314" s="3851"/>
      <c r="BC314" s="3851"/>
      <c r="BD314" s="3851"/>
      <c r="BE314" s="3851"/>
      <c r="BF314" s="3851"/>
      <c r="BG314" s="3851"/>
      <c r="BH314" s="3851"/>
    </row>
    <row r="315" spans="1:60" ht="16.5" customHeight="1">
      <c r="A315" s="3910"/>
      <c r="B315" s="7716" t="s">
        <v>965</v>
      </c>
      <c r="C315" s="7716"/>
      <c r="D315" s="1262" t="s">
        <v>2191</v>
      </c>
      <c r="E315" s="1179"/>
      <c r="F315" s="1179"/>
      <c r="G315" s="1179"/>
      <c r="H315" s="1179"/>
      <c r="I315" s="1179"/>
      <c r="J315" s="1179"/>
      <c r="K315" s="1179"/>
      <c r="L315" s="1179"/>
      <c r="M315" s="1179"/>
      <c r="N315" s="1179"/>
      <c r="O315" s="1560" t="s">
        <v>2472</v>
      </c>
      <c r="P315" s="7910" t="str">
        <f>IF(P314=0,"",ROUND(P313/P314,4))</f>
        <v/>
      </c>
      <c r="Q315" s="7911"/>
      <c r="R315" s="7911"/>
      <c r="S315" s="7911"/>
      <c r="T315" s="7911"/>
      <c r="U315" s="7911"/>
      <c r="V315" s="7912"/>
      <c r="W315" s="7910" t="str">
        <f>IF(W314=0,"",ROUND(W313/W314,4))</f>
        <v/>
      </c>
      <c r="X315" s="7911"/>
      <c r="Y315" s="7911"/>
      <c r="Z315" s="7911"/>
      <c r="AA315" s="7911"/>
      <c r="AB315" s="7911"/>
      <c r="AC315" s="7912"/>
      <c r="AD315" s="7913" t="str">
        <f>IF(AD314=0,"",ROUND(AD313/AD314,4))</f>
        <v/>
      </c>
      <c r="AE315" s="7914"/>
      <c r="AF315" s="7914"/>
      <c r="AG315" s="7914"/>
      <c r="AH315" s="7914"/>
      <c r="AI315" s="7915"/>
      <c r="AJ315" s="7724"/>
      <c r="AK315" s="6792"/>
      <c r="AL315" s="1582"/>
      <c r="AM315" s="1179"/>
      <c r="AN315" s="1179"/>
      <c r="AO315" s="1179"/>
      <c r="AP315" s="2757"/>
      <c r="AQ315" s="1179"/>
      <c r="AR315" s="1179"/>
      <c r="AS315" s="1179"/>
      <c r="AT315" s="1179"/>
      <c r="AU315" s="1179"/>
      <c r="AV315" s="1179"/>
      <c r="AW315" s="1179"/>
      <c r="AX315" s="3013"/>
      <c r="AY315" s="3851"/>
      <c r="AZ315" s="3851"/>
      <c r="BA315" s="3851"/>
      <c r="BB315" s="3851"/>
      <c r="BC315" s="3851"/>
      <c r="BD315" s="3851"/>
      <c r="BE315" s="3851"/>
      <c r="BF315" s="3851"/>
      <c r="BG315" s="3851"/>
      <c r="BH315" s="3851"/>
    </row>
    <row r="316" spans="1:60" s="2689" customFormat="1" ht="17.25" customHeight="1">
      <c r="A316" s="3910"/>
      <c r="B316" s="7716" t="s">
        <v>2133</v>
      </c>
      <c r="C316" s="7716"/>
      <c r="D316" s="1262" t="s">
        <v>2192</v>
      </c>
      <c r="E316" s="1179"/>
      <c r="F316" s="1179"/>
      <c r="G316" s="1179"/>
      <c r="H316" s="1179"/>
      <c r="I316" s="1179"/>
      <c r="J316" s="1179"/>
      <c r="K316" s="1179"/>
      <c r="L316" s="1179"/>
      <c r="M316" s="1179"/>
      <c r="N316" s="1179"/>
      <c r="O316" s="1560" t="s">
        <v>2514</v>
      </c>
      <c r="P316" s="7842" t="str">
        <f>IF(OR(P312="",P315=""),"",P312*P315)</f>
        <v/>
      </c>
      <c r="Q316" s="7843"/>
      <c r="R316" s="7843"/>
      <c r="S316" s="7843"/>
      <c r="T316" s="7843"/>
      <c r="U316" s="7843"/>
      <c r="V316" s="7844"/>
      <c r="W316" s="7842" t="str">
        <f>IF(OR(W312="",W315=""),"",W312*W315)</f>
        <v/>
      </c>
      <c r="X316" s="7843"/>
      <c r="Y316" s="7843"/>
      <c r="Z316" s="7843"/>
      <c r="AA316" s="7843"/>
      <c r="AB316" s="7843"/>
      <c r="AC316" s="7844"/>
      <c r="AD316" s="7842" t="str">
        <f>IF(OR(AD312="",AD315=""),"",AD312*AD315)</f>
        <v/>
      </c>
      <c r="AE316" s="7843"/>
      <c r="AF316" s="7843"/>
      <c r="AG316" s="7843"/>
      <c r="AH316" s="7843"/>
      <c r="AI316" s="7844"/>
      <c r="AJ316" s="7724"/>
      <c r="AK316" s="6792"/>
      <c r="AL316" s="1582"/>
      <c r="AM316" s="1179"/>
      <c r="AN316" s="1179"/>
      <c r="AO316" s="1179"/>
      <c r="AP316" s="2757"/>
      <c r="AQ316" s="1179"/>
      <c r="AR316" s="1179"/>
      <c r="AS316" s="1179"/>
      <c r="AT316" s="1179"/>
      <c r="AU316" s="1179"/>
      <c r="AV316" s="1179"/>
      <c r="AW316" s="1179"/>
      <c r="AX316" s="3013"/>
      <c r="AY316" s="3851"/>
      <c r="AZ316" s="3851"/>
      <c r="BA316" s="3851"/>
      <c r="BB316" s="3851"/>
      <c r="BC316" s="3851"/>
      <c r="BD316" s="3851"/>
      <c r="BE316" s="3851"/>
      <c r="BF316" s="3851"/>
      <c r="BG316" s="3851"/>
      <c r="BH316" s="3851"/>
    </row>
    <row r="317" spans="1:60" s="2689" customFormat="1" ht="12" customHeight="1">
      <c r="A317" s="3910"/>
      <c r="B317" s="7766">
        <v>4</v>
      </c>
      <c r="C317" s="7766"/>
      <c r="D317" s="1262" t="s">
        <v>2494</v>
      </c>
      <c r="E317" s="1179"/>
      <c r="F317" s="1179"/>
      <c r="G317" s="1179"/>
      <c r="H317" s="1179"/>
      <c r="I317" s="1179"/>
      <c r="J317" s="1179"/>
      <c r="K317" s="1179"/>
      <c r="L317" s="1179"/>
      <c r="M317" s="1179"/>
      <c r="N317" s="1179"/>
      <c r="O317" s="1179"/>
      <c r="P317" s="2819"/>
      <c r="Q317" s="2820"/>
      <c r="R317" s="2820"/>
      <c r="S317" s="2820"/>
      <c r="T317" s="2820"/>
      <c r="U317" s="2820"/>
      <c r="V317" s="2821"/>
      <c r="W317" s="2819"/>
      <c r="X317" s="2820"/>
      <c r="Y317" s="2820"/>
      <c r="Z317" s="2820"/>
      <c r="AA317" s="2820"/>
      <c r="AB317" s="2820"/>
      <c r="AC317" s="2821"/>
      <c r="AD317" s="2819"/>
      <c r="AE317" s="2820"/>
      <c r="AF317" s="2820"/>
      <c r="AG317" s="2820"/>
      <c r="AH317" s="2820"/>
      <c r="AI317" s="2821"/>
      <c r="AJ317" s="7724"/>
      <c r="AK317" s="6792"/>
      <c r="AL317" s="1582"/>
      <c r="AM317" s="1179"/>
      <c r="AN317" s="1179"/>
      <c r="AO317" s="1179"/>
      <c r="AP317" s="2757"/>
      <c r="AQ317" s="1179"/>
      <c r="AR317" s="1179"/>
      <c r="AS317" s="1179"/>
      <c r="AT317" s="1179"/>
      <c r="AU317" s="1179"/>
      <c r="AV317" s="1179"/>
      <c r="AW317" s="1179"/>
      <c r="AX317" s="3013"/>
      <c r="AY317" s="3851"/>
      <c r="AZ317" s="3851"/>
      <c r="BA317" s="3851"/>
      <c r="BB317" s="3851"/>
      <c r="BC317" s="3851"/>
      <c r="BD317" s="3851"/>
      <c r="BE317" s="3851"/>
      <c r="BF317" s="3851"/>
      <c r="BG317" s="3851"/>
      <c r="BH317" s="3851"/>
    </row>
    <row r="318" spans="1:60" s="2689" customFormat="1" ht="12" customHeight="1">
      <c r="A318" s="3910"/>
      <c r="B318" s="7716" t="s">
        <v>33</v>
      </c>
      <c r="C318" s="7716"/>
      <c r="D318" s="1276" t="s">
        <v>2194</v>
      </c>
      <c r="E318" s="1179"/>
      <c r="F318" s="1179"/>
      <c r="G318" s="1179"/>
      <c r="H318" s="1179"/>
      <c r="I318" s="1179"/>
      <c r="J318" s="1179"/>
      <c r="K318" s="1179"/>
      <c r="L318" s="1179"/>
      <c r="M318" s="1179"/>
      <c r="N318" s="1179"/>
      <c r="O318" s="1179"/>
      <c r="P318" s="2822"/>
      <c r="Q318" s="1276"/>
      <c r="R318" s="1276"/>
      <c r="S318" s="1276"/>
      <c r="T318" s="1276"/>
      <c r="U318" s="1276"/>
      <c r="V318" s="2823"/>
      <c r="W318" s="1276"/>
      <c r="X318" s="1276"/>
      <c r="Y318" s="1276"/>
      <c r="Z318" s="1276"/>
      <c r="AA318" s="1276"/>
      <c r="AB318" s="1276"/>
      <c r="AC318" s="2823"/>
      <c r="AD318" s="1276"/>
      <c r="AE318" s="1276"/>
      <c r="AF318" s="1276"/>
      <c r="AG318" s="1276"/>
      <c r="AH318" s="1276"/>
      <c r="AI318" s="2823"/>
      <c r="AJ318" s="7724"/>
      <c r="AK318" s="6792"/>
      <c r="AL318" s="1582"/>
      <c r="AM318" s="1179"/>
      <c r="AN318" s="1179"/>
      <c r="AO318" s="1179"/>
      <c r="AP318" s="2757"/>
      <c r="AQ318" s="1179"/>
      <c r="AR318" s="1179"/>
      <c r="AS318" s="1179"/>
      <c r="AT318" s="1179"/>
      <c r="AU318" s="1179"/>
      <c r="AV318" s="1179"/>
      <c r="AW318" s="1179"/>
      <c r="AX318" s="3013"/>
      <c r="AY318" s="3851"/>
      <c r="AZ318" s="3851"/>
      <c r="BA318" s="3851"/>
      <c r="BB318" s="3851"/>
      <c r="BC318" s="3851"/>
      <c r="BD318" s="3851"/>
      <c r="BE318" s="3851"/>
      <c r="BF318" s="3851"/>
      <c r="BG318" s="3851"/>
      <c r="BH318" s="3851"/>
    </row>
    <row r="319" spans="1:60" s="2689" customFormat="1" ht="12" customHeight="1">
      <c r="A319" s="3910"/>
      <c r="B319" s="3771"/>
      <c r="C319" s="3771"/>
      <c r="D319" s="1276" t="s">
        <v>2195</v>
      </c>
      <c r="E319" s="1179"/>
      <c r="F319" s="1179"/>
      <c r="G319" s="1179"/>
      <c r="H319" s="1179"/>
      <c r="I319" s="1179"/>
      <c r="J319" s="1179"/>
      <c r="K319" s="1179"/>
      <c r="L319" s="1179"/>
      <c r="M319" s="1179"/>
      <c r="N319" s="1179"/>
      <c r="O319" s="1560" t="s">
        <v>2523</v>
      </c>
      <c r="P319" s="7763"/>
      <c r="Q319" s="7764"/>
      <c r="R319" s="7764"/>
      <c r="S319" s="7764"/>
      <c r="T319" s="7764"/>
      <c r="U319" s="7764"/>
      <c r="V319" s="7765"/>
      <c r="W319" s="7763"/>
      <c r="X319" s="7764"/>
      <c r="Y319" s="7764"/>
      <c r="Z319" s="7764"/>
      <c r="AA319" s="7764"/>
      <c r="AB319" s="7764"/>
      <c r="AC319" s="7765"/>
      <c r="AD319" s="7763"/>
      <c r="AE319" s="7764"/>
      <c r="AF319" s="7764"/>
      <c r="AG319" s="7764"/>
      <c r="AH319" s="7764"/>
      <c r="AI319" s="7765"/>
      <c r="AJ319" s="7724"/>
      <c r="AK319" s="6792"/>
      <c r="AL319" s="1582"/>
      <c r="AM319" s="1179"/>
      <c r="AN319" s="1179"/>
      <c r="AO319" s="1179"/>
      <c r="AP319" s="2757"/>
      <c r="AQ319" s="1179"/>
      <c r="AR319" s="1179"/>
      <c r="AS319" s="1179"/>
      <c r="AT319" s="1179"/>
      <c r="AU319" s="1179"/>
      <c r="AV319" s="1179"/>
      <c r="AW319" s="1179"/>
      <c r="AX319" s="3013"/>
      <c r="AY319" s="3851"/>
      <c r="AZ319" s="3851"/>
      <c r="BA319" s="3851"/>
      <c r="BB319" s="3851"/>
      <c r="BC319" s="3851"/>
      <c r="BD319" s="3851"/>
      <c r="BE319" s="3851"/>
      <c r="BF319" s="3851"/>
      <c r="BG319" s="3851"/>
      <c r="BH319" s="3851"/>
    </row>
    <row r="320" spans="1:60" s="2689" customFormat="1" ht="10.5" customHeight="1">
      <c r="A320" s="3910"/>
      <c r="B320" s="7716" t="s">
        <v>47</v>
      </c>
      <c r="C320" s="7716"/>
      <c r="D320" s="1276" t="s">
        <v>2193</v>
      </c>
      <c r="E320" s="1179"/>
      <c r="F320" s="1179"/>
      <c r="G320" s="1179"/>
      <c r="H320" s="1179"/>
      <c r="I320" s="1179"/>
      <c r="J320" s="1179"/>
      <c r="K320" s="1179"/>
      <c r="L320" s="1179"/>
      <c r="M320" s="1179"/>
      <c r="N320" s="1179"/>
      <c r="O320" s="1560" t="s">
        <v>2514</v>
      </c>
      <c r="P320" s="7763"/>
      <c r="Q320" s="7764"/>
      <c r="R320" s="7764"/>
      <c r="S320" s="7764"/>
      <c r="T320" s="7764"/>
      <c r="U320" s="7764"/>
      <c r="V320" s="7765"/>
      <c r="W320" s="7763"/>
      <c r="X320" s="7764"/>
      <c r="Y320" s="7764"/>
      <c r="Z320" s="7764"/>
      <c r="AA320" s="7764"/>
      <c r="AB320" s="7764"/>
      <c r="AC320" s="7765"/>
      <c r="AD320" s="7763"/>
      <c r="AE320" s="7764"/>
      <c r="AF320" s="7764"/>
      <c r="AG320" s="7764"/>
      <c r="AH320" s="7764"/>
      <c r="AI320" s="7765"/>
      <c r="AJ320" s="7724"/>
      <c r="AK320" s="6792"/>
      <c r="AL320" s="1582"/>
      <c r="AM320" s="1179"/>
      <c r="AN320" s="1179"/>
      <c r="AO320" s="1179"/>
      <c r="AP320" s="2757"/>
      <c r="AQ320" s="1179"/>
      <c r="AR320" s="1179"/>
      <c r="AS320" s="1179"/>
      <c r="AT320" s="1179"/>
      <c r="AU320" s="1179"/>
      <c r="AV320" s="1179"/>
      <c r="AW320" s="1179"/>
      <c r="AX320" s="3013"/>
      <c r="AY320" s="3851"/>
      <c r="AZ320" s="3851"/>
      <c r="BA320" s="3851"/>
      <c r="BB320" s="3851"/>
      <c r="BC320" s="3851"/>
      <c r="BD320" s="3851"/>
      <c r="BE320" s="3851"/>
      <c r="BF320" s="3851"/>
      <c r="BG320" s="3851"/>
      <c r="BH320" s="3851"/>
    </row>
    <row r="321" spans="1:60">
      <c r="A321" s="3910"/>
      <c r="B321" s="7766">
        <v>5</v>
      </c>
      <c r="C321" s="7766"/>
      <c r="D321" s="1276" t="s">
        <v>2196</v>
      </c>
      <c r="E321" s="1179"/>
      <c r="F321" s="1179"/>
      <c r="G321" s="1179"/>
      <c r="H321" s="1179"/>
      <c r="I321" s="1179"/>
      <c r="J321" s="1179"/>
      <c r="K321" s="1179"/>
      <c r="L321" s="1179"/>
      <c r="M321" s="1179"/>
      <c r="N321" s="1179"/>
      <c r="O321" s="1560" t="s">
        <v>1978</v>
      </c>
      <c r="P321" s="7763"/>
      <c r="Q321" s="7764"/>
      <c r="R321" s="7764"/>
      <c r="S321" s="7764"/>
      <c r="T321" s="7764"/>
      <c r="U321" s="7764"/>
      <c r="V321" s="7765"/>
      <c r="W321" s="7763"/>
      <c r="X321" s="7764"/>
      <c r="Y321" s="7764"/>
      <c r="Z321" s="7764"/>
      <c r="AA321" s="7764"/>
      <c r="AB321" s="7764"/>
      <c r="AC321" s="7765"/>
      <c r="AD321" s="7763"/>
      <c r="AE321" s="7764"/>
      <c r="AF321" s="7764"/>
      <c r="AG321" s="7764"/>
      <c r="AH321" s="7764"/>
      <c r="AI321" s="7765"/>
      <c r="AJ321" s="7724"/>
      <c r="AK321" s="6792"/>
      <c r="AL321" s="1582"/>
      <c r="AM321" s="1179"/>
      <c r="AN321" s="1179"/>
      <c r="AO321" s="1179"/>
      <c r="AP321" s="2757"/>
      <c r="AQ321" s="2757"/>
      <c r="AR321" s="2757"/>
      <c r="AS321" s="2757"/>
      <c r="AT321" s="2757"/>
      <c r="AU321" s="2757"/>
      <c r="AV321" s="1179"/>
      <c r="AW321" s="1179"/>
      <c r="AX321" s="3013"/>
      <c r="AY321" s="3851"/>
      <c r="AZ321" s="3851"/>
      <c r="BA321" s="3851"/>
      <c r="BB321" s="3851"/>
      <c r="BC321" s="3851"/>
      <c r="BD321" s="3851"/>
      <c r="BE321" s="3851"/>
      <c r="BF321" s="3851"/>
      <c r="BG321" s="3851"/>
      <c r="BH321" s="3851"/>
    </row>
    <row r="322" spans="1:60" ht="13.5" customHeight="1">
      <c r="A322" s="3910"/>
      <c r="B322" s="7766">
        <v>6</v>
      </c>
      <c r="C322" s="7766"/>
      <c r="D322" s="1276" t="s">
        <v>2197</v>
      </c>
      <c r="E322" s="1179"/>
      <c r="F322" s="1179"/>
      <c r="G322" s="1179"/>
      <c r="H322" s="1179"/>
      <c r="I322" s="1179"/>
      <c r="J322" s="1179"/>
      <c r="K322" s="1179"/>
      <c r="L322" s="1179"/>
      <c r="M322" s="1179"/>
      <c r="N322" s="1179"/>
      <c r="O322" s="1560" t="s">
        <v>1978</v>
      </c>
      <c r="P322" s="7842">
        <f>SUM(P306,P316,P319,P320,P321)</f>
        <v>0</v>
      </c>
      <c r="Q322" s="7843"/>
      <c r="R322" s="7843"/>
      <c r="S322" s="7843"/>
      <c r="T322" s="7843"/>
      <c r="U322" s="7843"/>
      <c r="V322" s="7844"/>
      <c r="W322" s="7842">
        <f>SUM(W306,W316,W319,W320,W321)</f>
        <v>0</v>
      </c>
      <c r="X322" s="7843"/>
      <c r="Y322" s="7843"/>
      <c r="Z322" s="7843"/>
      <c r="AA322" s="7843"/>
      <c r="AB322" s="7843"/>
      <c r="AC322" s="7844"/>
      <c r="AD322" s="7842">
        <f>SUM(AD306,AD316,AD319,AD320,AD321)</f>
        <v>0</v>
      </c>
      <c r="AE322" s="7843"/>
      <c r="AF322" s="7843"/>
      <c r="AG322" s="7843"/>
      <c r="AH322" s="7843"/>
      <c r="AI322" s="7844"/>
      <c r="AJ322" s="7774">
        <v>6</v>
      </c>
      <c r="AK322" s="7089"/>
      <c r="AL322" s="7775" t="str">
        <f>IF(AQ322&lt;&gt;"",ROUND(AQ322,0),IF(AO281=0,"",ROUND(SUM(P322,W322,AD322),0)))</f>
        <v/>
      </c>
      <c r="AM322" s="7776"/>
      <c r="AN322" s="7776"/>
      <c r="AO322" s="7776"/>
      <c r="AP322" s="2757"/>
      <c r="AQ322" s="7752"/>
      <c r="AR322" s="7753"/>
      <c r="AS322" s="7753"/>
      <c r="AT322" s="7753"/>
      <c r="AU322" s="2757"/>
      <c r="AV322" s="1179"/>
      <c r="AW322" s="1179"/>
      <c r="AX322" s="3013"/>
      <c r="AY322" s="3851"/>
      <c r="AZ322" s="3851"/>
      <c r="BA322" s="3851"/>
      <c r="BB322" s="3851"/>
      <c r="BC322" s="3851"/>
      <c r="BD322" s="3851"/>
      <c r="BE322" s="3851"/>
      <c r="BF322" s="3851"/>
      <c r="BG322" s="3851"/>
      <c r="BH322" s="3851"/>
    </row>
    <row r="323" spans="1:60">
      <c r="A323" s="3910"/>
      <c r="B323" s="7840">
        <v>7</v>
      </c>
      <c r="C323" s="7840"/>
      <c r="D323" s="2817" t="s">
        <v>2198</v>
      </c>
      <c r="E323" s="1554"/>
      <c r="F323" s="1554"/>
      <c r="G323" s="1554"/>
      <c r="H323" s="1554"/>
      <c r="I323" s="1554"/>
      <c r="J323" s="1554"/>
      <c r="K323" s="1554"/>
      <c r="L323" s="1554"/>
      <c r="M323" s="1554"/>
      <c r="N323" s="1554"/>
      <c r="O323" s="1554"/>
      <c r="P323" s="1554"/>
      <c r="Q323" s="1554"/>
      <c r="R323" s="1554"/>
      <c r="S323" s="1554"/>
      <c r="T323" s="1554"/>
      <c r="U323" s="1554"/>
      <c r="V323" s="1554"/>
      <c r="W323" s="1554"/>
      <c r="X323" s="1554"/>
      <c r="Y323" s="1554"/>
      <c r="Z323" s="1554"/>
      <c r="AA323" s="1554"/>
      <c r="AB323" s="1554"/>
      <c r="AC323" s="1554"/>
      <c r="AD323" s="1554"/>
      <c r="AE323" s="1554"/>
      <c r="AF323" s="1554"/>
      <c r="AG323" s="1554"/>
      <c r="AH323" s="1554"/>
      <c r="AI323" s="1560" t="s">
        <v>1625</v>
      </c>
      <c r="AJ323" s="7800">
        <v>7</v>
      </c>
      <c r="AK323" s="7841"/>
      <c r="AL323" s="7775" t="str">
        <f>IF(AQ323&lt;&gt;"",ROUND(AQ323,0),IF(AO281=0,"",ROUND(SUM(AL297,-AL322),0)))</f>
        <v/>
      </c>
      <c r="AM323" s="7776"/>
      <c r="AN323" s="7776"/>
      <c r="AO323" s="7776"/>
      <c r="AP323" s="2757"/>
      <c r="AQ323" s="7752"/>
      <c r="AR323" s="7753"/>
      <c r="AS323" s="7753"/>
      <c r="AT323" s="7753"/>
      <c r="AU323" s="2757"/>
      <c r="AV323" s="1179"/>
      <c r="AW323" s="1179"/>
      <c r="AX323" s="3013"/>
      <c r="AY323" s="3851"/>
      <c r="AZ323" s="3851"/>
      <c r="BA323" s="3851"/>
      <c r="BB323" s="3851"/>
      <c r="BC323" s="3851"/>
      <c r="BD323" s="3851"/>
      <c r="BE323" s="3851"/>
      <c r="BF323" s="3851"/>
      <c r="BG323" s="3851"/>
      <c r="BH323" s="3851"/>
    </row>
    <row r="324" spans="1:60" ht="18">
      <c r="A324" s="3912"/>
      <c r="B324" s="7794" t="s">
        <v>118</v>
      </c>
      <c r="C324" s="7794"/>
      <c r="D324" s="7795"/>
      <c r="E324" s="7881" t="s">
        <v>2520</v>
      </c>
      <c r="F324" s="7882"/>
      <c r="G324" s="7882"/>
      <c r="H324" s="7882"/>
      <c r="I324" s="7882"/>
      <c r="J324" s="7882"/>
      <c r="K324" s="7882"/>
      <c r="L324" s="7882"/>
      <c r="M324" s="7882"/>
      <c r="N324" s="7882"/>
      <c r="O324" s="7882"/>
      <c r="P324" s="7882"/>
      <c r="Q324" s="7882"/>
      <c r="R324" s="7882"/>
      <c r="S324" s="7882"/>
      <c r="T324" s="7882"/>
      <c r="U324" s="7882"/>
      <c r="V324" s="7882"/>
      <c r="W324" s="7882"/>
      <c r="X324" s="7882"/>
      <c r="Y324" s="7882"/>
      <c r="Z324" s="7882"/>
      <c r="AA324" s="7882"/>
      <c r="AB324" s="7882"/>
      <c r="AC324" s="7882"/>
      <c r="AD324" s="7882"/>
      <c r="AE324" s="7882"/>
      <c r="AF324" s="7882"/>
      <c r="AG324" s="7882"/>
      <c r="AH324" s="7882"/>
      <c r="AI324" s="7882"/>
      <c r="AJ324" s="7882"/>
      <c r="AK324" s="7882"/>
      <c r="AL324" s="7882"/>
      <c r="AM324" s="7882"/>
      <c r="AN324" s="7882"/>
      <c r="AO324" s="7882"/>
      <c r="AP324" s="2757"/>
      <c r="AQ324" s="2757"/>
      <c r="AR324" s="2757"/>
      <c r="AS324" s="2757"/>
      <c r="AT324" s="2757"/>
      <c r="AU324" s="2757"/>
      <c r="AV324" s="1540"/>
      <c r="AW324" s="1540"/>
      <c r="AX324" s="3013"/>
      <c r="AY324" s="3851"/>
      <c r="AZ324" s="3851"/>
      <c r="BA324" s="3851"/>
      <c r="BB324" s="3851"/>
      <c r="BC324" s="3851"/>
      <c r="BD324" s="3851"/>
      <c r="BE324" s="3851"/>
      <c r="BF324" s="3851"/>
      <c r="BG324" s="3851"/>
      <c r="BH324" s="3851"/>
    </row>
    <row r="325" spans="1:60" ht="13.5" customHeight="1">
      <c r="A325" s="3912"/>
      <c r="B325" s="7883" t="s">
        <v>2207</v>
      </c>
      <c r="C325" s="7886" t="s">
        <v>2521</v>
      </c>
      <c r="D325" s="7325"/>
      <c r="E325" s="7325"/>
      <c r="F325" s="7325"/>
      <c r="G325" s="7326"/>
      <c r="H325" s="7887" t="s">
        <v>2240</v>
      </c>
      <c r="I325" s="7888"/>
      <c r="J325" s="7888"/>
      <c r="K325" s="7888"/>
      <c r="L325" s="7888"/>
      <c r="M325" s="7888"/>
      <c r="N325" s="7888"/>
      <c r="O325" s="7888"/>
      <c r="P325" s="7888"/>
      <c r="Q325" s="7888"/>
      <c r="R325" s="7888"/>
      <c r="S325" s="7888"/>
      <c r="T325" s="7888"/>
      <c r="U325" s="7888"/>
      <c r="V325" s="7888"/>
      <c r="W325" s="7888"/>
      <c r="X325" s="7888"/>
      <c r="Y325" s="7888"/>
      <c r="Z325" s="7888"/>
      <c r="AA325" s="7888"/>
      <c r="AB325" s="7888"/>
      <c r="AC325" s="7888"/>
      <c r="AD325" s="7888"/>
      <c r="AE325" s="7888"/>
      <c r="AF325" s="7888"/>
      <c r="AG325" s="7888"/>
      <c r="AH325" s="7888"/>
      <c r="AI325" s="7888"/>
      <c r="AJ325" s="7888"/>
      <c r="AK325" s="7888"/>
      <c r="AL325" s="7888"/>
      <c r="AM325" s="7888"/>
      <c r="AN325" s="7888"/>
      <c r="AO325" s="7888"/>
      <c r="AP325" s="2757"/>
      <c r="AQ325" s="1540"/>
      <c r="AR325" s="1540"/>
      <c r="AS325" s="1540"/>
      <c r="AT325" s="1540"/>
      <c r="AU325" s="1540"/>
      <c r="AV325" s="1540"/>
      <c r="AW325" s="1540"/>
      <c r="AX325" s="3013"/>
      <c r="AY325" s="3851"/>
      <c r="AZ325" s="3851"/>
      <c r="BA325" s="3851"/>
      <c r="BB325" s="3851"/>
      <c r="BC325" s="3851"/>
      <c r="BD325" s="3851"/>
      <c r="BE325" s="3851"/>
      <c r="BF325" s="3851"/>
      <c r="BG325" s="3851"/>
      <c r="BH325" s="3851"/>
    </row>
    <row r="326" spans="1:60" ht="13.5" customHeight="1">
      <c r="A326" s="3912"/>
      <c r="B326" s="7884"/>
      <c r="C326" s="7262"/>
      <c r="D326" s="7263"/>
      <c r="E326" s="7263"/>
      <c r="F326" s="7263"/>
      <c r="G326" s="7130"/>
      <c r="H326" s="7889"/>
      <c r="I326" s="7890"/>
      <c r="J326" s="7890"/>
      <c r="K326" s="7890"/>
      <c r="L326" s="7890"/>
      <c r="M326" s="7890"/>
      <c r="N326" s="7890"/>
      <c r="O326" s="7890"/>
      <c r="P326" s="7890"/>
      <c r="Q326" s="7890"/>
      <c r="R326" s="7890"/>
      <c r="S326" s="7890"/>
      <c r="T326" s="7890"/>
      <c r="U326" s="7890"/>
      <c r="V326" s="7890"/>
      <c r="W326" s="7890"/>
      <c r="X326" s="7890"/>
      <c r="Y326" s="7890"/>
      <c r="Z326" s="7890"/>
      <c r="AA326" s="7890"/>
      <c r="AB326" s="7890"/>
      <c r="AC326" s="7890"/>
      <c r="AD326" s="7890"/>
      <c r="AE326" s="7890"/>
      <c r="AF326" s="7890"/>
      <c r="AG326" s="7890"/>
      <c r="AH326" s="7890"/>
      <c r="AI326" s="7890"/>
      <c r="AJ326" s="7890"/>
      <c r="AK326" s="7890"/>
      <c r="AL326" s="7890"/>
      <c r="AM326" s="7890"/>
      <c r="AN326" s="7890"/>
      <c r="AO326" s="7890"/>
      <c r="AP326" s="2757"/>
      <c r="AQ326" s="1540"/>
      <c r="AR326" s="1540"/>
      <c r="AS326" s="1540"/>
      <c r="AT326" s="1540"/>
      <c r="AU326" s="1540"/>
      <c r="AV326" s="1540"/>
      <c r="AW326" s="1540"/>
      <c r="AX326" s="3013"/>
      <c r="AY326" s="3851"/>
      <c r="AZ326" s="3851"/>
      <c r="BA326" s="3851"/>
      <c r="BB326" s="3851"/>
      <c r="BC326" s="3851"/>
      <c r="BD326" s="3851"/>
      <c r="BE326" s="3851"/>
      <c r="BF326" s="3851"/>
      <c r="BG326" s="3851"/>
      <c r="BH326" s="3851"/>
    </row>
    <row r="327" spans="1:60" ht="6.75" customHeight="1">
      <c r="A327" s="3912"/>
      <c r="B327" s="7884"/>
      <c r="C327" s="7262"/>
      <c r="D327" s="7263"/>
      <c r="E327" s="7263"/>
      <c r="F327" s="7263"/>
      <c r="G327" s="7130"/>
      <c r="H327" s="7891"/>
      <c r="I327" s="7892"/>
      <c r="J327" s="7892"/>
      <c r="K327" s="7892"/>
      <c r="L327" s="7892"/>
      <c r="M327" s="7892"/>
      <c r="N327" s="7892"/>
      <c r="O327" s="7892"/>
      <c r="P327" s="7892"/>
      <c r="Q327" s="7892"/>
      <c r="R327" s="7892"/>
      <c r="S327" s="7892"/>
      <c r="T327" s="7892"/>
      <c r="U327" s="7892"/>
      <c r="V327" s="7892"/>
      <c r="W327" s="7892"/>
      <c r="X327" s="7892"/>
      <c r="Y327" s="7892"/>
      <c r="Z327" s="7892"/>
      <c r="AA327" s="7892"/>
      <c r="AB327" s="7892"/>
      <c r="AC327" s="7892"/>
      <c r="AD327" s="7892"/>
      <c r="AE327" s="7892"/>
      <c r="AF327" s="7892"/>
      <c r="AG327" s="7892"/>
      <c r="AH327" s="7892"/>
      <c r="AI327" s="7892"/>
      <c r="AJ327" s="7892"/>
      <c r="AK327" s="7892"/>
      <c r="AL327" s="7892"/>
      <c r="AM327" s="7892"/>
      <c r="AN327" s="7892"/>
      <c r="AO327" s="7892"/>
      <c r="AP327" s="2757"/>
      <c r="AQ327" s="1540"/>
      <c r="AR327" s="1540"/>
      <c r="AS327" s="1540"/>
      <c r="AT327" s="1540"/>
      <c r="AU327" s="1540"/>
      <c r="AV327" s="1540"/>
      <c r="AW327" s="1540"/>
      <c r="AX327" s="3013"/>
      <c r="AY327" s="3851"/>
      <c r="AZ327" s="3851"/>
      <c r="BA327" s="3851"/>
      <c r="BB327" s="3851"/>
      <c r="BC327" s="3851"/>
      <c r="BD327" s="3851"/>
      <c r="BE327" s="3851"/>
      <c r="BF327" s="3851"/>
      <c r="BG327" s="3851"/>
      <c r="BH327" s="3851"/>
    </row>
    <row r="328" spans="1:60" ht="11.25" customHeight="1">
      <c r="A328" s="3912"/>
      <c r="B328" s="7884"/>
      <c r="C328" s="2810">
        <f>IF(E328&lt;&gt;"",1,0)</f>
        <v>1</v>
      </c>
      <c r="D328" s="1824" t="s">
        <v>2495</v>
      </c>
      <c r="E328" s="1182" t="s">
        <v>1262</v>
      </c>
      <c r="F328" s="1857" t="s">
        <v>2205</v>
      </c>
      <c r="G328" s="2796"/>
      <c r="H328" s="7241" t="s">
        <v>2238</v>
      </c>
      <c r="I328" s="7242"/>
      <c r="J328" s="7242"/>
      <c r="K328" s="7242"/>
      <c r="L328" s="7242"/>
      <c r="M328" s="7242"/>
      <c r="N328" s="7242"/>
      <c r="O328" s="7242"/>
      <c r="P328" s="7242"/>
      <c r="Q328" s="7242"/>
      <c r="R328" s="7242"/>
      <c r="S328" s="7242"/>
      <c r="T328" s="7242"/>
      <c r="U328" s="7242"/>
      <c r="V328" s="7242"/>
      <c r="W328" s="7243"/>
      <c r="X328" s="7241" t="s">
        <v>2239</v>
      </c>
      <c r="Y328" s="7226"/>
      <c r="Z328" s="7226"/>
      <c r="AA328" s="7226"/>
      <c r="AB328" s="7226"/>
      <c r="AC328" s="7226"/>
      <c r="AD328" s="7226"/>
      <c r="AE328" s="7226"/>
      <c r="AF328" s="7226"/>
      <c r="AG328" s="7226"/>
      <c r="AH328" s="7226"/>
      <c r="AI328" s="7226"/>
      <c r="AJ328" s="7226"/>
      <c r="AK328" s="7226"/>
      <c r="AL328" s="7226"/>
      <c r="AM328" s="7226"/>
      <c r="AN328" s="7226"/>
      <c r="AO328" s="7226"/>
      <c r="AP328" s="2757"/>
      <c r="AQ328" s="1540"/>
      <c r="AR328" s="1540"/>
      <c r="AS328" s="1540"/>
      <c r="AT328" s="1540"/>
      <c r="AU328" s="1540"/>
      <c r="AV328" s="1540"/>
      <c r="AW328" s="1540"/>
      <c r="AX328" s="3013"/>
      <c r="AY328" s="3851"/>
      <c r="AZ328" s="3851"/>
      <c r="BA328" s="3851"/>
      <c r="BB328" s="3851"/>
      <c r="BC328" s="3851"/>
      <c r="BD328" s="3851"/>
      <c r="BE328" s="3851"/>
      <c r="BF328" s="3851"/>
      <c r="BG328" s="3851"/>
      <c r="BH328" s="3851"/>
    </row>
    <row r="329" spans="1:60" ht="6.75" customHeight="1">
      <c r="A329" s="3910"/>
      <c r="B329" s="7884"/>
      <c r="C329" s="2811"/>
      <c r="D329" s="1276"/>
      <c r="E329" s="1179"/>
      <c r="F329" s="1179"/>
      <c r="G329" s="1583"/>
      <c r="H329" s="7247"/>
      <c r="I329" s="7248"/>
      <c r="J329" s="7248"/>
      <c r="K329" s="7248"/>
      <c r="L329" s="7248"/>
      <c r="M329" s="7248"/>
      <c r="N329" s="7248"/>
      <c r="O329" s="7248"/>
      <c r="P329" s="7248"/>
      <c r="Q329" s="7248"/>
      <c r="R329" s="7248"/>
      <c r="S329" s="7248"/>
      <c r="T329" s="7248"/>
      <c r="U329" s="7248"/>
      <c r="V329" s="7248"/>
      <c r="W329" s="7249"/>
      <c r="X329" s="7893"/>
      <c r="Y329" s="7894"/>
      <c r="Z329" s="7894"/>
      <c r="AA329" s="7894"/>
      <c r="AB329" s="7894"/>
      <c r="AC329" s="7894"/>
      <c r="AD329" s="7894"/>
      <c r="AE329" s="7894"/>
      <c r="AF329" s="7894"/>
      <c r="AG329" s="7894"/>
      <c r="AH329" s="7894"/>
      <c r="AI329" s="7894"/>
      <c r="AJ329" s="7894"/>
      <c r="AK329" s="7894"/>
      <c r="AL329" s="7894"/>
      <c r="AM329" s="7894"/>
      <c r="AN329" s="7894"/>
      <c r="AO329" s="7894"/>
      <c r="AP329" s="2757"/>
      <c r="AQ329" s="1179"/>
      <c r="AR329" s="1179"/>
      <c r="AS329" s="1179"/>
      <c r="AT329" s="1179"/>
      <c r="AU329" s="1179"/>
      <c r="AV329" s="1179"/>
      <c r="AW329" s="1179"/>
      <c r="AX329" s="3013"/>
      <c r="AY329" s="3851"/>
      <c r="AZ329" s="3851"/>
      <c r="BA329" s="3851"/>
      <c r="BB329" s="3851"/>
      <c r="BC329" s="3851"/>
      <c r="BD329" s="3851"/>
      <c r="BE329" s="3851"/>
      <c r="BF329" s="3851"/>
      <c r="BG329" s="3851"/>
      <c r="BH329" s="3851"/>
    </row>
    <row r="330" spans="1:60" ht="12" customHeight="1">
      <c r="A330" s="3910"/>
      <c r="B330" s="7884"/>
      <c r="C330" s="2810">
        <f>IF(E330&lt;&gt;"",1,0)</f>
        <v>0</v>
      </c>
      <c r="D330" s="1444" t="s">
        <v>2496</v>
      </c>
      <c r="E330" s="1182"/>
      <c r="F330" s="1857" t="s">
        <v>2199</v>
      </c>
      <c r="G330" s="2798"/>
      <c r="H330" s="7324" t="s">
        <v>2201</v>
      </c>
      <c r="I330" s="7325"/>
      <c r="J330" s="7325"/>
      <c r="K330" s="7325"/>
      <c r="L330" s="7325"/>
      <c r="M330" s="7325"/>
      <c r="N330" s="7325"/>
      <c r="O330" s="7325"/>
      <c r="P330" s="7325"/>
      <c r="Q330" s="7325"/>
      <c r="R330" s="7325"/>
      <c r="S330" s="7326"/>
      <c r="T330" s="7324" t="s">
        <v>2501</v>
      </c>
      <c r="U330" s="7325"/>
      <c r="V330" s="7325"/>
      <c r="W330" s="7326"/>
      <c r="X330" s="7324" t="s">
        <v>2201</v>
      </c>
      <c r="Y330" s="7325"/>
      <c r="Z330" s="7325"/>
      <c r="AA330" s="7325"/>
      <c r="AB330" s="7325"/>
      <c r="AC330" s="7325"/>
      <c r="AD330" s="7325"/>
      <c r="AE330" s="7325"/>
      <c r="AF330" s="7325"/>
      <c r="AG330" s="7325"/>
      <c r="AH330" s="7326"/>
      <c r="AI330" s="7324" t="s">
        <v>2505</v>
      </c>
      <c r="AJ330" s="7325"/>
      <c r="AK330" s="7325"/>
      <c r="AL330" s="7326"/>
      <c r="AM330" s="7324" t="s">
        <v>2518</v>
      </c>
      <c r="AN330" s="7895"/>
      <c r="AO330" s="7895"/>
      <c r="AP330" s="2757"/>
      <c r="AQ330" s="1179"/>
      <c r="AR330" s="1179"/>
      <c r="AS330" s="1179"/>
      <c r="AT330" s="1179"/>
      <c r="AU330" s="1179"/>
      <c r="AV330" s="1179"/>
      <c r="AW330" s="1179"/>
      <c r="AX330" s="3013"/>
      <c r="AY330" s="3851"/>
      <c r="AZ330" s="3851"/>
      <c r="BA330" s="3851"/>
      <c r="BB330" s="3851"/>
      <c r="BC330" s="3851"/>
      <c r="BD330" s="3851"/>
      <c r="BE330" s="3851"/>
      <c r="BF330" s="3851"/>
      <c r="BG330" s="3851"/>
      <c r="BH330" s="3851"/>
    </row>
    <row r="331" spans="1:60" ht="6.75" customHeight="1">
      <c r="A331" s="3910"/>
      <c r="B331" s="7885"/>
      <c r="C331" s="2799"/>
      <c r="D331" s="1570"/>
      <c r="E331" s="1570"/>
      <c r="F331" s="1570"/>
      <c r="G331" s="2800"/>
      <c r="H331" s="7330"/>
      <c r="I331" s="7331"/>
      <c r="J331" s="7331"/>
      <c r="K331" s="7331"/>
      <c r="L331" s="7331"/>
      <c r="M331" s="7331"/>
      <c r="N331" s="7331"/>
      <c r="O331" s="7331"/>
      <c r="P331" s="7331"/>
      <c r="Q331" s="7331"/>
      <c r="R331" s="7331"/>
      <c r="S331" s="7332"/>
      <c r="T331" s="7327"/>
      <c r="U331" s="7328"/>
      <c r="V331" s="7328"/>
      <c r="W331" s="7329"/>
      <c r="X331" s="7330"/>
      <c r="Y331" s="7331"/>
      <c r="Z331" s="7331"/>
      <c r="AA331" s="7331"/>
      <c r="AB331" s="7331"/>
      <c r="AC331" s="7331"/>
      <c r="AD331" s="7331"/>
      <c r="AE331" s="7331"/>
      <c r="AF331" s="7331"/>
      <c r="AG331" s="7331"/>
      <c r="AH331" s="7332"/>
      <c r="AI331" s="7327"/>
      <c r="AJ331" s="7328"/>
      <c r="AK331" s="7328"/>
      <c r="AL331" s="7329"/>
      <c r="AM331" s="7896"/>
      <c r="AN331" s="7897"/>
      <c r="AO331" s="7897"/>
      <c r="AP331" s="2757"/>
      <c r="AQ331" s="1179"/>
      <c r="AR331" s="1179"/>
      <c r="AS331" s="1179"/>
      <c r="AT331" s="1179"/>
      <c r="AU331" s="1179"/>
      <c r="AV331" s="1179"/>
      <c r="AW331" s="1179"/>
      <c r="AX331" s="3013"/>
      <c r="AY331" s="3851"/>
      <c r="AZ331" s="3851"/>
      <c r="BA331" s="3851"/>
      <c r="BB331" s="3851"/>
      <c r="BC331" s="3851"/>
      <c r="BD331" s="3851"/>
      <c r="BE331" s="3851"/>
      <c r="BF331" s="3851"/>
      <c r="BG331" s="3851"/>
      <c r="BH331" s="3851"/>
    </row>
    <row r="332" spans="1:60" ht="15">
      <c r="A332" s="3910"/>
      <c r="B332" s="2795"/>
      <c r="C332" s="7900" t="str">
        <f>C202</f>
        <v>(l) Date paid</v>
      </c>
      <c r="D332" s="7901"/>
      <c r="E332" s="7901"/>
      <c r="F332" s="7901"/>
      <c r="G332" s="7902"/>
      <c r="H332" s="7324" t="s">
        <v>2498</v>
      </c>
      <c r="I332" s="7325"/>
      <c r="J332" s="7325"/>
      <c r="K332" s="7324" t="s">
        <v>2499</v>
      </c>
      <c r="L332" s="7325"/>
      <c r="M332" s="7325"/>
      <c r="N332" s="7325"/>
      <c r="O332" s="7324" t="s">
        <v>2500</v>
      </c>
      <c r="P332" s="7325"/>
      <c r="Q332" s="7325"/>
      <c r="R332" s="7325"/>
      <c r="S332" s="7820"/>
      <c r="T332" s="7327"/>
      <c r="U332" s="7328"/>
      <c r="V332" s="7328"/>
      <c r="W332" s="7329"/>
      <c r="X332" s="7324" t="s">
        <v>2502</v>
      </c>
      <c r="Y332" s="7325"/>
      <c r="Z332" s="7325"/>
      <c r="AA332" s="7324" t="s">
        <v>2503</v>
      </c>
      <c r="AB332" s="7325"/>
      <c r="AC332" s="7325"/>
      <c r="AD332" s="7325"/>
      <c r="AE332" s="7324" t="s">
        <v>2504</v>
      </c>
      <c r="AF332" s="7819"/>
      <c r="AG332" s="7819"/>
      <c r="AH332" s="7820"/>
      <c r="AI332" s="7327"/>
      <c r="AJ332" s="7328"/>
      <c r="AK332" s="7328"/>
      <c r="AL332" s="7329"/>
      <c r="AM332" s="7896"/>
      <c r="AN332" s="7897"/>
      <c r="AO332" s="7897"/>
      <c r="AP332" s="2757"/>
      <c r="AQ332" s="1179"/>
      <c r="AR332" s="1179"/>
      <c r="AS332" s="1179"/>
      <c r="AT332" s="1179"/>
      <c r="AU332" s="1179"/>
      <c r="AV332" s="1179"/>
      <c r="AW332" s="1179"/>
      <c r="AX332" s="3013"/>
      <c r="AY332" s="3851"/>
      <c r="AZ332" s="3851"/>
      <c r="BA332" s="3851"/>
      <c r="BB332" s="3851"/>
      <c r="BC332" s="3851"/>
      <c r="BD332" s="3851"/>
      <c r="BE332" s="3851"/>
      <c r="BF332" s="3851"/>
      <c r="BG332" s="3851"/>
      <c r="BH332" s="3851"/>
    </row>
    <row r="333" spans="1:60" ht="6" customHeight="1">
      <c r="A333" s="3910"/>
      <c r="B333" s="2795"/>
      <c r="C333" s="7903"/>
      <c r="D333" s="7904"/>
      <c r="E333" s="7904"/>
      <c r="F333" s="7904"/>
      <c r="G333" s="7905"/>
      <c r="H333" s="7327"/>
      <c r="I333" s="7328"/>
      <c r="J333" s="7328"/>
      <c r="K333" s="7327"/>
      <c r="L333" s="7328"/>
      <c r="M333" s="7328"/>
      <c r="N333" s="7328"/>
      <c r="O333" s="7327"/>
      <c r="P333" s="7328"/>
      <c r="Q333" s="7328"/>
      <c r="R333" s="7328"/>
      <c r="S333" s="7823"/>
      <c r="T333" s="7327"/>
      <c r="U333" s="7328"/>
      <c r="V333" s="7328"/>
      <c r="W333" s="7329"/>
      <c r="X333" s="7327"/>
      <c r="Y333" s="7328"/>
      <c r="Z333" s="7328"/>
      <c r="AA333" s="7327"/>
      <c r="AB333" s="7328"/>
      <c r="AC333" s="7328"/>
      <c r="AD333" s="7328"/>
      <c r="AE333" s="7821"/>
      <c r="AF333" s="7822"/>
      <c r="AG333" s="7822"/>
      <c r="AH333" s="7823"/>
      <c r="AI333" s="7327"/>
      <c r="AJ333" s="7328"/>
      <c r="AK333" s="7328"/>
      <c r="AL333" s="7329"/>
      <c r="AM333" s="7896"/>
      <c r="AN333" s="7897"/>
      <c r="AO333" s="7897"/>
      <c r="AP333" s="2757"/>
      <c r="AQ333" s="1179"/>
      <c r="AR333" s="1179"/>
      <c r="AS333" s="1179"/>
      <c r="AT333" s="1179"/>
      <c r="AU333" s="1179"/>
      <c r="AV333" s="1179"/>
      <c r="AW333" s="1179"/>
      <c r="AX333" s="3013"/>
      <c r="AY333" s="3851"/>
      <c r="AZ333" s="3851"/>
      <c r="BA333" s="3851"/>
      <c r="BB333" s="3851"/>
      <c r="BC333" s="3851"/>
      <c r="BD333" s="3851"/>
      <c r="BE333" s="3851"/>
      <c r="BF333" s="3851"/>
      <c r="BG333" s="3851"/>
      <c r="BH333" s="3851"/>
    </row>
    <row r="334" spans="1:60" ht="18" customHeight="1">
      <c r="A334" s="3910"/>
      <c r="B334" s="2795"/>
      <c r="C334" s="7906" t="s">
        <v>2200</v>
      </c>
      <c r="D334" s="7907"/>
      <c r="E334" s="7907"/>
      <c r="F334" s="7907"/>
      <c r="G334" s="7908"/>
      <c r="H334" s="7327"/>
      <c r="I334" s="7328"/>
      <c r="J334" s="7328"/>
      <c r="K334" s="7327"/>
      <c r="L334" s="7328"/>
      <c r="M334" s="7328"/>
      <c r="N334" s="7328"/>
      <c r="O334" s="7327"/>
      <c r="P334" s="7328"/>
      <c r="Q334" s="7328"/>
      <c r="R334" s="7328"/>
      <c r="S334" s="7823"/>
      <c r="T334" s="7327"/>
      <c r="U334" s="7328"/>
      <c r="V334" s="7328"/>
      <c r="W334" s="7329"/>
      <c r="X334" s="7327"/>
      <c r="Y334" s="7328"/>
      <c r="Z334" s="7328"/>
      <c r="AA334" s="7327"/>
      <c r="AB334" s="7328"/>
      <c r="AC334" s="7328"/>
      <c r="AD334" s="7328"/>
      <c r="AE334" s="7821"/>
      <c r="AF334" s="7822"/>
      <c r="AG334" s="7822"/>
      <c r="AH334" s="7823"/>
      <c r="AI334" s="7327"/>
      <c r="AJ334" s="7328"/>
      <c r="AK334" s="7328"/>
      <c r="AL334" s="7329"/>
      <c r="AM334" s="7896"/>
      <c r="AN334" s="7897"/>
      <c r="AO334" s="7897"/>
      <c r="AP334" s="2757"/>
      <c r="AQ334" s="1179"/>
      <c r="AR334" s="1179"/>
      <c r="AS334" s="1179"/>
      <c r="AT334" s="1179"/>
      <c r="AU334" s="1179"/>
      <c r="AV334" s="1179"/>
      <c r="AW334" s="1179"/>
      <c r="AX334" s="3013"/>
      <c r="AY334" s="3851"/>
      <c r="AZ334" s="3851"/>
      <c r="BA334" s="3851"/>
      <c r="BB334" s="3851"/>
      <c r="BC334" s="3851"/>
      <c r="BD334" s="3851"/>
      <c r="BE334" s="3851"/>
      <c r="BF334" s="3851"/>
      <c r="BG334" s="3851"/>
      <c r="BH334" s="3851"/>
    </row>
    <row r="335" spans="1:60" s="2689" customFormat="1" ht="16.5" customHeight="1">
      <c r="A335" s="3910"/>
      <c r="B335" s="2797"/>
      <c r="C335" s="2801"/>
      <c r="D335" s="2782"/>
      <c r="E335" s="2782"/>
      <c r="F335" s="2782"/>
      <c r="G335" s="2802"/>
      <c r="H335" s="7330"/>
      <c r="I335" s="7331"/>
      <c r="J335" s="7331"/>
      <c r="K335" s="7330"/>
      <c r="L335" s="7331"/>
      <c r="M335" s="7331"/>
      <c r="N335" s="7331"/>
      <c r="O335" s="7909"/>
      <c r="P335" s="7825"/>
      <c r="Q335" s="7825"/>
      <c r="R335" s="7825"/>
      <c r="S335" s="7826"/>
      <c r="T335" s="7330"/>
      <c r="U335" s="7331"/>
      <c r="V335" s="7331"/>
      <c r="W335" s="7332"/>
      <c r="X335" s="7330"/>
      <c r="Y335" s="7331"/>
      <c r="Z335" s="7331"/>
      <c r="AA335" s="7330"/>
      <c r="AB335" s="7331"/>
      <c r="AC335" s="7331"/>
      <c r="AD335" s="7331"/>
      <c r="AE335" s="7824"/>
      <c r="AF335" s="7825"/>
      <c r="AG335" s="7825"/>
      <c r="AH335" s="7826"/>
      <c r="AI335" s="7330"/>
      <c r="AJ335" s="7331"/>
      <c r="AK335" s="7331"/>
      <c r="AL335" s="7332"/>
      <c r="AM335" s="7898"/>
      <c r="AN335" s="7899"/>
      <c r="AO335" s="7899"/>
      <c r="AP335" s="2757"/>
      <c r="AQ335" s="1179"/>
      <c r="AR335" s="1179"/>
      <c r="AS335" s="1179"/>
      <c r="AT335" s="1179"/>
      <c r="AU335" s="1179"/>
      <c r="AV335" s="1179"/>
      <c r="AW335" s="1179"/>
      <c r="AX335" s="3013"/>
      <c r="AY335" s="3851"/>
      <c r="AZ335" s="3851"/>
      <c r="BA335" s="3851"/>
      <c r="BB335" s="3851"/>
      <c r="BC335" s="3851"/>
      <c r="BD335" s="3851"/>
      <c r="BE335" s="3851"/>
      <c r="BF335" s="3851"/>
      <c r="BG335" s="3851"/>
      <c r="BH335" s="3851"/>
    </row>
    <row r="336" spans="1:60" ht="15.75" customHeight="1">
      <c r="A336" s="3970">
        <f>SUM(X336:AL336)</f>
        <v>0</v>
      </c>
      <c r="B336" s="2744" t="s">
        <v>143</v>
      </c>
      <c r="C336" s="7709"/>
      <c r="D336" s="7710"/>
      <c r="E336" s="7710"/>
      <c r="F336" s="7710"/>
      <c r="G336" s="7711"/>
      <c r="H336" s="7704"/>
      <c r="I336" s="7705"/>
      <c r="J336" s="7706"/>
      <c r="K336" s="7705"/>
      <c r="L336" s="7707"/>
      <c r="M336" s="7707"/>
      <c r="N336" s="7707"/>
      <c r="O336" s="7704"/>
      <c r="P336" s="7705"/>
      <c r="Q336" s="7705"/>
      <c r="R336" s="7705"/>
      <c r="S336" s="7706"/>
      <c r="T336" s="7704"/>
      <c r="U336" s="7705"/>
      <c r="V336" s="7705"/>
      <c r="W336" s="7706"/>
      <c r="X336" s="7704"/>
      <c r="Y336" s="7707"/>
      <c r="Z336" s="7708"/>
      <c r="AA336" s="7705"/>
      <c r="AB336" s="7705"/>
      <c r="AC336" s="7705"/>
      <c r="AD336" s="7706"/>
      <c r="AE336" s="7704"/>
      <c r="AF336" s="7705"/>
      <c r="AG336" s="7705"/>
      <c r="AH336" s="7706"/>
      <c r="AI336" s="7704"/>
      <c r="AJ336" s="7705"/>
      <c r="AK336" s="7705"/>
      <c r="AL336" s="7706"/>
      <c r="AM336" s="7818">
        <f>ROUND(SUM(X336:AL336),0)</f>
        <v>0</v>
      </c>
      <c r="AN336" s="7818"/>
      <c r="AO336" s="7818"/>
      <c r="AP336" s="2757"/>
      <c r="AQ336" s="1179"/>
      <c r="AR336" s="1179"/>
      <c r="AS336" s="1179"/>
      <c r="AT336" s="1179"/>
      <c r="AU336" s="1179"/>
      <c r="AV336" s="1179"/>
      <c r="AW336" s="1179"/>
      <c r="AX336" s="3013"/>
      <c r="AY336" s="3851"/>
      <c r="AZ336" s="3851"/>
      <c r="BA336" s="3851"/>
      <c r="BB336" s="3851"/>
      <c r="BC336" s="3851"/>
      <c r="BD336" s="3851"/>
      <c r="BE336" s="3851"/>
      <c r="BF336" s="3851"/>
      <c r="BG336" s="3851"/>
      <c r="BH336" s="3851"/>
    </row>
    <row r="337" spans="1:60" ht="14.25" customHeight="1">
      <c r="A337" s="3970">
        <f>SUM(X337:AL337)</f>
        <v>0</v>
      </c>
      <c r="B337" s="2744" t="s">
        <v>288</v>
      </c>
      <c r="C337" s="7709"/>
      <c r="D337" s="7710"/>
      <c r="E337" s="7710"/>
      <c r="F337" s="7710"/>
      <c r="G337" s="7711"/>
      <c r="H337" s="7704"/>
      <c r="I337" s="7705"/>
      <c r="J337" s="7706"/>
      <c r="K337" s="7705"/>
      <c r="L337" s="7707"/>
      <c r="M337" s="7707"/>
      <c r="N337" s="7707"/>
      <c r="O337" s="7704"/>
      <c r="P337" s="7705"/>
      <c r="Q337" s="7705"/>
      <c r="R337" s="7705"/>
      <c r="S337" s="7706"/>
      <c r="T337" s="7704"/>
      <c r="U337" s="7705"/>
      <c r="V337" s="7705"/>
      <c r="W337" s="7706"/>
      <c r="X337" s="7704"/>
      <c r="Y337" s="7707"/>
      <c r="Z337" s="7708"/>
      <c r="AA337" s="7705"/>
      <c r="AB337" s="7705"/>
      <c r="AC337" s="7705"/>
      <c r="AD337" s="7706"/>
      <c r="AE337" s="7704"/>
      <c r="AF337" s="7705"/>
      <c r="AG337" s="7705"/>
      <c r="AH337" s="7706"/>
      <c r="AI337" s="7704"/>
      <c r="AJ337" s="7705"/>
      <c r="AK337" s="7705"/>
      <c r="AL337" s="7706"/>
      <c r="AM337" s="7818">
        <f>ROUND(SUM(X337:AL337),0)</f>
        <v>0</v>
      </c>
      <c r="AN337" s="7818"/>
      <c r="AO337" s="7818"/>
      <c r="AP337" s="2757"/>
      <c r="AQ337" s="1179"/>
      <c r="AR337" s="1179"/>
      <c r="AS337" s="1179"/>
      <c r="AT337" s="1179"/>
      <c r="AU337" s="1179"/>
      <c r="AV337" s="1179"/>
      <c r="AW337" s="1179"/>
      <c r="AX337" s="3013"/>
      <c r="AY337" s="3851"/>
      <c r="AZ337" s="3851"/>
      <c r="BA337" s="3851"/>
      <c r="BB337" s="3851"/>
      <c r="BC337" s="3851"/>
      <c r="BD337" s="3851"/>
      <c r="BE337" s="3851"/>
      <c r="BF337" s="3851"/>
      <c r="BG337" s="3851"/>
      <c r="BH337" s="3851"/>
    </row>
    <row r="338" spans="1:60" ht="15.75">
      <c r="A338" s="3970">
        <f>SUM(X338:AL338)</f>
        <v>0</v>
      </c>
      <c r="B338" s="2744" t="s">
        <v>144</v>
      </c>
      <c r="C338" s="7709"/>
      <c r="D338" s="7710"/>
      <c r="E338" s="7710"/>
      <c r="F338" s="7710"/>
      <c r="G338" s="7711"/>
      <c r="H338" s="7704"/>
      <c r="I338" s="7705"/>
      <c r="J338" s="7706"/>
      <c r="K338" s="7705"/>
      <c r="L338" s="7707"/>
      <c r="M338" s="7707"/>
      <c r="N338" s="7707"/>
      <c r="O338" s="7704"/>
      <c r="P338" s="7705"/>
      <c r="Q338" s="7705"/>
      <c r="R338" s="7705"/>
      <c r="S338" s="7706"/>
      <c r="T338" s="7704"/>
      <c r="U338" s="7705"/>
      <c r="V338" s="7705"/>
      <c r="W338" s="7706"/>
      <c r="X338" s="7704"/>
      <c r="Y338" s="7707"/>
      <c r="Z338" s="7708"/>
      <c r="AA338" s="7705"/>
      <c r="AB338" s="7705"/>
      <c r="AC338" s="7705"/>
      <c r="AD338" s="7706"/>
      <c r="AE338" s="7704"/>
      <c r="AF338" s="7705"/>
      <c r="AG338" s="7705"/>
      <c r="AH338" s="7706"/>
      <c r="AI338" s="7704"/>
      <c r="AJ338" s="7705"/>
      <c r="AK338" s="7705"/>
      <c r="AL338" s="7706"/>
      <c r="AM338" s="7818">
        <f>ROUND(SUM(X338:AL338),0)</f>
        <v>0</v>
      </c>
      <c r="AN338" s="7818"/>
      <c r="AO338" s="7818"/>
      <c r="AP338" s="2757"/>
      <c r="AQ338" s="2757"/>
      <c r="AR338" s="2757"/>
      <c r="AS338" s="2757"/>
      <c r="AT338" s="2757"/>
      <c r="AU338" s="2757"/>
      <c r="AV338" s="1179"/>
      <c r="AW338" s="1179"/>
      <c r="AX338" s="3013"/>
      <c r="AY338" s="3851"/>
      <c r="AZ338" s="3851"/>
      <c r="BA338" s="3851"/>
      <c r="BB338" s="3851"/>
      <c r="BC338" s="3851"/>
      <c r="BD338" s="3851"/>
      <c r="BE338" s="3851"/>
      <c r="BF338" s="3851"/>
      <c r="BG338" s="3851"/>
      <c r="BH338" s="3851"/>
    </row>
    <row r="339" spans="1:60" ht="13.5" customHeight="1">
      <c r="A339" s="3916" t="b">
        <f>SUM(A336:A338)&gt;0</f>
        <v>0</v>
      </c>
      <c r="B339" s="7877">
        <v>8</v>
      </c>
      <c r="C339" s="7877"/>
      <c r="D339" s="2807" t="s">
        <v>2506</v>
      </c>
      <c r="E339" s="1554"/>
      <c r="F339" s="1554"/>
      <c r="G339" s="1554"/>
      <c r="H339" s="1554"/>
      <c r="I339" s="1554"/>
      <c r="J339" s="1554"/>
      <c r="K339" s="1554"/>
      <c r="L339" s="1554"/>
      <c r="M339" s="1554"/>
      <c r="N339" s="1554"/>
      <c r="O339" s="1554"/>
      <c r="P339" s="1554"/>
      <c r="Q339" s="1554"/>
      <c r="R339" s="1554"/>
      <c r="S339" s="1554"/>
      <c r="T339" s="1554"/>
      <c r="U339" s="1554"/>
      <c r="V339" s="1554"/>
      <c r="W339" s="1554"/>
      <c r="X339" s="1554"/>
      <c r="Y339" s="1554"/>
      <c r="Z339" s="1554"/>
      <c r="AA339" s="1554"/>
      <c r="AB339" s="1554"/>
      <c r="AC339" s="1554"/>
      <c r="AD339" s="1554"/>
      <c r="AE339" s="1554"/>
      <c r="AF339" s="1554"/>
      <c r="AG339" s="1554"/>
      <c r="AH339" s="1554"/>
      <c r="AI339" s="1554"/>
      <c r="AJ339" s="3777" t="s">
        <v>2514</v>
      </c>
      <c r="AK339" s="7800">
        <v>8</v>
      </c>
      <c r="AL339" s="7841"/>
      <c r="AM339" s="7878">
        <f>IF(AQ339&lt;&gt;"",ROUND(AQ339,0),ROUND(SUM(AM336:AO338),0))</f>
        <v>0</v>
      </c>
      <c r="AN339" s="7879"/>
      <c r="AO339" s="7879"/>
      <c r="AP339" s="2757"/>
      <c r="AQ339" s="7847"/>
      <c r="AR339" s="7848"/>
      <c r="AS339" s="7848"/>
      <c r="AT339" s="7848"/>
      <c r="AU339" s="2757"/>
      <c r="AV339" s="1179"/>
      <c r="AW339" s="1179"/>
      <c r="AX339" s="3013"/>
      <c r="AY339" s="3851"/>
      <c r="AZ339" s="3851"/>
      <c r="BA339" s="3851"/>
      <c r="BB339" s="3851"/>
      <c r="BC339" s="3851"/>
      <c r="BD339" s="3851"/>
      <c r="BE339" s="3851"/>
      <c r="BF339" s="3851"/>
      <c r="BG339" s="3851"/>
      <c r="BH339" s="3851"/>
    </row>
    <row r="340" spans="1:60" ht="13.5" customHeight="1">
      <c r="A340" s="3910"/>
      <c r="B340" s="2703" t="s">
        <v>2204</v>
      </c>
      <c r="C340" s="2701"/>
      <c r="D340" s="1179"/>
      <c r="E340" s="1179"/>
      <c r="F340" s="1179"/>
      <c r="G340" s="1179"/>
      <c r="H340" s="1179"/>
      <c r="I340" s="1179"/>
      <c r="J340" s="1179"/>
      <c r="K340" s="1179"/>
      <c r="L340" s="1179"/>
      <c r="M340" s="1179"/>
      <c r="N340" s="1179"/>
      <c r="O340" s="1179"/>
      <c r="P340" s="1179"/>
      <c r="Q340" s="1179"/>
      <c r="R340" s="1179"/>
      <c r="S340" s="1179"/>
      <c r="T340" s="1179"/>
      <c r="U340" s="1179"/>
      <c r="V340" s="1179"/>
      <c r="W340" s="1179"/>
      <c r="X340" s="1276" t="s">
        <v>2203</v>
      </c>
      <c r="Y340" s="1179"/>
      <c r="Z340" s="1179"/>
      <c r="AA340" s="1179"/>
      <c r="AB340" s="1179"/>
      <c r="AC340" s="1179"/>
      <c r="AD340" s="1179"/>
      <c r="AE340" s="1179"/>
      <c r="AF340" s="1179"/>
      <c r="AG340" s="1179"/>
      <c r="AH340" s="1179"/>
      <c r="AI340" s="1179"/>
      <c r="AJ340" s="1179"/>
      <c r="AK340" s="2065"/>
      <c r="AL340" s="1179"/>
      <c r="AM340" s="2065"/>
      <c r="AN340" s="2065" t="s">
        <v>2202</v>
      </c>
      <c r="AO340" s="1927" t="str">
        <f>"("&amp;TaxYear&amp;")"</f>
        <v>(2021)</v>
      </c>
      <c r="AP340" s="2757"/>
      <c r="AQ340" s="2757"/>
      <c r="AR340" s="2757"/>
      <c r="AS340" s="2757"/>
      <c r="AT340" s="2757"/>
      <c r="AU340" s="2757"/>
      <c r="AV340" s="1179"/>
      <c r="AW340" s="1179"/>
      <c r="AX340" s="3013"/>
      <c r="AY340" s="3851"/>
      <c r="AZ340" s="3851"/>
      <c r="BA340" s="3851"/>
      <c r="BB340" s="3851"/>
      <c r="BC340" s="3851"/>
      <c r="BD340" s="3851"/>
      <c r="BE340" s="3851"/>
      <c r="BF340" s="3851"/>
      <c r="BG340" s="3851"/>
      <c r="BH340" s="3851"/>
    </row>
    <row r="341" spans="1:60" ht="13.5" customHeight="1" thickBot="1">
      <c r="A341" s="3910"/>
      <c r="B341" s="1704" t="str">
        <f>"Form 1116 ("&amp;TaxYear&amp;")"</f>
        <v>Form 1116 (2021)</v>
      </c>
      <c r="C341" s="1280"/>
      <c r="D341" s="1280"/>
      <c r="E341" s="1280"/>
      <c r="F341" s="1280"/>
      <c r="G341" s="1280"/>
      <c r="H341" s="1280"/>
      <c r="I341" s="1280"/>
      <c r="J341" s="1280"/>
      <c r="K341" s="1280"/>
      <c r="L341" s="1280"/>
      <c r="M341" s="1280"/>
      <c r="N341" s="1280"/>
      <c r="O341" s="1280"/>
      <c r="P341" s="1280"/>
      <c r="Q341" s="1280"/>
      <c r="R341" s="1280"/>
      <c r="S341" s="1280"/>
      <c r="T341" s="1280"/>
      <c r="U341" s="1280"/>
      <c r="V341" s="1280"/>
      <c r="W341" s="1280"/>
      <c r="X341" s="1280"/>
      <c r="Y341" s="1280"/>
      <c r="Z341" s="1280"/>
      <c r="AA341" s="1280"/>
      <c r="AB341" s="1280"/>
      <c r="AC341" s="1280"/>
      <c r="AD341" s="1280"/>
      <c r="AE341" s="1280"/>
      <c r="AF341" s="1280"/>
      <c r="AG341" s="1280"/>
      <c r="AH341" s="1280"/>
      <c r="AI341" s="1280"/>
      <c r="AJ341" s="1280"/>
      <c r="AK341" s="1280"/>
      <c r="AL341" s="1280"/>
      <c r="AM341" s="1280"/>
      <c r="AN341" s="1280"/>
      <c r="AO341" s="2743" t="s">
        <v>160</v>
      </c>
      <c r="AP341" s="2757"/>
      <c r="AQ341" s="1179"/>
      <c r="AR341" s="1179"/>
      <c r="AS341" s="1179"/>
      <c r="AT341" s="1179"/>
      <c r="AU341" s="1179"/>
      <c r="AV341" s="1179"/>
      <c r="AW341" s="1179"/>
      <c r="AX341" s="3013"/>
      <c r="AY341" s="3851"/>
      <c r="AZ341" s="3851"/>
      <c r="BA341" s="3851"/>
      <c r="BB341" s="3851"/>
      <c r="BC341" s="3851"/>
      <c r="BD341" s="3851"/>
      <c r="BE341" s="3851"/>
      <c r="BF341" s="3851"/>
      <c r="BG341" s="3851"/>
      <c r="BH341" s="3851"/>
    </row>
    <row r="342" spans="1:60" ht="15.75">
      <c r="A342" s="3912"/>
      <c r="B342" s="7854" t="s">
        <v>319</v>
      </c>
      <c r="C342" s="7854"/>
      <c r="D342" s="7855"/>
      <c r="E342" s="2690"/>
      <c r="F342" s="2778" t="s">
        <v>2214</v>
      </c>
      <c r="G342" s="2690"/>
      <c r="H342" s="2690"/>
      <c r="I342" s="2690"/>
      <c r="J342" s="2690"/>
      <c r="K342" s="2690"/>
      <c r="L342" s="2690"/>
      <c r="M342" s="2690"/>
      <c r="N342" s="2690"/>
      <c r="O342" s="2690"/>
      <c r="P342" s="2690"/>
      <c r="Q342" s="2690"/>
      <c r="R342" s="2690"/>
      <c r="S342" s="2690"/>
      <c r="T342" s="2690"/>
      <c r="U342" s="2690"/>
      <c r="V342" s="2690"/>
      <c r="W342" s="2690"/>
      <c r="X342" s="2690"/>
      <c r="Y342" s="2690"/>
      <c r="Z342" s="2690"/>
      <c r="AA342" s="2690"/>
      <c r="AB342" s="2690"/>
      <c r="AC342" s="2690"/>
      <c r="AD342" s="2690"/>
      <c r="AE342" s="2690"/>
      <c r="AF342" s="2690"/>
      <c r="AG342" s="2690"/>
      <c r="AH342" s="2690"/>
      <c r="AI342" s="2690"/>
      <c r="AJ342" s="2690"/>
      <c r="AK342" s="2690"/>
      <c r="AL342" s="2690"/>
      <c r="AM342" s="2690"/>
      <c r="AN342" s="2690"/>
      <c r="AO342" s="2690"/>
      <c r="AP342" s="2757"/>
      <c r="AQ342" s="1540"/>
      <c r="AR342" s="1540"/>
      <c r="AS342" s="1540"/>
      <c r="AT342" s="1540"/>
      <c r="AU342" s="1540"/>
      <c r="AV342" s="1540"/>
      <c r="AW342" s="1540"/>
      <c r="AX342" s="3013"/>
      <c r="AY342" s="3851"/>
      <c r="AZ342" s="3851"/>
      <c r="BA342" s="3851"/>
      <c r="BB342" s="3851"/>
      <c r="BC342" s="3851"/>
      <c r="BD342" s="3851"/>
      <c r="BE342" s="3851"/>
      <c r="BF342" s="3851"/>
      <c r="BG342" s="3851"/>
      <c r="BH342" s="3851"/>
    </row>
    <row r="343" spans="1:60" ht="13.5" customHeight="1">
      <c r="A343" s="3910"/>
      <c r="B343" s="7880">
        <v>9</v>
      </c>
      <c r="C343" s="7880"/>
      <c r="D343" s="1179" t="s">
        <v>2215</v>
      </c>
      <c r="E343" s="1179"/>
      <c r="F343" s="2686"/>
      <c r="G343" s="1179"/>
      <c r="H343" s="1179"/>
      <c r="I343" s="1179"/>
      <c r="J343" s="1179"/>
      <c r="K343" s="1179"/>
      <c r="L343" s="1179"/>
      <c r="M343" s="1179"/>
      <c r="N343" s="1179"/>
      <c r="O343" s="1179"/>
      <c r="P343" s="1179"/>
      <c r="Q343" s="1179"/>
      <c r="R343" s="1179"/>
      <c r="S343" s="1179"/>
      <c r="T343" s="1179"/>
      <c r="U343" s="1179"/>
      <c r="V343" s="1179"/>
      <c r="W343" s="1179"/>
      <c r="X343" s="1179"/>
      <c r="Y343" s="1179"/>
      <c r="Z343" s="7872"/>
      <c r="AA343" s="7873"/>
      <c r="AB343" s="1581"/>
      <c r="AC343" s="1574"/>
      <c r="AD343" s="1574"/>
      <c r="AE343" s="1574"/>
      <c r="AF343" s="1574"/>
      <c r="AG343" s="1574"/>
      <c r="AH343" s="1574"/>
      <c r="AI343" s="1575"/>
      <c r="AJ343" s="7724"/>
      <c r="AK343" s="7770"/>
      <c r="AL343" s="1581"/>
      <c r="AM343" s="1574"/>
      <c r="AN343" s="1574"/>
      <c r="AO343" s="1574"/>
      <c r="AP343" s="2757"/>
      <c r="AQ343" s="1179"/>
      <c r="AR343" s="1179"/>
      <c r="AS343" s="1179"/>
      <c r="AT343" s="1179"/>
      <c r="AU343" s="1179"/>
      <c r="AV343" s="1179"/>
      <c r="AW343" s="1179"/>
      <c r="AX343" s="3013"/>
      <c r="AY343" s="3851"/>
      <c r="AZ343" s="3851"/>
      <c r="BA343" s="3851"/>
      <c r="BB343" s="3851"/>
      <c r="BC343" s="3851"/>
      <c r="BD343" s="3851"/>
      <c r="BE343" s="3851"/>
      <c r="BF343" s="3851"/>
      <c r="BG343" s="3851"/>
      <c r="BH343" s="3851"/>
    </row>
    <row r="344" spans="1:60" ht="13.5" customHeight="1">
      <c r="A344" s="3910"/>
      <c r="B344" s="1179"/>
      <c r="C344" s="1179"/>
      <c r="D344" s="1179" t="s">
        <v>2216</v>
      </c>
      <c r="E344" s="1179"/>
      <c r="F344" s="2686"/>
      <c r="G344" s="1179"/>
      <c r="H344" s="1179"/>
      <c r="I344" s="1179"/>
      <c r="J344" s="1179"/>
      <c r="K344" s="1179"/>
      <c r="L344" s="1179"/>
      <c r="M344" s="1179"/>
      <c r="N344" s="1179"/>
      <c r="O344" s="1179"/>
      <c r="P344" s="1179"/>
      <c r="Q344" s="1179"/>
      <c r="R344" s="1179"/>
      <c r="S344" s="1179"/>
      <c r="T344" s="1179"/>
      <c r="U344" s="1179"/>
      <c r="V344" s="1179"/>
      <c r="W344" s="1179"/>
      <c r="X344" s="1179"/>
      <c r="Y344" s="1560" t="s">
        <v>2415</v>
      </c>
      <c r="Z344" s="7729">
        <v>9</v>
      </c>
      <c r="AA344" s="7730"/>
      <c r="AB344" s="7736">
        <f>AM339</f>
        <v>0</v>
      </c>
      <c r="AC344" s="7737"/>
      <c r="AD344" s="7737"/>
      <c r="AE344" s="7737"/>
      <c r="AF344" s="7737"/>
      <c r="AG344" s="7737"/>
      <c r="AH344" s="7737"/>
      <c r="AI344" s="7738"/>
      <c r="AJ344" s="7724"/>
      <c r="AK344" s="7770"/>
      <c r="AL344" s="1582"/>
      <c r="AM344" s="1179"/>
      <c r="AN344" s="1179"/>
      <c r="AO344" s="1179"/>
      <c r="AP344" s="2757"/>
      <c r="AQ344" s="1179"/>
      <c r="AR344" s="1179"/>
      <c r="AS344" s="1179"/>
      <c r="AT344" s="1179"/>
      <c r="AU344" s="1179"/>
      <c r="AV344" s="1179"/>
      <c r="AW344" s="1179"/>
      <c r="AX344" s="3013"/>
      <c r="AY344" s="3851"/>
      <c r="AZ344" s="3851"/>
      <c r="BA344" s="3851"/>
      <c r="BB344" s="3851"/>
      <c r="BC344" s="3851"/>
      <c r="BD344" s="3851"/>
      <c r="BE344" s="3851"/>
      <c r="BF344" s="3851"/>
      <c r="BG344" s="3851"/>
      <c r="BH344" s="3851"/>
    </row>
    <row r="345" spans="1:60" ht="13.5" customHeight="1">
      <c r="A345" s="3910"/>
      <c r="B345" s="7728"/>
      <c r="C345" s="7728"/>
      <c r="D345" s="1179"/>
      <c r="E345" s="1179"/>
      <c r="F345" s="2686"/>
      <c r="G345" s="1179"/>
      <c r="H345" s="1179"/>
      <c r="I345" s="1179"/>
      <c r="J345" s="1179"/>
      <c r="K345" s="1179"/>
      <c r="L345" s="1179"/>
      <c r="M345" s="1179"/>
      <c r="N345" s="1179"/>
      <c r="O345" s="1179"/>
      <c r="P345" s="1179"/>
      <c r="Q345" s="1179"/>
      <c r="R345" s="1179"/>
      <c r="S345" s="1179"/>
      <c r="T345" s="1179"/>
      <c r="U345" s="1179"/>
      <c r="V345" s="1179"/>
      <c r="W345" s="1179"/>
      <c r="X345" s="1179"/>
      <c r="Y345" s="1179"/>
      <c r="Z345" s="7872"/>
      <c r="AA345" s="7873"/>
      <c r="AB345" s="1581"/>
      <c r="AC345" s="1574"/>
      <c r="AD345" s="1574"/>
      <c r="AE345" s="1574"/>
      <c r="AF345" s="1574"/>
      <c r="AG345" s="1574"/>
      <c r="AH345" s="1574"/>
      <c r="AI345" s="1575"/>
      <c r="AJ345" s="7724"/>
      <c r="AK345" s="7770"/>
      <c r="AL345" s="1582"/>
      <c r="AM345" s="1179"/>
      <c r="AN345" s="1179"/>
      <c r="AO345" s="1179"/>
      <c r="AP345" s="2757"/>
      <c r="AQ345" s="1179"/>
      <c r="AR345" s="1179"/>
      <c r="AS345" s="1179"/>
      <c r="AT345" s="1179"/>
      <c r="AU345" s="1179"/>
      <c r="AV345" s="1179"/>
      <c r="AW345" s="1179"/>
      <c r="AX345" s="3013"/>
      <c r="AY345" s="3851"/>
      <c r="AZ345" s="3851"/>
      <c r="BA345" s="3851"/>
      <c r="BB345" s="3851"/>
      <c r="BC345" s="3851"/>
      <c r="BD345" s="3851"/>
      <c r="BE345" s="3851"/>
      <c r="BF345" s="3851"/>
      <c r="BG345" s="3851"/>
      <c r="BH345" s="3851"/>
    </row>
    <row r="346" spans="1:60" ht="13.5" customHeight="1" thickBot="1">
      <c r="A346" s="3910"/>
      <c r="B346" s="7728">
        <v>10</v>
      </c>
      <c r="C346" s="7728"/>
      <c r="D346" s="1276" t="s">
        <v>2236</v>
      </c>
      <c r="E346" s="1179"/>
      <c r="F346" s="2686"/>
      <c r="G346" s="1179"/>
      <c r="H346" s="1179"/>
      <c r="I346" s="1179"/>
      <c r="J346" s="1179"/>
      <c r="K346" s="1179"/>
      <c r="L346" s="1179"/>
      <c r="M346" s="1179"/>
      <c r="N346" s="1179"/>
      <c r="O346" s="1179"/>
      <c r="P346" s="1179"/>
      <c r="Q346" s="1179"/>
      <c r="R346" s="1179"/>
      <c r="S346" s="1179"/>
      <c r="T346" s="1179"/>
      <c r="U346" s="1179"/>
      <c r="V346" s="1179"/>
      <c r="W346" s="1179"/>
      <c r="X346" s="1179"/>
      <c r="Y346" s="1560" t="s">
        <v>2514</v>
      </c>
      <c r="Z346" s="7857">
        <v>10</v>
      </c>
      <c r="AA346" s="7858"/>
      <c r="AB346" s="7874"/>
      <c r="AC346" s="7875"/>
      <c r="AD346" s="7875"/>
      <c r="AE346" s="7875"/>
      <c r="AF346" s="7875"/>
      <c r="AG346" s="7875"/>
      <c r="AH346" s="7875"/>
      <c r="AI346" s="7876"/>
      <c r="AJ346" s="7724"/>
      <c r="AK346" s="7770"/>
      <c r="AL346" s="1582"/>
      <c r="AM346" s="1179"/>
      <c r="AN346" s="1179"/>
      <c r="AO346" s="1179"/>
      <c r="AP346" s="2757"/>
      <c r="AQ346" s="1179"/>
      <c r="AR346" s="1179"/>
      <c r="AS346" s="1179"/>
      <c r="AT346" s="1179"/>
      <c r="AU346" s="1179"/>
      <c r="AV346" s="1179"/>
      <c r="AW346" s="1179"/>
      <c r="AX346" s="3013"/>
      <c r="AY346" s="3851"/>
      <c r="AZ346" s="3851"/>
      <c r="BA346" s="3851"/>
      <c r="BB346" s="3851"/>
      <c r="BC346" s="3851"/>
      <c r="BD346" s="3851"/>
      <c r="BE346" s="3851"/>
      <c r="BF346" s="3851"/>
      <c r="BG346" s="3851"/>
      <c r="BH346" s="3851"/>
    </row>
    <row r="347" spans="1:60" ht="13.5" customHeight="1">
      <c r="A347" s="3910"/>
      <c r="B347" s="3767"/>
      <c r="C347" s="3767"/>
      <c r="D347" s="1276" t="s">
        <v>2507</v>
      </c>
      <c r="E347" s="1179"/>
      <c r="F347" s="2686"/>
      <c r="G347" s="1179"/>
      <c r="H347" s="1179"/>
      <c r="I347" s="1179"/>
      <c r="J347" s="1179"/>
      <c r="K347" s="1179"/>
      <c r="L347" s="1179"/>
      <c r="M347" s="1179"/>
      <c r="N347" s="1179"/>
      <c r="O347" s="1179"/>
      <c r="P347" s="1179"/>
      <c r="Q347" s="1179"/>
      <c r="R347" s="1179"/>
      <c r="S347" s="1179"/>
      <c r="T347" s="1179"/>
      <c r="U347" s="1179"/>
      <c r="V347" s="1179"/>
      <c r="W347" s="1179"/>
      <c r="X347" s="1179"/>
      <c r="Y347" s="1179"/>
      <c r="Z347" s="7804"/>
      <c r="AA347" s="7831"/>
      <c r="AB347" s="1582"/>
      <c r="AC347" s="1179"/>
      <c r="AD347" s="1179"/>
      <c r="AE347" s="1179"/>
      <c r="AF347" s="1179"/>
      <c r="AG347" s="1179"/>
      <c r="AH347" s="1179"/>
      <c r="AI347" s="1583"/>
      <c r="AJ347" s="7724"/>
      <c r="AK347" s="7770"/>
      <c r="AL347" s="1582"/>
      <c r="AM347" s="1179"/>
      <c r="AN347" s="1179"/>
      <c r="AO347" s="1179"/>
      <c r="AP347" s="2757"/>
      <c r="AQ347" s="1179"/>
      <c r="AR347" s="1179"/>
      <c r="AS347" s="1179"/>
      <c r="AT347" s="1179"/>
      <c r="AU347" s="1179"/>
      <c r="AV347" s="1179"/>
      <c r="AW347" s="1179"/>
      <c r="AX347" s="3013"/>
      <c r="AY347" s="3851"/>
      <c r="AZ347" s="3851"/>
      <c r="BA347" s="3851"/>
      <c r="BB347" s="3851"/>
      <c r="BC347" s="3851"/>
      <c r="BD347" s="3851"/>
      <c r="BE347" s="3851"/>
      <c r="BF347" s="3851"/>
      <c r="BG347" s="3851"/>
      <c r="BH347" s="3851"/>
    </row>
    <row r="348" spans="1:60" ht="18" customHeight="1">
      <c r="A348" s="3910"/>
      <c r="B348" s="7728"/>
      <c r="C348" s="7728"/>
      <c r="D348" s="1276" t="s">
        <v>2508</v>
      </c>
      <c r="E348" s="1179"/>
      <c r="F348" s="2686"/>
      <c r="G348" s="1179"/>
      <c r="H348" s="1179"/>
      <c r="I348" s="1179"/>
      <c r="J348" s="1179"/>
      <c r="K348" s="1179"/>
      <c r="L348" s="1179"/>
      <c r="M348" s="1179"/>
      <c r="N348" s="1179"/>
      <c r="O348" s="1179"/>
      <c r="P348" s="1179"/>
      <c r="Q348" s="1179"/>
      <c r="R348" s="1179"/>
      <c r="S348" s="1179"/>
      <c r="T348" s="1179"/>
      <c r="U348" s="1179"/>
      <c r="V348" s="1179"/>
      <c r="W348" s="1179"/>
      <c r="X348" s="1179"/>
      <c r="Y348" s="1179"/>
      <c r="Z348" s="7804"/>
      <c r="AA348" s="7831"/>
      <c r="AB348" s="1582"/>
      <c r="AC348" s="1179"/>
      <c r="AD348" s="1179"/>
      <c r="AE348" s="1179"/>
      <c r="AF348" s="1179"/>
      <c r="AG348" s="1179"/>
      <c r="AH348" s="1179"/>
      <c r="AI348" s="1583"/>
      <c r="AJ348" s="7724"/>
      <c r="AK348" s="7770"/>
      <c r="AL348" s="1582"/>
      <c r="AM348" s="1179"/>
      <c r="AN348" s="1179"/>
      <c r="AO348" s="1179"/>
      <c r="AP348" s="2757"/>
      <c r="AQ348" s="1179"/>
      <c r="AR348" s="1179"/>
      <c r="AS348" s="1179"/>
      <c r="AT348" s="1179"/>
      <c r="AU348" s="1179"/>
      <c r="AV348" s="1179"/>
      <c r="AW348" s="1179"/>
      <c r="AX348" s="3013"/>
      <c r="AY348" s="3851"/>
      <c r="AZ348" s="3851"/>
      <c r="BA348" s="3851"/>
      <c r="BB348" s="3851"/>
      <c r="BC348" s="3851"/>
      <c r="BD348" s="3851"/>
      <c r="BE348" s="3851"/>
      <c r="BF348" s="3851"/>
      <c r="BG348" s="3851"/>
      <c r="BH348" s="3851"/>
    </row>
    <row r="349" spans="1:60" ht="13.5" customHeight="1">
      <c r="A349" s="3910"/>
      <c r="B349" s="7728">
        <v>11</v>
      </c>
      <c r="C349" s="7728"/>
      <c r="D349" s="1179" t="s">
        <v>1901</v>
      </c>
      <c r="E349" s="1179"/>
      <c r="F349" s="2686"/>
      <c r="G349" s="1179"/>
      <c r="H349" s="1179"/>
      <c r="I349" s="1179"/>
      <c r="J349" s="1179"/>
      <c r="K349" s="1179"/>
      <c r="L349" s="1179"/>
      <c r="M349" s="1179"/>
      <c r="N349" s="1179"/>
      <c r="O349" s="1179"/>
      <c r="P349" s="1179"/>
      <c r="Q349" s="1179"/>
      <c r="R349" s="1179"/>
      <c r="S349" s="1179"/>
      <c r="T349" s="1179"/>
      <c r="U349" s="1179"/>
      <c r="V349" s="1179"/>
      <c r="W349" s="1179"/>
      <c r="X349" s="1179"/>
      <c r="Y349" s="1560" t="s">
        <v>2883</v>
      </c>
      <c r="Z349" s="7729">
        <v>11</v>
      </c>
      <c r="AA349" s="7730"/>
      <c r="AB349" s="7736">
        <f>ROUND(SUM(AB344,AB346),0)</f>
        <v>0</v>
      </c>
      <c r="AC349" s="7737"/>
      <c r="AD349" s="7737"/>
      <c r="AE349" s="7737"/>
      <c r="AF349" s="7737"/>
      <c r="AG349" s="7737"/>
      <c r="AH349" s="7737"/>
      <c r="AI349" s="7738"/>
      <c r="AJ349" s="7724"/>
      <c r="AK349" s="7770"/>
      <c r="AL349" s="1582"/>
      <c r="AM349" s="1179"/>
      <c r="AN349" s="1179"/>
      <c r="AO349" s="1179"/>
      <c r="AP349" s="2757"/>
      <c r="AQ349" s="1179"/>
      <c r="AR349" s="1179"/>
      <c r="AS349" s="1179"/>
      <c r="AT349" s="1179"/>
      <c r="AU349" s="1179"/>
      <c r="AV349" s="1179"/>
      <c r="AW349" s="1179"/>
      <c r="AX349" s="3013"/>
      <c r="AY349" s="3851"/>
      <c r="AZ349" s="3851"/>
      <c r="BA349" s="3851"/>
      <c r="BB349" s="3851"/>
      <c r="BC349" s="3851"/>
      <c r="BD349" s="3851"/>
      <c r="BE349" s="3851"/>
      <c r="BF349" s="3851"/>
      <c r="BG349" s="3851"/>
      <c r="BH349" s="3851"/>
    </row>
    <row r="350" spans="1:60" ht="13.5" customHeight="1">
      <c r="A350" s="3910"/>
      <c r="B350" s="7728"/>
      <c r="C350" s="7728"/>
      <c r="D350" s="1179"/>
      <c r="E350" s="1179"/>
      <c r="F350" s="2686"/>
      <c r="G350" s="1179"/>
      <c r="H350" s="1179"/>
      <c r="I350" s="1179"/>
      <c r="J350" s="1179"/>
      <c r="K350" s="1179"/>
      <c r="L350" s="1179"/>
      <c r="M350" s="1179"/>
      <c r="N350" s="1179"/>
      <c r="O350" s="1179"/>
      <c r="P350" s="1179"/>
      <c r="Q350" s="1179"/>
      <c r="R350" s="1179"/>
      <c r="S350" s="1179"/>
      <c r="T350" s="1179"/>
      <c r="U350" s="1179"/>
      <c r="V350" s="1179"/>
      <c r="W350" s="1179"/>
      <c r="X350" s="1179"/>
      <c r="Y350" s="1179"/>
      <c r="Z350" s="7872"/>
      <c r="AA350" s="7873"/>
      <c r="AB350" s="1581"/>
      <c r="AC350" s="1574"/>
      <c r="AD350" s="1574"/>
      <c r="AE350" s="1574"/>
      <c r="AF350" s="1574"/>
      <c r="AG350" s="1574"/>
      <c r="AH350" s="1574"/>
      <c r="AI350" s="1575"/>
      <c r="AJ350" s="7724"/>
      <c r="AK350" s="7770"/>
      <c r="AL350" s="7784" t="str">
        <f>IF(AB351&gt;0,"Line 12 cannot be","")</f>
        <v/>
      </c>
      <c r="AM350" s="7785"/>
      <c r="AN350" s="7785"/>
      <c r="AO350" s="7785"/>
      <c r="AP350" s="2757"/>
      <c r="AQ350" s="1179"/>
      <c r="AR350" s="1179"/>
      <c r="AS350" s="1179"/>
      <c r="AT350" s="1179"/>
      <c r="AU350" s="1179"/>
      <c r="AV350" s="1179"/>
      <c r="AW350" s="1179"/>
      <c r="AX350" s="3013"/>
      <c r="AY350" s="3851"/>
      <c r="AZ350" s="3851"/>
      <c r="BA350" s="3851"/>
      <c r="BB350" s="3851"/>
      <c r="BC350" s="3851"/>
      <c r="BD350" s="3851"/>
      <c r="BE350" s="3851"/>
      <c r="BF350" s="3851"/>
      <c r="BG350" s="3851"/>
      <c r="BH350" s="3851"/>
    </row>
    <row r="351" spans="1:60" ht="13.5" customHeight="1">
      <c r="A351" s="3910"/>
      <c r="B351" s="7728">
        <v>12</v>
      </c>
      <c r="C351" s="7728"/>
      <c r="D351" s="1276" t="s">
        <v>2217</v>
      </c>
      <c r="E351" s="1179"/>
      <c r="F351" s="2686"/>
      <c r="G351" s="1179"/>
      <c r="H351" s="1179"/>
      <c r="I351" s="1179"/>
      <c r="J351" s="1179"/>
      <c r="K351" s="1179"/>
      <c r="L351" s="1179"/>
      <c r="M351" s="1179"/>
      <c r="N351" s="1179"/>
      <c r="O351" s="1179"/>
      <c r="P351" s="1179"/>
      <c r="Q351" s="1179"/>
      <c r="R351" s="1179"/>
      <c r="S351" s="1179"/>
      <c r="T351" s="1179"/>
      <c r="U351" s="1179"/>
      <c r="V351" s="1179"/>
      <c r="W351" s="1179"/>
      <c r="X351" s="1179"/>
      <c r="Y351" s="1560" t="s">
        <v>2401</v>
      </c>
      <c r="Z351" s="7729">
        <v>12</v>
      </c>
      <c r="AA351" s="7730"/>
      <c r="AB351" s="7767"/>
      <c r="AC351" s="7768"/>
      <c r="AD351" s="7768"/>
      <c r="AE351" s="7768"/>
      <c r="AF351" s="7768"/>
      <c r="AG351" s="7768"/>
      <c r="AH351" s="7768"/>
      <c r="AI351" s="7769"/>
      <c r="AJ351" s="7724"/>
      <c r="AK351" s="7770"/>
      <c r="AL351" s="7784" t="str">
        <f>IF(AB351&gt;0,"a positive number.","")</f>
        <v/>
      </c>
      <c r="AM351" s="7785"/>
      <c r="AN351" s="7785"/>
      <c r="AO351" s="7785"/>
      <c r="AP351" s="2757"/>
      <c r="AQ351" s="1179"/>
      <c r="AR351" s="1179"/>
      <c r="AS351" s="1179"/>
      <c r="AT351" s="1179"/>
      <c r="AU351" s="1179"/>
      <c r="AV351" s="1179"/>
      <c r="AW351" s="1179"/>
      <c r="AX351" s="3013"/>
      <c r="AY351" s="3851"/>
      <c r="AZ351" s="3851"/>
      <c r="BA351" s="3851"/>
      <c r="BB351" s="3851"/>
      <c r="BC351" s="3851"/>
      <c r="BD351" s="3851"/>
      <c r="BE351" s="3851"/>
      <c r="BF351" s="3851"/>
      <c r="BG351" s="3851"/>
      <c r="BH351" s="3851"/>
    </row>
    <row r="352" spans="1:60" ht="18" customHeight="1">
      <c r="A352" s="3910"/>
      <c r="B352" s="7728"/>
      <c r="C352" s="7728"/>
      <c r="D352" s="1179"/>
      <c r="E352" s="1179"/>
      <c r="F352" s="2686"/>
      <c r="G352" s="1179"/>
      <c r="H352" s="1179"/>
      <c r="I352" s="1179"/>
      <c r="J352" s="1179"/>
      <c r="K352" s="1179"/>
      <c r="L352" s="1179"/>
      <c r="M352" s="1179"/>
      <c r="N352" s="1179"/>
      <c r="O352" s="1179"/>
      <c r="P352" s="1179"/>
      <c r="Q352" s="1179"/>
      <c r="R352" s="1179"/>
      <c r="S352" s="1179"/>
      <c r="T352" s="1179"/>
      <c r="U352" s="1179"/>
      <c r="V352" s="1179"/>
      <c r="W352" s="1179"/>
      <c r="X352" s="1179"/>
      <c r="Y352" s="1179"/>
      <c r="Z352" s="7872"/>
      <c r="AA352" s="7873"/>
      <c r="AB352" s="1581"/>
      <c r="AC352" s="1574"/>
      <c r="AD352" s="1574"/>
      <c r="AE352" s="1574"/>
      <c r="AF352" s="1574"/>
      <c r="AG352" s="1574"/>
      <c r="AH352" s="1574"/>
      <c r="AI352" s="1575"/>
      <c r="AJ352" s="7724"/>
      <c r="AK352" s="7770"/>
      <c r="AL352" s="1582"/>
      <c r="AM352" s="1179"/>
      <c r="AN352" s="1179"/>
      <c r="AO352" s="1179"/>
      <c r="AP352" s="2757"/>
      <c r="AQ352" s="1179"/>
      <c r="AR352" s="1179"/>
      <c r="AS352" s="1179"/>
      <c r="AT352" s="1179"/>
      <c r="AU352" s="1179"/>
      <c r="AV352" s="1179"/>
      <c r="AW352" s="1179"/>
      <c r="AX352" s="3013"/>
      <c r="AY352" s="3851"/>
      <c r="AZ352" s="3851"/>
      <c r="BA352" s="3851"/>
      <c r="BB352" s="3851"/>
      <c r="BC352" s="3851"/>
      <c r="BD352" s="3851"/>
      <c r="BE352" s="3851"/>
      <c r="BF352" s="3851"/>
      <c r="BG352" s="3851"/>
      <c r="BH352" s="3851"/>
    </row>
    <row r="353" spans="1:60" ht="13.5" customHeight="1" thickBot="1">
      <c r="A353" s="3910"/>
      <c r="B353" s="7728">
        <v>13</v>
      </c>
      <c r="C353" s="7728"/>
      <c r="D353" s="1276" t="s">
        <v>2218</v>
      </c>
      <c r="E353" s="1179"/>
      <c r="F353" s="2686"/>
      <c r="G353" s="1179"/>
      <c r="H353" s="1179"/>
      <c r="I353" s="1179"/>
      <c r="J353" s="1179"/>
      <c r="K353" s="1179"/>
      <c r="L353" s="1179"/>
      <c r="M353" s="1179"/>
      <c r="N353" s="1179"/>
      <c r="O353" s="1179"/>
      <c r="P353" s="1179"/>
      <c r="Q353" s="1179"/>
      <c r="R353" s="1179"/>
      <c r="S353" s="1179"/>
      <c r="T353" s="1179"/>
      <c r="U353" s="1179"/>
      <c r="V353" s="1179"/>
      <c r="W353" s="1179"/>
      <c r="X353" s="1179"/>
      <c r="Y353" s="1560" t="s">
        <v>2415</v>
      </c>
      <c r="Z353" s="7729">
        <v>13</v>
      </c>
      <c r="AA353" s="7730"/>
      <c r="AB353" s="7767"/>
      <c r="AC353" s="7768"/>
      <c r="AD353" s="7768"/>
      <c r="AE353" s="7768"/>
      <c r="AF353" s="7768"/>
      <c r="AG353" s="7768"/>
      <c r="AH353" s="7768"/>
      <c r="AI353" s="7769"/>
      <c r="AJ353" s="7724"/>
      <c r="AK353" s="7770"/>
      <c r="AL353" s="1582"/>
      <c r="AM353" s="1179"/>
      <c r="AN353" s="1179"/>
      <c r="AO353" s="1179"/>
      <c r="AP353" s="2757"/>
      <c r="AQ353" s="1179"/>
      <c r="AR353" s="1179"/>
      <c r="AS353" s="1179"/>
      <c r="AT353" s="1179"/>
      <c r="AU353" s="1179"/>
      <c r="AV353" s="1179"/>
      <c r="AW353" s="1179"/>
      <c r="AX353" s="3013"/>
      <c r="AY353" s="3851"/>
      <c r="AZ353" s="3851"/>
      <c r="BA353" s="3851"/>
      <c r="BB353" s="3851"/>
      <c r="BC353" s="3851"/>
      <c r="BD353" s="3851"/>
      <c r="BE353" s="3851"/>
      <c r="BF353" s="3851"/>
      <c r="BG353" s="3851"/>
      <c r="BH353" s="3851"/>
    </row>
    <row r="354" spans="1:60" ht="13.5" customHeight="1">
      <c r="A354" s="3910"/>
      <c r="B354" s="7728"/>
      <c r="C354" s="7728"/>
      <c r="D354" s="1179"/>
      <c r="E354" s="1179"/>
      <c r="F354" s="2686"/>
      <c r="G354" s="1179"/>
      <c r="H354" s="1179"/>
      <c r="I354" s="1179"/>
      <c r="J354" s="1179"/>
      <c r="K354" s="1179"/>
      <c r="L354" s="1179"/>
      <c r="M354" s="1179"/>
      <c r="N354" s="1179"/>
      <c r="O354" s="1179"/>
      <c r="P354" s="1179"/>
      <c r="Q354" s="1179"/>
      <c r="R354" s="1179"/>
      <c r="S354" s="1179"/>
      <c r="T354" s="1179"/>
      <c r="U354" s="1179"/>
      <c r="V354" s="1179"/>
      <c r="W354" s="1179"/>
      <c r="X354" s="1179"/>
      <c r="Y354" s="1179"/>
      <c r="Z354" s="1179"/>
      <c r="AA354" s="1179"/>
      <c r="AB354" s="1179"/>
      <c r="AC354" s="1179"/>
      <c r="AD354" s="1179"/>
      <c r="AE354" s="1179"/>
      <c r="AF354" s="1179"/>
      <c r="AG354" s="1179"/>
      <c r="AH354" s="1179"/>
      <c r="AI354" s="1179"/>
      <c r="AJ354" s="1581"/>
      <c r="AK354" s="1575"/>
      <c r="AL354" s="1581"/>
      <c r="AM354" s="1574"/>
      <c r="AN354" s="1574"/>
      <c r="AO354" s="1574"/>
      <c r="AP354" s="2757"/>
      <c r="AQ354" s="1179"/>
      <c r="AR354" s="1179"/>
      <c r="AS354" s="1179"/>
      <c r="AT354" s="1179"/>
      <c r="AU354" s="1179"/>
      <c r="AV354" s="1179"/>
      <c r="AW354" s="1179"/>
      <c r="AX354" s="6033"/>
      <c r="AY354" s="6034"/>
      <c r="AZ354" s="6034"/>
      <c r="BA354" s="6034"/>
      <c r="BB354" s="6034"/>
      <c r="BC354" s="6034"/>
      <c r="BD354" s="6034"/>
      <c r="BE354" s="6034"/>
      <c r="BF354" s="6034"/>
      <c r="BG354" s="6034"/>
      <c r="BH354" s="6035"/>
    </row>
    <row r="355" spans="1:60" ht="13.5" customHeight="1">
      <c r="A355" s="3910"/>
      <c r="B355" s="7728">
        <v>14</v>
      </c>
      <c r="C355" s="7728"/>
      <c r="D355" s="1276" t="s">
        <v>2219</v>
      </c>
      <c r="E355" s="1179"/>
      <c r="F355" s="2686"/>
      <c r="G355" s="1179"/>
      <c r="H355" s="1179"/>
      <c r="I355" s="1179"/>
      <c r="J355" s="1179"/>
      <c r="K355" s="1179"/>
      <c r="L355" s="1179"/>
      <c r="M355" s="1179"/>
      <c r="N355" s="1179"/>
      <c r="O355" s="1179"/>
      <c r="P355" s="1179"/>
      <c r="Q355" s="1179"/>
      <c r="R355" s="1179"/>
      <c r="S355" s="1179"/>
      <c r="T355" s="1179"/>
      <c r="U355" s="1179"/>
      <c r="V355" s="1179"/>
      <c r="W355" s="1179"/>
      <c r="X355" s="1179"/>
      <c r="Y355" s="1179"/>
      <c r="Z355" s="1179"/>
      <c r="AA355" s="1179"/>
      <c r="AB355" s="1179"/>
      <c r="AC355" s="1179"/>
      <c r="AD355" s="1179"/>
      <c r="AE355" s="1179"/>
      <c r="AF355" s="1179"/>
      <c r="AG355" s="1179"/>
      <c r="AH355" s="1179"/>
      <c r="AI355" s="1583"/>
      <c r="AJ355" s="7729">
        <v>14</v>
      </c>
      <c r="AK355" s="7730"/>
      <c r="AL355" s="7742">
        <f>SUM(AB349,AB351,AB353)</f>
        <v>0</v>
      </c>
      <c r="AM355" s="6685"/>
      <c r="AN355" s="6685"/>
      <c r="AO355" s="6685"/>
      <c r="AP355" s="2757"/>
      <c r="AQ355" s="1179"/>
      <c r="AR355" s="1179"/>
      <c r="AS355" s="1179"/>
      <c r="AT355" s="1179"/>
      <c r="AU355" s="1179"/>
      <c r="AV355" s="1179"/>
      <c r="AW355" s="1179"/>
      <c r="AX355" s="6040" t="s">
        <v>5884</v>
      </c>
      <c r="AY355" s="6039"/>
      <c r="AZ355" s="4040"/>
      <c r="BA355" s="4040"/>
      <c r="BB355" s="4040"/>
      <c r="BC355" s="4040"/>
      <c r="BD355" s="4040"/>
      <c r="BE355" s="4040"/>
      <c r="BF355" s="4040"/>
      <c r="BG355" s="4040"/>
      <c r="BH355" s="6036"/>
    </row>
    <row r="356" spans="1:60" ht="18" customHeight="1">
      <c r="A356" s="3910"/>
      <c r="B356" s="7728">
        <v>15</v>
      </c>
      <c r="C356" s="7728"/>
      <c r="D356" s="1179" t="s">
        <v>2220</v>
      </c>
      <c r="E356" s="1179"/>
      <c r="F356" s="2686"/>
      <c r="G356" s="1179"/>
      <c r="H356" s="1179"/>
      <c r="I356" s="1179"/>
      <c r="J356" s="1179"/>
      <c r="K356" s="1179"/>
      <c r="L356" s="1179"/>
      <c r="M356" s="1179"/>
      <c r="N356" s="1179"/>
      <c r="O356" s="1179"/>
      <c r="P356" s="1179"/>
      <c r="Q356" s="1179"/>
      <c r="R356" s="1179"/>
      <c r="S356" s="1179"/>
      <c r="T356" s="1179"/>
      <c r="U356" s="1179"/>
      <c r="V356" s="1179"/>
      <c r="W356" s="1179"/>
      <c r="X356" s="1179"/>
      <c r="Y356" s="1179"/>
      <c r="Z356" s="7804"/>
      <c r="AA356" s="7805"/>
      <c r="AB356" s="1582"/>
      <c r="AC356" s="1179"/>
      <c r="AD356" s="1179"/>
      <c r="AE356" s="1179"/>
      <c r="AF356" s="1179"/>
      <c r="AG356" s="1179"/>
      <c r="AH356" s="1179"/>
      <c r="AI356" s="1583"/>
      <c r="AJ356" s="7724"/>
      <c r="AK356" s="7770"/>
      <c r="AL356" s="1582"/>
      <c r="AM356" s="1179"/>
      <c r="AN356" s="1179"/>
      <c r="AO356" s="1179"/>
      <c r="AP356" s="2757"/>
      <c r="AQ356" s="1179"/>
      <c r="AR356" s="1179"/>
      <c r="AS356" s="1179"/>
      <c r="AT356" s="1179"/>
      <c r="AU356" s="1179"/>
      <c r="AV356" s="1179"/>
      <c r="AW356" s="1179"/>
      <c r="AX356" s="6041" t="b">
        <f>AND(CGTW_Line5&gt;0,CGTW_Line5&lt;&gt;"")</f>
        <v>0</v>
      </c>
      <c r="AY356" s="6039" t="s">
        <v>5885</v>
      </c>
      <c r="AZ356" s="4040"/>
      <c r="BA356" s="4040"/>
      <c r="BB356" s="4040"/>
      <c r="BC356" s="4040"/>
      <c r="BD356" s="4040"/>
      <c r="BE356" s="4040"/>
      <c r="BF356" s="4040"/>
      <c r="BG356" s="4040"/>
      <c r="BH356" s="6036"/>
    </row>
    <row r="357" spans="1:60" ht="13.5" customHeight="1">
      <c r="A357" s="3910"/>
      <c r="B357" s="7728"/>
      <c r="C357" s="7728"/>
      <c r="D357" s="1179" t="s">
        <v>2221</v>
      </c>
      <c r="E357" s="1179"/>
      <c r="F357" s="2686"/>
      <c r="G357" s="1179"/>
      <c r="H357" s="1179"/>
      <c r="I357" s="1179"/>
      <c r="J357" s="1179"/>
      <c r="K357" s="1179"/>
      <c r="L357" s="1179"/>
      <c r="M357" s="1179"/>
      <c r="N357" s="1179"/>
      <c r="O357" s="1179"/>
      <c r="P357" s="1179"/>
      <c r="Q357" s="1179"/>
      <c r="R357" s="1179"/>
      <c r="S357" s="1179"/>
      <c r="T357" s="1179"/>
      <c r="U357" s="1179"/>
      <c r="V357" s="1179"/>
      <c r="W357" s="1179"/>
      <c r="X357" s="1179"/>
      <c r="Y357" s="1179"/>
      <c r="Z357" s="7804"/>
      <c r="AA357" s="7805"/>
      <c r="AB357" s="1582"/>
      <c r="AC357" s="1179"/>
      <c r="AD357" s="1179"/>
      <c r="AE357" s="1179"/>
      <c r="AF357" s="1179"/>
      <c r="AG357" s="1179"/>
      <c r="AH357" s="1179"/>
      <c r="AI357" s="1583"/>
      <c r="AJ357" s="7724"/>
      <c r="AK357" s="7770"/>
      <c r="AL357" s="1582"/>
      <c r="AM357" s="1179"/>
      <c r="AN357" s="1179"/>
      <c r="AO357" s="1179"/>
      <c r="AP357" s="2757"/>
      <c r="AQ357" s="1179"/>
      <c r="AR357" s="1179"/>
      <c r="AS357" s="1179"/>
      <c r="AT357" s="1179"/>
      <c r="AU357" s="1179"/>
      <c r="AV357" s="1179"/>
      <c r="AW357" s="1179"/>
      <c r="AX357" s="6041" t="b">
        <f>AND(CGTW_Line23&lt;CGTW_Line24,CGTW_Line23&lt;&gt;"",CGTW_Line24&lt;&gt;"")</f>
        <v>0</v>
      </c>
      <c r="AY357" s="6039" t="s">
        <v>5886</v>
      </c>
      <c r="AZ357" s="4040"/>
      <c r="BA357" s="4040"/>
      <c r="BB357" s="4040"/>
      <c r="BC357" s="4040"/>
      <c r="BD357" s="4040"/>
      <c r="BE357" s="4040"/>
      <c r="BF357" s="4040"/>
      <c r="BG357" s="4040"/>
      <c r="BH357" s="6036"/>
    </row>
    <row r="358" spans="1:60" ht="12.75" customHeight="1">
      <c r="A358" s="3910"/>
      <c r="B358" s="2795"/>
      <c r="C358" s="2795"/>
      <c r="D358" s="1277" t="s">
        <v>2222</v>
      </c>
      <c r="E358" s="1179"/>
      <c r="F358" s="1179"/>
      <c r="G358" s="1179"/>
      <c r="H358" s="1179"/>
      <c r="I358" s="1179"/>
      <c r="J358" s="1179"/>
      <c r="K358" s="1179"/>
      <c r="L358" s="1179"/>
      <c r="M358" s="1179"/>
      <c r="N358" s="1179"/>
      <c r="O358" s="1179"/>
      <c r="P358" s="1179"/>
      <c r="Q358" s="1179"/>
      <c r="R358" s="1179"/>
      <c r="S358" s="1179"/>
      <c r="T358" s="1179"/>
      <c r="U358" s="1179"/>
      <c r="V358" s="1179"/>
      <c r="W358" s="1179"/>
      <c r="X358" s="1179"/>
      <c r="Y358" s="1560" t="s">
        <v>2419</v>
      </c>
      <c r="Z358" s="7729">
        <v>15</v>
      </c>
      <c r="AA358" s="7735"/>
      <c r="AB358" s="7736" t="str">
        <f>AL323</f>
        <v/>
      </c>
      <c r="AC358" s="7737"/>
      <c r="AD358" s="7737"/>
      <c r="AE358" s="7737"/>
      <c r="AF358" s="7737"/>
      <c r="AG358" s="7737"/>
      <c r="AH358" s="7737"/>
      <c r="AI358" s="7738"/>
      <c r="AJ358" s="7724"/>
      <c r="AK358" s="7770"/>
      <c r="AL358" s="1582"/>
      <c r="AM358" s="1179"/>
      <c r="AN358" s="1179"/>
      <c r="AO358" s="1179"/>
      <c r="AP358" s="2757"/>
      <c r="AQ358" s="1179"/>
      <c r="AR358" s="1179"/>
      <c r="AS358" s="1179"/>
      <c r="AT358" s="1179"/>
      <c r="AU358" s="1179"/>
      <c r="AV358" s="1179"/>
      <c r="AW358" s="1179"/>
      <c r="AX358" s="6045" t="b">
        <f>AND(AX356,AX357)</f>
        <v>0</v>
      </c>
      <c r="AY358" s="6039"/>
      <c r="AZ358" s="4040"/>
      <c r="BA358" s="4040"/>
      <c r="BB358" s="4040"/>
      <c r="BC358" s="4040"/>
      <c r="BD358" s="4040"/>
      <c r="BE358" s="4040"/>
      <c r="BF358" s="4040"/>
      <c r="BG358" s="4040"/>
      <c r="BH358" s="6036"/>
    </row>
    <row r="359" spans="1:60" ht="12.75" customHeight="1">
      <c r="A359" s="3910"/>
      <c r="B359" s="7728">
        <v>16</v>
      </c>
      <c r="C359" s="7728"/>
      <c r="D359" s="2246" t="s">
        <v>2223</v>
      </c>
      <c r="E359" s="1444"/>
      <c r="F359" s="1857"/>
      <c r="G359" s="1179"/>
      <c r="H359" s="1179"/>
      <c r="I359" s="1179"/>
      <c r="J359" s="1179"/>
      <c r="K359" s="1179"/>
      <c r="L359" s="1179"/>
      <c r="M359" s="1179"/>
      <c r="N359" s="1179"/>
      <c r="O359" s="1179"/>
      <c r="P359" s="2772"/>
      <c r="Q359" s="1444"/>
      <c r="R359" s="1857"/>
      <c r="S359" s="1276"/>
      <c r="T359" s="1179"/>
      <c r="U359" s="1179"/>
      <c r="V359" s="1179"/>
      <c r="W359" s="1179"/>
      <c r="X359" s="1179"/>
      <c r="Y359" s="1560" t="s">
        <v>1625</v>
      </c>
      <c r="Z359" s="7871">
        <v>16</v>
      </c>
      <c r="AA359" s="7222"/>
      <c r="AB359" s="7767"/>
      <c r="AC359" s="7768"/>
      <c r="AD359" s="7768"/>
      <c r="AE359" s="7768"/>
      <c r="AF359" s="7768"/>
      <c r="AG359" s="7768"/>
      <c r="AH359" s="7768"/>
      <c r="AI359" s="7769"/>
      <c r="AJ359" s="7724"/>
      <c r="AK359" s="7770"/>
      <c r="AL359" s="1582"/>
      <c r="AM359" s="1179"/>
      <c r="AN359" s="1179"/>
      <c r="AO359" s="1179"/>
      <c r="AP359" s="2757"/>
      <c r="AQ359" s="1179"/>
      <c r="AR359" s="1179"/>
      <c r="AS359" s="1179"/>
      <c r="AT359" s="1179"/>
      <c r="AU359" s="1179"/>
      <c r="AV359" s="1179"/>
      <c r="AW359" s="1179"/>
      <c r="AX359" s="6043" t="s">
        <v>5887</v>
      </c>
      <c r="AY359" s="6039"/>
      <c r="AZ359" s="4040"/>
      <c r="BA359" s="4040"/>
      <c r="BB359" s="4040"/>
      <c r="BC359" s="4040"/>
      <c r="BD359" s="4040"/>
      <c r="BE359" s="4040"/>
      <c r="BF359" s="4040"/>
      <c r="BG359" s="4040"/>
      <c r="BH359" s="6036"/>
    </row>
    <row r="360" spans="1:60" ht="18.75" customHeight="1" thickBot="1">
      <c r="A360" s="3910"/>
      <c r="B360" s="7728">
        <v>17</v>
      </c>
      <c r="C360" s="7728"/>
      <c r="D360" s="1276" t="s">
        <v>2224</v>
      </c>
      <c r="E360" s="1179"/>
      <c r="F360" s="2686"/>
      <c r="G360" s="1179"/>
      <c r="H360" s="1179"/>
      <c r="I360" s="1179"/>
      <c r="J360" s="1179"/>
      <c r="K360" s="1179"/>
      <c r="L360" s="1179"/>
      <c r="M360" s="1179"/>
      <c r="N360" s="1179"/>
      <c r="O360" s="1179"/>
      <c r="P360" s="1179"/>
      <c r="Q360" s="1179"/>
      <c r="R360" s="1179"/>
      <c r="S360" s="1179"/>
      <c r="T360" s="1179"/>
      <c r="U360" s="1179"/>
      <c r="V360" s="1179"/>
      <c r="W360" s="1179"/>
      <c r="X360" s="1179"/>
      <c r="Y360" s="1179"/>
      <c r="Z360" s="7804"/>
      <c r="AA360" s="7805"/>
      <c r="AB360" s="1582"/>
      <c r="AC360" s="1179"/>
      <c r="AD360" s="1179"/>
      <c r="AE360" s="1179"/>
      <c r="AF360" s="1179"/>
      <c r="AG360" s="1179"/>
      <c r="AH360" s="1179"/>
      <c r="AI360" s="1583"/>
      <c r="AJ360" s="7724"/>
      <c r="AK360" s="7770"/>
      <c r="AL360" s="1582"/>
      <c r="AM360" s="1179"/>
      <c r="AN360" s="1179"/>
      <c r="AO360" s="1179"/>
      <c r="AP360" s="2757"/>
      <c r="AQ360" s="1179"/>
      <c r="AR360" s="1179"/>
      <c r="AS360" s="1179"/>
      <c r="AT360" s="1179"/>
      <c r="AU360" s="1179"/>
      <c r="AV360" s="1179"/>
      <c r="AW360" s="1179"/>
      <c r="AX360" s="6044" t="s">
        <v>5888</v>
      </c>
      <c r="AY360" s="6042"/>
      <c r="AZ360" s="6037"/>
      <c r="BA360" s="6037"/>
      <c r="BB360" s="6037"/>
      <c r="BC360" s="6037"/>
      <c r="BD360" s="6037"/>
      <c r="BE360" s="6037"/>
      <c r="BF360" s="6037"/>
      <c r="BG360" s="6037"/>
      <c r="BH360" s="6038"/>
    </row>
    <row r="361" spans="1:60" ht="12.75" customHeight="1">
      <c r="A361" s="3910"/>
      <c r="B361" s="7728"/>
      <c r="C361" s="7728"/>
      <c r="D361" s="1179" t="s">
        <v>2225</v>
      </c>
      <c r="E361" s="1179"/>
      <c r="F361" s="2686"/>
      <c r="G361" s="1179"/>
      <c r="H361" s="1179"/>
      <c r="I361" s="1179"/>
      <c r="J361" s="1179"/>
      <c r="K361" s="1179"/>
      <c r="L361" s="1179"/>
      <c r="M361" s="1179"/>
      <c r="N361" s="1179"/>
      <c r="O361" s="1179"/>
      <c r="P361" s="1179"/>
      <c r="Q361" s="1179"/>
      <c r="R361" s="1179"/>
      <c r="S361" s="1179"/>
      <c r="T361" s="1179"/>
      <c r="U361" s="1179"/>
      <c r="V361" s="1179"/>
      <c r="W361" s="1179"/>
      <c r="X361" s="1179"/>
      <c r="Y361" s="1179"/>
      <c r="Z361" s="7804"/>
      <c r="AA361" s="7805"/>
      <c r="AB361" s="1582"/>
      <c r="AC361" s="1179"/>
      <c r="AD361" s="1179"/>
      <c r="AE361" s="1179"/>
      <c r="AF361" s="1179"/>
      <c r="AG361" s="1179"/>
      <c r="AH361" s="1179"/>
      <c r="AI361" s="1583"/>
      <c r="AJ361" s="7724"/>
      <c r="AK361" s="7770"/>
      <c r="AL361" s="1582"/>
      <c r="AM361" s="1179"/>
      <c r="AN361" s="1179"/>
      <c r="AO361" s="1179"/>
      <c r="AP361" s="2757"/>
      <c r="AQ361" s="1179"/>
      <c r="AR361" s="1179"/>
      <c r="AS361" s="1179"/>
      <c r="AT361" s="1179"/>
      <c r="AU361" s="1179"/>
      <c r="AV361" s="1179"/>
      <c r="AW361" s="1179"/>
      <c r="AX361" s="7978" t="s">
        <v>3270</v>
      </c>
      <c r="AY361" s="7979"/>
      <c r="AZ361" s="7979"/>
      <c r="BA361" s="7979"/>
      <c r="BB361" s="7979"/>
      <c r="BC361" s="7979"/>
      <c r="BD361" s="7979"/>
      <c r="BE361" s="7979"/>
      <c r="BF361" s="7982" t="s">
        <v>175</v>
      </c>
      <c r="BG361" s="7982"/>
      <c r="BH361" s="4043"/>
    </row>
    <row r="362" spans="1:60" ht="16.5" customHeight="1">
      <c r="A362" s="3910"/>
      <c r="B362" s="7728"/>
      <c r="C362" s="7728"/>
      <c r="D362" s="1179" t="s">
        <v>2226</v>
      </c>
      <c r="E362" s="1179"/>
      <c r="F362" s="2686"/>
      <c r="G362" s="1179"/>
      <c r="H362" s="1179"/>
      <c r="I362" s="1179"/>
      <c r="J362" s="1179"/>
      <c r="K362" s="1179"/>
      <c r="L362" s="1179"/>
      <c r="M362" s="1179"/>
      <c r="N362" s="1179"/>
      <c r="O362" s="1179"/>
      <c r="P362" s="1179"/>
      <c r="Q362" s="1179"/>
      <c r="R362" s="1179"/>
      <c r="S362" s="1179"/>
      <c r="T362" s="1179"/>
      <c r="U362" s="1179"/>
      <c r="V362" s="1179"/>
      <c r="W362" s="1179"/>
      <c r="X362" s="1179"/>
      <c r="Y362" s="1179"/>
      <c r="Z362" s="7804"/>
      <c r="AA362" s="7805"/>
      <c r="AB362" s="1582"/>
      <c r="AC362" s="1179"/>
      <c r="AD362" s="1179"/>
      <c r="AE362" s="1179"/>
      <c r="AF362" s="1179"/>
      <c r="AG362" s="1179"/>
      <c r="AH362" s="1179"/>
      <c r="AI362" s="1583"/>
      <c r="AJ362" s="7724"/>
      <c r="AK362" s="7770"/>
      <c r="AL362" s="1582"/>
      <c r="AM362" s="1179"/>
      <c r="AN362" s="1179"/>
      <c r="AO362" s="1179"/>
      <c r="AP362" s="2757"/>
      <c r="AQ362" s="1179"/>
      <c r="AR362" s="1179"/>
      <c r="AS362" s="1179"/>
      <c r="AT362" s="1179"/>
      <c r="AU362" s="1179"/>
      <c r="AV362" s="1179"/>
      <c r="AW362" s="1179"/>
      <c r="AX362" s="7980"/>
      <c r="AY362" s="7981"/>
      <c r="AZ362" s="7981"/>
      <c r="BA362" s="7981"/>
      <c r="BB362" s="7981"/>
      <c r="BC362" s="7981"/>
      <c r="BD362" s="7981"/>
      <c r="BE362" s="7981"/>
      <c r="BF362" s="7983"/>
      <c r="BG362" s="7983"/>
      <c r="BH362" s="4044"/>
    </row>
    <row r="363" spans="1:60" ht="18" customHeight="1">
      <c r="A363" s="3910"/>
      <c r="B363" s="7728"/>
      <c r="C363" s="7728"/>
      <c r="D363" s="1179" t="s">
        <v>4175</v>
      </c>
      <c r="E363" s="1179"/>
      <c r="F363" s="2686"/>
      <c r="G363" s="1179"/>
      <c r="H363" s="1179"/>
      <c r="I363" s="1179"/>
      <c r="J363" s="1179"/>
      <c r="K363" s="1179"/>
      <c r="L363" s="1179"/>
      <c r="M363" s="1179"/>
      <c r="N363" s="1179"/>
      <c r="O363" s="1179"/>
      <c r="P363" s="1179"/>
      <c r="Q363" s="1179"/>
      <c r="R363" s="1179"/>
      <c r="S363" s="1179"/>
      <c r="T363" s="1179"/>
      <c r="U363" s="1179"/>
      <c r="V363" s="1179"/>
      <c r="W363" s="1179"/>
      <c r="X363" s="1179"/>
      <c r="Y363" s="1179"/>
      <c r="Z363" s="7804"/>
      <c r="AA363" s="7805"/>
      <c r="AB363" s="1582"/>
      <c r="AC363" s="1179"/>
      <c r="AD363" s="1179"/>
      <c r="AE363" s="1179"/>
      <c r="AF363" s="1179"/>
      <c r="AG363" s="1179"/>
      <c r="AH363" s="1179"/>
      <c r="AI363" s="1583"/>
      <c r="AJ363" s="7724"/>
      <c r="AK363" s="7770"/>
      <c r="AL363" s="1582"/>
      <c r="AM363" s="1179"/>
      <c r="AN363" s="1179"/>
      <c r="AO363" s="1179"/>
      <c r="AP363" s="2757"/>
      <c r="AQ363" s="1179"/>
      <c r="AR363" s="1179"/>
      <c r="AS363" s="1179"/>
      <c r="AT363" s="1179"/>
      <c r="AU363" s="1179"/>
      <c r="AV363" s="1179"/>
      <c r="AW363" s="1179"/>
      <c r="AX363" s="4045"/>
      <c r="AY363" s="2079"/>
      <c r="AZ363" s="2079"/>
      <c r="BA363" s="2079"/>
      <c r="BB363" s="2079"/>
      <c r="BC363" s="2079"/>
      <c r="BD363" s="2079"/>
      <c r="BE363" s="2079"/>
      <c r="BF363" s="2079"/>
      <c r="BG363" s="2079"/>
      <c r="BH363" s="4046"/>
    </row>
    <row r="364" spans="1:60" ht="13.5" customHeight="1">
      <c r="A364" s="3910"/>
      <c r="B364" s="2795"/>
      <c r="C364" s="2795"/>
      <c r="D364" s="1277" t="s">
        <v>2227</v>
      </c>
      <c r="E364" s="1179"/>
      <c r="F364" s="1179"/>
      <c r="G364" s="1179"/>
      <c r="H364" s="1179"/>
      <c r="I364" s="1179"/>
      <c r="J364" s="1179"/>
      <c r="K364" s="1179"/>
      <c r="L364" s="1179"/>
      <c r="M364" s="1179"/>
      <c r="N364" s="1179"/>
      <c r="O364" s="1179"/>
      <c r="P364" s="1179"/>
      <c r="Q364" s="1179"/>
      <c r="R364" s="1179"/>
      <c r="S364" s="1179"/>
      <c r="T364" s="1179"/>
      <c r="U364" s="1179"/>
      <c r="V364" s="1179"/>
      <c r="W364" s="1179"/>
      <c r="X364" s="1179"/>
      <c r="Y364" s="1560" t="s">
        <v>2401</v>
      </c>
      <c r="Z364" s="7729">
        <v>17</v>
      </c>
      <c r="AA364" s="7735"/>
      <c r="AB364" s="7736">
        <f>SUM(AB358,AB359)</f>
        <v>0</v>
      </c>
      <c r="AC364" s="7737"/>
      <c r="AD364" s="7737"/>
      <c r="AE364" s="7737"/>
      <c r="AF364" s="7737"/>
      <c r="AG364" s="7737"/>
      <c r="AH364" s="7737"/>
      <c r="AI364" s="7738"/>
      <c r="AJ364" s="7724"/>
      <c r="AK364" s="7770"/>
      <c r="AL364" s="7809"/>
      <c r="AM364" s="7810"/>
      <c r="AN364" s="7810"/>
      <c r="AO364" s="7810"/>
      <c r="AP364" s="2757"/>
      <c r="AQ364" s="7815" t="str">
        <f>IF(AND(AL355&gt;0,AB365),"Skip lines 18 through 24.","")</f>
        <v/>
      </c>
      <c r="AR364" s="7816"/>
      <c r="AS364" s="7816"/>
      <c r="AT364" s="7816"/>
      <c r="AU364" s="7460"/>
      <c r="AV364" s="7460"/>
      <c r="AW364" s="7460"/>
      <c r="AX364" s="4045"/>
      <c r="AY364" s="4047" t="s">
        <v>3271</v>
      </c>
      <c r="AZ364" s="2079"/>
      <c r="BA364" s="2079"/>
      <c r="BB364" s="2079"/>
      <c r="BC364" s="2079"/>
      <c r="BD364" s="2079"/>
      <c r="BE364" s="2079"/>
      <c r="BF364" s="2079"/>
      <c r="BG364" s="2079"/>
      <c r="BH364" s="4046"/>
    </row>
    <row r="365" spans="1:60" ht="19.5" customHeight="1">
      <c r="A365" s="3910"/>
      <c r="B365" s="7728">
        <v>18</v>
      </c>
      <c r="C365" s="7728"/>
      <c r="D365" s="1276" t="s">
        <v>4160</v>
      </c>
      <c r="E365" s="1179"/>
      <c r="F365" s="2686"/>
      <c r="G365" s="1179"/>
      <c r="H365" s="1179"/>
      <c r="I365" s="1179"/>
      <c r="J365" s="1179"/>
      <c r="K365" s="1179"/>
      <c r="L365" s="1179"/>
      <c r="M365" s="1179"/>
      <c r="N365" s="1179"/>
      <c r="O365" s="1179"/>
      <c r="P365" s="1179"/>
      <c r="Q365" s="1179"/>
      <c r="R365" s="1179"/>
      <c r="S365" s="1179"/>
      <c r="T365" s="1179"/>
      <c r="U365" s="1179"/>
      <c r="V365" s="1179"/>
      <c r="W365" s="1179"/>
      <c r="X365" s="1179"/>
      <c r="Y365" s="1179"/>
      <c r="Z365" s="7804"/>
      <c r="AA365" s="7805"/>
      <c r="AB365" s="7811" t="b">
        <f>AND(AB364&lt;=0,AQ367="")</f>
        <v>1</v>
      </c>
      <c r="AC365" s="7467"/>
      <c r="AD365" s="7467"/>
      <c r="AE365" s="7467"/>
      <c r="AF365" s="7467"/>
      <c r="AG365" s="7467"/>
      <c r="AH365" s="7467"/>
      <c r="AI365" s="7812"/>
      <c r="AJ365" s="7724"/>
      <c r="AK365" s="7770"/>
      <c r="AL365" s="7813"/>
      <c r="AM365" s="7814"/>
      <c r="AN365" s="7814"/>
      <c r="AO365" s="7814"/>
      <c r="AP365" s="2757"/>
      <c r="AQ365" s="7817"/>
      <c r="AR365" s="7814"/>
      <c r="AS365" s="7814"/>
      <c r="AT365" s="7814"/>
      <c r="AU365" s="6636"/>
      <c r="AV365" s="6636"/>
      <c r="AW365" s="6636"/>
      <c r="AX365" s="4045"/>
      <c r="AY365" s="2079"/>
      <c r="AZ365" s="2079"/>
      <c r="BA365" s="2079"/>
      <c r="BB365" s="2079"/>
      <c r="BC365" s="2079"/>
      <c r="BD365" s="2079"/>
      <c r="BE365" s="2079"/>
      <c r="BF365" s="2079"/>
      <c r="BG365" s="2079"/>
      <c r="BH365" s="4046"/>
    </row>
    <row r="366" spans="1:60" ht="13.5" customHeight="1">
      <c r="A366" s="3910"/>
      <c r="B366" s="7728"/>
      <c r="C366" s="7728"/>
      <c r="D366" s="1276" t="s">
        <v>4179</v>
      </c>
      <c r="E366" s="1179"/>
      <c r="F366" s="2686"/>
      <c r="G366" s="1179"/>
      <c r="H366" s="1179"/>
      <c r="I366" s="1179"/>
      <c r="J366" s="1179"/>
      <c r="K366" s="1179"/>
      <c r="L366" s="1179"/>
      <c r="M366" s="1179"/>
      <c r="N366" s="1179"/>
      <c r="O366" s="1179"/>
      <c r="P366" s="1179"/>
      <c r="Q366" s="1179"/>
      <c r="R366" s="1179"/>
      <c r="S366" s="1179"/>
      <c r="T366" s="1179"/>
      <c r="U366" s="1179"/>
      <c r="V366" s="1179"/>
      <c r="W366" s="1179"/>
      <c r="X366" s="1179"/>
      <c r="Y366" s="1179"/>
      <c r="Z366" s="7804"/>
      <c r="AA366" s="7805"/>
      <c r="AB366" s="7771"/>
      <c r="AC366" s="7772"/>
      <c r="AD366" s="7772"/>
      <c r="AE366" s="7772"/>
      <c r="AF366" s="7772"/>
      <c r="AG366" s="7772"/>
      <c r="AH366" s="7772"/>
      <c r="AI366" s="7773"/>
      <c r="AJ366" s="7724"/>
      <c r="AK366" s="7770"/>
      <c r="AL366" s="1582"/>
      <c r="AM366" s="1179"/>
      <c r="AN366" s="1179"/>
      <c r="AO366" s="1179"/>
      <c r="AP366" s="2757"/>
      <c r="AQ366" s="2757"/>
      <c r="AR366" s="2757"/>
      <c r="AS366" s="2757"/>
      <c r="AT366" s="2757"/>
      <c r="AU366" s="2757"/>
      <c r="AV366" s="1179"/>
      <c r="AW366" s="1179"/>
      <c r="AX366" s="4048"/>
      <c r="AY366" s="4047"/>
      <c r="AZ366" s="2079"/>
      <c r="BA366" s="2079"/>
      <c r="BB366" s="2079"/>
      <c r="BC366" s="2079"/>
      <c r="BD366" s="2079"/>
      <c r="BE366" s="2079"/>
      <c r="BF366" s="2079"/>
      <c r="BG366" s="2079"/>
      <c r="BH366" s="4046"/>
    </row>
    <row r="367" spans="1:60" ht="13.5" customHeight="1">
      <c r="A367" s="3910"/>
      <c r="B367" s="2795"/>
      <c r="C367" s="2795"/>
      <c r="D367" s="1926" t="s">
        <v>4178</v>
      </c>
      <c r="E367" s="1179"/>
      <c r="F367" s="1179"/>
      <c r="G367" s="1179"/>
      <c r="H367" s="1179"/>
      <c r="I367" s="1179"/>
      <c r="J367" s="1179"/>
      <c r="K367" s="1179"/>
      <c r="L367" s="1179"/>
      <c r="M367" s="1179"/>
      <c r="N367" s="1179"/>
      <c r="O367" s="1179"/>
      <c r="P367" s="1179"/>
      <c r="Q367" s="1179"/>
      <c r="R367" s="1179"/>
      <c r="S367" s="1179"/>
      <c r="T367" s="1179"/>
      <c r="U367" s="1179"/>
      <c r="V367" s="1179"/>
      <c r="W367" s="1179"/>
      <c r="X367" s="1179"/>
      <c r="Y367" s="1560" t="s">
        <v>1930</v>
      </c>
      <c r="Z367" s="7729">
        <v>18</v>
      </c>
      <c r="AA367" s="7735"/>
      <c r="AB367" s="7736" t="str">
        <f>IF(AQ367&lt;&gt;"",ROUND(AQ367,0),IF(AB365,"",IF(AX358,BG380,Taxable_Inc)))</f>
        <v/>
      </c>
      <c r="AC367" s="7737"/>
      <c r="AD367" s="7737"/>
      <c r="AE367" s="7737"/>
      <c r="AF367" s="7737"/>
      <c r="AG367" s="7737"/>
      <c r="AH367" s="7737"/>
      <c r="AI367" s="7738"/>
      <c r="AJ367" s="7724"/>
      <c r="AK367" s="7770"/>
      <c r="AL367" s="1582"/>
      <c r="AM367" s="1179"/>
      <c r="AN367" s="1179"/>
      <c r="AO367" s="1179"/>
      <c r="AP367" s="2757"/>
      <c r="AQ367" s="7752"/>
      <c r="AR367" s="7753"/>
      <c r="AS367" s="7753"/>
      <c r="AT367" s="7753"/>
      <c r="AU367" s="2757"/>
      <c r="AV367" s="1179"/>
      <c r="AW367" s="1179"/>
      <c r="AX367" s="4048" t="s">
        <v>294</v>
      </c>
      <c r="AY367" s="4047" t="s">
        <v>4174</v>
      </c>
      <c r="AZ367" s="2079"/>
      <c r="BA367" s="2079"/>
      <c r="BB367" s="2079"/>
      <c r="BC367" s="2079"/>
      <c r="BD367" s="2079"/>
      <c r="BE367" s="2079"/>
      <c r="BF367" s="2079"/>
      <c r="BG367" s="2079"/>
      <c r="BH367" s="4046"/>
    </row>
    <row r="368" spans="1:60" ht="13.5" customHeight="1">
      <c r="A368" s="3910"/>
      <c r="B368" s="2795"/>
      <c r="C368" s="2795"/>
      <c r="D368" s="1926" t="s">
        <v>2237</v>
      </c>
      <c r="E368" s="1444"/>
      <c r="F368" s="1857"/>
      <c r="G368" s="1179"/>
      <c r="H368" s="1179"/>
      <c r="I368" s="1179"/>
      <c r="J368" s="1179"/>
      <c r="K368" s="1179"/>
      <c r="L368" s="1179"/>
      <c r="M368" s="1179"/>
      <c r="N368" s="1179"/>
      <c r="O368" s="1179"/>
      <c r="P368" s="2772"/>
      <c r="Q368" s="1444"/>
      <c r="R368" s="1857"/>
      <c r="S368" s="1276"/>
      <c r="T368" s="1179"/>
      <c r="U368" s="1179"/>
      <c r="V368" s="1179"/>
      <c r="W368" s="1179"/>
      <c r="X368" s="1179"/>
      <c r="Y368" s="1179"/>
      <c r="Z368" s="1179"/>
      <c r="AA368" s="1179"/>
      <c r="AB368" s="1179"/>
      <c r="AC368" s="1179"/>
      <c r="AD368" s="2772"/>
      <c r="AE368" s="1444"/>
      <c r="AF368" s="1857"/>
      <c r="AG368" s="1179"/>
      <c r="AH368" s="1179"/>
      <c r="AI368" s="1179"/>
      <c r="AJ368" s="1581"/>
      <c r="AK368" s="1575"/>
      <c r="AL368" s="1179"/>
      <c r="AM368" s="1179"/>
      <c r="AN368" s="1179"/>
      <c r="AO368" s="1179"/>
      <c r="AP368" s="2757"/>
      <c r="AQ368" s="2757"/>
      <c r="AR368" s="2757"/>
      <c r="AS368" s="2757"/>
      <c r="AT368" s="2757"/>
      <c r="AU368" s="2757"/>
      <c r="AV368" s="1179"/>
      <c r="AW368" s="1179"/>
      <c r="AX368" s="4045"/>
      <c r="AY368" s="4713" t="s">
        <v>3272</v>
      </c>
      <c r="AZ368" s="2079"/>
      <c r="BA368" s="2079"/>
      <c r="BB368" s="2079"/>
      <c r="BC368" s="2079"/>
      <c r="BD368" s="2079"/>
      <c r="BE368" s="4040"/>
      <c r="BF368" s="4041" t="s">
        <v>294</v>
      </c>
      <c r="BG368" s="4289" t="str">
        <f>IF(AX358,Taxable_Inc,"")</f>
        <v/>
      </c>
      <c r="BH368" s="4046"/>
    </row>
    <row r="369" spans="1:60" ht="13.5" customHeight="1">
      <c r="A369" s="3910"/>
      <c r="B369" s="1179"/>
      <c r="C369" s="1185"/>
      <c r="D369" s="1277" t="s">
        <v>485</v>
      </c>
      <c r="E369" s="1179"/>
      <c r="F369" s="1179"/>
      <c r="G369" s="1179"/>
      <c r="H369" s="1179"/>
      <c r="I369" s="1179"/>
      <c r="J369" s="1179"/>
      <c r="K369" s="1179"/>
      <c r="L369" s="1179"/>
      <c r="M369" s="1179"/>
      <c r="N369" s="1179"/>
      <c r="O369" s="1179"/>
      <c r="P369" s="1179"/>
      <c r="Q369" s="1179"/>
      <c r="R369" s="1179"/>
      <c r="S369" s="1179"/>
      <c r="T369" s="1285"/>
      <c r="U369" s="1179"/>
      <c r="V369" s="1179"/>
      <c r="W369" s="1179"/>
      <c r="X369" s="1179"/>
      <c r="Y369" s="1179"/>
      <c r="Z369" s="1179"/>
      <c r="AA369" s="1179"/>
      <c r="AB369" s="1179"/>
      <c r="AC369" s="1179"/>
      <c r="AD369" s="1179"/>
      <c r="AE369" s="1179"/>
      <c r="AF369" s="1179"/>
      <c r="AG369" s="1179"/>
      <c r="AH369" s="1179"/>
      <c r="AI369" s="1179"/>
      <c r="AJ369" s="1582"/>
      <c r="AK369" s="1583"/>
      <c r="AL369" s="1179"/>
      <c r="AM369" s="1179"/>
      <c r="AN369" s="1179"/>
      <c r="AO369" s="1179"/>
      <c r="AP369" s="2757"/>
      <c r="AQ369" s="2757"/>
      <c r="AR369" s="2757"/>
      <c r="AS369" s="2757"/>
      <c r="AT369" s="2757"/>
      <c r="AU369" s="2757"/>
      <c r="AV369" s="1179"/>
      <c r="AW369" s="1179"/>
      <c r="AX369" s="4048" t="s">
        <v>0</v>
      </c>
      <c r="AY369" s="4047" t="str">
        <f>"Enter your worldwide "&amp;TEXT(BF369,"0%")&amp;" gains (see instructions)"</f>
        <v>Enter your worldwide 28% gains (see instructions)</v>
      </c>
      <c r="AZ369" s="2079"/>
      <c r="BA369" s="2079"/>
      <c r="BB369" s="2079"/>
      <c r="BC369" s="2079"/>
      <c r="BD369" s="4049" t="s">
        <v>0</v>
      </c>
      <c r="BE369" s="1849"/>
      <c r="BF369" s="4052">
        <v>0.28000000000000003</v>
      </c>
      <c r="BG369" s="2079"/>
      <c r="BH369" s="4046"/>
    </row>
    <row r="370" spans="1:60" ht="13.5" customHeight="1">
      <c r="A370" s="3910"/>
      <c r="B370" s="7728">
        <v>19</v>
      </c>
      <c r="C370" s="7728"/>
      <c r="D370" s="1276" t="s">
        <v>2228</v>
      </c>
      <c r="E370" s="1179"/>
      <c r="F370" s="2686"/>
      <c r="G370" s="1179"/>
      <c r="H370" s="1179"/>
      <c r="I370" s="1179"/>
      <c r="J370" s="1179"/>
      <c r="K370" s="1179"/>
      <c r="L370" s="1179"/>
      <c r="M370" s="1179"/>
      <c r="N370" s="1179"/>
      <c r="O370" s="1179"/>
      <c r="P370" s="1179"/>
      <c r="Q370" s="1179"/>
      <c r="R370" s="1179"/>
      <c r="S370" s="1179"/>
      <c r="T370" s="1179"/>
      <c r="U370" s="1179"/>
      <c r="V370" s="1179"/>
      <c r="W370" s="1179"/>
      <c r="X370" s="1179"/>
      <c r="Y370" s="1179"/>
      <c r="Z370" s="1179"/>
      <c r="AA370" s="1179"/>
      <c r="AB370" s="1179"/>
      <c r="AC370" s="1179"/>
      <c r="AD370" s="1179"/>
      <c r="AE370" s="1179"/>
      <c r="AF370" s="1179"/>
      <c r="AG370" s="1179"/>
      <c r="AH370" s="1179"/>
      <c r="AI370" s="1560" t="s">
        <v>1055</v>
      </c>
      <c r="AJ370" s="7729">
        <v>19</v>
      </c>
      <c r="AK370" s="7730"/>
      <c r="AL370" s="7869" t="str">
        <f>IF(AQ370&lt;&gt;"",ROUND(AQ370,4),IF(AB365,"",IF(OR(AB367="",AB367=0),"                    ---",IF(AB364&gt;AB367,1,ROUND(AB364/AB367,4)))))</f>
        <v/>
      </c>
      <c r="AM370" s="7870"/>
      <c r="AN370" s="7870"/>
      <c r="AO370" s="7870"/>
      <c r="AP370" s="2757"/>
      <c r="AQ370" s="7779"/>
      <c r="AR370" s="7780"/>
      <c r="AS370" s="7780"/>
      <c r="AT370" s="7780"/>
      <c r="AU370" s="2757"/>
      <c r="AV370" s="1179"/>
      <c r="AW370" s="1179"/>
      <c r="AX370" s="4048" t="s">
        <v>1</v>
      </c>
      <c r="AY370" s="4047" t="str">
        <f>"Multiply line 2 by "&amp;TEXT(BF370,"0.0000")</f>
        <v>Multiply line 2 by 0.2432</v>
      </c>
      <c r="AZ370" s="2079"/>
      <c r="BA370" s="2079"/>
      <c r="BB370" s="2079"/>
      <c r="BC370" s="2079"/>
      <c r="BD370" s="4049" t="s">
        <v>1</v>
      </c>
      <c r="BE370" s="2045" t="str">
        <f>IF(BE369&lt;&gt;"",ROUND(BE369*BF370,0),"")</f>
        <v/>
      </c>
      <c r="BF370" s="4053">
        <v>0.2432</v>
      </c>
      <c r="BG370" s="2079"/>
      <c r="BH370" s="4046"/>
    </row>
    <row r="371" spans="1:60" ht="13.5" customHeight="1">
      <c r="A371" s="3910"/>
      <c r="B371" s="7717">
        <v>20</v>
      </c>
      <c r="C371" s="7717"/>
      <c r="D371" s="1276" t="s">
        <v>4161</v>
      </c>
      <c r="E371" s="1179"/>
      <c r="F371" s="2686"/>
      <c r="G371" s="1179"/>
      <c r="H371" s="1179"/>
      <c r="I371" s="1179"/>
      <c r="J371" s="1179"/>
      <c r="K371" s="1179"/>
      <c r="L371" s="1179"/>
      <c r="M371" s="1179"/>
      <c r="N371" s="1179"/>
      <c r="O371" s="1179"/>
      <c r="P371" s="1179"/>
      <c r="Q371" s="1179"/>
      <c r="R371" s="1179"/>
      <c r="S371" s="1179"/>
      <c r="T371" s="1179"/>
      <c r="U371" s="1179"/>
      <c r="V371" s="1179"/>
      <c r="W371" s="1179"/>
      <c r="X371" s="1179"/>
      <c r="Y371" s="1179"/>
      <c r="Z371" s="1179"/>
      <c r="AA371" s="1179"/>
      <c r="AB371" s="1179"/>
      <c r="AC371" s="1179"/>
      <c r="AD371" s="1179"/>
      <c r="AE371" s="1179"/>
      <c r="AF371" s="1179"/>
      <c r="AG371" s="1179"/>
      <c r="AH371" s="1179"/>
      <c r="AI371" s="1179"/>
      <c r="AJ371" s="7731"/>
      <c r="AK371" s="7732"/>
      <c r="AL371" s="1582"/>
      <c r="AM371" s="1179"/>
      <c r="AN371" s="1179"/>
      <c r="AO371" s="1179"/>
      <c r="AP371" s="2757"/>
      <c r="AQ371" s="2757"/>
      <c r="AR371" s="2757"/>
      <c r="AS371" s="2757"/>
      <c r="AT371" s="2757"/>
      <c r="AU371" s="2757"/>
      <c r="AV371" s="1179"/>
      <c r="AW371" s="1179"/>
      <c r="AX371" s="4048" t="s">
        <v>399</v>
      </c>
      <c r="AY371" s="4047" t="str">
        <f>"Enter your worldwide "&amp;TEXT(BF371,"0%")&amp;" gains (see instructions)"</f>
        <v>Enter your worldwide 25% gains (see instructions)</v>
      </c>
      <c r="AZ371" s="2079"/>
      <c r="BA371" s="2079"/>
      <c r="BB371" s="2079"/>
      <c r="BC371" s="2079"/>
      <c r="BD371" s="4049" t="s">
        <v>399</v>
      </c>
      <c r="BE371" s="1849"/>
      <c r="BF371" s="4052">
        <v>0.25</v>
      </c>
      <c r="BG371" s="2079"/>
      <c r="BH371" s="4046"/>
    </row>
    <row r="372" spans="1:60" ht="13.5" customHeight="1">
      <c r="A372" s="3910"/>
      <c r="B372" s="7717"/>
      <c r="C372" s="7717"/>
      <c r="D372" s="1276" t="s">
        <v>4162</v>
      </c>
      <c r="E372" s="1179"/>
      <c r="F372" s="2686"/>
      <c r="G372" s="1179"/>
      <c r="H372" s="1179"/>
      <c r="I372" s="1179"/>
      <c r="J372" s="1179"/>
      <c r="K372" s="1179"/>
      <c r="L372" s="1179"/>
      <c r="M372" s="1179"/>
      <c r="N372" s="1179"/>
      <c r="O372" s="1179"/>
      <c r="P372" s="1179"/>
      <c r="Q372" s="1179"/>
      <c r="R372" s="1179"/>
      <c r="S372" s="1179"/>
      <c r="T372" s="1179"/>
      <c r="U372" s="1179"/>
      <c r="V372" s="1179"/>
      <c r="W372" s="1179"/>
      <c r="X372" s="1179"/>
      <c r="Y372" s="1179"/>
      <c r="Z372" s="1179"/>
      <c r="AA372" s="1179"/>
      <c r="AB372" s="1179"/>
      <c r="AC372" s="1179"/>
      <c r="AD372" s="1179"/>
      <c r="AE372" s="1179"/>
      <c r="AF372" s="1179"/>
      <c r="AG372" s="1179"/>
      <c r="AH372" s="1179"/>
      <c r="AI372" s="1179"/>
      <c r="AJ372" s="7731"/>
      <c r="AK372" s="7732"/>
      <c r="AL372" s="1582"/>
      <c r="AM372" s="1179"/>
      <c r="AN372" s="1179"/>
      <c r="AO372" s="1179"/>
      <c r="AP372" s="2757"/>
      <c r="AQ372" s="1179"/>
      <c r="AR372" s="1179"/>
      <c r="AS372" s="1179"/>
      <c r="AT372" s="1179"/>
      <c r="AU372" s="1179"/>
      <c r="AV372" s="1179"/>
      <c r="AW372" s="1179"/>
      <c r="AX372" s="4048" t="s">
        <v>31</v>
      </c>
      <c r="AY372" s="4047" t="str">
        <f>"Multiply line 4 by "&amp;TEXT(BF372,"0.0000")</f>
        <v>Multiply line 4 by 0.3243</v>
      </c>
      <c r="AZ372" s="2079"/>
      <c r="BA372" s="2079"/>
      <c r="BB372" s="2079"/>
      <c r="BC372" s="2079"/>
      <c r="BD372" s="4049" t="s">
        <v>31</v>
      </c>
      <c r="BE372" s="2045" t="str">
        <f>IF(BE371&lt;&gt;"",ROUND(BE371*BF372,0),"")</f>
        <v/>
      </c>
      <c r="BF372" s="4053">
        <v>0.32429999999999998</v>
      </c>
      <c r="BG372" s="2079"/>
      <c r="BH372" s="4046"/>
    </row>
    <row r="373" spans="1:60" s="2689" customFormat="1" ht="13.5" customHeight="1">
      <c r="A373" s="3910"/>
      <c r="B373" s="7717"/>
      <c r="C373" s="7717"/>
      <c r="D373" s="1276" t="s">
        <v>4163</v>
      </c>
      <c r="E373" s="1179"/>
      <c r="F373" s="2686"/>
      <c r="G373" s="1179"/>
      <c r="H373" s="1179"/>
      <c r="I373" s="1179"/>
      <c r="J373" s="1179"/>
      <c r="K373" s="1179"/>
      <c r="L373" s="1179"/>
      <c r="M373" s="1179"/>
      <c r="N373" s="1179"/>
      <c r="O373" s="1179"/>
      <c r="P373" s="1179"/>
      <c r="Q373" s="1179"/>
      <c r="R373" s="1179"/>
      <c r="S373" s="1179"/>
      <c r="T373" s="1179"/>
      <c r="U373" s="1179"/>
      <c r="V373" s="1179"/>
      <c r="W373" s="1179"/>
      <c r="X373" s="1179"/>
      <c r="Y373" s="1179"/>
      <c r="Z373" s="1179"/>
      <c r="AA373" s="1179"/>
      <c r="AB373" s="1179"/>
      <c r="AC373" s="1179"/>
      <c r="AD373" s="1179"/>
      <c r="AE373" s="1179"/>
      <c r="AF373" s="1179"/>
      <c r="AG373" s="1179"/>
      <c r="AH373" s="1179"/>
      <c r="AI373" s="1179"/>
      <c r="AJ373" s="7731"/>
      <c r="AK373" s="7732"/>
      <c r="AL373" s="1582"/>
      <c r="AM373" s="1179"/>
      <c r="AN373" s="1179"/>
      <c r="AO373" s="1179"/>
      <c r="AP373" s="2757"/>
      <c r="AQ373" s="2757"/>
      <c r="AR373" s="2757"/>
      <c r="AS373" s="2757"/>
      <c r="AT373" s="2757"/>
      <c r="AU373" s="2757"/>
      <c r="AV373" s="1179"/>
      <c r="AW373" s="1179"/>
      <c r="AX373" s="4048" t="s">
        <v>67</v>
      </c>
      <c r="AY373" s="4047" t="str">
        <f>"Enter your worldwide "&amp;TEXT(BF373,"0%")&amp;" gains (see instructions)"</f>
        <v>Enter your worldwide 20% gains (see instructions)</v>
      </c>
      <c r="AZ373" s="2079"/>
      <c r="BA373" s="2079"/>
      <c r="BB373" s="2079"/>
      <c r="BC373" s="2079"/>
      <c r="BD373" s="4049" t="s">
        <v>67</v>
      </c>
      <c r="BE373" s="1849"/>
      <c r="BF373" s="4052">
        <v>0.2</v>
      </c>
      <c r="BG373" s="2079"/>
      <c r="BH373" s="4046"/>
    </row>
    <row r="374" spans="1:60" ht="14.25" customHeight="1">
      <c r="A374" s="3910"/>
      <c r="B374" s="4697"/>
      <c r="C374" s="4697"/>
      <c r="D374" s="1926" t="s">
        <v>4165</v>
      </c>
      <c r="E374" s="1179"/>
      <c r="F374" s="2686"/>
      <c r="G374" s="1179"/>
      <c r="H374" s="1179"/>
      <c r="I374" s="1179"/>
      <c r="J374" s="1179"/>
      <c r="K374" s="1179"/>
      <c r="L374" s="1179"/>
      <c r="M374" s="1179"/>
      <c r="N374" s="1179"/>
      <c r="O374" s="1179"/>
      <c r="P374" s="1179"/>
      <c r="Q374" s="1179"/>
      <c r="R374" s="1179"/>
      <c r="S374" s="1179"/>
      <c r="T374" s="1179"/>
      <c r="U374" s="1179"/>
      <c r="V374" s="1179"/>
      <c r="W374" s="1179"/>
      <c r="X374" s="1179"/>
      <c r="Y374" s="1179"/>
      <c r="Z374" s="1179"/>
      <c r="AA374" s="1179"/>
      <c r="AB374" s="1179"/>
      <c r="AC374" s="1179"/>
      <c r="AD374" s="1179"/>
      <c r="AE374" s="1179"/>
      <c r="AF374" s="1179"/>
      <c r="AG374" s="1179"/>
      <c r="AH374" s="1179"/>
      <c r="AI374" s="1179"/>
      <c r="AJ374" s="7729">
        <v>20</v>
      </c>
      <c r="AK374" s="7730"/>
      <c r="AL374" s="7742" t="str">
        <f>IF(AQ374&lt;&gt;"",ROUND(AQ374,0),IF(AB365,"",IF(AO281&lt;&gt;1,"",SUM(Tax_SubTotal,PTC_ExcessAdv))))</f>
        <v/>
      </c>
      <c r="AM374" s="6685"/>
      <c r="AN374" s="6685"/>
      <c r="AO374" s="6685"/>
      <c r="AP374" s="2757"/>
      <c r="AQ374" s="7752"/>
      <c r="AR374" s="7753"/>
      <c r="AS374" s="7753"/>
      <c r="AT374" s="7753"/>
      <c r="AU374" s="2757"/>
      <c r="AV374" s="1179"/>
      <c r="AW374" s="1179"/>
      <c r="AX374" s="4048" t="s">
        <v>68</v>
      </c>
      <c r="AY374" s="4047" t="str">
        <f>"Multiply line 6 by "&amp;TEXT(BF374,"0.0000")</f>
        <v>Multiply line 6 by 0.4595</v>
      </c>
      <c r="AZ374" s="2079"/>
      <c r="BA374" s="2079"/>
      <c r="BB374" s="2079"/>
      <c r="BC374" s="2079"/>
      <c r="BD374" s="4049" t="s">
        <v>68</v>
      </c>
      <c r="BE374" s="2045" t="str">
        <f>IF(BE373&lt;&gt;"",ROUND(BE373*BF374,0),"")</f>
        <v/>
      </c>
      <c r="BF374" s="4053">
        <v>0.45950000000000002</v>
      </c>
      <c r="BG374" s="2079"/>
      <c r="BH374" s="4046"/>
    </row>
    <row r="375" spans="1:60" ht="14.25" customHeight="1">
      <c r="A375" s="3910"/>
      <c r="B375" s="2945"/>
      <c r="C375" s="2945"/>
      <c r="D375" s="1926" t="s">
        <v>4166</v>
      </c>
      <c r="E375" s="1179"/>
      <c r="F375" s="1179"/>
      <c r="G375" s="1179"/>
      <c r="H375" s="1179"/>
      <c r="I375" s="1179"/>
      <c r="J375" s="1179"/>
      <c r="K375" s="1179"/>
      <c r="L375" s="1179"/>
      <c r="M375" s="1179"/>
      <c r="N375" s="1179"/>
      <c r="O375" s="1179"/>
      <c r="P375" s="1179"/>
      <c r="Q375" s="1179"/>
      <c r="R375" s="1179"/>
      <c r="S375" s="1179"/>
      <c r="T375" s="1179"/>
      <c r="U375" s="1179"/>
      <c r="V375" s="1179"/>
      <c r="W375" s="1179"/>
      <c r="X375" s="1179"/>
      <c r="Y375" s="1179"/>
      <c r="Z375" s="1179"/>
      <c r="AA375" s="1179"/>
      <c r="AB375" s="1179"/>
      <c r="AC375" s="1179"/>
      <c r="AD375" s="1179"/>
      <c r="AE375" s="1179"/>
      <c r="AF375" s="1179"/>
      <c r="AG375" s="1179"/>
      <c r="AH375" s="1179"/>
      <c r="AI375" s="1560" t="s">
        <v>2971</v>
      </c>
      <c r="AJ375" s="1582"/>
      <c r="AK375" s="1583"/>
      <c r="AL375" s="1179"/>
      <c r="AM375" s="1179"/>
      <c r="AN375" s="1179"/>
      <c r="AO375" s="1179"/>
      <c r="AP375" s="2757"/>
      <c r="AQ375" s="2757"/>
      <c r="AR375" s="2757"/>
      <c r="AS375" s="2757"/>
      <c r="AT375" s="2757"/>
      <c r="AU375" s="2757"/>
      <c r="AV375" s="1179"/>
      <c r="AW375" s="1179"/>
      <c r="AX375" s="4048" t="s">
        <v>204</v>
      </c>
      <c r="AY375" s="4047" t="str">
        <f>"Enter your worldwide "&amp;TEXT(BF375,"0%")&amp;" gains (see instructions)"</f>
        <v>Enter your worldwide 15% gains (see instructions)</v>
      </c>
      <c r="AZ375" s="2079"/>
      <c r="BA375" s="2079"/>
      <c r="BB375" s="2079"/>
      <c r="BC375" s="2079"/>
      <c r="BD375" s="4049" t="s">
        <v>204</v>
      </c>
      <c r="BE375" s="1849"/>
      <c r="BF375" s="4052">
        <v>0.15</v>
      </c>
      <c r="BG375" s="2079"/>
      <c r="BH375" s="4046"/>
    </row>
    <row r="376" spans="1:60" ht="14.25" customHeight="1">
      <c r="A376" s="3910"/>
      <c r="B376" s="2945"/>
      <c r="C376" s="2945"/>
      <c r="D376" s="1276" t="s">
        <v>2509</v>
      </c>
      <c r="E376" s="1179"/>
      <c r="F376" s="1179"/>
      <c r="G376" s="1179"/>
      <c r="H376" s="1179"/>
      <c r="I376" s="1179"/>
      <c r="J376" s="1179"/>
      <c r="K376" s="1179"/>
      <c r="L376" s="1179"/>
      <c r="M376" s="1179"/>
      <c r="N376" s="1179"/>
      <c r="O376" s="1179"/>
      <c r="P376" s="1179"/>
      <c r="Q376" s="1179"/>
      <c r="R376" s="1179"/>
      <c r="S376" s="1179"/>
      <c r="T376" s="1179"/>
      <c r="U376" s="1179"/>
      <c r="V376" s="1179"/>
      <c r="W376" s="1179"/>
      <c r="X376" s="1179"/>
      <c r="Y376" s="1179"/>
      <c r="Z376" s="1179"/>
      <c r="AA376" s="1179"/>
      <c r="AB376" s="1179"/>
      <c r="AC376" s="1179"/>
      <c r="AD376" s="1179"/>
      <c r="AE376" s="1179"/>
      <c r="AF376" s="1179"/>
      <c r="AG376" s="1179"/>
      <c r="AH376" s="1179"/>
      <c r="AI376" s="1560"/>
      <c r="AJ376" s="1582"/>
      <c r="AK376" s="1583"/>
      <c r="AL376" s="1179"/>
      <c r="AM376" s="1179"/>
      <c r="AN376" s="1179"/>
      <c r="AO376" s="1179"/>
      <c r="AP376" s="2757"/>
      <c r="AQ376" s="2757"/>
      <c r="AR376" s="2757"/>
      <c r="AS376" s="2757"/>
      <c r="AT376" s="2757"/>
      <c r="AU376" s="2757"/>
      <c r="AV376" s="1179"/>
      <c r="AW376" s="1179"/>
      <c r="AX376" s="4048" t="s">
        <v>205</v>
      </c>
      <c r="AY376" s="4047" t="str">
        <f>"Multiply line 8 by "&amp;TEXT(BF376,"0.0000")</f>
        <v>Multiply line 8 by 0.5946</v>
      </c>
      <c r="AZ376" s="2079"/>
      <c r="BA376" s="2079"/>
      <c r="BB376" s="2079"/>
      <c r="BC376" s="2079"/>
      <c r="BD376" s="4049" t="s">
        <v>205</v>
      </c>
      <c r="BE376" s="2045" t="str">
        <f>IF(BE375&lt;&gt;"",ROUND(BE375*BF376,0),"")</f>
        <v/>
      </c>
      <c r="BF376" s="4053">
        <v>0.59460000000000002</v>
      </c>
      <c r="BG376" s="2079"/>
      <c r="BH376" s="4046"/>
    </row>
    <row r="377" spans="1:60" ht="14.25" customHeight="1">
      <c r="A377" s="3910"/>
      <c r="B377" s="1179"/>
      <c r="C377" s="1185"/>
      <c r="D377" s="1277" t="s">
        <v>485</v>
      </c>
      <c r="E377" s="1179"/>
      <c r="F377" s="1179"/>
      <c r="G377" s="1179"/>
      <c r="H377" s="1179"/>
      <c r="I377" s="1179"/>
      <c r="J377" s="1179"/>
      <c r="K377" s="1179"/>
      <c r="L377" s="1179"/>
      <c r="M377" s="1179"/>
      <c r="N377" s="1179"/>
      <c r="O377" s="1179"/>
      <c r="P377" s="1179"/>
      <c r="Q377" s="1179"/>
      <c r="R377" s="1179"/>
      <c r="S377" s="1179"/>
      <c r="T377" s="1285"/>
      <c r="U377" s="1179"/>
      <c r="V377" s="1179"/>
      <c r="W377" s="1179"/>
      <c r="X377" s="1179"/>
      <c r="Y377" s="1179"/>
      <c r="Z377" s="1179"/>
      <c r="AA377" s="1179"/>
      <c r="AB377" s="1179"/>
      <c r="AC377" s="1179"/>
      <c r="AD377" s="1179"/>
      <c r="AE377" s="1179"/>
      <c r="AF377" s="1179"/>
      <c r="AG377" s="1179"/>
      <c r="AH377" s="1179"/>
      <c r="AI377" s="1179"/>
      <c r="AJ377" s="1582"/>
      <c r="AK377" s="1583"/>
      <c r="AL377" s="1179"/>
      <c r="AM377" s="1179"/>
      <c r="AN377" s="1179"/>
      <c r="AO377" s="1179"/>
      <c r="AP377" s="2757"/>
      <c r="AQ377" s="1179"/>
      <c r="AR377" s="1179"/>
      <c r="AS377" s="1179"/>
      <c r="AT377" s="1179"/>
      <c r="AU377" s="1179"/>
      <c r="AV377" s="1179"/>
      <c r="AW377" s="1179"/>
      <c r="AX377" s="4048" t="s">
        <v>295</v>
      </c>
      <c r="AY377" s="4047" t="str">
        <f>"Enter your worldwide "&amp;TEXT(BF377,"0%")&amp;" gains and qualified dividends"</f>
        <v>Enter your worldwide 0% gains and qualified dividends</v>
      </c>
      <c r="AZ377" s="2079"/>
      <c r="BA377" s="2079"/>
      <c r="BB377" s="2079"/>
      <c r="BC377" s="2079"/>
      <c r="BD377" s="4049"/>
      <c r="BE377" s="4042"/>
      <c r="BF377" s="4052">
        <v>0</v>
      </c>
      <c r="BG377" s="2079"/>
      <c r="BH377" s="4046"/>
    </row>
    <row r="378" spans="1:60" ht="14.25" customHeight="1">
      <c r="A378" s="3910"/>
      <c r="B378" s="7728">
        <v>21</v>
      </c>
      <c r="C378" s="7728"/>
      <c r="D378" s="1179" t="s">
        <v>2229</v>
      </c>
      <c r="E378" s="1179"/>
      <c r="F378" s="1179"/>
      <c r="G378" s="1179"/>
      <c r="H378" s="1179"/>
      <c r="I378" s="1179"/>
      <c r="J378" s="1179"/>
      <c r="K378" s="1179"/>
      <c r="L378" s="1179"/>
      <c r="M378" s="1179"/>
      <c r="N378" s="1179"/>
      <c r="O378" s="1179"/>
      <c r="P378" s="1179"/>
      <c r="Q378" s="1179"/>
      <c r="R378" s="1179"/>
      <c r="S378" s="1179"/>
      <c r="T378" s="1285"/>
      <c r="U378" s="1179"/>
      <c r="V378" s="1179"/>
      <c r="W378" s="1179"/>
      <c r="X378" s="1179"/>
      <c r="Y378" s="1179"/>
      <c r="Z378" s="1179"/>
      <c r="AA378" s="1179"/>
      <c r="AB378" s="1179"/>
      <c r="AC378" s="1179"/>
      <c r="AD378" s="1179"/>
      <c r="AE378" s="1179"/>
      <c r="AF378" s="1179"/>
      <c r="AG378" s="1179"/>
      <c r="AH378" s="1179"/>
      <c r="AI378" s="1560" t="s">
        <v>644</v>
      </c>
      <c r="AJ378" s="7729">
        <v>21</v>
      </c>
      <c r="AK378" s="7730"/>
      <c r="AL378" s="7742" t="str">
        <f>IF(AB365,"",IF(ISERROR(AL370*AL374),"                    ---",ROUND(AL370*AL374,0)))</f>
        <v/>
      </c>
      <c r="AM378" s="6685"/>
      <c r="AN378" s="6685"/>
      <c r="AO378" s="6685"/>
      <c r="AP378" s="2757"/>
      <c r="AQ378" s="1179"/>
      <c r="AR378" s="1179"/>
      <c r="AS378" s="1179"/>
      <c r="AT378" s="1179"/>
      <c r="AU378" s="1179"/>
      <c r="AV378" s="1179"/>
      <c r="AW378" s="1179"/>
      <c r="AX378" s="4045"/>
      <c r="AY378" s="4047" t="s">
        <v>1794</v>
      </c>
      <c r="AZ378" s="2079"/>
      <c r="BA378" s="2079"/>
      <c r="BB378" s="2079"/>
      <c r="BC378" s="2079"/>
      <c r="BD378" s="4049" t="s">
        <v>295</v>
      </c>
      <c r="BE378" s="1849"/>
      <c r="BF378" s="2079"/>
      <c r="BG378" s="3978">
        <f>ROUND(BE378,0)</f>
        <v>0</v>
      </c>
      <c r="BH378" s="4046"/>
    </row>
    <row r="379" spans="1:60" ht="14.25" customHeight="1">
      <c r="A379" s="3910"/>
      <c r="B379" s="4697"/>
      <c r="C379" s="4697"/>
      <c r="D379" s="1179"/>
      <c r="E379" s="1179"/>
      <c r="F379" s="1179"/>
      <c r="G379" s="1179"/>
      <c r="H379" s="1179"/>
      <c r="I379" s="1179"/>
      <c r="J379" s="1179"/>
      <c r="K379" s="1179"/>
      <c r="L379" s="1179"/>
      <c r="M379" s="1179"/>
      <c r="N379" s="1179"/>
      <c r="O379" s="1179"/>
      <c r="P379" s="1179"/>
      <c r="Q379" s="1179"/>
      <c r="R379" s="1179"/>
      <c r="S379" s="1179"/>
      <c r="T379" s="1285"/>
      <c r="U379" s="1179"/>
      <c r="V379" s="1179"/>
      <c r="W379" s="1179"/>
      <c r="X379" s="1179"/>
      <c r="Y379" s="1179"/>
      <c r="Z379" s="1179"/>
      <c r="AA379" s="1179"/>
      <c r="AB379" s="1179"/>
      <c r="AC379" s="1179"/>
      <c r="AD379" s="1179"/>
      <c r="AE379" s="1179"/>
      <c r="AF379" s="1179"/>
      <c r="AG379" s="1179"/>
      <c r="AH379" s="1179"/>
      <c r="AI379" s="1560"/>
      <c r="AJ379" s="3768"/>
      <c r="AK379" s="4696"/>
      <c r="AL379" s="1179"/>
      <c r="AM379" s="1179"/>
      <c r="AN379" s="1179"/>
      <c r="AO379" s="1179"/>
      <c r="AP379" s="2757"/>
      <c r="AQ379" s="1179"/>
      <c r="AR379" s="1179"/>
      <c r="AS379" s="1179"/>
      <c r="AT379" s="1179"/>
      <c r="AU379" s="1179"/>
      <c r="AV379" s="1179"/>
      <c r="AW379" s="1179"/>
      <c r="AX379" s="4048" t="s">
        <v>296</v>
      </c>
      <c r="AY379" s="4047" t="s">
        <v>3273</v>
      </c>
      <c r="AZ379" s="2079"/>
      <c r="BA379" s="2079"/>
      <c r="BB379" s="2079"/>
      <c r="BC379" s="2079"/>
      <c r="BD379" s="2079"/>
      <c r="BE379" s="3978" t="b">
        <f>OR(BE369&lt;&gt;"",BE371&lt;&gt;"",BE373&lt;&gt;"",BE375&lt;&gt;"",BE378&lt;&gt;"")</f>
        <v>0</v>
      </c>
      <c r="BF379" s="4049" t="s">
        <v>296</v>
      </c>
      <c r="BG379" s="2045">
        <f>IF(BE379,SUM(BE370,BE372,BE374,BE376,BG378),IF(AB357,"",0))</f>
        <v>0</v>
      </c>
      <c r="BH379" s="4046"/>
    </row>
    <row r="380" spans="1:60" ht="14.25" customHeight="1">
      <c r="A380" s="3910"/>
      <c r="B380" s="7717">
        <v>22</v>
      </c>
      <c r="C380" s="7717"/>
      <c r="D380" s="1276" t="s">
        <v>4167</v>
      </c>
      <c r="E380" s="1179"/>
      <c r="F380" s="1179"/>
      <c r="G380" s="1179"/>
      <c r="H380" s="1179"/>
      <c r="I380" s="1179"/>
      <c r="J380" s="1179"/>
      <c r="K380" s="1179"/>
      <c r="L380" s="1179"/>
      <c r="M380" s="1179"/>
      <c r="N380" s="1179"/>
      <c r="O380" s="1179"/>
      <c r="P380" s="1179"/>
      <c r="Q380" s="1179"/>
      <c r="R380" s="1179"/>
      <c r="S380" s="1179"/>
      <c r="T380" s="1285"/>
      <c r="U380" s="1179"/>
      <c r="V380" s="1179"/>
      <c r="W380" s="1179"/>
      <c r="X380" s="1179"/>
      <c r="Y380" s="1179"/>
      <c r="Z380" s="1179"/>
      <c r="AA380" s="1179"/>
      <c r="AB380" s="1179"/>
      <c r="AC380" s="1179"/>
      <c r="AD380" s="1179"/>
      <c r="AE380" s="1179"/>
      <c r="AF380" s="1179"/>
      <c r="AG380" s="1179"/>
      <c r="AH380" s="1179"/>
      <c r="AI380" s="1560" t="s">
        <v>805</v>
      </c>
      <c r="AJ380" s="7729">
        <v>22</v>
      </c>
      <c r="AK380" s="7740"/>
      <c r="AL380" s="7741"/>
      <c r="AM380" s="6677"/>
      <c r="AN380" s="6677"/>
      <c r="AO380" s="6677"/>
      <c r="AP380" s="2757"/>
      <c r="AQ380" s="1179"/>
      <c r="AR380" s="1179"/>
      <c r="AS380" s="1179"/>
      <c r="AT380" s="1179"/>
      <c r="AU380" s="1179"/>
      <c r="AV380" s="1179"/>
      <c r="AW380" s="1179"/>
      <c r="AX380" s="4048" t="s">
        <v>297</v>
      </c>
      <c r="AY380" s="4047" t="s">
        <v>3274</v>
      </c>
      <c r="AZ380" s="2079"/>
      <c r="BA380" s="2079"/>
      <c r="BB380" s="2079"/>
      <c r="BC380" s="2079"/>
      <c r="BD380" s="2079"/>
      <c r="BE380" s="2079"/>
      <c r="BF380" s="4049" t="s">
        <v>297</v>
      </c>
      <c r="BG380" s="2045">
        <f>IF(BG379="","",SUM(BG368,-BG379))</f>
        <v>0</v>
      </c>
      <c r="BH380" s="4046"/>
    </row>
    <row r="381" spans="1:60" ht="14.25" customHeight="1" thickBot="1">
      <c r="A381" s="3910"/>
      <c r="B381" s="4697"/>
      <c r="C381" s="4697"/>
      <c r="D381" s="1179"/>
      <c r="E381" s="1179"/>
      <c r="F381" s="1179"/>
      <c r="G381" s="1179"/>
      <c r="H381" s="1179"/>
      <c r="I381" s="1179"/>
      <c r="J381" s="1179"/>
      <c r="K381" s="1179"/>
      <c r="L381" s="1179"/>
      <c r="M381" s="1179"/>
      <c r="N381" s="1179"/>
      <c r="O381" s="1179"/>
      <c r="P381" s="1179"/>
      <c r="Q381" s="1179"/>
      <c r="R381" s="1179"/>
      <c r="S381" s="1179"/>
      <c r="T381" s="1285"/>
      <c r="U381" s="1179"/>
      <c r="V381" s="1179"/>
      <c r="W381" s="1179"/>
      <c r="X381" s="1179"/>
      <c r="Y381" s="1179"/>
      <c r="Z381" s="1179"/>
      <c r="AA381" s="1179"/>
      <c r="AB381" s="1179"/>
      <c r="AC381" s="1179"/>
      <c r="AD381" s="1179"/>
      <c r="AE381" s="1179"/>
      <c r="AF381" s="1179"/>
      <c r="AG381" s="1179"/>
      <c r="AH381" s="1179"/>
      <c r="AI381" s="1560"/>
      <c r="AJ381" s="3768"/>
      <c r="AK381" s="4696"/>
      <c r="AL381" s="1179"/>
      <c r="AM381" s="1179"/>
      <c r="AN381" s="1179"/>
      <c r="AO381" s="1179"/>
      <c r="AP381" s="2757"/>
      <c r="AQ381" s="1179"/>
      <c r="AR381" s="1179"/>
      <c r="AS381" s="1179"/>
      <c r="AT381" s="1179"/>
      <c r="AU381" s="1179"/>
      <c r="AV381" s="1179"/>
      <c r="AW381" s="1179"/>
      <c r="AX381" s="4050"/>
      <c r="AY381" s="4051"/>
      <c r="AZ381" s="4051"/>
      <c r="BA381" s="4051"/>
      <c r="BB381" s="4051"/>
      <c r="BC381" s="4051"/>
      <c r="BD381" s="4051"/>
      <c r="BE381" s="4051"/>
      <c r="BF381" s="4051"/>
      <c r="BG381" s="4051"/>
      <c r="BH381" s="4054"/>
    </row>
    <row r="382" spans="1:60" ht="14.25" customHeight="1">
      <c r="A382" s="3910"/>
      <c r="B382" s="7717">
        <v>23</v>
      </c>
      <c r="C382" s="7717"/>
      <c r="D382" s="1276" t="s">
        <v>3476</v>
      </c>
      <c r="E382" s="1179"/>
      <c r="F382" s="1179"/>
      <c r="G382" s="1179"/>
      <c r="H382" s="1179"/>
      <c r="I382" s="1179"/>
      <c r="J382" s="1179"/>
      <c r="K382" s="1179"/>
      <c r="L382" s="1179"/>
      <c r="M382" s="1179"/>
      <c r="N382" s="1179"/>
      <c r="O382" s="1179"/>
      <c r="P382" s="1179"/>
      <c r="Q382" s="1179"/>
      <c r="R382" s="1179"/>
      <c r="S382" s="1179"/>
      <c r="T382" s="1285"/>
      <c r="U382" s="1179"/>
      <c r="V382" s="1179"/>
      <c r="W382" s="1179"/>
      <c r="X382" s="1179"/>
      <c r="Y382" s="1179"/>
      <c r="Z382" s="1179"/>
      <c r="AA382" s="1179"/>
      <c r="AB382" s="1179"/>
      <c r="AC382" s="1179"/>
      <c r="AD382" s="1179"/>
      <c r="AE382" s="1179"/>
      <c r="AF382" s="1179"/>
      <c r="AG382" s="1179"/>
      <c r="AH382" s="1179"/>
      <c r="AI382" s="1560" t="s">
        <v>2908</v>
      </c>
      <c r="AJ382" s="7729">
        <v>23</v>
      </c>
      <c r="AK382" s="7740"/>
      <c r="AL382" s="7742" t="str">
        <f>IF(AB365,"",SUM(AL378,AQ380))</f>
        <v/>
      </c>
      <c r="AM382" s="6676"/>
      <c r="AN382" s="6676"/>
      <c r="AO382" s="6676"/>
      <c r="AP382" s="2757"/>
      <c r="AQ382" s="1179"/>
      <c r="AR382" s="1179"/>
      <c r="AS382" s="1179"/>
      <c r="AT382" s="1179"/>
      <c r="AU382" s="1179"/>
      <c r="AV382" s="1179"/>
      <c r="AW382" s="1179"/>
      <c r="AX382" s="3013"/>
      <c r="AY382" s="3851"/>
      <c r="AZ382" s="3851"/>
      <c r="BA382" s="3851"/>
      <c r="BB382" s="3851"/>
      <c r="BC382" s="3851"/>
      <c r="BD382" s="3851"/>
      <c r="BE382" s="3851"/>
      <c r="BF382" s="3851"/>
      <c r="BG382" s="3851"/>
      <c r="BH382" s="3851"/>
    </row>
    <row r="383" spans="1:60" ht="14.25" customHeight="1">
      <c r="A383" s="3910"/>
      <c r="B383" s="7717">
        <v>24</v>
      </c>
      <c r="C383" s="7717"/>
      <c r="D383" s="1276" t="s">
        <v>4168</v>
      </c>
      <c r="E383" s="1179"/>
      <c r="F383" s="2686"/>
      <c r="G383" s="1179"/>
      <c r="H383" s="1179"/>
      <c r="I383" s="1179"/>
      <c r="J383" s="1179"/>
      <c r="K383" s="1179"/>
      <c r="L383" s="1179"/>
      <c r="M383" s="1179"/>
      <c r="N383" s="1179"/>
      <c r="O383" s="1179"/>
      <c r="P383" s="1179"/>
      <c r="Q383" s="1179"/>
      <c r="R383" s="1179"/>
      <c r="S383" s="1179"/>
      <c r="T383" s="1179"/>
      <c r="U383" s="1179"/>
      <c r="V383" s="1179"/>
      <c r="W383" s="1179"/>
      <c r="X383" s="1179"/>
      <c r="Y383" s="1179"/>
      <c r="Z383" s="1179"/>
      <c r="AA383" s="1179"/>
      <c r="AB383" s="1179"/>
      <c r="AC383" s="1179"/>
      <c r="AD383" s="1179"/>
      <c r="AE383" s="1179"/>
      <c r="AF383" s="1179"/>
      <c r="AG383" s="1179"/>
      <c r="AH383" s="1179"/>
      <c r="AI383" s="1179"/>
      <c r="AJ383" s="1582"/>
      <c r="AK383" s="1583"/>
      <c r="AL383" s="1179"/>
      <c r="AM383" s="1179"/>
      <c r="AN383" s="1179"/>
      <c r="AO383" s="1179"/>
      <c r="AP383" s="2757"/>
      <c r="AQ383" s="1179"/>
      <c r="AR383" s="1179"/>
      <c r="AS383" s="1179"/>
      <c r="AT383" s="1179"/>
      <c r="AU383" s="1179"/>
      <c r="AV383" s="1179"/>
      <c r="AW383" s="1179"/>
      <c r="AX383" s="3013"/>
      <c r="AY383" s="3851"/>
      <c r="AZ383" s="3851"/>
      <c r="BA383" s="3851"/>
      <c r="BB383" s="3851"/>
      <c r="BC383" s="3851"/>
      <c r="BD383" s="3851"/>
      <c r="BE383" s="3851"/>
      <c r="BF383" s="3851"/>
      <c r="BG383" s="3851"/>
      <c r="BH383" s="3851"/>
    </row>
    <row r="384" spans="1:60" ht="14.25" customHeight="1">
      <c r="A384" s="3910"/>
      <c r="B384" s="1179"/>
      <c r="C384" s="1185"/>
      <c r="D384" s="1926" t="s">
        <v>4169</v>
      </c>
      <c r="E384" s="1179"/>
      <c r="F384" s="1179"/>
      <c r="G384" s="1179"/>
      <c r="H384" s="1179"/>
      <c r="I384" s="1179"/>
      <c r="J384" s="1179"/>
      <c r="K384" s="1179"/>
      <c r="L384" s="1179"/>
      <c r="M384" s="1179"/>
      <c r="N384" s="1179"/>
      <c r="O384" s="1179"/>
      <c r="P384" s="1179"/>
      <c r="Q384" s="1179"/>
      <c r="R384" s="1179"/>
      <c r="S384" s="1179"/>
      <c r="T384" s="1285"/>
      <c r="U384" s="1179"/>
      <c r="V384" s="1179"/>
      <c r="W384" s="1179"/>
      <c r="X384" s="1179"/>
      <c r="Y384" s="1179"/>
      <c r="Z384" s="1179"/>
      <c r="AA384" s="1179"/>
      <c r="AB384" s="1179"/>
      <c r="AC384" s="1179"/>
      <c r="AD384" s="1179"/>
      <c r="AE384" s="1179"/>
      <c r="AF384" s="1179"/>
      <c r="AG384" s="1179"/>
      <c r="AH384" s="1179"/>
      <c r="AI384" s="1179"/>
      <c r="AJ384" s="1582"/>
      <c r="AK384" s="1583"/>
      <c r="AL384" s="7861">
        <f>SUM($AO$20,$AO$151,$AO$281)</f>
        <v>0</v>
      </c>
      <c r="AM384" s="7862"/>
      <c r="AN384" s="7862"/>
      <c r="AO384" s="7862"/>
      <c r="AP384" s="2757"/>
      <c r="AQ384" s="2757"/>
      <c r="AR384" s="2757"/>
      <c r="AS384" s="2757"/>
      <c r="AT384" s="2757"/>
      <c r="AU384" s="2757"/>
      <c r="AV384" s="1179"/>
      <c r="AW384" s="1179"/>
      <c r="AX384" s="3013"/>
      <c r="AY384" s="3860" t="s">
        <v>3080</v>
      </c>
      <c r="AZ384" s="3851"/>
      <c r="BA384" s="3851"/>
      <c r="BB384" s="3862" t="str">
        <f>IF(ISERROR(SUM(AL378,-ForeignTaxCredit_3))," ---",MAX(SUM(AL378,-ForeignTaxCredit_3),0))</f>
        <v xml:space="preserve"> ---</v>
      </c>
      <c r="BC384" s="3864" t="s">
        <v>3081</v>
      </c>
      <c r="BD384" s="3851"/>
      <c r="BE384" s="3851"/>
      <c r="BF384" s="3851"/>
      <c r="BG384" s="3851"/>
      <c r="BH384" s="3851"/>
    </row>
    <row r="385" spans="1:60" ht="14.25" customHeight="1" thickBot="1">
      <c r="A385" s="3910"/>
      <c r="B385" s="7728"/>
      <c r="C385" s="7728"/>
      <c r="D385" s="1179" t="s">
        <v>891</v>
      </c>
      <c r="E385" s="1179"/>
      <c r="F385" s="1179"/>
      <c r="G385" s="1179"/>
      <c r="H385" s="1179"/>
      <c r="I385" s="1179"/>
      <c r="J385" s="1179"/>
      <c r="K385" s="1179"/>
      <c r="L385" s="1179"/>
      <c r="M385" s="1179"/>
      <c r="N385" s="1179"/>
      <c r="O385" s="1179"/>
      <c r="P385" s="1179"/>
      <c r="Q385" s="1179"/>
      <c r="R385" s="1179"/>
      <c r="S385" s="1179"/>
      <c r="T385" s="1285"/>
      <c r="U385" s="1179"/>
      <c r="V385" s="1179"/>
      <c r="W385" s="1179"/>
      <c r="X385" s="1179"/>
      <c r="Y385" s="1179"/>
      <c r="Z385" s="1179"/>
      <c r="AA385" s="1179"/>
      <c r="AB385" s="1179"/>
      <c r="AC385" s="1179"/>
      <c r="AD385" s="1179"/>
      <c r="AE385" s="1179"/>
      <c r="AF385" s="1179"/>
      <c r="AG385" s="1179"/>
      <c r="AH385" s="1179"/>
      <c r="AI385" s="1560" t="s">
        <v>2418</v>
      </c>
      <c r="AJ385" s="7729">
        <v>24</v>
      </c>
      <c r="AK385" s="7730"/>
      <c r="AL385" s="7742" t="str">
        <f>IF(AQ385&lt;&gt;"",ROUND(AQ385,0),IF(AB365,"",IF(ISERROR(AL355*AL378),"                    ---",MIN(AL355,AL378))))</f>
        <v/>
      </c>
      <c r="AM385" s="6685"/>
      <c r="AN385" s="6685"/>
      <c r="AO385" s="6685"/>
      <c r="AP385" s="2757"/>
      <c r="AQ385" s="7752"/>
      <c r="AR385" s="7753"/>
      <c r="AS385" s="7753"/>
      <c r="AT385" s="7753"/>
      <c r="AU385" s="2757"/>
      <c r="AV385" s="1179"/>
      <c r="AW385" s="1179"/>
      <c r="AX385" s="3013"/>
      <c r="AY385" s="3860" t="s">
        <v>3082</v>
      </c>
      <c r="AZ385" s="3851"/>
      <c r="BA385" s="3851"/>
      <c r="BB385" s="3863" t="str">
        <f>IF(ISERROR(SUM(AL355,-ForeignTaxCredit_3))," ---",MAX(SUM(AL355,-ForeignTaxCredit_3),0))</f>
        <v xml:space="preserve"> ---</v>
      </c>
      <c r="BC385" s="3864" t="s">
        <v>3083</v>
      </c>
      <c r="BD385" s="3851"/>
      <c r="BE385" s="3851"/>
      <c r="BF385" s="3851"/>
      <c r="BG385" s="3851"/>
      <c r="BH385" s="3851"/>
    </row>
    <row r="386" spans="1:60" ht="14.25" customHeight="1">
      <c r="A386" s="3912"/>
      <c r="B386" s="7854" t="s">
        <v>470</v>
      </c>
      <c r="C386" s="7854"/>
      <c r="D386" s="7855"/>
      <c r="E386" s="2690"/>
      <c r="F386" s="2814" t="s">
        <v>2243</v>
      </c>
      <c r="G386" s="2690"/>
      <c r="H386" s="2690"/>
      <c r="I386" s="2690"/>
      <c r="J386" s="2690"/>
      <c r="K386" s="2690"/>
      <c r="L386" s="2690"/>
      <c r="M386" s="2690"/>
      <c r="N386" s="2690"/>
      <c r="O386" s="2690"/>
      <c r="P386" s="2690"/>
      <c r="Q386" s="2690"/>
      <c r="R386" s="2690"/>
      <c r="S386" s="2690"/>
      <c r="T386" s="2690"/>
      <c r="U386" s="2690"/>
      <c r="V386" s="2690"/>
      <c r="W386" s="2690"/>
      <c r="X386" s="2690"/>
      <c r="Y386" s="2690"/>
      <c r="Z386" s="2690"/>
      <c r="AA386" s="2690"/>
      <c r="AB386" s="2690"/>
      <c r="AC386" s="2690"/>
      <c r="AD386" s="2690"/>
      <c r="AE386" s="2690"/>
      <c r="AF386" s="2690"/>
      <c r="AG386" s="2690"/>
      <c r="AH386" s="2690"/>
      <c r="AI386" s="2690"/>
      <c r="AJ386" s="2690"/>
      <c r="AK386" s="2690"/>
      <c r="AL386" s="7864" t="b">
        <f>IF(AND(AL384&gt;1,AL385=MAX($AL$125,$AL$255,$AL$385)),TRUE,FALSE)</f>
        <v>0</v>
      </c>
      <c r="AM386" s="7865"/>
      <c r="AN386" s="7865"/>
      <c r="AO386" s="7865"/>
      <c r="AP386" s="2757"/>
      <c r="AQ386" s="2757"/>
      <c r="AR386" s="2757"/>
      <c r="AS386" s="2757"/>
      <c r="AT386" s="2757"/>
      <c r="AU386" s="2757"/>
      <c r="AV386" s="1540"/>
      <c r="AW386" s="1540"/>
      <c r="AX386" s="3013"/>
      <c r="AY386" s="3860"/>
      <c r="AZ386" s="3851"/>
      <c r="BA386" s="3851"/>
      <c r="BB386" s="3851"/>
      <c r="BC386" s="3851"/>
      <c r="BD386" s="3851"/>
      <c r="BE386" s="3851"/>
      <c r="BF386" s="3851"/>
      <c r="BG386" s="3851"/>
      <c r="BH386" s="3851"/>
    </row>
    <row r="387" spans="1:60" ht="18" customHeight="1">
      <c r="A387" s="3910"/>
      <c r="B387" s="7717">
        <v>25</v>
      </c>
      <c r="C387" s="7717"/>
      <c r="D387" s="1276" t="s">
        <v>2510</v>
      </c>
      <c r="E387" s="1179"/>
      <c r="F387" s="2686"/>
      <c r="G387" s="1179"/>
      <c r="H387" s="1179"/>
      <c r="I387" s="1179"/>
      <c r="J387" s="1179"/>
      <c r="K387" s="1179"/>
      <c r="L387" s="1179"/>
      <c r="M387" s="1179"/>
      <c r="N387" s="1179"/>
      <c r="O387" s="1179"/>
      <c r="P387" s="1179"/>
      <c r="Q387" s="1179"/>
      <c r="R387" s="1179"/>
      <c r="S387" s="1179"/>
      <c r="T387" s="1179"/>
      <c r="U387" s="1179"/>
      <c r="V387" s="1179"/>
      <c r="W387" s="1179"/>
      <c r="X387" s="3022"/>
      <c r="Y387" s="1560" t="s">
        <v>2513</v>
      </c>
      <c r="Z387" s="7729">
        <v>25</v>
      </c>
      <c r="AA387" s="7730"/>
      <c r="AB387" s="7767" t="str">
        <f>IF(AL386,$AR$25,"")</f>
        <v/>
      </c>
      <c r="AC387" s="7768"/>
      <c r="AD387" s="7768"/>
      <c r="AE387" s="7768"/>
      <c r="AF387" s="7768"/>
      <c r="AG387" s="7768"/>
      <c r="AH387" s="7768"/>
      <c r="AI387" s="7769"/>
      <c r="AJ387" s="7724"/>
      <c r="AK387" s="7770"/>
      <c r="AL387" s="1582"/>
      <c r="AM387" s="1179"/>
      <c r="AN387" s="1179"/>
      <c r="AO387" s="1179"/>
      <c r="AP387" s="2757"/>
      <c r="AQ387" s="1284" t="s">
        <v>33</v>
      </c>
      <c r="AR387" s="7751">
        <f>IF(C282&lt;&gt;"",AL385,0)</f>
        <v>0</v>
      </c>
      <c r="AS387" s="7751"/>
      <c r="AT387" s="7751"/>
      <c r="AU387" s="7751"/>
      <c r="AV387" s="1179"/>
      <c r="AW387" s="1179"/>
      <c r="AX387" s="3013"/>
      <c r="AY387" s="3860" t="s">
        <v>3084</v>
      </c>
      <c r="AZ387" s="3851"/>
      <c r="BA387" s="3851"/>
      <c r="BB387" s="3851"/>
      <c r="BC387" s="3851"/>
      <c r="BD387" s="3851"/>
      <c r="BE387" s="3851"/>
      <c r="BF387" s="3851"/>
      <c r="BG387" s="3851"/>
      <c r="BH387" s="3851"/>
    </row>
    <row r="388" spans="1:60" ht="14.25">
      <c r="A388" s="3910"/>
      <c r="B388" s="7717">
        <v>26</v>
      </c>
      <c r="C388" s="7717"/>
      <c r="D388" s="1276" t="s">
        <v>2511</v>
      </c>
      <c r="E388" s="1179"/>
      <c r="F388" s="2686"/>
      <c r="G388" s="1179"/>
      <c r="H388" s="1179"/>
      <c r="I388" s="1179"/>
      <c r="J388" s="1179"/>
      <c r="K388" s="1179"/>
      <c r="L388" s="1179"/>
      <c r="M388" s="1179"/>
      <c r="N388" s="1179"/>
      <c r="O388" s="1179"/>
      <c r="P388" s="1179"/>
      <c r="Q388" s="1179"/>
      <c r="R388" s="1179"/>
      <c r="S388" s="1179"/>
      <c r="T388" s="1179"/>
      <c r="U388" s="1179"/>
      <c r="V388" s="1179"/>
      <c r="W388" s="1179"/>
      <c r="X388" s="3022"/>
      <c r="Y388" s="1560" t="s">
        <v>2401</v>
      </c>
      <c r="Z388" s="7729">
        <v>26</v>
      </c>
      <c r="AA388" s="7730"/>
      <c r="AB388" s="7767" t="str">
        <f>IF(AL386,$AR$26,"")</f>
        <v/>
      </c>
      <c r="AC388" s="7768"/>
      <c r="AD388" s="7768"/>
      <c r="AE388" s="7768"/>
      <c r="AF388" s="7768"/>
      <c r="AG388" s="7768"/>
      <c r="AH388" s="7768"/>
      <c r="AI388" s="7769"/>
      <c r="AJ388" s="7724"/>
      <c r="AK388" s="7770"/>
      <c r="AL388" s="1582"/>
      <c r="AM388" s="1179"/>
      <c r="AN388" s="1179"/>
      <c r="AO388" s="1179"/>
      <c r="AP388" s="2757"/>
      <c r="AQ388" s="1284" t="s">
        <v>47</v>
      </c>
      <c r="AR388" s="7751">
        <f>IF(C284&lt;&gt;"",AL385,0)</f>
        <v>0</v>
      </c>
      <c r="AS388" s="7751"/>
      <c r="AT388" s="7751"/>
      <c r="AU388" s="7751"/>
      <c r="AV388" s="1179"/>
      <c r="AW388" s="1179"/>
      <c r="AX388" s="3013"/>
      <c r="AY388" s="3860" t="s">
        <v>3085</v>
      </c>
      <c r="AZ388" s="3851"/>
      <c r="BA388" s="3851"/>
      <c r="BB388" s="3851"/>
      <c r="BC388" s="3851"/>
      <c r="BD388" s="3851"/>
      <c r="BE388" s="3851"/>
      <c r="BF388" s="3851"/>
      <c r="BG388" s="3851"/>
      <c r="BH388" s="3851"/>
    </row>
    <row r="389" spans="1:60" ht="14.25">
      <c r="A389" s="3910"/>
      <c r="B389" s="7717">
        <v>27</v>
      </c>
      <c r="C389" s="7717"/>
      <c r="D389" s="1276" t="s">
        <v>2230</v>
      </c>
      <c r="E389" s="1179"/>
      <c r="F389" s="2686"/>
      <c r="G389" s="1179"/>
      <c r="H389" s="1179"/>
      <c r="I389" s="1179"/>
      <c r="J389" s="1179"/>
      <c r="K389" s="1179"/>
      <c r="L389" s="1179"/>
      <c r="M389" s="1179"/>
      <c r="N389" s="1179"/>
      <c r="O389" s="1179"/>
      <c r="P389" s="1179"/>
      <c r="Q389" s="1179"/>
      <c r="R389" s="1179"/>
      <c r="S389" s="1179"/>
      <c r="T389" s="1179"/>
      <c r="U389" s="1179"/>
      <c r="V389" s="1179"/>
      <c r="W389" s="1179"/>
      <c r="X389" s="3022"/>
      <c r="Y389" s="1560" t="s">
        <v>1930</v>
      </c>
      <c r="Z389" s="7729">
        <v>27</v>
      </c>
      <c r="AA389" s="7730"/>
      <c r="AB389" s="7767" t="str">
        <f>IF(AL386,$AR$27,"")</f>
        <v/>
      </c>
      <c r="AC389" s="7768"/>
      <c r="AD389" s="7768"/>
      <c r="AE389" s="7768"/>
      <c r="AF389" s="7768"/>
      <c r="AG389" s="7768"/>
      <c r="AH389" s="7768"/>
      <c r="AI389" s="7769"/>
      <c r="AJ389" s="7724"/>
      <c r="AK389" s="7770"/>
      <c r="AL389" s="1582"/>
      <c r="AM389" s="1179"/>
      <c r="AN389" s="1179"/>
      <c r="AO389" s="1179"/>
      <c r="AP389" s="2757"/>
      <c r="AQ389" s="1284" t="s">
        <v>48</v>
      </c>
      <c r="AR389" s="7751">
        <f>IF(K282&lt;&gt;"",AL385,0)</f>
        <v>0</v>
      </c>
      <c r="AS389" s="7751"/>
      <c r="AT389" s="7751"/>
      <c r="AU389" s="7751"/>
      <c r="AV389" s="1179"/>
      <c r="AW389" s="1179"/>
      <c r="AX389" s="3013"/>
      <c r="AY389" s="3861" t="s">
        <v>3086</v>
      </c>
      <c r="AZ389" s="3851"/>
      <c r="BA389" s="3851"/>
      <c r="BB389" s="3851"/>
      <c r="BC389" s="3851"/>
      <c r="BD389" s="3851"/>
      <c r="BE389" s="3851"/>
      <c r="BF389" s="3851"/>
      <c r="BG389" s="3851"/>
      <c r="BH389" s="3851"/>
    </row>
    <row r="390" spans="1:60" ht="14.25">
      <c r="A390" s="3910"/>
      <c r="B390" s="7717">
        <v>28</v>
      </c>
      <c r="C390" s="7717"/>
      <c r="D390" s="1276" t="s">
        <v>2231</v>
      </c>
      <c r="E390" s="1179"/>
      <c r="F390" s="2686"/>
      <c r="G390" s="1179"/>
      <c r="H390" s="1179"/>
      <c r="I390" s="1179"/>
      <c r="J390" s="1179"/>
      <c r="K390" s="1179"/>
      <c r="L390" s="1179"/>
      <c r="M390" s="1179"/>
      <c r="N390" s="1179"/>
      <c r="O390" s="1179"/>
      <c r="P390" s="1179"/>
      <c r="Q390" s="1179"/>
      <c r="R390" s="1179"/>
      <c r="S390" s="1179"/>
      <c r="T390" s="1179"/>
      <c r="U390" s="1179"/>
      <c r="V390" s="1179"/>
      <c r="W390" s="1179"/>
      <c r="X390" s="3022"/>
      <c r="Y390" s="1560" t="s">
        <v>1930</v>
      </c>
      <c r="Z390" s="7729">
        <v>28</v>
      </c>
      <c r="AA390" s="7730"/>
      <c r="AB390" s="7767" t="str">
        <f>IF(AL386,$AR$28,"")</f>
        <v/>
      </c>
      <c r="AC390" s="7768"/>
      <c r="AD390" s="7768"/>
      <c r="AE390" s="7768"/>
      <c r="AF390" s="7768"/>
      <c r="AG390" s="7768"/>
      <c r="AH390" s="7768"/>
      <c r="AI390" s="7769"/>
      <c r="AJ390" s="7724"/>
      <c r="AK390" s="7770"/>
      <c r="AL390" s="1582"/>
      <c r="AM390" s="1179"/>
      <c r="AN390" s="1179"/>
      <c r="AO390" s="1179"/>
      <c r="AP390" s="2757"/>
      <c r="AQ390" s="1284" t="s">
        <v>92</v>
      </c>
      <c r="AR390" s="7751">
        <f>IF(K284&lt;&gt;"",AL385,0)</f>
        <v>0</v>
      </c>
      <c r="AS390" s="7751"/>
      <c r="AT390" s="7751"/>
      <c r="AU390" s="7751"/>
      <c r="AV390" s="1179"/>
      <c r="AW390" s="1179"/>
      <c r="AX390" s="3013"/>
      <c r="AY390" s="3861"/>
      <c r="AZ390" s="3851"/>
      <c r="BA390" s="3851"/>
      <c r="BB390" s="3851"/>
      <c r="BC390" s="3851"/>
      <c r="BD390" s="3851"/>
      <c r="BE390" s="3851"/>
      <c r="BF390" s="3851"/>
      <c r="BG390" s="3851"/>
      <c r="BH390" s="3851"/>
    </row>
    <row r="391" spans="1:60" ht="14.25">
      <c r="A391" s="3910"/>
      <c r="B391" s="7717">
        <v>29</v>
      </c>
      <c r="C391" s="7717"/>
      <c r="D391" s="1276" t="s">
        <v>2512</v>
      </c>
      <c r="E391" s="1179"/>
      <c r="F391" s="2686"/>
      <c r="G391" s="1179"/>
      <c r="H391" s="1179"/>
      <c r="I391" s="1179"/>
      <c r="J391" s="1179"/>
      <c r="K391" s="1179"/>
      <c r="L391" s="1179"/>
      <c r="M391" s="1179"/>
      <c r="N391" s="1179"/>
      <c r="O391" s="1179"/>
      <c r="P391" s="1179"/>
      <c r="Q391" s="1179"/>
      <c r="R391" s="1179"/>
      <c r="S391" s="1179"/>
      <c r="T391" s="1179"/>
      <c r="U391" s="1179"/>
      <c r="V391" s="1179"/>
      <c r="W391" s="1179"/>
      <c r="X391" s="3022"/>
      <c r="Y391" s="1560" t="s">
        <v>2401</v>
      </c>
      <c r="Z391" s="7729">
        <v>29</v>
      </c>
      <c r="AA391" s="7730"/>
      <c r="AB391" s="7767" t="str">
        <f>IF(AL386,$AR$29,"")</f>
        <v/>
      </c>
      <c r="AC391" s="7768"/>
      <c r="AD391" s="7768"/>
      <c r="AE391" s="7768"/>
      <c r="AF391" s="7768"/>
      <c r="AG391" s="7768"/>
      <c r="AH391" s="7768"/>
      <c r="AI391" s="7769"/>
      <c r="AJ391" s="7724"/>
      <c r="AK391" s="7770"/>
      <c r="AL391" s="1582"/>
      <c r="AM391" s="1179"/>
      <c r="AN391" s="1179"/>
      <c r="AO391" s="1179"/>
      <c r="AP391" s="2757"/>
      <c r="AQ391" s="1284" t="s">
        <v>964</v>
      </c>
      <c r="AR391" s="7751">
        <f>IF(W282&lt;&gt;"",AL385,0)</f>
        <v>0</v>
      </c>
      <c r="AS391" s="7751"/>
      <c r="AT391" s="7751"/>
      <c r="AU391" s="7751"/>
      <c r="AV391" s="1179"/>
      <c r="AW391" s="1179"/>
      <c r="AX391" s="3013"/>
      <c r="AY391" s="3860"/>
      <c r="AZ391" s="3851"/>
      <c r="BA391" s="3851"/>
      <c r="BB391" s="3851"/>
      <c r="BC391" s="3851"/>
      <c r="BD391" s="3851"/>
      <c r="BE391" s="3851"/>
      <c r="BF391" s="3851"/>
      <c r="BG391" s="3851"/>
      <c r="BH391" s="3851"/>
    </row>
    <row r="392" spans="1:60" ht="14.25">
      <c r="A392" s="3910"/>
      <c r="B392" s="7717">
        <v>30</v>
      </c>
      <c r="C392" s="7717"/>
      <c r="D392" s="1276" t="s">
        <v>2232</v>
      </c>
      <c r="E392" s="1179"/>
      <c r="F392" s="2686"/>
      <c r="G392" s="1179"/>
      <c r="H392" s="1179"/>
      <c r="I392" s="1179"/>
      <c r="J392" s="1179"/>
      <c r="K392" s="1179"/>
      <c r="L392" s="1179"/>
      <c r="M392" s="1179"/>
      <c r="N392" s="1179"/>
      <c r="O392" s="1179"/>
      <c r="P392" s="1179"/>
      <c r="Q392" s="1179"/>
      <c r="R392" s="1179"/>
      <c r="S392" s="1179"/>
      <c r="T392" s="1179"/>
      <c r="U392" s="1179"/>
      <c r="V392" s="1179"/>
      <c r="W392" s="1179"/>
      <c r="X392" s="3022"/>
      <c r="Y392" s="1560" t="s">
        <v>1978</v>
      </c>
      <c r="Z392" s="7729">
        <v>30</v>
      </c>
      <c r="AA392" s="7730"/>
      <c r="AB392" s="7767" t="str">
        <f>IF(AL386,$AR$30,"")</f>
        <v/>
      </c>
      <c r="AC392" s="7768"/>
      <c r="AD392" s="7768"/>
      <c r="AE392" s="7768"/>
      <c r="AF392" s="7768"/>
      <c r="AG392" s="7768"/>
      <c r="AH392" s="7768"/>
      <c r="AI392" s="7769"/>
      <c r="AJ392" s="7724"/>
      <c r="AK392" s="7770"/>
      <c r="AL392" s="1582"/>
      <c r="AM392" s="1179"/>
      <c r="AN392" s="1179"/>
      <c r="AO392" s="1179"/>
      <c r="AP392" s="2757"/>
      <c r="AQ392" s="1284" t="s">
        <v>965</v>
      </c>
      <c r="AR392" s="7751">
        <f>IF(W284&lt;&gt;"",AL385,0)</f>
        <v>0</v>
      </c>
      <c r="AS392" s="7751"/>
      <c r="AT392" s="7751"/>
      <c r="AU392" s="7751"/>
      <c r="AV392" s="1179"/>
      <c r="AW392" s="1179"/>
      <c r="AX392" s="3013"/>
      <c r="AY392" s="3851"/>
      <c r="AZ392" s="3851"/>
      <c r="BA392" s="3851"/>
      <c r="BB392" s="3851"/>
      <c r="BC392" s="3851"/>
      <c r="BD392" s="3851"/>
      <c r="BE392" s="3851"/>
      <c r="BF392" s="3851"/>
      <c r="BG392" s="3851"/>
      <c r="BH392" s="3851"/>
    </row>
    <row r="393" spans="1:60" ht="15" thickBot="1">
      <c r="A393" s="3910"/>
      <c r="B393" s="7717">
        <v>31</v>
      </c>
      <c r="C393" s="7717"/>
      <c r="D393" s="1276" t="s">
        <v>2233</v>
      </c>
      <c r="E393" s="1179"/>
      <c r="F393" s="2686"/>
      <c r="G393" s="1179"/>
      <c r="H393" s="1179"/>
      <c r="I393" s="1179"/>
      <c r="J393" s="1179"/>
      <c r="K393" s="1179"/>
      <c r="L393" s="1179"/>
      <c r="M393" s="1179"/>
      <c r="N393" s="1179"/>
      <c r="O393" s="1179"/>
      <c r="P393" s="1179"/>
      <c r="Q393" s="1179"/>
      <c r="R393" s="1179"/>
      <c r="S393" s="1179"/>
      <c r="T393" s="1179"/>
      <c r="U393" s="1179"/>
      <c r="V393" s="1179"/>
      <c r="W393" s="1179"/>
      <c r="X393" s="3022"/>
      <c r="Y393" s="1560" t="s">
        <v>2401</v>
      </c>
      <c r="Z393" s="7786">
        <v>31</v>
      </c>
      <c r="AA393" s="7787"/>
      <c r="AB393" s="7788" t="str">
        <f>IF(AL386,$AR$31,"")</f>
        <v/>
      </c>
      <c r="AC393" s="7789"/>
      <c r="AD393" s="7789"/>
      <c r="AE393" s="7789"/>
      <c r="AF393" s="7789"/>
      <c r="AG393" s="7789"/>
      <c r="AH393" s="7789"/>
      <c r="AI393" s="7790"/>
      <c r="AJ393" s="7724"/>
      <c r="AK393" s="7770"/>
      <c r="AL393" s="1582"/>
      <c r="AM393" s="1179"/>
      <c r="AN393" s="1179"/>
      <c r="AO393" s="1179"/>
      <c r="AP393" s="2757"/>
      <c r="AQ393" s="1284" t="s">
        <v>2133</v>
      </c>
      <c r="AR393" s="7751">
        <f>IF(AI282&lt;&gt;"",AL385,0)</f>
        <v>0</v>
      </c>
      <c r="AS393" s="7751"/>
      <c r="AT393" s="7751"/>
      <c r="AU393" s="7751"/>
      <c r="AV393" s="1179"/>
      <c r="AW393" s="1179"/>
      <c r="AX393" s="3013"/>
      <c r="AY393" s="3851"/>
      <c r="AZ393" s="3851"/>
      <c r="BA393" s="3851"/>
      <c r="BB393" s="3851"/>
      <c r="BC393" s="3851"/>
      <c r="BD393" s="3851"/>
      <c r="BE393" s="3851"/>
      <c r="BF393" s="3851"/>
      <c r="BG393" s="3851"/>
      <c r="BH393" s="3851"/>
    </row>
    <row r="394" spans="1:60" ht="14.25">
      <c r="A394" s="3910"/>
      <c r="B394" s="7717">
        <v>32</v>
      </c>
      <c r="C394" s="7717"/>
      <c r="D394" s="1276" t="s">
        <v>4170</v>
      </c>
      <c r="E394" s="1179"/>
      <c r="F394" s="2686"/>
      <c r="G394" s="1179"/>
      <c r="H394" s="1179"/>
      <c r="I394" s="1179"/>
      <c r="J394" s="1179"/>
      <c r="K394" s="1179"/>
      <c r="L394" s="1179"/>
      <c r="M394" s="1179"/>
      <c r="N394" s="1179"/>
      <c r="O394" s="1179"/>
      <c r="P394" s="1179"/>
      <c r="Q394" s="1179"/>
      <c r="R394" s="1179"/>
      <c r="S394" s="1179"/>
      <c r="T394" s="1179"/>
      <c r="U394" s="1179"/>
      <c r="V394" s="1179"/>
      <c r="W394" s="1179"/>
      <c r="X394" s="1179"/>
      <c r="Y394" s="1179"/>
      <c r="Z394" s="2805"/>
      <c r="AA394" s="2805"/>
      <c r="AB394" s="1574"/>
      <c r="AC394" s="1574"/>
      <c r="AD394" s="1574"/>
      <c r="AE394" s="1574"/>
      <c r="AF394" s="1574"/>
      <c r="AG394" s="1574"/>
      <c r="AH394" s="1574"/>
      <c r="AI394" s="1560" t="s">
        <v>2524</v>
      </c>
      <c r="AJ394" s="7729">
        <v>32</v>
      </c>
      <c r="AK394" s="7730"/>
      <c r="AL394" s="7742" t="str">
        <f>IF(AQ394&lt;&gt;"",ROUND(AQ394,0),IF(NOT(AL386),"",SUM(AB387:AI393)))</f>
        <v/>
      </c>
      <c r="AM394" s="6685"/>
      <c r="AN394" s="6685"/>
      <c r="AO394" s="6685"/>
      <c r="AP394" s="2757"/>
      <c r="AQ394" s="7752"/>
      <c r="AR394" s="7753"/>
      <c r="AS394" s="7753"/>
      <c r="AT394" s="7753"/>
      <c r="AU394" s="2757"/>
      <c r="AV394" s="1179"/>
      <c r="AW394" s="1179"/>
      <c r="AX394" s="3013"/>
      <c r="AY394" s="3851"/>
      <c r="AZ394" s="3851"/>
      <c r="BA394" s="3851"/>
      <c r="BB394" s="3851"/>
      <c r="BC394" s="3851"/>
      <c r="BD394" s="3851"/>
      <c r="BE394" s="3851"/>
      <c r="BF394" s="3851"/>
      <c r="BG394" s="3851"/>
      <c r="BH394" s="3851"/>
    </row>
    <row r="395" spans="1:60" ht="14.25">
      <c r="A395" s="3910"/>
      <c r="B395" s="7717">
        <v>33</v>
      </c>
      <c r="C395" s="7717"/>
      <c r="D395" s="1276" t="s">
        <v>4171</v>
      </c>
      <c r="E395" s="1179"/>
      <c r="F395" s="2686"/>
      <c r="G395" s="1179"/>
      <c r="H395" s="1179"/>
      <c r="I395" s="1179"/>
      <c r="J395" s="1179"/>
      <c r="K395" s="1179"/>
      <c r="L395" s="1179"/>
      <c r="M395" s="1179"/>
      <c r="N395" s="1179"/>
      <c r="O395" s="1179"/>
      <c r="P395" s="1179"/>
      <c r="Q395" s="1179"/>
      <c r="R395" s="1179"/>
      <c r="S395" s="1179"/>
      <c r="T395" s="1179"/>
      <c r="U395" s="1179"/>
      <c r="V395" s="1179"/>
      <c r="W395" s="1179"/>
      <c r="X395" s="1179"/>
      <c r="Y395" s="1179"/>
      <c r="Z395" s="1824"/>
      <c r="AA395" s="1824"/>
      <c r="AB395" s="1179"/>
      <c r="AC395" s="1179"/>
      <c r="AD395" s="1179"/>
      <c r="AE395" s="1179"/>
      <c r="AF395" s="1179"/>
      <c r="AG395" s="1179"/>
      <c r="AH395" s="1179"/>
      <c r="AI395" s="1560" t="s">
        <v>2395</v>
      </c>
      <c r="AJ395" s="7729">
        <v>33</v>
      </c>
      <c r="AK395" s="7730"/>
      <c r="AL395" s="7742" t="str">
        <f>IF(NOT(AL386),"",IF(ISERROR(MIN(AL374,AL394)),"",MIN(AL374,AL394)))</f>
        <v/>
      </c>
      <c r="AM395" s="6685"/>
      <c r="AN395" s="6685"/>
      <c r="AO395" s="6685"/>
      <c r="AP395" s="2757"/>
      <c r="AQ395" s="2757"/>
      <c r="AR395" s="2757"/>
      <c r="AS395" s="2757"/>
      <c r="AT395" s="2757"/>
      <c r="AU395" s="2757"/>
      <c r="AV395" s="1179"/>
      <c r="AW395" s="1179"/>
      <c r="AX395" s="3013"/>
      <c r="AY395" s="3851"/>
      <c r="AZ395" s="3851"/>
      <c r="BA395" s="3851"/>
      <c r="BB395" s="3851"/>
      <c r="BC395" s="3851"/>
      <c r="BD395" s="3851"/>
      <c r="BE395" s="3851"/>
      <c r="BF395" s="3851"/>
      <c r="BG395" s="3851"/>
      <c r="BH395" s="3851"/>
    </row>
    <row r="396" spans="1:60" ht="15" thickBot="1">
      <c r="A396" s="3910"/>
      <c r="B396" s="7717">
        <v>34</v>
      </c>
      <c r="C396" s="7717"/>
      <c r="D396" s="1276" t="s">
        <v>2234</v>
      </c>
      <c r="E396" s="1179"/>
      <c r="F396" s="2686"/>
      <c r="G396" s="1179"/>
      <c r="H396" s="1179"/>
      <c r="I396" s="1179"/>
      <c r="J396" s="1179"/>
      <c r="K396" s="1179"/>
      <c r="L396" s="1179"/>
      <c r="M396" s="1179"/>
      <c r="N396" s="1179"/>
      <c r="O396" s="1179"/>
      <c r="P396" s="1179"/>
      <c r="Q396" s="1179"/>
      <c r="R396" s="1179"/>
      <c r="S396" s="1179"/>
      <c r="T396" s="1179"/>
      <c r="U396" s="1179"/>
      <c r="V396" s="1179"/>
      <c r="W396" s="1179"/>
      <c r="X396" s="1179"/>
      <c r="Y396" s="1179"/>
      <c r="Z396" s="1824"/>
      <c r="AA396" s="1824"/>
      <c r="AB396" s="1179"/>
      <c r="AC396" s="1179"/>
      <c r="AD396" s="1179"/>
      <c r="AE396" s="1179"/>
      <c r="AF396" s="1179"/>
      <c r="AG396" s="1179"/>
      <c r="AH396" s="1179"/>
      <c r="AI396" s="1560" t="s">
        <v>1978</v>
      </c>
      <c r="AJ396" s="7786">
        <v>34</v>
      </c>
      <c r="AK396" s="7787"/>
      <c r="AL396" s="7852"/>
      <c r="AM396" s="7853"/>
      <c r="AN396" s="7853"/>
      <c r="AO396" s="7853"/>
      <c r="AP396" s="2757"/>
      <c r="AQ396" s="1179"/>
      <c r="AR396" s="1179"/>
      <c r="AS396" s="1179"/>
      <c r="AT396" s="1179"/>
      <c r="AU396" s="1179"/>
      <c r="AV396" s="1179"/>
      <c r="AW396" s="1179"/>
      <c r="AX396" s="3013"/>
      <c r="AY396" s="3851"/>
      <c r="AZ396" s="3851"/>
      <c r="BA396" s="3851"/>
      <c r="BB396" s="3851"/>
      <c r="BC396" s="3851"/>
      <c r="BD396" s="3851"/>
      <c r="BE396" s="3851"/>
      <c r="BF396" s="3851"/>
      <c r="BG396" s="3851"/>
      <c r="BH396" s="3851"/>
    </row>
    <row r="397" spans="1:60">
      <c r="A397" s="3910"/>
      <c r="B397" s="7717">
        <v>35</v>
      </c>
      <c r="C397" s="7717"/>
      <c r="D397" s="1276" t="s">
        <v>4172</v>
      </c>
      <c r="E397" s="1179"/>
      <c r="F397" s="1179"/>
      <c r="G397" s="1179"/>
      <c r="H397" s="1179"/>
      <c r="I397" s="1179"/>
      <c r="J397" s="1179"/>
      <c r="K397" s="1179"/>
      <c r="L397" s="1179"/>
      <c r="M397" s="1179"/>
      <c r="N397" s="1179"/>
      <c r="O397" s="1179"/>
      <c r="P397" s="1179"/>
      <c r="Q397" s="1179"/>
      <c r="R397" s="1179"/>
      <c r="S397" s="1179"/>
      <c r="T397" s="1285"/>
      <c r="U397" s="1179"/>
      <c r="V397" s="1179"/>
      <c r="W397" s="1179"/>
      <c r="X397" s="1179"/>
      <c r="Y397" s="1179"/>
      <c r="Z397" s="1179"/>
      <c r="AA397" s="1179"/>
      <c r="AB397" s="1179"/>
      <c r="AC397" s="1179"/>
      <c r="AD397" s="1179"/>
      <c r="AE397" s="1179"/>
      <c r="AF397" s="1179"/>
      <c r="AG397" s="1179"/>
      <c r="AH397" s="1179"/>
      <c r="AI397" s="1179"/>
      <c r="AJ397" s="7731"/>
      <c r="AK397" s="7732"/>
      <c r="AL397" s="1582"/>
      <c r="AM397" s="1179"/>
      <c r="AN397" s="1179"/>
      <c r="AO397" s="1179"/>
      <c r="AP397" s="2757"/>
      <c r="AQ397" s="2757"/>
      <c r="AR397" s="2757"/>
      <c r="AS397" s="2757"/>
      <c r="AT397" s="2757"/>
      <c r="AU397" s="2757"/>
      <c r="AV397" s="1179"/>
      <c r="AW397" s="1179"/>
      <c r="AX397" s="3013"/>
      <c r="AY397" s="3851"/>
      <c r="AZ397" s="3851"/>
      <c r="BA397" s="3851"/>
      <c r="BB397" s="3851"/>
      <c r="BC397" s="3851"/>
      <c r="BD397" s="3851"/>
      <c r="BE397" s="3851"/>
      <c r="BF397" s="3851"/>
      <c r="BG397" s="3851"/>
      <c r="BH397" s="3851"/>
    </row>
    <row r="398" spans="1:60" ht="15.75" thickBot="1">
      <c r="A398" s="3910"/>
      <c r="B398" s="2812"/>
      <c r="C398" s="2812"/>
      <c r="D398" s="1704" t="s">
        <v>4173</v>
      </c>
      <c r="E398" s="1280"/>
      <c r="F398" s="1280"/>
      <c r="G398" s="1280"/>
      <c r="H398" s="1280"/>
      <c r="I398" s="1280"/>
      <c r="J398" s="1280"/>
      <c r="K398" s="1280"/>
      <c r="L398" s="1280"/>
      <c r="M398" s="1280"/>
      <c r="N398" s="1280"/>
      <c r="O398" s="1280"/>
      <c r="P398" s="1280"/>
      <c r="Q398" s="1280"/>
      <c r="R398" s="1280"/>
      <c r="S398" s="1280"/>
      <c r="T398" s="2813"/>
      <c r="U398" s="1280"/>
      <c r="V398" s="1280"/>
      <c r="W398" s="1280"/>
      <c r="X398" s="1280"/>
      <c r="Y398" s="1280"/>
      <c r="Z398" s="1280"/>
      <c r="AA398" s="1280"/>
      <c r="AB398" s="1280"/>
      <c r="AC398" s="1280"/>
      <c r="AD398" s="1280"/>
      <c r="AE398" s="1280"/>
      <c r="AF398" s="1280"/>
      <c r="AG398" s="1280"/>
      <c r="AH398" s="1280"/>
      <c r="AI398" s="3307" t="s">
        <v>2419</v>
      </c>
      <c r="AJ398" s="7857">
        <v>35</v>
      </c>
      <c r="AK398" s="7858"/>
      <c r="AL398" s="7859" t="str">
        <f>IF(AQ398&lt;&gt;"",ROUND(AQ398,0),IF(AND(AL384=1,AO282=1),AL385,IF(NOT(AL386),"",IF(ISERROR(SUM(AL395,-AL396)),"",SUM(AL395,-AL396)))))</f>
        <v/>
      </c>
      <c r="AM398" s="7860"/>
      <c r="AN398" s="7860"/>
      <c r="AO398" s="7860"/>
      <c r="AP398" s="2757"/>
      <c r="AQ398" s="7752"/>
      <c r="AR398" s="7753"/>
      <c r="AS398" s="7753"/>
      <c r="AT398" s="7753"/>
      <c r="AU398" s="2757"/>
      <c r="AV398" s="1179"/>
      <c r="AW398" s="1179"/>
      <c r="AX398" s="3013"/>
      <c r="AY398" s="3851"/>
      <c r="AZ398" s="3851"/>
      <c r="BA398" s="3851"/>
      <c r="BB398" s="3851"/>
      <c r="BC398" s="3851"/>
      <c r="BD398" s="3851"/>
      <c r="BE398" s="3851"/>
      <c r="BF398" s="3851"/>
      <c r="BG398" s="3851"/>
      <c r="BH398" s="3851"/>
    </row>
    <row r="399" spans="1:60" ht="18">
      <c r="A399" s="3910"/>
      <c r="B399" s="2703"/>
      <c r="C399" s="2701"/>
      <c r="D399" s="1179"/>
      <c r="E399" s="1179"/>
      <c r="F399" s="1179"/>
      <c r="G399" s="1179"/>
      <c r="H399" s="1179"/>
      <c r="I399" s="1179"/>
      <c r="J399" s="1179"/>
      <c r="K399" s="1179"/>
      <c r="L399" s="1179"/>
      <c r="M399" s="1179"/>
      <c r="N399" s="1179"/>
      <c r="O399" s="1179"/>
      <c r="P399" s="1179"/>
      <c r="Q399" s="1179"/>
      <c r="R399" s="1179"/>
      <c r="S399" s="1179"/>
      <c r="T399" s="1179"/>
      <c r="U399" s="1179"/>
      <c r="V399" s="1179"/>
      <c r="W399" s="1179"/>
      <c r="X399" s="1179"/>
      <c r="Y399" s="1179"/>
      <c r="Z399" s="1179"/>
      <c r="AA399" s="1179"/>
      <c r="AB399" s="1179"/>
      <c r="AC399" s="1179"/>
      <c r="AD399" s="1179"/>
      <c r="AE399" s="1179"/>
      <c r="AF399" s="1179"/>
      <c r="AG399" s="1179"/>
      <c r="AH399" s="1179"/>
      <c r="AI399" s="1179"/>
      <c r="AJ399" s="1179"/>
      <c r="AK399" s="2065"/>
      <c r="AL399" s="1179"/>
      <c r="AM399" s="1179"/>
      <c r="AN399" s="2065" t="s">
        <v>2235</v>
      </c>
      <c r="AO399" s="1927" t="str">
        <f>"("&amp;TaxYear&amp;")"</f>
        <v>(2021)</v>
      </c>
      <c r="AP399" s="2757"/>
      <c r="AQ399" s="2757"/>
      <c r="AR399" s="2757"/>
      <c r="AS399" s="2757"/>
      <c r="AT399" s="2757"/>
      <c r="AU399" s="2757"/>
      <c r="AV399" s="1179"/>
      <c r="AW399" s="1179"/>
      <c r="AX399" s="3013"/>
      <c r="AY399" s="3851"/>
      <c r="AZ399" s="3851"/>
      <c r="BA399" s="3851"/>
      <c r="BB399" s="3851"/>
      <c r="BC399" s="3851"/>
      <c r="BD399" s="3851"/>
      <c r="BE399" s="3851"/>
      <c r="BF399" s="3851"/>
      <c r="BG399" s="3851"/>
      <c r="BH399" s="3851"/>
    </row>
    <row r="400" spans="1:60">
      <c r="A400" s="3910"/>
      <c r="B400" s="2757"/>
      <c r="C400" s="2757"/>
      <c r="D400" s="2757"/>
      <c r="E400" s="2757"/>
      <c r="F400" s="2757"/>
      <c r="G400" s="2757"/>
      <c r="H400" s="2757"/>
      <c r="I400" s="2757"/>
      <c r="J400" s="2757"/>
      <c r="K400" s="2757"/>
      <c r="L400" s="2757"/>
      <c r="M400" s="2757"/>
      <c r="N400" s="2757"/>
      <c r="O400" s="2757"/>
      <c r="P400" s="2757"/>
      <c r="Q400" s="2757"/>
      <c r="R400" s="2757"/>
      <c r="S400" s="2757"/>
      <c r="T400" s="2757"/>
      <c r="U400" s="2757"/>
      <c r="V400" s="2757"/>
      <c r="W400" s="2757"/>
      <c r="X400" s="2757"/>
      <c r="Y400" s="2757"/>
      <c r="Z400" s="2757"/>
      <c r="AA400" s="2757"/>
      <c r="AB400" s="2757"/>
      <c r="AC400" s="2757"/>
      <c r="AD400" s="2757"/>
      <c r="AE400" s="2757"/>
      <c r="AF400" s="2757"/>
      <c r="AG400" s="2757"/>
      <c r="AH400" s="2757"/>
      <c r="AI400" s="2757"/>
      <c r="AJ400" s="2757"/>
      <c r="AK400" s="2757"/>
      <c r="AL400" s="2757"/>
      <c r="AM400" s="2757"/>
      <c r="AN400" s="2757"/>
      <c r="AO400" s="2757"/>
      <c r="AP400" s="2757"/>
      <c r="AQ400" s="1179"/>
      <c r="AR400" s="1179"/>
      <c r="AS400" s="1179"/>
      <c r="AT400" s="1179"/>
      <c r="AU400" s="1179"/>
      <c r="AV400" s="1179"/>
      <c r="AW400" s="1179"/>
      <c r="AX400" s="3013"/>
      <c r="AY400" s="3851"/>
      <c r="AZ400" s="3851"/>
      <c r="BA400" s="3851"/>
      <c r="BB400" s="3851"/>
      <c r="BC400" s="3851"/>
      <c r="BD400" s="3851"/>
      <c r="BE400" s="3851"/>
      <c r="BF400" s="3851"/>
      <c r="BG400" s="3851"/>
      <c r="BH400" s="3851"/>
    </row>
  </sheetData>
  <sheetProtection algorithmName="SHA-512" hashValue="3gg/0+x75RDRuqVQ8BzSdK4Y+rinwSS+hytee3oBSyzCVYjduvrF8gR9kfuQLiI8YmadQCnyT0u/mn62+oshwQ==" saltValue="97LEchdKUULCSoy3jCELQg==" spinCount="100000" sheet="1" objects="1" scenarios="1"/>
  <mergeCells count="1068">
    <mergeCell ref="AQ394:AT394"/>
    <mergeCell ref="AI11:AO12"/>
    <mergeCell ref="K77:N77"/>
    <mergeCell ref="B62:C62"/>
    <mergeCell ref="AX101:BE102"/>
    <mergeCell ref="BF101:BG102"/>
    <mergeCell ref="AX231:BE232"/>
    <mergeCell ref="BF231:BG232"/>
    <mergeCell ref="AX361:BE362"/>
    <mergeCell ref="BF361:BG362"/>
    <mergeCell ref="AQ69:AW69"/>
    <mergeCell ref="AQ67:AQ68"/>
    <mergeCell ref="AQ13:AW13"/>
    <mergeCell ref="AQ11:AW12"/>
    <mergeCell ref="AQ14:AW14"/>
    <mergeCell ref="AQ15:AW15"/>
    <mergeCell ref="AL138:AO138"/>
    <mergeCell ref="AQ138:AT138"/>
    <mergeCell ref="AQ61:AT61"/>
    <mergeCell ref="AQ62:AT62"/>
    <mergeCell ref="AL95:AO95"/>
    <mergeCell ref="AQ107:AT107"/>
    <mergeCell ref="AL110:AO110"/>
    <mergeCell ref="AL115:AO115"/>
    <mergeCell ref="AL118:AO118"/>
    <mergeCell ref="AL125:AO125"/>
    <mergeCell ref="AQ115:AT115"/>
    <mergeCell ref="AK78:AL78"/>
    <mergeCell ref="AI69:AL74"/>
    <mergeCell ref="AI77:AL77"/>
    <mergeCell ref="AR131:AU131"/>
    <mergeCell ref="AR132:AU132"/>
    <mergeCell ref="AR133:AU133"/>
    <mergeCell ref="AB129:AI129"/>
    <mergeCell ref="AB130:AI130"/>
    <mergeCell ref="AL134:AO134"/>
    <mergeCell ref="AD31:AI31"/>
    <mergeCell ref="B46:C46"/>
    <mergeCell ref="AJ48:AK48"/>
    <mergeCell ref="AJ49:AK49"/>
    <mergeCell ref="AJ50:AK50"/>
    <mergeCell ref="AJ38:AK38"/>
    <mergeCell ref="AJ39:AK39"/>
    <mergeCell ref="AJ40:AK40"/>
    <mergeCell ref="AJ41:AK41"/>
    <mergeCell ref="AJ42:AK42"/>
    <mergeCell ref="AJ43:AK43"/>
    <mergeCell ref="AJ58:AK58"/>
    <mergeCell ref="AJ59:AK59"/>
    <mergeCell ref="AJ60:AK60"/>
    <mergeCell ref="AL61:AO61"/>
    <mergeCell ref="AL62:AO62"/>
    <mergeCell ref="AJ62:AK62"/>
    <mergeCell ref="AJ61:AK61"/>
    <mergeCell ref="AJ51:AK51"/>
    <mergeCell ref="AJ52:AK52"/>
    <mergeCell ref="AJ57:AK57"/>
    <mergeCell ref="AJ55:AK55"/>
    <mergeCell ref="AB98:AI98"/>
    <mergeCell ref="AB99:AI99"/>
    <mergeCell ref="AB104:AI104"/>
    <mergeCell ref="AQ134:AT134"/>
    <mergeCell ref="AB93:AI93"/>
    <mergeCell ref="AE77:AH77"/>
    <mergeCell ref="Z100:AA100"/>
    <mergeCell ref="AJ93:AK93"/>
    <mergeCell ref="AJ83:AK83"/>
    <mergeCell ref="AJ84:AK84"/>
    <mergeCell ref="AI75:AL75"/>
    <mergeCell ref="AM75:AO75"/>
    <mergeCell ref="AJ110:AK110"/>
    <mergeCell ref="AB128:AI128"/>
    <mergeCell ref="AL105:AO105"/>
    <mergeCell ref="AI76:AL76"/>
    <mergeCell ref="AM78:AO78"/>
    <mergeCell ref="AL104:AO104"/>
    <mergeCell ref="AJ90:AK90"/>
    <mergeCell ref="AJ91:AK91"/>
    <mergeCell ref="AJ92:AK92"/>
    <mergeCell ref="AJ96:AK96"/>
    <mergeCell ref="AJ97:AK97"/>
    <mergeCell ref="AJ98:AK98"/>
    <mergeCell ref="AJ99:AK99"/>
    <mergeCell ref="AJ100:AK100"/>
    <mergeCell ref="AJ101:AK101"/>
    <mergeCell ref="AJ102:AK102"/>
    <mergeCell ref="AJ103:AK103"/>
    <mergeCell ref="Z97:AA97"/>
    <mergeCell ref="AJ95:AK95"/>
    <mergeCell ref="AA77:AD77"/>
    <mergeCell ref="AJ88:AK88"/>
    <mergeCell ref="AL90:AO90"/>
    <mergeCell ref="AL91:AO91"/>
    <mergeCell ref="AM77:AO77"/>
    <mergeCell ref="B16:Z17"/>
    <mergeCell ref="AA15:AO15"/>
    <mergeCell ref="AA16:AO17"/>
    <mergeCell ref="AL36:AO36"/>
    <mergeCell ref="AJ36:AK36"/>
    <mergeCell ref="AJ35:AK35"/>
    <mergeCell ref="AJ34:AK34"/>
    <mergeCell ref="AJ33:AK33"/>
    <mergeCell ref="AJ32:AK32"/>
    <mergeCell ref="AJ31:AK31"/>
    <mergeCell ref="B32:C32"/>
    <mergeCell ref="P29:AI29"/>
    <mergeCell ref="P36:V36"/>
    <mergeCell ref="W36:AC36"/>
    <mergeCell ref="AD36:AI36"/>
    <mergeCell ref="H34:N34"/>
    <mergeCell ref="P51:V51"/>
    <mergeCell ref="W51:AC51"/>
    <mergeCell ref="B48:C48"/>
    <mergeCell ref="P50:V50"/>
    <mergeCell ref="W50:AC50"/>
    <mergeCell ref="AD49:AI49"/>
    <mergeCell ref="AD51:AI51"/>
    <mergeCell ref="AJ47:AK47"/>
    <mergeCell ref="AD45:AI45"/>
    <mergeCell ref="AJ44:AK44"/>
    <mergeCell ref="D36:N36"/>
    <mergeCell ref="AJ37:AK37"/>
    <mergeCell ref="B47:C47"/>
    <mergeCell ref="P49:V49"/>
    <mergeCell ref="W49:AC49"/>
    <mergeCell ref="B29:C29"/>
    <mergeCell ref="B93:C93"/>
    <mergeCell ref="Z93:AA93"/>
    <mergeCell ref="B94:C94"/>
    <mergeCell ref="B95:C95"/>
    <mergeCell ref="B96:C96"/>
    <mergeCell ref="Z96:AA96"/>
    <mergeCell ref="B86:C86"/>
    <mergeCell ref="B89:C89"/>
    <mergeCell ref="AD52:AI52"/>
    <mergeCell ref="AA71:AD74"/>
    <mergeCell ref="AE71:AH74"/>
    <mergeCell ref="X69:AH70"/>
    <mergeCell ref="AD50:AI50"/>
    <mergeCell ref="B56:C56"/>
    <mergeCell ref="B57:C57"/>
    <mergeCell ref="B55:C55"/>
    <mergeCell ref="P55:V55"/>
    <mergeCell ref="W55:AC55"/>
    <mergeCell ref="P58:V58"/>
    <mergeCell ref="W58:AC58"/>
    <mergeCell ref="H69:S70"/>
    <mergeCell ref="AD58:AI58"/>
    <mergeCell ref="AD55:AI55"/>
    <mergeCell ref="AD59:AI59"/>
    <mergeCell ref="P61:V61"/>
    <mergeCell ref="W61:AC61"/>
    <mergeCell ref="AD61:AI61"/>
    <mergeCell ref="H64:AO66"/>
    <mergeCell ref="X67:AO68"/>
    <mergeCell ref="P54:V54"/>
    <mergeCell ref="W54:AC54"/>
    <mergeCell ref="AD54:AI54"/>
    <mergeCell ref="B53:C53"/>
    <mergeCell ref="P53:V53"/>
    <mergeCell ref="W53:AC53"/>
    <mergeCell ref="B52:C52"/>
    <mergeCell ref="W59:AC59"/>
    <mergeCell ref="C64:G66"/>
    <mergeCell ref="B50:C50"/>
    <mergeCell ref="Z86:AA86"/>
    <mergeCell ref="B87:C87"/>
    <mergeCell ref="P52:V52"/>
    <mergeCell ref="W52:AC52"/>
    <mergeCell ref="AD53:AI53"/>
    <mergeCell ref="AJ53:AK53"/>
    <mergeCell ref="AJ54:AK54"/>
    <mergeCell ref="B54:C54"/>
    <mergeCell ref="B61:C61"/>
    <mergeCell ref="B60:C60"/>
    <mergeCell ref="P60:V60"/>
    <mergeCell ref="W60:AC60"/>
    <mergeCell ref="B63:D63"/>
    <mergeCell ref="E63:AO63"/>
    <mergeCell ref="AD60:AI60"/>
    <mergeCell ref="AB84:AI84"/>
    <mergeCell ref="AB86:AI86"/>
    <mergeCell ref="H77:J77"/>
    <mergeCell ref="T77:W77"/>
    <mergeCell ref="B64:B70"/>
    <mergeCell ref="AM69:AO74"/>
    <mergeCell ref="AM76:AO76"/>
    <mergeCell ref="B91:C91"/>
    <mergeCell ref="Z91:AA91"/>
    <mergeCell ref="B92:C92"/>
    <mergeCell ref="Z92:AA92"/>
    <mergeCell ref="Z87:AA87"/>
    <mergeCell ref="Z89:AA89"/>
    <mergeCell ref="C71:G72"/>
    <mergeCell ref="C73:G73"/>
    <mergeCell ref="O71:S73"/>
    <mergeCell ref="O74:S74"/>
    <mergeCell ref="H71:J74"/>
    <mergeCell ref="B90:C90"/>
    <mergeCell ref="Z90:AA90"/>
    <mergeCell ref="AB91:AI91"/>
    <mergeCell ref="C75:G75"/>
    <mergeCell ref="T75:W75"/>
    <mergeCell ref="X75:Z75"/>
    <mergeCell ref="H76:J76"/>
    <mergeCell ref="K76:N76"/>
    <mergeCell ref="O76:S76"/>
    <mergeCell ref="T76:W76"/>
    <mergeCell ref="X76:Z76"/>
    <mergeCell ref="AA76:AD76"/>
    <mergeCell ref="X77:Z77"/>
    <mergeCell ref="O77:S77"/>
    <mergeCell ref="AE76:AH76"/>
    <mergeCell ref="AA75:AD75"/>
    <mergeCell ref="AE75:AH75"/>
    <mergeCell ref="X71:Z74"/>
    <mergeCell ref="Z88:AA88"/>
    <mergeCell ref="AB89:AI89"/>
    <mergeCell ref="P31:V31"/>
    <mergeCell ref="W31:AC31"/>
    <mergeCell ref="P45:V45"/>
    <mergeCell ref="W45:AC45"/>
    <mergeCell ref="H12:AH12"/>
    <mergeCell ref="H13:AH13"/>
    <mergeCell ref="H14:AH14"/>
    <mergeCell ref="AI13:AM14"/>
    <mergeCell ref="AN13:AO14"/>
    <mergeCell ref="AJ85:AK85"/>
    <mergeCell ref="B59:C59"/>
    <mergeCell ref="P59:V59"/>
    <mergeCell ref="B51:C51"/>
    <mergeCell ref="AJ86:AK86"/>
    <mergeCell ref="AJ87:AK87"/>
    <mergeCell ref="AJ89:AK89"/>
    <mergeCell ref="K71:N74"/>
    <mergeCell ref="T69:W74"/>
    <mergeCell ref="B78:C78"/>
    <mergeCell ref="C77:G77"/>
    <mergeCell ref="C76:G76"/>
    <mergeCell ref="H67:W68"/>
    <mergeCell ref="H75:J75"/>
    <mergeCell ref="K75:N75"/>
    <mergeCell ref="O75:S75"/>
    <mergeCell ref="B26:C26"/>
    <mergeCell ref="AJ56:AK56"/>
    <mergeCell ref="B28:D28"/>
    <mergeCell ref="E28:AO28"/>
    <mergeCell ref="AJ45:AK45"/>
    <mergeCell ref="AJ46:AK46"/>
    <mergeCell ref="B88:C88"/>
    <mergeCell ref="B103:C103"/>
    <mergeCell ref="Z98:AA98"/>
    <mergeCell ref="Z99:AA99"/>
    <mergeCell ref="AB105:AI105"/>
    <mergeCell ref="Z103:AA103"/>
    <mergeCell ref="Z104:AA104"/>
    <mergeCell ref="B102:C102"/>
    <mergeCell ref="Z102:AA102"/>
    <mergeCell ref="B101:C101"/>
    <mergeCell ref="Z101:AA101"/>
    <mergeCell ref="AJ104:AK104"/>
    <mergeCell ref="B97:C97"/>
    <mergeCell ref="B99:C99"/>
    <mergeCell ref="B100:C100"/>
    <mergeCell ref="B13:G14"/>
    <mergeCell ref="B10:G11"/>
    <mergeCell ref="AI10:AO10"/>
    <mergeCell ref="B82:D82"/>
    <mergeCell ref="B83:C83"/>
    <mergeCell ref="Z83:AA83"/>
    <mergeCell ref="Z84:AA84"/>
    <mergeCell ref="B85:C85"/>
    <mergeCell ref="Z85:AA85"/>
    <mergeCell ref="B45:C45"/>
    <mergeCell ref="B37:C37"/>
    <mergeCell ref="B44:C44"/>
    <mergeCell ref="B30:C30"/>
    <mergeCell ref="B31:C31"/>
    <mergeCell ref="AJ29:AO30"/>
    <mergeCell ref="AD30:AI30"/>
    <mergeCell ref="W30:AC30"/>
    <mergeCell ref="P30:V30"/>
    <mergeCell ref="B116:C116"/>
    <mergeCell ref="B111:C111"/>
    <mergeCell ref="AJ111:AK111"/>
    <mergeCell ref="B112:C112"/>
    <mergeCell ref="AJ112:AK112"/>
    <mergeCell ref="B113:C113"/>
    <mergeCell ref="AJ113:AK113"/>
    <mergeCell ref="AJ115:AK115"/>
    <mergeCell ref="AB127:AI127"/>
    <mergeCell ref="AJ105:AK105"/>
    <mergeCell ref="AJ106:AK106"/>
    <mergeCell ref="AJ107:AK107"/>
    <mergeCell ref="B105:C105"/>
    <mergeCell ref="Z105:AA105"/>
    <mergeCell ref="B106:C106"/>
    <mergeCell ref="Z106:AA106"/>
    <mergeCell ref="Z107:AA107"/>
    <mergeCell ref="B125:C125"/>
    <mergeCell ref="AJ125:AK125"/>
    <mergeCell ref="B110:C110"/>
    <mergeCell ref="AB107:AI107"/>
    <mergeCell ref="AB106:AI106"/>
    <mergeCell ref="B128:C128"/>
    <mergeCell ref="Z128:AA128"/>
    <mergeCell ref="AJ128:AK128"/>
    <mergeCell ref="AL135:AO135"/>
    <mergeCell ref="AL136:AO136"/>
    <mergeCell ref="AJ138:AK138"/>
    <mergeCell ref="B129:C129"/>
    <mergeCell ref="Z129:AA129"/>
    <mergeCell ref="AJ129:AK129"/>
    <mergeCell ref="B130:C130"/>
    <mergeCell ref="Z130:AA130"/>
    <mergeCell ref="AJ130:AK130"/>
    <mergeCell ref="B131:C131"/>
    <mergeCell ref="B118:C118"/>
    <mergeCell ref="AJ118:AK118"/>
    <mergeCell ref="B123:C123"/>
    <mergeCell ref="B126:D126"/>
    <mergeCell ref="B127:C127"/>
    <mergeCell ref="Z127:AA127"/>
    <mergeCell ref="AJ127:AK127"/>
    <mergeCell ref="B120:C120"/>
    <mergeCell ref="B122:C122"/>
    <mergeCell ref="AJ120:AK120"/>
    <mergeCell ref="AL120:AO120"/>
    <mergeCell ref="AJ122:AK122"/>
    <mergeCell ref="AL122:AO122"/>
    <mergeCell ref="B141:G142"/>
    <mergeCell ref="AI141:AO141"/>
    <mergeCell ref="AI142:AO143"/>
    <mergeCell ref="H143:AH143"/>
    <mergeCell ref="Z131:AA131"/>
    <mergeCell ref="AB131:AI131"/>
    <mergeCell ref="AJ131:AK131"/>
    <mergeCell ref="B132:C132"/>
    <mergeCell ref="Z132:AA132"/>
    <mergeCell ref="AB132:AI132"/>
    <mergeCell ref="AJ132:AK132"/>
    <mergeCell ref="B133:C133"/>
    <mergeCell ref="Z133:AA133"/>
    <mergeCell ref="AB133:AI133"/>
    <mergeCell ref="AJ133:AK133"/>
    <mergeCell ref="B144:G145"/>
    <mergeCell ref="H144:AH144"/>
    <mergeCell ref="AI144:AM145"/>
    <mergeCell ref="AN144:AO145"/>
    <mergeCell ref="H145:AH145"/>
    <mergeCell ref="B134:C134"/>
    <mergeCell ref="AJ134:AK134"/>
    <mergeCell ref="B135:C135"/>
    <mergeCell ref="AJ135:AK135"/>
    <mergeCell ref="B136:C136"/>
    <mergeCell ref="AJ136:AK136"/>
    <mergeCell ref="B137:C137"/>
    <mergeCell ref="AJ137:AK137"/>
    <mergeCell ref="B163:C163"/>
    <mergeCell ref="AJ163:AK163"/>
    <mergeCell ref="AJ164:AK164"/>
    <mergeCell ref="H165:N165"/>
    <mergeCell ref="AJ165:AK165"/>
    <mergeCell ref="AA146:AO146"/>
    <mergeCell ref="B147:Z148"/>
    <mergeCell ref="AA147:AO148"/>
    <mergeCell ref="L156:AO156"/>
    <mergeCell ref="B157:C157"/>
    <mergeCell ref="B159:D159"/>
    <mergeCell ref="E159:AO159"/>
    <mergeCell ref="B160:C160"/>
    <mergeCell ref="P160:AI160"/>
    <mergeCell ref="AJ160:AO161"/>
    <mergeCell ref="B161:C161"/>
    <mergeCell ref="P161:V161"/>
    <mergeCell ref="W161:AC161"/>
    <mergeCell ref="AD161:AI161"/>
    <mergeCell ref="B162:C162"/>
    <mergeCell ref="P162:V162"/>
    <mergeCell ref="W162:AC162"/>
    <mergeCell ref="AD162:AI162"/>
    <mergeCell ref="AJ162:AK162"/>
    <mergeCell ref="B175:C175"/>
    <mergeCell ref="AJ175:AK175"/>
    <mergeCell ref="B176:C176"/>
    <mergeCell ref="P176:V176"/>
    <mergeCell ref="W176:AC176"/>
    <mergeCell ref="AD176:AI176"/>
    <mergeCell ref="AJ176:AK176"/>
    <mergeCell ref="D166:N166"/>
    <mergeCell ref="AJ166:AK166"/>
    <mergeCell ref="D167:N167"/>
    <mergeCell ref="P167:V167"/>
    <mergeCell ref="W167:AC167"/>
    <mergeCell ref="AD167:AI167"/>
    <mergeCell ref="AJ167:AK167"/>
    <mergeCell ref="AL167:AO167"/>
    <mergeCell ref="B168:C168"/>
    <mergeCell ref="AJ168:AK168"/>
    <mergeCell ref="B181:C181"/>
    <mergeCell ref="P181:V181"/>
    <mergeCell ref="W181:AC181"/>
    <mergeCell ref="AD181:AI181"/>
    <mergeCell ref="AJ181:AK181"/>
    <mergeCell ref="B182:C182"/>
    <mergeCell ref="P182:V182"/>
    <mergeCell ref="W182:AC182"/>
    <mergeCell ref="AD182:AI182"/>
    <mergeCell ref="AJ182:AK182"/>
    <mergeCell ref="AJ177:AK177"/>
    <mergeCell ref="B178:C178"/>
    <mergeCell ref="AJ178:AK178"/>
    <mergeCell ref="B179:C179"/>
    <mergeCell ref="AJ179:AK179"/>
    <mergeCell ref="P180:V180"/>
    <mergeCell ref="W180:AC180"/>
    <mergeCell ref="AD180:AI180"/>
    <mergeCell ref="AJ180:AK180"/>
    <mergeCell ref="B177:C177"/>
    <mergeCell ref="B185:C185"/>
    <mergeCell ref="P185:V185"/>
    <mergeCell ref="W185:AC185"/>
    <mergeCell ref="AD185:AI185"/>
    <mergeCell ref="AJ185:AK185"/>
    <mergeCell ref="B186:C186"/>
    <mergeCell ref="P186:V186"/>
    <mergeCell ref="W186:AC186"/>
    <mergeCell ref="AD186:AI186"/>
    <mergeCell ref="AJ186:AK186"/>
    <mergeCell ref="B183:C183"/>
    <mergeCell ref="P183:V183"/>
    <mergeCell ref="W183:AC183"/>
    <mergeCell ref="AD183:AI183"/>
    <mergeCell ref="AJ183:AK183"/>
    <mergeCell ref="B184:C184"/>
    <mergeCell ref="P184:V184"/>
    <mergeCell ref="W184:AC184"/>
    <mergeCell ref="AD184:AI184"/>
    <mergeCell ref="AJ184:AK184"/>
    <mergeCell ref="X202:Z205"/>
    <mergeCell ref="AA202:AD205"/>
    <mergeCell ref="B191:C191"/>
    <mergeCell ref="P191:V191"/>
    <mergeCell ref="W191:AC191"/>
    <mergeCell ref="AD191:AI191"/>
    <mergeCell ref="AJ191:AK191"/>
    <mergeCell ref="B192:C192"/>
    <mergeCell ref="P192:V192"/>
    <mergeCell ref="W192:AC192"/>
    <mergeCell ref="AD192:AI192"/>
    <mergeCell ref="AJ192:AK192"/>
    <mergeCell ref="B187:C187"/>
    <mergeCell ref="AJ187:AK187"/>
    <mergeCell ref="B188:C188"/>
    <mergeCell ref="AJ188:AK188"/>
    <mergeCell ref="P189:V189"/>
    <mergeCell ref="W189:AC189"/>
    <mergeCell ref="AD189:AI189"/>
    <mergeCell ref="AJ189:AK189"/>
    <mergeCell ref="B190:C190"/>
    <mergeCell ref="P190:V190"/>
    <mergeCell ref="W190:AC190"/>
    <mergeCell ref="AD190:AI190"/>
    <mergeCell ref="AJ190:AK190"/>
    <mergeCell ref="AM207:AO207"/>
    <mergeCell ref="AE202:AH205"/>
    <mergeCell ref="C204:G204"/>
    <mergeCell ref="O205:S205"/>
    <mergeCell ref="C206:G206"/>
    <mergeCell ref="H206:J206"/>
    <mergeCell ref="K206:N206"/>
    <mergeCell ref="O206:S206"/>
    <mergeCell ref="T206:W206"/>
    <mergeCell ref="X206:Z206"/>
    <mergeCell ref="AA206:AD206"/>
    <mergeCell ref="AE206:AH206"/>
    <mergeCell ref="B193:C193"/>
    <mergeCell ref="AJ193:AK193"/>
    <mergeCell ref="AL193:AO193"/>
    <mergeCell ref="AQ193:AT193"/>
    <mergeCell ref="B194:D194"/>
    <mergeCell ref="E194:AO194"/>
    <mergeCell ref="B195:B201"/>
    <mergeCell ref="C195:G197"/>
    <mergeCell ref="H195:AO197"/>
    <mergeCell ref="H198:W199"/>
    <mergeCell ref="X198:AO199"/>
    <mergeCell ref="H200:S201"/>
    <mergeCell ref="T200:W205"/>
    <mergeCell ref="X200:AH201"/>
    <mergeCell ref="AI200:AL205"/>
    <mergeCell ref="AM200:AO205"/>
    <mergeCell ref="C202:G203"/>
    <mergeCell ref="H202:J205"/>
    <mergeCell ref="K202:N205"/>
    <mergeCell ref="O202:S204"/>
    <mergeCell ref="C208:G208"/>
    <mergeCell ref="H208:J208"/>
    <mergeCell ref="K208:N208"/>
    <mergeCell ref="O208:S208"/>
    <mergeCell ref="T208:W208"/>
    <mergeCell ref="X208:Z208"/>
    <mergeCell ref="AA208:AD208"/>
    <mergeCell ref="AE208:AH208"/>
    <mergeCell ref="AI208:AL208"/>
    <mergeCell ref="C207:G207"/>
    <mergeCell ref="H207:J207"/>
    <mergeCell ref="K207:N207"/>
    <mergeCell ref="O207:S207"/>
    <mergeCell ref="T207:W207"/>
    <mergeCell ref="X207:Z207"/>
    <mergeCell ref="AA207:AD207"/>
    <mergeCell ref="AE207:AH207"/>
    <mergeCell ref="AI207:AL207"/>
    <mergeCell ref="B215:C215"/>
    <mergeCell ref="Z215:AA215"/>
    <mergeCell ref="AJ215:AK215"/>
    <mergeCell ref="B216:C216"/>
    <mergeCell ref="Z216:AA216"/>
    <mergeCell ref="AB216:AI216"/>
    <mergeCell ref="AJ216:AK216"/>
    <mergeCell ref="B218:C218"/>
    <mergeCell ref="Z218:AA218"/>
    <mergeCell ref="AJ218:AK218"/>
    <mergeCell ref="AJ217:AK217"/>
    <mergeCell ref="B209:C209"/>
    <mergeCell ref="AK209:AL209"/>
    <mergeCell ref="AM209:AO209"/>
    <mergeCell ref="B212:D212"/>
    <mergeCell ref="B213:C213"/>
    <mergeCell ref="Z213:AA213"/>
    <mergeCell ref="AJ213:AK213"/>
    <mergeCell ref="Z214:AA214"/>
    <mergeCell ref="AB214:AI214"/>
    <mergeCell ref="AJ214:AK214"/>
    <mergeCell ref="B222:C222"/>
    <mergeCell ref="Z222:AA222"/>
    <mergeCell ref="AJ222:AK222"/>
    <mergeCell ref="B223:C223"/>
    <mergeCell ref="Z223:AA223"/>
    <mergeCell ref="AB223:AI223"/>
    <mergeCell ref="AJ223:AK223"/>
    <mergeCell ref="B224:C224"/>
    <mergeCell ref="B225:C225"/>
    <mergeCell ref="AJ225:AK225"/>
    <mergeCell ref="B229:C229"/>
    <mergeCell ref="Z229:AA229"/>
    <mergeCell ref="AB229:AI229"/>
    <mergeCell ref="AJ229:AK229"/>
    <mergeCell ref="B230:C230"/>
    <mergeCell ref="B219:C219"/>
    <mergeCell ref="Z219:AA219"/>
    <mergeCell ref="AB219:AI219"/>
    <mergeCell ref="AJ219:AK219"/>
    <mergeCell ref="B220:C220"/>
    <mergeCell ref="Z220:AA220"/>
    <mergeCell ref="AJ220:AK220"/>
    <mergeCell ref="B221:C221"/>
    <mergeCell ref="Z221:AA221"/>
    <mergeCell ref="AB221:AI221"/>
    <mergeCell ref="AJ221:AK221"/>
    <mergeCell ref="AJ230:AK230"/>
    <mergeCell ref="B308:C308"/>
    <mergeCell ref="AJ308:AK308"/>
    <mergeCell ref="B309:C309"/>
    <mergeCell ref="AJ309:AK309"/>
    <mergeCell ref="P310:V310"/>
    <mergeCell ref="W310:AC310"/>
    <mergeCell ref="AD310:AI310"/>
    <mergeCell ref="AJ310:AK310"/>
    <mergeCell ref="B231:C231"/>
    <mergeCell ref="Z231:AA231"/>
    <mergeCell ref="AJ231:AK231"/>
    <mergeCell ref="AL225:AO225"/>
    <mergeCell ref="B226:C226"/>
    <mergeCell ref="Z226:AA226"/>
    <mergeCell ref="AJ226:AK226"/>
    <mergeCell ref="B227:C227"/>
    <mergeCell ref="Z227:AA227"/>
    <mergeCell ref="AJ227:AK227"/>
    <mergeCell ref="Z228:AA228"/>
    <mergeCell ref="AB228:AI228"/>
    <mergeCell ref="AJ228:AK228"/>
    <mergeCell ref="AJ232:AK232"/>
    <mergeCell ref="B233:C233"/>
    <mergeCell ref="Z233:AA233"/>
    <mergeCell ref="AJ233:AK233"/>
    <mergeCell ref="Z232:AA232"/>
    <mergeCell ref="AL240:AO240"/>
    <mergeCell ref="B241:C241"/>
    <mergeCell ref="AJ241:AK241"/>
    <mergeCell ref="B242:C242"/>
    <mergeCell ref="AJ242:AK242"/>
    <mergeCell ref="B244:C244"/>
    <mergeCell ref="B313:C313"/>
    <mergeCell ref="P313:V313"/>
    <mergeCell ref="W313:AC313"/>
    <mergeCell ref="AD313:AI313"/>
    <mergeCell ref="AJ313:AK313"/>
    <mergeCell ref="B314:C314"/>
    <mergeCell ref="P314:V314"/>
    <mergeCell ref="W314:AC314"/>
    <mergeCell ref="AD314:AI314"/>
    <mergeCell ref="AJ314:AK314"/>
    <mergeCell ref="B311:C311"/>
    <mergeCell ref="P311:V311"/>
    <mergeCell ref="W311:AC311"/>
    <mergeCell ref="AD311:AI311"/>
    <mergeCell ref="AJ311:AK311"/>
    <mergeCell ref="B312:C312"/>
    <mergeCell ref="P312:V312"/>
    <mergeCell ref="W312:AC312"/>
    <mergeCell ref="AD312:AI312"/>
    <mergeCell ref="AJ312:AK312"/>
    <mergeCell ref="P319:V319"/>
    <mergeCell ref="W319:AC319"/>
    <mergeCell ref="AD319:AI319"/>
    <mergeCell ref="AJ319:AK319"/>
    <mergeCell ref="B320:C320"/>
    <mergeCell ref="P320:V320"/>
    <mergeCell ref="W320:AC320"/>
    <mergeCell ref="AD320:AI320"/>
    <mergeCell ref="AJ320:AK320"/>
    <mergeCell ref="B315:C315"/>
    <mergeCell ref="P315:V315"/>
    <mergeCell ref="W315:AC315"/>
    <mergeCell ref="AD315:AI315"/>
    <mergeCell ref="AJ315:AK315"/>
    <mergeCell ref="B316:C316"/>
    <mergeCell ref="P316:V316"/>
    <mergeCell ref="W316:AC316"/>
    <mergeCell ref="AD316:AI316"/>
    <mergeCell ref="AJ316:AK316"/>
    <mergeCell ref="AQ323:AT323"/>
    <mergeCell ref="B324:D324"/>
    <mergeCell ref="E324:AO324"/>
    <mergeCell ref="B325:B331"/>
    <mergeCell ref="C325:G327"/>
    <mergeCell ref="H325:AO327"/>
    <mergeCell ref="H328:W329"/>
    <mergeCell ref="X328:AO329"/>
    <mergeCell ref="H330:S331"/>
    <mergeCell ref="T330:W335"/>
    <mergeCell ref="X330:AH331"/>
    <mergeCell ref="AI330:AL335"/>
    <mergeCell ref="AM330:AO335"/>
    <mergeCell ref="C332:G333"/>
    <mergeCell ref="H332:J335"/>
    <mergeCell ref="K332:N335"/>
    <mergeCell ref="O332:S334"/>
    <mergeCell ref="X332:Z335"/>
    <mergeCell ref="AA332:AD335"/>
    <mergeCell ref="C334:G334"/>
    <mergeCell ref="O335:S335"/>
    <mergeCell ref="B345:C345"/>
    <mergeCell ref="Z345:AA345"/>
    <mergeCell ref="AJ345:AK345"/>
    <mergeCell ref="B346:C346"/>
    <mergeCell ref="Z346:AA346"/>
    <mergeCell ref="AB346:AI346"/>
    <mergeCell ref="AJ346:AK346"/>
    <mergeCell ref="B348:C348"/>
    <mergeCell ref="Z348:AA348"/>
    <mergeCell ref="AJ348:AK348"/>
    <mergeCell ref="B339:C339"/>
    <mergeCell ref="AK339:AL339"/>
    <mergeCell ref="AM339:AO339"/>
    <mergeCell ref="B342:D342"/>
    <mergeCell ref="B343:C343"/>
    <mergeCell ref="Z343:AA343"/>
    <mergeCell ref="AJ343:AK343"/>
    <mergeCell ref="Z344:AA344"/>
    <mergeCell ref="AB344:AI344"/>
    <mergeCell ref="AJ344:AK344"/>
    <mergeCell ref="AJ347:AK347"/>
    <mergeCell ref="B352:C352"/>
    <mergeCell ref="Z352:AA352"/>
    <mergeCell ref="AJ352:AK352"/>
    <mergeCell ref="B353:C353"/>
    <mergeCell ref="Z353:AA353"/>
    <mergeCell ref="AB353:AI353"/>
    <mergeCell ref="AJ353:AK353"/>
    <mergeCell ref="B354:C354"/>
    <mergeCell ref="B355:C355"/>
    <mergeCell ref="AJ355:AK355"/>
    <mergeCell ref="B349:C349"/>
    <mergeCell ref="Z349:AA349"/>
    <mergeCell ref="AB349:AI349"/>
    <mergeCell ref="AJ349:AK349"/>
    <mergeCell ref="B350:C350"/>
    <mergeCell ref="Z350:AA350"/>
    <mergeCell ref="AJ350:AK350"/>
    <mergeCell ref="B351:C351"/>
    <mergeCell ref="Z351:AA351"/>
    <mergeCell ref="AB351:AI351"/>
    <mergeCell ref="AJ351:AK351"/>
    <mergeCell ref="B359:C359"/>
    <mergeCell ref="Z359:AA359"/>
    <mergeCell ref="AB359:AI359"/>
    <mergeCell ref="AJ359:AK359"/>
    <mergeCell ref="B360:C360"/>
    <mergeCell ref="Z360:AA360"/>
    <mergeCell ref="AJ360:AK360"/>
    <mergeCell ref="B361:C361"/>
    <mergeCell ref="Z361:AA361"/>
    <mergeCell ref="AJ361:AK361"/>
    <mergeCell ref="B356:C356"/>
    <mergeCell ref="Z356:AA356"/>
    <mergeCell ref="AJ356:AK356"/>
    <mergeCell ref="B357:C357"/>
    <mergeCell ref="Z357:AA357"/>
    <mergeCell ref="AJ357:AK357"/>
    <mergeCell ref="Z358:AA358"/>
    <mergeCell ref="AB358:AI358"/>
    <mergeCell ref="AJ358:AK358"/>
    <mergeCell ref="AJ373:AK373"/>
    <mergeCell ref="AQ370:AT370"/>
    <mergeCell ref="B365:C365"/>
    <mergeCell ref="Z365:AA365"/>
    <mergeCell ref="AJ365:AK365"/>
    <mergeCell ref="B366:C366"/>
    <mergeCell ref="Z366:AA366"/>
    <mergeCell ref="AJ366:AK366"/>
    <mergeCell ref="Z367:AA367"/>
    <mergeCell ref="AB367:AI367"/>
    <mergeCell ref="AJ367:AK367"/>
    <mergeCell ref="B362:C362"/>
    <mergeCell ref="Z362:AA362"/>
    <mergeCell ref="AJ362:AK362"/>
    <mergeCell ref="B363:C363"/>
    <mergeCell ref="Z363:AA363"/>
    <mergeCell ref="AJ363:AK363"/>
    <mergeCell ref="Z364:AA364"/>
    <mergeCell ref="AB364:AI364"/>
    <mergeCell ref="AJ364:AK364"/>
    <mergeCell ref="B397:C397"/>
    <mergeCell ref="AJ397:AK397"/>
    <mergeCell ref="B394:C394"/>
    <mergeCell ref="AJ394:AK394"/>
    <mergeCell ref="B386:D386"/>
    <mergeCell ref="B387:C387"/>
    <mergeCell ref="Z387:AA387"/>
    <mergeCell ref="AB387:AI387"/>
    <mergeCell ref="AJ387:AK387"/>
    <mergeCell ref="B390:C390"/>
    <mergeCell ref="Z390:AA390"/>
    <mergeCell ref="AB390:AI390"/>
    <mergeCell ref="AJ390:AK390"/>
    <mergeCell ref="B393:C393"/>
    <mergeCell ref="Z393:AA393"/>
    <mergeCell ref="AB393:AI393"/>
    <mergeCell ref="AJ393:AK393"/>
    <mergeCell ref="B389:C389"/>
    <mergeCell ref="Z389:AA389"/>
    <mergeCell ref="AB389:AI389"/>
    <mergeCell ref="AJ389:AK389"/>
    <mergeCell ref="AI206:AL206"/>
    <mergeCell ref="AM206:AO206"/>
    <mergeCell ref="AL192:AO192"/>
    <mergeCell ref="AQ192:AT192"/>
    <mergeCell ref="AJ169:AK169"/>
    <mergeCell ref="AJ170:AK170"/>
    <mergeCell ref="AL364:AO364"/>
    <mergeCell ref="AL268:AO268"/>
    <mergeCell ref="AJ299:AK299"/>
    <mergeCell ref="B395:C395"/>
    <mergeCell ref="AJ395:AK395"/>
    <mergeCell ref="AL395:AO395"/>
    <mergeCell ref="B396:C396"/>
    <mergeCell ref="AJ396:AK396"/>
    <mergeCell ref="AL396:AO396"/>
    <mergeCell ref="B378:C378"/>
    <mergeCell ref="AJ378:AK378"/>
    <mergeCell ref="AL378:AO378"/>
    <mergeCell ref="B383:C383"/>
    <mergeCell ref="B385:C385"/>
    <mergeCell ref="AJ385:AK385"/>
    <mergeCell ref="AL385:AO385"/>
    <mergeCell ref="AQ367:AT367"/>
    <mergeCell ref="B370:C370"/>
    <mergeCell ref="AJ370:AK370"/>
    <mergeCell ref="AL370:AO370"/>
    <mergeCell ref="B371:C371"/>
    <mergeCell ref="AJ371:AK371"/>
    <mergeCell ref="B372:C372"/>
    <mergeCell ref="AJ372:AK372"/>
    <mergeCell ref="AJ245:AK245"/>
    <mergeCell ref="B373:C373"/>
    <mergeCell ref="D35:N35"/>
    <mergeCell ref="L25:AO25"/>
    <mergeCell ref="Z235:AA235"/>
    <mergeCell ref="B256:D256"/>
    <mergeCell ref="AL245:AO245"/>
    <mergeCell ref="AQ245:AT245"/>
    <mergeCell ref="B246:C246"/>
    <mergeCell ref="B248:C248"/>
    <mergeCell ref="AJ268:AK268"/>
    <mergeCell ref="AJ398:AK398"/>
    <mergeCell ref="AL398:AO398"/>
    <mergeCell ref="AQ398:AT398"/>
    <mergeCell ref="AL124:AO124"/>
    <mergeCell ref="AL254:AO254"/>
    <mergeCell ref="AL384:AO384"/>
    <mergeCell ref="AL126:AO126"/>
    <mergeCell ref="AL256:AO256"/>
    <mergeCell ref="AL386:AO386"/>
    <mergeCell ref="AR130:AU130"/>
    <mergeCell ref="AQ385:AT385"/>
    <mergeCell ref="AQ255:AT255"/>
    <mergeCell ref="AQ209:AT209"/>
    <mergeCell ref="AQ339:AT339"/>
    <mergeCell ref="AL394:AO394"/>
    <mergeCell ref="AJ374:AK374"/>
    <mergeCell ref="AL374:AO374"/>
    <mergeCell ref="AQ374:AT374"/>
    <mergeCell ref="AJ298:AK298"/>
    <mergeCell ref="AL264:AO264"/>
    <mergeCell ref="AQ237:AT237"/>
    <mergeCell ref="W321:AC321"/>
    <mergeCell ref="AM208:AO208"/>
    <mergeCell ref="AJ321:AK321"/>
    <mergeCell ref="B322:C322"/>
    <mergeCell ref="P322:V322"/>
    <mergeCell ref="W322:AC322"/>
    <mergeCell ref="AD322:AI322"/>
    <mergeCell ref="AJ322:AK322"/>
    <mergeCell ref="B317:C317"/>
    <mergeCell ref="AJ317:AK317"/>
    <mergeCell ref="B318:C318"/>
    <mergeCell ref="AJ318:AK318"/>
    <mergeCell ref="AR19:AU19"/>
    <mergeCell ref="AR29:AU29"/>
    <mergeCell ref="AR129:AU129"/>
    <mergeCell ref="AR127:AU127"/>
    <mergeCell ref="AR128:AU128"/>
    <mergeCell ref="AQ125:AT125"/>
    <mergeCell ref="AQ78:AT78"/>
    <mergeCell ref="AQ105:AW105"/>
    <mergeCell ref="AQ110:AT110"/>
    <mergeCell ref="H275:AH275"/>
    <mergeCell ref="Z230:AA230"/>
    <mergeCell ref="AJ171:AK171"/>
    <mergeCell ref="AJ172:AK172"/>
    <mergeCell ref="AJ173:AK173"/>
    <mergeCell ref="AJ174:AK174"/>
    <mergeCell ref="AJ265:AK265"/>
    <mergeCell ref="AL265:AO265"/>
    <mergeCell ref="AJ266:AK266"/>
    <mergeCell ref="AL266:AO266"/>
    <mergeCell ref="AJ267:AK267"/>
    <mergeCell ref="AJ302:AK302"/>
    <mergeCell ref="AL255:AO255"/>
    <mergeCell ref="AJ304:AK304"/>
    <mergeCell ref="AJ305:AK305"/>
    <mergeCell ref="W306:AC306"/>
    <mergeCell ref="AD306:AI306"/>
    <mergeCell ref="H273:AH273"/>
    <mergeCell ref="AJ306:AK306"/>
    <mergeCell ref="AJ296:AK296"/>
    <mergeCell ref="W297:AC297"/>
    <mergeCell ref="Z347:AA347"/>
    <mergeCell ref="E289:AO289"/>
    <mergeCell ref="O336:S336"/>
    <mergeCell ref="T336:W336"/>
    <mergeCell ref="X336:Z336"/>
    <mergeCell ref="AD291:AI291"/>
    <mergeCell ref="AO274:AO275"/>
    <mergeCell ref="AI274:AN275"/>
    <mergeCell ref="C337:G337"/>
    <mergeCell ref="H337:J337"/>
    <mergeCell ref="K337:N337"/>
    <mergeCell ref="O337:S337"/>
    <mergeCell ref="T337:W337"/>
    <mergeCell ref="X337:Z337"/>
    <mergeCell ref="AA337:AD337"/>
    <mergeCell ref="AE337:AH337"/>
    <mergeCell ref="AI337:AL337"/>
    <mergeCell ref="B323:C323"/>
    <mergeCell ref="AJ323:AK323"/>
    <mergeCell ref="AL323:AO323"/>
    <mergeCell ref="B321:C321"/>
    <mergeCell ref="P321:V321"/>
    <mergeCell ref="K338:N338"/>
    <mergeCell ref="AD321:AI321"/>
    <mergeCell ref="AJ234:AK234"/>
    <mergeCell ref="B235:C235"/>
    <mergeCell ref="AJ235:AK235"/>
    <mergeCell ref="B236:C236"/>
    <mergeCell ref="Z236:AA236"/>
    <mergeCell ref="AJ236:AK236"/>
    <mergeCell ref="Z237:AA237"/>
    <mergeCell ref="AB237:AI237"/>
    <mergeCell ref="AL234:AO234"/>
    <mergeCell ref="AB235:AI235"/>
    <mergeCell ref="AL235:AO235"/>
    <mergeCell ref="AQ364:AW364"/>
    <mergeCell ref="AB365:AI365"/>
    <mergeCell ref="AL365:AO365"/>
    <mergeCell ref="AQ365:AW365"/>
    <mergeCell ref="AL355:AO355"/>
    <mergeCell ref="AM338:AO338"/>
    <mergeCell ref="AI336:AL336"/>
    <mergeCell ref="AM336:AO336"/>
    <mergeCell ref="AM337:AO337"/>
    <mergeCell ref="AE332:AH335"/>
    <mergeCell ref="AE336:AH336"/>
    <mergeCell ref="AL322:AO322"/>
    <mergeCell ref="AQ322:AT322"/>
    <mergeCell ref="AJ307:AK307"/>
    <mergeCell ref="AA276:AO276"/>
    <mergeCell ref="AA336:AD336"/>
    <mergeCell ref="AJ248:AK248"/>
    <mergeCell ref="AL248:AO248"/>
    <mergeCell ref="AJ300:AK300"/>
    <mergeCell ref="AJ301:AK301"/>
    <mergeCell ref="AJ303:AK303"/>
    <mergeCell ref="AR262:AU262"/>
    <mergeCell ref="B263:C263"/>
    <mergeCell ref="Z263:AA263"/>
    <mergeCell ref="AB263:AI263"/>
    <mergeCell ref="AJ263:AK263"/>
    <mergeCell ref="AR263:AU263"/>
    <mergeCell ref="B274:G275"/>
    <mergeCell ref="H274:AH274"/>
    <mergeCell ref="B289:D289"/>
    <mergeCell ref="B290:C290"/>
    <mergeCell ref="P290:AI290"/>
    <mergeCell ref="AJ290:AO291"/>
    <mergeCell ref="B291:C291"/>
    <mergeCell ref="P291:V291"/>
    <mergeCell ref="W291:AC291"/>
    <mergeCell ref="AQ264:AT264"/>
    <mergeCell ref="B253:C253"/>
    <mergeCell ref="B255:C255"/>
    <mergeCell ref="AJ255:AK255"/>
    <mergeCell ref="B261:C261"/>
    <mergeCell ref="Z261:AA261"/>
    <mergeCell ref="AB261:AI261"/>
    <mergeCell ref="AJ261:AK261"/>
    <mergeCell ref="AJ264:AK264"/>
    <mergeCell ref="AR393:AU393"/>
    <mergeCell ref="AR30:AU30"/>
    <mergeCell ref="AR31:AU31"/>
    <mergeCell ref="AL220:AO220"/>
    <mergeCell ref="AL221:AO221"/>
    <mergeCell ref="AL350:AO350"/>
    <mergeCell ref="AL351:AO351"/>
    <mergeCell ref="AR390:AU390"/>
    <mergeCell ref="B391:C391"/>
    <mergeCell ref="Z391:AA391"/>
    <mergeCell ref="AB391:AI391"/>
    <mergeCell ref="AJ391:AK391"/>
    <mergeCell ref="AR391:AU391"/>
    <mergeCell ref="B392:C392"/>
    <mergeCell ref="Z392:AA392"/>
    <mergeCell ref="AB392:AI392"/>
    <mergeCell ref="AJ392:AK392"/>
    <mergeCell ref="AR392:AU392"/>
    <mergeCell ref="AR387:AU387"/>
    <mergeCell ref="B388:C388"/>
    <mergeCell ref="Z388:AA388"/>
    <mergeCell ref="AB388:AI388"/>
    <mergeCell ref="AJ388:AK388"/>
    <mergeCell ref="B265:C265"/>
    <mergeCell ref="B266:C266"/>
    <mergeCell ref="B267:C267"/>
    <mergeCell ref="AJ259:AK259"/>
    <mergeCell ref="AR259:AU259"/>
    <mergeCell ref="B260:C260"/>
    <mergeCell ref="Z260:AA260"/>
    <mergeCell ref="AB260:AI260"/>
    <mergeCell ref="AJ260:AK260"/>
    <mergeCell ref="AR389:AU389"/>
    <mergeCell ref="AD297:AI297"/>
    <mergeCell ref="AJ297:AK297"/>
    <mergeCell ref="AL297:AO297"/>
    <mergeCell ref="AG8:AN8"/>
    <mergeCell ref="B307:C307"/>
    <mergeCell ref="Z257:AA257"/>
    <mergeCell ref="AB257:AI257"/>
    <mergeCell ref="AJ257:AK257"/>
    <mergeCell ref="AR257:AU257"/>
    <mergeCell ref="B258:C258"/>
    <mergeCell ref="Z258:AA258"/>
    <mergeCell ref="AB258:AI258"/>
    <mergeCell ref="AJ258:AK258"/>
    <mergeCell ref="AR258:AU258"/>
    <mergeCell ref="B259:C259"/>
    <mergeCell ref="Z259:AA259"/>
    <mergeCell ref="AB259:AI259"/>
    <mergeCell ref="B306:C306"/>
    <mergeCell ref="P306:V306"/>
    <mergeCell ref="B380:C380"/>
    <mergeCell ref="B382:C382"/>
    <mergeCell ref="AJ380:AK380"/>
    <mergeCell ref="AL380:AO380"/>
    <mergeCell ref="AJ382:AK382"/>
    <mergeCell ref="AL382:AO382"/>
    <mergeCell ref="B287:C287"/>
    <mergeCell ref="AQ240:AT240"/>
    <mergeCell ref="AR25:AU25"/>
    <mergeCell ref="AR26:AU26"/>
    <mergeCell ref="AR27:AU27"/>
    <mergeCell ref="AR28:AU28"/>
    <mergeCell ref="AQ104:AU104"/>
    <mergeCell ref="AQ234:AU234"/>
    <mergeCell ref="B250:C250"/>
    <mergeCell ref="AJ250:AK250"/>
    <mergeCell ref="AL250:AO250"/>
    <mergeCell ref="B252:C252"/>
    <mergeCell ref="AJ252:AK252"/>
    <mergeCell ref="AL252:AO252"/>
    <mergeCell ref="H141:AH142"/>
    <mergeCell ref="H271:AH272"/>
    <mergeCell ref="AA277:AO278"/>
    <mergeCell ref="L286:AO286"/>
    <mergeCell ref="AR388:AU388"/>
    <mergeCell ref="AQ268:AT268"/>
    <mergeCell ref="B271:G272"/>
    <mergeCell ref="AI271:AO271"/>
    <mergeCell ref="AI272:AO273"/>
    <mergeCell ref="B257:C257"/>
    <mergeCell ref="D296:N296"/>
    <mergeCell ref="D297:N297"/>
    <mergeCell ref="P297:V297"/>
    <mergeCell ref="AR260:AU260"/>
    <mergeCell ref="B305:C305"/>
    <mergeCell ref="AR261:AU261"/>
    <mergeCell ref="B262:C262"/>
    <mergeCell ref="Z262:AA262"/>
    <mergeCell ref="AB262:AI262"/>
    <mergeCell ref="AJ262:AK262"/>
    <mergeCell ref="AB236:AI236"/>
    <mergeCell ref="AB366:AI366"/>
    <mergeCell ref="C338:G338"/>
    <mergeCell ref="H338:J338"/>
    <mergeCell ref="O338:S338"/>
    <mergeCell ref="T338:W338"/>
    <mergeCell ref="X338:Z338"/>
    <mergeCell ref="AA338:AD338"/>
    <mergeCell ref="AE338:AH338"/>
    <mergeCell ref="AI338:AL338"/>
    <mergeCell ref="C336:G336"/>
    <mergeCell ref="H336:J336"/>
    <mergeCell ref="K336:N336"/>
    <mergeCell ref="B4:C4"/>
    <mergeCell ref="B6:C6"/>
    <mergeCell ref="B8:C8"/>
    <mergeCell ref="B298:C298"/>
    <mergeCell ref="B264:C264"/>
    <mergeCell ref="B292:C292"/>
    <mergeCell ref="P292:V292"/>
    <mergeCell ref="W292:AC292"/>
    <mergeCell ref="AD292:AI292"/>
    <mergeCell ref="AJ292:AK292"/>
    <mergeCell ref="B293:C293"/>
    <mergeCell ref="AJ293:AK293"/>
    <mergeCell ref="AJ294:AK294"/>
    <mergeCell ref="H295:N295"/>
    <mergeCell ref="AJ295:AK295"/>
    <mergeCell ref="B277:Z278"/>
    <mergeCell ref="B240:C240"/>
    <mergeCell ref="AJ240:AK240"/>
    <mergeCell ref="AJ244:AK244"/>
    <mergeCell ref="B232:C232"/>
    <mergeCell ref="AJ237:AK237"/>
    <mergeCell ref="Z234:AA234"/>
    <mergeCell ref="AB234:AI234"/>
  </mergeCells>
  <conditionalFormatting sqref="B2">
    <cfRule type="expression" dxfId="1610" priority="108">
      <formula>$A$2</formula>
    </cfRule>
  </conditionalFormatting>
  <conditionalFormatting sqref="B16 AA16">
    <cfRule type="expression" dxfId="1609" priority="617">
      <formula>NoColor</formula>
    </cfRule>
  </conditionalFormatting>
  <conditionalFormatting sqref="B18">
    <cfRule type="expression" dxfId="1608" priority="407">
      <formula>$AO$23</formula>
    </cfRule>
  </conditionalFormatting>
  <conditionalFormatting sqref="B19">
    <cfRule type="expression" dxfId="1607" priority="156">
      <formula>$AO$20&gt;1</formula>
    </cfRule>
  </conditionalFormatting>
  <conditionalFormatting sqref="B147 AA147">
    <cfRule type="expression" dxfId="1606" priority="475">
      <formula>NoColor</formula>
    </cfRule>
  </conditionalFormatting>
  <conditionalFormatting sqref="B149">
    <cfRule type="expression" dxfId="1605" priority="152">
      <formula>$AO$154</formula>
    </cfRule>
  </conditionalFormatting>
  <conditionalFormatting sqref="B150">
    <cfRule type="expression" dxfId="1604" priority="143">
      <formula>$AO$20&gt;1</formula>
    </cfRule>
  </conditionalFormatting>
  <conditionalFormatting sqref="B277 AA277">
    <cfRule type="expression" dxfId="1603" priority="398">
      <formula>NoColor</formula>
    </cfRule>
  </conditionalFormatting>
  <conditionalFormatting sqref="B279">
    <cfRule type="expression" dxfId="1602" priority="142">
      <formula>$AO$284</formula>
    </cfRule>
  </conditionalFormatting>
  <conditionalFormatting sqref="B280">
    <cfRule type="expression" dxfId="1601" priority="133">
      <formula>$AO$20&gt;1</formula>
    </cfRule>
  </conditionalFormatting>
  <conditionalFormatting sqref="B4:C4">
    <cfRule type="expression" dxfId="1600" priority="105">
      <formula>NoColor</formula>
    </cfRule>
  </conditionalFormatting>
  <conditionalFormatting sqref="B6:C6">
    <cfRule type="expression" dxfId="1599" priority="104">
      <formula>NoColor</formula>
    </cfRule>
  </conditionalFormatting>
  <conditionalFormatting sqref="B8:C8">
    <cfRule type="expression" dxfId="1598" priority="103">
      <formula>NoColor</formula>
    </cfRule>
  </conditionalFormatting>
  <conditionalFormatting sqref="C21">
    <cfRule type="expression" dxfId="1597" priority="255">
      <formula>NoColor</formula>
    </cfRule>
  </conditionalFormatting>
  <conditionalFormatting sqref="C23">
    <cfRule type="expression" dxfId="1596" priority="252">
      <formula>NoColor</formula>
    </cfRule>
  </conditionalFormatting>
  <conditionalFormatting sqref="C152">
    <cfRule type="expression" dxfId="1595" priority="151">
      <formula>NoColor</formula>
    </cfRule>
  </conditionalFormatting>
  <conditionalFormatting sqref="C154">
    <cfRule type="expression" dxfId="1594" priority="150">
      <formula>NoColor</formula>
    </cfRule>
  </conditionalFormatting>
  <conditionalFormatting sqref="C282">
    <cfRule type="expression" dxfId="1593" priority="141">
      <formula>NoColor</formula>
    </cfRule>
  </conditionalFormatting>
  <conditionalFormatting sqref="C284">
    <cfRule type="expression" dxfId="1592" priority="140">
      <formula>NoColor</formula>
    </cfRule>
  </conditionalFormatting>
  <conditionalFormatting sqref="C64:G66">
    <cfRule type="expression" dxfId="1591" priority="526">
      <formula>NOT($B$72)</formula>
    </cfRule>
  </conditionalFormatting>
  <conditionalFormatting sqref="C195:G197">
    <cfRule type="expression" dxfId="1590" priority="241">
      <formula>IF(SUM(C198,C200)&lt;&gt;1,1,0)</formula>
    </cfRule>
  </conditionalFormatting>
  <conditionalFormatting sqref="C325:G327">
    <cfRule type="expression" dxfId="1589" priority="225">
      <formula>IF(SUM(C328,C330)&lt;&gt;1,1,0)</formula>
    </cfRule>
  </conditionalFormatting>
  <conditionalFormatting sqref="C75:H77 K75:K77 O75:O77">
    <cfRule type="expression" dxfId="1588" priority="527">
      <formula>NoColor</formula>
    </cfRule>
  </conditionalFormatting>
  <conditionalFormatting sqref="C206:H208 K206:K208 O206:O208">
    <cfRule type="expression" dxfId="1587" priority="79">
      <formula>NoColor</formula>
    </cfRule>
  </conditionalFormatting>
  <conditionalFormatting sqref="C336:H338 K336:K338 O336:O338">
    <cfRule type="expression" dxfId="1586" priority="70">
      <formula>NoColor</formula>
    </cfRule>
  </conditionalFormatting>
  <conditionalFormatting sqref="D35:N36">
    <cfRule type="expression" dxfId="1585" priority="267">
      <formula>NoColor</formula>
    </cfRule>
  </conditionalFormatting>
  <conditionalFormatting sqref="D166:N167">
    <cfRule type="expression" dxfId="1584" priority="269">
      <formula>NoColor</formula>
    </cfRule>
  </conditionalFormatting>
  <conditionalFormatting sqref="D296:N297">
    <cfRule type="expression" dxfId="1583" priority="271">
      <formula>NoColor</formula>
    </cfRule>
  </conditionalFormatting>
  <conditionalFormatting sqref="E67">
    <cfRule type="expression" dxfId="1582" priority="506">
      <formula>NoColor</formula>
    </cfRule>
  </conditionalFormatting>
  <conditionalFormatting sqref="E69">
    <cfRule type="expression" dxfId="1581" priority="505">
      <formula>NoColor</formula>
    </cfRule>
  </conditionalFormatting>
  <conditionalFormatting sqref="E99">
    <cfRule type="expression" dxfId="1580" priority="588">
      <formula>NoColor</formula>
    </cfRule>
  </conditionalFormatting>
  <conditionalFormatting sqref="E108">
    <cfRule type="expression" dxfId="1579" priority="586">
      <formula>NoColor</formula>
    </cfRule>
  </conditionalFormatting>
  <conditionalFormatting sqref="E198">
    <cfRule type="expression" dxfId="1578" priority="240">
      <formula>NoColor</formula>
    </cfRule>
  </conditionalFormatting>
  <conditionalFormatting sqref="E200">
    <cfRule type="expression" dxfId="1577" priority="239">
      <formula>NoColor</formula>
    </cfRule>
  </conditionalFormatting>
  <conditionalFormatting sqref="E229">
    <cfRule type="expression" dxfId="1576" priority="474">
      <formula>NoColor</formula>
    </cfRule>
  </conditionalFormatting>
  <conditionalFormatting sqref="E238">
    <cfRule type="expression" dxfId="1575" priority="208">
      <formula>NoColor</formula>
    </cfRule>
  </conditionalFormatting>
  <conditionalFormatting sqref="E328">
    <cfRule type="expression" dxfId="1574" priority="224">
      <formula>NoColor</formula>
    </cfRule>
  </conditionalFormatting>
  <conditionalFormatting sqref="E330">
    <cfRule type="expression" dxfId="1573" priority="223">
      <formula>NoColor</formula>
    </cfRule>
  </conditionalFormatting>
  <conditionalFormatting sqref="E359">
    <cfRule type="expression" dxfId="1572" priority="397">
      <formula>NoColor</formula>
    </cfRule>
  </conditionalFormatting>
  <conditionalFormatting sqref="E368">
    <cfRule type="expression" dxfId="1571" priority="197">
      <formula>NoColor</formula>
    </cfRule>
  </conditionalFormatting>
  <conditionalFormatting sqref="H34:N34">
    <cfRule type="expression" dxfId="1570" priority="268">
      <formula>NoColor</formula>
    </cfRule>
  </conditionalFormatting>
  <conditionalFormatting sqref="H165:N165">
    <cfRule type="expression" dxfId="1569" priority="270">
      <formula>NoColor</formula>
    </cfRule>
  </conditionalFormatting>
  <conditionalFormatting sqref="H295:N295">
    <cfRule type="expression" dxfId="1568" priority="272">
      <formula>NoColor</formula>
    </cfRule>
  </conditionalFormatting>
  <conditionalFormatting sqref="K21">
    <cfRule type="expression" dxfId="1567" priority="158">
      <formula>NoColor</formula>
    </cfRule>
  </conditionalFormatting>
  <conditionalFormatting sqref="K23">
    <cfRule type="expression" dxfId="1566" priority="159">
      <formula>NoColor</formula>
    </cfRule>
  </conditionalFormatting>
  <conditionalFormatting sqref="K152">
    <cfRule type="expression" dxfId="1565" priority="145">
      <formula>NoColor</formula>
    </cfRule>
  </conditionalFormatting>
  <conditionalFormatting sqref="K154">
    <cfRule type="expression" dxfId="1564" priority="146">
      <formula>NoColor</formula>
    </cfRule>
  </conditionalFormatting>
  <conditionalFormatting sqref="K282">
    <cfRule type="expression" dxfId="1563" priority="135">
      <formula>NoColor</formula>
    </cfRule>
  </conditionalFormatting>
  <conditionalFormatting sqref="K284">
    <cfRule type="expression" dxfId="1562" priority="136">
      <formula>NoColor</formula>
    </cfRule>
  </conditionalFormatting>
  <conditionalFormatting sqref="L25:AO25">
    <cfRule type="expression" dxfId="1561" priority="525">
      <formula>NoColor</formula>
    </cfRule>
  </conditionalFormatting>
  <conditionalFormatting sqref="L156:AO156">
    <cfRule type="expression" dxfId="1560" priority="457">
      <formula>NoColor</formula>
    </cfRule>
  </conditionalFormatting>
  <conditionalFormatting sqref="L286:AO286">
    <cfRule type="expression" dxfId="1559" priority="385">
      <formula>NoColor</formula>
    </cfRule>
  </conditionalFormatting>
  <conditionalFormatting sqref="N41">
    <cfRule type="expression" dxfId="1558" priority="508">
      <formula>NoColor</formula>
    </cfRule>
  </conditionalFormatting>
  <conditionalFormatting sqref="N172">
    <cfRule type="expression" dxfId="1557" priority="266">
      <formula>NoColor</formula>
    </cfRule>
  </conditionalFormatting>
  <conditionalFormatting sqref="N302">
    <cfRule type="expression" dxfId="1556" priority="265">
      <formula>NoColor</formula>
    </cfRule>
  </conditionalFormatting>
  <conditionalFormatting sqref="P31:AI31">
    <cfRule type="expression" dxfId="1555" priority="524">
      <formula>NoColor</formula>
    </cfRule>
  </conditionalFormatting>
  <conditionalFormatting sqref="P36:AI36">
    <cfRule type="expression" dxfId="1554" priority="521">
      <formula>NoColor</formula>
    </cfRule>
  </conditionalFormatting>
  <conditionalFormatting sqref="P45:AI45">
    <cfRule type="expression" dxfId="1553" priority="520">
      <formula>NoColor</formula>
    </cfRule>
  </conditionalFormatting>
  <conditionalFormatting sqref="P49:AI55">
    <cfRule type="expression" dxfId="1552" priority="513">
      <formula>NoColor</formula>
    </cfRule>
  </conditionalFormatting>
  <conditionalFormatting sqref="P58:AI61">
    <cfRule type="expression" dxfId="1551" priority="512">
      <formula>NoColor</formula>
    </cfRule>
  </conditionalFormatting>
  <conditionalFormatting sqref="P162:AI162">
    <cfRule type="expression" dxfId="1550" priority="293">
      <formula>NoColor</formula>
    </cfRule>
  </conditionalFormatting>
  <conditionalFormatting sqref="P167:AI167">
    <cfRule type="expression" dxfId="1549" priority="185">
      <formula>NoColor</formula>
    </cfRule>
  </conditionalFormatting>
  <conditionalFormatting sqref="P176:AI176">
    <cfRule type="expression" dxfId="1548" priority="452">
      <formula>NoColor</formula>
    </cfRule>
  </conditionalFormatting>
  <conditionalFormatting sqref="P180:AI186">
    <cfRule type="expression" dxfId="1547" priority="110">
      <formula>NoColor</formula>
    </cfRule>
  </conditionalFormatting>
  <conditionalFormatting sqref="P189:AI192">
    <cfRule type="expression" dxfId="1546" priority="444">
      <formula>NoColor</formula>
    </cfRule>
  </conditionalFormatting>
  <conditionalFormatting sqref="P292:AI292">
    <cfRule type="expression" dxfId="1545" priority="292">
      <formula>NoColor</formula>
    </cfRule>
  </conditionalFormatting>
  <conditionalFormatting sqref="P297:AI297">
    <cfRule type="expression" dxfId="1544" priority="183">
      <formula>NoColor</formula>
    </cfRule>
  </conditionalFormatting>
  <conditionalFormatting sqref="P306:AI306">
    <cfRule type="expression" dxfId="1543" priority="380">
      <formula>NoColor</formula>
    </cfRule>
  </conditionalFormatting>
  <conditionalFormatting sqref="P310:AI316">
    <cfRule type="expression" dxfId="1542" priority="109">
      <formula>NoColor</formula>
    </cfRule>
  </conditionalFormatting>
  <conditionalFormatting sqref="P319:AI322">
    <cfRule type="expression" dxfId="1541" priority="372">
      <formula>NoColor</formula>
    </cfRule>
  </conditionalFormatting>
  <conditionalFormatting sqref="Q99">
    <cfRule type="expression" dxfId="1540" priority="585">
      <formula>NoColor</formula>
    </cfRule>
  </conditionalFormatting>
  <conditionalFormatting sqref="Q108">
    <cfRule type="expression" dxfId="1539" priority="583">
      <formula>NoColor</formula>
    </cfRule>
  </conditionalFormatting>
  <conditionalFormatting sqref="Q229">
    <cfRule type="expression" dxfId="1538" priority="472">
      <formula>NoColor</formula>
    </cfRule>
  </conditionalFormatting>
  <conditionalFormatting sqref="Q238">
    <cfRule type="expression" dxfId="1537" priority="207">
      <formula>NoColor</formula>
    </cfRule>
  </conditionalFormatting>
  <conditionalFormatting sqref="Q359">
    <cfRule type="expression" dxfId="1536" priority="395">
      <formula>NoColor</formula>
    </cfRule>
  </conditionalFormatting>
  <conditionalFormatting sqref="Q368">
    <cfRule type="expression" dxfId="1535" priority="196">
      <formula>NoColor</formula>
    </cfRule>
  </conditionalFormatting>
  <conditionalFormatting sqref="T75:X77">
    <cfRule type="expression" dxfId="1534" priority="502">
      <formula>NoColor</formula>
    </cfRule>
  </conditionalFormatting>
  <conditionalFormatting sqref="T206:X208">
    <cfRule type="expression" dxfId="1533" priority="76">
      <formula>NoColor</formula>
    </cfRule>
  </conditionalFormatting>
  <conditionalFormatting sqref="T336:X338">
    <cfRule type="expression" dxfId="1532" priority="67">
      <formula>NoColor</formula>
    </cfRule>
  </conditionalFormatting>
  <conditionalFormatting sqref="W21">
    <cfRule type="expression" dxfId="1531" priority="163">
      <formula>NoColor</formula>
    </cfRule>
  </conditionalFormatting>
  <conditionalFormatting sqref="W23">
    <cfRule type="expression" dxfId="1530" priority="164">
      <formula>NoColor</formula>
    </cfRule>
  </conditionalFormatting>
  <conditionalFormatting sqref="W152">
    <cfRule type="expression" dxfId="1529" priority="148">
      <formula>NoColor</formula>
    </cfRule>
  </conditionalFormatting>
  <conditionalFormatting sqref="W154">
    <cfRule type="expression" dxfId="1528" priority="149">
      <formula>NoColor</formula>
    </cfRule>
  </conditionalFormatting>
  <conditionalFormatting sqref="W282">
    <cfRule type="expression" dxfId="1527" priority="138">
      <formula>NoColor</formula>
    </cfRule>
  </conditionalFormatting>
  <conditionalFormatting sqref="W284">
    <cfRule type="expression" dxfId="1526" priority="139">
      <formula>NoColor</formula>
    </cfRule>
  </conditionalFormatting>
  <conditionalFormatting sqref="AA75:AA77 AE75:AE77 AI75:AI77">
    <cfRule type="expression" dxfId="1525" priority="528">
      <formula>NoColor</formula>
    </cfRule>
  </conditionalFormatting>
  <conditionalFormatting sqref="AA206:AA208 AE206:AE208 AI206:AI208">
    <cfRule type="expression" dxfId="1524" priority="80">
      <formula>NoColor</formula>
    </cfRule>
  </conditionalFormatting>
  <conditionalFormatting sqref="AA336:AA338 AE336:AE338 AI336:AI338">
    <cfRule type="expression" dxfId="1523" priority="71">
      <formula>NoColor</formula>
    </cfRule>
  </conditionalFormatting>
  <conditionalFormatting sqref="AB84:AI84">
    <cfRule type="expression" dxfId="1522" priority="500">
      <formula>NoColor</formula>
    </cfRule>
  </conditionalFormatting>
  <conditionalFormatting sqref="AB86:AI86">
    <cfRule type="expression" dxfId="1521" priority="275">
      <formula>NoColor</formula>
    </cfRule>
  </conditionalFormatting>
  <conditionalFormatting sqref="AB89:AI89">
    <cfRule type="expression" dxfId="1520" priority="495">
      <formula>NoColor</formula>
    </cfRule>
  </conditionalFormatting>
  <conditionalFormatting sqref="AB91:AI91">
    <cfRule type="expression" dxfId="1519" priority="498">
      <formula>NoColor</formula>
    </cfRule>
  </conditionalFormatting>
  <conditionalFormatting sqref="AB93:AI93">
    <cfRule type="expression" dxfId="1518" priority="497">
      <formula>NoColor</formula>
    </cfRule>
  </conditionalFormatting>
  <conditionalFormatting sqref="AB98:AI99">
    <cfRule type="expression" dxfId="1517" priority="494">
      <formula>NoColor</formula>
    </cfRule>
  </conditionalFormatting>
  <conditionalFormatting sqref="AB104:AI104">
    <cfRule type="expression" dxfId="1516" priority="493">
      <formula>NoColor</formula>
    </cfRule>
  </conditionalFormatting>
  <conditionalFormatting sqref="AB107:AI107">
    <cfRule type="expression" dxfId="1515" priority="492">
      <formula>NoColor</formula>
    </cfRule>
  </conditionalFormatting>
  <conditionalFormatting sqref="AB127:AI133">
    <cfRule type="expression" dxfId="1514" priority="20">
      <formula>NoColor</formula>
    </cfRule>
  </conditionalFormatting>
  <conditionalFormatting sqref="AB214:AI214">
    <cfRule type="expression" dxfId="1513" priority="211">
      <formula>NoColor</formula>
    </cfRule>
  </conditionalFormatting>
  <conditionalFormatting sqref="AB216:AI217">
    <cfRule type="expression" dxfId="1512" priority="276">
      <formula>NoColor</formula>
    </cfRule>
  </conditionalFormatting>
  <conditionalFormatting sqref="AB219:AI219">
    <cfRule type="expression" dxfId="1511" priority="427">
      <formula>NoColor</formula>
    </cfRule>
  </conditionalFormatting>
  <conditionalFormatting sqref="AB221:AI221">
    <cfRule type="expression" dxfId="1510" priority="430">
      <formula>NoColor</formula>
    </cfRule>
  </conditionalFormatting>
  <conditionalFormatting sqref="AB223:AI223">
    <cfRule type="expression" dxfId="1509" priority="429">
      <formula>NoColor</formula>
    </cfRule>
  </conditionalFormatting>
  <conditionalFormatting sqref="AB228:AI229">
    <cfRule type="expression" dxfId="1508" priority="426">
      <formula>NoColor</formula>
    </cfRule>
  </conditionalFormatting>
  <conditionalFormatting sqref="AB234:AI234">
    <cfRule type="expression" dxfId="1507" priority="205">
      <formula>NoColor</formula>
    </cfRule>
  </conditionalFormatting>
  <conditionalFormatting sqref="AB237:AI237">
    <cfRule type="expression" dxfId="1506" priority="8">
      <formula>NoColor</formula>
    </cfRule>
  </conditionalFormatting>
  <conditionalFormatting sqref="AB257:AI263">
    <cfRule type="expression" dxfId="1505" priority="21">
      <formula>NoColor</formula>
    </cfRule>
  </conditionalFormatting>
  <conditionalFormatting sqref="AB344:AI344">
    <cfRule type="expression" dxfId="1504" priority="210">
      <formula>NoColor</formula>
    </cfRule>
  </conditionalFormatting>
  <conditionalFormatting sqref="AB346:AI346">
    <cfRule type="expression" dxfId="1503" priority="359">
      <formula>NoColor</formula>
    </cfRule>
  </conditionalFormatting>
  <conditionalFormatting sqref="AB349:AI349">
    <cfRule type="expression" dxfId="1502" priority="355">
      <formula>NoColor</formula>
    </cfRule>
  </conditionalFormatting>
  <conditionalFormatting sqref="AB351:AI351">
    <cfRule type="expression" dxfId="1501" priority="358">
      <formula>NoColor</formula>
    </cfRule>
  </conditionalFormatting>
  <conditionalFormatting sqref="AB353:AI353">
    <cfRule type="expression" dxfId="1500" priority="357">
      <formula>NoColor</formula>
    </cfRule>
  </conditionalFormatting>
  <conditionalFormatting sqref="AB358:AI359">
    <cfRule type="expression" dxfId="1499" priority="354">
      <formula>NoColor</formula>
    </cfRule>
  </conditionalFormatting>
  <conditionalFormatting sqref="AB364:AI364">
    <cfRule type="expression" dxfId="1498" priority="194">
      <formula>NoColor</formula>
    </cfRule>
  </conditionalFormatting>
  <conditionalFormatting sqref="AB367:AI367">
    <cfRule type="expression" dxfId="1497" priority="7">
      <formula>NoColor</formula>
    </cfRule>
  </conditionalFormatting>
  <conditionalFormatting sqref="AB387:AI393">
    <cfRule type="expression" dxfId="1496" priority="113">
      <formula>NoColor</formula>
    </cfRule>
  </conditionalFormatting>
  <conditionalFormatting sqref="AE108">
    <cfRule type="expression" dxfId="1495" priority="580">
      <formula>NoColor</formula>
    </cfRule>
  </conditionalFormatting>
  <conditionalFormatting sqref="AE238">
    <cfRule type="expression" dxfId="1494" priority="206">
      <formula>NoColor</formula>
    </cfRule>
  </conditionalFormatting>
  <conditionalFormatting sqref="AE368">
    <cfRule type="expression" dxfId="1493" priority="195">
      <formula>NoColor</formula>
    </cfRule>
  </conditionalFormatting>
  <conditionalFormatting sqref="AH18">
    <cfRule type="expression" dxfId="1492" priority="157">
      <formula>$AO$20&gt;1</formula>
    </cfRule>
  </conditionalFormatting>
  <conditionalFormatting sqref="AH149">
    <cfRule type="expression" dxfId="1491" priority="144">
      <formula>$AO$20&gt;1</formula>
    </cfRule>
  </conditionalFormatting>
  <conditionalFormatting sqref="AH279">
    <cfRule type="expression" dxfId="1490" priority="134">
      <formula>$AO$20&gt;1</formula>
    </cfRule>
  </conditionalFormatting>
  <conditionalFormatting sqref="AI18">
    <cfRule type="expression" dxfId="1489" priority="115">
      <formula>AO20&gt;1</formula>
    </cfRule>
  </conditionalFormatting>
  <conditionalFormatting sqref="AI21">
    <cfRule type="expression" dxfId="1488" priority="160">
      <formula>NoColor</formula>
    </cfRule>
  </conditionalFormatting>
  <conditionalFormatting sqref="AI149">
    <cfRule type="expression" dxfId="1487" priority="112">
      <formula>AO151&gt;1</formula>
    </cfRule>
  </conditionalFormatting>
  <conditionalFormatting sqref="AI152">
    <cfRule type="expression" dxfId="1486" priority="147">
      <formula>NoColor</formula>
    </cfRule>
  </conditionalFormatting>
  <conditionalFormatting sqref="AI279">
    <cfRule type="expression" dxfId="1485" priority="111">
      <formula>AO281&gt;1</formula>
    </cfRule>
  </conditionalFormatting>
  <conditionalFormatting sqref="AI282">
    <cfRule type="expression" dxfId="1484" priority="137">
      <formula>NoColor</formula>
    </cfRule>
  </conditionalFormatting>
  <conditionalFormatting sqref="AL36:AO36 AL167:AO167 AL297:AO297">
    <cfRule type="expression" dxfId="1483" priority="178">
      <formula>NoColor</formula>
    </cfRule>
    <cfRule type="expression" dxfId="1482" priority="177">
      <formula>IF(AND(SUM(P36,W36,AD36)&gt;0,AO20=0),1,0)</formula>
    </cfRule>
  </conditionalFormatting>
  <conditionalFormatting sqref="AL61:AO62">
    <cfRule type="expression" dxfId="1481" priority="509">
      <formula>NoColor</formula>
    </cfRule>
  </conditionalFormatting>
  <conditionalFormatting sqref="AL95:AO95">
    <cfRule type="expression" dxfId="1480" priority="491">
      <formula>NoColor</formula>
    </cfRule>
  </conditionalFormatting>
  <conditionalFormatting sqref="AL110:AO110">
    <cfRule type="expression" dxfId="1479" priority="490">
      <formula>NoColor</formula>
    </cfRule>
  </conditionalFormatting>
  <conditionalFormatting sqref="AL115:AO115">
    <cfRule type="expression" dxfId="1478" priority="294">
      <formula>NoColor</formula>
    </cfRule>
  </conditionalFormatting>
  <conditionalFormatting sqref="AL118:AO118">
    <cfRule type="expression" dxfId="1477" priority="488">
      <formula>NoColor</formula>
    </cfRule>
  </conditionalFormatting>
  <conditionalFormatting sqref="AL120:AO120">
    <cfRule type="expression" dxfId="1476" priority="29">
      <formula>NoColor</formula>
    </cfRule>
  </conditionalFormatting>
  <conditionalFormatting sqref="AL122:AO122">
    <cfRule type="expression" dxfId="1475" priority="28">
      <formula>NoColor</formula>
    </cfRule>
  </conditionalFormatting>
  <conditionalFormatting sqref="AL125:AO125">
    <cfRule type="expression" dxfId="1474" priority="487">
      <formula>NoColor</formula>
    </cfRule>
  </conditionalFormatting>
  <conditionalFormatting sqref="AL134:AO136">
    <cfRule type="expression" dxfId="1473" priority="479">
      <formula>NoColor</formula>
    </cfRule>
  </conditionalFormatting>
  <conditionalFormatting sqref="AL138:AO138">
    <cfRule type="expression" dxfId="1472" priority="484">
      <formula>NoColor</formula>
    </cfRule>
  </conditionalFormatting>
  <conditionalFormatting sqref="AL192:AO193">
    <cfRule type="expression" dxfId="1471" priority="169">
      <formula>NoColor</formula>
    </cfRule>
  </conditionalFormatting>
  <conditionalFormatting sqref="AL225:AO225">
    <cfRule type="expression" dxfId="1470" priority="423">
      <formula>NoColor</formula>
    </cfRule>
  </conditionalFormatting>
  <conditionalFormatting sqref="AL240:AO240">
    <cfRule type="expression" dxfId="1469" priority="203">
      <formula>NoColor</formula>
    </cfRule>
  </conditionalFormatting>
  <conditionalFormatting sqref="AL245:AO245">
    <cfRule type="expression" dxfId="1468" priority="199">
      <formula>NoColor</formula>
    </cfRule>
  </conditionalFormatting>
  <conditionalFormatting sqref="AL248:AO248">
    <cfRule type="expression" dxfId="1467" priority="202">
      <formula>NoColor</formula>
    </cfRule>
  </conditionalFormatting>
  <conditionalFormatting sqref="AL250:AO250">
    <cfRule type="expression" dxfId="1466" priority="26">
      <formula>NoColor</formula>
    </cfRule>
  </conditionalFormatting>
  <conditionalFormatting sqref="AL252:AO252">
    <cfRule type="expression" dxfId="1465" priority="25">
      <formula>NoColor</formula>
    </cfRule>
  </conditionalFormatting>
  <conditionalFormatting sqref="AL255:AO255">
    <cfRule type="expression" dxfId="1464" priority="301">
      <formula>NoColor</formula>
    </cfRule>
  </conditionalFormatting>
  <conditionalFormatting sqref="AL264:AO266">
    <cfRule type="expression" dxfId="1463" priority="411">
      <formula>NoColor</formula>
    </cfRule>
  </conditionalFormatting>
  <conditionalFormatting sqref="AL268:AO268">
    <cfRule type="expression" dxfId="1462" priority="280">
      <formula>NoColor</formula>
    </cfRule>
  </conditionalFormatting>
  <conditionalFormatting sqref="AL322:AO323">
    <cfRule type="expression" dxfId="1461" priority="167">
      <formula>NoColor</formula>
    </cfRule>
  </conditionalFormatting>
  <conditionalFormatting sqref="AL355:AO355">
    <cfRule type="expression" dxfId="1460" priority="351">
      <formula>NoColor</formula>
    </cfRule>
  </conditionalFormatting>
  <conditionalFormatting sqref="AL370:AO370">
    <cfRule type="expression" dxfId="1459" priority="192">
      <formula>NoColor</formula>
    </cfRule>
  </conditionalFormatting>
  <conditionalFormatting sqref="AL374:AO374">
    <cfRule type="expression" dxfId="1458" priority="188">
      <formula>NoColor</formula>
    </cfRule>
  </conditionalFormatting>
  <conditionalFormatting sqref="AL378:AO378">
    <cfRule type="expression" dxfId="1457" priority="191">
      <formula>NoColor</formula>
    </cfRule>
  </conditionalFormatting>
  <conditionalFormatting sqref="AL380:AO380">
    <cfRule type="expression" dxfId="1456" priority="24">
      <formula>NoColor</formula>
    </cfRule>
  </conditionalFormatting>
  <conditionalFormatting sqref="AL382:AO382">
    <cfRule type="expression" dxfId="1455" priority="23">
      <formula>NoColor</formula>
    </cfRule>
  </conditionalFormatting>
  <conditionalFormatting sqref="AL385:AO385">
    <cfRule type="expression" dxfId="1454" priority="186">
      <formula>NoColor</formula>
    </cfRule>
  </conditionalFormatting>
  <conditionalFormatting sqref="AL394:AO396">
    <cfRule type="expression" dxfId="1453" priority="339">
      <formula>NoColor</formula>
    </cfRule>
  </conditionalFormatting>
  <conditionalFormatting sqref="AL398:AO398">
    <cfRule type="expression" dxfId="1452" priority="279">
      <formula>NoColor</formula>
    </cfRule>
  </conditionalFormatting>
  <conditionalFormatting sqref="AM75:AM77">
    <cfRule type="expression" dxfId="1451" priority="248">
      <formula>NoColor</formula>
    </cfRule>
  </conditionalFormatting>
  <conditionalFormatting sqref="AM206:AM208">
    <cfRule type="expression" dxfId="1450" priority="63">
      <formula>NoColor</formula>
    </cfRule>
  </conditionalFormatting>
  <conditionalFormatting sqref="AM336:AM338">
    <cfRule type="expression" dxfId="1449" priority="60">
      <formula>NoColor</formula>
    </cfRule>
  </conditionalFormatting>
  <conditionalFormatting sqref="AM78:AO78">
    <cfRule type="expression" dxfId="1448" priority="172">
      <formula>NoColor</formula>
    </cfRule>
  </conditionalFormatting>
  <conditionalFormatting sqref="AM209:AO209">
    <cfRule type="expression" dxfId="1447" priority="235">
      <formula>NoColor</formula>
    </cfRule>
  </conditionalFormatting>
  <conditionalFormatting sqref="AM339:AO339">
    <cfRule type="expression" dxfId="1446" priority="171">
      <formula>NoColor</formula>
    </cfRule>
  </conditionalFormatting>
  <conditionalFormatting sqref="AO8">
    <cfRule type="expression" dxfId="1445" priority="106">
      <formula>AND(AO8&lt;&gt;0,AO8&lt;&gt;"",NoColor)</formula>
    </cfRule>
    <cfRule type="expression" dxfId="1444" priority="107">
      <formula>AND(AO8&lt;&gt;0,AO8&lt;&gt;"")</formula>
    </cfRule>
  </conditionalFormatting>
  <conditionalFormatting sqref="AO18">
    <cfRule type="expression" dxfId="1443" priority="116">
      <formula>$AO$20&gt;1</formula>
    </cfRule>
  </conditionalFormatting>
  <conditionalFormatting sqref="AQ61:AT62">
    <cfRule type="expression" dxfId="1442" priority="507">
      <formula>NoColor</formula>
    </cfRule>
  </conditionalFormatting>
  <conditionalFormatting sqref="AQ78:AT78">
    <cfRule type="expression" dxfId="1441" priority="250">
      <formula>NoColor</formula>
    </cfRule>
  </conditionalFormatting>
  <conditionalFormatting sqref="AQ107:AT107">
    <cfRule type="expression" dxfId="1440" priority="478">
      <formula>NoColor</formula>
    </cfRule>
  </conditionalFormatting>
  <conditionalFormatting sqref="AQ110:AT110">
    <cfRule type="expression" dxfId="1439" priority="209">
      <formula>NoColor</formula>
    </cfRule>
  </conditionalFormatting>
  <conditionalFormatting sqref="AQ115:AT115">
    <cfRule type="expression" dxfId="1438" priority="477">
      <formula>NoColor</formula>
    </cfRule>
  </conditionalFormatting>
  <conditionalFormatting sqref="AQ125:AT125">
    <cfRule type="expression" dxfId="1437" priority="302">
      <formula>NoColor</formula>
    </cfRule>
  </conditionalFormatting>
  <conditionalFormatting sqref="AQ134:AT134">
    <cfRule type="expression" dxfId="1436" priority="19">
      <formula>NoColor</formula>
    </cfRule>
  </conditionalFormatting>
  <conditionalFormatting sqref="AQ138:AT138">
    <cfRule type="expression" dxfId="1435" priority="476">
      <formula>NoColor</formula>
    </cfRule>
  </conditionalFormatting>
  <conditionalFormatting sqref="AQ192:AT193">
    <cfRule type="expression" dxfId="1434" priority="439">
      <formula>NoColor</formula>
    </cfRule>
  </conditionalFormatting>
  <conditionalFormatting sqref="AQ209:AT209">
    <cfRule type="expression" dxfId="1433" priority="234">
      <formula>NoColor</formula>
    </cfRule>
  </conditionalFormatting>
  <conditionalFormatting sqref="AQ237:AT237">
    <cfRule type="expression" dxfId="1432" priority="201">
      <formula>NoColor</formula>
    </cfRule>
  </conditionalFormatting>
  <conditionalFormatting sqref="AQ240:AT240">
    <cfRule type="expression" dxfId="1431" priority="198">
      <formula>NoColor</formula>
    </cfRule>
  </conditionalFormatting>
  <conditionalFormatting sqref="AQ245:AT245">
    <cfRule type="expression" dxfId="1430" priority="200">
      <formula>NoColor</formula>
    </cfRule>
  </conditionalFormatting>
  <conditionalFormatting sqref="AQ255:AT255">
    <cfRule type="expression" dxfId="1429" priority="298">
      <formula>NoColor</formula>
    </cfRule>
  </conditionalFormatting>
  <conditionalFormatting sqref="AQ264:AT264">
    <cfRule type="expression" dxfId="1428" priority="18">
      <formula>NoColor</formula>
    </cfRule>
  </conditionalFormatting>
  <conditionalFormatting sqref="AQ268:AT268">
    <cfRule type="expression" dxfId="1427" priority="408">
      <formula>NoColor</formula>
    </cfRule>
  </conditionalFormatting>
  <conditionalFormatting sqref="AQ322:AT323">
    <cfRule type="expression" dxfId="1426" priority="367">
      <formula>NoColor</formula>
    </cfRule>
  </conditionalFormatting>
  <conditionalFormatting sqref="AQ339:AT339">
    <cfRule type="expression" dxfId="1425" priority="218">
      <formula>NoColor</formula>
    </cfRule>
  </conditionalFormatting>
  <conditionalFormatting sqref="AQ367:AT367">
    <cfRule type="expression" dxfId="1424" priority="190">
      <formula>NoColor</formula>
    </cfRule>
  </conditionalFormatting>
  <conditionalFormatting sqref="AQ370:AT370">
    <cfRule type="expression" dxfId="1423" priority="187">
      <formula>NoColor</formula>
    </cfRule>
  </conditionalFormatting>
  <conditionalFormatting sqref="AQ374:AT374">
    <cfRule type="expression" dxfId="1422" priority="189">
      <formula>NoColor</formula>
    </cfRule>
  </conditionalFormatting>
  <conditionalFormatting sqref="AQ385:AT385">
    <cfRule type="expression" dxfId="1421" priority="299">
      <formula>NoColor</formula>
    </cfRule>
  </conditionalFormatting>
  <conditionalFormatting sqref="AQ394:AT394">
    <cfRule type="expression" dxfId="1420" priority="17">
      <formula>NoColor</formula>
    </cfRule>
  </conditionalFormatting>
  <conditionalFormatting sqref="AQ398:AT398">
    <cfRule type="expression" dxfId="1419" priority="336">
      <formula>NoColor</formula>
    </cfRule>
  </conditionalFormatting>
  <conditionalFormatting sqref="AQ11:AW15">
    <cfRule type="expression" dxfId="1418" priority="66">
      <formula>$AQ$10</formula>
    </cfRule>
  </conditionalFormatting>
  <conditionalFormatting sqref="AX96:AX97">
    <cfRule type="expression" dxfId="1417" priority="5">
      <formula>NOT(AX96)</formula>
    </cfRule>
    <cfRule type="expression" dxfId="1416" priority="6">
      <formula>AX96</formula>
    </cfRule>
  </conditionalFormatting>
  <conditionalFormatting sqref="AX226:AX227">
    <cfRule type="expression" dxfId="1415" priority="3">
      <formula>NOT(AX226)</formula>
    </cfRule>
    <cfRule type="expression" dxfId="1414" priority="4">
      <formula>AX226</formula>
    </cfRule>
  </conditionalFormatting>
  <conditionalFormatting sqref="AX356:AX357">
    <cfRule type="expression" dxfId="1413" priority="2">
      <formula>AX356</formula>
    </cfRule>
    <cfRule type="expression" dxfId="1412" priority="1">
      <formula>NOT(AX356)</formula>
    </cfRule>
  </conditionalFormatting>
  <conditionalFormatting sqref="BE109:BE116">
    <cfRule type="expression" dxfId="1411" priority="48">
      <formula>NoColor</formula>
    </cfRule>
  </conditionalFormatting>
  <conditionalFormatting sqref="BE118">
    <cfRule type="expression" dxfId="1410" priority="15">
      <formula>NoColor</formula>
    </cfRule>
  </conditionalFormatting>
  <conditionalFormatting sqref="BE239:BE246">
    <cfRule type="expression" dxfId="1409" priority="36">
      <formula>NoColor</formula>
    </cfRule>
  </conditionalFormatting>
  <conditionalFormatting sqref="BE248">
    <cfRule type="expression" dxfId="1408" priority="16">
      <formula>NoColor</formula>
    </cfRule>
  </conditionalFormatting>
  <conditionalFormatting sqref="BE369:BE376">
    <cfRule type="expression" dxfId="1407" priority="32">
      <formula>NoColor</formula>
    </cfRule>
  </conditionalFormatting>
  <conditionalFormatting sqref="BE378">
    <cfRule type="expression" dxfId="1406" priority="31">
      <formula>NoColor</formula>
    </cfRule>
  </conditionalFormatting>
  <conditionalFormatting sqref="BG108">
    <cfRule type="expression" dxfId="1405" priority="9">
      <formula>NoColor</formula>
    </cfRule>
  </conditionalFormatting>
  <conditionalFormatting sqref="BG119:BG120">
    <cfRule type="expression" dxfId="1404" priority="46">
      <formula>NoColor</formula>
    </cfRule>
  </conditionalFormatting>
  <conditionalFormatting sqref="BG238">
    <cfRule type="expression" dxfId="1403" priority="10">
      <formula>NoColor</formula>
    </cfRule>
  </conditionalFormatting>
  <conditionalFormatting sqref="BG249:BG250">
    <cfRule type="expression" dxfId="1402" priority="14">
      <formula>NoColor</formula>
    </cfRule>
  </conditionalFormatting>
  <conditionalFormatting sqref="BG368">
    <cfRule type="expression" dxfId="1401" priority="11">
      <formula>NoColor</formula>
    </cfRule>
  </conditionalFormatting>
  <conditionalFormatting sqref="BG379:BG380">
    <cfRule type="expression" dxfId="1400" priority="13">
      <formula>NoColor</formula>
    </cfRule>
  </conditionalFormatting>
  <pageMargins left="0.45" right="0.45" top="0.3" bottom="0.25" header="0" footer="0"/>
  <pageSetup scale="83" fitToHeight="0" orientation="portrait" r:id="rId1"/>
  <rowBreaks count="5" manualBreakCount="5">
    <brk id="79" max="16383" man="1"/>
    <brk id="140" min="1" max="40" man="1"/>
    <brk id="210" min="1" max="40" man="1"/>
    <brk id="270" min="1" max="40" man="1"/>
    <brk id="340" min="1" max="40" man="1"/>
  </rowBreaks>
  <colBreaks count="2" manualBreakCount="2">
    <brk id="2" min="9" max="373" man="1"/>
    <brk id="7" min="9" max="373"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Q392"/>
  <sheetViews>
    <sheetView zoomScaleNormal="100" zoomScaleSheetLayoutView="100" workbookViewId="0">
      <pane ySplit="3" topLeftCell="A4" activePane="bottomLeft" state="frozen"/>
      <selection pane="bottomLeft" activeCell="AB30" sqref="AB30"/>
    </sheetView>
  </sheetViews>
  <sheetFormatPr defaultRowHeight="12.75"/>
  <cols>
    <col min="1" max="2" width="2.140625" customWidth="1"/>
    <col min="3" max="3" width="4.140625" customWidth="1"/>
    <col min="4" max="4" width="3.140625" customWidth="1"/>
    <col min="5" max="5" width="10.5703125" customWidth="1"/>
    <col min="6" max="6" width="5.28515625" customWidth="1"/>
    <col min="7" max="7" width="8" customWidth="1"/>
    <col min="8" max="8" width="3" customWidth="1"/>
    <col min="9" max="9" width="7.5703125" customWidth="1"/>
    <col min="10" max="10" width="4.140625" customWidth="1"/>
    <col min="11" max="11" width="5.42578125" customWidth="1"/>
    <col min="12" max="12" width="1.28515625" customWidth="1"/>
    <col min="13" max="13" width="3.5703125" customWidth="1"/>
    <col min="14" max="14" width="5.28515625" customWidth="1"/>
    <col min="15" max="15" width="3.85546875" customWidth="1"/>
    <col min="16" max="16" width="4" customWidth="1"/>
    <col min="17" max="17" width="10.7109375" customWidth="1"/>
    <col min="18" max="18" width="3.28515625" customWidth="1"/>
    <col min="19" max="19" width="10.7109375" customWidth="1"/>
    <col min="20" max="20" width="3.28515625" customWidth="1"/>
    <col min="21" max="21" width="10.7109375" customWidth="1"/>
    <col min="22" max="22" width="3.28515625" customWidth="1"/>
    <col min="23" max="23" width="10.7109375" customWidth="1"/>
    <col min="24" max="24" width="5" customWidth="1"/>
    <col min="25" max="25" width="2.85546875" style="3" customWidth="1"/>
    <col min="26" max="26" width="13.85546875" customWidth="1"/>
    <col min="27" max="27" width="4.7109375" customWidth="1"/>
    <col min="28" max="28" width="3.5703125" customWidth="1"/>
    <col min="29" max="29" width="4.7109375" customWidth="1"/>
    <col min="30" max="30" width="2" customWidth="1"/>
    <col min="31" max="31" width="11.85546875" customWidth="1"/>
    <col min="32" max="32" width="5.5703125" customWidth="1"/>
    <col min="33" max="33" width="4.140625" customWidth="1"/>
    <col min="34" max="34" width="4.7109375" customWidth="1"/>
    <col min="35" max="35" width="21" customWidth="1"/>
    <col min="36" max="36" width="2.7109375" customWidth="1"/>
    <col min="37" max="37" width="10.7109375" customWidth="1"/>
    <col min="38" max="38" width="1.7109375" customWidth="1"/>
    <col min="39" max="39" width="10.7109375" customWidth="1"/>
    <col min="40" max="40" width="1.7109375" customWidth="1"/>
    <col min="41" max="41" width="10.7109375" customWidth="1"/>
    <col min="42" max="42" width="1.7109375" customWidth="1"/>
    <col min="43" max="43" width="10.7109375" customWidth="1"/>
    <col min="44" max="44" width="1.7109375" customWidth="1"/>
    <col min="45" max="45" width="3.42578125" customWidth="1"/>
    <col min="46" max="46" width="2.7109375" customWidth="1"/>
    <col min="47" max="47" width="5.85546875" customWidth="1"/>
    <col min="48" max="48" width="5.85546875" style="866" hidden="1" customWidth="1"/>
    <col min="49" max="53" width="13.5703125" hidden="1" customWidth="1"/>
    <col min="54" max="54" width="5.85546875" customWidth="1"/>
    <col min="55" max="65" width="10.7109375" style="2595" customWidth="1"/>
    <col min="66" max="78" width="9" hidden="1" customWidth="1"/>
    <col min="79" max="90" width="9.140625" hidden="1" customWidth="1"/>
  </cols>
  <sheetData>
    <row r="1" spans="1:65" ht="15">
      <c r="A1" s="1179"/>
      <c r="B1" s="1179"/>
      <c r="C1" s="1179"/>
      <c r="D1" s="1179"/>
      <c r="E1" s="1179"/>
      <c r="F1" s="1179"/>
      <c r="G1" s="1179"/>
      <c r="H1" s="1179"/>
      <c r="I1" s="1179"/>
      <c r="J1" s="1179"/>
      <c r="K1" s="1179"/>
      <c r="L1" s="1179"/>
      <c r="M1" s="1179"/>
      <c r="N1" s="1179"/>
      <c r="O1" s="1179"/>
      <c r="P1" s="1179"/>
      <c r="Q1" s="1179"/>
      <c r="R1" s="1179"/>
      <c r="S1" s="1179"/>
      <c r="T1" s="1179"/>
      <c r="U1" s="1179"/>
      <c r="V1" s="1179"/>
      <c r="W1" s="1179"/>
      <c r="X1" s="1179"/>
      <c r="Y1" s="1185"/>
      <c r="Z1" s="1179"/>
      <c r="AA1" s="1145"/>
      <c r="AB1" s="1145"/>
      <c r="AC1" s="1145"/>
      <c r="AD1" s="1145"/>
      <c r="AE1" s="1145"/>
      <c r="AF1" s="1145"/>
      <c r="AG1" s="1145"/>
      <c r="AH1" s="1145"/>
      <c r="AI1" s="1145"/>
      <c r="AJ1" s="1145"/>
      <c r="AK1" s="1145"/>
      <c r="AL1" s="1145"/>
      <c r="AM1" s="1145"/>
      <c r="AN1" s="1145"/>
      <c r="AO1" s="1145"/>
      <c r="AP1" s="1145"/>
      <c r="AQ1" s="1145"/>
      <c r="AR1" s="1145"/>
      <c r="AS1" s="1145"/>
      <c r="AT1" s="1145"/>
      <c r="AU1" s="1145"/>
      <c r="BC1" s="2594" t="s">
        <v>2033</v>
      </c>
    </row>
    <row r="2" spans="1:65" ht="16.5" customHeight="1">
      <c r="A2" s="1179"/>
      <c r="B2" s="1179"/>
      <c r="C2" s="2416" t="str">
        <f>IF(AND(U39="",U40=""),"Please complete Lines 2 and 3.",IF($V$43,"Line 4 is less than "&amp;TEXT(W43,"$0,000")&amp;", don't file Form 2210.",IF($U$48,"Line 7 is less than "&amp;TEXT(W43,"$0,000")&amp;", don't file Form 2210.",IF(NOT(AC38),"Complete information in Columns AB &amp; AC for "&amp;TaxYear-1&amp;".",IF(AND(NOT($W$48),NOT($B$66)),"Line 9 is not more than Line 6 and Box E does not apply. You don't owe a penalty. Don't file Form 2210.",IF(AND(NOT($W$48),$B$66,NOT(B60),NOT(B62),NOT(B64)),"Box E applies. You must file page 1 of Form 2210, but you aren't required to figure your penalty.",IF(B60,"Box B applies.  You must figure your penalty and waiver amount and file Form 2210.",IF(B58,"Box A applies.  File only page 1 of Form 2210, but you aren't required to figure your penalty.",IF(B62,"Box C applies.  You must figure the penalty using Schedule AI and file Form 2210.",IF(B64,"Box D applies. You must figure your penalty and file Form 2210.",IF(B66,"Box E applies. You must file page 1 of Form 2210, but you aren't required to figure your penalty.",IF(NOT(B67),"You may owe a penalty but don't file Form 2210 unless one or more boxes in Part II apply.",":"))))))))))))</f>
        <v>Line 4 is less than $1,000, don't file Form 2210.</v>
      </c>
      <c r="D2" s="1179"/>
      <c r="E2" s="1179"/>
      <c r="F2" s="1179"/>
      <c r="G2" s="1179"/>
      <c r="H2" s="1179"/>
      <c r="I2" s="1179"/>
      <c r="J2" s="1179"/>
      <c r="K2" s="1179"/>
      <c r="L2" s="1179"/>
      <c r="M2" s="1179"/>
      <c r="N2" s="1179"/>
      <c r="O2" s="1179"/>
      <c r="P2" s="1179"/>
      <c r="Q2" s="1179"/>
      <c r="R2" s="1179"/>
      <c r="S2" s="1179"/>
      <c r="T2" s="1179"/>
      <c r="U2" s="4886"/>
      <c r="V2" s="1179"/>
      <c r="W2" s="1179"/>
      <c r="X2" s="1179"/>
      <c r="Y2" s="1185"/>
      <c r="Z2" s="1179"/>
      <c r="AA2" s="1145"/>
      <c r="AB2" s="1145"/>
      <c r="AC2" s="1145"/>
      <c r="AD2" s="1145"/>
      <c r="AE2" s="1145"/>
      <c r="AF2" s="1145"/>
      <c r="AG2" s="1145"/>
      <c r="AH2" s="1145"/>
      <c r="AI2" s="1145"/>
      <c r="AJ2" s="1145"/>
      <c r="AK2" s="1145"/>
      <c r="AL2" s="1145"/>
      <c r="AM2" s="1145"/>
      <c r="AN2" s="1145"/>
      <c r="AO2" s="1145"/>
      <c r="AP2" s="1145"/>
      <c r="AQ2" s="1145"/>
      <c r="AR2" s="1145"/>
      <c r="AS2" s="1145"/>
      <c r="AT2" s="1145"/>
      <c r="AU2" s="1145"/>
    </row>
    <row r="3" spans="1:65" ht="16.5" customHeight="1">
      <c r="A3" s="1179"/>
      <c r="B3" s="3022"/>
      <c r="C3" s="5828" t="s">
        <v>5977</v>
      </c>
      <c r="D3" s="1179"/>
      <c r="E3" s="1179"/>
      <c r="F3" s="1179"/>
      <c r="G3" s="1179"/>
      <c r="H3" s="1179"/>
      <c r="I3" s="2783"/>
      <c r="J3" s="1179"/>
      <c r="K3" s="1179"/>
      <c r="L3" s="1179"/>
      <c r="M3" s="1179"/>
      <c r="N3" s="1179"/>
      <c r="O3" s="1179"/>
      <c r="P3" s="1179"/>
      <c r="Q3" s="1179"/>
      <c r="R3" s="1179"/>
      <c r="S3" s="1179"/>
      <c r="T3" s="1179"/>
      <c r="U3" s="1179"/>
      <c r="V3" s="1179"/>
      <c r="W3" s="1179"/>
      <c r="X3" s="1179"/>
      <c r="Y3" s="1185"/>
      <c r="Z3" s="1179"/>
      <c r="AA3" s="1145"/>
      <c r="AB3" s="1145"/>
      <c r="AC3" s="1145"/>
      <c r="AD3" s="1145"/>
      <c r="AE3" s="1145"/>
      <c r="AF3" s="1145"/>
      <c r="AG3" s="1145"/>
      <c r="AH3" s="1145"/>
      <c r="AI3" s="1145"/>
      <c r="AJ3" s="1145"/>
      <c r="AK3" s="1145"/>
      <c r="AL3" s="1145"/>
      <c r="AM3" s="1145"/>
      <c r="AN3" s="1145"/>
      <c r="AO3" s="1145"/>
      <c r="AP3" s="1145"/>
      <c r="AQ3" s="1145"/>
      <c r="AR3" s="1145"/>
      <c r="AS3" s="1145"/>
      <c r="AT3" s="1145"/>
      <c r="AU3" s="1145"/>
    </row>
    <row r="4" spans="1:65" ht="9.75" customHeight="1">
      <c r="A4" s="1179"/>
      <c r="B4" s="1179"/>
      <c r="C4" s="1179"/>
      <c r="D4" s="1179"/>
      <c r="E4" s="1179"/>
      <c r="F4" s="1179"/>
      <c r="G4" s="1179"/>
      <c r="H4" s="1179"/>
      <c r="I4" s="1179"/>
      <c r="J4" s="1179"/>
      <c r="K4" s="1179"/>
      <c r="L4" s="1179"/>
      <c r="M4" s="1179"/>
      <c r="N4" s="1179"/>
      <c r="O4" s="1179"/>
      <c r="P4" s="1179"/>
      <c r="Q4" s="1179"/>
      <c r="R4" s="1179"/>
      <c r="S4" s="1179"/>
      <c r="T4" s="1179"/>
      <c r="U4" s="1179"/>
      <c r="V4" s="1179"/>
      <c r="W4" s="1179"/>
      <c r="X4" s="1179"/>
      <c r="Y4" s="1185"/>
      <c r="Z4" s="1179"/>
      <c r="AA4" s="1145"/>
      <c r="AB4" s="1145"/>
      <c r="AC4" s="1145"/>
      <c r="AD4" s="1145"/>
      <c r="AE4" s="1145"/>
      <c r="AF4" s="1145"/>
      <c r="AG4" s="1145"/>
      <c r="AH4" s="1145"/>
      <c r="AI4" s="1145"/>
      <c r="AJ4" s="1145"/>
      <c r="AK4" s="1145"/>
      <c r="AL4" s="1145"/>
      <c r="AM4" s="1145"/>
      <c r="AN4" s="1145"/>
      <c r="AO4" s="1145"/>
      <c r="AP4" s="1145"/>
      <c r="AQ4" s="1145"/>
      <c r="AR4" s="1145"/>
      <c r="AS4" s="1145"/>
      <c r="AT4" s="1145"/>
      <c r="AU4" s="1145"/>
    </row>
    <row r="5" spans="1:65" ht="9" customHeight="1" thickBot="1">
      <c r="A5" s="588"/>
      <c r="B5" s="588"/>
      <c r="C5" s="588"/>
      <c r="D5" s="588"/>
      <c r="E5" s="588"/>
      <c r="F5" s="588"/>
      <c r="G5" s="588"/>
      <c r="H5" s="588"/>
      <c r="I5" s="588"/>
      <c r="J5" s="588"/>
      <c r="K5" s="588"/>
      <c r="L5" s="588"/>
      <c r="M5" s="588"/>
      <c r="N5" s="588"/>
      <c r="O5" s="588"/>
      <c r="P5" s="588"/>
      <c r="Q5" s="588"/>
      <c r="R5" s="588"/>
      <c r="S5" s="588"/>
      <c r="T5" s="588"/>
      <c r="U5" s="588"/>
      <c r="V5" s="588"/>
      <c r="W5" s="588"/>
      <c r="X5" s="588"/>
      <c r="Y5" s="1185"/>
      <c r="Z5" s="431"/>
      <c r="AA5" s="431"/>
      <c r="AB5" s="431"/>
      <c r="AC5" s="431"/>
      <c r="AD5" s="431"/>
      <c r="AE5" s="431"/>
      <c r="AF5" s="431"/>
      <c r="AG5" s="431"/>
      <c r="AH5" s="431"/>
      <c r="AI5" s="431"/>
      <c r="AJ5" s="431"/>
      <c r="AK5" s="431"/>
      <c r="AL5" s="431"/>
      <c r="AM5" s="431"/>
      <c r="AN5" s="431"/>
      <c r="AO5" s="431"/>
      <c r="AP5" s="431"/>
      <c r="AQ5" s="431"/>
      <c r="AR5" s="431"/>
      <c r="AS5" s="431"/>
      <c r="AT5" s="431"/>
      <c r="AU5" s="1145"/>
    </row>
    <row r="6" spans="1:65" ht="21.75" customHeight="1" thickBot="1">
      <c r="A6" s="588"/>
      <c r="B6" s="8099"/>
      <c r="C6" s="8099"/>
      <c r="D6" s="8099"/>
      <c r="E6" s="8100">
        <v>2210</v>
      </c>
      <c r="F6" s="8101"/>
      <c r="G6" s="8133" t="s">
        <v>1742</v>
      </c>
      <c r="H6" s="8134"/>
      <c r="I6" s="8134"/>
      <c r="J6" s="8134"/>
      <c r="K6" s="8134"/>
      <c r="L6" s="8134"/>
      <c r="M6" s="8134"/>
      <c r="N6" s="8134"/>
      <c r="O6" s="8134"/>
      <c r="P6" s="8134"/>
      <c r="Q6" s="8134"/>
      <c r="R6" s="8134"/>
      <c r="S6" s="8135"/>
      <c r="T6" s="8124" t="s">
        <v>152</v>
      </c>
      <c r="U6" s="8125"/>
      <c r="V6" s="8125"/>
      <c r="W6" s="8125"/>
      <c r="X6" s="78"/>
      <c r="Y6" s="1185"/>
      <c r="Z6" s="4284"/>
      <c r="AA6" s="1402"/>
      <c r="AB6" s="8129">
        <f>TaxYear-1</f>
        <v>2020</v>
      </c>
      <c r="AC6" s="8129"/>
      <c r="AD6" s="8129"/>
      <c r="AE6" s="8129"/>
      <c r="AF6" s="1502"/>
      <c r="AG6" s="431"/>
      <c r="AH6" s="431"/>
      <c r="AI6" s="431"/>
      <c r="AJ6" s="431"/>
      <c r="AK6" s="431"/>
      <c r="AL6" s="431"/>
      <c r="AM6" s="431"/>
      <c r="AN6" s="431"/>
      <c r="AO6" s="431"/>
      <c r="AP6" s="431"/>
      <c r="AQ6" s="431"/>
      <c r="AR6" s="431"/>
      <c r="AS6" s="431"/>
      <c r="AT6" s="431"/>
      <c r="AU6" s="1145"/>
    </row>
    <row r="7" spans="1:65" ht="27.75" customHeight="1" thickBot="1">
      <c r="A7" s="588"/>
      <c r="B7" s="343"/>
      <c r="C7" s="8103" t="s">
        <v>291</v>
      </c>
      <c r="D7" s="8104"/>
      <c r="E7" s="8102"/>
      <c r="F7" s="8101"/>
      <c r="G7" s="8133"/>
      <c r="H7" s="8134"/>
      <c r="I7" s="8134"/>
      <c r="J7" s="8134"/>
      <c r="K7" s="8134"/>
      <c r="L7" s="8134"/>
      <c r="M7" s="8134"/>
      <c r="N7" s="8134"/>
      <c r="O7" s="8134"/>
      <c r="P7" s="8134"/>
      <c r="Q7" s="8134"/>
      <c r="R7" s="8134"/>
      <c r="S7" s="8135"/>
      <c r="T7" s="7668">
        <f>TaxYear</f>
        <v>2021</v>
      </c>
      <c r="U7" s="6720"/>
      <c r="V7" s="6720"/>
      <c r="W7" s="6720"/>
      <c r="X7" s="78"/>
      <c r="Y7" s="1185"/>
      <c r="Z7" s="2417" t="str">
        <f>IF($AC$8="","Enter taxes","")</f>
        <v>Enter taxes</v>
      </c>
      <c r="AA7" s="1405"/>
      <c r="AB7" s="1145"/>
      <c r="AC7" s="8126" t="str">
        <f>" Taxes Paid"</f>
        <v xml:space="preserve"> Taxes Paid</v>
      </c>
      <c r="AD7" s="7093"/>
      <c r="AE7" s="7093"/>
      <c r="AF7" s="1504"/>
      <c r="AG7" s="431"/>
      <c r="AH7" s="8154" t="s">
        <v>5586</v>
      </c>
      <c r="AI7" s="8155"/>
      <c r="AJ7" s="8155"/>
      <c r="AK7" s="8155"/>
      <c r="AL7" s="8155"/>
      <c r="AM7" s="8155"/>
      <c r="AN7" s="8155"/>
      <c r="AO7" s="8155"/>
      <c r="AP7" s="8156"/>
      <c r="AQ7" s="431"/>
      <c r="AR7" s="431"/>
      <c r="AS7" s="431"/>
      <c r="AT7" s="431"/>
      <c r="AU7" s="1145"/>
    </row>
    <row r="8" spans="1:65" ht="13.5" customHeight="1">
      <c r="A8" s="588"/>
      <c r="B8" s="33"/>
      <c r="C8" s="33" t="s">
        <v>176</v>
      </c>
      <c r="D8" s="33"/>
      <c r="E8" s="33"/>
      <c r="F8" s="97"/>
      <c r="G8" s="7648" t="s">
        <v>2025</v>
      </c>
      <c r="H8" s="8136"/>
      <c r="I8" s="8136"/>
      <c r="J8" s="8136"/>
      <c r="K8" s="8136"/>
      <c r="L8" s="8136"/>
      <c r="M8" s="8136"/>
      <c r="N8" s="8136"/>
      <c r="O8" s="8136"/>
      <c r="P8" s="8136"/>
      <c r="Q8" s="8136"/>
      <c r="R8" s="8136"/>
      <c r="S8" s="8136"/>
      <c r="T8" s="8063" t="s">
        <v>177</v>
      </c>
      <c r="U8" s="6792"/>
      <c r="V8" s="6792"/>
      <c r="W8" s="6792"/>
      <c r="X8" s="78"/>
      <c r="Y8" s="1185"/>
      <c r="Z8" s="2418" t="str">
        <f>IF($AC$8="","paid for Tax","")</f>
        <v>paid for Tax</v>
      </c>
      <c r="AA8" s="1405"/>
      <c r="AB8" s="2875" t="s">
        <v>2029</v>
      </c>
      <c r="AC8" s="8148"/>
      <c r="AD8" s="8149"/>
      <c r="AE8" s="8150"/>
      <c r="AF8" s="1504"/>
      <c r="AG8" s="431"/>
      <c r="AH8" s="8157" t="s">
        <v>5587</v>
      </c>
      <c r="AI8" s="8158"/>
      <c r="AJ8" s="8158"/>
      <c r="AK8" s="8158" t="s">
        <v>5588</v>
      </c>
      <c r="AL8" s="8158"/>
      <c r="AM8" s="8158"/>
      <c r="AN8" s="8158"/>
      <c r="AO8" s="8158"/>
      <c r="AP8" s="8161"/>
      <c r="AQ8" s="431"/>
      <c r="AR8" s="431"/>
      <c r="AS8" s="431"/>
      <c r="AT8" s="431"/>
      <c r="AU8" s="1145"/>
    </row>
    <row r="9" spans="1:65" ht="12.75" customHeight="1" thickBot="1">
      <c r="A9" s="588"/>
      <c r="B9" s="421"/>
      <c r="C9" s="7602" t="str">
        <f>"Internal Revenue Service"</f>
        <v>Internal Revenue Service</v>
      </c>
      <c r="D9" s="8066"/>
      <c r="E9" s="8066"/>
      <c r="F9" s="8067"/>
      <c r="G9" s="7655" t="s">
        <v>3507</v>
      </c>
      <c r="H9" s="8107"/>
      <c r="I9" s="8107"/>
      <c r="J9" s="8107"/>
      <c r="K9" s="8107"/>
      <c r="L9" s="8107"/>
      <c r="M9" s="8107"/>
      <c r="N9" s="8107"/>
      <c r="O9" s="8107"/>
      <c r="P9" s="8107"/>
      <c r="Q9" s="8107"/>
      <c r="R9" s="8107"/>
      <c r="S9" s="8107"/>
      <c r="T9" s="8064" t="s">
        <v>3087</v>
      </c>
      <c r="U9" s="8065"/>
      <c r="V9" s="8065"/>
      <c r="W9" s="8065"/>
      <c r="X9" s="78"/>
      <c r="Y9" s="1185"/>
      <c r="Z9" s="2419" t="str">
        <f>IF($AC$8="","Year "&amp;TaxYear-1&amp;" &gt;&gt;&gt;","")</f>
        <v>Year 2020 &gt;&gt;&gt;</v>
      </c>
      <c r="AA9" s="1405"/>
      <c r="AB9" s="1145"/>
      <c r="AC9" s="8151"/>
      <c r="AD9" s="8152"/>
      <c r="AE9" s="8153"/>
      <c r="AF9" s="1504"/>
      <c r="AG9" s="431"/>
      <c r="AH9" s="8159"/>
      <c r="AI9" s="8160"/>
      <c r="AJ9" s="8160"/>
      <c r="AK9" s="8160"/>
      <c r="AL9" s="8160"/>
      <c r="AM9" s="8160"/>
      <c r="AN9" s="8160"/>
      <c r="AO9" s="8160"/>
      <c r="AP9" s="8162"/>
      <c r="AQ9" s="431"/>
      <c r="AR9" s="431"/>
      <c r="AS9" s="431"/>
      <c r="AT9" s="431"/>
      <c r="AU9" s="1145"/>
    </row>
    <row r="10" spans="1:65" ht="12" customHeight="1">
      <c r="A10" s="588"/>
      <c r="B10" s="56" t="s">
        <v>1743</v>
      </c>
      <c r="C10" s="56"/>
      <c r="D10" s="56"/>
      <c r="E10" s="56"/>
      <c r="F10" s="23"/>
      <c r="G10" s="23"/>
      <c r="H10" s="23"/>
      <c r="I10" s="23"/>
      <c r="J10" s="23"/>
      <c r="K10" s="23"/>
      <c r="L10" s="311"/>
      <c r="M10" s="311"/>
      <c r="N10" s="311"/>
      <c r="O10" s="311"/>
      <c r="P10" s="311"/>
      <c r="Q10" s="311"/>
      <c r="R10" s="311"/>
      <c r="S10" s="8127" t="s">
        <v>1744</v>
      </c>
      <c r="T10" s="8128"/>
      <c r="U10" s="8128"/>
      <c r="V10" s="8128"/>
      <c r="W10" s="8128"/>
      <c r="X10" s="78"/>
      <c r="Y10" s="1185"/>
      <c r="Z10" s="431"/>
      <c r="AA10" s="1405"/>
      <c r="AB10" s="8122"/>
      <c r="AC10" s="8123"/>
      <c r="AD10" s="8123"/>
      <c r="AE10" s="8123"/>
      <c r="AF10" s="1504"/>
      <c r="AG10" s="431"/>
      <c r="AH10" s="8159"/>
      <c r="AI10" s="8160"/>
      <c r="AJ10" s="8160"/>
      <c r="AK10" s="8160"/>
      <c r="AL10" s="8160"/>
      <c r="AM10" s="8160"/>
      <c r="AN10" s="8160"/>
      <c r="AO10" s="8160"/>
      <c r="AP10" s="8162"/>
      <c r="AQ10" s="431"/>
      <c r="AR10" s="431"/>
      <c r="AS10" s="431"/>
      <c r="AT10" s="431"/>
      <c r="AU10" s="1145"/>
    </row>
    <row r="11" spans="1:65" ht="18" customHeight="1">
      <c r="A11" s="588"/>
      <c r="B11" s="8090" t="str">
        <f>Names</f>
        <v/>
      </c>
      <c r="C11" s="8091"/>
      <c r="D11" s="8091"/>
      <c r="E11" s="8091"/>
      <c r="F11" s="8091"/>
      <c r="G11" s="8091"/>
      <c r="H11" s="8091"/>
      <c r="I11" s="8091"/>
      <c r="J11" s="8091"/>
      <c r="K11" s="8091"/>
      <c r="L11" s="8091"/>
      <c r="M11" s="8091"/>
      <c r="N11" s="8091"/>
      <c r="O11" s="8091"/>
      <c r="P11" s="8091"/>
      <c r="Q11" s="8091"/>
      <c r="R11" s="8092"/>
      <c r="S11" s="8187">
        <f>IF(NoSSN,"",SS_Yours)</f>
        <v>1010001</v>
      </c>
      <c r="T11" s="8188"/>
      <c r="U11" s="8188"/>
      <c r="V11" s="8188"/>
      <c r="W11" s="8188"/>
      <c r="X11" s="78"/>
      <c r="Y11" s="1185"/>
      <c r="Z11" s="431"/>
      <c r="AA11" s="1405"/>
      <c r="AB11" s="8122">
        <f>TaxYear-1</f>
        <v>2020</v>
      </c>
      <c r="AC11" s="8123"/>
      <c r="AD11" s="8123"/>
      <c r="AE11" s="8123"/>
      <c r="AF11" s="1504"/>
      <c r="AG11" s="431"/>
      <c r="AH11" s="8159"/>
      <c r="AI11" s="8160"/>
      <c r="AJ11" s="8160"/>
      <c r="AK11" s="8160"/>
      <c r="AL11" s="8160"/>
      <c r="AM11" s="8160"/>
      <c r="AN11" s="8160"/>
      <c r="AO11" s="8160"/>
      <c r="AP11" s="8162"/>
      <c r="AQ11" s="431"/>
      <c r="AR11" s="431"/>
      <c r="AS11" s="431"/>
      <c r="AT11" s="431"/>
      <c r="AU11" s="1145"/>
    </row>
    <row r="12" spans="1:65" ht="19.5" customHeight="1">
      <c r="A12" s="588"/>
      <c r="B12" s="8189" t="s">
        <v>1745</v>
      </c>
      <c r="C12" s="8189"/>
      <c r="D12" s="8189"/>
      <c r="E12" s="8189"/>
      <c r="F12" s="8189"/>
      <c r="G12" s="8189"/>
      <c r="H12" s="8189"/>
      <c r="I12" s="8189"/>
      <c r="J12" s="8189"/>
      <c r="K12" s="8189"/>
      <c r="L12" s="8189"/>
      <c r="M12" s="8189"/>
      <c r="N12" s="8189"/>
      <c r="O12" s="8189"/>
      <c r="P12" s="8189"/>
      <c r="Q12" s="8189"/>
      <c r="R12" s="8189"/>
      <c r="S12" s="8189"/>
      <c r="T12" s="8189"/>
      <c r="U12" s="8189"/>
      <c r="V12" s="8189"/>
      <c r="W12" s="8189"/>
      <c r="X12" s="78"/>
      <c r="Y12" s="1185"/>
      <c r="Z12" s="8062" t="str">
        <f>IF($AC$14="","Enter "&amp;TaxYear-1&amp;" Refundable Tax Credits &gt;&gt;&gt;","")</f>
        <v>Enter 2020 Refundable Tax Credits &gt;&gt;&gt;</v>
      </c>
      <c r="AA12" s="1405"/>
      <c r="AB12" s="8143" t="s">
        <v>3107</v>
      </c>
      <c r="AC12" s="7371"/>
      <c r="AD12" s="7371"/>
      <c r="AE12" s="7371"/>
      <c r="AF12" s="1504"/>
      <c r="AG12" s="431"/>
      <c r="AH12" s="8159"/>
      <c r="AI12" s="8160"/>
      <c r="AJ12" s="8160"/>
      <c r="AK12" s="8160"/>
      <c r="AL12" s="8160"/>
      <c r="AM12" s="8160"/>
      <c r="AN12" s="8160"/>
      <c r="AO12" s="8160"/>
      <c r="AP12" s="8162"/>
      <c r="AQ12" s="431"/>
      <c r="AR12" s="431"/>
      <c r="AS12" s="431"/>
      <c r="AT12" s="431"/>
      <c r="AU12" s="1145"/>
    </row>
    <row r="13" spans="1:65" s="586" customFormat="1" ht="10.5" customHeight="1" thickBot="1">
      <c r="A13" s="645"/>
      <c r="B13" s="1256"/>
      <c r="C13" s="833"/>
      <c r="D13" s="833"/>
      <c r="E13" s="833"/>
      <c r="F13" s="100"/>
      <c r="G13" s="100"/>
      <c r="H13" s="100"/>
      <c r="I13" s="100"/>
      <c r="J13" s="100"/>
      <c r="K13" s="100"/>
      <c r="L13" s="100"/>
      <c r="M13" s="100"/>
      <c r="N13" s="100"/>
      <c r="O13" s="100"/>
      <c r="P13" s="100"/>
      <c r="Q13" s="100"/>
      <c r="R13" s="100"/>
      <c r="S13" s="100"/>
      <c r="T13" s="100"/>
      <c r="U13" s="100"/>
      <c r="V13" s="100"/>
      <c r="W13" s="100"/>
      <c r="X13" s="657"/>
      <c r="Y13" s="2254"/>
      <c r="Z13" s="8062"/>
      <c r="AA13" s="2876"/>
      <c r="AB13" s="7371"/>
      <c r="AC13" s="7371"/>
      <c r="AD13" s="7371"/>
      <c r="AE13" s="7371"/>
      <c r="AF13" s="3921"/>
      <c r="AG13" s="431"/>
      <c r="AH13" s="8159"/>
      <c r="AI13" s="8160"/>
      <c r="AJ13" s="8160"/>
      <c r="AK13" s="8160"/>
      <c r="AL13" s="8160"/>
      <c r="AM13" s="8160"/>
      <c r="AN13" s="8160"/>
      <c r="AO13" s="8160"/>
      <c r="AP13" s="8162"/>
      <c r="AQ13" s="431"/>
      <c r="AR13" s="431"/>
      <c r="AS13" s="431"/>
      <c r="AT13" s="431"/>
      <c r="AU13" s="2367"/>
      <c r="AV13" s="3336"/>
      <c r="BC13" s="2595"/>
      <c r="BD13" s="2595"/>
      <c r="BE13" s="2595"/>
      <c r="BF13" s="2595"/>
      <c r="BG13" s="2595"/>
      <c r="BH13" s="2595"/>
      <c r="BI13" s="2595"/>
      <c r="BJ13" s="2595"/>
      <c r="BK13" s="2595"/>
      <c r="BL13" s="2595"/>
      <c r="BM13" s="2595"/>
    </row>
    <row r="14" spans="1:65" ht="12" customHeight="1">
      <c r="A14" s="588"/>
      <c r="B14" s="2137"/>
      <c r="C14" s="8017" t="str">
        <f>"Complete lines 1 through 7 below. Is line 4 or line 7 less than "&amp;TEXT($W$43,"$0,000")&amp;"?"</f>
        <v>Complete lines 1 through 7 below. Is line 4 or line 7 less than $1,000?</v>
      </c>
      <c r="D14" s="8200"/>
      <c r="E14" s="8200"/>
      <c r="F14" s="8200"/>
      <c r="G14" s="8200"/>
      <c r="H14" s="8200"/>
      <c r="I14" s="8200"/>
      <c r="J14" s="8200"/>
      <c r="K14" s="8201"/>
      <c r="L14" s="7999" t="s">
        <v>271</v>
      </c>
      <c r="M14" s="6618"/>
      <c r="N14" s="7259"/>
      <c r="O14" s="8190" t="s">
        <v>1767</v>
      </c>
      <c r="P14" s="8191"/>
      <c r="Q14" s="8191"/>
      <c r="R14" s="8191"/>
      <c r="S14" s="8191"/>
      <c r="T14" s="8191"/>
      <c r="U14" s="8191"/>
      <c r="V14" s="8192"/>
      <c r="W14" s="426"/>
      <c r="X14" s="655"/>
      <c r="Y14" s="2187"/>
      <c r="Z14" s="8062"/>
      <c r="AA14" s="8086" t="s">
        <v>2028</v>
      </c>
      <c r="AB14" s="6636"/>
      <c r="AC14" s="8137"/>
      <c r="AD14" s="8138"/>
      <c r="AE14" s="8139"/>
      <c r="AF14" s="1504"/>
      <c r="AG14" s="431"/>
      <c r="AH14" s="8159"/>
      <c r="AI14" s="8160"/>
      <c r="AJ14" s="8160"/>
      <c r="AK14" s="8160"/>
      <c r="AL14" s="8160"/>
      <c r="AM14" s="8160"/>
      <c r="AN14" s="8160"/>
      <c r="AO14" s="8160"/>
      <c r="AP14" s="8162"/>
      <c r="AQ14" s="431"/>
      <c r="AR14" s="431"/>
      <c r="AS14" s="431"/>
      <c r="AT14" s="431"/>
      <c r="AU14" s="1145"/>
    </row>
    <row r="15" spans="1:65" ht="18" customHeight="1" thickBot="1">
      <c r="A15" s="588"/>
      <c r="B15" s="2136"/>
      <c r="C15" s="8202"/>
      <c r="D15" s="8203"/>
      <c r="E15" s="8203"/>
      <c r="F15" s="8203"/>
      <c r="G15" s="8203"/>
      <c r="H15" s="8203"/>
      <c r="I15" s="8203"/>
      <c r="J15" s="8203"/>
      <c r="K15" s="8204"/>
      <c r="L15" s="122"/>
      <c r="M15" s="122"/>
      <c r="N15" s="122"/>
      <c r="O15" s="8193"/>
      <c r="P15" s="8194"/>
      <c r="Q15" s="8194"/>
      <c r="R15" s="8194"/>
      <c r="S15" s="8194"/>
      <c r="T15" s="8194"/>
      <c r="U15" s="8194"/>
      <c r="V15" s="8195"/>
      <c r="W15" s="122"/>
      <c r="X15" s="655"/>
      <c r="Y15" s="2187"/>
      <c r="Z15" s="8062"/>
      <c r="AA15" s="1405"/>
      <c r="AB15" s="1145"/>
      <c r="AC15" s="8140"/>
      <c r="AD15" s="8141"/>
      <c r="AE15" s="8142"/>
      <c r="AF15" s="1504"/>
      <c r="AG15" s="431"/>
      <c r="AH15" s="8159"/>
      <c r="AI15" s="8160"/>
      <c r="AJ15" s="8160"/>
      <c r="AK15" s="8160"/>
      <c r="AL15" s="8160"/>
      <c r="AM15" s="8160"/>
      <c r="AN15" s="8160"/>
      <c r="AO15" s="8160"/>
      <c r="AP15" s="8162"/>
      <c r="AQ15" s="431"/>
      <c r="AR15" s="431"/>
      <c r="AS15" s="431"/>
      <c r="AT15" s="431"/>
      <c r="AU15" s="1145"/>
    </row>
    <row r="16" spans="1:65" ht="6.75" customHeight="1">
      <c r="A16" s="588"/>
      <c r="B16" s="23"/>
      <c r="C16" s="23"/>
      <c r="D16" s="23"/>
      <c r="E16" s="23"/>
      <c r="F16" s="8087" t="s">
        <v>272</v>
      </c>
      <c r="G16" s="23"/>
      <c r="H16" s="23"/>
      <c r="I16" s="23"/>
      <c r="J16" s="23"/>
      <c r="K16" s="23"/>
      <c r="L16" s="23"/>
      <c r="M16" s="23"/>
      <c r="N16" s="23"/>
      <c r="O16" s="23"/>
      <c r="P16" s="23"/>
      <c r="Q16" s="23"/>
      <c r="R16" s="23"/>
      <c r="S16" s="23"/>
      <c r="T16" s="23"/>
      <c r="U16" s="23"/>
      <c r="V16" s="23"/>
      <c r="W16" s="23"/>
      <c r="X16" s="78"/>
      <c r="Y16" s="1185"/>
      <c r="Z16" s="431"/>
      <c r="AA16" s="1405"/>
      <c r="AB16" s="1145"/>
      <c r="AC16" s="1145"/>
      <c r="AD16" s="1145"/>
      <c r="AE16" s="1145"/>
      <c r="AF16" s="1504"/>
      <c r="AG16" s="431"/>
      <c r="AH16" s="8159"/>
      <c r="AI16" s="8160"/>
      <c r="AJ16" s="8160"/>
      <c r="AK16" s="8160"/>
      <c r="AL16" s="8160"/>
      <c r="AM16" s="8160"/>
      <c r="AN16" s="8160"/>
      <c r="AO16" s="8160"/>
      <c r="AP16" s="8162"/>
      <c r="AQ16" s="431"/>
      <c r="AR16" s="431"/>
      <c r="AS16" s="431"/>
      <c r="AT16" s="431"/>
      <c r="AU16" s="1145"/>
    </row>
    <row r="17" spans="1:47">
      <c r="A17" s="588"/>
      <c r="B17" s="23"/>
      <c r="C17" s="23"/>
      <c r="D17" s="23"/>
      <c r="E17" s="23"/>
      <c r="F17" s="8088"/>
      <c r="G17" s="23"/>
      <c r="H17" s="23"/>
      <c r="I17" s="23"/>
      <c r="J17" s="23"/>
      <c r="K17" s="23"/>
      <c r="L17" s="23"/>
      <c r="M17" s="23"/>
      <c r="N17" s="23"/>
      <c r="O17" s="23"/>
      <c r="P17" s="23"/>
      <c r="Q17" s="23"/>
      <c r="R17" s="23"/>
      <c r="S17" s="23"/>
      <c r="T17" s="23"/>
      <c r="U17" s="23"/>
      <c r="V17" s="23"/>
      <c r="W17" s="23"/>
      <c r="X17" s="78"/>
      <c r="Y17" s="3911"/>
      <c r="Z17" s="4520" t="str">
        <f>IF(OR(AND($U$42&lt;$W$43,NOT(NoColor)),AND($U$48,NOT(NoColor))),"Remove highlite.","")</f>
        <v>Remove highlite.</v>
      </c>
      <c r="AA17" s="8144">
        <v>150000</v>
      </c>
      <c r="AB17" s="8145"/>
      <c r="AC17" s="2877"/>
      <c r="AD17" s="2877"/>
      <c r="AE17" s="3886">
        <v>75000</v>
      </c>
      <c r="AF17" s="1504"/>
      <c r="AG17" s="431"/>
      <c r="AH17" s="8159"/>
      <c r="AI17" s="8160"/>
      <c r="AJ17" s="8160"/>
      <c r="AK17" s="8160"/>
      <c r="AL17" s="8160"/>
      <c r="AM17" s="8160"/>
      <c r="AN17" s="8160"/>
      <c r="AO17" s="8160"/>
      <c r="AP17" s="8162"/>
      <c r="AQ17" s="431"/>
      <c r="AR17" s="431"/>
      <c r="AS17" s="431"/>
      <c r="AT17" s="431"/>
      <c r="AU17" s="1145"/>
    </row>
    <row r="18" spans="1:47" ht="6" customHeight="1">
      <c r="A18" s="588"/>
      <c r="B18" s="427"/>
      <c r="C18" s="7990" t="s">
        <v>1746</v>
      </c>
      <c r="D18" s="7991"/>
      <c r="E18" s="7991"/>
      <c r="F18" s="7991"/>
      <c r="G18" s="7991"/>
      <c r="H18" s="7991"/>
      <c r="I18" s="7991"/>
      <c r="J18" s="7991"/>
      <c r="K18" s="7992"/>
      <c r="L18" s="23"/>
      <c r="M18" s="23"/>
      <c r="N18" s="23"/>
      <c r="O18" s="8017" t="s">
        <v>5505</v>
      </c>
      <c r="P18" s="8018"/>
      <c r="Q18" s="8018"/>
      <c r="R18" s="8018"/>
      <c r="S18" s="8018"/>
      <c r="T18" s="8018"/>
      <c r="U18" s="8018"/>
      <c r="V18" s="8019"/>
      <c r="W18" s="23"/>
      <c r="X18" s="78"/>
      <c r="Y18" s="1185"/>
      <c r="Z18" s="431"/>
      <c r="AA18" s="3879"/>
      <c r="AB18" s="2243"/>
      <c r="AC18" s="2877"/>
      <c r="AD18" s="2877"/>
      <c r="AE18" s="1145"/>
      <c r="AF18" s="1504"/>
      <c r="AG18" s="431"/>
      <c r="AH18" s="8159"/>
      <c r="AI18" s="8160"/>
      <c r="AJ18" s="8160"/>
      <c r="AK18" s="8160"/>
      <c r="AL18" s="8160"/>
      <c r="AM18" s="8160"/>
      <c r="AN18" s="8160"/>
      <c r="AO18" s="8160"/>
      <c r="AP18" s="8162"/>
      <c r="AQ18" s="431"/>
      <c r="AR18" s="431"/>
      <c r="AS18" s="431"/>
      <c r="AT18" s="431"/>
      <c r="AU18" s="1145"/>
    </row>
    <row r="19" spans="1:47" ht="15.75" customHeight="1">
      <c r="A19" s="588"/>
      <c r="B19" s="413"/>
      <c r="C19" s="7993"/>
      <c r="D19" s="7994"/>
      <c r="E19" s="7994"/>
      <c r="F19" s="7994"/>
      <c r="G19" s="7994"/>
      <c r="H19" s="7994"/>
      <c r="I19" s="7994"/>
      <c r="J19" s="7994"/>
      <c r="K19" s="7995"/>
      <c r="L19" s="7999" t="s">
        <v>271</v>
      </c>
      <c r="M19" s="6618"/>
      <c r="N19" s="7259"/>
      <c r="O19" s="8020"/>
      <c r="P19" s="8021"/>
      <c r="Q19" s="8021"/>
      <c r="R19" s="8021"/>
      <c r="S19" s="8021"/>
      <c r="T19" s="8021"/>
      <c r="U19" s="8021"/>
      <c r="V19" s="8022"/>
      <c r="W19" s="23"/>
      <c r="X19" s="78"/>
      <c r="Y19" s="1185"/>
      <c r="Z19" s="431"/>
      <c r="AA19" s="8146">
        <f>IF(File_Marr_Sep&lt;&gt;"",AE17,AA17)</f>
        <v>150000</v>
      </c>
      <c r="AB19" s="8147"/>
      <c r="AC19" s="8130">
        <f>TaxYear-1</f>
        <v>2020</v>
      </c>
      <c r="AD19" s="7436"/>
      <c r="AE19" s="7436"/>
      <c r="AF19" s="1504"/>
      <c r="AG19" s="431"/>
      <c r="AH19" s="8159"/>
      <c r="AI19" s="8160"/>
      <c r="AJ19" s="8160"/>
      <c r="AK19" s="8160"/>
      <c r="AL19" s="8160"/>
      <c r="AM19" s="8160"/>
      <c r="AN19" s="8160"/>
      <c r="AO19" s="8160"/>
      <c r="AP19" s="8162"/>
      <c r="AQ19" s="431"/>
      <c r="AR19" s="431"/>
      <c r="AS19" s="431"/>
      <c r="AT19" s="431"/>
      <c r="AU19" s="1145"/>
    </row>
    <row r="20" spans="1:47" ht="12" customHeight="1">
      <c r="A20" s="588"/>
      <c r="B20" s="413"/>
      <c r="C20" s="7993"/>
      <c r="D20" s="7994"/>
      <c r="E20" s="7994"/>
      <c r="F20" s="7994"/>
      <c r="G20" s="7994"/>
      <c r="H20" s="7994"/>
      <c r="I20" s="7994"/>
      <c r="J20" s="7994"/>
      <c r="K20" s="7995"/>
      <c r="L20" s="23"/>
      <c r="M20" s="23"/>
      <c r="N20" s="23"/>
      <c r="O20" s="8020"/>
      <c r="P20" s="8021"/>
      <c r="Q20" s="8021"/>
      <c r="R20" s="8021"/>
      <c r="S20" s="8021"/>
      <c r="T20" s="8021"/>
      <c r="U20" s="8021"/>
      <c r="V20" s="8022"/>
      <c r="W20" s="23"/>
      <c r="X20" s="78"/>
      <c r="Y20" s="1185"/>
      <c r="Z20" s="8062" t="str">
        <f>IF($AC$23="","Enter Adjusted Gross Income for "&amp;TaxYear-1&amp;" &gt;&gt;&gt;","")</f>
        <v>Enter Adjusted Gross Income for 2020 &gt;&gt;&gt;</v>
      </c>
      <c r="AA20" s="1405"/>
      <c r="AB20" s="2872"/>
      <c r="AC20" s="8131" t="s">
        <v>1080</v>
      </c>
      <c r="AD20" s="8131"/>
      <c r="AE20" s="8131"/>
      <c r="AF20" s="1504"/>
      <c r="AG20" s="431"/>
      <c r="AH20" s="8163" t="s">
        <v>5585</v>
      </c>
      <c r="AI20" s="8164"/>
      <c r="AJ20" s="8164"/>
      <c r="AK20" s="8164"/>
      <c r="AL20" s="8164"/>
      <c r="AM20" s="8164"/>
      <c r="AN20" s="8164"/>
      <c r="AO20" s="8164"/>
      <c r="AP20" s="8165"/>
      <c r="AQ20" s="431"/>
      <c r="AR20" s="431"/>
      <c r="AS20" s="431"/>
      <c r="AT20" s="431"/>
      <c r="AU20" s="1145"/>
    </row>
    <row r="21" spans="1:47">
      <c r="A21" s="588"/>
      <c r="B21" s="413"/>
      <c r="C21" s="7996"/>
      <c r="D21" s="7997"/>
      <c r="E21" s="7997"/>
      <c r="F21" s="7997"/>
      <c r="G21" s="7997"/>
      <c r="H21" s="7997"/>
      <c r="I21" s="7997"/>
      <c r="J21" s="7997"/>
      <c r="K21" s="7998"/>
      <c r="L21" s="23"/>
      <c r="M21" s="23"/>
      <c r="N21" s="23"/>
      <c r="O21" s="8023"/>
      <c r="P21" s="8024"/>
      <c r="Q21" s="8024"/>
      <c r="R21" s="8024"/>
      <c r="S21" s="8024"/>
      <c r="T21" s="8024"/>
      <c r="U21" s="8024"/>
      <c r="V21" s="8025"/>
      <c r="W21" s="23"/>
      <c r="X21" s="78"/>
      <c r="Y21" s="1185"/>
      <c r="Z21" s="8062"/>
      <c r="AA21" s="1405"/>
      <c r="AB21" s="2872"/>
      <c r="AC21" s="8131"/>
      <c r="AD21" s="8131"/>
      <c r="AE21" s="8131"/>
      <c r="AF21" s="1504"/>
      <c r="AG21" s="431"/>
      <c r="AH21" s="8163"/>
      <c r="AI21" s="8164"/>
      <c r="AJ21" s="8164"/>
      <c r="AK21" s="8164"/>
      <c r="AL21" s="8164"/>
      <c r="AM21" s="8164"/>
      <c r="AN21" s="8164"/>
      <c r="AO21" s="8164"/>
      <c r="AP21" s="8165"/>
      <c r="AQ21" s="431"/>
      <c r="AR21" s="431"/>
      <c r="AS21" s="431"/>
      <c r="AT21" s="431"/>
      <c r="AU21" s="1145"/>
    </row>
    <row r="22" spans="1:47" ht="13.5" thickBot="1">
      <c r="A22" s="588"/>
      <c r="B22" s="23"/>
      <c r="C22" s="23"/>
      <c r="D22" s="23"/>
      <c r="E22" s="23"/>
      <c r="F22" s="8087" t="s">
        <v>272</v>
      </c>
      <c r="G22" s="23"/>
      <c r="H22" s="23"/>
      <c r="I22" s="23"/>
      <c r="J22" s="23"/>
      <c r="K22" s="23"/>
      <c r="L22" s="23"/>
      <c r="M22" s="23"/>
      <c r="N22" s="23"/>
      <c r="O22" s="23"/>
      <c r="P22" s="23"/>
      <c r="Q22" s="23"/>
      <c r="R22" s="23"/>
      <c r="S22" s="23"/>
      <c r="T22" s="23"/>
      <c r="U22" s="23"/>
      <c r="V22" s="23"/>
      <c r="W22" s="23"/>
      <c r="X22" s="78"/>
      <c r="Y22" s="1185"/>
      <c r="Z22" s="8062"/>
      <c r="AA22" s="3876"/>
      <c r="AB22" s="1543"/>
      <c r="AC22" s="8132"/>
      <c r="AD22" s="8132"/>
      <c r="AE22" s="8132"/>
      <c r="AF22" s="3560"/>
      <c r="AG22" s="431"/>
      <c r="AH22" s="8163"/>
      <c r="AI22" s="8164"/>
      <c r="AJ22" s="8164"/>
      <c r="AK22" s="8164"/>
      <c r="AL22" s="8164"/>
      <c r="AM22" s="8164"/>
      <c r="AN22" s="8164"/>
      <c r="AO22" s="8164"/>
      <c r="AP22" s="8165"/>
      <c r="AQ22" s="431"/>
      <c r="AR22" s="431"/>
      <c r="AS22" s="431"/>
      <c r="AT22" s="431"/>
      <c r="AU22" s="1145"/>
    </row>
    <row r="23" spans="1:47" ht="16.5" thickBot="1">
      <c r="A23" s="588"/>
      <c r="B23" s="23"/>
      <c r="C23" s="23"/>
      <c r="D23" s="23"/>
      <c r="E23" s="998">
        <v>108.28</v>
      </c>
      <c r="F23" s="8088"/>
      <c r="G23" s="23"/>
      <c r="H23" s="23"/>
      <c r="I23" s="23"/>
      <c r="J23" s="23"/>
      <c r="K23" s="23"/>
      <c r="L23" s="23"/>
      <c r="M23" s="23"/>
      <c r="N23" s="23"/>
      <c r="O23" s="23"/>
      <c r="P23" s="23"/>
      <c r="Q23" s="23"/>
      <c r="R23" s="23"/>
      <c r="S23" s="23"/>
      <c r="T23" s="424"/>
      <c r="U23" s="23"/>
      <c r="V23" s="23"/>
      <c r="W23" s="23"/>
      <c r="X23" s="78"/>
      <c r="Y23" s="1185"/>
      <c r="Z23" s="8062"/>
      <c r="AA23" s="3878" t="b">
        <f>IF(Y35&lt;&gt;1,FALSE,IF(AC23&gt;AA19,TRUE,FALSE))</f>
        <v>0</v>
      </c>
      <c r="AB23" s="1284" t="e">
        <f>IF(#REF!&lt;&gt;1,FALSE,AND((OR(AND(AB31&lt;&gt;"",File_Marr_Joint=""),AND(AB31="",File_Marr_Joint&lt;&gt;""))),NOT(AND(AB31&lt;&gt;"",File_Marr_Joint&lt;&gt;""))))</f>
        <v>#REF!</v>
      </c>
      <c r="AC23" s="8184"/>
      <c r="AD23" s="8185"/>
      <c r="AE23" s="8186"/>
      <c r="AF23" s="1504"/>
      <c r="AG23" s="431"/>
      <c r="AH23" s="8163"/>
      <c r="AI23" s="8164"/>
      <c r="AJ23" s="8164"/>
      <c r="AK23" s="8164"/>
      <c r="AL23" s="8164"/>
      <c r="AM23" s="8164"/>
      <c r="AN23" s="8164"/>
      <c r="AO23" s="8164"/>
      <c r="AP23" s="8165"/>
      <c r="AQ23" s="431"/>
      <c r="AR23" s="431"/>
      <c r="AS23" s="431"/>
      <c r="AT23" s="431"/>
      <c r="AU23" s="1145"/>
    </row>
    <row r="24" spans="1:47" ht="6" customHeight="1">
      <c r="A24" s="588"/>
      <c r="B24" s="427"/>
      <c r="C24" s="8004" t="s">
        <v>1747</v>
      </c>
      <c r="D24" s="8005"/>
      <c r="E24" s="8005"/>
      <c r="F24" s="8005"/>
      <c r="G24" s="8005"/>
      <c r="H24" s="8005"/>
      <c r="I24" s="8005"/>
      <c r="J24" s="8005"/>
      <c r="K24" s="8006"/>
      <c r="L24" s="8013" t="s">
        <v>271</v>
      </c>
      <c r="M24" s="8014"/>
      <c r="N24" s="8015"/>
      <c r="O24" s="8017" t="s">
        <v>3508</v>
      </c>
      <c r="P24" s="8018"/>
      <c r="Q24" s="8018"/>
      <c r="R24" s="8018"/>
      <c r="S24" s="8018"/>
      <c r="T24" s="8018"/>
      <c r="U24" s="8018"/>
      <c r="V24" s="8019"/>
      <c r="W24" s="23"/>
      <c r="X24" s="78"/>
      <c r="Y24" s="1185"/>
      <c r="Z24" s="431"/>
      <c r="AA24" s="3879"/>
      <c r="AB24" s="1145"/>
      <c r="AC24" s="2259"/>
      <c r="AD24" s="2259"/>
      <c r="AE24" s="1145"/>
      <c r="AF24" s="1504"/>
      <c r="AG24" s="431"/>
      <c r="AH24" s="8163"/>
      <c r="AI24" s="8164"/>
      <c r="AJ24" s="8164"/>
      <c r="AK24" s="8164"/>
      <c r="AL24" s="8164"/>
      <c r="AM24" s="8164"/>
      <c r="AN24" s="8164"/>
      <c r="AO24" s="8164"/>
      <c r="AP24" s="8165"/>
      <c r="AQ24" s="431"/>
      <c r="AR24" s="431"/>
      <c r="AS24" s="431"/>
      <c r="AT24" s="431"/>
      <c r="AU24" s="1145"/>
    </row>
    <row r="25" spans="1:47" ht="14.25" customHeight="1">
      <c r="A25" s="588"/>
      <c r="B25" s="413"/>
      <c r="C25" s="8007"/>
      <c r="D25" s="8008"/>
      <c r="E25" s="8008"/>
      <c r="F25" s="8008"/>
      <c r="G25" s="8008"/>
      <c r="H25" s="8008"/>
      <c r="I25" s="8008"/>
      <c r="J25" s="8008"/>
      <c r="K25" s="8009"/>
      <c r="L25" s="8016"/>
      <c r="M25" s="8014"/>
      <c r="N25" s="8015"/>
      <c r="O25" s="8020"/>
      <c r="P25" s="8021"/>
      <c r="Q25" s="8021"/>
      <c r="R25" s="8021"/>
      <c r="S25" s="8021"/>
      <c r="T25" s="8021"/>
      <c r="U25" s="8021"/>
      <c r="V25" s="8022"/>
      <c r="W25" s="426"/>
      <c r="X25" s="78"/>
      <c r="Y25" s="1185"/>
      <c r="Z25" s="431"/>
      <c r="AA25" s="3879">
        <v>1.1000000000000001</v>
      </c>
      <c r="AB25" s="8205">
        <f>TaxYear-1</f>
        <v>2020</v>
      </c>
      <c r="AC25" s="8205"/>
      <c r="AD25" s="8205"/>
      <c r="AE25" s="8205"/>
      <c r="AF25" s="1504"/>
      <c r="AG25" s="431"/>
      <c r="AH25" s="8163"/>
      <c r="AI25" s="8164"/>
      <c r="AJ25" s="8164"/>
      <c r="AK25" s="8164"/>
      <c r="AL25" s="8164"/>
      <c r="AM25" s="8164"/>
      <c r="AN25" s="8164"/>
      <c r="AO25" s="8164"/>
      <c r="AP25" s="8165"/>
      <c r="AQ25" s="431"/>
      <c r="AR25" s="431"/>
      <c r="AS25" s="431"/>
      <c r="AT25" s="431"/>
      <c r="AU25" s="1145"/>
    </row>
    <row r="26" spans="1:47" ht="6.75" customHeight="1">
      <c r="A26" s="588"/>
      <c r="B26" s="413"/>
      <c r="C26" s="8010"/>
      <c r="D26" s="8011"/>
      <c r="E26" s="8011"/>
      <c r="F26" s="8011"/>
      <c r="G26" s="8011"/>
      <c r="H26" s="8011"/>
      <c r="I26" s="8011"/>
      <c r="J26" s="8011"/>
      <c r="K26" s="8012"/>
      <c r="L26" s="23"/>
      <c r="M26" s="23"/>
      <c r="N26" s="23"/>
      <c r="O26" s="8023"/>
      <c r="P26" s="8024"/>
      <c r="Q26" s="8024"/>
      <c r="R26" s="8024"/>
      <c r="S26" s="8024"/>
      <c r="T26" s="8024"/>
      <c r="U26" s="8024"/>
      <c r="V26" s="8025"/>
      <c r="W26" s="23"/>
      <c r="X26" s="78"/>
      <c r="Y26" s="1185"/>
      <c r="Z26" s="431"/>
      <c r="AA26" s="1405"/>
      <c r="AB26" s="8205"/>
      <c r="AC26" s="8205"/>
      <c r="AD26" s="8205"/>
      <c r="AE26" s="8205"/>
      <c r="AF26" s="1504"/>
      <c r="AG26" s="431"/>
      <c r="AH26" s="8163"/>
      <c r="AI26" s="8164"/>
      <c r="AJ26" s="8164"/>
      <c r="AK26" s="8164"/>
      <c r="AL26" s="8164"/>
      <c r="AM26" s="8164"/>
      <c r="AN26" s="8164"/>
      <c r="AO26" s="8164"/>
      <c r="AP26" s="8165"/>
      <c r="AQ26" s="431"/>
      <c r="AR26" s="431"/>
      <c r="AS26" s="431"/>
      <c r="AT26" s="431"/>
      <c r="AU26" s="1145"/>
    </row>
    <row r="27" spans="1:47" ht="6.75" customHeight="1">
      <c r="A27" s="588"/>
      <c r="B27" s="23"/>
      <c r="C27" s="23"/>
      <c r="D27" s="23"/>
      <c r="E27" s="23"/>
      <c r="F27" s="8087" t="s">
        <v>272</v>
      </c>
      <c r="G27" s="23"/>
      <c r="H27" s="23"/>
      <c r="I27" s="23"/>
      <c r="J27" s="23"/>
      <c r="K27" s="23"/>
      <c r="L27" s="23"/>
      <c r="M27" s="23"/>
      <c r="N27" s="23"/>
      <c r="O27" s="23"/>
      <c r="P27" s="8029" t="s">
        <v>272</v>
      </c>
      <c r="Q27" s="8030" t="s">
        <v>271</v>
      </c>
      <c r="R27" s="8031"/>
      <c r="S27" s="23"/>
      <c r="T27" s="23"/>
      <c r="U27" s="23"/>
      <c r="V27" s="23"/>
      <c r="W27" s="23"/>
      <c r="X27" s="78"/>
      <c r="Y27" s="1185"/>
      <c r="Z27" s="431"/>
      <c r="AA27" s="3877"/>
      <c r="AB27" s="8205"/>
      <c r="AC27" s="8205"/>
      <c r="AD27" s="8205"/>
      <c r="AE27" s="8205"/>
      <c r="AF27" s="1504"/>
      <c r="AG27" s="431"/>
      <c r="AH27" s="8163"/>
      <c r="AI27" s="8164"/>
      <c r="AJ27" s="8164"/>
      <c r="AK27" s="8164"/>
      <c r="AL27" s="8164"/>
      <c r="AM27" s="8164"/>
      <c r="AN27" s="8164"/>
      <c r="AO27" s="8164"/>
      <c r="AP27" s="8165"/>
      <c r="AQ27" s="431"/>
      <c r="AR27" s="431"/>
      <c r="AS27" s="431"/>
      <c r="AT27" s="431"/>
      <c r="AU27" s="1145"/>
    </row>
    <row r="28" spans="1:47" ht="16.5" customHeight="1">
      <c r="A28" s="588"/>
      <c r="B28" s="23"/>
      <c r="C28" s="23"/>
      <c r="D28" s="23"/>
      <c r="E28" s="23"/>
      <c r="F28" s="8089"/>
      <c r="G28" s="23"/>
      <c r="H28" s="23"/>
      <c r="I28" s="23"/>
      <c r="J28" s="23"/>
      <c r="K28" s="23"/>
      <c r="L28" s="23"/>
      <c r="M28" s="23"/>
      <c r="N28" s="23"/>
      <c r="O28" s="23"/>
      <c r="P28" s="6364"/>
      <c r="Q28" s="8032"/>
      <c r="R28" s="8032"/>
      <c r="S28" s="8026" t="s">
        <v>1748</v>
      </c>
      <c r="T28" s="8027"/>
      <c r="U28" s="8027"/>
      <c r="V28" s="8028"/>
      <c r="W28" s="23"/>
      <c r="X28" s="78"/>
      <c r="Y28" s="1185"/>
      <c r="Z28" s="431"/>
      <c r="AA28" s="1405"/>
      <c r="AB28" s="7628" t="s">
        <v>70</v>
      </c>
      <c r="AC28" s="7628"/>
      <c r="AD28" s="7628"/>
      <c r="AE28" s="7628"/>
      <c r="AF28" s="1504"/>
      <c r="AG28" s="431"/>
      <c r="AH28" s="8163"/>
      <c r="AI28" s="8164"/>
      <c r="AJ28" s="8164"/>
      <c r="AK28" s="8164"/>
      <c r="AL28" s="8164"/>
      <c r="AM28" s="8164"/>
      <c r="AN28" s="8164"/>
      <c r="AO28" s="8164"/>
      <c r="AP28" s="8165"/>
      <c r="AQ28" s="431"/>
      <c r="AR28" s="431"/>
      <c r="AS28" s="431"/>
      <c r="AT28" s="431"/>
      <c r="AU28" s="1145"/>
    </row>
    <row r="29" spans="1:47" ht="6.75" customHeight="1" thickBot="1">
      <c r="A29" s="588"/>
      <c r="B29" s="23"/>
      <c r="C29" s="23"/>
      <c r="D29" s="23"/>
      <c r="E29" s="23"/>
      <c r="F29" s="8088"/>
      <c r="G29" s="23"/>
      <c r="H29" s="23"/>
      <c r="I29" s="23"/>
      <c r="J29" s="23"/>
      <c r="K29" s="23"/>
      <c r="L29" s="23"/>
      <c r="M29" s="23"/>
      <c r="N29" s="23"/>
      <c r="O29" s="485"/>
      <c r="P29" s="23"/>
      <c r="Q29" s="23"/>
      <c r="R29" s="23"/>
      <c r="S29" s="23"/>
      <c r="T29" s="23"/>
      <c r="U29" s="23"/>
      <c r="V29" s="23"/>
      <c r="W29" s="23"/>
      <c r="X29" s="78"/>
      <c r="Y29" s="1185"/>
      <c r="Z29" s="431"/>
      <c r="AA29" s="1405"/>
      <c r="AB29" s="3406"/>
      <c r="AC29" s="3406"/>
      <c r="AD29" s="3406"/>
      <c r="AE29" s="3406"/>
      <c r="AF29" s="1504"/>
      <c r="AG29" s="431"/>
      <c r="AH29" s="8166"/>
      <c r="AI29" s="8167"/>
      <c r="AJ29" s="8167"/>
      <c r="AK29" s="8167"/>
      <c r="AL29" s="8167"/>
      <c r="AM29" s="8167"/>
      <c r="AN29" s="8167"/>
      <c r="AO29" s="8167"/>
      <c r="AP29" s="8168"/>
      <c r="AQ29" s="431"/>
      <c r="AR29" s="431"/>
      <c r="AS29" s="431"/>
      <c r="AT29" s="431"/>
      <c r="AU29" s="1145"/>
    </row>
    <row r="30" spans="1:47" ht="21.75" customHeight="1" thickBot="1">
      <c r="A30" s="588"/>
      <c r="B30" s="427"/>
      <c r="C30" s="8077" t="s">
        <v>5506</v>
      </c>
      <c r="D30" s="8078"/>
      <c r="E30" s="8078"/>
      <c r="F30" s="8078"/>
      <c r="G30" s="8078"/>
      <c r="H30" s="8078"/>
      <c r="I30" s="8078"/>
      <c r="J30" s="8078"/>
      <c r="K30" s="8079"/>
      <c r="L30" s="23"/>
      <c r="M30" s="23"/>
      <c r="N30" s="8108" t="s">
        <v>5507</v>
      </c>
      <c r="O30" s="8109"/>
      <c r="P30" s="8109"/>
      <c r="Q30" s="8109"/>
      <c r="R30" s="8109"/>
      <c r="S30" s="8109"/>
      <c r="T30" s="8109"/>
      <c r="U30" s="8109"/>
      <c r="V30" s="8110"/>
      <c r="W30" s="23"/>
      <c r="X30" s="78"/>
      <c r="Y30" s="2523">
        <f>IF(AB30&lt;&gt;"",1,0)</f>
        <v>0</v>
      </c>
      <c r="Z30" s="8076" t="str">
        <f>IF(Y35=0,"Indicate filing status for tax year "&amp;TaxYear-1&amp;" &gt;&gt;&gt;","")</f>
        <v>Indicate filing status for tax year 2020 &gt;&gt;&gt;</v>
      </c>
      <c r="AA30" s="1405"/>
      <c r="AB30" s="1181"/>
      <c r="AC30" s="1410" t="s">
        <v>69</v>
      </c>
      <c r="AD30" s="1410"/>
      <c r="AE30" s="1145"/>
      <c r="AF30" s="1504"/>
      <c r="AG30" s="431"/>
      <c r="AH30" s="431"/>
      <c r="AI30" s="431"/>
      <c r="AJ30" s="431"/>
      <c r="AK30" s="431"/>
      <c r="AL30" s="431"/>
      <c r="AM30" s="431"/>
      <c r="AN30" s="431"/>
      <c r="AO30" s="431"/>
      <c r="AP30" s="431"/>
      <c r="AQ30" s="431"/>
      <c r="AR30" s="431"/>
      <c r="AS30" s="431"/>
      <c r="AT30" s="431"/>
      <c r="AU30" s="1145"/>
    </row>
    <row r="31" spans="1:47" ht="21.75" customHeight="1" thickBot="1">
      <c r="A31" s="588"/>
      <c r="B31" s="413"/>
      <c r="C31" s="8080"/>
      <c r="D31" s="8081"/>
      <c r="E31" s="8081"/>
      <c r="F31" s="8081"/>
      <c r="G31" s="8081"/>
      <c r="H31" s="8081"/>
      <c r="I31" s="8081"/>
      <c r="J31" s="8081"/>
      <c r="K31" s="8082"/>
      <c r="L31" s="23"/>
      <c r="M31" s="23"/>
      <c r="N31" s="8111"/>
      <c r="O31" s="8112"/>
      <c r="P31" s="8112"/>
      <c r="Q31" s="8112"/>
      <c r="R31" s="8112"/>
      <c r="S31" s="8112"/>
      <c r="T31" s="8112"/>
      <c r="U31" s="8112"/>
      <c r="V31" s="8113"/>
      <c r="W31" s="23"/>
      <c r="X31" s="78"/>
      <c r="Y31" s="2523">
        <f>IF(AB31&lt;&gt;"",1,0)</f>
        <v>0</v>
      </c>
      <c r="Z31" s="8076"/>
      <c r="AA31" s="1405"/>
      <c r="AB31" s="1181"/>
      <c r="AC31" s="1410" t="s">
        <v>1330</v>
      </c>
      <c r="AD31" s="1410"/>
      <c r="AE31" s="1145"/>
      <c r="AF31" s="1504"/>
      <c r="AG31" s="431"/>
      <c r="AH31" s="8072" t="s">
        <v>2388</v>
      </c>
      <c r="AI31" s="8073"/>
      <c r="AJ31" s="8073"/>
      <c r="AK31" s="8073"/>
      <c r="AL31" s="8073"/>
      <c r="AM31" s="8073"/>
      <c r="AN31" s="8073"/>
      <c r="AO31" s="8074"/>
      <c r="AP31" s="8075"/>
      <c r="AQ31" s="431"/>
      <c r="AR31" s="431"/>
      <c r="AS31" s="431"/>
      <c r="AT31" s="431"/>
      <c r="AU31" s="1145"/>
    </row>
    <row r="32" spans="1:47" ht="24.75" customHeight="1" thickBot="1">
      <c r="A32" s="588"/>
      <c r="B32" s="413"/>
      <c r="C32" s="8080"/>
      <c r="D32" s="8081"/>
      <c r="E32" s="8081"/>
      <c r="F32" s="8081"/>
      <c r="G32" s="8081"/>
      <c r="H32" s="8081"/>
      <c r="I32" s="8081"/>
      <c r="J32" s="8081"/>
      <c r="K32" s="8082"/>
      <c r="L32" s="23"/>
      <c r="M32" s="23"/>
      <c r="N32" s="8111"/>
      <c r="O32" s="8112"/>
      <c r="P32" s="8112"/>
      <c r="Q32" s="8112"/>
      <c r="R32" s="8112"/>
      <c r="S32" s="8112"/>
      <c r="T32" s="8112"/>
      <c r="U32" s="8112"/>
      <c r="V32" s="8113"/>
      <c r="W32" s="23"/>
      <c r="X32" s="78"/>
      <c r="Y32" s="2523">
        <f>IF(AB32&lt;&gt;"",1,0)</f>
        <v>0</v>
      </c>
      <c r="Z32" s="3881"/>
      <c r="AA32" s="1405"/>
      <c r="AB32" s="1181"/>
      <c r="AC32" s="1410" t="s">
        <v>1843</v>
      </c>
      <c r="AD32" s="1410"/>
      <c r="AE32" s="1145"/>
      <c r="AF32" s="1504"/>
      <c r="AG32" s="431"/>
      <c r="AH32" s="8093" t="str">
        <f>"Subtract the total of the following refundable credits, if any, that you claimed on your "&amp;TaxYear-1&amp;" tax return:"</f>
        <v>Subtract the total of the following refundable credits, if any, that you claimed on your 2020 tax return:</v>
      </c>
      <c r="AI32" s="8094"/>
      <c r="AJ32" s="8094"/>
      <c r="AK32" s="8094"/>
      <c r="AL32" s="8094"/>
      <c r="AM32" s="8094"/>
      <c r="AN32" s="8094"/>
      <c r="AO32" s="8094"/>
      <c r="AP32" s="8095"/>
      <c r="AQ32" s="431"/>
      <c r="AR32" s="431"/>
      <c r="AS32" s="431"/>
      <c r="AT32" s="431"/>
      <c r="AU32" s="1145"/>
    </row>
    <row r="33" spans="1:47" ht="16.5" customHeight="1" thickBot="1">
      <c r="A33" s="588"/>
      <c r="B33" s="413"/>
      <c r="C33" s="8083"/>
      <c r="D33" s="8084"/>
      <c r="E33" s="8084"/>
      <c r="F33" s="8084"/>
      <c r="G33" s="8084"/>
      <c r="H33" s="8084"/>
      <c r="I33" s="8084"/>
      <c r="J33" s="8084"/>
      <c r="K33" s="8085"/>
      <c r="L33" s="23"/>
      <c r="M33" s="23"/>
      <c r="N33" s="8114"/>
      <c r="O33" s="8115"/>
      <c r="P33" s="8115"/>
      <c r="Q33" s="8115"/>
      <c r="R33" s="8115"/>
      <c r="S33" s="8115"/>
      <c r="T33" s="8115"/>
      <c r="U33" s="8115"/>
      <c r="V33" s="8116"/>
      <c r="W33" s="23"/>
      <c r="X33" s="78"/>
      <c r="Y33" s="2523">
        <f>IF(AB33&lt;&gt;"",1,0)</f>
        <v>0</v>
      </c>
      <c r="Z33" s="3881"/>
      <c r="AA33" s="1405"/>
      <c r="AB33" s="1181"/>
      <c r="AC33" s="1410" t="s">
        <v>1845</v>
      </c>
      <c r="AD33" s="1410"/>
      <c r="AE33" s="1145"/>
      <c r="AF33" s="1504"/>
      <c r="AG33" s="431"/>
      <c r="AH33" s="3972" t="s">
        <v>120</v>
      </c>
      <c r="AI33" s="1145" t="s">
        <v>1806</v>
      </c>
      <c r="AJ33" s="3237"/>
      <c r="AK33" s="3237"/>
      <c r="AL33" s="3237"/>
      <c r="AM33" s="3237"/>
      <c r="AN33" s="3237"/>
      <c r="AO33" s="3237"/>
      <c r="AP33" s="3304"/>
      <c r="AQ33" s="431"/>
      <c r="AR33" s="431"/>
      <c r="AS33" s="431"/>
      <c r="AT33" s="431"/>
      <c r="AU33" s="1145"/>
    </row>
    <row r="34" spans="1:47" ht="13.5" customHeight="1" thickBot="1">
      <c r="A34" s="588"/>
      <c r="B34" s="23"/>
      <c r="C34" s="23"/>
      <c r="D34" s="23"/>
      <c r="E34" s="23"/>
      <c r="F34" s="23"/>
      <c r="G34" s="23"/>
      <c r="H34" s="23"/>
      <c r="I34" s="2130"/>
      <c r="J34" s="2130"/>
      <c r="K34" s="2130"/>
      <c r="L34" s="313"/>
      <c r="M34" s="497"/>
      <c r="N34" s="313"/>
      <c r="O34" s="23"/>
      <c r="P34" s="23"/>
      <c r="Q34" s="23"/>
      <c r="R34" s="23"/>
      <c r="S34" s="23"/>
      <c r="T34" s="23"/>
      <c r="U34" s="23"/>
      <c r="V34" s="23"/>
      <c r="W34" s="23"/>
      <c r="X34" s="78"/>
      <c r="Y34" s="2523">
        <f>IF(AB34&lt;&gt;"",1,0)</f>
        <v>0</v>
      </c>
      <c r="Z34" s="3880" t="s">
        <v>388</v>
      </c>
      <c r="AA34" s="1405"/>
      <c r="AB34" s="1181"/>
      <c r="AC34" s="1410" t="s">
        <v>1844</v>
      </c>
      <c r="AD34" s="1410"/>
      <c r="AE34" s="1145"/>
      <c r="AF34" s="1504"/>
      <c r="AG34" s="431"/>
      <c r="AH34" s="3972" t="s">
        <v>120</v>
      </c>
      <c r="AI34" s="1145" t="s">
        <v>1807</v>
      </c>
      <c r="AJ34" s="1145"/>
      <c r="AK34" s="1145"/>
      <c r="AL34" s="1145"/>
      <c r="AM34" s="1145"/>
      <c r="AN34" s="1145"/>
      <c r="AO34" s="1145"/>
      <c r="AP34" s="1504"/>
      <c r="AQ34" s="431"/>
      <c r="AR34" s="431"/>
      <c r="AS34" s="431"/>
      <c r="AT34" s="431"/>
      <c r="AU34" s="1145"/>
    </row>
    <row r="35" spans="1:47" ht="16.5" customHeight="1">
      <c r="A35" s="588"/>
      <c r="B35" s="2143" t="s">
        <v>1758</v>
      </c>
      <c r="C35" s="2138"/>
      <c r="D35" s="2138"/>
      <c r="E35" s="2154" t="s">
        <v>1749</v>
      </c>
      <c r="F35" s="2139"/>
      <c r="G35" s="2139"/>
      <c r="H35" s="2139"/>
      <c r="I35" s="2139"/>
      <c r="J35" s="2139"/>
      <c r="K35" s="2139"/>
      <c r="L35" s="2139"/>
      <c r="M35" s="2139"/>
      <c r="N35" s="2139"/>
      <c r="O35" s="2139"/>
      <c r="P35" s="2139"/>
      <c r="Q35" s="2139"/>
      <c r="R35" s="2139"/>
      <c r="S35" s="2139"/>
      <c r="T35" s="2139"/>
      <c r="U35" s="2139"/>
      <c r="V35" s="2139"/>
      <c r="W35" s="2139"/>
      <c r="X35" s="655"/>
      <c r="Y35" s="5088">
        <f>SUM(Y30:Y34)</f>
        <v>0</v>
      </c>
      <c r="Z35" s="431"/>
      <c r="AA35" s="1405"/>
      <c r="AB35" s="1145"/>
      <c r="AC35" s="1145"/>
      <c r="AD35" s="1145"/>
      <c r="AE35" s="1145"/>
      <c r="AF35" s="1504"/>
      <c r="AG35" s="431"/>
      <c r="AH35" s="3972" t="s">
        <v>120</v>
      </c>
      <c r="AI35" s="2182" t="s">
        <v>1808</v>
      </c>
      <c r="AJ35" s="1145"/>
      <c r="AK35" s="1145"/>
      <c r="AL35" s="1145"/>
      <c r="AM35" s="1145"/>
      <c r="AN35" s="1145"/>
      <c r="AO35" s="1145"/>
      <c r="AP35" s="1504"/>
      <c r="AQ35" s="431"/>
      <c r="AR35" s="431"/>
      <c r="AS35" s="431"/>
      <c r="AT35" s="431"/>
      <c r="AU35" s="1145"/>
    </row>
    <row r="36" spans="1:47" ht="13.5" customHeight="1" thickBot="1">
      <c r="A36" s="588"/>
      <c r="B36" s="122"/>
      <c r="C36" s="48">
        <v>1</v>
      </c>
      <c r="D36" s="122" t="str">
        <f>"Enter your "&amp;TaxYear&amp;" tax after credits from Form 1040, 1040-SR, or 1040-NR, line 22. (See the"</f>
        <v>Enter your 2021 tax after credits from Form 1040, 1040-SR, or 1040-NR, line 22. (See the</v>
      </c>
      <c r="E36" s="122"/>
      <c r="F36" s="122"/>
      <c r="G36" s="122"/>
      <c r="H36" s="122"/>
      <c r="I36" s="122"/>
      <c r="J36" s="122"/>
      <c r="K36" s="122"/>
      <c r="L36" s="122"/>
      <c r="M36" s="122"/>
      <c r="N36" s="122"/>
      <c r="O36" s="122"/>
      <c r="P36" s="122"/>
      <c r="Q36" s="122"/>
      <c r="R36" s="122"/>
      <c r="S36" s="122"/>
      <c r="T36" s="4244"/>
      <c r="U36" s="8209"/>
      <c r="V36" s="6672"/>
      <c r="W36" s="6672"/>
      <c r="X36" s="655"/>
      <c r="Y36" s="2187"/>
      <c r="Z36" s="431"/>
      <c r="AA36" s="1405"/>
      <c r="AB36" s="1145"/>
      <c r="AC36" s="1145"/>
      <c r="AD36" s="1145"/>
      <c r="AE36" s="1145"/>
      <c r="AF36" s="1504"/>
      <c r="AG36" s="431"/>
      <c r="AH36" s="3972" t="s">
        <v>120</v>
      </c>
      <c r="AI36" s="1410" t="s">
        <v>4680</v>
      </c>
      <c r="AJ36" s="1145"/>
      <c r="AK36" s="1145"/>
      <c r="AL36" s="1145"/>
      <c r="AM36" s="1145"/>
      <c r="AN36" s="1145"/>
      <c r="AO36" s="1145"/>
      <c r="AP36" s="1504"/>
      <c r="AQ36" s="431"/>
      <c r="AR36" s="431"/>
      <c r="AS36" s="431"/>
      <c r="AT36" s="431"/>
      <c r="AU36" s="1145"/>
    </row>
    <row r="37" spans="1:47" ht="13.5" customHeight="1" thickBot="1">
      <c r="A37" s="588"/>
      <c r="B37" s="122"/>
      <c r="C37" s="48"/>
      <c r="D37" s="999" t="s">
        <v>4429</v>
      </c>
      <c r="E37" s="122"/>
      <c r="F37" s="122"/>
      <c r="G37" s="122"/>
      <c r="H37" s="122"/>
      <c r="I37" s="122"/>
      <c r="J37" s="122"/>
      <c r="K37" s="122"/>
      <c r="L37" s="122"/>
      <c r="M37" s="122"/>
      <c r="N37" s="122"/>
      <c r="O37" s="122"/>
      <c r="P37" s="122"/>
      <c r="Q37" s="122"/>
      <c r="R37" s="122"/>
      <c r="S37" s="1355" t="s">
        <v>1075</v>
      </c>
      <c r="T37" s="4245" t="s">
        <v>148</v>
      </c>
      <c r="U37" s="7583">
        <f>IF(Z37&lt;&gt;"",ROUND(Z37,0),'1040'!AC63)</f>
        <v>0</v>
      </c>
      <c r="V37" s="8208"/>
      <c r="W37" s="8208"/>
      <c r="X37" s="655"/>
      <c r="Y37" s="2187"/>
      <c r="Z37" s="3979"/>
      <c r="AA37" s="1405"/>
      <c r="AB37" s="1145"/>
      <c r="AC37" s="1145"/>
      <c r="AD37" s="1145"/>
      <c r="AE37" s="1145"/>
      <c r="AF37" s="1504"/>
      <c r="AG37" s="431"/>
      <c r="AH37" s="3972" t="s">
        <v>120</v>
      </c>
      <c r="AI37" s="1410" t="s">
        <v>1811</v>
      </c>
      <c r="AJ37" s="1145"/>
      <c r="AK37" s="1145"/>
      <c r="AL37" s="1145"/>
      <c r="AM37" s="1145"/>
      <c r="AN37" s="1145"/>
      <c r="AO37" s="1145"/>
      <c r="AP37" s="1504"/>
      <c r="AQ37" s="431"/>
      <c r="AR37" s="431"/>
      <c r="AS37" s="431"/>
      <c r="AT37" s="431"/>
      <c r="AU37" s="1145"/>
    </row>
    <row r="38" spans="1:47" ht="13.5" customHeight="1" thickBot="1">
      <c r="A38" s="588"/>
      <c r="B38" s="23"/>
      <c r="C38" s="48">
        <v>2</v>
      </c>
      <c r="D38" s="70" t="s">
        <v>5508</v>
      </c>
      <c r="E38" s="23"/>
      <c r="F38" s="23"/>
      <c r="G38" s="23"/>
      <c r="H38" s="23"/>
      <c r="I38" s="23"/>
      <c r="J38" s="23"/>
      <c r="K38" s="23"/>
      <c r="L38" s="23"/>
      <c r="M38" s="23"/>
      <c r="N38" s="23"/>
      <c r="O38" s="23"/>
      <c r="P38" s="23"/>
      <c r="Q38" s="23"/>
      <c r="R38" s="23"/>
      <c r="S38" s="23"/>
      <c r="T38" s="425"/>
      <c r="U38" s="8121">
        <f>SUM('Sch. 2'!AC15,'Sch. 2'!AC21,'Sch. 2'!AC22,'Sch. 2'!AC23,'Sch. 2'!AC24,'Sch. 2'!AC25,'Sch. 2'!AC29,'Sch. 2'!AC31,'Sch. 2'!AC32,'Sch. 2'!W39,'Sch. 2'!W42,'Sch. 2'!W44,'Sch. 2'!W45,'Sch. 2'!W47,'Sch. 2'!W49,'Sch. 2'!W51,'Sch. 2'!W53,'Sch. 2'!W54,'Sch. 2'!W56,'Sch. 2'!W67,'Sch. 2'!AC69)</f>
        <v>0</v>
      </c>
      <c r="V38" s="7467"/>
      <c r="W38" s="7467"/>
      <c r="X38" s="78"/>
      <c r="Y38" s="1185"/>
      <c r="Z38" s="431"/>
      <c r="AA38" s="1413"/>
      <c r="AB38" s="1509"/>
      <c r="AC38" s="8206" t="b">
        <f>IF(AND(AC8&lt;&gt;"",AC14&lt;&gt;"",AC23&lt;&gt;""),TRUE,FALSE)</f>
        <v>0</v>
      </c>
      <c r="AD38" s="8207"/>
      <c r="AE38" s="8207"/>
      <c r="AF38" s="1510"/>
      <c r="AG38" s="431"/>
      <c r="AH38" s="3972" t="s">
        <v>120</v>
      </c>
      <c r="AI38" s="1410" t="s">
        <v>1809</v>
      </c>
      <c r="AJ38" s="1145"/>
      <c r="AK38" s="1145"/>
      <c r="AL38" s="1145"/>
      <c r="AM38" s="1145"/>
      <c r="AN38" s="1145"/>
      <c r="AO38" s="1145"/>
      <c r="AP38" s="1504"/>
      <c r="AQ38" s="431"/>
      <c r="AR38" s="431"/>
      <c r="AS38" s="431"/>
      <c r="AT38" s="431"/>
      <c r="AU38" s="1145"/>
    </row>
    <row r="39" spans="1:47" ht="13.5" customHeight="1" thickBot="1">
      <c r="A39" s="588"/>
      <c r="B39" s="122"/>
      <c r="C39" s="411"/>
      <c r="D39" s="70" t="s">
        <v>5509</v>
      </c>
      <c r="E39" s="122"/>
      <c r="F39" s="122"/>
      <c r="G39" s="122"/>
      <c r="H39" s="122"/>
      <c r="I39" s="122"/>
      <c r="J39" s="122"/>
      <c r="K39" s="122"/>
      <c r="L39" s="122"/>
      <c r="M39" s="122"/>
      <c r="N39" s="122"/>
      <c r="O39" s="122"/>
      <c r="P39" s="122"/>
      <c r="Q39" s="122"/>
      <c r="R39" s="122"/>
      <c r="S39" s="1355"/>
      <c r="T39" s="430">
        <v>2</v>
      </c>
      <c r="U39" s="7583">
        <f>IF(Z39&lt;&gt;"",ROUND(Z39,0),U38)</f>
        <v>0</v>
      </c>
      <c r="V39" s="7584"/>
      <c r="W39" s="7584"/>
      <c r="X39" s="655"/>
      <c r="Y39" s="2187"/>
      <c r="Z39" s="3340"/>
      <c r="AA39" s="431"/>
      <c r="AB39" s="431"/>
      <c r="AC39" s="431"/>
      <c r="AD39" s="431"/>
      <c r="AE39" s="431"/>
      <c r="AF39" s="431"/>
      <c r="AG39" s="431"/>
      <c r="AH39" s="3972" t="s">
        <v>120</v>
      </c>
      <c r="AI39" s="1410" t="s">
        <v>4681</v>
      </c>
      <c r="AJ39" s="1145"/>
      <c r="AK39" s="1145"/>
      <c r="AL39" s="1145"/>
      <c r="AM39" s="1145"/>
      <c r="AN39" s="1145"/>
      <c r="AO39" s="1145"/>
      <c r="AP39" s="1504"/>
      <c r="AQ39" s="431"/>
      <c r="AR39" s="431"/>
      <c r="AS39" s="431"/>
      <c r="AT39" s="431"/>
      <c r="AU39" s="1145"/>
    </row>
    <row r="40" spans="1:47" ht="13.5" customHeight="1" thickBot="1">
      <c r="A40" s="588"/>
      <c r="B40" s="23"/>
      <c r="C40" s="411">
        <v>3</v>
      </c>
      <c r="D40" s="70" t="s">
        <v>5510</v>
      </c>
      <c r="E40" s="23"/>
      <c r="F40" s="23"/>
      <c r="G40" s="23"/>
      <c r="H40" s="23"/>
      <c r="I40" s="23"/>
      <c r="J40" s="23"/>
      <c r="K40" s="23"/>
      <c r="L40" s="23"/>
      <c r="M40" s="23"/>
      <c r="N40" s="23"/>
      <c r="O40" s="23"/>
      <c r="P40" s="23"/>
      <c r="Q40" s="23"/>
      <c r="R40" s="23"/>
      <c r="S40" s="1355" t="str">
        <f>IF(U40&gt;0,"Line 3 should be negative.",".   .   .   .   .   .   .   .   .   .   . ")</f>
        <v xml:space="preserve">.   .   .   .   .   .   .   .   .   .   . </v>
      </c>
      <c r="T40" s="430">
        <v>3</v>
      </c>
      <c r="U40" s="7583">
        <f>IF(Z40&lt;&gt;"",ROUND(Z40,0),-SUM(EarnedIncomeCredit,AdditionalCTC,Form8863,FedFuelTaxCredit,PTCNet,RecoveryRebateCredit))</f>
        <v>0</v>
      </c>
      <c r="V40" s="7584"/>
      <c r="W40" s="7584"/>
      <c r="X40" s="78"/>
      <c r="Y40" s="1185"/>
      <c r="Z40" s="3340"/>
      <c r="AA40" s="431"/>
      <c r="AB40" s="1179"/>
      <c r="AC40" s="1179"/>
      <c r="AD40" s="1179"/>
      <c r="AE40" s="1179"/>
      <c r="AF40" s="1179"/>
      <c r="AG40" s="431"/>
      <c r="AH40" s="3972"/>
      <c r="AI40" s="1410" t="s">
        <v>4682</v>
      </c>
      <c r="AJ40" s="1145"/>
      <c r="AK40" s="1145"/>
      <c r="AL40" s="1145"/>
      <c r="AM40" s="1145"/>
      <c r="AN40" s="1145"/>
      <c r="AO40" s="1145"/>
      <c r="AP40" s="1504"/>
      <c r="AQ40" s="431"/>
      <c r="AR40" s="431"/>
      <c r="AS40" s="431"/>
      <c r="AT40" s="431"/>
      <c r="AU40" s="1145"/>
    </row>
    <row r="41" spans="1:47" ht="13.5" customHeight="1">
      <c r="A41" s="588"/>
      <c r="B41" s="23"/>
      <c r="C41" s="48">
        <v>4</v>
      </c>
      <c r="D41" s="70" t="s">
        <v>1800</v>
      </c>
      <c r="E41" s="23"/>
      <c r="F41" s="23"/>
      <c r="G41" s="23"/>
      <c r="H41" s="23"/>
      <c r="I41" s="23"/>
      <c r="J41" s="23"/>
      <c r="K41" s="23"/>
      <c r="L41" s="23"/>
      <c r="M41" s="23"/>
      <c r="N41" s="133" t="str">
        <f>"If less than "&amp;TEXT($W$43,"$0,000")&amp;","</f>
        <v>If less than $1,000,</v>
      </c>
      <c r="O41" s="70" t="s">
        <v>2026</v>
      </c>
      <c r="P41" s="23"/>
      <c r="Q41" s="23"/>
      <c r="R41" s="23"/>
      <c r="S41" s="23"/>
      <c r="T41" s="429"/>
      <c r="U41" s="8117" t="b">
        <f>AND($U$42&lt;$W$43)</f>
        <v>1</v>
      </c>
      <c r="V41" s="8118"/>
      <c r="W41" s="8118"/>
      <c r="X41" s="78"/>
      <c r="Y41" s="1185"/>
      <c r="Z41" s="431"/>
      <c r="AA41" s="431"/>
      <c r="AB41" s="1179"/>
      <c r="AC41" s="1179"/>
      <c r="AD41" s="1179"/>
      <c r="AE41" s="1179"/>
      <c r="AF41" s="1179"/>
      <c r="AG41" s="431"/>
      <c r="AH41" s="3972" t="s">
        <v>120</v>
      </c>
      <c r="AI41" s="1410" t="s">
        <v>5589</v>
      </c>
      <c r="AJ41" s="1145"/>
      <c r="AK41" s="1145"/>
      <c r="AL41" s="1145"/>
      <c r="AM41" s="1145"/>
      <c r="AN41" s="1145"/>
      <c r="AO41" s="1145"/>
      <c r="AP41" s="1504"/>
      <c r="AQ41" s="431"/>
      <c r="AR41" s="431"/>
      <c r="AS41" s="431"/>
      <c r="AT41" s="431"/>
      <c r="AU41" s="1145"/>
    </row>
    <row r="42" spans="1:47" ht="13.5" customHeight="1">
      <c r="A42" s="588"/>
      <c r="B42" s="23"/>
      <c r="C42" s="48"/>
      <c r="D42" s="70" t="s">
        <v>1750</v>
      </c>
      <c r="E42" s="23"/>
      <c r="F42" s="23"/>
      <c r="G42" s="23"/>
      <c r="H42" s="23"/>
      <c r="I42" s="23"/>
      <c r="J42" s="23"/>
      <c r="K42" s="23"/>
      <c r="L42" s="23"/>
      <c r="M42" s="23"/>
      <c r="N42" s="23"/>
      <c r="O42" s="23"/>
      <c r="P42" s="23"/>
      <c r="Q42" s="23"/>
      <c r="R42" s="23"/>
      <c r="S42" s="1355" t="s">
        <v>634</v>
      </c>
      <c r="T42" s="428">
        <v>4</v>
      </c>
      <c r="U42" s="8196">
        <f>SUM(U37,U39,U40)</f>
        <v>0</v>
      </c>
      <c r="V42" s="8197"/>
      <c r="W42" s="8197"/>
      <c r="X42" s="78"/>
      <c r="Y42" s="1185"/>
      <c r="Z42" s="431"/>
      <c r="AA42" s="431"/>
      <c r="AB42" s="1179"/>
      <c r="AC42" s="1179"/>
      <c r="AD42" s="1179"/>
      <c r="AE42" s="1179"/>
      <c r="AF42" s="1179"/>
      <c r="AG42" s="431"/>
      <c r="AH42" s="3972"/>
      <c r="AI42" s="1410" t="s">
        <v>5590</v>
      </c>
      <c r="AJ42" s="1145"/>
      <c r="AK42" s="1145"/>
      <c r="AL42" s="1145"/>
      <c r="AM42" s="1145"/>
      <c r="AN42" s="1145"/>
      <c r="AO42" s="1145"/>
      <c r="AP42" s="1504"/>
      <c r="AQ42" s="431"/>
      <c r="AR42" s="431"/>
      <c r="AS42" s="431"/>
      <c r="AT42" s="431"/>
      <c r="AU42" s="1145"/>
    </row>
    <row r="43" spans="1:47" ht="13.5" customHeight="1" thickBot="1">
      <c r="A43" s="588"/>
      <c r="B43" s="23"/>
      <c r="C43" s="48">
        <v>5</v>
      </c>
      <c r="D43" s="23" t="str">
        <f>"Multiply line 4 by "&amp;TEXT(U43,"0%")&amp;" ("&amp;TEXT(U43,"0.00")&amp;")"</f>
        <v>Multiply line 4 by 90% (0.90)</v>
      </c>
      <c r="E43" s="23"/>
      <c r="F43" s="23"/>
      <c r="G43" s="23"/>
      <c r="H43" s="23"/>
      <c r="I43" s="23"/>
      <c r="J43" s="23"/>
      <c r="K43" s="23"/>
      <c r="L43" s="23"/>
      <c r="M43" s="23"/>
      <c r="N43" s="23"/>
      <c r="O43" s="1355"/>
      <c r="P43" s="40"/>
      <c r="Q43" s="1355" t="s">
        <v>2027</v>
      </c>
      <c r="R43" s="2193">
        <v>5</v>
      </c>
      <c r="S43" s="2045" t="str">
        <f>IF($V$43,"",ROUND(U42*U43,0))</f>
        <v/>
      </c>
      <c r="T43" s="432"/>
      <c r="U43" s="2181">
        <v>0.9</v>
      </c>
      <c r="V43" s="2260" t="b">
        <f>IF($U$42&lt;$W$43,TRUE,FALSE)</f>
        <v>1</v>
      </c>
      <c r="W43" s="1176">
        <v>1000</v>
      </c>
      <c r="X43" s="78"/>
      <c r="Y43" s="1185"/>
      <c r="Z43" s="431"/>
      <c r="AA43" s="431"/>
      <c r="AB43" s="1179"/>
      <c r="AC43" s="1179"/>
      <c r="AD43" s="1179"/>
      <c r="AE43" s="1179"/>
      <c r="AF43" s="1179"/>
      <c r="AG43" s="431"/>
      <c r="AH43" s="3972" t="s">
        <v>120</v>
      </c>
      <c r="AI43" s="1145" t="s">
        <v>1810</v>
      </c>
      <c r="AJ43" s="1145"/>
      <c r="AK43" s="1145"/>
      <c r="AL43" s="1145"/>
      <c r="AM43" s="1145"/>
      <c r="AN43" s="1145"/>
      <c r="AO43" s="1145"/>
      <c r="AP43" s="1504"/>
      <c r="AQ43" s="431"/>
      <c r="AR43" s="431"/>
      <c r="AS43" s="431"/>
      <c r="AT43" s="431"/>
      <c r="AU43" s="1145"/>
    </row>
    <row r="44" spans="1:47" ht="15" customHeight="1" thickBot="1">
      <c r="A44" s="588"/>
      <c r="B44" s="122"/>
      <c r="C44" s="48">
        <v>6</v>
      </c>
      <c r="D44" s="70" t="s">
        <v>1751</v>
      </c>
      <c r="E44" s="122"/>
      <c r="F44" s="122"/>
      <c r="G44" s="122"/>
      <c r="H44" s="122"/>
      <c r="I44" s="122"/>
      <c r="J44" s="122"/>
      <c r="K44" s="122"/>
      <c r="L44" s="122"/>
      <c r="M44" s="122"/>
      <c r="N44" s="122"/>
      <c r="O44" s="122"/>
      <c r="P44" s="122"/>
      <c r="Q44" s="122"/>
      <c r="R44" s="122"/>
      <c r="S44" s="1355" t="s">
        <v>718</v>
      </c>
      <c r="T44" s="428">
        <v>6</v>
      </c>
      <c r="U44" s="7583" t="str">
        <f>IF(Z44&lt;&gt;"",ROUND(Z44,0),IF($V$43,"",SUM('1040'!AC70,ExcessSSTax)))</f>
        <v/>
      </c>
      <c r="V44" s="7584"/>
      <c r="W44" s="7584"/>
      <c r="X44" s="655"/>
      <c r="Y44" s="2187"/>
      <c r="Z44" s="3340"/>
      <c r="AA44" s="431"/>
      <c r="AB44" s="1179"/>
      <c r="AC44" s="1179"/>
      <c r="AD44" s="1179"/>
      <c r="AE44" s="1179"/>
      <c r="AF44" s="1179"/>
      <c r="AG44" s="431"/>
      <c r="AH44" s="3974" t="s">
        <v>120</v>
      </c>
      <c r="AI44" s="2128" t="s">
        <v>1812</v>
      </c>
      <c r="AJ44" s="1509"/>
      <c r="AK44" s="1509"/>
      <c r="AL44" s="1509"/>
      <c r="AM44" s="1509"/>
      <c r="AN44" s="1509"/>
      <c r="AO44" s="1509"/>
      <c r="AP44" s="1510"/>
      <c r="AQ44" s="431"/>
      <c r="AR44" s="431"/>
      <c r="AS44" s="431"/>
      <c r="AT44" s="431"/>
      <c r="AU44" s="1145"/>
    </row>
    <row r="45" spans="1:47" ht="13.5" customHeight="1" thickBot="1">
      <c r="A45" s="588"/>
      <c r="B45" s="23"/>
      <c r="C45" s="48">
        <v>7</v>
      </c>
      <c r="D45" s="999" t="s">
        <v>1799</v>
      </c>
      <c r="E45" s="426"/>
      <c r="F45" s="122"/>
      <c r="G45" s="122"/>
      <c r="H45" s="999"/>
      <c r="I45" s="999"/>
      <c r="J45" s="2253" t="str">
        <f>"If less than "&amp;TEXT($W$43,"$0,000")&amp;","</f>
        <v>If less than $1,000,</v>
      </c>
      <c r="K45" s="3366" t="s">
        <v>3509</v>
      </c>
      <c r="L45" s="122"/>
      <c r="M45" s="122"/>
      <c r="N45" s="122"/>
      <c r="O45" s="122"/>
      <c r="P45" s="999"/>
      <c r="Q45" s="122"/>
      <c r="R45" s="122"/>
      <c r="S45" s="2253"/>
      <c r="T45" s="428">
        <v>7</v>
      </c>
      <c r="U45" s="7585" t="str">
        <f>IF(Z45&lt;&gt;"",ROUND(Z45,0),IF($V$43,"",SUM(U42,-U44)))</f>
        <v/>
      </c>
      <c r="V45" s="7586"/>
      <c r="W45" s="7586"/>
      <c r="X45" s="78"/>
      <c r="Y45" s="1185"/>
      <c r="Z45" s="3340"/>
      <c r="AA45" s="431"/>
      <c r="AB45" s="1179"/>
      <c r="AC45" s="1179"/>
      <c r="AD45" s="1179"/>
      <c r="AE45" s="1179"/>
      <c r="AF45" s="1179"/>
      <c r="AG45" s="431"/>
      <c r="AH45" s="431"/>
      <c r="AI45" s="431"/>
      <c r="AJ45" s="431"/>
      <c r="AK45" s="431"/>
      <c r="AL45" s="431"/>
      <c r="AM45" s="431"/>
      <c r="AN45" s="431"/>
      <c r="AO45" s="431"/>
      <c r="AP45" s="431"/>
      <c r="AQ45" s="431"/>
      <c r="AR45" s="431"/>
      <c r="AS45" s="431"/>
      <c r="AT45" s="431"/>
      <c r="AU45" s="1145"/>
    </row>
    <row r="46" spans="1:47" ht="13.5" customHeight="1" thickBot="1">
      <c r="A46" s="588"/>
      <c r="B46" s="23"/>
      <c r="C46" s="48">
        <v>8</v>
      </c>
      <c r="D46" s="23" t="s">
        <v>1752</v>
      </c>
      <c r="E46" s="38"/>
      <c r="F46" s="23"/>
      <c r="G46" s="23"/>
      <c r="H46" s="23"/>
      <c r="I46" s="23"/>
      <c r="J46" s="23"/>
      <c r="K46" s="23"/>
      <c r="L46" s="23"/>
      <c r="M46" s="23"/>
      <c r="N46" s="23"/>
      <c r="O46" s="23"/>
      <c r="P46" s="23"/>
      <c r="Q46" s="23"/>
      <c r="R46" s="23"/>
      <c r="S46" s="1355" t="s">
        <v>1834</v>
      </c>
      <c r="T46" s="428">
        <v>8</v>
      </c>
      <c r="U46" s="7583" t="str">
        <f>IF(Z46&lt;&gt;"",ROUND(Z46,0),IF(OR($V$43,$U$48),"",IF(AA23,AA25*SUM(AC8,-AC14),SUM(AC8,-AC14))))</f>
        <v/>
      </c>
      <c r="V46" s="7584"/>
      <c r="W46" s="7584"/>
      <c r="X46" s="78"/>
      <c r="Y46" s="1185"/>
      <c r="Z46" s="3340"/>
      <c r="AA46" s="431"/>
      <c r="AB46" s="1179"/>
      <c r="AC46" s="1179"/>
      <c r="AD46" s="1179"/>
      <c r="AE46" s="1179"/>
      <c r="AF46" s="1179"/>
      <c r="AG46" s="431"/>
      <c r="AH46" s="8050" t="s">
        <v>3191</v>
      </c>
      <c r="AI46" s="8051"/>
      <c r="AJ46" s="8051"/>
      <c r="AK46" s="8051"/>
      <c r="AL46" s="8051"/>
      <c r="AM46" s="8051"/>
      <c r="AN46" s="8051"/>
      <c r="AO46" s="8051"/>
      <c r="AP46" s="8052"/>
      <c r="AQ46" s="431"/>
      <c r="AR46" s="431"/>
      <c r="AS46" s="431"/>
      <c r="AT46" s="431"/>
      <c r="AU46" s="1145"/>
    </row>
    <row r="47" spans="1:47" ht="13.5" customHeight="1" thickBot="1">
      <c r="A47" s="588"/>
      <c r="B47" s="23"/>
      <c r="C47" s="48">
        <v>9</v>
      </c>
      <c r="D47" s="70" t="s">
        <v>3088</v>
      </c>
      <c r="E47" s="38"/>
      <c r="F47" s="23"/>
      <c r="G47" s="23"/>
      <c r="H47" s="23"/>
      <c r="I47" s="23"/>
      <c r="J47" s="23"/>
      <c r="K47" s="23"/>
      <c r="L47" s="23"/>
      <c r="M47" s="23"/>
      <c r="N47" s="23"/>
      <c r="O47" s="23"/>
      <c r="P47" s="23"/>
      <c r="Q47" s="23"/>
      <c r="R47" s="23"/>
      <c r="S47" s="1355" t="s">
        <v>635</v>
      </c>
      <c r="T47" s="428">
        <v>9</v>
      </c>
      <c r="U47" s="8119" t="str">
        <f>IF(Z47&lt;&gt;"",ROUND(Z47,0),IF(OR($V$43,$U$48),"",MIN(S43,U46)))</f>
        <v/>
      </c>
      <c r="V47" s="8120"/>
      <c r="W47" s="8120"/>
      <c r="X47" s="78"/>
      <c r="Y47" s="1185"/>
      <c r="Z47" s="3340"/>
      <c r="AA47" s="431"/>
      <c r="AB47" s="1179"/>
      <c r="AC47" s="1179"/>
      <c r="AD47" s="1179"/>
      <c r="AE47" s="1179"/>
      <c r="AF47" s="1179"/>
      <c r="AG47" s="431"/>
      <c r="AH47" s="8182" t="str">
        <f>"To figure your "&amp;TaxYear-1&amp;" tax, first add the amounts listed in (1) (see below),
then subtract from that total amount the refundable credits listed
in (2) (see below) that are shown on your "&amp;TaxYear-1&amp;" tax return."</f>
        <v>To figure your 2020 tax, first add the amounts listed in (1) (see below),
then subtract from that total amount the refundable credits listed
in (2) (see below) that are shown on your 2020 tax return.</v>
      </c>
      <c r="AI47" s="7189"/>
      <c r="AJ47" s="7189"/>
      <c r="AK47" s="7189"/>
      <c r="AL47" s="7189"/>
      <c r="AM47" s="7189"/>
      <c r="AN47" s="7189"/>
      <c r="AO47" s="6792"/>
      <c r="AP47" s="8069"/>
      <c r="AQ47" s="431"/>
      <c r="AR47" s="431"/>
      <c r="AS47" s="431"/>
      <c r="AT47" s="431"/>
      <c r="AU47" s="1145"/>
    </row>
    <row r="48" spans="1:47" ht="15" customHeight="1">
      <c r="A48" s="588"/>
      <c r="B48" s="23"/>
      <c r="C48" s="48"/>
      <c r="D48" s="1005" t="s">
        <v>1753</v>
      </c>
      <c r="E48" s="38"/>
      <c r="F48" s="23"/>
      <c r="G48" s="23"/>
      <c r="H48" s="23"/>
      <c r="I48" s="23"/>
      <c r="J48" s="23"/>
      <c r="K48" s="23"/>
      <c r="L48" s="23"/>
      <c r="M48" s="23"/>
      <c r="N48" s="23"/>
      <c r="O48" s="23"/>
      <c r="P48" s="23"/>
      <c r="Q48" s="23"/>
      <c r="R48" s="23"/>
      <c r="S48" s="526"/>
      <c r="T48" s="526"/>
      <c r="U48" s="2260" t="b">
        <f>IF($U$45&lt;$W$43,TRUE,FALSE)</f>
        <v>0</v>
      </c>
      <c r="V48" s="2261"/>
      <c r="W48" s="2260" t="b">
        <f>IF(U47&gt;U44,TRUE,FALSE)</f>
        <v>0</v>
      </c>
      <c r="X48" s="78"/>
      <c r="Y48" s="1185"/>
      <c r="Z48" s="431"/>
      <c r="AA48" s="431"/>
      <c r="AB48" s="1179"/>
      <c r="AC48" s="1179"/>
      <c r="AD48" s="1179"/>
      <c r="AE48" s="1179"/>
      <c r="AF48" s="1179"/>
      <c r="AG48" s="431"/>
      <c r="AH48" s="8183"/>
      <c r="AI48" s="7110"/>
      <c r="AJ48" s="7110"/>
      <c r="AK48" s="7110"/>
      <c r="AL48" s="7110"/>
      <c r="AM48" s="7110"/>
      <c r="AN48" s="7110"/>
      <c r="AO48" s="7088"/>
      <c r="AP48" s="7575"/>
      <c r="AQ48" s="431"/>
      <c r="AR48" s="431"/>
      <c r="AS48" s="431"/>
      <c r="AT48" s="431"/>
      <c r="AU48" s="1145"/>
    </row>
    <row r="49" spans="1:47" ht="13.5" customHeight="1">
      <c r="A49" s="588"/>
      <c r="B49" s="23"/>
      <c r="C49" s="48"/>
      <c r="D49" s="2151" t="str">
        <f>IF(NOT(AC38),"",IF(OR($V$43,$U$48),"",IF($W$48,"","X")))</f>
        <v/>
      </c>
      <c r="E49" s="70" t="s">
        <v>1813</v>
      </c>
      <c r="F49" s="23"/>
      <c r="G49" s="23"/>
      <c r="H49" s="23"/>
      <c r="I49" s="70"/>
      <c r="J49" s="23"/>
      <c r="K49" s="23"/>
      <c r="L49" s="23"/>
      <c r="M49" s="23"/>
      <c r="N49" s="1035" t="s">
        <v>3089</v>
      </c>
      <c r="O49" s="70" t="s">
        <v>2030</v>
      </c>
      <c r="P49" s="23"/>
      <c r="Q49" s="23"/>
      <c r="R49" s="23"/>
      <c r="S49" s="14"/>
      <c r="T49" s="14"/>
      <c r="U49" s="14"/>
      <c r="V49" s="1006"/>
      <c r="W49" s="30"/>
      <c r="X49" s="78"/>
      <c r="Y49" s="1185"/>
      <c r="Z49" s="2417"/>
      <c r="AA49" s="431"/>
      <c r="AB49" s="1179"/>
      <c r="AC49" s="1179"/>
      <c r="AD49" s="1179"/>
      <c r="AE49" s="1179"/>
      <c r="AF49" s="1179"/>
      <c r="AG49" s="431"/>
      <c r="AH49" s="8174" t="str">
        <f>"(1) Add the amounts listed in the chart below based on which tax return you filed for "&amp;TaxYear-1&amp;"."</f>
        <v>(1) Add the amounts listed in the chart below based on which tax return you filed for 2020.</v>
      </c>
      <c r="AI49" s="8175"/>
      <c r="AJ49" s="8175"/>
      <c r="AK49" s="8175"/>
      <c r="AL49" s="8175"/>
      <c r="AM49" s="8175"/>
      <c r="AN49" s="8175"/>
      <c r="AO49" s="8176"/>
      <c r="AP49" s="8177"/>
      <c r="AQ49" s="431"/>
      <c r="AR49" s="431"/>
      <c r="AS49" s="431"/>
      <c r="AT49" s="431"/>
      <c r="AU49" s="1145"/>
    </row>
    <row r="50" spans="1:47">
      <c r="A50" s="588"/>
      <c r="B50" s="23"/>
      <c r="C50" s="70"/>
      <c r="D50" s="70"/>
      <c r="E50" s="70"/>
      <c r="F50" s="23"/>
      <c r="G50" s="23"/>
      <c r="H50" s="23"/>
      <c r="I50" s="23"/>
      <c r="J50" s="23"/>
      <c r="K50" s="23"/>
      <c r="L50" s="23"/>
      <c r="M50" s="23"/>
      <c r="N50" s="23"/>
      <c r="O50" s="23"/>
      <c r="P50" s="23"/>
      <c r="Q50" s="23"/>
      <c r="R50" s="23"/>
      <c r="S50" s="14"/>
      <c r="T50" s="14"/>
      <c r="U50" s="14"/>
      <c r="V50" s="1006"/>
      <c r="W50" s="1006"/>
      <c r="X50" s="78"/>
      <c r="Y50" s="1185"/>
      <c r="Z50" s="2417"/>
      <c r="AA50" s="431"/>
      <c r="AB50" s="1179"/>
      <c r="AC50" s="1179"/>
      <c r="AD50" s="1179"/>
      <c r="AE50" s="1179"/>
      <c r="AF50" s="1179"/>
      <c r="AG50" s="431"/>
      <c r="AH50" s="8178"/>
      <c r="AI50" s="8179"/>
      <c r="AJ50" s="8179"/>
      <c r="AK50" s="8179"/>
      <c r="AL50" s="8179"/>
      <c r="AM50" s="8179"/>
      <c r="AN50" s="8179"/>
      <c r="AO50" s="8180"/>
      <c r="AP50" s="8181"/>
      <c r="AQ50" s="431"/>
      <c r="AR50" s="431"/>
      <c r="AS50" s="431"/>
      <c r="AT50" s="431"/>
      <c r="AU50" s="1145"/>
    </row>
    <row r="51" spans="1:47" ht="13.5" customHeight="1">
      <c r="A51" s="588"/>
      <c r="B51" s="30"/>
      <c r="C51" s="2183"/>
      <c r="D51" s="2151" t="str">
        <f>IF(NOT(AC38),"",IF(OR($V$43,$U$48),"",IF($W$48,"X","")))</f>
        <v/>
      </c>
      <c r="E51" s="70" t="s">
        <v>1754</v>
      </c>
      <c r="F51" s="23"/>
      <c r="G51" s="23"/>
      <c r="H51" s="23"/>
      <c r="I51" s="23"/>
      <c r="J51" s="23"/>
      <c r="K51" s="23"/>
      <c r="L51" s="23"/>
      <c r="M51" s="56"/>
      <c r="N51" s="23"/>
      <c r="O51" s="23"/>
      <c r="P51" s="23"/>
      <c r="Q51" s="23"/>
      <c r="R51" s="38"/>
      <c r="S51" s="14"/>
      <c r="T51" s="48"/>
      <c r="U51" s="2141"/>
      <c r="V51" s="30"/>
      <c r="W51" s="2260" t="b">
        <f>IF($D$51&lt;&gt;"",TRUE,FALSE)</f>
        <v>0</v>
      </c>
      <c r="X51" s="78"/>
      <c r="Y51" s="1185"/>
      <c r="Z51" s="2417"/>
      <c r="AA51" s="431"/>
      <c r="AB51" s="1179"/>
      <c r="AC51" s="1179"/>
      <c r="AD51" s="1179"/>
      <c r="AE51" s="1179"/>
      <c r="AF51" s="1179"/>
      <c r="AG51" s="431"/>
      <c r="AH51" s="8044" t="s">
        <v>3513</v>
      </c>
      <c r="AI51" s="8045"/>
      <c r="AJ51" s="8045"/>
      <c r="AK51" s="8045"/>
      <c r="AL51" s="8045"/>
      <c r="AM51" s="8045"/>
      <c r="AN51" s="8045"/>
      <c r="AO51" s="8045"/>
      <c r="AP51" s="8046"/>
      <c r="AQ51" s="431"/>
      <c r="AR51" s="431"/>
      <c r="AS51" s="431"/>
      <c r="AT51" s="431"/>
      <c r="AU51" s="1145"/>
    </row>
    <row r="52" spans="1:47" ht="13.5" customHeight="1">
      <c r="A52" s="588"/>
      <c r="B52" s="8105" t="str">
        <f>IF(W52,"®","")</f>
        <v/>
      </c>
      <c r="C52" s="8106"/>
      <c r="D52" s="423" t="s">
        <v>120</v>
      </c>
      <c r="E52" s="70" t="s">
        <v>1755</v>
      </c>
      <c r="F52" s="23"/>
      <c r="G52" s="23"/>
      <c r="H52" s="23"/>
      <c r="I52" s="23"/>
      <c r="J52" s="23"/>
      <c r="K52" s="23"/>
      <c r="L52" s="23"/>
      <c r="M52" s="23"/>
      <c r="N52" s="23"/>
      <c r="O52" s="23"/>
      <c r="P52" s="23"/>
      <c r="Q52" s="23"/>
      <c r="R52" s="23"/>
      <c r="S52" s="23"/>
      <c r="T52" s="23"/>
      <c r="U52" s="30"/>
      <c r="V52" s="30"/>
      <c r="W52" s="2260" t="b">
        <f>IF(AND(W51,OR(D60&lt;&gt;"",D62&lt;&gt;"",D64&lt;&gt;"")),TRUE,FALSE)</f>
        <v>0</v>
      </c>
      <c r="X52" s="78"/>
      <c r="Y52" s="1185"/>
      <c r="Z52" s="2417"/>
      <c r="AA52" s="431"/>
      <c r="AB52" s="1179"/>
      <c r="AC52" s="1179"/>
      <c r="AD52" s="1179"/>
      <c r="AE52" s="1179"/>
      <c r="AF52" s="1179"/>
      <c r="AG52" s="431"/>
      <c r="AH52" s="8047"/>
      <c r="AI52" s="8048"/>
      <c r="AJ52" s="8048"/>
      <c r="AK52" s="8048"/>
      <c r="AL52" s="8048"/>
      <c r="AM52" s="8048"/>
      <c r="AN52" s="8048"/>
      <c r="AO52" s="8048"/>
      <c r="AP52" s="8049"/>
      <c r="AQ52" s="431"/>
      <c r="AR52" s="431"/>
      <c r="AS52" s="431"/>
      <c r="AT52" s="431"/>
      <c r="AU52" s="1145"/>
    </row>
    <row r="53" spans="1:47" ht="13.5" customHeight="1">
      <c r="A53" s="588"/>
      <c r="B53" s="8105" t="str">
        <f>IF(W55,"®","")</f>
        <v/>
      </c>
      <c r="C53" s="8106"/>
      <c r="D53" s="423" t="s">
        <v>120</v>
      </c>
      <c r="E53" s="70" t="s">
        <v>1756</v>
      </c>
      <c r="F53" s="23"/>
      <c r="G53" s="23"/>
      <c r="H53" s="23"/>
      <c r="I53" s="23"/>
      <c r="J53" s="23"/>
      <c r="K53" s="23"/>
      <c r="L53" s="23"/>
      <c r="M53" s="23"/>
      <c r="N53" s="23"/>
      <c r="O53" s="23"/>
      <c r="P53" s="23"/>
      <c r="Q53" s="23"/>
      <c r="R53" s="2133"/>
      <c r="S53" s="2134"/>
      <c r="T53" s="429"/>
      <c r="U53" s="2135"/>
      <c r="V53" s="497"/>
      <c r="W53" s="40"/>
      <c r="X53" s="78"/>
      <c r="Y53" s="1185"/>
      <c r="Z53" s="2417"/>
      <c r="AA53" s="431"/>
      <c r="AB53" s="1179"/>
      <c r="AC53" s="1179"/>
      <c r="AD53" s="1179"/>
      <c r="AE53" s="1179"/>
      <c r="AF53" s="1179"/>
      <c r="AG53" s="431"/>
      <c r="AH53" s="8047"/>
      <c r="AI53" s="8048"/>
      <c r="AJ53" s="8048"/>
      <c r="AK53" s="8048"/>
      <c r="AL53" s="8048"/>
      <c r="AM53" s="8048"/>
      <c r="AN53" s="8048"/>
      <c r="AO53" s="8048"/>
      <c r="AP53" s="8049"/>
      <c r="AQ53" s="431"/>
      <c r="AR53" s="431"/>
      <c r="AS53" s="431"/>
      <c r="AT53" s="431"/>
      <c r="AU53" s="1145"/>
    </row>
    <row r="54" spans="1:47" ht="13.5" customHeight="1">
      <c r="A54" s="588"/>
      <c r="B54" s="23"/>
      <c r="C54" s="48"/>
      <c r="D54" s="70"/>
      <c r="E54" s="70" t="s">
        <v>5511</v>
      </c>
      <c r="F54" s="23"/>
      <c r="G54" s="23"/>
      <c r="H54" s="23"/>
      <c r="I54" s="23"/>
      <c r="J54" s="23"/>
      <c r="K54" s="23"/>
      <c r="L54" s="23"/>
      <c r="M54" s="23"/>
      <c r="N54" s="23"/>
      <c r="O54" s="23"/>
      <c r="P54" s="23"/>
      <c r="Q54" s="23"/>
      <c r="R54" s="23"/>
      <c r="S54" s="23"/>
      <c r="T54" s="23"/>
      <c r="U54" s="23"/>
      <c r="V54" s="23"/>
      <c r="W54" s="40"/>
      <c r="X54" s="78"/>
      <c r="Y54" s="1185"/>
      <c r="Z54" s="2417"/>
      <c r="AA54" s="431"/>
      <c r="AB54" s="1179"/>
      <c r="AC54" s="1179"/>
      <c r="AD54" s="1276" t="s">
        <v>5593</v>
      </c>
      <c r="AE54" s="1179"/>
      <c r="AF54" s="1179"/>
      <c r="AG54" s="431"/>
      <c r="AH54" s="8047"/>
      <c r="AI54" s="8048"/>
      <c r="AJ54" s="8048"/>
      <c r="AK54" s="8048"/>
      <c r="AL54" s="8048"/>
      <c r="AM54" s="8048"/>
      <c r="AN54" s="8048"/>
      <c r="AO54" s="8048"/>
      <c r="AP54" s="8049"/>
      <c r="AQ54" s="431"/>
      <c r="AR54" s="431"/>
      <c r="AS54" s="431"/>
      <c r="AT54" s="431"/>
      <c r="AU54" s="1145"/>
    </row>
    <row r="55" spans="1:47" ht="13.5" customHeight="1" thickBot="1">
      <c r="A55" s="588"/>
      <c r="B55" s="23"/>
      <c r="C55" s="48"/>
      <c r="D55" s="48"/>
      <c r="E55" s="70" t="s">
        <v>5512</v>
      </c>
      <c r="F55" s="23"/>
      <c r="G55" s="23"/>
      <c r="H55" s="23"/>
      <c r="I55" s="23"/>
      <c r="J55" s="38"/>
      <c r="K55" s="23"/>
      <c r="L55" s="23"/>
      <c r="M55" s="23"/>
      <c r="N55" s="23"/>
      <c r="O55" s="23"/>
      <c r="P55" s="23"/>
      <c r="Q55" s="23"/>
      <c r="R55" s="23"/>
      <c r="S55" s="7"/>
      <c r="T55" s="23"/>
      <c r="U55" s="1006"/>
      <c r="V55" s="1006"/>
      <c r="W55" s="2260" t="b">
        <f>IF(AND(W51,OR(D58&lt;&gt;"",D66&lt;&gt;""),D60="",D62="",D64=""),TRUE,FALSE)</f>
        <v>0</v>
      </c>
      <c r="X55" s="78"/>
      <c r="Y55" s="1185"/>
      <c r="Z55" s="2417"/>
      <c r="AA55" s="431"/>
      <c r="AB55" s="1179"/>
      <c r="AC55" s="1179"/>
      <c r="AD55" s="1179"/>
      <c r="AE55" s="1179"/>
      <c r="AF55" s="1179"/>
      <c r="AG55" s="431"/>
      <c r="AH55" s="3972" t="s">
        <v>120</v>
      </c>
      <c r="AI55" s="8070" t="s">
        <v>1801</v>
      </c>
      <c r="AJ55" s="6792"/>
      <c r="AK55" s="6792"/>
      <c r="AL55" s="6792"/>
      <c r="AM55" s="6792"/>
      <c r="AN55" s="8071"/>
      <c r="AO55" s="6792"/>
      <c r="AP55" s="8069"/>
      <c r="AQ55" s="431"/>
      <c r="AR55" s="431"/>
      <c r="AS55" s="431"/>
      <c r="AT55" s="431"/>
      <c r="AU55" s="1145"/>
    </row>
    <row r="56" spans="1:47" ht="16.5" customHeight="1">
      <c r="A56" s="588"/>
      <c r="B56" s="2143" t="s">
        <v>1757</v>
      </c>
      <c r="C56" s="2138"/>
      <c r="D56" s="2138"/>
      <c r="E56" s="2142" t="s">
        <v>1778</v>
      </c>
      <c r="F56" s="2139"/>
      <c r="G56" s="2139"/>
      <c r="H56" s="2139"/>
      <c r="I56" s="2139"/>
      <c r="J56" s="2139"/>
      <c r="K56" s="2139"/>
      <c r="L56" s="2176" t="s">
        <v>1777</v>
      </c>
      <c r="M56" s="2139"/>
      <c r="N56" s="2139"/>
      <c r="O56" s="2139"/>
      <c r="P56" s="2139"/>
      <c r="Q56" s="2139"/>
      <c r="R56" s="2139"/>
      <c r="S56" s="2139"/>
      <c r="T56" s="2139"/>
      <c r="U56" s="2139"/>
      <c r="V56" s="2139"/>
      <c r="W56" s="2139"/>
      <c r="X56" s="655"/>
      <c r="Y56" s="2187"/>
      <c r="Z56" s="2417"/>
      <c r="AA56" s="431"/>
      <c r="AB56" s="1179"/>
      <c r="AC56" s="1179"/>
      <c r="AD56" s="1179"/>
      <c r="AE56" s="1179"/>
      <c r="AF56" s="1179"/>
      <c r="AG56" s="431"/>
      <c r="AH56" s="3972"/>
      <c r="AI56" s="6792"/>
      <c r="AJ56" s="6792"/>
      <c r="AK56" s="6792"/>
      <c r="AL56" s="6792"/>
      <c r="AM56" s="6792"/>
      <c r="AN56" s="8071"/>
      <c r="AO56" s="6792"/>
      <c r="AP56" s="8069"/>
      <c r="AQ56" s="431"/>
      <c r="AR56" s="431"/>
      <c r="AS56" s="431"/>
      <c r="AT56" s="431"/>
      <c r="AU56" s="1145"/>
    </row>
    <row r="57" spans="1:47" ht="14.25">
      <c r="A57" s="588"/>
      <c r="B57" s="23"/>
      <c r="C57" s="48"/>
      <c r="D57" s="70"/>
      <c r="E57" s="2144"/>
      <c r="F57" s="122"/>
      <c r="G57" s="122"/>
      <c r="H57" s="122"/>
      <c r="I57" s="122"/>
      <c r="J57" s="122"/>
      <c r="K57" s="122"/>
      <c r="L57" s="122"/>
      <c r="M57" s="122"/>
      <c r="N57" s="122"/>
      <c r="O57" s="122"/>
      <c r="P57" s="122"/>
      <c r="Q57" s="122"/>
      <c r="R57" s="122"/>
      <c r="S57" s="122"/>
      <c r="T57" s="122"/>
      <c r="U57" s="122"/>
      <c r="V57" s="122"/>
      <c r="W57" s="122"/>
      <c r="X57" s="655"/>
      <c r="Y57" s="2187"/>
      <c r="Z57" s="431"/>
      <c r="AA57" s="431"/>
      <c r="AB57" s="1179"/>
      <c r="AC57" s="1179"/>
      <c r="AD57" s="1179"/>
      <c r="AE57" s="1179"/>
      <c r="AF57" s="1179"/>
      <c r="AG57" s="431"/>
      <c r="AH57" s="3972" t="s">
        <v>120</v>
      </c>
      <c r="AI57" s="8068" t="s">
        <v>1802</v>
      </c>
      <c r="AJ57" s="6792"/>
      <c r="AK57" s="6792"/>
      <c r="AL57" s="6792"/>
      <c r="AM57" s="6792"/>
      <c r="AN57" s="6792"/>
      <c r="AO57" s="6792"/>
      <c r="AP57" s="8069"/>
      <c r="AQ57" s="431"/>
      <c r="AR57" s="431"/>
      <c r="AS57" s="431"/>
      <c r="AT57" s="431"/>
      <c r="AU57" s="1145"/>
    </row>
    <row r="58" spans="1:47" ht="13.5" customHeight="1">
      <c r="A58" s="588"/>
      <c r="B58" s="1176" t="b">
        <f>(D58&lt;&gt;"")</f>
        <v>0</v>
      </c>
      <c r="C58" s="40" t="s">
        <v>143</v>
      </c>
      <c r="D58" s="1180"/>
      <c r="E58" s="2144" t="s">
        <v>3874</v>
      </c>
      <c r="F58" s="122"/>
      <c r="G58" s="122"/>
      <c r="H58" s="122"/>
      <c r="I58" s="122"/>
      <c r="J58" s="122"/>
      <c r="K58" s="122"/>
      <c r="L58" s="122"/>
      <c r="M58" s="122"/>
      <c r="N58" s="122"/>
      <c r="O58" s="122"/>
      <c r="P58" s="122"/>
      <c r="Q58" s="122"/>
      <c r="R58" s="122"/>
      <c r="S58" s="122"/>
      <c r="T58" s="122"/>
      <c r="U58" s="122"/>
      <c r="V58" s="122"/>
      <c r="W58" s="122"/>
      <c r="X58" s="655"/>
      <c r="Y58" s="2187"/>
      <c r="Z58" s="431"/>
      <c r="AA58" s="431"/>
      <c r="AB58" s="1179"/>
      <c r="AC58" s="1179"/>
      <c r="AD58" s="1179"/>
      <c r="AE58" s="1179"/>
      <c r="AF58" s="1179"/>
      <c r="AG58" s="431"/>
      <c r="AH58" s="3972" t="s">
        <v>120</v>
      </c>
      <c r="AI58" s="8070" t="s">
        <v>1803</v>
      </c>
      <c r="AJ58" s="6792"/>
      <c r="AK58" s="6792"/>
      <c r="AL58" s="6792"/>
      <c r="AM58" s="6792"/>
      <c r="AN58" s="8071"/>
      <c r="AO58" s="6792"/>
      <c r="AP58" s="8069"/>
      <c r="AQ58" s="431"/>
      <c r="AR58" s="431"/>
      <c r="AS58" s="431"/>
      <c r="AT58" s="431"/>
      <c r="AU58" s="1145"/>
    </row>
    <row r="59" spans="1:47" ht="13.5" customHeight="1">
      <c r="A59" s="588"/>
      <c r="B59" s="8198"/>
      <c r="C59" s="8199"/>
      <c r="D59" s="8199"/>
      <c r="E59" s="2144" t="s">
        <v>3875</v>
      </c>
      <c r="F59" s="122"/>
      <c r="G59" s="122"/>
      <c r="H59" s="122"/>
      <c r="I59" s="122"/>
      <c r="J59" s="122"/>
      <c r="K59" s="122"/>
      <c r="L59" s="122"/>
      <c r="M59" s="122"/>
      <c r="N59" s="122"/>
      <c r="O59" s="122"/>
      <c r="P59" s="122"/>
      <c r="Q59" s="122"/>
      <c r="R59" s="122"/>
      <c r="S59" s="122"/>
      <c r="T59" s="122"/>
      <c r="U59" s="122"/>
      <c r="V59" s="122"/>
      <c r="W59" s="122"/>
      <c r="X59" s="655"/>
      <c r="Y59" s="2187"/>
      <c r="Z59" s="5780"/>
      <c r="AA59" s="431"/>
      <c r="AB59" s="1179"/>
      <c r="AC59" s="1179"/>
      <c r="AD59" s="1179"/>
      <c r="AE59" s="1179"/>
      <c r="AF59" s="1179"/>
      <c r="AG59" s="431"/>
      <c r="AH59" s="3972"/>
      <c r="AI59" s="6792"/>
      <c r="AJ59" s="6792"/>
      <c r="AK59" s="6792"/>
      <c r="AL59" s="6792"/>
      <c r="AM59" s="6792"/>
      <c r="AN59" s="8071"/>
      <c r="AO59" s="6792"/>
      <c r="AP59" s="8069"/>
      <c r="AQ59" s="431"/>
      <c r="AR59" s="431"/>
      <c r="AS59" s="431"/>
      <c r="AT59" s="431"/>
      <c r="AU59" s="1145"/>
    </row>
    <row r="60" spans="1:47" ht="13.5" customHeight="1">
      <c r="A60" s="588"/>
      <c r="B60" s="1176" t="b">
        <f>(D60&lt;&gt;"")</f>
        <v>0</v>
      </c>
      <c r="C60" s="40" t="s">
        <v>288</v>
      </c>
      <c r="D60" s="1180"/>
      <c r="E60" s="2144" t="s">
        <v>1815</v>
      </c>
      <c r="F60" s="122"/>
      <c r="G60" s="122"/>
      <c r="H60" s="122"/>
      <c r="I60" s="122"/>
      <c r="J60" s="122"/>
      <c r="K60" s="122"/>
      <c r="L60" s="122"/>
      <c r="M60" s="122"/>
      <c r="N60" s="122"/>
      <c r="O60" s="122"/>
      <c r="P60" s="122"/>
      <c r="Q60" s="122"/>
      <c r="R60" s="122"/>
      <c r="S60" s="122"/>
      <c r="T60" s="122"/>
      <c r="U60" s="122"/>
      <c r="V60" s="122"/>
      <c r="W60" s="122"/>
      <c r="X60" s="655"/>
      <c r="Y60" s="2187"/>
      <c r="Z60" s="5780"/>
      <c r="AA60" s="431"/>
      <c r="AB60" s="1179"/>
      <c r="AC60" s="1179"/>
      <c r="AD60" s="1179"/>
      <c r="AE60" s="1179"/>
      <c r="AF60" s="1179"/>
      <c r="AG60" s="431"/>
      <c r="AH60" s="3972" t="s">
        <v>120</v>
      </c>
      <c r="AI60" s="8068" t="s">
        <v>1841</v>
      </c>
      <c r="AJ60" s="6792"/>
      <c r="AK60" s="6792"/>
      <c r="AL60" s="6792"/>
      <c r="AM60" s="6792"/>
      <c r="AN60" s="8071"/>
      <c r="AO60" s="6792"/>
      <c r="AP60" s="8069"/>
      <c r="AQ60" s="431"/>
      <c r="AR60" s="431"/>
      <c r="AS60" s="431"/>
      <c r="AT60" s="431"/>
      <c r="AU60" s="1145"/>
    </row>
    <row r="61" spans="1:47" ht="13.5" customHeight="1">
      <c r="A61" s="588"/>
      <c r="B61" s="1176"/>
      <c r="C61" s="48"/>
      <c r="D61" s="70"/>
      <c r="E61" s="2145" t="s">
        <v>1814</v>
      </c>
      <c r="F61" s="122"/>
      <c r="G61" s="122"/>
      <c r="H61" s="122"/>
      <c r="I61" s="122"/>
      <c r="J61" s="122"/>
      <c r="K61" s="122"/>
      <c r="L61" s="122"/>
      <c r="M61" s="122"/>
      <c r="N61" s="122"/>
      <c r="O61" s="122"/>
      <c r="P61" s="122"/>
      <c r="Q61" s="122"/>
      <c r="R61" s="122"/>
      <c r="S61" s="122"/>
      <c r="T61" s="122"/>
      <c r="U61" s="122"/>
      <c r="V61" s="122"/>
      <c r="W61" s="122"/>
      <c r="X61" s="655"/>
      <c r="Y61" s="2187"/>
      <c r="Z61" s="5780"/>
      <c r="AA61" s="431"/>
      <c r="AB61" s="1179"/>
      <c r="AC61" s="1179"/>
      <c r="AD61" s="1179"/>
      <c r="AE61" s="1179"/>
      <c r="AF61" s="1179"/>
      <c r="AG61" s="431"/>
      <c r="AH61" s="3972"/>
      <c r="AI61" s="6792"/>
      <c r="AJ61" s="6792"/>
      <c r="AK61" s="6792"/>
      <c r="AL61" s="6792"/>
      <c r="AM61" s="6792"/>
      <c r="AN61" s="8071"/>
      <c r="AO61" s="6792"/>
      <c r="AP61" s="8069"/>
      <c r="AQ61" s="431"/>
      <c r="AR61" s="431"/>
      <c r="AS61" s="431"/>
      <c r="AT61" s="431"/>
      <c r="AU61" s="1145"/>
    </row>
    <row r="62" spans="1:47" ht="13.5" customHeight="1">
      <c r="A62" s="588"/>
      <c r="B62" s="1176" t="b">
        <f>(D62&lt;&gt;"")</f>
        <v>0</v>
      </c>
      <c r="C62" s="40" t="s">
        <v>144</v>
      </c>
      <c r="D62" s="1180"/>
      <c r="E62" s="2144" t="s">
        <v>1759</v>
      </c>
      <c r="F62" s="122"/>
      <c r="G62" s="122"/>
      <c r="H62" s="122"/>
      <c r="I62" s="122"/>
      <c r="J62" s="122"/>
      <c r="K62" s="122"/>
      <c r="L62" s="122"/>
      <c r="M62" s="122"/>
      <c r="N62" s="122"/>
      <c r="O62" s="122"/>
      <c r="P62" s="122"/>
      <c r="Q62" s="122"/>
      <c r="R62" s="122"/>
      <c r="S62" s="122"/>
      <c r="T62" s="122"/>
      <c r="U62" s="122"/>
      <c r="V62" s="122"/>
      <c r="W62" s="122"/>
      <c r="X62" s="655"/>
      <c r="Y62" s="2187"/>
      <c r="Z62" s="5780"/>
      <c r="AA62" s="431"/>
      <c r="AB62" s="1179"/>
      <c r="AC62" s="1179"/>
      <c r="AD62" s="1179"/>
      <c r="AE62" s="1179"/>
      <c r="AF62" s="1179"/>
      <c r="AG62" s="431"/>
      <c r="AH62" s="3972" t="s">
        <v>120</v>
      </c>
      <c r="AI62" s="8068" t="s">
        <v>1804</v>
      </c>
      <c r="AJ62" s="6792"/>
      <c r="AK62" s="6792"/>
      <c r="AL62" s="6792"/>
      <c r="AM62" s="6792"/>
      <c r="AN62" s="6792"/>
      <c r="AO62" s="6792"/>
      <c r="AP62" s="8069"/>
      <c r="AQ62" s="431"/>
      <c r="AR62" s="431"/>
      <c r="AS62" s="431"/>
      <c r="AT62" s="431"/>
      <c r="AU62" s="1145"/>
    </row>
    <row r="63" spans="1:47" ht="13.5" customHeight="1">
      <c r="A63" s="588"/>
      <c r="B63" s="1176"/>
      <c r="C63" s="48"/>
      <c r="D63" s="70"/>
      <c r="E63" s="2144" t="s">
        <v>1760</v>
      </c>
      <c r="F63" s="122"/>
      <c r="G63" s="122"/>
      <c r="H63" s="122"/>
      <c r="I63" s="122"/>
      <c r="J63" s="122"/>
      <c r="K63" s="122"/>
      <c r="L63" s="122"/>
      <c r="M63" s="122"/>
      <c r="N63" s="122"/>
      <c r="O63" s="122"/>
      <c r="P63" s="122"/>
      <c r="Q63" s="122"/>
      <c r="R63" s="122"/>
      <c r="S63" s="122"/>
      <c r="T63" s="122"/>
      <c r="U63" s="122"/>
      <c r="V63" s="122"/>
      <c r="W63" s="122"/>
      <c r="X63" s="655"/>
      <c r="Y63" s="2187"/>
      <c r="Z63" s="5780"/>
      <c r="AA63" s="431"/>
      <c r="AB63" s="1179"/>
      <c r="AC63" s="1179"/>
      <c r="AD63" s="1179"/>
      <c r="AE63" s="1179"/>
      <c r="AF63" s="1179"/>
      <c r="AG63" s="431"/>
      <c r="AH63" s="3972" t="s">
        <v>120</v>
      </c>
      <c r="AI63" s="8169" t="s">
        <v>3514</v>
      </c>
      <c r="AJ63" s="8170"/>
      <c r="AK63" s="8170"/>
      <c r="AL63" s="8170"/>
      <c r="AM63" s="8170"/>
      <c r="AN63" s="8170"/>
      <c r="AO63" s="8170"/>
      <c r="AP63" s="8171"/>
      <c r="AQ63" s="431"/>
      <c r="AR63" s="431"/>
      <c r="AS63" s="431"/>
      <c r="AT63" s="431"/>
      <c r="AU63" s="1145"/>
    </row>
    <row r="64" spans="1:47" ht="13.5" customHeight="1">
      <c r="A64" s="588"/>
      <c r="B64" s="1176" t="b">
        <f>(D64&lt;&gt;"")</f>
        <v>0</v>
      </c>
      <c r="C64" s="40" t="s">
        <v>290</v>
      </c>
      <c r="D64" s="1180"/>
      <c r="E64" s="2144" t="s">
        <v>1761</v>
      </c>
      <c r="F64" s="122"/>
      <c r="G64" s="122"/>
      <c r="H64" s="122"/>
      <c r="I64" s="122"/>
      <c r="J64" s="122"/>
      <c r="K64" s="122"/>
      <c r="L64" s="122"/>
      <c r="M64" s="122"/>
      <c r="N64" s="122"/>
      <c r="O64" s="122"/>
      <c r="P64" s="122"/>
      <c r="Q64" s="122"/>
      <c r="R64" s="122"/>
      <c r="S64" s="122"/>
      <c r="T64" s="122"/>
      <c r="U64" s="122"/>
      <c r="V64" s="122"/>
      <c r="W64" s="122"/>
      <c r="X64" s="655"/>
      <c r="Y64" s="2187"/>
      <c r="Z64" s="5780"/>
      <c r="AA64" s="431"/>
      <c r="AB64" s="1179"/>
      <c r="AC64" s="1179"/>
      <c r="AD64" s="1179"/>
      <c r="AE64" s="1179"/>
      <c r="AF64" s="1179"/>
      <c r="AG64" s="431"/>
      <c r="AH64" s="3972"/>
      <c r="AI64" s="8170"/>
      <c r="AJ64" s="8170"/>
      <c r="AK64" s="8170"/>
      <c r="AL64" s="8170"/>
      <c r="AM64" s="8170"/>
      <c r="AN64" s="8170"/>
      <c r="AO64" s="8170"/>
      <c r="AP64" s="8171"/>
      <c r="AQ64" s="431"/>
      <c r="AR64" s="431"/>
      <c r="AS64" s="431"/>
      <c r="AT64" s="431"/>
      <c r="AU64" s="1145"/>
    </row>
    <row r="65" spans="1:65" ht="13.5" customHeight="1">
      <c r="A65" s="588"/>
      <c r="B65" s="1176"/>
      <c r="C65" s="48"/>
      <c r="D65" s="70"/>
      <c r="E65" s="70" t="s">
        <v>1762</v>
      </c>
      <c r="F65" s="23"/>
      <c r="G65" s="23"/>
      <c r="H65" s="23"/>
      <c r="I65" s="23"/>
      <c r="J65" s="23"/>
      <c r="K65" s="23"/>
      <c r="L65" s="23"/>
      <c r="M65" s="23"/>
      <c r="N65" s="23"/>
      <c r="O65" s="23"/>
      <c r="P65" s="23"/>
      <c r="Q65" s="23"/>
      <c r="R65" s="23"/>
      <c r="S65" s="23"/>
      <c r="T65" s="23"/>
      <c r="U65" s="23"/>
      <c r="V65" s="23"/>
      <c r="W65" s="23"/>
      <c r="X65" s="78"/>
      <c r="Y65" s="1185"/>
      <c r="Z65" s="5780"/>
      <c r="AA65" s="431"/>
      <c r="AB65" s="1179"/>
      <c r="AC65" s="1179"/>
      <c r="AD65" s="1179"/>
      <c r="AE65" s="1179"/>
      <c r="AF65" s="1179"/>
      <c r="AG65" s="431"/>
      <c r="AH65" s="3972"/>
      <c r="AI65" s="8170"/>
      <c r="AJ65" s="8170"/>
      <c r="AK65" s="8170"/>
      <c r="AL65" s="8170"/>
      <c r="AM65" s="8170"/>
      <c r="AN65" s="8170"/>
      <c r="AO65" s="8170"/>
      <c r="AP65" s="8171"/>
      <c r="AQ65" s="431"/>
      <c r="AR65" s="431"/>
      <c r="AS65" s="431"/>
      <c r="AT65" s="431"/>
      <c r="AU65" s="1145"/>
    </row>
    <row r="66" spans="1:65" ht="13.5" customHeight="1">
      <c r="A66" s="588"/>
      <c r="B66" s="1176" t="b">
        <f>(D66&lt;&gt;"")</f>
        <v>0</v>
      </c>
      <c r="C66" s="40" t="s">
        <v>371</v>
      </c>
      <c r="D66" s="3882"/>
      <c r="E66" s="2144" t="str">
        <f>"You filed or are filing a joint return for either "&amp;TaxYear-1&amp;" or "&amp;TaxYear&amp;",  but not for both years, and"</f>
        <v>You filed or are filing a joint return for either 2020 or 2021,  but not for both years, and</v>
      </c>
      <c r="F66" s="122"/>
      <c r="G66" s="122"/>
      <c r="H66" s="122"/>
      <c r="I66" s="122"/>
      <c r="J66" s="122"/>
      <c r="K66" s="122"/>
      <c r="L66" s="122"/>
      <c r="M66" s="122"/>
      <c r="N66" s="122"/>
      <c r="O66" s="122"/>
      <c r="P66" s="122"/>
      <c r="Q66" s="122"/>
      <c r="R66" s="3366" t="s">
        <v>1835</v>
      </c>
      <c r="S66" s="999"/>
      <c r="T66" s="122"/>
      <c r="U66" s="122"/>
      <c r="V66" s="122"/>
      <c r="W66" s="2253"/>
      <c r="X66" s="655"/>
      <c r="Y66" s="2187"/>
      <c r="Z66" s="431"/>
      <c r="AA66" s="431"/>
      <c r="AB66" s="1179"/>
      <c r="AC66" s="1179"/>
      <c r="AD66" s="1179"/>
      <c r="AE66" s="1179"/>
      <c r="AF66" s="1179"/>
      <c r="AG66" s="431"/>
      <c r="AH66" s="3972"/>
      <c r="AI66" s="8170"/>
      <c r="AJ66" s="8170"/>
      <c r="AK66" s="8170"/>
      <c r="AL66" s="8170"/>
      <c r="AM66" s="8170"/>
      <c r="AN66" s="8170"/>
      <c r="AO66" s="8170"/>
      <c r="AP66" s="8171"/>
      <c r="AQ66" s="431"/>
      <c r="AR66" s="431"/>
      <c r="AS66" s="431"/>
      <c r="AT66" s="431"/>
      <c r="AU66" s="1145"/>
    </row>
    <row r="67" spans="1:65" ht="13.5" customHeight="1" thickBot="1">
      <c r="A67" s="588"/>
      <c r="B67" s="7988" t="b">
        <f>OR(B58,B60,B62,B64,B66)</f>
        <v>0</v>
      </c>
      <c r="C67" s="7989"/>
      <c r="D67" s="7989"/>
      <c r="E67" s="2144" t="s">
        <v>1763</v>
      </c>
      <c r="F67" s="122"/>
      <c r="G67" s="122"/>
      <c r="H67" s="122"/>
      <c r="I67" s="122"/>
      <c r="J67" s="122"/>
      <c r="K67" s="122"/>
      <c r="L67" s="122"/>
      <c r="M67" s="122"/>
      <c r="N67" s="122"/>
      <c r="O67" s="122"/>
      <c r="P67" s="122"/>
      <c r="Q67" s="122"/>
      <c r="R67" s="122"/>
      <c r="S67" s="122"/>
      <c r="T67" s="122"/>
      <c r="U67" s="122"/>
      <c r="V67" s="122"/>
      <c r="W67" s="6103" t="b">
        <f>NOT(B67)</f>
        <v>1</v>
      </c>
      <c r="X67" s="655"/>
      <c r="Y67" s="2187"/>
      <c r="Z67" s="431"/>
      <c r="AA67" s="431"/>
      <c r="AB67" s="1179"/>
      <c r="AC67" s="1179"/>
      <c r="AD67" s="1179"/>
      <c r="AE67" s="1179"/>
      <c r="AF67" s="1179"/>
      <c r="AG67" s="431"/>
      <c r="AH67" s="3973"/>
      <c r="AI67" s="8172"/>
      <c r="AJ67" s="8172"/>
      <c r="AK67" s="8172"/>
      <c r="AL67" s="8172"/>
      <c r="AM67" s="8172"/>
      <c r="AN67" s="8172"/>
      <c r="AO67" s="8172"/>
      <c r="AP67" s="8173"/>
      <c r="AQ67" s="431"/>
      <c r="AR67" s="431"/>
      <c r="AS67" s="431"/>
      <c r="AT67" s="431"/>
      <c r="AU67" s="1145"/>
    </row>
    <row r="68" spans="1:65" s="936" customFormat="1" ht="17.25" customHeight="1">
      <c r="A68" s="934"/>
      <c r="B68" s="2146"/>
      <c r="C68" s="2152" t="s">
        <v>1766</v>
      </c>
      <c r="D68" s="2147"/>
      <c r="E68" s="2146"/>
      <c r="F68" s="2146"/>
      <c r="G68" s="2146"/>
      <c r="H68" s="2146"/>
      <c r="I68" s="2146"/>
      <c r="J68" s="2146"/>
      <c r="K68" s="2146"/>
      <c r="L68" s="2146"/>
      <c r="M68" s="2146"/>
      <c r="N68" s="2146"/>
      <c r="O68" s="2146"/>
      <c r="P68" s="2146"/>
      <c r="Q68" s="2148" t="s">
        <v>1765</v>
      </c>
      <c r="R68" s="2149"/>
      <c r="S68" s="2349" t="b">
        <f>IF(AND(D66&lt;&gt;"",Q43&gt;=U46),TRUE,FALSE)</f>
        <v>0</v>
      </c>
      <c r="T68" s="2146"/>
      <c r="U68" s="2150"/>
      <c r="V68" s="2150" t="s">
        <v>1764</v>
      </c>
      <c r="W68" s="4522" t="str">
        <f>"("&amp;TaxYear&amp;")"</f>
        <v>(2021)</v>
      </c>
      <c r="X68" s="935"/>
      <c r="Y68" s="1185"/>
      <c r="Z68" s="431"/>
      <c r="AA68" s="431"/>
      <c r="AB68" s="1179"/>
      <c r="AC68" s="1179"/>
      <c r="AD68" s="1179"/>
      <c r="AE68" s="1179"/>
      <c r="AF68" s="1179"/>
      <c r="AG68" s="431"/>
      <c r="AH68" s="8053" t="s">
        <v>1805</v>
      </c>
      <c r="AI68" s="8054"/>
      <c r="AJ68" s="8054"/>
      <c r="AK68" s="8054"/>
      <c r="AL68" s="8054"/>
      <c r="AM68" s="8054"/>
      <c r="AN68" s="8054"/>
      <c r="AO68" s="8054"/>
      <c r="AP68" s="8055"/>
      <c r="AQ68" s="431"/>
      <c r="AR68" s="431"/>
      <c r="AS68" s="431"/>
      <c r="AT68" s="431"/>
      <c r="AU68" s="1145"/>
      <c r="AV68" s="866"/>
      <c r="AW68"/>
      <c r="AX68"/>
      <c r="AY68"/>
      <c r="AZ68"/>
      <c r="BA68"/>
      <c r="BB68"/>
      <c r="BC68" s="2595"/>
      <c r="BD68" s="2595"/>
      <c r="BE68" s="2595"/>
      <c r="BF68" s="2595"/>
      <c r="BG68" s="2595"/>
      <c r="BH68" s="2595"/>
      <c r="BI68" s="2595"/>
      <c r="BJ68" s="2595"/>
      <c r="BK68" s="2595"/>
      <c r="BL68" s="2595"/>
      <c r="BM68" s="2595"/>
    </row>
    <row r="69" spans="1:65" ht="20.25" customHeight="1" thickBot="1">
      <c r="A69" s="588"/>
      <c r="B69" s="44"/>
      <c r="C69" s="1545" t="str">
        <f>"Form 2210 ("&amp;TaxYear&amp;")"</f>
        <v>Form 2210 (2021)</v>
      </c>
      <c r="D69" s="340"/>
      <c r="E69" s="36"/>
      <c r="F69" s="36"/>
      <c r="G69" s="36"/>
      <c r="H69" s="36"/>
      <c r="I69" s="36"/>
      <c r="J69" s="36"/>
      <c r="K69" s="36"/>
      <c r="L69" s="36"/>
      <c r="M69" s="36"/>
      <c r="N69" s="36"/>
      <c r="O69" s="36"/>
      <c r="P69" s="36"/>
      <c r="Q69" s="28"/>
      <c r="R69" s="435"/>
      <c r="S69" s="36"/>
      <c r="T69" s="36"/>
      <c r="U69" s="36"/>
      <c r="V69" s="2153"/>
      <c r="W69" s="2162" t="s">
        <v>1768</v>
      </c>
      <c r="X69" s="78"/>
      <c r="Y69" s="1185"/>
      <c r="Z69" s="2262" t="s">
        <v>1846</v>
      </c>
      <c r="AA69" s="431"/>
      <c r="AB69" s="1179"/>
      <c r="AC69" s="1179"/>
      <c r="AD69" s="1179"/>
      <c r="AE69" s="1179"/>
      <c r="AF69" s="1179"/>
      <c r="AG69" s="431"/>
      <c r="AH69" s="8056"/>
      <c r="AI69" s="8057"/>
      <c r="AJ69" s="8057"/>
      <c r="AK69" s="8057"/>
      <c r="AL69" s="8057"/>
      <c r="AM69" s="8057"/>
      <c r="AN69" s="8057"/>
      <c r="AO69" s="8057"/>
      <c r="AP69" s="8058"/>
      <c r="AQ69" s="431"/>
      <c r="AR69" s="431"/>
      <c r="AS69" s="431"/>
      <c r="AT69" s="431"/>
      <c r="AU69" s="1145"/>
    </row>
    <row r="70" spans="1:65" ht="16.5" customHeight="1" thickBot="1">
      <c r="A70" s="588"/>
      <c r="B70" s="2143" t="s">
        <v>1769</v>
      </c>
      <c r="C70" s="2138"/>
      <c r="D70" s="2138"/>
      <c r="E70" s="3867" t="s">
        <v>5514</v>
      </c>
      <c r="F70" s="2139"/>
      <c r="G70" s="2139"/>
      <c r="H70" s="3866"/>
      <c r="I70" s="3866" t="s">
        <v>4666</v>
      </c>
      <c r="J70" s="2139"/>
      <c r="K70" s="2139"/>
      <c r="L70" s="2139"/>
      <c r="M70" s="2139"/>
      <c r="N70" s="2139"/>
      <c r="O70" s="2139"/>
      <c r="P70" s="2139"/>
      <c r="Q70" s="2139"/>
      <c r="R70" s="2139"/>
      <c r="S70" s="2139"/>
      <c r="T70" s="2139"/>
      <c r="U70" s="2139"/>
      <c r="V70" s="2139"/>
      <c r="W70" s="2139"/>
      <c r="X70" s="655"/>
      <c r="Y70" s="2187"/>
      <c r="Z70" s="2401" t="s">
        <v>1972</v>
      </c>
      <c r="AA70" s="431"/>
      <c r="AB70" s="1179"/>
      <c r="AC70" s="1179"/>
      <c r="AD70" s="1179"/>
      <c r="AE70" s="1179"/>
      <c r="AF70" s="1179"/>
      <c r="AG70" s="431"/>
      <c r="AH70" s="8059"/>
      <c r="AI70" s="8060"/>
      <c r="AJ70" s="8060"/>
      <c r="AK70" s="8060"/>
      <c r="AL70" s="8060"/>
      <c r="AM70" s="8060"/>
      <c r="AN70" s="8060"/>
      <c r="AO70" s="8060"/>
      <c r="AP70" s="8061"/>
      <c r="AQ70" s="431"/>
      <c r="AR70" s="431"/>
      <c r="AS70" s="431"/>
      <c r="AT70" s="431"/>
      <c r="AU70" s="1145"/>
    </row>
    <row r="71" spans="1:65" ht="15.75" customHeight="1">
      <c r="A71" s="588"/>
      <c r="B71" s="8263" t="s">
        <v>5513</v>
      </c>
      <c r="C71" s="8264"/>
      <c r="D71" s="8264"/>
      <c r="E71" s="8264"/>
      <c r="F71" s="8264"/>
      <c r="G71" s="8264"/>
      <c r="H71" s="8264"/>
      <c r="I71" s="8264"/>
      <c r="J71" s="8264"/>
      <c r="K71" s="8264"/>
      <c r="L71" s="8264"/>
      <c r="M71" s="8264"/>
      <c r="N71" s="8265"/>
      <c r="O71" s="2163"/>
      <c r="P71" s="8035" t="s">
        <v>1771</v>
      </c>
      <c r="Q71" s="8036"/>
      <c r="R71" s="8036"/>
      <c r="S71" s="8036"/>
      <c r="T71" s="8036"/>
      <c r="U71" s="8036"/>
      <c r="V71" s="8036"/>
      <c r="W71" s="8036"/>
      <c r="X71" s="78"/>
      <c r="Y71" s="1185"/>
      <c r="Z71" s="2401" t="s">
        <v>1971</v>
      </c>
      <c r="AA71" s="431"/>
      <c r="AB71" s="1179"/>
      <c r="AC71" s="1179"/>
      <c r="AD71" s="1179"/>
      <c r="AE71" s="1179"/>
      <c r="AF71" s="1179"/>
      <c r="AG71" s="431"/>
      <c r="AH71" s="431"/>
      <c r="AI71" s="431"/>
      <c r="AJ71" s="431"/>
      <c r="AK71" s="431"/>
      <c r="AL71" s="431"/>
      <c r="AM71" s="431"/>
      <c r="AN71" s="431"/>
      <c r="AO71" s="431"/>
      <c r="AP71" s="431"/>
      <c r="AQ71" s="431"/>
      <c r="AR71" s="431"/>
      <c r="AS71" s="431"/>
      <c r="AT71" s="431"/>
      <c r="AU71" s="1145"/>
    </row>
    <row r="72" spans="1:65" ht="17.100000000000001" customHeight="1">
      <c r="A72" s="588"/>
      <c r="B72" s="8266"/>
      <c r="C72" s="8266"/>
      <c r="D72" s="8266"/>
      <c r="E72" s="8266"/>
      <c r="F72" s="8266"/>
      <c r="G72" s="8266"/>
      <c r="H72" s="8266"/>
      <c r="I72" s="8266"/>
      <c r="J72" s="8266"/>
      <c r="K72" s="8266"/>
      <c r="L72" s="8266"/>
      <c r="M72" s="8266"/>
      <c r="N72" s="8267"/>
      <c r="O72" s="432"/>
      <c r="P72" s="8033" t="s">
        <v>906</v>
      </c>
      <c r="Q72" s="8034"/>
      <c r="R72" s="8033" t="s">
        <v>908</v>
      </c>
      <c r="S72" s="8034"/>
      <c r="T72" s="8033" t="s">
        <v>1816</v>
      </c>
      <c r="U72" s="8219"/>
      <c r="V72" s="8033" t="s">
        <v>763</v>
      </c>
      <c r="W72" s="8216"/>
      <c r="X72" s="78"/>
      <c r="Y72" s="1185"/>
      <c r="Z72" s="431"/>
      <c r="AA72" s="431"/>
      <c r="AB72" s="1179"/>
      <c r="AC72" s="1179"/>
      <c r="AD72" s="1179"/>
      <c r="AE72" s="1179"/>
      <c r="AF72" s="1179"/>
      <c r="AG72" s="431"/>
      <c r="AH72" s="431"/>
      <c r="AI72" s="431"/>
      <c r="AJ72" s="431"/>
      <c r="AK72" s="431"/>
      <c r="AL72" s="431"/>
      <c r="AM72" s="431"/>
      <c r="AN72" s="431"/>
      <c r="AO72" s="431"/>
      <c r="AP72" s="431"/>
      <c r="AQ72" s="431"/>
      <c r="AR72" s="431"/>
      <c r="AS72" s="431"/>
      <c r="AT72" s="431"/>
      <c r="AU72" s="1145"/>
    </row>
    <row r="73" spans="1:65" ht="17.100000000000001" customHeight="1">
      <c r="A73" s="588"/>
      <c r="B73" s="8268"/>
      <c r="C73" s="8268"/>
      <c r="D73" s="8268"/>
      <c r="E73" s="8268"/>
      <c r="F73" s="8268"/>
      <c r="G73" s="8268"/>
      <c r="H73" s="8268"/>
      <c r="I73" s="8268"/>
      <c r="J73" s="8268"/>
      <c r="K73" s="8268"/>
      <c r="L73" s="8268"/>
      <c r="M73" s="8268"/>
      <c r="N73" s="8269"/>
      <c r="O73" s="2164"/>
      <c r="P73" s="8222">
        <f>DATEVALUE("15-Apr-"&amp;TaxYear)</f>
        <v>44301</v>
      </c>
      <c r="Q73" s="8223"/>
      <c r="R73" s="8222">
        <f>DATEVALUE("15-Jun-"&amp;TaxYear)</f>
        <v>44362</v>
      </c>
      <c r="S73" s="8223"/>
      <c r="T73" s="8222">
        <f>DATEVALUE("15-Sep-"&amp;TaxYear)</f>
        <v>44454</v>
      </c>
      <c r="U73" s="8223"/>
      <c r="V73" s="8222">
        <f>DATEVALUE("15-Jan-"&amp;TaxYear+1)</f>
        <v>44576</v>
      </c>
      <c r="W73" s="8226"/>
      <c r="X73" s="78"/>
      <c r="Y73" s="1185"/>
      <c r="Z73" s="431"/>
      <c r="AA73" s="431"/>
      <c r="AB73" s="1179"/>
      <c r="AC73" s="1179"/>
      <c r="AD73" s="1179"/>
      <c r="AE73" s="1179"/>
      <c r="AF73" s="1179"/>
      <c r="AG73" s="431"/>
      <c r="AH73" s="431"/>
      <c r="AI73" s="431"/>
      <c r="AJ73" s="431"/>
      <c r="AK73" s="431"/>
      <c r="AL73" s="431"/>
      <c r="AM73" s="431"/>
      <c r="AN73" s="431"/>
      <c r="AO73" s="431"/>
      <c r="AP73" s="431"/>
      <c r="AQ73" s="431"/>
      <c r="AR73" s="431"/>
      <c r="AS73" s="431"/>
      <c r="AT73" s="431"/>
      <c r="AU73" s="1145"/>
    </row>
    <row r="74" spans="1:65" ht="14.25" customHeight="1">
      <c r="A74" s="588"/>
      <c r="B74" s="23"/>
      <c r="C74" s="48">
        <v>10</v>
      </c>
      <c r="D74" s="1540" t="s">
        <v>3090</v>
      </c>
      <c r="E74" s="1179"/>
      <c r="F74" s="1179"/>
      <c r="G74" s="1179"/>
      <c r="H74" s="1179"/>
      <c r="I74" s="1179"/>
      <c r="J74" s="1179"/>
      <c r="K74" s="1179"/>
      <c r="L74" s="1179"/>
      <c r="M74" s="1179"/>
      <c r="N74" s="1179"/>
      <c r="O74" s="53"/>
      <c r="P74" s="8037"/>
      <c r="Q74" s="8038"/>
      <c r="R74" s="8037"/>
      <c r="S74" s="8038"/>
      <c r="T74" s="8037"/>
      <c r="U74" s="8038"/>
      <c r="V74" s="8037"/>
      <c r="W74" s="8227"/>
      <c r="X74" s="78"/>
      <c r="Y74" s="1185"/>
      <c r="Z74" s="431"/>
      <c r="AA74" s="431"/>
      <c r="AB74" s="1179"/>
      <c r="AC74" s="1179"/>
      <c r="AD74" s="1179"/>
      <c r="AE74" s="1179"/>
      <c r="AF74" s="1179"/>
      <c r="AG74" s="431"/>
      <c r="AH74" s="431"/>
      <c r="AI74" s="431"/>
      <c r="AJ74" s="431"/>
      <c r="AK74" s="4697" t="s">
        <v>1842</v>
      </c>
      <c r="AL74" s="431"/>
      <c r="AN74" s="431"/>
      <c r="AP74" s="431"/>
      <c r="AR74" s="431"/>
      <c r="AS74" s="431"/>
      <c r="AT74" s="431"/>
      <c r="AU74" s="1145"/>
    </row>
    <row r="75" spans="1:65" ht="12.75" customHeight="1">
      <c r="A75" s="588"/>
      <c r="B75" s="23"/>
      <c r="C75" s="48"/>
      <c r="D75" s="1540" t="s">
        <v>5515</v>
      </c>
      <c r="E75" s="1179"/>
      <c r="F75" s="1179"/>
      <c r="G75" s="1179"/>
      <c r="H75" s="1179"/>
      <c r="I75" s="1179"/>
      <c r="J75" s="1179"/>
      <c r="K75" s="1179"/>
      <c r="L75" s="1179"/>
      <c r="M75" s="1179"/>
      <c r="N75" s="1179"/>
      <c r="O75" s="429"/>
      <c r="P75" s="5064"/>
      <c r="Q75" s="5066"/>
      <c r="R75" s="5064"/>
      <c r="S75" s="5066"/>
      <c r="T75" s="5064"/>
      <c r="U75" s="5066"/>
      <c r="V75" s="5064"/>
      <c r="W75" s="5067"/>
      <c r="X75" s="78"/>
      <c r="Y75" s="1185"/>
      <c r="Z75" s="431"/>
      <c r="AA75" s="431"/>
      <c r="AB75" s="1179"/>
      <c r="AC75" s="1179"/>
      <c r="AD75" s="1179"/>
      <c r="AE75" s="1179"/>
      <c r="AF75" s="1179"/>
      <c r="AG75" s="431"/>
      <c r="AH75" s="431"/>
      <c r="AI75" s="431"/>
      <c r="AJ75" s="431"/>
      <c r="AK75" s="2177" t="str">
        <f>P$72</f>
        <v>(a)</v>
      </c>
      <c r="AL75" s="431"/>
      <c r="AM75" s="2177" t="str">
        <f>R$72</f>
        <v>(b)</v>
      </c>
      <c r="AN75" s="431"/>
      <c r="AO75" s="2177" t="str">
        <f>T$72</f>
        <v xml:space="preserve">(c) </v>
      </c>
      <c r="AP75" s="431"/>
      <c r="AQ75" s="2177" t="str">
        <f>V$72</f>
        <v>(d)</v>
      </c>
      <c r="AR75" s="431"/>
      <c r="AS75" s="431"/>
      <c r="AT75" s="431"/>
      <c r="AU75" s="1145"/>
    </row>
    <row r="76" spans="1:65" ht="16.5" customHeight="1" thickBot="1">
      <c r="A76" s="588"/>
      <c r="B76" s="23"/>
      <c r="C76" s="48"/>
      <c r="D76" s="1540" t="str">
        <f>"Otherwise, enter "&amp;TEXT(Q76,"0%")&amp;" ("&amp;TEXT(Q76,"0.00")&amp;") of line 9, Form 2210, in"</f>
        <v>Otherwise, enter 25% (0.25) of line 9, Form 2210, in</v>
      </c>
      <c r="E76" s="1179"/>
      <c r="F76" s="1179"/>
      <c r="G76" s="1179"/>
      <c r="H76" s="1179"/>
      <c r="I76" s="1179"/>
      <c r="J76" s="1179"/>
      <c r="K76" s="1179"/>
      <c r="L76" s="1179"/>
      <c r="M76" s="1179"/>
      <c r="N76" s="1179"/>
      <c r="O76" s="429"/>
      <c r="P76" s="5064"/>
      <c r="Q76" s="5778">
        <v>0.25</v>
      </c>
      <c r="R76" s="5064"/>
      <c r="S76" s="5066"/>
      <c r="T76" s="5064"/>
      <c r="U76" s="5066"/>
      <c r="V76" s="8220"/>
      <c r="W76" s="8221"/>
      <c r="X76" s="78"/>
      <c r="Y76" s="1185"/>
      <c r="Z76" s="431"/>
      <c r="AA76" s="431"/>
      <c r="AB76" s="1179"/>
      <c r="AC76" s="1179"/>
      <c r="AD76" s="1179"/>
      <c r="AE76" s="1179"/>
      <c r="AF76" s="1179"/>
      <c r="AG76" s="431"/>
      <c r="AH76" s="431"/>
      <c r="AI76" s="431"/>
      <c r="AJ76" s="431"/>
      <c r="AK76" s="2263" t="str">
        <f>"4/15/"&amp;TaxYear-2000</f>
        <v>4/15/21</v>
      </c>
      <c r="AL76" s="431"/>
      <c r="AM76" s="2263" t="str">
        <f>"6/15/"&amp;TaxYear-2000</f>
        <v>6/15/21</v>
      </c>
      <c r="AN76" s="431"/>
      <c r="AO76" s="2265" t="str">
        <f>"9/15/"&amp;TaxYear-2000</f>
        <v>9/15/21</v>
      </c>
      <c r="AP76" s="431"/>
      <c r="AQ76" s="2263" t="str">
        <f>"1/15/"&amp;TaxYear+1-2000</f>
        <v>1/15/22</v>
      </c>
      <c r="AR76" s="431"/>
      <c r="AS76" s="431"/>
      <c r="AT76" s="431"/>
      <c r="AU76" s="1145"/>
    </row>
    <row r="77" spans="1:65" ht="14.25" customHeight="1" thickBot="1">
      <c r="A77" s="588"/>
      <c r="B77" s="23"/>
      <c r="C77" s="23"/>
      <c r="D77" s="1540" t="s">
        <v>5516</v>
      </c>
      <c r="E77" s="1179"/>
      <c r="F77" s="1179"/>
      <c r="G77" s="1179"/>
      <c r="H77" s="1179"/>
      <c r="I77" s="1179"/>
      <c r="J77" s="1179"/>
      <c r="K77" s="1179"/>
      <c r="L77" s="1179"/>
      <c r="M77" s="1179"/>
      <c r="N77" s="2945"/>
      <c r="O77" s="2165">
        <v>10</v>
      </c>
      <c r="P77" s="8000" t="str">
        <f>IF(AK77&lt;&gt;"",ROUND(AK77,0),IF(OR($U$47="",$W$67),"",IF($B$62,P157,ROUND($Q$76*$U$47,0))))</f>
        <v/>
      </c>
      <c r="Q77" s="8001"/>
      <c r="R77" s="8000" t="str">
        <f>IF(AM77&lt;&gt;"",ROUND(AM77,0),IF(OR($U$47="",$W$67),"",IF($B$62,R157,ROUND($Q$76*$U$47,0))))</f>
        <v/>
      </c>
      <c r="S77" s="8001"/>
      <c r="T77" s="8000" t="str">
        <f>IF(AO77&lt;&gt;"",ROUND(AO77,0),IF(OR($U$47="",$W$67),"",IF($B$62,T157,ROUND($Q$76*$U$47,0))))</f>
        <v/>
      </c>
      <c r="U77" s="8001"/>
      <c r="V77" s="8000" t="str">
        <f>IF(AQ77&lt;&gt;"",ROUND(AQ77,0),IF(OR($U$47="",$W$67),"",IF($B$62,V157,ROUND($Q$76*$U$47,0))))</f>
        <v/>
      </c>
      <c r="W77" s="8001"/>
      <c r="X77" s="78"/>
      <c r="Y77" s="1185"/>
      <c r="Z77" s="2401" t="s">
        <v>4679</v>
      </c>
      <c r="AA77" s="431"/>
      <c r="AB77" s="1179"/>
      <c r="AC77" s="1179"/>
      <c r="AD77" s="1179"/>
      <c r="AE77" s="1179"/>
      <c r="AF77" s="1179"/>
      <c r="AG77" s="431"/>
      <c r="AH77" s="431"/>
      <c r="AI77" s="431"/>
      <c r="AJ77" s="5779" t="s">
        <v>105</v>
      </c>
      <c r="AK77" s="2264"/>
      <c r="AL77" s="431"/>
      <c r="AM77" s="2264"/>
      <c r="AN77" s="431"/>
      <c r="AO77" s="2264"/>
      <c r="AP77" s="431"/>
      <c r="AQ77" s="2264"/>
      <c r="AR77" s="431"/>
      <c r="AS77" s="431"/>
      <c r="AT77" s="431"/>
      <c r="AU77" s="1145"/>
    </row>
    <row r="78" spans="1:65" ht="15">
      <c r="A78" s="588"/>
      <c r="B78" s="23"/>
      <c r="C78" s="48">
        <v>11</v>
      </c>
      <c r="D78" s="1540" t="s">
        <v>1772</v>
      </c>
      <c r="E78" s="1179"/>
      <c r="F78" s="1179"/>
      <c r="G78" s="1179"/>
      <c r="H78" s="1179"/>
      <c r="I78" s="1179"/>
      <c r="J78" s="1179"/>
      <c r="K78" s="1179"/>
      <c r="L78" s="8260" t="b">
        <f>AND($W$51,AK83="",AM83="",AO83="",AQ83="",S241="")</f>
        <v>0</v>
      </c>
      <c r="M78" s="8261"/>
      <c r="N78" s="8262"/>
      <c r="O78" s="53"/>
      <c r="P78" s="387"/>
      <c r="Q78" s="427"/>
      <c r="R78" s="387"/>
      <c r="S78" s="2158"/>
      <c r="T78" s="994"/>
      <c r="U78" s="2158"/>
      <c r="V78" s="2157"/>
      <c r="W78" s="994"/>
      <c r="X78" s="78"/>
      <c r="Y78" s="1185"/>
      <c r="Z78" s="431"/>
      <c r="AA78" s="431"/>
      <c r="AB78" s="1179"/>
      <c r="AC78" s="1179"/>
      <c r="AD78" s="1179"/>
      <c r="AE78" s="1179"/>
      <c r="AF78" s="1179"/>
      <c r="AG78" s="431"/>
      <c r="AH78" s="431"/>
      <c r="AI78" s="431"/>
      <c r="AJ78" s="431"/>
      <c r="AK78" s="431"/>
      <c r="AL78" s="431"/>
      <c r="AM78" s="431"/>
      <c r="AN78" s="431"/>
      <c r="AO78" s="431"/>
      <c r="AP78" s="431"/>
      <c r="AQ78" s="431"/>
      <c r="AR78" s="431"/>
      <c r="AS78" s="431"/>
      <c r="AT78" s="431"/>
      <c r="AU78" s="1145"/>
    </row>
    <row r="79" spans="1:65" ht="17.45" customHeight="1">
      <c r="A79" s="588"/>
      <c r="B79" s="23"/>
      <c r="C79" s="48"/>
      <c r="D79" s="1540" t="s">
        <v>3091</v>
      </c>
      <c r="E79" s="1179"/>
      <c r="F79" s="1179"/>
      <c r="G79" s="1179"/>
      <c r="H79" s="1179"/>
      <c r="I79" s="1179"/>
      <c r="J79" s="1179"/>
      <c r="K79" s="1179"/>
      <c r="L79" s="1179"/>
      <c r="M79" s="1179"/>
      <c r="N79" s="1179"/>
      <c r="O79" s="429"/>
      <c r="P79" s="2350"/>
      <c r="Q79" s="427"/>
      <c r="R79" s="387"/>
      <c r="S79" s="2158"/>
      <c r="T79" s="994"/>
      <c r="U79" s="2158"/>
      <c r="V79" s="2157"/>
      <c r="W79" s="994"/>
      <c r="X79" s="78"/>
      <c r="Y79" s="1185"/>
      <c r="Z79" s="2262" t="s">
        <v>1846</v>
      </c>
      <c r="AA79" s="431"/>
      <c r="AB79" s="1179"/>
      <c r="AC79" s="1179"/>
      <c r="AD79" s="1179"/>
      <c r="AE79" s="1179"/>
      <c r="AF79" s="1179"/>
      <c r="AG79" s="431"/>
      <c r="AH79" s="431"/>
      <c r="AI79" s="431"/>
      <c r="AJ79" s="431"/>
      <c r="AK79" s="431"/>
      <c r="AL79" s="431"/>
      <c r="AM79" s="431"/>
      <c r="AN79" s="431"/>
      <c r="AO79" s="431"/>
      <c r="AP79" s="431"/>
      <c r="AQ79" s="431"/>
      <c r="AR79" s="431"/>
      <c r="AS79" s="431"/>
      <c r="AT79" s="431"/>
      <c r="AU79" s="1145"/>
    </row>
    <row r="80" spans="1:65" ht="17.45" customHeight="1">
      <c r="A80" s="588"/>
      <c r="B80" s="23"/>
      <c r="C80" s="48"/>
      <c r="D80" s="1540" t="s">
        <v>5517</v>
      </c>
      <c r="E80" s="1179"/>
      <c r="F80" s="1179"/>
      <c r="G80" s="1179"/>
      <c r="H80" s="1179"/>
      <c r="I80" s="1179"/>
      <c r="J80" s="1179"/>
      <c r="K80" s="1179"/>
      <c r="L80" s="3983"/>
      <c r="M80" s="3984"/>
      <c r="N80" s="3985"/>
      <c r="O80" s="429"/>
      <c r="P80" s="8039" t="b">
        <f>AND(SUM(P83,T83,V83)&gt;0,P83&gt;=P77,R83&gt;=R77,T83&gt;=T77,V83&gt;=V77)</f>
        <v>0</v>
      </c>
      <c r="Q80" s="8040"/>
      <c r="R80" s="387"/>
      <c r="S80" s="2158"/>
      <c r="T80" s="994"/>
      <c r="U80" s="2158"/>
      <c r="V80" s="2157"/>
      <c r="W80" s="994"/>
      <c r="X80" s="78"/>
      <c r="Y80" s="1185"/>
      <c r="Z80" s="2401" t="s">
        <v>1972</v>
      </c>
      <c r="AA80" s="431"/>
      <c r="AB80" s="1179"/>
      <c r="AC80" s="1179"/>
      <c r="AD80" s="1179"/>
      <c r="AE80" s="1179"/>
      <c r="AF80" s="1179"/>
      <c r="AG80" s="431"/>
      <c r="AH80" s="431"/>
      <c r="AI80" s="431"/>
      <c r="AJ80" s="431"/>
      <c r="AK80" s="4697" t="s">
        <v>1842</v>
      </c>
      <c r="AL80" s="431"/>
      <c r="AN80" s="431"/>
      <c r="AP80" s="431"/>
      <c r="AR80" s="431"/>
      <c r="AS80" s="431"/>
      <c r="AT80" s="431"/>
      <c r="AU80" s="1145"/>
    </row>
    <row r="81" spans="1:47" ht="15" customHeight="1">
      <c r="A81" s="645"/>
      <c r="B81" s="100"/>
      <c r="C81" s="100"/>
      <c r="D81" s="3986" t="s">
        <v>5518</v>
      </c>
      <c r="E81" s="1830"/>
      <c r="F81" s="1830"/>
      <c r="G81" s="1830"/>
      <c r="H81" s="1830"/>
      <c r="I81" s="2946"/>
      <c r="J81" s="1692"/>
      <c r="K81" s="1830"/>
      <c r="L81" s="2187"/>
      <c r="M81" s="2188"/>
      <c r="N81" s="2189"/>
      <c r="O81" s="2166"/>
      <c r="P81" s="2414"/>
      <c r="Q81" s="2160"/>
      <c r="R81" s="2159"/>
      <c r="S81" s="2158"/>
      <c r="T81" s="994"/>
      <c r="U81" s="2158"/>
      <c r="V81" s="2157"/>
      <c r="W81" s="994"/>
      <c r="X81" s="657"/>
      <c r="Y81" s="2254"/>
      <c r="Z81" s="2401" t="s">
        <v>4679</v>
      </c>
      <c r="AA81" s="431"/>
      <c r="AB81" s="1179"/>
      <c r="AC81" s="1179"/>
      <c r="AD81" s="1179"/>
      <c r="AE81" s="1179"/>
      <c r="AF81" s="1179"/>
      <c r="AG81" s="431"/>
      <c r="AH81" s="431"/>
      <c r="AI81" s="431"/>
      <c r="AJ81" s="431"/>
      <c r="AK81" s="2177" t="str">
        <f>P$72</f>
        <v>(a)</v>
      </c>
      <c r="AL81" s="431"/>
      <c r="AM81" s="2177" t="str">
        <f>R$72</f>
        <v>(b)</v>
      </c>
      <c r="AN81" s="431"/>
      <c r="AO81" s="2177" t="str">
        <f>T$72</f>
        <v xml:space="preserve">(c) </v>
      </c>
      <c r="AP81" s="431"/>
      <c r="AQ81" s="2177" t="str">
        <f>V$72</f>
        <v>(d)</v>
      </c>
      <c r="AR81" s="431"/>
      <c r="AS81" s="431"/>
      <c r="AT81" s="431"/>
      <c r="AU81" s="1145"/>
    </row>
    <row r="82" spans="1:47" ht="16.5" thickBot="1">
      <c r="A82" s="588"/>
      <c r="B82" s="23"/>
      <c r="C82" s="48"/>
      <c r="D82" s="3986" t="s">
        <v>4669</v>
      </c>
      <c r="E82" s="1830"/>
      <c r="F82" s="1830"/>
      <c r="G82" s="2786"/>
      <c r="H82" s="2786"/>
      <c r="I82" s="1830"/>
      <c r="J82" s="1830"/>
      <c r="K82" s="3988"/>
      <c r="L82" s="3987"/>
      <c r="M82" s="1813" t="s">
        <v>4668</v>
      </c>
      <c r="N82" s="3987"/>
      <c r="O82" s="429"/>
      <c r="P82" s="387"/>
      <c r="Q82" s="427"/>
      <c r="R82" s="2161"/>
      <c r="S82" s="2190" t="b">
        <f>IF(AND(P83="",R83&lt;&gt;""),TRUE,FALSE)</f>
        <v>0</v>
      </c>
      <c r="T82" s="2192"/>
      <c r="U82" s="2190" t="b">
        <f>IF(AND(R83="",T83&lt;&gt;""),TRUE,FALSE)</f>
        <v>0</v>
      </c>
      <c r="V82" s="2191"/>
      <c r="W82" s="2244" t="b">
        <f>IF(AND(T83="",V83&lt;&gt;""),TRUE,FALSE)</f>
        <v>0</v>
      </c>
      <c r="X82" s="78"/>
      <c r="Y82" s="1185"/>
      <c r="Z82" s="431"/>
      <c r="AA82" s="431"/>
      <c r="AB82" s="1179"/>
      <c r="AC82" s="1179"/>
      <c r="AD82" s="1179"/>
      <c r="AE82" s="1179"/>
      <c r="AF82" s="1179"/>
      <c r="AG82" s="431"/>
      <c r="AH82" s="431"/>
      <c r="AI82" s="431"/>
      <c r="AJ82" s="431"/>
      <c r="AK82" s="2263" t="str">
        <f>"4/15/"&amp;TaxYear-2000</f>
        <v>4/15/21</v>
      </c>
      <c r="AL82" s="431"/>
      <c r="AM82" s="2263" t="str">
        <f>"6/15/"&amp;TaxYear-2000</f>
        <v>6/15/21</v>
      </c>
      <c r="AN82" s="431"/>
      <c r="AO82" s="2265" t="str">
        <f>"9/15/"&amp;TaxYear-2000</f>
        <v>9/15/21</v>
      </c>
      <c r="AP82" s="431"/>
      <c r="AQ82" s="2263" t="str">
        <f>"1/15/"&amp;TaxYear+1-2000</f>
        <v>1/15/22</v>
      </c>
      <c r="AR82" s="431"/>
      <c r="AS82" s="431"/>
      <c r="AT82" s="431"/>
      <c r="AU82" s="1145"/>
    </row>
    <row r="83" spans="1:47" ht="16.5" thickBot="1">
      <c r="A83" s="588"/>
      <c r="B83" s="23"/>
      <c r="C83" s="48"/>
      <c r="D83" s="3988" t="s">
        <v>4667</v>
      </c>
      <c r="E83" s="1179"/>
      <c r="F83" s="1179"/>
      <c r="G83" s="1179"/>
      <c r="H83" s="1179"/>
      <c r="I83" s="1179"/>
      <c r="J83" s="1179"/>
      <c r="K83" s="1179"/>
      <c r="L83" s="1179"/>
      <c r="M83" s="1179"/>
      <c r="N83" s="2945" t="s">
        <v>1784</v>
      </c>
      <c r="O83" s="2172">
        <v>11</v>
      </c>
      <c r="P83" s="8224" t="str">
        <f>IF(AK83&lt;&gt;"",ROUND(AK83,0),IF(OR($S$241="",$W$67),"",IF(Q241&gt;P73,0,LOOKUP(LOOKUP(P$73,$Q$241:$Q$295,$O$241:$O$295),$O241:$O295,$U$241:$U$295))))</f>
        <v/>
      </c>
      <c r="Q83" s="8228"/>
      <c r="R83" s="8224" t="str">
        <f>IF(AM83&lt;&gt;"",ROUND(AM83,0),IF(OR($S$241="",$W$67),"",IF(Q241&gt;R73,0,LOOKUP(LOOKUP(R$73,$Q$241:$Q$295,$O$241:$O$295),$O241:$O295,$U$241:$U$295)-P$83)))</f>
        <v/>
      </c>
      <c r="S83" s="8228"/>
      <c r="T83" s="8224" t="str">
        <f>IF(AO83&lt;&gt;"",ROUND(AO83,0),IF(OR($S$241="",$W$67),"",IF(Q241&gt;T73,0,LOOKUP(LOOKUP(T$73,$Q$241:$Q$295,$O$241:$O$295),$O241:$O295,$U$241:$U$295)-P$83-R$83)))</f>
        <v/>
      </c>
      <c r="U83" s="8228"/>
      <c r="V83" s="8224" t="str">
        <f>IF(AQ83&lt;&gt;"",ROUND(AQ83,0),IF(OR($S$241="",$W$67),"",IF(Q241&gt;V73,0,LOOKUP(LOOKUP(V$73,$Q$241:$Q$295,$O$241:$O$295),$O241:$O295,$U$241:$U$295)-T$83-R$83-P$83)))</f>
        <v/>
      </c>
      <c r="W83" s="8225"/>
      <c r="X83" s="78"/>
      <c r="Y83" s="1185"/>
      <c r="Z83" s="431"/>
      <c r="AA83" s="431"/>
      <c r="AB83" s="1179"/>
      <c r="AC83" s="1179"/>
      <c r="AD83" s="1179"/>
      <c r="AE83" s="1179"/>
      <c r="AF83" s="1179"/>
      <c r="AG83" s="431"/>
      <c r="AH83" s="431"/>
      <c r="AI83" s="431"/>
      <c r="AJ83" s="5779">
        <v>11</v>
      </c>
      <c r="AK83" s="2264"/>
      <c r="AL83" s="431"/>
      <c r="AM83" s="2264"/>
      <c r="AN83" s="431"/>
      <c r="AO83" s="2264"/>
      <c r="AP83" s="431"/>
      <c r="AQ83" s="2264"/>
      <c r="AR83" s="431"/>
      <c r="AS83" s="431"/>
      <c r="AT83" s="431"/>
      <c r="AU83" s="1145"/>
    </row>
    <row r="84" spans="1:47" ht="15.75" customHeight="1">
      <c r="A84" s="588"/>
      <c r="B84" s="7646"/>
      <c r="C84" s="7646"/>
      <c r="D84" s="5074"/>
      <c r="E84" s="1574"/>
      <c r="F84" s="1574"/>
      <c r="G84" s="1574"/>
      <c r="H84" s="1574"/>
      <c r="I84" s="1574"/>
      <c r="J84" s="1574"/>
      <c r="K84" s="1574"/>
      <c r="L84" s="1574"/>
      <c r="M84" s="1574"/>
      <c r="N84" s="1574"/>
      <c r="O84" s="5068"/>
      <c r="P84" s="5068"/>
      <c r="Q84" s="5068"/>
      <c r="R84" s="5068"/>
      <c r="S84" s="5069"/>
      <c r="T84" s="5069"/>
      <c r="U84" s="5069"/>
      <c r="V84" s="5069"/>
      <c r="W84" s="5069"/>
      <c r="X84" s="78"/>
      <c r="Y84" s="1185"/>
      <c r="Z84" s="431"/>
      <c r="AA84" s="431"/>
      <c r="AB84" s="1179"/>
      <c r="AC84" s="1179"/>
      <c r="AD84" s="1179"/>
      <c r="AE84" s="1179"/>
      <c r="AF84" s="1179"/>
      <c r="AG84" s="431"/>
      <c r="AH84" s="431"/>
      <c r="AI84" s="431"/>
      <c r="AJ84" s="431"/>
      <c r="AK84" s="431"/>
      <c r="AL84" s="431"/>
      <c r="AM84" s="431"/>
      <c r="AN84" s="431"/>
      <c r="AO84" s="431"/>
      <c r="AP84" s="431"/>
      <c r="AQ84" s="431"/>
      <c r="AR84" s="431"/>
      <c r="AS84" s="431"/>
      <c r="AT84" s="431"/>
      <c r="AU84" s="1145"/>
    </row>
    <row r="85" spans="1:47" ht="12.75" customHeight="1">
      <c r="A85" s="588"/>
      <c r="B85" s="434"/>
      <c r="C85" s="434"/>
      <c r="D85" s="5073" t="str">
        <f>IF($L$78,"Enter taxes paid amounts into table at Row "&amp;ROW(A241)&amp;" OR use override cells in columns AK through AQ.","Complete lines 12 through 18 of one column before going to line 12 of the next column.")</f>
        <v>Complete lines 12 through 18 of one column before going to line 12 of the next column.</v>
      </c>
      <c r="E85" s="1179"/>
      <c r="F85" s="1179"/>
      <c r="G85" s="1179"/>
      <c r="H85" s="1179"/>
      <c r="I85" s="1179"/>
      <c r="J85" s="1179"/>
      <c r="K85" s="1179"/>
      <c r="L85" s="1179"/>
      <c r="M85" s="1179"/>
      <c r="N85" s="1179"/>
      <c r="O85" s="3168"/>
      <c r="P85" s="3168"/>
      <c r="Q85" s="3168"/>
      <c r="R85" s="3168"/>
      <c r="S85" s="5072"/>
      <c r="T85" s="5072"/>
      <c r="U85" s="5072"/>
      <c r="V85" s="5072"/>
      <c r="W85" s="5072"/>
      <c r="X85" s="78"/>
      <c r="Y85" s="1185"/>
      <c r="Z85" s="431"/>
      <c r="AA85" s="431"/>
      <c r="AB85" s="1179"/>
      <c r="AC85" s="1179"/>
      <c r="AD85" s="1179"/>
      <c r="AE85" s="1179"/>
      <c r="AF85" s="1179"/>
      <c r="AG85" s="431"/>
      <c r="AH85" s="431"/>
      <c r="AI85" s="431"/>
      <c r="AJ85" s="431"/>
      <c r="AK85" s="431"/>
      <c r="AL85" s="431"/>
      <c r="AM85" s="431"/>
      <c r="AN85" s="431"/>
      <c r="AO85" s="431"/>
      <c r="AP85" s="431"/>
      <c r="AQ85" s="431"/>
      <c r="AR85" s="431"/>
      <c r="AS85" s="431"/>
      <c r="AT85" s="431"/>
      <c r="AU85" s="1145"/>
    </row>
    <row r="86" spans="1:47" ht="12" customHeight="1">
      <c r="A86" s="588"/>
      <c r="B86" s="23"/>
      <c r="C86" s="48"/>
      <c r="D86" s="5075"/>
      <c r="E86" s="5075"/>
      <c r="F86" s="5075"/>
      <c r="G86" s="5075"/>
      <c r="H86" s="5075"/>
      <c r="I86" s="5075"/>
      <c r="J86" s="5075"/>
      <c r="K86" s="5075"/>
      <c r="L86" s="5075"/>
      <c r="M86" s="5075"/>
      <c r="N86" s="5075"/>
      <c r="O86" s="5070"/>
      <c r="P86" s="3171"/>
      <c r="Q86" s="3171"/>
      <c r="R86" s="3171"/>
      <c r="S86" s="5071"/>
      <c r="T86" s="5071"/>
      <c r="U86" s="5071"/>
      <c r="V86" s="5071"/>
      <c r="W86" s="5071"/>
      <c r="X86" s="78"/>
      <c r="Y86" s="1185"/>
      <c r="Z86" s="431"/>
      <c r="AA86" s="431"/>
      <c r="AB86" s="1179"/>
      <c r="AC86" s="1179"/>
      <c r="AD86" s="1179"/>
      <c r="AE86" s="1179"/>
      <c r="AF86" s="1179"/>
      <c r="AG86" s="431"/>
      <c r="AH86" s="431"/>
      <c r="AI86" s="431"/>
      <c r="AJ86" s="431"/>
      <c r="AK86" s="431"/>
      <c r="AL86" s="431"/>
      <c r="AM86" s="431"/>
      <c r="AN86" s="431"/>
      <c r="AO86" s="431"/>
      <c r="AP86" s="431"/>
      <c r="AQ86" s="431"/>
      <c r="AR86" s="431"/>
      <c r="AS86" s="431"/>
      <c r="AT86" s="431"/>
      <c r="AU86" s="1145"/>
    </row>
    <row r="87" spans="1:47" ht="14.25">
      <c r="A87" s="588"/>
      <c r="B87" s="23"/>
      <c r="C87" s="48">
        <v>12</v>
      </c>
      <c r="D87" s="2686" t="s">
        <v>5519</v>
      </c>
      <c r="E87" s="1179"/>
      <c r="F87" s="1179"/>
      <c r="G87" s="1179"/>
      <c r="H87" s="1179"/>
      <c r="I87" s="1179"/>
      <c r="J87" s="1179"/>
      <c r="K87" s="1179"/>
      <c r="L87" s="1179"/>
      <c r="M87" s="1179"/>
      <c r="N87" s="1179"/>
      <c r="O87" s="429"/>
      <c r="P87" s="995"/>
      <c r="Q87" s="2167"/>
      <c r="R87" s="387"/>
      <c r="S87" s="2158"/>
      <c r="T87" s="994"/>
      <c r="U87" s="2158"/>
      <c r="V87" s="2157"/>
      <c r="W87" s="994"/>
      <c r="X87" s="78"/>
      <c r="Y87" s="1185"/>
      <c r="Z87" s="431"/>
      <c r="AA87" s="431"/>
      <c r="AB87" s="1179"/>
      <c r="AC87" s="1179"/>
      <c r="AD87" s="1179"/>
      <c r="AE87" s="1179"/>
      <c r="AF87" s="1179"/>
      <c r="AG87" s="431"/>
      <c r="AH87" s="431"/>
      <c r="AI87" s="431"/>
      <c r="AJ87" s="431"/>
      <c r="AK87" s="431"/>
      <c r="AL87" s="431"/>
      <c r="AM87" s="431"/>
      <c r="AN87" s="431"/>
      <c r="AO87" s="431"/>
      <c r="AP87" s="431"/>
      <c r="AQ87" s="431"/>
      <c r="AR87" s="431"/>
      <c r="AS87" s="431"/>
      <c r="AT87" s="431"/>
      <c r="AU87" s="1145"/>
    </row>
    <row r="88" spans="1:47" ht="16.5" customHeight="1">
      <c r="A88" s="588"/>
      <c r="B88" s="23"/>
      <c r="C88" s="48"/>
      <c r="D88" s="2686" t="s">
        <v>1773</v>
      </c>
      <c r="E88" s="1179"/>
      <c r="F88" s="1179"/>
      <c r="G88" s="1179"/>
      <c r="H88" s="1179"/>
      <c r="I88" s="1179"/>
      <c r="J88" s="1179"/>
      <c r="K88" s="1179"/>
      <c r="L88" s="1179"/>
      <c r="M88" s="1179"/>
      <c r="N88" s="2945" t="s">
        <v>567</v>
      </c>
      <c r="O88" s="2165">
        <v>12</v>
      </c>
      <c r="P88" s="2168"/>
      <c r="Q88" s="2169"/>
      <c r="R88" s="8000" t="str">
        <f>P101</f>
        <v/>
      </c>
      <c r="S88" s="8001"/>
      <c r="T88" s="8000" t="str">
        <f>R101</f>
        <v/>
      </c>
      <c r="U88" s="8001"/>
      <c r="V88" s="8000" t="str">
        <f>R101</f>
        <v/>
      </c>
      <c r="W88" s="7775"/>
      <c r="X88" s="78"/>
      <c r="Y88" s="1185"/>
      <c r="Z88" s="431"/>
      <c r="AA88" s="431"/>
      <c r="AB88" s="1179"/>
      <c r="AC88" s="1179"/>
      <c r="AD88" s="1179"/>
      <c r="AE88" s="1179"/>
      <c r="AF88" s="1179"/>
      <c r="AG88" s="431"/>
      <c r="AH88" s="431"/>
      <c r="AI88" s="431"/>
      <c r="AJ88" s="431"/>
      <c r="AK88" s="431"/>
      <c r="AL88" s="431"/>
      <c r="AM88" s="431"/>
      <c r="AN88" s="431"/>
      <c r="AO88" s="431"/>
      <c r="AP88" s="431"/>
      <c r="AQ88" s="431"/>
      <c r="AR88" s="431"/>
      <c r="AS88" s="431"/>
      <c r="AT88" s="431"/>
      <c r="AU88" s="1145"/>
    </row>
    <row r="89" spans="1:47" ht="14.25">
      <c r="A89" s="588"/>
      <c r="B89" s="23"/>
      <c r="C89" s="48">
        <v>13</v>
      </c>
      <c r="D89" s="2686" t="s">
        <v>1770</v>
      </c>
      <c r="E89" s="1179"/>
      <c r="F89" s="1179"/>
      <c r="G89" s="1179"/>
      <c r="H89" s="1179"/>
      <c r="I89" s="1179"/>
      <c r="J89" s="1179"/>
      <c r="K89" s="1179"/>
      <c r="L89" s="1179"/>
      <c r="M89" s="1179"/>
      <c r="N89" s="2945" t="s">
        <v>802</v>
      </c>
      <c r="O89" s="2165">
        <v>13</v>
      </c>
      <c r="P89" s="2170"/>
      <c r="Q89" s="2171"/>
      <c r="R89" s="8002" t="str">
        <f>IF(AND($B$67,NOT($P$80),R83&lt;&gt;""),SUM(R83,R88),"")</f>
        <v/>
      </c>
      <c r="S89" s="8003"/>
      <c r="T89" s="8002" t="str">
        <f>IF(AND($B$67,NOT($P$80),T83&lt;&gt;""),SUM(T83,T88),"")</f>
        <v/>
      </c>
      <c r="U89" s="8003"/>
      <c r="V89" s="8002" t="str">
        <f>IF(AND($B$67,NOT($P$80),V83&lt;&gt;""),SUM(V83,V88),"")</f>
        <v/>
      </c>
      <c r="W89" s="8274"/>
      <c r="X89" s="78"/>
      <c r="Y89" s="1185"/>
      <c r="Z89" s="431"/>
      <c r="AA89" s="431"/>
      <c r="AB89" s="1179"/>
      <c r="AC89" s="1179"/>
      <c r="AD89" s="1179"/>
      <c r="AE89" s="1179"/>
      <c r="AF89" s="1179"/>
      <c r="AG89" s="431"/>
      <c r="AH89" s="431"/>
      <c r="AI89" s="431"/>
      <c r="AJ89" s="431"/>
      <c r="AK89" s="431"/>
      <c r="AL89" s="431"/>
      <c r="AM89" s="431"/>
      <c r="AN89" s="431"/>
      <c r="AO89" s="431"/>
      <c r="AP89" s="431"/>
      <c r="AQ89" s="431"/>
      <c r="AR89" s="431"/>
      <c r="AS89" s="431"/>
      <c r="AT89" s="431"/>
      <c r="AU89" s="1145"/>
    </row>
    <row r="90" spans="1:47" ht="13.5" customHeight="1">
      <c r="A90" s="588"/>
      <c r="B90" s="23"/>
      <c r="C90" s="48">
        <v>14</v>
      </c>
      <c r="D90" s="2686" t="s">
        <v>5520</v>
      </c>
      <c r="E90" s="1179"/>
      <c r="F90" s="1179"/>
      <c r="G90" s="1179"/>
      <c r="H90" s="1179"/>
      <c r="I90" s="1179"/>
      <c r="J90" s="1179"/>
      <c r="K90" s="1179"/>
      <c r="L90" s="1179"/>
      <c r="M90" s="1179"/>
      <c r="N90" s="1179"/>
      <c r="O90" s="429"/>
      <c r="P90" s="995"/>
      <c r="Q90" s="2167"/>
      <c r="R90" s="387"/>
      <c r="S90" s="2158"/>
      <c r="T90" s="994"/>
      <c r="U90" s="2158"/>
      <c r="V90" s="2157"/>
      <c r="W90" s="994"/>
      <c r="X90" s="78"/>
      <c r="Y90" s="1185"/>
      <c r="Z90" s="2262" t="s">
        <v>1846</v>
      </c>
      <c r="AA90" s="431"/>
      <c r="AB90" s="1179"/>
      <c r="AC90" s="1179"/>
      <c r="AD90" s="1179"/>
      <c r="AE90" s="1179"/>
      <c r="AF90" s="1179"/>
      <c r="AG90" s="431"/>
      <c r="AH90" s="431"/>
      <c r="AI90" s="431"/>
      <c r="AJ90" s="431"/>
      <c r="AK90" s="431"/>
      <c r="AL90" s="431"/>
      <c r="AM90" s="431"/>
      <c r="AN90" s="431"/>
      <c r="AO90" s="431"/>
      <c r="AP90" s="431"/>
      <c r="AQ90" s="431"/>
      <c r="AR90" s="431"/>
      <c r="AS90" s="431"/>
      <c r="AT90" s="431"/>
      <c r="AU90" s="1145"/>
    </row>
    <row r="91" spans="1:47" ht="12" customHeight="1">
      <c r="A91" s="588"/>
      <c r="B91" s="23"/>
      <c r="C91" s="48"/>
      <c r="D91" s="2686" t="s">
        <v>1773</v>
      </c>
      <c r="E91" s="1179"/>
      <c r="F91" s="1179"/>
      <c r="G91" s="1179"/>
      <c r="H91" s="1179"/>
      <c r="I91" s="1179"/>
      <c r="J91" s="1179"/>
      <c r="K91" s="1179"/>
      <c r="L91" s="1179"/>
      <c r="M91" s="1179"/>
      <c r="N91" s="2945" t="s">
        <v>567</v>
      </c>
      <c r="O91" s="2165">
        <v>14</v>
      </c>
      <c r="P91" s="2168"/>
      <c r="Q91" s="2169"/>
      <c r="R91" s="8000" t="str">
        <f>IF(AND($B$67,NOT($P$80),R83&lt;&gt;""),SUM(P95,P98),"")</f>
        <v/>
      </c>
      <c r="S91" s="8001"/>
      <c r="T91" s="8000" t="str">
        <f>IF(AND($B$67,NOT($P$80),T83&lt;&gt;""),SUM(R95,R98),"")</f>
        <v/>
      </c>
      <c r="U91" s="8001"/>
      <c r="V91" s="8000" t="str">
        <f>IF(AND($B$67,NOT($P$80),V83&lt;&gt;""),SUM(T95,T98),"")</f>
        <v/>
      </c>
      <c r="W91" s="7775"/>
      <c r="X91" s="78"/>
      <c r="Y91" s="1185"/>
      <c r="Z91" s="431"/>
      <c r="AA91" s="431"/>
      <c r="AB91" s="1179"/>
      <c r="AC91" s="1179"/>
      <c r="AD91" s="1179"/>
      <c r="AE91" s="1179"/>
      <c r="AF91" s="1179"/>
      <c r="AG91" s="431"/>
      <c r="AH91" s="431"/>
      <c r="AI91" s="431"/>
      <c r="AJ91" s="431"/>
      <c r="AK91" s="431"/>
      <c r="AL91" s="431"/>
      <c r="AM91" s="431"/>
      <c r="AN91" s="431"/>
      <c r="AO91" s="431"/>
      <c r="AP91" s="431"/>
      <c r="AQ91" s="431"/>
      <c r="AR91" s="431"/>
      <c r="AS91" s="431"/>
      <c r="AT91" s="431"/>
      <c r="AU91" s="1145"/>
    </row>
    <row r="92" spans="1:47" ht="13.5" customHeight="1">
      <c r="A92" s="588"/>
      <c r="B92" s="23"/>
      <c r="C92" s="48">
        <v>15</v>
      </c>
      <c r="D92" s="1540" t="s">
        <v>5591</v>
      </c>
      <c r="E92" s="1179"/>
      <c r="F92" s="1179"/>
      <c r="G92" s="1179"/>
      <c r="H92" s="1179"/>
      <c r="I92" s="1179"/>
      <c r="J92" s="1179"/>
      <c r="K92" s="1179"/>
      <c r="L92" s="1179"/>
      <c r="M92" s="1179"/>
      <c r="N92" s="1179"/>
      <c r="O92" s="53"/>
      <c r="P92" s="387"/>
      <c r="Q92" s="427"/>
      <c r="R92" s="387"/>
      <c r="S92" s="2158"/>
      <c r="T92" s="994"/>
      <c r="U92" s="2158"/>
      <c r="V92" s="2157"/>
      <c r="W92" s="994"/>
      <c r="X92" s="78"/>
      <c r="Y92" s="1185"/>
      <c r="Z92" s="431"/>
      <c r="AA92" s="431"/>
      <c r="AB92" s="1179"/>
      <c r="AC92" s="1179"/>
      <c r="AD92" s="1179"/>
      <c r="AE92" s="1179"/>
      <c r="AF92" s="1179"/>
      <c r="AG92" s="431"/>
      <c r="AH92" s="431"/>
      <c r="AI92" s="431"/>
      <c r="AJ92" s="431"/>
      <c r="AK92" s="431"/>
      <c r="AL92" s="431"/>
      <c r="AM92" s="431"/>
      <c r="AN92" s="431"/>
      <c r="AO92" s="431"/>
      <c r="AP92" s="431"/>
      <c r="AQ92" s="431"/>
      <c r="AR92" s="431"/>
      <c r="AS92" s="431"/>
      <c r="AT92" s="431"/>
      <c r="AU92" s="1145"/>
    </row>
    <row r="93" spans="1:47" ht="14.25" customHeight="1">
      <c r="A93" s="588"/>
      <c r="B93" s="23"/>
      <c r="C93" s="48"/>
      <c r="D93" s="1540" t="s">
        <v>5521</v>
      </c>
      <c r="E93" s="1179"/>
      <c r="F93" s="1179"/>
      <c r="G93" s="1179"/>
      <c r="H93" s="1179"/>
      <c r="I93" s="1179"/>
      <c r="J93" s="1179"/>
      <c r="K93" s="1179"/>
      <c r="L93" s="1179"/>
      <c r="M93" s="1179"/>
      <c r="N93" s="2945" t="s">
        <v>1037</v>
      </c>
      <c r="O93" s="2165">
        <v>15</v>
      </c>
      <c r="P93" s="8000" t="str">
        <f>IF(AND($B$67,NOT($P$80),P83&lt;&gt;""),P83,"")</f>
        <v/>
      </c>
      <c r="Q93" s="8001"/>
      <c r="R93" s="8000" t="str">
        <f>IF(AND($B$67,NOT($P$80),R83&lt;&gt;"",R91&lt;&gt;""),IF(SUM(R89,-R91)&lt;=0,0,SUM(R89,-R91)),"")</f>
        <v/>
      </c>
      <c r="S93" s="8001"/>
      <c r="T93" s="8000" t="str">
        <f>IF(AND($B$67,NOT($P$80),T83&lt;&gt;"",T91&lt;&gt;""),IF(SUM(T89,-T91)&lt;=0,0,SUM(T89,-T91)),"")</f>
        <v/>
      </c>
      <c r="U93" s="8001"/>
      <c r="V93" s="8000" t="str">
        <f>IF(AND($B$67,NOT($P$80),V83&lt;&gt;"",V91&lt;&gt;""),IF(SUM(V89,-V91)&lt;=0,0,SUM(V89,-V91)),"")</f>
        <v/>
      </c>
      <c r="W93" s="7775"/>
      <c r="X93" s="78"/>
      <c r="Y93" s="1185"/>
      <c r="Z93" s="2262" t="s">
        <v>1846</v>
      </c>
      <c r="AA93" s="431"/>
      <c r="AB93" s="1179"/>
      <c r="AC93" s="1179"/>
      <c r="AD93" s="1179"/>
      <c r="AE93" s="1179"/>
      <c r="AF93" s="1179"/>
      <c r="AG93" s="431"/>
      <c r="AH93" s="431"/>
      <c r="AI93" s="431"/>
      <c r="AJ93" s="431"/>
      <c r="AK93" s="431"/>
      <c r="AL93" s="431"/>
      <c r="AM93" s="431"/>
      <c r="AN93" s="431"/>
      <c r="AO93" s="431"/>
      <c r="AP93" s="431"/>
      <c r="AQ93" s="431"/>
      <c r="AR93" s="431"/>
      <c r="AS93" s="431"/>
      <c r="AT93" s="431"/>
      <c r="AU93" s="1145"/>
    </row>
    <row r="94" spans="1:47" ht="14.25" customHeight="1">
      <c r="A94" s="588"/>
      <c r="B94" s="23"/>
      <c r="C94" s="48">
        <v>16</v>
      </c>
      <c r="D94" s="1540" t="s">
        <v>5522</v>
      </c>
      <c r="E94" s="1179"/>
      <c r="F94" s="1179"/>
      <c r="G94" s="1179"/>
      <c r="H94" s="1179"/>
      <c r="I94" s="1179"/>
      <c r="J94" s="1179"/>
      <c r="K94" s="1179"/>
      <c r="L94" s="1179"/>
      <c r="M94" s="1179"/>
      <c r="N94" s="1179"/>
      <c r="O94" s="53"/>
      <c r="P94" s="2174"/>
      <c r="Q94" s="2175"/>
      <c r="R94" s="387"/>
      <c r="S94" s="2158"/>
      <c r="T94" s="994"/>
      <c r="U94" s="2158"/>
      <c r="V94" s="2174"/>
      <c r="W94" s="2185"/>
      <c r="X94" s="78"/>
      <c r="Y94" s="1185"/>
      <c r="Z94" s="431"/>
      <c r="AA94" s="431"/>
      <c r="AB94" s="1179"/>
      <c r="AC94" s="1179"/>
      <c r="AD94" s="1179"/>
      <c r="AE94" s="1179"/>
      <c r="AF94" s="1179"/>
      <c r="AG94" s="431"/>
      <c r="AH94" s="431"/>
      <c r="AI94" s="431"/>
      <c r="AJ94" s="431"/>
      <c r="AK94" s="431"/>
      <c r="AL94" s="431"/>
      <c r="AM94" s="431"/>
      <c r="AN94" s="431"/>
      <c r="AO94" s="431"/>
      <c r="AP94" s="431"/>
      <c r="AQ94" s="431"/>
      <c r="AR94" s="431"/>
      <c r="AS94" s="431"/>
      <c r="AT94" s="431"/>
    </row>
    <row r="95" spans="1:47" ht="15" customHeight="1">
      <c r="A95" s="588"/>
      <c r="B95" s="23"/>
      <c r="C95" s="48"/>
      <c r="D95" s="1540" t="s">
        <v>1774</v>
      </c>
      <c r="E95" s="1179"/>
      <c r="F95" s="1179"/>
      <c r="G95" s="1179"/>
      <c r="H95" s="1179"/>
      <c r="I95" s="1179"/>
      <c r="J95" s="1179"/>
      <c r="K95" s="1179"/>
      <c r="L95" s="1179"/>
      <c r="M95" s="1179"/>
      <c r="N95" s="2945" t="s">
        <v>276</v>
      </c>
      <c r="O95" s="2165">
        <v>16</v>
      </c>
      <c r="P95" s="2168"/>
      <c r="Q95" s="2169"/>
      <c r="R95" s="8000" t="str">
        <f>IF(AND($B$67,NOT($P$80),R83&lt;&gt;""),IF(R93=0,SUM(R91,-R89),0),"")</f>
        <v/>
      </c>
      <c r="S95" s="8001"/>
      <c r="T95" s="8000" t="str">
        <f>IF(AND($B$67,NOT($P$80),T83&lt;&gt;""),IF(T93=0,SUM(T91,-T89),0),"")</f>
        <v/>
      </c>
      <c r="U95" s="8001"/>
      <c r="V95" s="2168"/>
      <c r="W95" s="2186"/>
      <c r="X95" s="78"/>
      <c r="Y95" s="1185"/>
      <c r="Z95" s="431"/>
      <c r="AA95" s="431"/>
      <c r="AB95" s="1179"/>
      <c r="AC95" s="1179"/>
      <c r="AD95" s="1179"/>
      <c r="AE95" s="1179"/>
      <c r="AF95" s="1179"/>
      <c r="AG95" s="431"/>
      <c r="AH95" s="431"/>
      <c r="AI95" s="431"/>
      <c r="AJ95" s="431"/>
      <c r="AK95" s="431"/>
      <c r="AL95" s="431"/>
      <c r="AM95" s="431"/>
      <c r="AN95" s="431"/>
      <c r="AO95" s="431"/>
      <c r="AP95" s="431"/>
      <c r="AQ95" s="431"/>
      <c r="AR95" s="431"/>
      <c r="AS95" s="431"/>
      <c r="AT95" s="431"/>
    </row>
    <row r="96" spans="1:47" ht="15.75" customHeight="1">
      <c r="A96" s="588"/>
      <c r="B96" s="23"/>
      <c r="C96" s="48">
        <v>17</v>
      </c>
      <c r="D96" s="3986" t="s">
        <v>5523</v>
      </c>
      <c r="E96" s="1179"/>
      <c r="F96" s="1179"/>
      <c r="G96" s="1179"/>
      <c r="H96" s="1179"/>
      <c r="I96" s="1179"/>
      <c r="J96" s="1179"/>
      <c r="K96" s="1179"/>
      <c r="L96" s="1179"/>
      <c r="M96" s="1179"/>
      <c r="N96" s="1179"/>
      <c r="O96" s="429"/>
      <c r="P96" s="387"/>
      <c r="Q96" s="427"/>
      <c r="R96" s="387"/>
      <c r="S96" s="2158"/>
      <c r="T96" s="994"/>
      <c r="U96" s="2158"/>
      <c r="V96" s="2157"/>
      <c r="W96" s="994"/>
      <c r="X96" s="78"/>
      <c r="Y96" s="1185"/>
      <c r="Z96" s="431"/>
      <c r="AA96" s="431"/>
      <c r="AB96" s="1179"/>
      <c r="AC96" s="1179"/>
      <c r="AD96" s="1179"/>
      <c r="AE96" s="1179"/>
      <c r="AF96" s="1179"/>
      <c r="AG96" s="431"/>
      <c r="AH96" s="431"/>
      <c r="AI96" s="431"/>
      <c r="AJ96" s="431"/>
      <c r="AK96" s="431"/>
      <c r="AL96" s="431"/>
      <c r="AM96" s="431"/>
      <c r="AN96" s="431"/>
      <c r="AO96" s="431"/>
      <c r="AP96" s="431"/>
      <c r="AQ96" s="431"/>
      <c r="AR96" s="431"/>
      <c r="AS96" s="431"/>
      <c r="AT96" s="431"/>
    </row>
    <row r="97" spans="1:65" ht="15.75" customHeight="1" thickBot="1">
      <c r="A97" s="588"/>
      <c r="B97" s="23"/>
      <c r="C97" s="39"/>
      <c r="D97" s="1540" t="s">
        <v>5527</v>
      </c>
      <c r="E97" s="1179"/>
      <c r="F97" s="1179"/>
      <c r="G97" s="1179"/>
      <c r="H97" s="1179"/>
      <c r="I97" s="1179"/>
      <c r="J97" s="1179"/>
      <c r="K97" s="1475"/>
      <c r="L97" s="1179"/>
      <c r="M97" s="1179"/>
      <c r="N97" s="1179"/>
      <c r="O97" s="429"/>
      <c r="P97" s="387"/>
      <c r="Q97" s="427"/>
      <c r="R97" s="387"/>
      <c r="S97" s="2158"/>
      <c r="T97" s="994"/>
      <c r="U97" s="2158"/>
      <c r="V97" s="2157"/>
      <c r="W97" s="994"/>
      <c r="X97" s="78"/>
      <c r="Y97" s="1185"/>
      <c r="Z97" s="431"/>
      <c r="AA97" s="431"/>
      <c r="AB97" s="1179"/>
      <c r="AC97" s="1179"/>
      <c r="AD97" s="1179"/>
      <c r="AE97" s="1179"/>
      <c r="AF97" s="1179"/>
      <c r="AG97" s="431"/>
      <c r="AH97" s="431"/>
      <c r="AI97" s="431"/>
      <c r="AJ97" s="431"/>
      <c r="AK97" s="431"/>
      <c r="AL97" s="431"/>
      <c r="AM97" s="431"/>
      <c r="AN97" s="431"/>
      <c r="AO97" s="431"/>
      <c r="AP97" s="431"/>
      <c r="AQ97" s="431"/>
      <c r="AR97" s="431"/>
      <c r="AS97" s="431"/>
      <c r="AT97" s="431"/>
    </row>
    <row r="98" spans="1:65" ht="15.75" customHeight="1" thickBot="1">
      <c r="A98" s="588"/>
      <c r="B98" s="23"/>
      <c r="C98" s="23"/>
      <c r="D98" s="1540" t="s">
        <v>5526</v>
      </c>
      <c r="E98" s="1179"/>
      <c r="F98" s="1179"/>
      <c r="G98" s="1179"/>
      <c r="H98" s="1179"/>
      <c r="I98" s="1179"/>
      <c r="J98" s="1179"/>
      <c r="K98" s="1179"/>
      <c r="L98" s="1179"/>
      <c r="M98" s="1179"/>
      <c r="N98" s="2945" t="s">
        <v>2435</v>
      </c>
      <c r="O98" s="2165">
        <v>17</v>
      </c>
      <c r="P98" s="8000" t="str">
        <f>IF(AK98&lt;&gt;"",ROUND(AK98,0),IF(AND($B$67,NOT($P$80),P83&lt;&gt;""),IF(P77&gt;=P93,SUM(P77,-P93),""),""))</f>
        <v/>
      </c>
      <c r="Q98" s="8001"/>
      <c r="R98" s="8000" t="str">
        <f>IF(AM98&lt;&gt;"",ROUND(AM98,0),IF(AND($B$67,NOT($P$80),R83&lt;&gt;""),IF(R77&gt;=R93,SUM(R77,-R93),""),""))</f>
        <v/>
      </c>
      <c r="S98" s="8001"/>
      <c r="T98" s="8000" t="str">
        <f>IF(AO98&lt;&gt;"",ROUND(AO98,0),IF(AND($B$67,NOT($P$80),T83&lt;&gt;""),IF(T77&gt;=T93,SUM(T77,-T93),""),""))</f>
        <v/>
      </c>
      <c r="U98" s="8001"/>
      <c r="V98" s="8000" t="str">
        <f>IF(AQ98&lt;&gt;"",ROUND(AQ98,0),IF(AND($B$67,NOT($P$80),V83&lt;&gt;""),IF(V77&gt;=V93,SUM(V77,-V93),""),""))</f>
        <v/>
      </c>
      <c r="W98" s="7775"/>
      <c r="X98" s="78"/>
      <c r="Y98" s="1185"/>
      <c r="Z98" s="406"/>
      <c r="AA98" s="431"/>
      <c r="AB98" s="1179"/>
      <c r="AC98" s="1179"/>
      <c r="AD98" s="1179"/>
      <c r="AE98" s="1179"/>
      <c r="AF98" s="1179"/>
      <c r="AG98" s="431"/>
      <c r="AH98" s="431"/>
      <c r="AI98" s="431"/>
      <c r="AJ98" s="5779">
        <v>17</v>
      </c>
      <c r="AK98" s="2264"/>
      <c r="AL98" s="431"/>
      <c r="AM98" s="2264"/>
      <c r="AN98" s="431"/>
      <c r="AO98" s="2264"/>
      <c r="AP98" s="431"/>
      <c r="AQ98" s="2264"/>
      <c r="AR98" s="431"/>
      <c r="AS98" s="431"/>
      <c r="AT98" s="431"/>
    </row>
    <row r="99" spans="1:65" ht="13.5" customHeight="1">
      <c r="A99" s="588"/>
      <c r="B99" s="23"/>
      <c r="C99" s="48">
        <v>18</v>
      </c>
      <c r="D99" s="1540" t="s">
        <v>5524</v>
      </c>
      <c r="E99" s="1179"/>
      <c r="F99" s="1179"/>
      <c r="G99" s="1179"/>
      <c r="H99" s="1179"/>
      <c r="I99" s="1179"/>
      <c r="J99" s="1179"/>
      <c r="K99" s="1179"/>
      <c r="L99" s="1179"/>
      <c r="M99" s="1179"/>
      <c r="N99" s="1179"/>
      <c r="O99" s="429"/>
      <c r="P99" s="387"/>
      <c r="Q99" s="427"/>
      <c r="R99" s="387"/>
      <c r="S99" s="2158"/>
      <c r="T99" s="994"/>
      <c r="U99" s="2158"/>
      <c r="V99" s="2157"/>
      <c r="W99" s="994"/>
      <c r="X99" s="78"/>
      <c r="Y99" s="1185"/>
      <c r="Z99" s="431"/>
      <c r="AA99" s="431"/>
      <c r="AB99" s="1179"/>
      <c r="AC99" s="1179"/>
      <c r="AD99" s="1179"/>
      <c r="AE99" s="1179"/>
      <c r="AF99" s="1179"/>
      <c r="AG99" s="431"/>
      <c r="AH99" s="431"/>
      <c r="AI99" s="431"/>
      <c r="AJ99" s="431"/>
      <c r="AK99" s="431"/>
      <c r="AL99" s="431"/>
      <c r="AM99" s="431"/>
      <c r="AN99" s="431"/>
      <c r="AO99" s="431"/>
      <c r="AP99" s="431"/>
      <c r="AQ99" s="431"/>
      <c r="AR99" s="431"/>
      <c r="AS99" s="431"/>
      <c r="AT99" s="431"/>
    </row>
    <row r="100" spans="1:65" ht="12.75" customHeight="1" thickBot="1">
      <c r="A100" s="588"/>
      <c r="B100" s="23"/>
      <c r="C100" s="39"/>
      <c r="D100" s="1540" t="s">
        <v>5525</v>
      </c>
      <c r="E100" s="1179"/>
      <c r="F100" s="1179"/>
      <c r="G100" s="1179"/>
      <c r="H100" s="1179"/>
      <c r="I100" s="1179"/>
      <c r="J100" s="1179"/>
      <c r="K100" s="1475"/>
      <c r="L100" s="1179"/>
      <c r="M100" s="1179"/>
      <c r="N100" s="1179"/>
      <c r="O100" s="429"/>
      <c r="P100" s="387"/>
      <c r="Q100" s="427"/>
      <c r="R100" s="387"/>
      <c r="S100" s="2158"/>
      <c r="T100" s="994"/>
      <c r="U100" s="2158"/>
      <c r="V100" s="2157"/>
      <c r="W100" s="994"/>
      <c r="X100" s="78"/>
      <c r="Y100" s="1185"/>
      <c r="Z100" s="5781"/>
      <c r="AA100" s="431"/>
      <c r="AB100" s="1179"/>
      <c r="AC100" s="1179"/>
      <c r="AD100" s="1179"/>
      <c r="AE100" s="1179"/>
      <c r="AF100" s="1179"/>
      <c r="AG100" s="431"/>
      <c r="AH100" s="431"/>
      <c r="AI100" s="431"/>
      <c r="AJ100" s="431"/>
      <c r="AK100" s="431"/>
      <c r="AL100" s="431"/>
      <c r="AM100" s="431"/>
      <c r="AN100" s="431"/>
      <c r="AO100" s="431"/>
      <c r="AP100" s="431"/>
      <c r="AQ100" s="431"/>
      <c r="AR100" s="431"/>
      <c r="AS100" s="431"/>
      <c r="AT100" s="431"/>
    </row>
    <row r="101" spans="1:65" ht="15" customHeight="1" thickBot="1">
      <c r="A101" s="588"/>
      <c r="B101" s="23"/>
      <c r="C101" s="23"/>
      <c r="D101" s="1540" t="s">
        <v>1775</v>
      </c>
      <c r="E101" s="1179"/>
      <c r="F101" s="1179"/>
      <c r="G101" s="1179"/>
      <c r="H101" s="1179"/>
      <c r="I101" s="1179"/>
      <c r="J101" s="1179"/>
      <c r="K101" s="1179"/>
      <c r="L101" s="1179"/>
      <c r="M101" s="1179"/>
      <c r="N101" s="2945" t="s">
        <v>568</v>
      </c>
      <c r="O101" s="2172">
        <v>18</v>
      </c>
      <c r="P101" s="8217" t="str">
        <f>IF(AK101&lt;&gt;"",ROUND(AK101,0),IF(AND($B$67,NOT($P$80),P83&lt;&gt;""),IF(P93&gt;P77,SUM(P93,-P77),""),""))</f>
        <v/>
      </c>
      <c r="Q101" s="8218"/>
      <c r="R101" s="8217" t="str">
        <f>IF(AM101&lt;&gt;"",ROUND(AM101,0),IF(AND($B$67,NOT($P$80),R83&lt;&gt;""),IF(R93&gt;R77,SUM(R93,-R77),""),""))</f>
        <v/>
      </c>
      <c r="S101" s="8218"/>
      <c r="T101" s="8217" t="str">
        <f>IF(AO101&lt;&gt;"",ROUND(AO101,0),IF(AND($B$67,NOT($P$80),T83&lt;&gt;""),IF(T93&gt;T77,SUM(T93,-T77),""),""))</f>
        <v/>
      </c>
      <c r="U101" s="8218"/>
      <c r="V101" s="8000" t="str">
        <f>IF(AQ101&lt;&gt;"",ROUND(AQ101,0),IF(AND($B$67,NOT($P$80),V83&lt;&gt;""),IF(V93&gt;V77,SUM(V93,-V77),""),""))</f>
        <v/>
      </c>
      <c r="W101" s="7775"/>
      <c r="X101" s="78"/>
      <c r="Y101" s="1185"/>
      <c r="Z101" s="431"/>
      <c r="AA101" s="431"/>
      <c r="AB101" s="1179"/>
      <c r="AC101" s="1179"/>
      <c r="AD101" s="1179"/>
      <c r="AE101" s="1179"/>
      <c r="AF101" s="1179"/>
      <c r="AG101" s="431"/>
      <c r="AH101" s="431"/>
      <c r="AI101" s="431"/>
      <c r="AJ101" s="5779">
        <v>18</v>
      </c>
      <c r="AK101" s="2264"/>
      <c r="AL101" s="431"/>
      <c r="AM101" s="2264"/>
      <c r="AN101" s="431"/>
      <c r="AO101" s="2264"/>
      <c r="AP101" s="431"/>
      <c r="AQ101" s="2264"/>
      <c r="AR101" s="431"/>
      <c r="AS101" s="431"/>
      <c r="AT101" s="431"/>
    </row>
    <row r="102" spans="1:65" ht="15" customHeight="1">
      <c r="A102" s="588"/>
      <c r="B102" s="54"/>
      <c r="C102" s="3868"/>
      <c r="D102" s="2173"/>
      <c r="E102" s="54"/>
      <c r="F102" s="54"/>
      <c r="G102" s="54"/>
      <c r="H102" s="54"/>
      <c r="I102" s="54"/>
      <c r="J102" s="54"/>
      <c r="K102" s="54"/>
      <c r="L102" s="54"/>
      <c r="M102" s="54"/>
      <c r="N102" s="54"/>
      <c r="O102" s="54"/>
      <c r="P102" s="54"/>
      <c r="Q102" s="54"/>
      <c r="R102" s="54"/>
      <c r="S102" s="54"/>
      <c r="T102" s="54"/>
      <c r="U102" s="54"/>
      <c r="V102" s="54"/>
      <c r="W102" s="54"/>
      <c r="X102" s="78"/>
      <c r="Y102" s="1185"/>
      <c r="Z102" s="431"/>
      <c r="AA102" s="431"/>
      <c r="AB102" s="1179"/>
      <c r="AC102" s="1179"/>
      <c r="AD102" s="1179"/>
      <c r="AE102" s="1179"/>
      <c r="AF102" s="1179"/>
      <c r="AG102" s="431"/>
      <c r="AH102" s="431"/>
      <c r="AI102" s="431"/>
      <c r="AJ102" s="431"/>
      <c r="AK102" s="431"/>
      <c r="AL102" s="431"/>
      <c r="AM102" s="431"/>
      <c r="AN102" s="431"/>
      <c r="AO102" s="431"/>
      <c r="AP102" s="431"/>
      <c r="AQ102" s="431"/>
      <c r="AR102" s="431"/>
      <c r="AS102" s="431"/>
      <c r="AT102" s="431"/>
    </row>
    <row r="103" spans="1:65" ht="13.5" customHeight="1">
      <c r="A103" s="588"/>
      <c r="B103" s="361" t="s">
        <v>5594</v>
      </c>
      <c r="C103" s="361"/>
      <c r="D103" s="999"/>
      <c r="E103" s="23"/>
      <c r="F103" s="23"/>
      <c r="G103" s="23"/>
      <c r="H103" s="23"/>
      <c r="I103" s="23"/>
      <c r="J103" s="23"/>
      <c r="K103" s="23"/>
      <c r="L103" s="23"/>
      <c r="M103" s="23"/>
      <c r="N103" s="23"/>
      <c r="O103" s="23"/>
      <c r="P103" s="23"/>
      <c r="Q103" s="23"/>
      <c r="R103" s="23"/>
      <c r="S103" s="23"/>
      <c r="T103" s="23"/>
      <c r="U103" s="23"/>
      <c r="V103" s="23"/>
      <c r="W103" s="23"/>
      <c r="X103" s="78"/>
      <c r="Y103" s="1185"/>
      <c r="Z103" s="431"/>
      <c r="AA103" s="431"/>
      <c r="AB103" s="1179"/>
      <c r="AC103" s="1179"/>
      <c r="AD103" s="1179"/>
      <c r="AE103" s="1179"/>
      <c r="AF103" s="1179"/>
      <c r="AG103" s="431"/>
      <c r="AH103" s="431"/>
      <c r="AI103" s="431"/>
      <c r="AJ103" s="431"/>
      <c r="AK103" s="431"/>
      <c r="AL103" s="431"/>
      <c r="AM103" s="431"/>
      <c r="AN103" s="431"/>
      <c r="AO103" s="431"/>
      <c r="AP103" s="431"/>
      <c r="AQ103" s="431"/>
      <c r="AR103" s="431"/>
      <c r="AS103" s="431"/>
      <c r="AT103" s="431"/>
    </row>
    <row r="104" spans="1:65" ht="13.5" customHeight="1">
      <c r="A104" s="588"/>
      <c r="B104" s="41"/>
      <c r="C104" s="115"/>
      <c r="D104" s="41"/>
      <c r="E104" s="41"/>
      <c r="F104" s="41"/>
      <c r="G104" s="41"/>
      <c r="H104" s="41"/>
      <c r="I104" s="41"/>
      <c r="J104" s="41"/>
      <c r="K104" s="41"/>
      <c r="L104" s="41"/>
      <c r="M104" s="41"/>
      <c r="N104" s="41"/>
      <c r="O104" s="41"/>
      <c r="P104" s="41"/>
      <c r="Q104" s="41"/>
      <c r="R104" s="41"/>
      <c r="S104" s="41"/>
      <c r="T104" s="41"/>
      <c r="U104" s="41"/>
      <c r="V104" s="41"/>
      <c r="W104" s="41"/>
      <c r="X104" s="78"/>
      <c r="Y104" s="1185"/>
      <c r="Z104" s="431"/>
      <c r="AA104" s="431"/>
      <c r="AB104" s="1179"/>
      <c r="AC104" s="1179"/>
      <c r="AD104" s="1179"/>
      <c r="AE104" s="1179"/>
      <c r="AF104" s="1179"/>
      <c r="AG104" s="431"/>
      <c r="AH104" s="431"/>
      <c r="AI104" s="431"/>
      <c r="AJ104" s="431"/>
      <c r="AK104" s="431"/>
      <c r="AL104" s="431"/>
      <c r="AM104" s="431"/>
      <c r="AN104" s="431"/>
      <c r="AO104" s="431"/>
      <c r="AP104" s="431"/>
      <c r="AQ104" s="431"/>
      <c r="AR104" s="431"/>
      <c r="AS104" s="431"/>
      <c r="AT104" s="431"/>
    </row>
    <row r="105" spans="1:65" ht="17.25" customHeight="1">
      <c r="A105" s="588"/>
      <c r="B105" s="23"/>
      <c r="C105" s="3869">
        <v>27</v>
      </c>
      <c r="D105" s="2668" t="s">
        <v>3510</v>
      </c>
      <c r="E105" s="23"/>
      <c r="F105" s="23"/>
      <c r="G105" s="23"/>
      <c r="H105" s="23"/>
      <c r="I105" s="23"/>
      <c r="J105" s="23"/>
      <c r="K105" s="23"/>
      <c r="L105" s="23"/>
      <c r="M105" s="23"/>
      <c r="N105" s="23"/>
      <c r="O105" s="23"/>
      <c r="P105" s="23"/>
      <c r="Q105" s="23"/>
      <c r="R105" s="23"/>
      <c r="S105" s="23"/>
      <c r="T105" s="53"/>
      <c r="U105" s="23"/>
      <c r="V105" s="23"/>
      <c r="W105" s="23"/>
      <c r="X105" s="78"/>
      <c r="Y105" s="1185"/>
      <c r="Z105" s="431"/>
      <c r="AA105" s="431"/>
      <c r="AB105" s="2243">
        <f>IF(AE105,17,15)</f>
        <v>15</v>
      </c>
      <c r="AC105" s="2243"/>
      <c r="AD105" s="2243"/>
      <c r="AE105" s="5085" t="b">
        <f>AND($AB$106=2,'1040'!BF8)</f>
        <v>0</v>
      </c>
      <c r="AF105" s="1179"/>
      <c r="AG105" s="431"/>
      <c r="AH105" s="431"/>
      <c r="AI105" s="431"/>
      <c r="AJ105" s="431"/>
      <c r="AK105" s="431"/>
      <c r="AL105" s="431"/>
      <c r="AM105" s="431"/>
      <c r="AN105" s="431"/>
      <c r="AO105" s="431"/>
      <c r="AP105" s="431"/>
      <c r="AQ105" s="431"/>
      <c r="AR105" s="431"/>
      <c r="AS105" s="431"/>
      <c r="AT105" s="431"/>
    </row>
    <row r="106" spans="1:65" ht="12.75" customHeight="1">
      <c r="A106" s="588"/>
      <c r="B106" s="23"/>
      <c r="C106" s="48"/>
      <c r="D106" s="2668" t="s">
        <v>4670</v>
      </c>
      <c r="E106" s="23"/>
      <c r="F106" s="23"/>
      <c r="G106" s="23"/>
      <c r="H106" s="23"/>
      <c r="I106" s="23"/>
      <c r="J106" s="23"/>
      <c r="K106" s="23"/>
      <c r="L106" s="23"/>
      <c r="M106" s="23"/>
      <c r="N106" s="23"/>
      <c r="O106" s="23"/>
      <c r="P106" s="23"/>
      <c r="Q106" s="23"/>
      <c r="R106" s="23"/>
      <c r="S106" s="23"/>
      <c r="T106" s="429"/>
      <c r="U106" s="23"/>
      <c r="V106" s="23"/>
      <c r="W106" s="23"/>
      <c r="X106" s="78"/>
      <c r="Y106" s="1185"/>
      <c r="Z106" s="431"/>
      <c r="AA106" s="431"/>
      <c r="AB106" s="5086">
        <f>WEEKDAY($AC$106)</f>
        <v>6</v>
      </c>
      <c r="AC106" s="5087" t="str">
        <f>"15-Apr-"&amp;TaxYear+1</f>
        <v>15-Apr-2022</v>
      </c>
      <c r="AD106" s="2243"/>
      <c r="AE106" s="4702"/>
      <c r="AF106" s="1179"/>
      <c r="AG106" s="431"/>
      <c r="AH106" s="431"/>
      <c r="AI106" s="431"/>
      <c r="AJ106" s="431"/>
      <c r="AK106" s="431"/>
      <c r="AL106" s="431"/>
      <c r="AM106" s="431"/>
      <c r="AN106" s="431"/>
      <c r="AO106" s="431"/>
      <c r="AP106" s="431"/>
      <c r="AQ106" s="431"/>
      <c r="AR106" s="431"/>
      <c r="AS106" s="431"/>
      <c r="AT106" s="431"/>
    </row>
    <row r="107" spans="1:65" ht="12.75" customHeight="1" thickBot="1">
      <c r="A107" s="588"/>
      <c r="B107" s="23"/>
      <c r="C107" s="48"/>
      <c r="D107" s="3865" t="s">
        <v>4671</v>
      </c>
      <c r="E107" s="23"/>
      <c r="F107" s="23"/>
      <c r="G107" s="23"/>
      <c r="H107" s="23"/>
      <c r="I107" s="23"/>
      <c r="J107" s="23"/>
      <c r="K107" s="23"/>
      <c r="L107" s="23"/>
      <c r="M107" s="23"/>
      <c r="N107" s="23"/>
      <c r="O107" s="23"/>
      <c r="P107" s="23"/>
      <c r="Q107" s="23"/>
      <c r="R107" s="23"/>
      <c r="S107" s="1355"/>
      <c r="T107" s="339">
        <v>27</v>
      </c>
      <c r="U107" s="8214">
        <f>IF(Z98&lt;&gt;"",ROUND(Z98,0),IF(AND($B$67,NOT($P$80),V83&lt;&gt;""),V228,0))</f>
        <v>0</v>
      </c>
      <c r="V107" s="8215"/>
      <c r="W107" s="8215"/>
      <c r="X107" s="78"/>
      <c r="Y107" s="1185"/>
      <c r="Z107" s="431"/>
      <c r="AA107" s="431"/>
      <c r="AB107" s="1179"/>
      <c r="AC107" s="1179"/>
      <c r="AD107" s="1179"/>
      <c r="AE107" s="1179"/>
      <c r="AF107" s="1179"/>
      <c r="AG107" s="431"/>
      <c r="AH107" s="431"/>
      <c r="AI107" s="431"/>
      <c r="AJ107" s="431"/>
      <c r="AK107" s="431"/>
      <c r="AL107" s="431"/>
      <c r="AM107" s="431"/>
      <c r="AN107" s="431"/>
      <c r="AO107" s="431"/>
      <c r="AP107" s="431"/>
      <c r="AQ107" s="431"/>
      <c r="AR107" s="431"/>
      <c r="AS107" s="431"/>
      <c r="AT107" s="431"/>
    </row>
    <row r="108" spans="1:65" ht="12.75" customHeight="1">
      <c r="A108" s="934"/>
      <c r="B108" s="2146"/>
      <c r="C108" s="2152"/>
      <c r="D108" s="2147"/>
      <c r="E108" s="2146"/>
      <c r="F108" s="2146"/>
      <c r="G108" s="2869"/>
      <c r="H108" s="2146"/>
      <c r="I108" s="2146"/>
      <c r="J108" s="2146"/>
      <c r="K108" s="2146"/>
      <c r="L108" s="2146"/>
      <c r="M108" s="2146"/>
      <c r="N108" s="2146"/>
      <c r="O108" s="2146"/>
      <c r="P108" s="2146"/>
      <c r="Q108" s="2148"/>
      <c r="R108" s="2149"/>
      <c r="S108" s="2146"/>
      <c r="T108" s="2146"/>
      <c r="U108" s="2150"/>
      <c r="V108" s="2150" t="s">
        <v>1764</v>
      </c>
      <c r="W108" s="4522" t="str">
        <f>"("&amp;TaxYear&amp;")"</f>
        <v>(2021)</v>
      </c>
      <c r="X108" s="935"/>
      <c r="Y108" s="1185"/>
      <c r="Z108" s="431"/>
      <c r="AA108" s="431"/>
      <c r="AB108" s="1179"/>
      <c r="AC108" s="1179"/>
      <c r="AD108" s="1179"/>
      <c r="AE108" s="1179"/>
      <c r="AF108" s="1179"/>
      <c r="AG108" s="431"/>
      <c r="AH108" s="431"/>
      <c r="AI108" s="431"/>
      <c r="AJ108" s="431"/>
      <c r="AK108" s="431"/>
      <c r="AL108" s="431"/>
      <c r="AM108" s="431"/>
      <c r="AN108" s="431"/>
      <c r="AO108" s="431"/>
      <c r="AP108" s="431"/>
      <c r="AQ108" s="431"/>
      <c r="AR108" s="431"/>
      <c r="AS108" s="431"/>
      <c r="AT108" s="431"/>
    </row>
    <row r="109" spans="1:65" ht="12.75" customHeight="1" thickBot="1">
      <c r="A109" s="588"/>
      <c r="B109" s="44"/>
      <c r="C109" s="1545" t="str">
        <f>"Form 2210 ("&amp;TaxYear&amp;")"</f>
        <v>Form 2210 (2021)</v>
      </c>
      <c r="D109" s="340"/>
      <c r="E109" s="36"/>
      <c r="F109" s="36"/>
      <c r="G109" s="2870" t="str">
        <f>IF(OR(Y109&lt;&gt;"",$B$62),"","Schedule AI should only be completed if Box C is check in Part II.")</f>
        <v>Schedule AI should only be completed if Box C is check in Part II.</v>
      </c>
      <c r="H109" s="36"/>
      <c r="I109" s="36"/>
      <c r="J109" s="36"/>
      <c r="K109" s="36"/>
      <c r="L109" s="36"/>
      <c r="M109" s="36"/>
      <c r="N109" s="36"/>
      <c r="O109" s="36"/>
      <c r="P109" s="36"/>
      <c r="Q109" s="28"/>
      <c r="R109" s="435"/>
      <c r="S109" s="36"/>
      <c r="T109" s="36"/>
      <c r="U109" s="36"/>
      <c r="V109" s="2153"/>
      <c r="W109" s="2162" t="s">
        <v>1776</v>
      </c>
      <c r="X109" s="78"/>
      <c r="Y109" s="2415"/>
      <c r="Z109" s="431"/>
      <c r="AA109" s="431"/>
      <c r="AB109" s="1179"/>
      <c r="AC109" s="1179"/>
      <c r="AD109" s="1179"/>
      <c r="AE109" s="1179"/>
      <c r="AF109" s="1179"/>
      <c r="AG109" s="431"/>
      <c r="AH109" s="431"/>
      <c r="AI109" s="431"/>
      <c r="AJ109" s="431"/>
      <c r="AK109" s="431"/>
      <c r="AL109" s="431"/>
      <c r="AM109" s="431"/>
      <c r="AN109" s="431"/>
      <c r="AO109" s="431"/>
      <c r="AP109" s="431"/>
      <c r="AQ109" s="431"/>
      <c r="AR109" s="431"/>
      <c r="AS109" s="431"/>
      <c r="AT109" s="431"/>
    </row>
    <row r="110" spans="1:65" ht="15.75">
      <c r="A110" s="588"/>
      <c r="B110" s="2179"/>
      <c r="C110" s="2180" t="s">
        <v>3876</v>
      </c>
      <c r="D110" s="2179"/>
      <c r="E110" s="2179"/>
      <c r="F110" s="2179"/>
      <c r="G110" s="2179"/>
      <c r="H110" s="2179"/>
      <c r="I110" s="2179"/>
      <c r="J110" s="2179"/>
      <c r="K110" s="2179"/>
      <c r="L110" s="2179"/>
      <c r="M110" s="2179"/>
      <c r="N110" s="2179"/>
      <c r="O110" s="2179"/>
      <c r="P110" s="2179"/>
      <c r="Q110" s="2179"/>
      <c r="R110" s="2179"/>
      <c r="S110" s="2179"/>
      <c r="T110" s="2179"/>
      <c r="U110" s="2179"/>
      <c r="V110" s="2179"/>
      <c r="W110" s="2179"/>
      <c r="X110" s="78"/>
      <c r="Y110" s="1185"/>
      <c r="Z110" s="431"/>
      <c r="AA110" s="431"/>
      <c r="AB110" s="1179"/>
      <c r="AC110" s="1179"/>
      <c r="AD110" s="1179"/>
      <c r="AE110" s="1179"/>
      <c r="AF110" s="1179"/>
      <c r="AG110" s="431"/>
      <c r="AH110" s="431"/>
      <c r="AI110" s="431"/>
      <c r="AJ110" s="431"/>
      <c r="AK110" s="431"/>
      <c r="AL110" s="431"/>
      <c r="AM110" s="431"/>
      <c r="AN110" s="431"/>
      <c r="AO110" s="431"/>
      <c r="AP110" s="431"/>
      <c r="AQ110" s="431"/>
      <c r="AR110" s="431"/>
      <c r="AS110" s="431"/>
      <c r="AT110" s="431"/>
    </row>
    <row r="111" spans="1:65" s="936" customFormat="1" ht="17.25" customHeight="1">
      <c r="A111" s="588"/>
      <c r="B111" s="23"/>
      <c r="C111" s="70" t="s">
        <v>3092</v>
      </c>
      <c r="D111" s="23"/>
      <c r="E111" s="23"/>
      <c r="F111" s="23"/>
      <c r="G111" s="23"/>
      <c r="H111" s="23"/>
      <c r="I111" s="23"/>
      <c r="J111" s="23"/>
      <c r="K111" s="23"/>
      <c r="L111" s="23"/>
      <c r="M111" s="23"/>
      <c r="N111" s="23"/>
      <c r="O111" s="2163"/>
      <c r="P111" s="8033" t="s">
        <v>906</v>
      </c>
      <c r="Q111" s="8034"/>
      <c r="R111" s="8033" t="s">
        <v>908</v>
      </c>
      <c r="S111" s="8034"/>
      <c r="T111" s="8033" t="s">
        <v>911</v>
      </c>
      <c r="U111" s="8219"/>
      <c r="V111" s="8033" t="s">
        <v>763</v>
      </c>
      <c r="W111" s="8216"/>
      <c r="X111" s="78"/>
      <c r="Y111" s="1185"/>
      <c r="Z111" s="431"/>
      <c r="AA111" s="431"/>
      <c r="AB111" s="1179"/>
      <c r="AC111" s="1179"/>
      <c r="AD111" s="1179"/>
      <c r="AE111" s="1179"/>
      <c r="AF111" s="1179"/>
      <c r="AG111" s="431"/>
      <c r="AH111" s="431"/>
      <c r="AI111" s="431"/>
      <c r="AJ111" s="431"/>
      <c r="AK111" s="431"/>
      <c r="AL111" s="431"/>
      <c r="AM111" s="431"/>
      <c r="AN111" s="431"/>
      <c r="AO111" s="431"/>
      <c r="AP111" s="431"/>
      <c r="AQ111" s="431"/>
      <c r="AR111" s="431"/>
      <c r="AS111" s="431"/>
      <c r="AT111" s="431"/>
      <c r="AU111"/>
      <c r="AV111" s="866"/>
      <c r="AW111"/>
      <c r="AX111"/>
      <c r="AY111"/>
      <c r="AZ111"/>
      <c r="BA111"/>
      <c r="BB111"/>
      <c r="BC111" s="2595"/>
      <c r="BD111" s="2595"/>
      <c r="BE111" s="2595"/>
      <c r="BF111" s="2595"/>
      <c r="BG111" s="2595"/>
      <c r="BH111" s="2595"/>
      <c r="BI111" s="2595"/>
      <c r="BJ111" s="2595"/>
      <c r="BK111" s="2595"/>
      <c r="BL111" s="2595"/>
      <c r="BM111" s="2595"/>
    </row>
    <row r="112" spans="1:65" ht="20.25" customHeight="1" thickBot="1">
      <c r="A112" s="588"/>
      <c r="B112" s="38"/>
      <c r="C112" s="1005" t="str">
        <f>"Instead, use the following: "&amp;TEXT(P113,"m/dd/yy")&amp;", "&amp; TEXT(R113,"m/dd/yy")&amp;", "&amp; TEXT(T113,"m/dd/yy")&amp;", and "&amp;TEXT(V113,"m/dd/yy")&amp;"."</f>
        <v>Instead, use the following: 2/28/21, 4/30/21, 7/31/21, and 11/30/21.</v>
      </c>
      <c r="D112" s="23"/>
      <c r="E112" s="23"/>
      <c r="F112" s="23"/>
      <c r="G112" s="23"/>
      <c r="H112" s="23"/>
      <c r="I112" s="23"/>
      <c r="J112" s="23"/>
      <c r="K112" s="23"/>
      <c r="L112" s="23"/>
      <c r="M112" s="23"/>
      <c r="N112" s="23"/>
      <c r="O112" s="2164"/>
      <c r="P112" s="8251" t="str">
        <f>"1/1/"&amp;TaxYear-2000&amp;"–3/31/"&amp;TaxYear-2000</f>
        <v>1/1/21–3/31/21</v>
      </c>
      <c r="Q112" s="8252"/>
      <c r="R112" s="8251" t="str">
        <f>"1/1/"&amp;TaxYear-2000&amp;"–5/31/"&amp;TaxYear-2000</f>
        <v>1/1/21–5/31/21</v>
      </c>
      <c r="S112" s="8252"/>
      <c r="T112" s="8251" t="str">
        <f>"1/1/"&amp;TaxYear-2000&amp;"–8/31/"&amp;TaxYear-2000</f>
        <v>1/1/21–8/31/21</v>
      </c>
      <c r="U112" s="8252"/>
      <c r="V112" s="8272" t="str">
        <f>"1/1/"&amp;TaxYear-2000&amp;"–12/31/"&amp;TaxYear-2000</f>
        <v>1/1/21–12/31/21</v>
      </c>
      <c r="W112" s="8273"/>
      <c r="X112" s="78"/>
      <c r="Y112" s="1185"/>
      <c r="Z112" s="431"/>
      <c r="AA112" s="431"/>
      <c r="AB112" s="1179"/>
      <c r="AC112" s="1179"/>
      <c r="AD112" s="1179"/>
      <c r="AE112" s="1179"/>
      <c r="AF112" s="1179"/>
      <c r="AG112" s="431"/>
      <c r="AH112" s="431"/>
      <c r="AI112" s="431"/>
      <c r="AJ112" s="431"/>
      <c r="AK112" s="431"/>
      <c r="AL112" s="431"/>
      <c r="AM112" s="431"/>
      <c r="AN112" s="431"/>
      <c r="AO112" s="431"/>
      <c r="AP112" s="431"/>
      <c r="AQ112" s="431"/>
      <c r="AR112" s="431"/>
      <c r="AS112" s="431"/>
      <c r="AT112" s="431"/>
    </row>
    <row r="113" spans="1:65" ht="16.5" customHeight="1">
      <c r="A113" s="588"/>
      <c r="B113" s="2143" t="s">
        <v>1758</v>
      </c>
      <c r="C113" s="2138"/>
      <c r="D113" s="2138"/>
      <c r="E113" s="2154" t="s">
        <v>1779</v>
      </c>
      <c r="F113" s="2139"/>
      <c r="G113" s="2139"/>
      <c r="H113" s="2139"/>
      <c r="I113" s="2139"/>
      <c r="J113" s="2139"/>
      <c r="K113" s="2871"/>
      <c r="L113" s="2139"/>
      <c r="M113" s="2139"/>
      <c r="N113" s="2139"/>
      <c r="O113" s="2139"/>
      <c r="P113" s="8256">
        <f>DATEVALUE("1-Mar-"&amp;TaxYear)-1</f>
        <v>44255</v>
      </c>
      <c r="Q113" s="8257"/>
      <c r="R113" s="8256">
        <f>DATEVALUE("30-Apr-"&amp;TaxYear)</f>
        <v>44316</v>
      </c>
      <c r="S113" s="8257"/>
      <c r="T113" s="8256">
        <f>DATEVALUE("31-Jul-"&amp;TaxYear)</f>
        <v>44408</v>
      </c>
      <c r="U113" s="8257"/>
      <c r="V113" s="8256">
        <f>DATEVALUE("30-Nov-"&amp;TaxYear)</f>
        <v>44530</v>
      </c>
      <c r="W113" s="8257"/>
      <c r="X113" s="655"/>
      <c r="Y113" s="1185"/>
      <c r="Z113" s="431"/>
      <c r="AA113" s="431"/>
      <c r="AB113" s="1179"/>
      <c r="AC113" s="1179"/>
      <c r="AD113" s="1179"/>
      <c r="AE113" s="1179"/>
      <c r="AF113" s="1179"/>
      <c r="AG113" s="431"/>
      <c r="AH113" s="431"/>
      <c r="AI113" s="431"/>
      <c r="AJ113" s="431"/>
      <c r="AK113" s="431"/>
      <c r="AL113" s="431"/>
      <c r="AM113" s="431"/>
      <c r="AN113" s="431"/>
      <c r="AO113" s="431"/>
      <c r="AP113" s="431"/>
      <c r="AQ113" s="431"/>
      <c r="AR113" s="431"/>
      <c r="AS113" s="431"/>
      <c r="AT113" s="431"/>
    </row>
    <row r="114" spans="1:65" ht="13.5" customHeight="1">
      <c r="A114" s="588"/>
      <c r="B114" s="70"/>
      <c r="C114" s="48">
        <v>1</v>
      </c>
      <c r="D114" s="132" t="s">
        <v>5528</v>
      </c>
      <c r="E114" s="23"/>
      <c r="F114" s="23"/>
      <c r="G114" s="23"/>
      <c r="H114" s="23"/>
      <c r="I114" s="23"/>
      <c r="J114" s="23"/>
      <c r="K114" s="23"/>
      <c r="L114" s="23"/>
      <c r="M114" s="23"/>
      <c r="N114" s="23"/>
      <c r="O114" s="429"/>
      <c r="P114" s="387"/>
      <c r="Q114" s="427"/>
      <c r="R114" s="387"/>
      <c r="S114" s="2158"/>
      <c r="T114" s="994"/>
      <c r="U114" s="2158"/>
      <c r="V114" s="2157"/>
      <c r="W114" s="994"/>
      <c r="X114" s="78"/>
      <c r="Y114" s="1185"/>
      <c r="Z114" s="431"/>
      <c r="AA114" s="431"/>
      <c r="AB114" s="1179"/>
      <c r="AC114" s="1179"/>
      <c r="AD114" s="1179"/>
      <c r="AE114" s="1179"/>
      <c r="AF114" s="1179"/>
      <c r="AG114" s="431"/>
      <c r="AH114" s="431"/>
      <c r="AI114" s="431"/>
      <c r="AJ114" s="431"/>
      <c r="AK114" s="431"/>
      <c r="AL114" s="431"/>
      <c r="AM114" s="431"/>
      <c r="AN114" s="431"/>
      <c r="AO114" s="431"/>
      <c r="AP114" s="431"/>
      <c r="AQ114" s="431"/>
      <c r="AR114" s="431"/>
      <c r="AS114" s="431"/>
      <c r="AT114" s="431"/>
    </row>
    <row r="115" spans="1:65" ht="15" customHeight="1">
      <c r="A115" s="588"/>
      <c r="B115" s="23"/>
      <c r="C115" s="48"/>
      <c r="D115" s="132" t="s">
        <v>5529</v>
      </c>
      <c r="E115" s="23"/>
      <c r="F115" s="23"/>
      <c r="G115" s="23"/>
      <c r="H115" s="23"/>
      <c r="I115" s="23"/>
      <c r="J115" s="23"/>
      <c r="K115" s="23"/>
      <c r="L115" s="23"/>
      <c r="M115" s="23"/>
      <c r="N115" s="23"/>
      <c r="O115" s="429"/>
      <c r="P115" s="387"/>
      <c r="Q115" s="427"/>
      <c r="R115" s="387"/>
      <c r="S115" s="2158"/>
      <c r="T115" s="994"/>
      <c r="U115" s="2158"/>
      <c r="V115" s="2157"/>
      <c r="W115" s="994"/>
      <c r="X115" s="78"/>
      <c r="Y115" s="1185"/>
      <c r="Z115" s="431"/>
      <c r="AA115" s="431"/>
      <c r="AB115" s="1179"/>
      <c r="AC115" s="1179"/>
      <c r="AD115" s="1179"/>
      <c r="AE115" s="1179"/>
      <c r="AF115" s="1179"/>
      <c r="AG115" s="431"/>
      <c r="AH115" s="431"/>
      <c r="AI115" s="431"/>
      <c r="AJ115" s="431"/>
      <c r="AK115" s="431"/>
      <c r="AL115" s="431"/>
      <c r="AM115" s="431"/>
      <c r="AN115" s="431"/>
      <c r="AO115" s="431"/>
      <c r="AP115" s="431"/>
      <c r="AQ115" s="431"/>
      <c r="AR115" s="431"/>
      <c r="AS115" s="431"/>
      <c r="AT115" s="431"/>
    </row>
    <row r="116" spans="1:65" ht="15" customHeight="1">
      <c r="A116" s="588"/>
      <c r="B116" s="23"/>
      <c r="C116" s="48"/>
      <c r="D116" s="132" t="s">
        <v>1780</v>
      </c>
      <c r="E116" s="23"/>
      <c r="F116" s="23"/>
      <c r="G116" s="23"/>
      <c r="H116" s="23"/>
      <c r="I116" s="23"/>
      <c r="J116" s="23"/>
      <c r="K116" s="23"/>
      <c r="L116" s="23"/>
      <c r="M116" s="23"/>
      <c r="N116" s="1355" t="s">
        <v>630</v>
      </c>
      <c r="O116" s="2165">
        <v>1</v>
      </c>
      <c r="P116" s="8212"/>
      <c r="Q116" s="8213"/>
      <c r="R116" s="8212"/>
      <c r="S116" s="8213"/>
      <c r="T116" s="8212"/>
      <c r="U116" s="8213"/>
      <c r="V116" s="8212"/>
      <c r="W116" s="8298"/>
      <c r="X116" s="78"/>
      <c r="Y116" s="1185"/>
      <c r="Z116" s="431"/>
      <c r="AA116" s="431"/>
      <c r="AB116" s="1179"/>
      <c r="AC116" s="1179"/>
      <c r="AD116" s="1179"/>
      <c r="AE116" s="1179"/>
      <c r="AF116" s="1179"/>
      <c r="AG116" s="431"/>
      <c r="AH116" s="431"/>
      <c r="AI116" s="431"/>
      <c r="AJ116" s="431"/>
      <c r="AK116" s="431"/>
      <c r="AL116" s="431"/>
      <c r="AM116" s="431"/>
      <c r="AN116" s="431"/>
      <c r="AO116" s="431"/>
      <c r="AP116" s="431"/>
      <c r="AQ116" s="431"/>
      <c r="AR116" s="431"/>
      <c r="AS116" s="431"/>
      <c r="AT116" s="431"/>
      <c r="AU116" s="42"/>
      <c r="AV116" s="1732"/>
      <c r="AW116" s="42"/>
      <c r="AX116" s="42"/>
      <c r="AY116" s="42"/>
      <c r="AZ116" s="42"/>
      <c r="BA116" s="42"/>
      <c r="BB116" s="42"/>
    </row>
    <row r="117" spans="1:65" ht="13.5" customHeight="1">
      <c r="A117" s="588"/>
      <c r="B117" s="23"/>
      <c r="C117" s="48">
        <v>2</v>
      </c>
      <c r="D117" s="2668" t="s">
        <v>3104</v>
      </c>
      <c r="E117" s="23"/>
      <c r="F117" s="23"/>
      <c r="G117" s="23"/>
      <c r="H117" s="23"/>
      <c r="I117" s="23"/>
      <c r="J117" s="23"/>
      <c r="K117" s="23"/>
      <c r="L117" s="23"/>
      <c r="M117" s="23"/>
      <c r="N117" s="23"/>
      <c r="O117" s="2165">
        <v>2</v>
      </c>
      <c r="P117" s="8301">
        <v>4</v>
      </c>
      <c r="Q117" s="8302"/>
      <c r="R117" s="8253">
        <v>2.4</v>
      </c>
      <c r="S117" s="8254"/>
      <c r="T117" s="8210">
        <v>1.5</v>
      </c>
      <c r="U117" s="8211"/>
      <c r="V117" s="8275">
        <v>1</v>
      </c>
      <c r="W117" s="8276"/>
      <c r="X117" s="78"/>
      <c r="Y117" s="1185"/>
      <c r="Z117" s="431"/>
      <c r="AA117" s="431"/>
      <c r="AB117" s="1179"/>
      <c r="AC117" s="1179"/>
      <c r="AD117" s="1179"/>
      <c r="AE117" s="1179"/>
      <c r="AF117" s="1179"/>
      <c r="AG117" s="431"/>
      <c r="AH117" s="431"/>
      <c r="AI117" s="431"/>
      <c r="AJ117" s="431"/>
      <c r="AK117" s="431"/>
      <c r="AL117" s="431"/>
      <c r="AM117" s="431"/>
      <c r="AN117" s="431"/>
      <c r="AO117" s="431"/>
      <c r="AP117" s="431"/>
      <c r="AQ117" s="431"/>
      <c r="AR117" s="431"/>
      <c r="AS117" s="431"/>
      <c r="AT117" s="431"/>
      <c r="AU117" s="42"/>
      <c r="AV117" s="1732"/>
      <c r="AW117" s="42"/>
      <c r="AX117" s="42"/>
      <c r="AY117" s="42"/>
      <c r="AZ117" s="42"/>
      <c r="BA117" s="42"/>
      <c r="BB117" s="42"/>
    </row>
    <row r="118" spans="1:65" ht="13.5" customHeight="1">
      <c r="A118" s="588"/>
      <c r="B118" s="23"/>
      <c r="C118" s="48">
        <v>3</v>
      </c>
      <c r="D118" s="132" t="s">
        <v>1781</v>
      </c>
      <c r="E118" s="23"/>
      <c r="F118" s="23"/>
      <c r="G118" s="23"/>
      <c r="H118" s="23"/>
      <c r="I118" s="23"/>
      <c r="J118" s="23"/>
      <c r="K118" s="23"/>
      <c r="L118" s="23"/>
      <c r="M118" s="23"/>
      <c r="N118" s="1355" t="s">
        <v>717</v>
      </c>
      <c r="O118" s="2165">
        <v>3</v>
      </c>
      <c r="P118" s="8000" t="str">
        <f>IF(NOT($B$62),"",P116*P117)</f>
        <v/>
      </c>
      <c r="Q118" s="8001"/>
      <c r="R118" s="8000" t="str">
        <f>IF(NOT($B$62),"",R116*R117)</f>
        <v/>
      </c>
      <c r="S118" s="8001"/>
      <c r="T118" s="8000" t="str">
        <f>IF(NOT($B$62),"",T116*T117)</f>
        <v/>
      </c>
      <c r="U118" s="8001"/>
      <c r="V118" s="8002" t="str">
        <f>IF(NOT($B$62),"",V116*V117)</f>
        <v/>
      </c>
      <c r="W118" s="8274"/>
      <c r="X118" s="78"/>
      <c r="Y118" s="1185"/>
      <c r="Z118" s="431"/>
      <c r="AA118" s="431"/>
      <c r="AB118" s="1179"/>
      <c r="AC118" s="1179"/>
      <c r="AD118" s="1179"/>
      <c r="AE118" s="1179"/>
      <c r="AF118" s="1179"/>
      <c r="AG118" s="431"/>
      <c r="AH118" s="431"/>
      <c r="AI118" s="431"/>
      <c r="AJ118" s="431"/>
      <c r="AK118" s="431"/>
      <c r="AL118" s="431"/>
      <c r="AM118" s="431"/>
      <c r="AN118" s="431"/>
      <c r="AO118" s="431"/>
      <c r="AP118" s="431"/>
      <c r="AQ118" s="431"/>
      <c r="AR118" s="431"/>
      <c r="AS118" s="431"/>
      <c r="AT118" s="431"/>
      <c r="AU118" s="42"/>
      <c r="AV118" s="1732"/>
      <c r="AW118" s="42"/>
      <c r="AX118" s="42"/>
      <c r="AY118" s="42"/>
      <c r="AZ118" s="42"/>
      <c r="BA118" s="42"/>
      <c r="BB118" s="42"/>
    </row>
    <row r="119" spans="1:65" ht="13.5" customHeight="1">
      <c r="A119" s="588"/>
      <c r="B119" s="70"/>
      <c r="C119" s="48">
        <v>4</v>
      </c>
      <c r="D119" s="70" t="s">
        <v>1782</v>
      </c>
      <c r="E119" s="23"/>
      <c r="F119" s="23"/>
      <c r="G119" s="23"/>
      <c r="H119" s="23"/>
      <c r="I119" s="23"/>
      <c r="J119" s="23"/>
      <c r="K119" s="23"/>
      <c r="L119" s="23"/>
      <c r="M119" s="23"/>
      <c r="N119" s="23"/>
      <c r="O119" s="429"/>
      <c r="P119" s="387"/>
      <c r="Q119" s="427"/>
      <c r="R119" s="387"/>
      <c r="S119" s="2158"/>
      <c r="T119" s="994"/>
      <c r="U119" s="2158"/>
      <c r="V119" s="2157"/>
      <c r="W119" s="994"/>
      <c r="X119" s="78"/>
      <c r="Y119" s="1185"/>
      <c r="Z119" s="431"/>
      <c r="AA119" s="431"/>
      <c r="AB119" s="1179"/>
      <c r="AC119" s="1179"/>
      <c r="AD119" s="1179"/>
      <c r="AE119" s="1179"/>
      <c r="AF119" s="1179"/>
      <c r="AG119" s="431"/>
      <c r="AH119" s="431"/>
      <c r="AI119" s="431"/>
      <c r="AJ119" s="431"/>
      <c r="AK119" s="431"/>
      <c r="AL119" s="431"/>
      <c r="AM119" s="431"/>
      <c r="AN119" s="431"/>
      <c r="AO119" s="431"/>
      <c r="AP119" s="431"/>
      <c r="AQ119" s="431"/>
      <c r="AR119" s="431"/>
      <c r="AS119" s="431"/>
      <c r="AT119" s="431"/>
      <c r="AU119" s="42"/>
      <c r="AV119" s="1732"/>
      <c r="AW119" s="42"/>
      <c r="AX119" s="42"/>
      <c r="AY119" s="42"/>
      <c r="AZ119" s="42"/>
      <c r="BA119" s="42"/>
      <c r="BB119" s="42"/>
    </row>
    <row r="120" spans="1:65" ht="13.5" customHeight="1">
      <c r="A120" s="588"/>
      <c r="B120" s="23"/>
      <c r="C120" s="48"/>
      <c r="D120" s="70" t="s">
        <v>5531</v>
      </c>
      <c r="E120" s="23"/>
      <c r="F120" s="23"/>
      <c r="G120" s="23"/>
      <c r="H120" s="23"/>
      <c r="I120" s="23"/>
      <c r="J120" s="23"/>
      <c r="K120" s="23"/>
      <c r="L120" s="23"/>
      <c r="M120" s="23"/>
      <c r="N120" s="23"/>
      <c r="O120" s="429"/>
      <c r="P120" s="387"/>
      <c r="Q120" s="427"/>
      <c r="R120" s="387"/>
      <c r="S120" s="2158"/>
      <c r="T120" s="994"/>
      <c r="U120" s="2158"/>
      <c r="V120" s="2157"/>
      <c r="W120" s="994"/>
      <c r="X120" s="78"/>
      <c r="Y120" s="1185"/>
      <c r="Z120" s="431"/>
      <c r="AA120" s="431"/>
      <c r="AB120" s="1179"/>
      <c r="AC120" s="1179"/>
      <c r="AD120" s="1179"/>
      <c r="AE120" s="1179"/>
      <c r="AF120" s="1179"/>
      <c r="AG120" s="431"/>
      <c r="AH120" s="431"/>
      <c r="AI120" s="431"/>
      <c r="AJ120" s="431"/>
      <c r="AK120" s="431"/>
      <c r="AL120" s="431"/>
      <c r="AM120" s="431"/>
      <c r="AN120" s="431"/>
      <c r="AO120" s="431"/>
      <c r="AP120" s="431"/>
      <c r="AQ120" s="431"/>
      <c r="AR120" s="431"/>
      <c r="AS120" s="431"/>
      <c r="AT120" s="431"/>
      <c r="AU120" s="42"/>
      <c r="AV120" s="1732"/>
      <c r="AW120" s="42"/>
      <c r="AX120" s="42"/>
      <c r="AY120" s="42"/>
      <c r="AZ120" s="42"/>
      <c r="BA120" s="42"/>
      <c r="BB120" s="42"/>
    </row>
    <row r="121" spans="1:65" ht="13.5" customHeight="1">
      <c r="A121" s="588"/>
      <c r="B121" s="23"/>
      <c r="C121" s="48"/>
      <c r="D121" s="70" t="s">
        <v>5530</v>
      </c>
      <c r="E121" s="23"/>
      <c r="F121" s="23"/>
      <c r="G121" s="23"/>
      <c r="H121" s="23"/>
      <c r="I121" s="23"/>
      <c r="J121" s="23"/>
      <c r="K121" s="23"/>
      <c r="L121" s="23"/>
      <c r="M121" s="23"/>
      <c r="N121" s="1355" t="s">
        <v>1037</v>
      </c>
      <c r="O121" s="2165">
        <v>4</v>
      </c>
      <c r="P121" s="8212">
        <v>0</v>
      </c>
      <c r="Q121" s="8213"/>
      <c r="R121" s="8212">
        <v>0</v>
      </c>
      <c r="S121" s="8213"/>
      <c r="T121" s="8212">
        <v>0</v>
      </c>
      <c r="U121" s="8213"/>
      <c r="V121" s="8212">
        <v>0</v>
      </c>
      <c r="W121" s="8298"/>
      <c r="X121" s="78"/>
      <c r="Y121" s="1185"/>
      <c r="Z121" s="431"/>
      <c r="AA121" s="431"/>
      <c r="AB121" s="1179"/>
      <c r="AC121" s="1179"/>
      <c r="AD121" s="1179"/>
      <c r="AE121" s="1179"/>
      <c r="AF121" s="1179"/>
      <c r="AG121" s="431"/>
      <c r="AH121" s="431"/>
      <c r="AI121" s="431"/>
      <c r="AJ121" s="431"/>
      <c r="AK121" s="431"/>
      <c r="AL121" s="431"/>
      <c r="AM121" s="431"/>
      <c r="AN121" s="431"/>
      <c r="AO121" s="431"/>
      <c r="AP121" s="431"/>
      <c r="AQ121" s="431"/>
      <c r="AR121" s="431"/>
      <c r="AS121" s="431"/>
      <c r="AT121" s="431"/>
      <c r="AU121" s="42"/>
      <c r="AV121" s="1732"/>
      <c r="AW121" s="42"/>
      <c r="AX121" s="42"/>
      <c r="AY121" s="42"/>
      <c r="AZ121" s="42"/>
      <c r="BA121" s="42"/>
      <c r="BB121" s="42"/>
    </row>
    <row r="122" spans="1:65" ht="13.5" customHeight="1">
      <c r="A122" s="588"/>
      <c r="B122" s="23"/>
      <c r="C122" s="48">
        <v>5</v>
      </c>
      <c r="D122" s="2668" t="s">
        <v>1798</v>
      </c>
      <c r="E122" s="23"/>
      <c r="F122" s="23"/>
      <c r="G122" s="23"/>
      <c r="H122" s="23"/>
      <c r="I122" s="23"/>
      <c r="J122" s="23"/>
      <c r="K122" s="23"/>
      <c r="L122" s="23"/>
      <c r="M122" s="23"/>
      <c r="N122" s="1355" t="s">
        <v>276</v>
      </c>
      <c r="O122" s="2165">
        <v>5</v>
      </c>
      <c r="P122" s="8301">
        <v>4</v>
      </c>
      <c r="Q122" s="8302"/>
      <c r="R122" s="8253">
        <v>2.4</v>
      </c>
      <c r="S122" s="8254"/>
      <c r="T122" s="8210">
        <v>1.5</v>
      </c>
      <c r="U122" s="8211"/>
      <c r="V122" s="8275">
        <v>1</v>
      </c>
      <c r="W122" s="8276"/>
      <c r="X122" s="78"/>
      <c r="Y122" s="1185"/>
      <c r="Z122" s="431"/>
      <c r="AA122" s="431"/>
      <c r="AB122" s="1179"/>
      <c r="AC122" s="1179"/>
      <c r="AD122" s="1179"/>
      <c r="AE122" s="1179"/>
      <c r="AF122" s="1179"/>
      <c r="AG122" s="431"/>
      <c r="AH122" s="431"/>
      <c r="AI122" s="431"/>
      <c r="AJ122" s="431"/>
      <c r="AK122" s="431"/>
      <c r="AL122" s="431"/>
      <c r="AM122" s="431"/>
      <c r="AN122" s="431"/>
      <c r="AO122" s="431"/>
      <c r="AP122" s="431"/>
      <c r="AQ122" s="431"/>
      <c r="AR122" s="431"/>
      <c r="AS122" s="431"/>
      <c r="AT122" s="431"/>
      <c r="AU122" s="42"/>
      <c r="AV122" s="1732"/>
      <c r="AW122" s="42"/>
      <c r="AX122" s="42"/>
      <c r="AY122" s="42"/>
      <c r="AZ122" s="42"/>
      <c r="BA122" s="42"/>
      <c r="BB122" s="42"/>
    </row>
    <row r="123" spans="1:65" ht="13.5" customHeight="1">
      <c r="A123" s="588"/>
      <c r="B123" s="23"/>
      <c r="C123" s="48">
        <v>6</v>
      </c>
      <c r="D123" s="2668" t="s">
        <v>3039</v>
      </c>
      <c r="E123" s="23"/>
      <c r="F123" s="23"/>
      <c r="G123" s="23"/>
      <c r="H123" s="23"/>
      <c r="I123" s="23"/>
      <c r="J123" s="23"/>
      <c r="K123" s="23"/>
      <c r="L123" s="23"/>
      <c r="M123" s="23"/>
      <c r="N123" s="1355" t="s">
        <v>276</v>
      </c>
      <c r="O123" s="2165">
        <v>6</v>
      </c>
      <c r="P123" s="8000" t="str">
        <f>IF(NOT($B$62),"",ROUND(P121*P122,0))</f>
        <v/>
      </c>
      <c r="Q123" s="8001"/>
      <c r="R123" s="8000" t="str">
        <f>IF(NOT($B$62),"",ROUND(R121*R122,0))</f>
        <v/>
      </c>
      <c r="S123" s="8001"/>
      <c r="T123" s="8000" t="str">
        <f>IF(NOT($B$62),"",ROUND(T121*T122,0))</f>
        <v/>
      </c>
      <c r="U123" s="8001"/>
      <c r="V123" s="8002" t="str">
        <f>IF(NOT($B$62),"",ROUND(V121*V122,0))</f>
        <v/>
      </c>
      <c r="W123" s="8274"/>
      <c r="X123" s="78"/>
      <c r="Y123" s="1185"/>
      <c r="Z123" s="431"/>
      <c r="AA123" s="431"/>
      <c r="AB123" s="1179"/>
      <c r="AC123" s="1179"/>
      <c r="AD123" s="1179"/>
      <c r="AE123" s="1179"/>
      <c r="AF123" s="1179"/>
      <c r="AG123" s="431"/>
      <c r="AH123" s="431"/>
      <c r="AI123" s="431"/>
      <c r="AJ123" s="431"/>
      <c r="AK123" s="431"/>
      <c r="AL123" s="431"/>
      <c r="AM123" s="431"/>
      <c r="AN123" s="431"/>
      <c r="AO123" s="431"/>
      <c r="AP123" s="431"/>
      <c r="AQ123" s="431"/>
      <c r="AR123" s="431"/>
      <c r="AS123" s="431"/>
      <c r="AT123" s="431"/>
      <c r="AU123" s="42"/>
      <c r="AV123" s="1732"/>
      <c r="AW123" s="42"/>
      <c r="AX123" s="42"/>
      <c r="AY123" s="42"/>
      <c r="AZ123" s="42"/>
      <c r="BA123" s="42"/>
      <c r="BB123" s="42"/>
    </row>
    <row r="124" spans="1:65" s="586" customFormat="1" ht="13.5" customHeight="1">
      <c r="A124" s="588"/>
      <c r="B124" s="24"/>
      <c r="C124" s="48">
        <v>7</v>
      </c>
      <c r="D124" s="412" t="s">
        <v>1783</v>
      </c>
      <c r="E124" s="23"/>
      <c r="F124" s="23"/>
      <c r="G124" s="23"/>
      <c r="H124" s="23"/>
      <c r="I124" s="23"/>
      <c r="J124" s="23"/>
      <c r="K124" s="23"/>
      <c r="L124" s="23"/>
      <c r="M124" s="23"/>
      <c r="N124" s="23"/>
      <c r="O124" s="429"/>
      <c r="P124" s="8258"/>
      <c r="Q124" s="8259"/>
      <c r="R124" s="387"/>
      <c r="S124" s="2158"/>
      <c r="T124" s="994"/>
      <c r="U124" s="2158"/>
      <c r="V124" s="2157"/>
      <c r="W124" s="994"/>
      <c r="X124" s="78"/>
      <c r="Y124" s="1185"/>
      <c r="Z124" s="431"/>
      <c r="AA124" s="431"/>
      <c r="AB124" s="1179"/>
      <c r="AC124" s="1179"/>
      <c r="AD124" s="1179"/>
      <c r="AE124" s="1179"/>
      <c r="AF124" s="1179"/>
      <c r="AG124" s="431"/>
      <c r="AH124" s="431"/>
      <c r="AI124" s="431"/>
      <c r="AJ124" s="431"/>
      <c r="AK124" s="431"/>
      <c r="AL124" s="431"/>
      <c r="AM124" s="431"/>
      <c r="AN124" s="431"/>
      <c r="AO124" s="431"/>
      <c r="AP124" s="431"/>
      <c r="AQ124" s="431"/>
      <c r="AR124" s="431"/>
      <c r="AS124" s="431"/>
      <c r="AT124" s="431"/>
      <c r="AU124" s="42"/>
      <c r="AV124" s="1732"/>
      <c r="AW124" s="42"/>
      <c r="AX124" s="42"/>
      <c r="AY124" s="42"/>
      <c r="AZ124" s="42"/>
      <c r="BA124" s="42"/>
      <c r="BB124" s="42"/>
      <c r="BC124" s="2595"/>
      <c r="BD124" s="2595"/>
      <c r="BE124" s="2595"/>
      <c r="BF124" s="2595"/>
      <c r="BG124" s="2595"/>
      <c r="BH124" s="2595"/>
      <c r="BI124" s="2595"/>
      <c r="BJ124" s="2595"/>
      <c r="BK124" s="2595"/>
      <c r="BL124" s="2595"/>
      <c r="BM124" s="2595"/>
    </row>
    <row r="125" spans="1:65" ht="13.5" customHeight="1">
      <c r="A125" s="588"/>
      <c r="B125" s="70"/>
      <c r="C125" s="48"/>
      <c r="D125" s="412" t="s">
        <v>5532</v>
      </c>
      <c r="E125" s="23"/>
      <c r="F125" s="23"/>
      <c r="G125" s="23"/>
      <c r="H125" s="23"/>
      <c r="I125" s="23"/>
      <c r="J125" s="23"/>
      <c r="K125" s="23"/>
      <c r="L125" s="23"/>
      <c r="M125" s="23"/>
      <c r="N125" s="23"/>
      <c r="O125" s="429"/>
      <c r="P125" s="387"/>
      <c r="Q125" s="427"/>
      <c r="R125" s="387"/>
      <c r="S125" s="2158"/>
      <c r="T125" s="994"/>
      <c r="U125" s="2158"/>
      <c r="V125" s="2157"/>
      <c r="W125" s="994"/>
      <c r="X125" s="78"/>
      <c r="Y125" s="1185"/>
      <c r="Z125" s="431"/>
      <c r="AA125" s="431"/>
      <c r="AB125" s="1179"/>
      <c r="AC125" s="1179"/>
      <c r="AD125" s="1179"/>
      <c r="AE125" s="1179"/>
      <c r="AF125" s="1179"/>
      <c r="AG125" s="431"/>
      <c r="AH125" s="431"/>
      <c r="AI125" s="431"/>
      <c r="AJ125" s="431"/>
      <c r="AK125" s="431"/>
      <c r="AL125" s="431"/>
      <c r="AM125" s="431"/>
      <c r="AN125" s="431"/>
      <c r="AO125" s="431"/>
      <c r="AP125" s="431"/>
      <c r="AQ125" s="431"/>
      <c r="AR125" s="431"/>
      <c r="AS125" s="431"/>
      <c r="AT125" s="431"/>
      <c r="AU125" s="42"/>
      <c r="AV125" s="1732"/>
      <c r="AW125" s="42"/>
      <c r="AX125" s="42"/>
      <c r="AY125" s="42"/>
      <c r="AZ125" s="42"/>
      <c r="BA125" s="42"/>
      <c r="BB125" s="42"/>
    </row>
    <row r="126" spans="1:65" ht="13.5" customHeight="1">
      <c r="A126" s="588"/>
      <c r="B126" s="23"/>
      <c r="C126" s="48"/>
      <c r="D126" s="2668" t="s">
        <v>5533</v>
      </c>
      <c r="E126" s="23"/>
      <c r="F126" s="23"/>
      <c r="G126" s="23"/>
      <c r="H126" s="23"/>
      <c r="I126" s="23"/>
      <c r="J126" s="23"/>
      <c r="K126" s="23"/>
      <c r="L126" s="23"/>
      <c r="M126" s="23"/>
      <c r="N126" s="23"/>
      <c r="O126" s="429"/>
      <c r="P126" s="8277">
        <f>Standard</f>
        <v>0</v>
      </c>
      <c r="Q126" s="8278"/>
      <c r="R126" s="387"/>
      <c r="S126" s="2158"/>
      <c r="T126" s="994"/>
      <c r="U126" s="2158"/>
      <c r="V126" s="2157"/>
      <c r="W126" s="994"/>
      <c r="X126" s="78"/>
      <c r="Y126" s="1185"/>
      <c r="Z126" s="431"/>
      <c r="AA126" s="431"/>
      <c r="AB126" s="1179"/>
      <c r="AC126" s="1179"/>
      <c r="AD126" s="1179"/>
      <c r="AE126" s="1179"/>
      <c r="AF126" s="1179"/>
      <c r="AG126" s="431"/>
      <c r="AH126" s="431"/>
      <c r="AI126" s="431"/>
      <c r="AJ126" s="431"/>
      <c r="AK126" s="431"/>
      <c r="AL126" s="431"/>
      <c r="AM126" s="431"/>
      <c r="AN126" s="431"/>
      <c r="AO126" s="431"/>
      <c r="AP126" s="431"/>
      <c r="AQ126" s="431"/>
      <c r="AR126" s="431"/>
      <c r="AS126" s="431"/>
      <c r="AT126" s="431"/>
      <c r="AU126" s="42"/>
      <c r="AV126" s="1732"/>
      <c r="AW126" s="42"/>
      <c r="AX126" s="42"/>
      <c r="AY126" s="42"/>
      <c r="AZ126" s="42"/>
      <c r="BA126" s="42"/>
      <c r="BB126" s="42"/>
    </row>
    <row r="127" spans="1:65" ht="14.25">
      <c r="A127" s="588"/>
      <c r="B127" s="23"/>
      <c r="C127" s="48"/>
      <c r="D127" s="412" t="s">
        <v>3040</v>
      </c>
      <c r="E127" s="23"/>
      <c r="F127" s="23"/>
      <c r="G127" s="23"/>
      <c r="H127" s="23"/>
      <c r="I127" s="23"/>
      <c r="J127" s="23"/>
      <c r="K127" s="23"/>
      <c r="L127" s="23"/>
      <c r="M127" s="23"/>
      <c r="N127" s="1355" t="s">
        <v>718</v>
      </c>
      <c r="O127" s="2165">
        <v>7</v>
      </c>
      <c r="P127" s="8000" t="str">
        <f>IF(NOT($B$62),"",IF(OR(P116="",P121=""),"",$P$126))</f>
        <v/>
      </c>
      <c r="Q127" s="8001"/>
      <c r="R127" s="8000" t="str">
        <f>IF(NOT($B$62),"",IF(OR(R116="",R121=""),"",$P$126))</f>
        <v/>
      </c>
      <c r="S127" s="8001"/>
      <c r="T127" s="8000" t="str">
        <f>IF(NOT($B$62),"",IF(OR(T116="",T121=""),"",$P$126))</f>
        <v/>
      </c>
      <c r="U127" s="8001"/>
      <c r="V127" s="8000" t="str">
        <f>IF(NOT($B$62),"",IF(OR(V116="",V121=""),"",$P$126))</f>
        <v/>
      </c>
      <c r="W127" s="7775"/>
      <c r="X127" s="78"/>
      <c r="Y127" s="1185"/>
      <c r="Z127" s="431"/>
      <c r="AA127" s="431"/>
      <c r="AB127" s="1179"/>
      <c r="AC127" s="1179"/>
      <c r="AD127" s="1179"/>
      <c r="AE127" s="1179"/>
      <c r="AF127" s="1179"/>
      <c r="AG127" s="431"/>
      <c r="AH127" s="431"/>
      <c r="AI127" s="431"/>
      <c r="AJ127" s="431"/>
      <c r="AK127" s="431"/>
      <c r="AL127" s="431"/>
      <c r="AM127" s="431"/>
      <c r="AN127" s="431"/>
      <c r="AO127" s="431"/>
      <c r="AP127" s="431"/>
      <c r="AQ127" s="431"/>
      <c r="AR127" s="431"/>
      <c r="AS127" s="431"/>
      <c r="AT127" s="431"/>
      <c r="AU127" s="42"/>
      <c r="AV127" s="1732"/>
      <c r="AW127" s="42"/>
      <c r="AX127" s="42"/>
      <c r="AY127" s="42"/>
      <c r="AZ127" s="42"/>
      <c r="BA127" s="42"/>
      <c r="BB127" s="42"/>
    </row>
    <row r="128" spans="1:65" ht="13.5" customHeight="1">
      <c r="A128" s="588"/>
      <c r="B128" s="23"/>
      <c r="C128" s="48">
        <v>8</v>
      </c>
      <c r="D128" s="2668" t="s">
        <v>3093</v>
      </c>
      <c r="E128" s="23"/>
      <c r="F128" s="23"/>
      <c r="G128" s="23"/>
      <c r="H128" s="23"/>
      <c r="I128" s="23"/>
      <c r="J128" s="23"/>
      <c r="K128" s="23"/>
      <c r="L128" s="23"/>
      <c r="M128" s="23"/>
      <c r="N128" s="1355" t="s">
        <v>698</v>
      </c>
      <c r="O128" s="2165">
        <v>8</v>
      </c>
      <c r="P128" s="8000" t="str">
        <f>IF(NOT($B$62),"",IF(OR(P116="",P121=""),"",MAX(P123,P127)))</f>
        <v/>
      </c>
      <c r="Q128" s="8001"/>
      <c r="R128" s="8000" t="str">
        <f>IF(NOT($B$62),"",IF(OR(R116="",R121=""),"",MAX(R123,R127)))</f>
        <v/>
      </c>
      <c r="S128" s="8001"/>
      <c r="T128" s="8000" t="str">
        <f>IF(NOT($B$62),"",IF(OR(T116="",T121=""),"",MAX(T123,T127)))</f>
        <v/>
      </c>
      <c r="U128" s="8001"/>
      <c r="V128" s="8000" t="str">
        <f>IF(NOT($B$62),"",IF(OR(V116="",V121=""),"",MAX(V123,V127)))</f>
        <v/>
      </c>
      <c r="W128" s="7775"/>
      <c r="X128" s="78"/>
      <c r="Y128" s="1185"/>
      <c r="Z128" s="431"/>
      <c r="AA128" s="431"/>
      <c r="AB128" s="1179"/>
      <c r="AC128" s="1179"/>
      <c r="AD128" s="1179"/>
      <c r="AE128" s="1179"/>
      <c r="AF128" s="1179"/>
      <c r="AG128" s="431"/>
      <c r="AH128" s="431"/>
      <c r="AI128" s="431"/>
      <c r="AJ128" s="431"/>
      <c r="AK128" s="431"/>
      <c r="AL128" s="431"/>
      <c r="AM128" s="431"/>
      <c r="AN128" s="431"/>
      <c r="AO128" s="431"/>
      <c r="AP128" s="431"/>
      <c r="AQ128" s="431"/>
      <c r="AR128" s="431"/>
      <c r="AS128" s="431"/>
      <c r="AT128" s="431"/>
      <c r="AU128" s="42"/>
      <c r="AV128" s="1732"/>
      <c r="AW128" s="42"/>
      <c r="AX128" s="42"/>
      <c r="AY128" s="42"/>
      <c r="AZ128" s="42"/>
      <c r="BA128" s="42"/>
      <c r="BB128" s="42"/>
    </row>
    <row r="129" spans="1:90" ht="10.5" customHeight="1">
      <c r="A129" s="588"/>
      <c r="B129" s="23"/>
      <c r="C129" s="48">
        <v>9</v>
      </c>
      <c r="D129" s="2668" t="s">
        <v>4672</v>
      </c>
      <c r="E129" s="23"/>
      <c r="F129" s="23"/>
      <c r="G129" s="23"/>
      <c r="H129" s="23"/>
      <c r="I129" s="23"/>
      <c r="J129" s="23"/>
      <c r="K129" s="23"/>
      <c r="L129" s="23"/>
      <c r="M129" s="23"/>
      <c r="N129" s="1355"/>
      <c r="O129" s="5076"/>
      <c r="P129" s="8270"/>
      <c r="Q129" s="8271"/>
      <c r="R129" s="8270"/>
      <c r="S129" s="8271"/>
      <c r="T129" s="8270"/>
      <c r="U129" s="8271"/>
      <c r="V129" s="8270"/>
      <c r="W129" s="8327"/>
      <c r="X129" s="78"/>
      <c r="Y129" s="1185"/>
      <c r="Z129" s="431"/>
      <c r="AA129" s="431"/>
      <c r="AB129" s="1179"/>
      <c r="AC129" s="1179"/>
      <c r="AD129" s="1179"/>
      <c r="AE129" s="1179"/>
      <c r="AF129" s="1179"/>
      <c r="AG129" s="431"/>
      <c r="AH129" s="431"/>
      <c r="AI129" s="431"/>
      <c r="AJ129" s="431"/>
      <c r="AK129" s="431"/>
      <c r="AL129" s="431"/>
      <c r="AM129" s="431"/>
      <c r="AN129" s="431"/>
      <c r="AO129" s="431"/>
      <c r="AP129" s="431"/>
      <c r="AQ129" s="431"/>
      <c r="AR129" s="431"/>
      <c r="AS129" s="431"/>
      <c r="AT129" s="431"/>
      <c r="AU129" s="42"/>
      <c r="AV129" s="1732"/>
      <c r="AW129" s="42"/>
      <c r="AX129" s="42"/>
      <c r="AY129" s="42"/>
      <c r="AZ129" s="42"/>
      <c r="BA129" s="42"/>
      <c r="BB129" s="42"/>
    </row>
    <row r="130" spans="1:90" ht="13.5" customHeight="1">
      <c r="A130" s="588"/>
      <c r="B130" s="23"/>
      <c r="C130" s="48"/>
      <c r="D130" s="2668" t="s">
        <v>4673</v>
      </c>
      <c r="E130" s="23"/>
      <c r="F130" s="23"/>
      <c r="G130" s="23"/>
      <c r="H130" s="23"/>
      <c r="I130" s="23"/>
      <c r="J130" s="23"/>
      <c r="K130" s="23"/>
      <c r="L130" s="23"/>
      <c r="M130" s="23"/>
      <c r="N130" s="1355"/>
      <c r="O130" s="2172"/>
      <c r="P130" s="5079"/>
      <c r="Q130" s="5080"/>
      <c r="R130" s="5079"/>
      <c r="S130" s="5080"/>
      <c r="T130" s="5079"/>
      <c r="U130" s="5080"/>
      <c r="V130" s="5079"/>
      <c r="W130" s="5081"/>
      <c r="X130" s="78"/>
      <c r="Y130" s="1185"/>
      <c r="Z130" s="431"/>
      <c r="AA130" s="431"/>
      <c r="AB130" s="1179"/>
      <c r="AC130" s="1179"/>
      <c r="AD130" s="1179"/>
      <c r="AE130" s="1179"/>
      <c r="AF130" s="1179"/>
      <c r="AG130" s="431"/>
      <c r="AH130" s="431"/>
      <c r="AI130" s="431"/>
      <c r="AJ130" s="431"/>
      <c r="AK130" s="431"/>
      <c r="AL130" s="431"/>
      <c r="AM130" s="431"/>
      <c r="AN130" s="431"/>
      <c r="AO130" s="431"/>
      <c r="AP130" s="431"/>
      <c r="AQ130" s="431"/>
      <c r="AR130" s="431"/>
      <c r="AS130" s="431"/>
      <c r="AT130" s="431"/>
      <c r="AU130" s="42"/>
      <c r="AV130" s="1732"/>
      <c r="AW130" s="42"/>
      <c r="AX130" s="42"/>
      <c r="AY130" s="42"/>
      <c r="AZ130" s="42"/>
      <c r="BA130" s="42"/>
      <c r="BB130" s="42"/>
    </row>
    <row r="131" spans="1:90" ht="13.5" customHeight="1" thickBot="1">
      <c r="A131" s="588"/>
      <c r="B131" s="23"/>
      <c r="C131" s="48"/>
      <c r="D131" s="2668" t="s">
        <v>4674</v>
      </c>
      <c r="E131" s="23"/>
      <c r="F131" s="23"/>
      <c r="G131" s="23"/>
      <c r="H131" s="23"/>
      <c r="I131" s="23"/>
      <c r="J131" s="23"/>
      <c r="K131" s="23"/>
      <c r="L131" s="23"/>
      <c r="M131" s="23"/>
      <c r="N131" s="1355" t="s">
        <v>629</v>
      </c>
      <c r="O131" s="2165">
        <v>9</v>
      </c>
      <c r="P131" s="5065"/>
      <c r="Q131" s="5077"/>
      <c r="R131" s="5065"/>
      <c r="S131" s="5077"/>
      <c r="T131" s="5065"/>
      <c r="U131" s="5077"/>
      <c r="V131" s="5065"/>
      <c r="W131" s="5078"/>
      <c r="X131" s="78"/>
      <c r="Y131" s="1185"/>
      <c r="Z131" s="3875" t="s">
        <v>3190</v>
      </c>
      <c r="AA131" s="1143"/>
      <c r="AB131" s="1179"/>
      <c r="AC131" s="1179"/>
      <c r="AD131" s="1179"/>
      <c r="AE131" s="1179"/>
      <c r="AF131" s="1179"/>
      <c r="AG131" s="431"/>
      <c r="AH131" s="431"/>
      <c r="AI131" s="431"/>
      <c r="AJ131" s="431"/>
      <c r="AK131" s="431"/>
      <c r="AL131" s="431"/>
      <c r="AM131" s="431"/>
      <c r="AN131" s="431"/>
      <c r="AO131" s="431"/>
      <c r="AP131" s="431"/>
      <c r="AQ131" s="431"/>
      <c r="AR131" s="431"/>
      <c r="AS131" s="431"/>
      <c r="AT131" s="431"/>
      <c r="AU131" s="42"/>
      <c r="AV131" s="1732"/>
      <c r="AW131" s="42"/>
      <c r="AX131" s="42"/>
      <c r="AY131" s="42"/>
      <c r="AZ131" s="42"/>
      <c r="BA131" s="42"/>
      <c r="BB131" s="42"/>
    </row>
    <row r="132" spans="1:90" ht="13.5" customHeight="1" thickBot="1">
      <c r="A132" s="588"/>
      <c r="B132" s="23"/>
      <c r="C132" s="48">
        <v>10</v>
      </c>
      <c r="D132" s="361" t="s">
        <v>279</v>
      </c>
      <c r="E132" s="23"/>
      <c r="F132" s="23"/>
      <c r="G132" s="23"/>
      <c r="H132" s="23"/>
      <c r="I132" s="23"/>
      <c r="J132" s="23"/>
      <c r="K132" s="23"/>
      <c r="L132" s="23"/>
      <c r="M132" s="23"/>
      <c r="N132" s="1355" t="s">
        <v>568</v>
      </c>
      <c r="O132" s="2165">
        <v>10</v>
      </c>
      <c r="P132" s="8002" t="str">
        <f>IF(NOT($B$62),"",IF(OR(P116="",P121=""),"",SUM(P128,P131)))</f>
        <v/>
      </c>
      <c r="Q132" s="8255"/>
      <c r="R132" s="8002" t="str">
        <f>IF(NOT($B$62),"",IF(OR(R116="",R121=""),"",SUM(R128,R131)))</f>
        <v/>
      </c>
      <c r="S132" s="8255"/>
      <c r="T132" s="8002" t="str">
        <f>IF(NOT($B$62),"",IF(OR(T116="",T121=""),"",SUM(T128,T131)))</f>
        <v/>
      </c>
      <c r="U132" s="8255"/>
      <c r="V132" s="8002" t="str">
        <f>IF(NOT($B$62),"",IF(OR(V116="",V121=""),"",SUM(V128,V131)))</f>
        <v/>
      </c>
      <c r="W132" s="8326"/>
      <c r="X132" s="78"/>
      <c r="Y132" s="1185"/>
      <c r="Z132" s="3340"/>
      <c r="AA132" s="1276" t="s">
        <v>504</v>
      </c>
      <c r="AB132" s="1179"/>
      <c r="AC132" s="1179"/>
      <c r="AD132" s="1179"/>
      <c r="AE132" s="1179"/>
      <c r="AF132" s="1179"/>
      <c r="AG132" s="431"/>
      <c r="AH132" s="431"/>
      <c r="AI132" s="431"/>
      <c r="AJ132" s="431"/>
      <c r="AK132" s="431"/>
      <c r="AL132" s="431"/>
      <c r="AM132" s="431"/>
      <c r="AN132" s="431"/>
      <c r="AO132" s="431"/>
      <c r="AP132" s="431"/>
      <c r="AQ132" s="431"/>
      <c r="AR132" s="431"/>
      <c r="AS132" s="431"/>
      <c r="AT132" s="431"/>
      <c r="AU132" s="42"/>
      <c r="AV132" s="1732"/>
      <c r="AW132" s="42"/>
      <c r="AX132" s="42"/>
      <c r="AY132" s="42"/>
      <c r="AZ132" s="42"/>
      <c r="BA132" s="42"/>
      <c r="BB132" s="42"/>
    </row>
    <row r="133" spans="1:90" ht="13.5" customHeight="1" thickBot="1">
      <c r="A133" s="588"/>
      <c r="B133" s="24"/>
      <c r="C133" s="48">
        <v>11</v>
      </c>
      <c r="D133" s="132" t="s">
        <v>3038</v>
      </c>
      <c r="E133" s="23"/>
      <c r="F133" s="23"/>
      <c r="G133" s="23"/>
      <c r="H133" s="23"/>
      <c r="I133" s="23"/>
      <c r="J133" s="23"/>
      <c r="K133" s="23"/>
      <c r="L133" s="23"/>
      <c r="M133" s="23"/>
      <c r="N133" s="1355" t="s">
        <v>571</v>
      </c>
      <c r="O133" s="2165">
        <v>11</v>
      </c>
      <c r="P133" s="8000" t="str">
        <f>IF(NOT($B$62),"",IF(OR(P116="",P121=""),"",SUM(P118,-P132)))</f>
        <v/>
      </c>
      <c r="Q133" s="8001"/>
      <c r="R133" s="8000" t="str">
        <f>IF(NOT($B$62),"",IF(OR(R116="",R121=""),"",SUM(R118,-R132)))</f>
        <v/>
      </c>
      <c r="S133" s="8001"/>
      <c r="T133" s="8000" t="str">
        <f>IF(NOT($B$62),"",IF(OR(T116="",T121=""),"",SUM(T118,-T132)))</f>
        <v/>
      </c>
      <c r="U133" s="8001"/>
      <c r="V133" s="8000" t="str">
        <f>IF(NOT($B$62),"",IF(OR(V116="",V121=""),"",SUM(V118,-V132)))</f>
        <v/>
      </c>
      <c r="W133" s="7775"/>
      <c r="X133" s="78"/>
      <c r="Y133" s="1185"/>
      <c r="Z133" s="3340"/>
      <c r="AA133" s="1276" t="s">
        <v>505</v>
      </c>
      <c r="AB133" s="1179"/>
      <c r="AC133" s="1179"/>
      <c r="AD133" s="1179"/>
      <c r="AE133" s="1179"/>
      <c r="AF133" s="1179"/>
      <c r="AG133" s="431"/>
      <c r="AH133" s="431"/>
      <c r="AI133" s="431"/>
      <c r="AJ133" s="431"/>
      <c r="AK133" s="431"/>
      <c r="AL133" s="431"/>
      <c r="AM133" s="431"/>
      <c r="AN133" s="431"/>
      <c r="AO133" s="431"/>
      <c r="AP133" s="431"/>
      <c r="AQ133" s="431"/>
      <c r="AR133" s="431"/>
      <c r="AS133" s="431"/>
      <c r="AT133" s="431"/>
      <c r="AU133" s="42"/>
      <c r="AV133" s="1732"/>
      <c r="AW133" s="42"/>
      <c r="AX133" s="42"/>
      <c r="AY133" s="42"/>
      <c r="AZ133" s="42"/>
      <c r="BA133" s="42"/>
      <c r="BB133" s="42"/>
    </row>
    <row r="134" spans="1:90" ht="13.5" customHeight="1" thickBot="1">
      <c r="A134" s="588"/>
      <c r="B134" s="24"/>
      <c r="C134" s="48">
        <v>12</v>
      </c>
      <c r="D134" s="132" t="s">
        <v>3511</v>
      </c>
      <c r="E134" s="23"/>
      <c r="F134" s="23"/>
      <c r="G134" s="23"/>
      <c r="H134" s="23"/>
      <c r="I134" s="23"/>
      <c r="J134" s="23"/>
      <c r="K134" s="23"/>
      <c r="L134" s="23"/>
      <c r="M134" s="23"/>
      <c r="N134" s="23"/>
      <c r="O134" s="429"/>
      <c r="P134" s="8258"/>
      <c r="Q134" s="8259"/>
      <c r="R134" s="387"/>
      <c r="S134" s="2158"/>
      <c r="T134" s="994"/>
      <c r="U134" s="2158"/>
      <c r="V134" s="3830"/>
      <c r="W134" s="2245"/>
      <c r="X134" s="78"/>
      <c r="Y134" s="1185"/>
      <c r="Z134" s="3340"/>
      <c r="AA134" s="1276" t="s">
        <v>506</v>
      </c>
      <c r="AB134" s="1179"/>
      <c r="AC134" s="1179"/>
      <c r="AD134" s="1179"/>
      <c r="AE134" s="1179"/>
      <c r="AF134" s="1179"/>
      <c r="AG134" s="431"/>
      <c r="AH134" s="431"/>
      <c r="AI134" s="431"/>
      <c r="AJ134" s="431"/>
      <c r="AK134" s="431"/>
      <c r="AL134" s="431"/>
      <c r="AM134" s="431"/>
      <c r="AN134" s="431"/>
      <c r="AO134" s="431"/>
      <c r="AP134" s="431"/>
      <c r="AQ134" s="431"/>
      <c r="AR134" s="431"/>
      <c r="AS134" s="431"/>
      <c r="AT134" s="431"/>
      <c r="AU134" s="42"/>
      <c r="AV134" s="1732"/>
      <c r="AW134" s="42"/>
      <c r="AX134" s="42"/>
      <c r="AY134" s="42"/>
      <c r="AZ134" s="42"/>
      <c r="BA134" s="42"/>
      <c r="BB134" s="42"/>
    </row>
    <row r="135" spans="1:90" ht="13.5" customHeight="1" thickBot="1">
      <c r="A135" s="588"/>
      <c r="B135" s="23"/>
      <c r="C135" s="48"/>
      <c r="D135" s="132" t="s">
        <v>3094</v>
      </c>
      <c r="E135" s="23"/>
      <c r="F135" s="23"/>
      <c r="G135" s="23"/>
      <c r="H135" s="23"/>
      <c r="I135" s="23"/>
      <c r="J135" s="23"/>
      <c r="K135" s="23"/>
      <c r="L135" s="23"/>
      <c r="M135" s="23"/>
      <c r="N135" s="1355" t="s">
        <v>1037</v>
      </c>
      <c r="O135" s="2165">
        <v>12</v>
      </c>
      <c r="P135" s="8000" t="str">
        <f>IF(Z132&lt;&gt;"",ROUND(Z132,0),IF(NOT($B$62),"",IF(OR(P116="",P121=""),"",0)))</f>
        <v/>
      </c>
      <c r="Q135" s="8001"/>
      <c r="R135" s="8000" t="str">
        <f>IF(Z133&lt;&gt;"",ROUND(Z133,0),IF(NOT($B$62),"",IF(OR(R116="",R121=""),"",0)))</f>
        <v/>
      </c>
      <c r="S135" s="8001"/>
      <c r="T135" s="8000" t="str">
        <f>IF(Z134&lt;&gt;"",ROUND(Z134,0),IF(NOT($B$62),"",IF(OR(T116="",T121=""),"",0)))</f>
        <v/>
      </c>
      <c r="U135" s="8001"/>
      <c r="V135" s="8000" t="str">
        <f>IF(Z135&lt;&gt;"",ROUND(Z135,0),IF(NOT($B$62),"",IF(OR(V116="",V121=""),"",0)))</f>
        <v/>
      </c>
      <c r="W135" s="7775"/>
      <c r="X135" s="78"/>
      <c r="Y135" s="1185"/>
      <c r="Z135" s="3340"/>
      <c r="AA135" s="1276" t="s">
        <v>507</v>
      </c>
      <c r="AB135" s="1179"/>
      <c r="AC135" s="1179"/>
      <c r="AD135" s="1179"/>
      <c r="AE135" s="1179"/>
      <c r="AF135" s="1179"/>
      <c r="AG135" s="431"/>
      <c r="AH135" s="431"/>
      <c r="AI135" s="431"/>
      <c r="AJ135" s="431"/>
      <c r="AK135" s="431"/>
      <c r="AL135" s="431"/>
      <c r="AM135" s="431"/>
      <c r="AN135" s="431"/>
      <c r="AO135" s="431"/>
      <c r="AP135" s="431"/>
      <c r="AQ135" s="431"/>
      <c r="AR135" s="431"/>
      <c r="AS135" s="431"/>
      <c r="AT135" s="431"/>
      <c r="AU135" s="42"/>
      <c r="AV135" s="1732"/>
      <c r="AW135" s="42"/>
      <c r="AX135" s="42"/>
      <c r="AY135" s="42"/>
      <c r="AZ135" s="42"/>
      <c r="BA135" s="42"/>
      <c r="BB135" s="42"/>
    </row>
    <row r="136" spans="1:90" ht="13.5" customHeight="1" thickBot="1">
      <c r="A136" s="588"/>
      <c r="B136" s="23"/>
      <c r="C136" s="48">
        <v>13</v>
      </c>
      <c r="D136" s="132" t="s">
        <v>3098</v>
      </c>
      <c r="E136" s="23"/>
      <c r="F136" s="23"/>
      <c r="G136" s="23"/>
      <c r="H136" s="23"/>
      <c r="I136" s="70"/>
      <c r="J136" s="23"/>
      <c r="K136" s="23"/>
      <c r="L136" s="23"/>
      <c r="M136" s="23"/>
      <c r="N136" s="3870" t="s">
        <v>3099</v>
      </c>
      <c r="O136" s="2165">
        <v>13</v>
      </c>
      <c r="P136" s="8000" t="str">
        <f>IF(NOT($B$62),"",IF(OR(P116="",P121=""),"",IF(SUM(P133,-P135)&lt;=0,0,SUM(P133,-P135))))</f>
        <v/>
      </c>
      <c r="Q136" s="8001"/>
      <c r="R136" s="8000" t="str">
        <f>IF(NOT($B$62),"",IF(OR(R116="",R121=""),"",IF(SUM(R133,-R135)&lt;=0,0,SUM(R133,-R135))))</f>
        <v/>
      </c>
      <c r="S136" s="8001"/>
      <c r="T136" s="8000" t="str">
        <f>IF(NOT($B$62),"",IF(OR(T116="",T121=""),"",IF(SUM(T133,-T135)&lt;=0,0,SUM(T133,-T135))))</f>
        <v/>
      </c>
      <c r="U136" s="8001"/>
      <c r="V136" s="8000" t="str">
        <f>IF(NOT($B$62),"",IF(OR(V116="",V121=""),"",IF(SUM(V133,-V135)&lt;=0,0,SUM(V133,-V135))))</f>
        <v/>
      </c>
      <c r="W136" s="7775"/>
      <c r="X136" s="78"/>
      <c r="Y136" s="1185"/>
      <c r="Z136" s="3875" t="s">
        <v>3096</v>
      </c>
      <c r="AA136" s="1143"/>
      <c r="AB136" s="1179"/>
      <c r="AC136" s="1179"/>
      <c r="AD136" s="1179"/>
      <c r="AE136" s="1179"/>
      <c r="AF136" s="1179"/>
      <c r="AG136" s="431"/>
      <c r="AH136" s="431"/>
      <c r="AI136" s="431"/>
      <c r="AJ136" s="431"/>
      <c r="AK136" s="431"/>
      <c r="AL136" s="431"/>
      <c r="AM136" s="431"/>
      <c r="AN136" s="431"/>
      <c r="AO136" s="431"/>
      <c r="AP136" s="431"/>
      <c r="AQ136" s="431"/>
      <c r="AR136" s="431"/>
      <c r="AS136" s="431"/>
      <c r="AT136" s="431"/>
      <c r="AU136" s="42"/>
      <c r="AV136" s="1732"/>
      <c r="AW136" s="42"/>
      <c r="AX136" s="42"/>
      <c r="AY136" s="42"/>
      <c r="AZ136" s="42"/>
      <c r="BA136" s="42"/>
      <c r="BB136" s="42"/>
    </row>
    <row r="137" spans="1:90" ht="13.5" customHeight="1" thickBot="1">
      <c r="A137" s="588"/>
      <c r="B137" s="23"/>
      <c r="C137" s="48">
        <v>14</v>
      </c>
      <c r="D137" s="2668" t="s">
        <v>3095</v>
      </c>
      <c r="E137" s="23"/>
      <c r="F137" s="23"/>
      <c r="G137" s="23"/>
      <c r="H137" s="23"/>
      <c r="I137" s="23"/>
      <c r="J137" s="23"/>
      <c r="K137" s="23"/>
      <c r="L137" s="23"/>
      <c r="M137" s="23"/>
      <c r="N137" s="1355"/>
      <c r="O137" s="2165">
        <v>14</v>
      </c>
      <c r="P137" s="8000" t="str">
        <f>IF(Z137&lt;&gt;"",ROUND(Z137,0),IF(NOT($B$62),"",IF(OR(P116="",P121=""),"",AK269)))</f>
        <v/>
      </c>
      <c r="Q137" s="8001"/>
      <c r="R137" s="8000" t="str">
        <f>IF(Z138&lt;&gt;"",ROUND(Z138,0),IF(NOT($B$62),"",IF(OR(R116="",R121=""),"",AM269)))</f>
        <v/>
      </c>
      <c r="S137" s="8001"/>
      <c r="T137" s="8000" t="str">
        <f>IF(Z139&lt;&gt;"",ROUND(Z139,0),IF(NOT($B$62),"",IF(OR(T116="",T121=""),"",AO269)))</f>
        <v/>
      </c>
      <c r="U137" s="8001"/>
      <c r="V137" s="8000" t="str">
        <f>IF(Z140&lt;&gt;"",ROUND(Z140,0),IF(NOT($B$62),"",IF(OR(V116="",V121=""),"",AQ269)))</f>
        <v/>
      </c>
      <c r="W137" s="7775"/>
      <c r="X137" s="78"/>
      <c r="Y137" s="1185"/>
      <c r="Z137" s="3340"/>
      <c r="AA137" s="1276" t="s">
        <v>1907</v>
      </c>
      <c r="AB137" s="1179"/>
      <c r="AC137" s="1179"/>
      <c r="AD137" s="1179"/>
      <c r="AE137" s="1179"/>
      <c r="AF137" s="1179"/>
      <c r="AG137" s="431"/>
      <c r="AH137" s="431"/>
      <c r="AI137" s="431"/>
      <c r="AJ137" s="431"/>
      <c r="AK137" s="431"/>
      <c r="AL137" s="431"/>
      <c r="AM137" s="431"/>
      <c r="AN137" s="431"/>
      <c r="AO137" s="431"/>
      <c r="AP137" s="431"/>
      <c r="AQ137" s="431"/>
      <c r="AR137" s="431"/>
      <c r="AS137" s="431"/>
      <c r="AT137" s="431"/>
      <c r="AU137" s="42"/>
      <c r="AV137" s="1732"/>
      <c r="AW137" s="42"/>
      <c r="AX137" s="42"/>
      <c r="AY137" s="42"/>
      <c r="AZ137" s="42"/>
      <c r="BA137" s="42"/>
      <c r="BB137" s="42"/>
    </row>
    <row r="138" spans="1:90" ht="13.5" customHeight="1" thickBot="1">
      <c r="A138" s="588"/>
      <c r="B138" s="24"/>
      <c r="C138" s="48">
        <v>15</v>
      </c>
      <c r="D138" s="412" t="s">
        <v>3041</v>
      </c>
      <c r="E138" s="132"/>
      <c r="F138" s="132"/>
      <c r="G138" s="132"/>
      <c r="H138" s="132"/>
      <c r="I138" s="132"/>
      <c r="J138" s="132"/>
      <c r="K138" s="132"/>
      <c r="L138" s="132"/>
      <c r="M138" s="132"/>
      <c r="N138" s="3871"/>
      <c r="O138" s="2165">
        <v>15</v>
      </c>
      <c r="P138" s="8000" t="str">
        <f>IF(NOT($B$62),"",IF(OR(P116="",P121=""),"",P170))</f>
        <v/>
      </c>
      <c r="Q138" s="8001"/>
      <c r="R138" s="8000" t="str">
        <f>IF(NOT($B$62),"",IF(OR(R116="",R121=""),"",R170))</f>
        <v/>
      </c>
      <c r="S138" s="8001"/>
      <c r="T138" s="8000" t="str">
        <f>IF(NOT($B$62),"",IF(OR(T116="",T121=""),"",T170))</f>
        <v/>
      </c>
      <c r="U138" s="8001"/>
      <c r="V138" s="8000" t="str">
        <f>IF(NOT($B$62),"",IF(OR(V116="",V121=""),"",V170))</f>
        <v/>
      </c>
      <c r="W138" s="7775"/>
      <c r="X138" s="78"/>
      <c r="Y138" s="1185"/>
      <c r="Z138" s="3340"/>
      <c r="AA138" s="1276" t="s">
        <v>1908</v>
      </c>
      <c r="AB138" s="1179"/>
      <c r="AC138" s="1179"/>
      <c r="AD138" s="1179"/>
      <c r="AE138" s="1179"/>
      <c r="AF138" s="1179"/>
      <c r="AG138" s="431"/>
      <c r="AH138" s="431"/>
      <c r="AI138" s="431"/>
      <c r="AJ138" s="431"/>
      <c r="AK138" s="431"/>
      <c r="AL138" s="431"/>
      <c r="AM138" s="431"/>
      <c r="AN138" s="431"/>
      <c r="AO138" s="431"/>
      <c r="AP138" s="431"/>
      <c r="AQ138" s="431"/>
      <c r="AR138" s="431"/>
      <c r="AS138" s="431"/>
      <c r="AT138" s="431"/>
      <c r="AU138" s="42"/>
      <c r="AV138" s="1732"/>
      <c r="AW138" s="42"/>
      <c r="AX138" s="42"/>
      <c r="AY138" s="42"/>
      <c r="AZ138" s="42"/>
      <c r="BA138" s="42"/>
      <c r="BB138" s="42"/>
      <c r="BP138" s="1291" t="str">
        <f>"AW"&amp;ROW(AW263)</f>
        <v>AW263</v>
      </c>
      <c r="BQ138" s="270" t="s">
        <v>69</v>
      </c>
      <c r="BR138" s="270" t="s">
        <v>2552</v>
      </c>
      <c r="BS138" s="270" t="s">
        <v>458</v>
      </c>
      <c r="BT138" s="270" t="s">
        <v>2000</v>
      </c>
      <c r="BV138" s="1291" t="str">
        <f>"AX"&amp;ROW(AX263)</f>
        <v>AX263</v>
      </c>
      <c r="BW138" s="270" t="s">
        <v>69</v>
      </c>
      <c r="BX138" s="270" t="s">
        <v>2552</v>
      </c>
      <c r="BY138" s="270" t="s">
        <v>458</v>
      </c>
      <c r="BZ138" s="270" t="s">
        <v>2000</v>
      </c>
      <c r="CB138" s="1291" t="str">
        <f>"AY"&amp;ROW(AY263)</f>
        <v>AY263</v>
      </c>
      <c r="CC138" s="270" t="s">
        <v>69</v>
      </c>
      <c r="CD138" s="270" t="s">
        <v>2552</v>
      </c>
      <c r="CE138" s="270" t="s">
        <v>458</v>
      </c>
      <c r="CF138" s="270" t="s">
        <v>2000</v>
      </c>
      <c r="CH138" s="1291" t="str">
        <f>"AZ"&amp;ROW(AZ263)</f>
        <v>AZ263</v>
      </c>
      <c r="CI138" s="270" t="s">
        <v>69</v>
      </c>
      <c r="CJ138" s="270" t="s">
        <v>2552</v>
      </c>
      <c r="CK138" s="270" t="s">
        <v>458</v>
      </c>
      <c r="CL138" s="270" t="s">
        <v>2000</v>
      </c>
    </row>
    <row r="139" spans="1:90" ht="13.5" customHeight="1" thickTop="1" thickBot="1">
      <c r="A139" s="588"/>
      <c r="B139" s="70"/>
      <c r="C139" s="48">
        <v>16</v>
      </c>
      <c r="D139" s="132" t="s">
        <v>1785</v>
      </c>
      <c r="E139" s="23"/>
      <c r="F139" s="23"/>
      <c r="G139" s="23"/>
      <c r="H139" s="23"/>
      <c r="I139" s="23"/>
      <c r="J139" s="23"/>
      <c r="K139" s="23"/>
      <c r="L139" s="23"/>
      <c r="M139" s="23"/>
      <c r="N139" s="23"/>
      <c r="O139" s="429"/>
      <c r="P139" s="387"/>
      <c r="Q139" s="427"/>
      <c r="R139" s="387"/>
      <c r="S139" s="2158"/>
      <c r="T139" s="994"/>
      <c r="U139" s="2158"/>
      <c r="V139" s="2157"/>
      <c r="W139" s="994"/>
      <c r="X139" s="78"/>
      <c r="Y139" s="1185"/>
      <c r="Z139" s="3340"/>
      <c r="AA139" s="1276" t="s">
        <v>1912</v>
      </c>
      <c r="AB139" s="1179"/>
      <c r="AC139" s="1179"/>
      <c r="AD139" s="1179"/>
      <c r="AE139" s="1179"/>
      <c r="AF139" s="1179"/>
      <c r="AG139" s="431"/>
      <c r="AH139" s="431"/>
      <c r="AI139" s="431"/>
      <c r="AJ139" s="431"/>
      <c r="AK139" s="431"/>
      <c r="AL139" s="431"/>
      <c r="AM139" s="431"/>
      <c r="AN139" s="431"/>
      <c r="AO139" s="431"/>
      <c r="AP139" s="431"/>
      <c r="AQ139" s="431"/>
      <c r="AR139" s="431"/>
      <c r="AS139" s="431"/>
      <c r="AT139" s="431"/>
      <c r="AU139" s="42"/>
      <c r="AV139" s="1732"/>
      <c r="AW139" s="42"/>
      <c r="AX139" s="42"/>
      <c r="AY139" s="42"/>
      <c r="AZ139" s="42"/>
      <c r="BA139" s="42"/>
      <c r="BB139" s="42"/>
      <c r="BO139" s="1143" t="s">
        <v>3651</v>
      </c>
      <c r="BP139" s="3352">
        <f>AW263</f>
        <v>0</v>
      </c>
      <c r="BQ139" s="3346">
        <f>LOOKUP(BP139,'Tax Table'!$B$2:$B$2063,'Tax Table'!$D$2:$D$2063)</f>
        <v>0</v>
      </c>
      <c r="BR139" s="3346">
        <f>LOOKUP(BP139,'Tax Table'!$B$2:$B$2063,'Tax Table'!$E$2:$E$2063)</f>
        <v>0</v>
      </c>
      <c r="BS139" s="3346">
        <f>LOOKUP(BP139,'Tax Table'!$B$2:$B$2063,'Tax Table'!$F$2:$F$2063)</f>
        <v>0</v>
      </c>
      <c r="BT139" s="3347">
        <f>LOOKUP(BP139,'Tax Table'!$B$2:$B$2063,'Tax Table'!$G$2:$G$2063)</f>
        <v>0</v>
      </c>
      <c r="BV139" s="3352">
        <f>AX263</f>
        <v>0</v>
      </c>
      <c r="BW139" s="3346">
        <f>LOOKUP(BV139,'Tax Table'!$B$2:$B$2063,'Tax Table'!$D$2:$D$2063)</f>
        <v>0</v>
      </c>
      <c r="BX139" s="3346">
        <f>LOOKUP(BV139,'Tax Table'!$B$2:$B$2063,'Tax Table'!$E$2:$E$2063)</f>
        <v>0</v>
      </c>
      <c r="BY139" s="3346">
        <f>LOOKUP(BV139,'Tax Table'!$B$2:$B$2063,'Tax Table'!$F$2:$F$2063)</f>
        <v>0</v>
      </c>
      <c r="BZ139" s="3347">
        <f>LOOKUP(BV139,'Tax Table'!$B$2:$B$2063,'Tax Table'!$G$2:$G$2063)</f>
        <v>0</v>
      </c>
      <c r="CB139" s="3352">
        <f>AY263</f>
        <v>0</v>
      </c>
      <c r="CC139" s="3346">
        <f>LOOKUP(CB139,'Tax Table'!$B$2:$B$2063,'Tax Table'!$D$2:$D$2063)</f>
        <v>0</v>
      </c>
      <c r="CD139" s="3346">
        <f>LOOKUP(CB139,'Tax Table'!$B$2:$B$2063,'Tax Table'!$E$2:$E$2063)</f>
        <v>0</v>
      </c>
      <c r="CE139" s="3346">
        <f>LOOKUP(CB139,'Tax Table'!$B$2:$B$2063,'Tax Table'!$F$2:$F$2063)</f>
        <v>0</v>
      </c>
      <c r="CF139" s="3347">
        <f>LOOKUP(CB139,'Tax Table'!$B$2:$B$2063,'Tax Table'!$G$2:$G$2063)</f>
        <v>0</v>
      </c>
      <c r="CH139" s="3352">
        <f>AZ263</f>
        <v>0</v>
      </c>
      <c r="CI139" s="3346">
        <f>LOOKUP(CH139,'Tax Table'!$B$2:$B$2063,'Tax Table'!$D$2:$D$2063)</f>
        <v>0</v>
      </c>
      <c r="CJ139" s="3346">
        <f>LOOKUP(CH139,'Tax Table'!$B$2:$B$2063,'Tax Table'!$E$2:$E$2063)</f>
        <v>0</v>
      </c>
      <c r="CK139" s="3346">
        <f>LOOKUP(CH139,'Tax Table'!$B$2:$B$2063,'Tax Table'!$F$2:$F$2063)</f>
        <v>0</v>
      </c>
      <c r="CL139" s="3347">
        <f>LOOKUP(CH139,'Tax Table'!$B$2:$B$2063,'Tax Table'!$G$2:$G$2063)</f>
        <v>0</v>
      </c>
    </row>
    <row r="140" spans="1:90" ht="13.5" customHeight="1" thickBot="1">
      <c r="A140" s="588"/>
      <c r="B140" s="23"/>
      <c r="C140" s="48"/>
      <c r="D140" s="132" t="s">
        <v>3100</v>
      </c>
      <c r="E140" s="23"/>
      <c r="F140" s="23"/>
      <c r="G140" s="23"/>
      <c r="H140" s="23"/>
      <c r="I140" s="23"/>
      <c r="J140" s="23"/>
      <c r="K140" s="23"/>
      <c r="L140" s="23"/>
      <c r="M140" s="23"/>
      <c r="N140" s="23"/>
      <c r="O140" s="429"/>
      <c r="P140" s="387"/>
      <c r="Q140" s="427"/>
      <c r="R140" s="387"/>
      <c r="S140" s="2158"/>
      <c r="T140" s="994"/>
      <c r="U140" s="2158"/>
      <c r="V140" s="2157"/>
      <c r="W140" s="994"/>
      <c r="X140" s="78"/>
      <c r="Y140" s="1185"/>
      <c r="Z140" s="3340"/>
      <c r="AA140" s="1276" t="s">
        <v>3097</v>
      </c>
      <c r="AB140" s="1179"/>
      <c r="AC140" s="1179"/>
      <c r="AD140" s="1179"/>
      <c r="AE140" s="1179"/>
      <c r="AF140" s="1179"/>
      <c r="AG140" s="431"/>
      <c r="AH140" s="431"/>
      <c r="AI140" s="431"/>
      <c r="AJ140" s="431"/>
      <c r="AK140" s="431"/>
      <c r="AL140" s="431"/>
      <c r="AM140" s="431"/>
      <c r="AN140" s="431"/>
      <c r="AO140" s="431"/>
      <c r="AP140" s="431"/>
      <c r="AQ140" s="431"/>
      <c r="AR140" s="431"/>
      <c r="AS140" s="431"/>
      <c r="AT140" s="431"/>
      <c r="AU140" s="42"/>
      <c r="AV140" s="1732"/>
      <c r="AW140" s="42"/>
      <c r="AX140" s="42"/>
      <c r="AY140" s="42"/>
      <c r="AZ140" s="42"/>
      <c r="BA140" s="42"/>
      <c r="BB140" s="42"/>
      <c r="BP140" s="3341"/>
      <c r="BQ140" s="3348" t="str">
        <f>IF(BP139&lt;SectA_a3,"---",IF(BP139&lt;=SectA_a4,ROUND((BP139*(SectA_b4/100)-SectA_d4),0),IF(BP139&lt;=SectA_a5,ROUND((BP139*(SectA_b5/100)-SectA_d5),0),IF(BP139&lt;=SectA_a6,ROUND((BP139*(SectA_b6/100)-SectA_d6),0),ROUND((BP139*(SectA_b7/100)-SectA_d7),0)))))</f>
        <v>---</v>
      </c>
      <c r="BR140" s="3348" t="str">
        <f>IF(BP139&lt;SectB_a2,"---",IF(BP139&lt;=SectB_a3,ROUND((BP139*(SectB_b3/100)-SectB_d3),0),IF(BP139&lt;=SectB_a4,ROUND((BP139*(SectB_b4/100)-SectB_d4),0),IF(BP139&lt;=SectB_a5,ROUND((BP139*(SectB_b5/100)-SectB_d5),0),IF(BP139&lt;=SectB_a6,ROUND((BP139*(SectB_b6/100)-SectB_d6),0),ROUND((BP139*(SectB_b7/100)-SectB_d7),0))))))</f>
        <v>---</v>
      </c>
      <c r="BS140" s="3348" t="str">
        <f>IF(BP139&lt;SectC_a2,"---",IF(BP139&lt;=SectC_a3,ROUND((BP139*(SectC_b3/100)-SectC_d3),0),IF(BP139&lt;=SectC_a4,ROUND((BP139*(SectC_b4/100)-SectC_d4),0),IF(BP139&lt;=SectC_a5,ROUND((BP139*(SectC_b5/100)-SectC_d5),0),ROUND((BP139*(SectC_b6/100)-SectC_d6),0)))))</f>
        <v>---</v>
      </c>
      <c r="BT140" s="3349" t="str">
        <f>IF(BP139&lt;SectD_a2,"---",IF(BP139&lt;=SectD_a3,ROUND((BP139*(SectD_b3/100)-SectD_d3),0),IF(BP139&lt;=SectD_a4,ROUND((BP139*(SectD_b4/100)-SectD_d4),0),IF(BP139&lt;=SectD_a5,ROUND((BP139*(SectD_b5/100)-SectD_d5),0),IF(BP139&lt;=SectD_a6,ROUND((BP139*(SectD_b6/100)-SectD_d6),0),ROUND((BP139*(SectD_b7/100)-SectD_d7),0))))))</f>
        <v>---</v>
      </c>
      <c r="BV140" s="3341"/>
      <c r="BW140" s="3348" t="str">
        <f>IF(BV139&lt;SectA_a3,"---",IF(BV139&lt;=SectA_a4,ROUND((BV139*(SectA_b4/100)-SectA_d4),0),IF(BV139&lt;=SectA_a5,ROUND((BV139*(SectA_b5/100)-SectA_d5),0),IF(BV139&lt;=SectA_a6,ROUND((BV139*(SectA_b6/100)-SectA_d6),0),ROUND((BV139*(SectA_b7/100)-SectA_d7),0)))))</f>
        <v>---</v>
      </c>
      <c r="BX140" s="3348" t="str">
        <f>IF(BV139&lt;SectB_a2,"---",IF(BV139&lt;=SectB_a3,ROUND((BV139*(SectB_b3/100)-SectB_d3),0),IF(BV139&lt;=SectB_a4,ROUND((BV139*(SectB_b4/100)-SectB_d4),0),IF(BV139&lt;=SectB_a5,ROUND((BV139*(SectB_b5/100)-SectB_d5),0),IF(BV139&lt;=SectB_a6,ROUND((BV139*(SectB_b6/100)-SectB_d6),0),ROUND((BV139*(SectB_b7/100)-SectB_d7),0))))))</f>
        <v>---</v>
      </c>
      <c r="BY140" s="3348" t="str">
        <f>IF(BV139&lt;SectC_a2,"---",IF(BV139&lt;=SectC_a3,ROUND((BV139*(SectC_b3/100)-SectC_d3),0),IF(BV139&lt;=SectC_a4,ROUND((BV139*(SectC_b4/100)-SectC_d4),0),IF(BV139&lt;=SectC_a5,ROUND((BV139*(SectC_b5/100)-SectC_d5),0),ROUND((BV139*(SectC_b6/100)-SectC_d6),0)))))</f>
        <v>---</v>
      </c>
      <c r="BZ140" s="3349" t="str">
        <f>IF(BV139&lt;SectD_a2,"---",IF(BV139&lt;=SectD_a3,ROUND((BV139*(SectD_b3/100)-SectD_d3),0),IF(BV139&lt;=SectD_a4,ROUND((BV139*(SectD_b4/100)-SectD_d4),0),IF(BV139&lt;=SectD_a5,ROUND((BV139*(SectD_b5/100)-SectD_d5),0),IF(BV139&lt;=SectD_a6,ROUND((BV139*(SectD_b6/100)-SectD_d6),0),ROUND((BV139*(SectD_b7/100)-SectD_d7),0))))))</f>
        <v>---</v>
      </c>
      <c r="CB140" s="3341"/>
      <c r="CC140" s="3348" t="str">
        <f>IF(CB139&lt;SectA_a3,"---",IF(CB139&lt;=SectA_a4,ROUND((CB139*(SectA_b4/100)-SectA_d4),0),IF(CB139&lt;=SectA_a5,ROUND((CB139*(SectA_b5/100)-SectA_d5),0),IF(CB139&lt;=SectA_a6,ROUND((CB139*(SectA_b6/100)-SectA_d6),0),ROUND((CB139*(SectA_b7/100)-SectA_d7),0)))))</f>
        <v>---</v>
      </c>
      <c r="CD140" s="3348" t="str">
        <f>IF(CB139&lt;SectB_a2,"---",IF(CB139&lt;=SectB_a3,ROUND((CB139*(SectB_b3/100)-SectB_d3),0),IF(CB139&lt;=SectB_a4,ROUND((CB139*(SectB_b4/100)-SectB_d4),0),IF(CB139&lt;=SectB_a5,ROUND((CB139*(SectB_b5/100)-SectB_d5),0),IF(CB139&lt;=SectB_a6,ROUND((CB139*(SectB_b6/100)-SectB_d6),0),ROUND((CB139*(SectB_b7/100)-SectB_d7),0))))))</f>
        <v>---</v>
      </c>
      <c r="CE140" s="3348" t="str">
        <f>IF(CB139&lt;SectC_a2,"---",IF(CB139&lt;=SectC_a3,ROUND((CB139*(SectC_b3/100)-SectC_d3),0),IF(CB139&lt;=SectC_a4,ROUND((CB139*(SectC_b4/100)-SectC_d4),0),IF(CB139&lt;=SectC_a5,ROUND((CB139*(SectC_b5/100)-SectC_d5),0),ROUND((CB139*(SectC_b6/100)-SectC_d6),0)))))</f>
        <v>---</v>
      </c>
      <c r="CF140" s="3349" t="str">
        <f>IF(CB139&lt;SectD_a2,"---",IF(CB139&lt;=SectD_a3,ROUND((CB139*(SectD_b3/100)-SectD_d3),0),IF(CB139&lt;=SectD_a4,ROUND((CB139*(SectD_b4/100)-SectD_d4),0),IF(CB139&lt;=SectD_a5,ROUND((CB139*(SectD_b5/100)-SectD_d5),0),IF(CB139&lt;=SectD_a6,ROUND((CB139*(SectD_b6/100)-SectD_d6),0),ROUND((CB139*(SectD_b7/100)-SectD_d7),0))))))</f>
        <v>---</v>
      </c>
      <c r="CH140" s="3341"/>
      <c r="CI140" s="3348" t="str">
        <f>IF(CH139&lt;SectA_a3,"---",IF(CH139&lt;=SectA_a4,ROUND((CH139*(SectA_b4/100)-SectA_d4),0),IF(CH139&lt;=SectA_a5,ROUND((CH139*(SectA_b5/100)-SectA_d5),0),IF(CH139&lt;=SectA_a6,ROUND((CH139*(SectA_b6/100)-SectA_d6),0),ROUND((CH139*(SectA_b7/100)-SectA_d7),0)))))</f>
        <v>---</v>
      </c>
      <c r="CJ140" s="3348" t="str">
        <f>IF(CH139&lt;SectB_a2,"---",IF(CH139&lt;=SectB_a3,ROUND((CH139*(SectB_b3/100)-SectB_d3),0),IF(CH139&lt;=SectB_a4,ROUND((CH139*(SectB_b4/100)-SectB_d4),0),IF(CH139&lt;=SectB_a5,ROUND((CH139*(SectB_b5/100)-SectB_d5),0),IF(CH139&lt;=SectB_a6,ROUND((CH139*(SectB_b6/100)-SectB_d6),0),ROUND((CH139*(SectB_b7/100)-SectB_d7),0))))))</f>
        <v>---</v>
      </c>
      <c r="CK140" s="3348" t="str">
        <f>IF(CH139&lt;SectC_a2,"---",IF(CH139&lt;=SectC_a3,ROUND((CH139*(SectC_b3/100)-SectC_d3),0),IF(CH139&lt;=SectC_a4,ROUND((CH139*(SectC_b4/100)-SectC_d4),0),IF(CH139&lt;=SectC_a5,ROUND((CH139*(SectC_b5/100)-SectC_d5),0),ROUND((CH139*(SectC_b6/100)-SectC_d6),0)))))</f>
        <v>---</v>
      </c>
      <c r="CL140" s="3349" t="str">
        <f>IF(CH139&lt;SectD_a2,"---",IF(CH139&lt;=SectD_a3,ROUND((CH139*(SectD_b3/100)-SectD_d3),0),IF(CH139&lt;=SectD_a4,ROUND((CH139*(SectD_b4/100)-SectD_d4),0),IF(CH139&lt;=SectD_a5,ROUND((CH139*(SectD_b5/100)-SectD_d5),0),IF(CH139&lt;=SectD_a6,ROUND((CH139*(SectD_b6/100)-SectD_d6),0),ROUND((CH139*(SectD_b7/100)-SectD_d7),0))))))</f>
        <v>---</v>
      </c>
    </row>
    <row r="141" spans="1:90" ht="13.5" customHeight="1" thickBot="1">
      <c r="A141" s="588"/>
      <c r="B141" s="23"/>
      <c r="C141" s="48"/>
      <c r="D141" s="132" t="s">
        <v>1786</v>
      </c>
      <c r="E141" s="23"/>
      <c r="F141" s="23"/>
      <c r="G141" s="23"/>
      <c r="H141" s="23"/>
      <c r="I141" s="23"/>
      <c r="J141" s="23"/>
      <c r="K141" s="23"/>
      <c r="L141" s="23"/>
      <c r="M141" s="23"/>
      <c r="N141" s="1355"/>
      <c r="O141" s="2165">
        <v>16</v>
      </c>
      <c r="P141" s="8212"/>
      <c r="Q141" s="8213"/>
      <c r="R141" s="8212"/>
      <c r="S141" s="8213"/>
      <c r="T141" s="8212"/>
      <c r="U141" s="8213"/>
      <c r="V141" s="8212"/>
      <c r="W141" s="8298"/>
      <c r="X141" s="78"/>
      <c r="Y141" s="1185"/>
      <c r="Z141" s="431"/>
      <c r="AA141" s="431"/>
      <c r="AB141" s="1179"/>
      <c r="AC141" s="1179"/>
      <c r="AD141" s="1179"/>
      <c r="AE141" s="1179"/>
      <c r="AF141" s="1179"/>
      <c r="AG141" s="431"/>
      <c r="AH141" s="431"/>
      <c r="AI141" s="431"/>
      <c r="AJ141" s="431"/>
      <c r="AK141" s="431"/>
      <c r="AL141" s="431"/>
      <c r="AM141" s="431"/>
      <c r="AN141" s="431"/>
      <c r="AO141" s="431"/>
      <c r="AP141" s="431"/>
      <c r="AQ141" s="431"/>
      <c r="AR141" s="431"/>
      <c r="AS141" s="431"/>
      <c r="AT141" s="431"/>
      <c r="AU141" s="42"/>
      <c r="AV141" s="1732"/>
      <c r="AW141" s="42"/>
      <c r="AX141" s="42"/>
      <c r="AY141" s="42"/>
      <c r="AZ141" s="42"/>
      <c r="BA141" s="42"/>
      <c r="BB141" s="42"/>
      <c r="BP141" s="3342" t="str">
        <f>IF(File_Single&lt;&gt;"",BQ139,IF(File_Marr_Joint&lt;&gt;"",BR139,IF(File_Marr_Sep&lt;&gt;"", BS139,IF(File_Head&lt;&gt;"",BT139,IF(File_Qual_Widow&lt;&gt;"",BR139,"Filing status?")))))</f>
        <v>Filing status?</v>
      </c>
      <c r="BQ141" s="2087" t="str">
        <f>"&lt;100k"</f>
        <v>&lt;100k</v>
      </c>
      <c r="BR141" s="2087"/>
      <c r="BS141" s="2087"/>
      <c r="BT141" s="3345"/>
      <c r="BV141" s="3342" t="str">
        <f>IF(File_Single&lt;&gt;"",BW139,IF(File_Marr_Joint&lt;&gt;"",BX139,IF(File_Marr_Sep&lt;&gt;"", BY139,IF(File_Head&lt;&gt;"",BZ139,IF(File_Qual_Widow&lt;&gt;"",BX139,"Filing status?")))))</f>
        <v>Filing status?</v>
      </c>
      <c r="BW141" s="2087" t="str">
        <f>"&lt;100k"</f>
        <v>&lt;100k</v>
      </c>
      <c r="BX141" s="2087"/>
      <c r="BY141" s="2087"/>
      <c r="BZ141" s="3345"/>
      <c r="CB141" s="3342" t="str">
        <f>IF(File_Single&lt;&gt;"",CC139,IF(File_Marr_Joint&lt;&gt;"",CD139,IF(File_Marr_Sep&lt;&gt;"", CE139,IF(File_Head&lt;&gt;"",CF139,IF(File_Qual_Widow&lt;&gt;"",CD139,"Filing status?")))))</f>
        <v>Filing status?</v>
      </c>
      <c r="CC141" s="2087" t="str">
        <f>"&lt;100k"</f>
        <v>&lt;100k</v>
      </c>
      <c r="CD141" s="2087"/>
      <c r="CE141" s="2087"/>
      <c r="CF141" s="3345"/>
      <c r="CH141" s="3342" t="str">
        <f>IF(File_Single&lt;&gt;"",CI139,IF(File_Marr_Joint&lt;&gt;"",CJ139,IF(File_Marr_Sep&lt;&gt;"", CK139,IF(File_Head&lt;&gt;"",CL139,IF(File_Qual_Widow&lt;&gt;"",CJ139,"Filing status?")))))</f>
        <v>Filing status?</v>
      </c>
      <c r="CI141" s="2087" t="str">
        <f>"&lt;100k"</f>
        <v>&lt;100k</v>
      </c>
      <c r="CJ141" s="2087"/>
      <c r="CK141" s="2087"/>
      <c r="CL141" s="3345"/>
    </row>
    <row r="142" spans="1:90" ht="13.5" customHeight="1" thickBot="1">
      <c r="A142" s="588"/>
      <c r="B142" s="23"/>
      <c r="C142" s="48">
        <v>17</v>
      </c>
      <c r="D142" s="132" t="s">
        <v>3042</v>
      </c>
      <c r="E142" s="23"/>
      <c r="F142" s="23"/>
      <c r="G142" s="23"/>
      <c r="H142" s="23"/>
      <c r="I142" s="23"/>
      <c r="J142" s="23"/>
      <c r="K142" s="23"/>
      <c r="L142" s="23"/>
      <c r="M142" s="23"/>
      <c r="N142" s="1355" t="s">
        <v>718</v>
      </c>
      <c r="O142" s="2165">
        <v>17</v>
      </c>
      <c r="P142" s="8000" t="str">
        <f>IF(NOT($B$62),"",IF(OR(P116="",P121=""),"",SUM(P137,P138,P141)))</f>
        <v/>
      </c>
      <c r="Q142" s="8001"/>
      <c r="R142" s="8000" t="str">
        <f>IF(NOT($B$62),"",IF(OR(R116="",R121=""),"",SUM(R137,R138,R141)))</f>
        <v/>
      </c>
      <c r="S142" s="8001"/>
      <c r="T142" s="8000" t="str">
        <f>IF(NOT($B$62),"",IF(OR(T116="",T121=""),"",SUM(T137,T138,T141)))</f>
        <v/>
      </c>
      <c r="U142" s="8001"/>
      <c r="V142" s="8002" t="str">
        <f>IF(NOT($B$62),"",IF(OR(V116="",V121=""),"",SUM(V137,V138,V141)))</f>
        <v/>
      </c>
      <c r="W142" s="8274"/>
      <c r="X142" s="78"/>
      <c r="Y142" s="1185"/>
      <c r="Z142" s="431"/>
      <c r="AA142" s="431"/>
      <c r="AB142" s="1179"/>
      <c r="AC142" s="1179"/>
      <c r="AD142" s="1179"/>
      <c r="AE142" s="1179"/>
      <c r="AF142" s="1179"/>
      <c r="AG142" s="431"/>
      <c r="AH142" s="431"/>
      <c r="AI142" s="431"/>
      <c r="AJ142" s="431"/>
      <c r="AK142" s="431"/>
      <c r="AL142" s="431"/>
      <c r="AM142" s="431"/>
      <c r="AN142" s="431"/>
      <c r="AO142" s="431"/>
      <c r="AP142" s="431"/>
      <c r="AQ142" s="431"/>
      <c r="AR142" s="431"/>
      <c r="AS142" s="431"/>
      <c r="AT142" s="431"/>
      <c r="AU142" s="42"/>
      <c r="AV142" s="1732"/>
      <c r="AW142" s="42"/>
      <c r="AX142" s="42"/>
      <c r="AY142" s="42"/>
      <c r="AZ142" s="42"/>
      <c r="BA142" s="42"/>
      <c r="BB142" s="42"/>
      <c r="BO142" s="1143" t="s">
        <v>3652</v>
      </c>
      <c r="BP142" s="3343" t="str">
        <f>IF(File_Single&lt;&gt;"",BQ140,IF(OR(File_Marr_Joint&lt;&gt;"",File_Qual_Widow&lt;&gt;""),BR140,IF(File_Marr_Sep&lt;&gt;"", BS140,IF(File_Head&lt;&gt;"",BT140,"Filing status?"))))</f>
        <v>Filing status?</v>
      </c>
      <c r="BQ142" s="3344" t="str">
        <f>"&gt;=100k"</f>
        <v>&gt;=100k</v>
      </c>
      <c r="BR142" s="3344"/>
      <c r="BS142" s="3350" t="s">
        <v>2553</v>
      </c>
      <c r="BT142" s="3351" t="str">
        <f>IF(BP139&gt;100000,BP142,BP141)</f>
        <v>Filing status?</v>
      </c>
      <c r="BV142" s="3343" t="str">
        <f>IF(File_Single&lt;&gt;"",BW140,IF(OR(File_Marr_Joint&lt;&gt;"",File_Qual_Widow&lt;&gt;""),BX140,IF(File_Marr_Sep&lt;&gt;"", BY140,IF(File_Head&lt;&gt;"",BZ140,"Filing status?"))))</f>
        <v>Filing status?</v>
      </c>
      <c r="BW142" s="3344" t="str">
        <f>"&gt;=100k"</f>
        <v>&gt;=100k</v>
      </c>
      <c r="BX142" s="3344"/>
      <c r="BY142" s="3350" t="s">
        <v>2553</v>
      </c>
      <c r="BZ142" s="3351" t="str">
        <f>IF(BV139&gt;100000,BV142,BV141)</f>
        <v>Filing status?</v>
      </c>
      <c r="CB142" s="3343" t="str">
        <f>IF(File_Single&lt;&gt;"",CC140,IF(OR(File_Marr_Joint&lt;&gt;"",File_Qual_Widow&lt;&gt;""),CD140,IF(File_Marr_Sep&lt;&gt;"", CE140,IF(File_Head&lt;&gt;"",CF140,"Filing status?"))))</f>
        <v>Filing status?</v>
      </c>
      <c r="CC142" s="3344" t="str">
        <f>"&gt;=100k"</f>
        <v>&gt;=100k</v>
      </c>
      <c r="CD142" s="3344"/>
      <c r="CE142" s="3350" t="s">
        <v>2553</v>
      </c>
      <c r="CF142" s="3351" t="str">
        <f>IF(CB139&gt;100000,CB142,CB141)</f>
        <v>Filing status?</v>
      </c>
      <c r="CH142" s="3343" t="str">
        <f>IF(File_Single&lt;&gt;"",CI140,IF(OR(File_Marr_Joint&lt;&gt;"",File_Qual_Widow&lt;&gt;""),CJ140,IF(File_Marr_Sep&lt;&gt;"", CK140,IF(File_Head&lt;&gt;"",CL140,"Filing status?"))))</f>
        <v>Filing status?</v>
      </c>
      <c r="CI142" s="3344" t="str">
        <f>"&gt;=100k"</f>
        <v>&gt;=100k</v>
      </c>
      <c r="CJ142" s="3344"/>
      <c r="CK142" s="3350" t="s">
        <v>2553</v>
      </c>
      <c r="CL142" s="3351" t="str">
        <f>IF(CH139&gt;100000,CH142,CH141)</f>
        <v>Filing status?</v>
      </c>
    </row>
    <row r="143" spans="1:90" ht="13.5" customHeight="1" thickTop="1">
      <c r="A143" s="588"/>
      <c r="B143" s="23"/>
      <c r="C143" s="48">
        <v>18</v>
      </c>
      <c r="D143" s="412" t="s">
        <v>1787</v>
      </c>
      <c r="E143" s="23"/>
      <c r="F143" s="23"/>
      <c r="G143" s="23"/>
      <c r="H143" s="23"/>
      <c r="I143" s="23"/>
      <c r="J143" s="23"/>
      <c r="K143" s="23"/>
      <c r="L143" s="23"/>
      <c r="M143" s="23"/>
      <c r="N143" s="23"/>
      <c r="O143" s="429"/>
      <c r="P143" s="387"/>
      <c r="Q143" s="427"/>
      <c r="R143" s="387"/>
      <c r="S143" s="2158"/>
      <c r="T143" s="994"/>
      <c r="U143" s="2158"/>
      <c r="V143" s="2157"/>
      <c r="W143" s="994"/>
      <c r="X143" s="78"/>
      <c r="Y143" s="1185"/>
      <c r="Z143" s="431"/>
      <c r="AA143" s="431"/>
      <c r="AB143" s="1179"/>
      <c r="AC143" s="1179"/>
      <c r="AD143" s="1179"/>
      <c r="AE143" s="1179"/>
      <c r="AF143" s="1179"/>
      <c r="AG143" s="431"/>
      <c r="AH143" s="431"/>
      <c r="AI143" s="431"/>
      <c r="AJ143" s="431"/>
      <c r="AK143" s="431"/>
      <c r="AL143" s="431"/>
      <c r="AM143" s="431"/>
      <c r="AN143" s="431"/>
      <c r="AO143" s="431"/>
      <c r="AP143" s="431"/>
      <c r="AQ143" s="431"/>
      <c r="AR143" s="431"/>
      <c r="AS143" s="431"/>
      <c r="AT143" s="431"/>
      <c r="AU143" s="42"/>
      <c r="AV143" s="1732"/>
      <c r="AW143" s="42"/>
      <c r="AX143" s="42"/>
      <c r="AY143" s="42"/>
      <c r="AZ143" s="42"/>
      <c r="BA143" s="42"/>
      <c r="BB143" s="42"/>
    </row>
    <row r="144" spans="1:90" ht="13.5" customHeight="1">
      <c r="A144" s="588"/>
      <c r="B144" s="23"/>
      <c r="C144" s="48"/>
      <c r="D144" s="412" t="s">
        <v>1788</v>
      </c>
      <c r="E144" s="23"/>
      <c r="F144" s="23"/>
      <c r="G144" s="23"/>
      <c r="H144" s="23"/>
      <c r="I144" s="23"/>
      <c r="J144" s="23"/>
      <c r="K144" s="23"/>
      <c r="L144" s="23"/>
      <c r="M144" s="23"/>
      <c r="N144" s="1355" t="s">
        <v>697</v>
      </c>
      <c r="O144" s="2165">
        <v>18</v>
      </c>
      <c r="P144" s="8212"/>
      <c r="Q144" s="8213"/>
      <c r="R144" s="8212"/>
      <c r="S144" s="8213"/>
      <c r="T144" s="8212"/>
      <c r="U144" s="8213"/>
      <c r="V144" s="8212"/>
      <c r="W144" s="8298"/>
      <c r="X144" s="78"/>
      <c r="Y144" s="1185"/>
      <c r="Z144" s="431"/>
      <c r="AA144" s="431"/>
      <c r="AB144" s="1179"/>
      <c r="AC144" s="1179"/>
      <c r="AD144" s="1179"/>
      <c r="AE144" s="1179"/>
      <c r="AF144" s="1179"/>
      <c r="AG144" s="431"/>
      <c r="AH144" s="431"/>
      <c r="AI144" s="431"/>
      <c r="AJ144" s="431"/>
      <c r="AK144" s="431"/>
      <c r="AL144" s="431"/>
      <c r="AM144" s="431"/>
      <c r="AN144" s="431"/>
      <c r="AO144" s="431"/>
      <c r="AP144" s="431"/>
      <c r="AQ144" s="431"/>
      <c r="AR144" s="431"/>
      <c r="AS144" s="431"/>
      <c r="AT144" s="431"/>
      <c r="AU144" s="42"/>
      <c r="AV144" s="1732"/>
      <c r="AW144" s="42"/>
      <c r="AX144" s="42"/>
      <c r="AY144" s="42"/>
      <c r="AZ144" s="42"/>
      <c r="BA144" s="42"/>
      <c r="BB144" s="42"/>
    </row>
    <row r="145" spans="1:94" ht="15.75" thickBot="1">
      <c r="A145" s="588"/>
      <c r="B145" s="23"/>
      <c r="C145" s="48">
        <v>19</v>
      </c>
      <c r="D145" s="132" t="s">
        <v>3043</v>
      </c>
      <c r="E145" s="23"/>
      <c r="F145" s="23"/>
      <c r="G145" s="23"/>
      <c r="H145" s="23"/>
      <c r="I145" s="23"/>
      <c r="J145" s="23"/>
      <c r="K145" s="23"/>
      <c r="L145" s="23"/>
      <c r="M145" s="23"/>
      <c r="N145" s="1355"/>
      <c r="O145" s="2165">
        <v>19</v>
      </c>
      <c r="P145" s="8000" t="str">
        <f>IF(OR(P116="",NOT($B$62)),"",IF(P144="",MAX(0,P142),MAX(0,SUM(P142,-P144))))</f>
        <v/>
      </c>
      <c r="Q145" s="8001"/>
      <c r="R145" s="8000" t="str">
        <f>IF(OR(R116="",NOT($B$62)),"",IF(R144="",MAX(0,R142),MAX(0,SUM(R142,-R144))))</f>
        <v/>
      </c>
      <c r="S145" s="8001"/>
      <c r="T145" s="8000" t="str">
        <f>IF(OR(T116="",NOT($B$62)),"",IF(T144="",MAX(0,T142),MAX(0,SUM(T142,-T144))))</f>
        <v/>
      </c>
      <c r="U145" s="8001"/>
      <c r="V145" s="8002" t="str">
        <f>IF(OR(V116="",NOT($B$62)),"",IF(V144="",MAX(0,V142),MAX(0,SUM(V142,-V144))))</f>
        <v/>
      </c>
      <c r="W145" s="8274"/>
      <c r="X145" s="78"/>
      <c r="Y145" s="1185"/>
      <c r="Z145" s="431"/>
      <c r="AA145" s="431"/>
      <c r="AB145" s="1179"/>
      <c r="AC145" s="1179"/>
      <c r="AD145" s="1179"/>
      <c r="AE145" s="1179"/>
      <c r="AF145" s="1179"/>
      <c r="AG145" s="431"/>
      <c r="AH145" s="431"/>
      <c r="AI145" s="431"/>
      <c r="AJ145" s="431"/>
      <c r="AK145" s="431"/>
      <c r="AL145" s="431"/>
      <c r="AM145" s="431"/>
      <c r="AN145" s="431"/>
      <c r="AO145" s="431"/>
      <c r="AP145" s="431"/>
      <c r="AQ145" s="431"/>
      <c r="AR145" s="431"/>
      <c r="AS145" s="431"/>
      <c r="AT145" s="431"/>
      <c r="AU145" s="42"/>
      <c r="AV145" s="1732"/>
      <c r="AW145" s="42"/>
      <c r="AX145" s="42"/>
      <c r="AY145" s="42"/>
      <c r="AZ145" s="42"/>
      <c r="BA145" s="42"/>
      <c r="BB145" s="42"/>
      <c r="BP145" s="1291" t="str">
        <f>"AK"&amp;ROW(AK170)</f>
        <v>AK170</v>
      </c>
      <c r="BQ145" s="270" t="s">
        <v>69</v>
      </c>
      <c r="BR145" s="270" t="s">
        <v>2552</v>
      </c>
      <c r="BS145" s="270" t="s">
        <v>458</v>
      </c>
      <c r="BT145" s="270" t="s">
        <v>2000</v>
      </c>
      <c r="BV145" s="1291" t="str">
        <f>"AM"&amp;ROW(AM170)</f>
        <v>AM170</v>
      </c>
      <c r="BW145" s="270" t="s">
        <v>69</v>
      </c>
      <c r="BX145" s="270" t="s">
        <v>2552</v>
      </c>
      <c r="BY145" s="270" t="s">
        <v>458</v>
      </c>
      <c r="BZ145" s="270" t="s">
        <v>2000</v>
      </c>
      <c r="CB145" s="1291" t="str">
        <f>"AO"&amp;ROW(AO170)</f>
        <v>AO170</v>
      </c>
      <c r="CC145" s="270" t="s">
        <v>69</v>
      </c>
      <c r="CD145" s="270" t="s">
        <v>2552</v>
      </c>
      <c r="CE145" s="270" t="s">
        <v>458</v>
      </c>
      <c r="CF145" s="270" t="s">
        <v>2000</v>
      </c>
      <c r="CH145" s="1291" t="str">
        <f>"AQ"&amp;ROW(AQ170)</f>
        <v>AQ170</v>
      </c>
      <c r="CI145" s="270" t="s">
        <v>69</v>
      </c>
      <c r="CJ145" s="270" t="s">
        <v>2552</v>
      </c>
      <c r="CK145" s="270" t="s">
        <v>458</v>
      </c>
      <c r="CL145" s="270" t="s">
        <v>2000</v>
      </c>
    </row>
    <row r="146" spans="1:94" ht="14.25" customHeight="1" thickTop="1" thickBot="1">
      <c r="A146" s="588"/>
      <c r="B146" s="23"/>
      <c r="C146" s="48">
        <v>20</v>
      </c>
      <c r="D146" s="132" t="s">
        <v>1789</v>
      </c>
      <c r="E146" s="23"/>
      <c r="F146" s="23"/>
      <c r="G146" s="23"/>
      <c r="H146" s="23"/>
      <c r="I146" s="23"/>
      <c r="J146" s="23"/>
      <c r="K146" s="23"/>
      <c r="L146" s="23"/>
      <c r="M146" s="23"/>
      <c r="N146" s="3872" t="s">
        <v>276</v>
      </c>
      <c r="O146" s="2165">
        <v>20</v>
      </c>
      <c r="P146" s="8281">
        <f>ROUND(V146*0.25,3)</f>
        <v>0.22500000000000001</v>
      </c>
      <c r="Q146" s="8282"/>
      <c r="R146" s="8279">
        <f>ROUND(V146*0.5,3)</f>
        <v>0.45</v>
      </c>
      <c r="S146" s="8280"/>
      <c r="T146" s="8281">
        <f>ROUND(V146*0.75,4)</f>
        <v>0.67500000000000004</v>
      </c>
      <c r="U146" s="8282"/>
      <c r="V146" s="8279">
        <v>0.9</v>
      </c>
      <c r="W146" s="8339"/>
      <c r="X146" s="78"/>
      <c r="Y146" s="1185"/>
      <c r="Z146" s="431"/>
      <c r="AA146" s="431"/>
      <c r="AB146" s="1179"/>
      <c r="AC146" s="1179"/>
      <c r="AD146" s="1179"/>
      <c r="AE146" s="1179"/>
      <c r="AF146" s="1179"/>
      <c r="AG146" s="431"/>
      <c r="AH146" s="431"/>
      <c r="AI146" s="431"/>
      <c r="AJ146" s="431"/>
      <c r="AK146" s="431"/>
      <c r="AL146" s="431"/>
      <c r="AM146" s="431"/>
      <c r="AN146" s="431"/>
      <c r="AO146" s="431"/>
      <c r="AP146" s="431"/>
      <c r="AQ146" s="431"/>
      <c r="AR146" s="431"/>
      <c r="AS146" s="431"/>
      <c r="AT146" s="431"/>
      <c r="AU146" s="42"/>
      <c r="AV146" s="1732"/>
      <c r="AW146" s="42"/>
      <c r="AX146" s="42"/>
      <c r="AY146" s="42"/>
      <c r="AZ146" s="42"/>
      <c r="BA146" s="42"/>
      <c r="BB146" s="42"/>
      <c r="BN146" s="936"/>
      <c r="BO146" s="4310" t="s">
        <v>5579</v>
      </c>
      <c r="BP146" s="3352">
        <f>AK170</f>
        <v>0</v>
      </c>
      <c r="BQ146" s="3346">
        <f>LOOKUP(BP146,'Tax Table'!$B$2:$B$2063,'Tax Table'!$D$2:$D$2063)</f>
        <v>0</v>
      </c>
      <c r="BR146" s="3346">
        <f>LOOKUP(BP146,'Tax Table'!$B$2:$B$2063,'Tax Table'!$E$2:$E$2063)</f>
        <v>0</v>
      </c>
      <c r="BS146" s="3346">
        <f>LOOKUP(BP146,'Tax Table'!$B$2:$B$2063,'Tax Table'!$F$2:$F$2063)</f>
        <v>0</v>
      </c>
      <c r="BT146" s="3347">
        <f>LOOKUP(BP146,'Tax Table'!$B$2:$B$2063,'Tax Table'!$G$2:$G$2063)</f>
        <v>0</v>
      </c>
      <c r="BV146" s="3352">
        <f>AM170</f>
        <v>0</v>
      </c>
      <c r="BW146" s="3346">
        <f>LOOKUP(BV146,'Tax Table'!$B$2:$B$2063,'Tax Table'!$D$2:$D$2063)</f>
        <v>0</v>
      </c>
      <c r="BX146" s="3346">
        <f>LOOKUP(BV146,'Tax Table'!$B$2:$B$2063,'Tax Table'!$E$2:$E$2063)</f>
        <v>0</v>
      </c>
      <c r="BY146" s="3346">
        <f>LOOKUP(BV146,'Tax Table'!$B$2:$B$2063,'Tax Table'!$F$2:$F$2063)</f>
        <v>0</v>
      </c>
      <c r="BZ146" s="3347">
        <f>LOOKUP(BV146,'Tax Table'!$B$2:$B$2063,'Tax Table'!$G$2:$G$2063)</f>
        <v>0</v>
      </c>
      <c r="CA146" s="936"/>
      <c r="CB146" s="3352">
        <f>AO170</f>
        <v>0</v>
      </c>
      <c r="CC146" s="3346">
        <f>LOOKUP(CB146,'Tax Table'!$B$2:$B$2063,'Tax Table'!$D$2:$D$2063)</f>
        <v>0</v>
      </c>
      <c r="CD146" s="3346">
        <f>LOOKUP(CB146,'Tax Table'!$B$2:$B$2063,'Tax Table'!$E$2:$E$2063)</f>
        <v>0</v>
      </c>
      <c r="CE146" s="3346">
        <f>LOOKUP(CB146,'Tax Table'!$B$2:$B$2063,'Tax Table'!$F$2:$F$2063)</f>
        <v>0</v>
      </c>
      <c r="CF146" s="3347">
        <f>LOOKUP(CB146,'Tax Table'!$B$2:$B$2063,'Tax Table'!$G$2:$G$2063)</f>
        <v>0</v>
      </c>
      <c r="CG146" s="936"/>
      <c r="CH146" s="3352">
        <f>AQ170</f>
        <v>0</v>
      </c>
      <c r="CI146" s="3346">
        <f>LOOKUP(CH146,'Tax Table'!$B$2:$B$2063,'Tax Table'!$D$2:$D$2063)</f>
        <v>0</v>
      </c>
      <c r="CJ146" s="3346">
        <f>LOOKUP(CH146,'Tax Table'!$B$2:$B$2063,'Tax Table'!$E$2:$E$2063)</f>
        <v>0</v>
      </c>
      <c r="CK146" s="3346">
        <f>LOOKUP(CH146,'Tax Table'!$B$2:$B$2063,'Tax Table'!$F$2:$F$2063)</f>
        <v>0</v>
      </c>
      <c r="CL146" s="3347">
        <f>LOOKUP(CH146,'Tax Table'!$B$2:$B$2063,'Tax Table'!$G$2:$G$2063)</f>
        <v>0</v>
      </c>
      <c r="CM146" s="936"/>
      <c r="CN146" s="936"/>
      <c r="CO146" s="936"/>
      <c r="CP146" s="936"/>
    </row>
    <row r="147" spans="1:94" ht="14.25" customHeight="1" thickBot="1">
      <c r="A147" s="588"/>
      <c r="B147" s="23"/>
      <c r="C147" s="48">
        <v>21</v>
      </c>
      <c r="D147" s="132" t="s">
        <v>3044</v>
      </c>
      <c r="E147" s="23"/>
      <c r="F147" s="23"/>
      <c r="G147" s="23"/>
      <c r="H147" s="23"/>
      <c r="I147" s="23"/>
      <c r="J147" s="23"/>
      <c r="K147" s="23"/>
      <c r="L147" s="23"/>
      <c r="M147" s="23"/>
      <c r="N147" s="1355" t="s">
        <v>570</v>
      </c>
      <c r="O147" s="2172">
        <v>21</v>
      </c>
      <c r="P147" s="8217" t="str">
        <f>IF(NOT($B$62),"",IF(OR(P116="",P121=""),"",P145*P146))</f>
        <v/>
      </c>
      <c r="Q147" s="8218"/>
      <c r="R147" s="8217" t="str">
        <f>IF(NOT($B$62),"",IF(OR(R116="",R121=""),"",R145*R146))</f>
        <v/>
      </c>
      <c r="S147" s="8218"/>
      <c r="T147" s="8217" t="str">
        <f>IF(NOT($B$62),"",IF(OR(T116="",T121=""),"",T145*T146))</f>
        <v/>
      </c>
      <c r="U147" s="8218"/>
      <c r="V147" s="8340" t="str">
        <f>IF(NOT($B$62),"",IF(OR(V116="",V121=""),"",V145*V146))</f>
        <v/>
      </c>
      <c r="W147" s="8341"/>
      <c r="X147" s="78"/>
      <c r="Y147" s="1185"/>
      <c r="Z147" s="431"/>
      <c r="AA147" s="431"/>
      <c r="AB147" s="1179"/>
      <c r="AC147" s="1179"/>
      <c r="AD147" s="1179"/>
      <c r="AE147" s="1179"/>
      <c r="AF147" s="1179"/>
      <c r="AG147" s="431"/>
      <c r="AH147" s="431"/>
      <c r="AI147" s="431"/>
      <c r="AJ147" s="431"/>
      <c r="AK147" s="431"/>
      <c r="AL147" s="431"/>
      <c r="AM147" s="431"/>
      <c r="AN147" s="431"/>
      <c r="AO147" s="431"/>
      <c r="AP147" s="431"/>
      <c r="AQ147" s="431"/>
      <c r="AR147" s="431"/>
      <c r="AS147" s="431"/>
      <c r="AT147" s="431"/>
      <c r="AU147" s="42"/>
      <c r="AV147" s="1732"/>
      <c r="AW147" s="42"/>
      <c r="AX147" s="42"/>
      <c r="AY147" s="42"/>
      <c r="AZ147" s="42"/>
      <c r="BA147" s="42"/>
      <c r="BB147" s="42"/>
      <c r="BP147" s="3341"/>
      <c r="BQ147" s="3348" t="str">
        <f>IF(BP146&lt;SectA_a3,"---",IF(BP146&lt;=SectA_a4,ROUND((BP146*(SectA_b4/100)-SectA_d4),0),IF(BP146&lt;=SectA_a5,ROUND((BP146*(SectA_b5/100)-SectA_d5),0),IF(BP146&lt;=SectA_a6,ROUND((BP146*(SectA_b6/100)-SectA_d6),0),ROUND((BP146*(SectA_b7/100)-SectA_d7),0)))))</f>
        <v>---</v>
      </c>
      <c r="BR147" s="3348" t="str">
        <f>IF(BP146&lt;SectB_a2,"---",IF(BP146&lt;=SectB_a3,ROUND((BP146*(SectB_b3/100)-SectB_d3),0),IF(BP146&lt;=SectB_a4,ROUND((BP146*(SectB_b4/100)-SectB_d4),0),IF(BP146&lt;=SectB_a5,ROUND((BP146*(SectB_b5/100)-SectB_d5),0),IF(BP146&lt;=SectB_a6,ROUND((BP146*(SectB_b6/100)-SectB_d6),0),ROUND((BP146*(SectB_b7/100)-SectB_d7),0))))))</f>
        <v>---</v>
      </c>
      <c r="BS147" s="3348" t="str">
        <f>IF(BP146&lt;SectC_a2,"---",IF(BP146&lt;=SectC_a3,ROUND((BP146*(SectC_b3/100)-SectC_d3),0),IF(BP146&lt;=SectC_a4,ROUND((BP146*(SectC_b4/100)-SectC_d4),0),IF(BP146&lt;=SectC_a5,ROUND((BP146*(SectC_b5/100)-SectC_d5),0),ROUND((BP146*(SectC_b6/100)-SectC_d6),0)))))</f>
        <v>---</v>
      </c>
      <c r="BT147" s="3349" t="str">
        <f>IF(BP146&lt;SectD_a2,"---",IF(BP146&lt;=SectD_a3,ROUND((BP146*(SectD_b3/100)-SectD_d3),0),IF(BP146&lt;=SectD_a4,ROUND((BP146*(SectD_b4/100)-SectD_d4),0),IF(BP146&lt;=SectD_a5,ROUND((BP146*(SectD_b5/100)-SectD_d5),0),IF(BP146&lt;=SectD_a6,ROUND((BP146*(SectD_b6/100)-SectD_d6),0),ROUND((BP146*(SectD_b7/100)-SectD_d7),0))))))</f>
        <v>---</v>
      </c>
      <c r="BV147" s="3341"/>
      <c r="BW147" s="3348" t="str">
        <f>IF(BV146&lt;SectA_a3,"---",IF(BV146&lt;=SectA_a4,ROUND((BV146*(SectA_b4/100)-SectA_d4),0),IF(BV146&lt;=SectA_a5,ROUND((BV146*(SectA_b5/100)-SectA_d5),0),IF(BV146&lt;=SectA_a6,ROUND((BV146*(SectA_b6/100)-SectA_d6),0),ROUND((BV146*(SectA_b7/100)-SectA_d7),0)))))</f>
        <v>---</v>
      </c>
      <c r="BX147" s="3348" t="str">
        <f>IF(BV146&lt;SectB_a2,"---",IF(BV146&lt;=SectB_a3,ROUND((BV146*(SectB_b3/100)-SectB_d3),0),IF(BV146&lt;=SectB_a4,ROUND((BV146*(SectB_b4/100)-SectB_d4),0),IF(BV146&lt;=SectB_a5,ROUND((BV146*(SectB_b5/100)-SectB_d5),0),IF(BV146&lt;=SectB_a6,ROUND((BV146*(SectB_b6/100)-SectB_d6),0),ROUND((BV146*(SectB_b7/100)-SectB_d7),0))))))</f>
        <v>---</v>
      </c>
      <c r="BY147" s="3348" t="str">
        <f>IF(BV146&lt;SectC_a2,"---",IF(BV146&lt;=SectC_a3,ROUND((BV146*(SectC_b3/100)-SectC_d3),0),IF(BV146&lt;=SectC_a4,ROUND((BV146*(SectC_b4/100)-SectC_d4),0),IF(BV146&lt;=SectC_a5,ROUND((BV146*(SectC_b5/100)-SectC_d5),0),ROUND((BV146*(SectC_b6/100)-SectC_d6),0)))))</f>
        <v>---</v>
      </c>
      <c r="BZ147" s="3349" t="str">
        <f>IF(BV146&lt;SectD_a2,"---",IF(BV146&lt;=SectD_a3,ROUND((BV146*(SectD_b3/100)-SectD_d3),0),IF(BV146&lt;=SectD_a4,ROUND((BV146*(SectD_b4/100)-SectD_d4),0),IF(BV146&lt;=SectD_a5,ROUND((BV146*(SectD_b5/100)-SectD_d5),0),IF(BV146&lt;=SectD_a6,ROUND((BV146*(SectD_b6/100)-SectD_d6),0),ROUND((BV146*(SectD_b7/100)-SectD_d7),0))))))</f>
        <v>---</v>
      </c>
      <c r="CB147" s="3341"/>
      <c r="CC147" s="3348" t="str">
        <f>IF(CB146&lt;SectA_a3,"---",IF(CB146&lt;=SectA_a4,ROUND((CB146*(SectA_b4/100)-SectA_d4),0),IF(CB146&lt;=SectA_a5,ROUND((CB146*(SectA_b5/100)-SectA_d5),0),IF(CB146&lt;=SectA_a6,ROUND((CB146*(SectA_b6/100)-SectA_d6),0),ROUND((CB146*(SectA_b7/100)-SectA_d7),0)))))</f>
        <v>---</v>
      </c>
      <c r="CD147" s="3348" t="str">
        <f>IF(CB146&lt;SectB_a2,"---",IF(CB146&lt;=SectB_a3,ROUND((CB146*(SectB_b3/100)-SectB_d3),0),IF(CB146&lt;=SectB_a4,ROUND((CB146*(SectB_b4/100)-SectB_d4),0),IF(CB146&lt;=SectB_a5,ROUND((CB146*(SectB_b5/100)-SectB_d5),0),IF(CB146&lt;=SectB_a6,ROUND((CB146*(SectB_b6/100)-SectB_d6),0),ROUND((CB146*(SectB_b7/100)-SectB_d7),0))))))</f>
        <v>---</v>
      </c>
      <c r="CE147" s="3348" t="str">
        <f>IF(CB146&lt;SectC_a2,"---",IF(CB146&lt;=SectC_a3,ROUND((CB146*(SectC_b3/100)-SectC_d3),0),IF(CB146&lt;=SectC_a4,ROUND((CB146*(SectC_b4/100)-SectC_d4),0),IF(CB146&lt;=SectC_a5,ROUND((CB146*(SectC_b5/100)-SectC_d5),0),ROUND((CB146*(SectC_b6/100)-SectC_d6),0)))))</f>
        <v>---</v>
      </c>
      <c r="CF147" s="3349" t="str">
        <f>IF(CB146&lt;SectD_a2,"---",IF(CB146&lt;=SectD_a3,ROUND((CB146*(SectD_b3/100)-SectD_d3),0),IF(CB146&lt;=SectD_a4,ROUND((CB146*(SectD_b4/100)-SectD_d4),0),IF(CB146&lt;=SectD_a5,ROUND((CB146*(SectD_b5/100)-SectD_d5),0),IF(CB146&lt;=SectD_a6,ROUND((CB146*(SectD_b6/100)-SectD_d6),0),ROUND((CB146*(SectD_b7/100)-SectD_d7),0))))))</f>
        <v>---</v>
      </c>
      <c r="CH147" s="3341"/>
      <c r="CI147" s="3348" t="str">
        <f>IF(CH146&lt;SectA_a3,"---",IF(CH146&lt;=SectA_a4,ROUND((CH146*(SectA_b4/100)-SectA_d4),0),IF(CH146&lt;=SectA_a5,ROUND((CH146*(SectA_b5/100)-SectA_d5),0),IF(CH146&lt;=SectA_a6,ROUND((CH146*(SectA_b6/100)-SectA_d6),0),ROUND((CH146*(SectA_b7/100)-SectA_d7),0)))))</f>
        <v>---</v>
      </c>
      <c r="CJ147" s="3348" t="str">
        <f>IF(CH146&lt;SectB_a2,"---",IF(CH146&lt;=SectB_a3,ROUND((CH146*(SectB_b3/100)-SectB_d3),0),IF(CH146&lt;=SectB_a4,ROUND((CH146*(SectB_b4/100)-SectB_d4),0),IF(CH146&lt;=SectB_a5,ROUND((CH146*(SectB_b5/100)-SectB_d5),0),IF(CH146&lt;=SectB_a6,ROUND((CH146*(SectB_b6/100)-SectB_d6),0),ROUND((CH146*(SectB_b7/100)-SectB_d7),0))))))</f>
        <v>---</v>
      </c>
      <c r="CK147" s="3348" t="str">
        <f>IF(CH146&lt;SectC_a2,"---",IF(CH146&lt;=SectC_a3,ROUND((CH146*(SectC_b3/100)-SectC_d3),0),IF(CH146&lt;=SectC_a4,ROUND((CH146*(SectC_b4/100)-SectC_d4),0),IF(CH146&lt;=SectC_a5,ROUND((CH146*(SectC_b5/100)-SectC_d5),0),ROUND((CH146*(SectC_b6/100)-SectC_d6),0)))))</f>
        <v>---</v>
      </c>
      <c r="CL147" s="3349" t="str">
        <f>IF(CH146&lt;SectD_a2,"---",IF(CH146&lt;=SectD_a3,ROUND((CH146*(SectD_b3/100)-SectD_d3),0),IF(CH146&lt;=SectD_a4,ROUND((CH146*(SectD_b4/100)-SectD_d4),0),IF(CH146&lt;=SectD_a5,ROUND((CH146*(SectD_b5/100)-SectD_d5),0),IF(CH146&lt;=SectD_a6,ROUND((CH146*(SectD_b6/100)-SectD_d6),0),ROUND((CH146*(SectD_b7/100)-SectD_d7),0))))))</f>
        <v>---</v>
      </c>
    </row>
    <row r="148" spans="1:94" ht="14.25" customHeight="1" thickBot="1">
      <c r="A148" s="588"/>
      <c r="B148" s="54"/>
      <c r="C148" s="54"/>
      <c r="D148" s="8296" t="s">
        <v>4675</v>
      </c>
      <c r="E148" s="8296"/>
      <c r="F148" s="8296"/>
      <c r="G148" s="8296"/>
      <c r="H148" s="8296"/>
      <c r="I148" s="8296"/>
      <c r="J148" s="8296"/>
      <c r="K148" s="8296"/>
      <c r="L148" s="8296"/>
      <c r="M148" s="8296"/>
      <c r="N148" s="8296"/>
      <c r="O148" s="8296"/>
      <c r="P148" s="8296"/>
      <c r="Q148" s="8296"/>
      <c r="R148" s="8296"/>
      <c r="S148" s="8296"/>
      <c r="T148" s="8296"/>
      <c r="U148" s="8296"/>
      <c r="V148" s="8296"/>
      <c r="W148" s="8296"/>
      <c r="X148" s="78"/>
      <c r="Y148" s="1185"/>
      <c r="Z148" s="431"/>
      <c r="AA148" s="431"/>
      <c r="AB148" s="1179"/>
      <c r="AC148" s="1179"/>
      <c r="AD148" s="1179"/>
      <c r="AE148" s="1179"/>
      <c r="AF148" s="1179"/>
      <c r="AG148" s="431"/>
      <c r="AH148" s="431"/>
      <c r="AI148" s="431"/>
      <c r="AJ148" s="431"/>
      <c r="AK148" s="431"/>
      <c r="AL148" s="431"/>
      <c r="AM148" s="431"/>
      <c r="AN148" s="431"/>
      <c r="AO148" s="431"/>
      <c r="AP148" s="431"/>
      <c r="AQ148" s="431"/>
      <c r="AR148" s="431"/>
      <c r="AS148" s="431"/>
      <c r="AT148" s="431"/>
      <c r="AU148" s="42"/>
      <c r="AV148" s="1732"/>
      <c r="AW148" s="42"/>
      <c r="AX148" s="42"/>
      <c r="AY148" s="42"/>
      <c r="AZ148" s="42"/>
      <c r="BA148" s="42"/>
      <c r="BB148" s="42"/>
      <c r="BP148" s="3342" t="str">
        <f>IF(File_Single&lt;&gt;"",BQ146,IF(File_Marr_Joint&lt;&gt;"",BR146,IF(File_Marr_Sep&lt;&gt;"", BS146,IF(File_Head&lt;&gt;"",BT146,IF(File_Qual_Widow&lt;&gt;"",BR146,"Filing status?")))))</f>
        <v>Filing status?</v>
      </c>
      <c r="BQ148" s="2087" t="str">
        <f>"&lt;100k"</f>
        <v>&lt;100k</v>
      </c>
      <c r="BR148" s="2087"/>
      <c r="BS148" s="2087"/>
      <c r="BT148" s="3345"/>
      <c r="BV148" s="3342" t="str">
        <f>IF(File_Single&lt;&gt;"",BW146,IF(File_Marr_Joint&lt;&gt;"",BX146,IF(File_Marr_Sep&lt;&gt;"", BY146,IF(File_Head&lt;&gt;"",BZ146,IF(File_Qual_Widow&lt;&gt;"",BX146,"Filing status?")))))</f>
        <v>Filing status?</v>
      </c>
      <c r="BW148" s="2087" t="str">
        <f>"&lt;100k"</f>
        <v>&lt;100k</v>
      </c>
      <c r="BX148" s="2087"/>
      <c r="BY148" s="2087"/>
      <c r="BZ148" s="3345"/>
      <c r="CB148" s="3342" t="str">
        <f>IF(File_Single&lt;&gt;"",CC146,IF(File_Marr_Joint&lt;&gt;"",CD146,IF(File_Marr_Sep&lt;&gt;"", CE146,IF(File_Head&lt;&gt;"",CF146,IF(File_Qual_Widow&lt;&gt;"",CD146,"Filing status?")))))</f>
        <v>Filing status?</v>
      </c>
      <c r="CC148" s="2087" t="str">
        <f>"&lt;100k"</f>
        <v>&lt;100k</v>
      </c>
      <c r="CD148" s="2087"/>
      <c r="CE148" s="2087"/>
      <c r="CF148" s="3345"/>
      <c r="CH148" s="3342" t="str">
        <f>IF(File_Single&lt;&gt;"",CI146,IF(File_Marr_Joint&lt;&gt;"",CJ146,IF(File_Marr_Sep&lt;&gt;"", CK146,IF(File_Head&lt;&gt;"",CL146,IF(File_Qual_Widow&lt;&gt;"",CJ146,"Filing status?")))))</f>
        <v>Filing status?</v>
      </c>
      <c r="CI148" s="2087" t="str">
        <f>"&lt;100k"</f>
        <v>&lt;100k</v>
      </c>
      <c r="CJ148" s="2087"/>
      <c r="CK148" s="2087"/>
      <c r="CL148" s="3345"/>
    </row>
    <row r="149" spans="1:94" ht="14.25" customHeight="1" thickBot="1">
      <c r="A149" s="588"/>
      <c r="B149" s="41"/>
      <c r="C149" s="2560"/>
      <c r="D149" s="8297"/>
      <c r="E149" s="8297"/>
      <c r="F149" s="8297"/>
      <c r="G149" s="8297"/>
      <c r="H149" s="8297"/>
      <c r="I149" s="8297"/>
      <c r="J149" s="8297"/>
      <c r="K149" s="8297"/>
      <c r="L149" s="8297"/>
      <c r="M149" s="8297"/>
      <c r="N149" s="8297"/>
      <c r="O149" s="8297"/>
      <c r="P149" s="8297"/>
      <c r="Q149" s="8297"/>
      <c r="R149" s="8297"/>
      <c r="S149" s="8297"/>
      <c r="T149" s="8297"/>
      <c r="U149" s="8297"/>
      <c r="V149" s="8297"/>
      <c r="W149" s="8297"/>
      <c r="X149" s="78"/>
      <c r="Y149" s="1185"/>
      <c r="Z149" s="431"/>
      <c r="AA149" s="431"/>
      <c r="AB149" s="1179"/>
      <c r="AC149" s="1179"/>
      <c r="AD149" s="1179"/>
      <c r="AE149" s="1179"/>
      <c r="AF149" s="1179"/>
      <c r="AG149" s="431"/>
      <c r="AH149" s="431"/>
      <c r="AI149" s="431"/>
      <c r="AJ149" s="431"/>
      <c r="AK149" s="431"/>
      <c r="AL149" s="431"/>
      <c r="AM149" s="431"/>
      <c r="AN149" s="431"/>
      <c r="AO149" s="431"/>
      <c r="AP149" s="431"/>
      <c r="AQ149" s="431"/>
      <c r="AR149" s="431"/>
      <c r="AS149" s="431"/>
      <c r="AT149" s="431"/>
      <c r="AU149" s="42"/>
      <c r="AV149" s="1732"/>
      <c r="AW149" s="42"/>
      <c r="AX149" s="42"/>
      <c r="AY149" s="42"/>
      <c r="AZ149" s="42"/>
      <c r="BA149" s="42"/>
      <c r="BB149" s="42"/>
      <c r="BO149" s="4310" t="s">
        <v>5580</v>
      </c>
      <c r="BP149" s="3343" t="str">
        <f>IF(File_Single&lt;&gt;"",BQ147,IF(OR(File_Marr_Joint&lt;&gt;"",File_Qual_Widow&lt;&gt;""),BR147,IF(File_Marr_Sep&lt;&gt;"", BS147,IF(File_Head&lt;&gt;"",BT147,"Filing status?"))))</f>
        <v>Filing status?</v>
      </c>
      <c r="BQ149" s="3344" t="str">
        <f>"&gt;=100k"</f>
        <v>&gt;=100k</v>
      </c>
      <c r="BR149" s="3344"/>
      <c r="BS149" s="3350" t="s">
        <v>2553</v>
      </c>
      <c r="BT149" s="3351" t="str">
        <f>IF(BP146&gt;100000,BP149,BP148)</f>
        <v>Filing status?</v>
      </c>
      <c r="BV149" s="3343" t="str">
        <f>IF(File_Single&lt;&gt;"",BW147,IF(OR(File_Marr_Joint&lt;&gt;"",File_Qual_Widow&lt;&gt;""),BX147,IF(File_Marr_Sep&lt;&gt;"", BY147,IF(File_Head&lt;&gt;"",BZ147,"Filing status?"))))</f>
        <v>Filing status?</v>
      </c>
      <c r="BW149" s="3344" t="str">
        <f>"&gt;=100k"</f>
        <v>&gt;=100k</v>
      </c>
      <c r="BX149" s="3344"/>
      <c r="BY149" s="3350" t="s">
        <v>2553</v>
      </c>
      <c r="BZ149" s="3351" t="str">
        <f>IF(BV146&gt;100000,BV149,BV148)</f>
        <v>Filing status?</v>
      </c>
      <c r="CB149" s="3343" t="str">
        <f>IF(File_Single&lt;&gt;"",CC147,IF(OR(File_Marr_Joint&lt;&gt;"",File_Qual_Widow&lt;&gt;""),CD147,IF(File_Marr_Sep&lt;&gt;"", CE147,IF(File_Head&lt;&gt;"",CF147,"Filing status?"))))</f>
        <v>Filing status?</v>
      </c>
      <c r="CC149" s="3344" t="str">
        <f>"&gt;=100k"</f>
        <v>&gt;=100k</v>
      </c>
      <c r="CD149" s="3344"/>
      <c r="CE149" s="3350" t="s">
        <v>2553</v>
      </c>
      <c r="CF149" s="3351" t="str">
        <f>IF(CB146&gt;100000,CB149,CB148)</f>
        <v>Filing status?</v>
      </c>
      <c r="CH149" s="3343" t="str">
        <f>IF(File_Single&lt;&gt;"",CI147,IF(OR(File_Marr_Joint&lt;&gt;"",File_Qual_Widow&lt;&gt;""),CJ147,IF(File_Marr_Sep&lt;&gt;"", CK147,IF(File_Head&lt;&gt;"",CL147,"Filing status?"))))</f>
        <v>Filing status?</v>
      </c>
      <c r="CI149" s="3344" t="str">
        <f>"&gt;=100k"</f>
        <v>&gt;=100k</v>
      </c>
      <c r="CJ149" s="3344"/>
      <c r="CK149" s="3350" t="s">
        <v>2553</v>
      </c>
      <c r="CL149" s="3351" t="str">
        <f>IF(CH146&gt;100000,CH149,CH148)</f>
        <v>Filing status?</v>
      </c>
    </row>
    <row r="150" spans="1:94" ht="14.25" customHeight="1" thickTop="1">
      <c r="A150" s="588"/>
      <c r="B150" s="23"/>
      <c r="C150" s="48">
        <v>22</v>
      </c>
      <c r="D150" s="70" t="s">
        <v>3045</v>
      </c>
      <c r="E150" s="23"/>
      <c r="F150" s="23"/>
      <c r="G150" s="23"/>
      <c r="H150" s="23"/>
      <c r="I150" s="23"/>
      <c r="J150" s="23"/>
      <c r="K150" s="23"/>
      <c r="L150" s="23"/>
      <c r="M150" s="23"/>
      <c r="N150" s="1355"/>
      <c r="O150" s="2165">
        <v>22</v>
      </c>
      <c r="P150" s="2168"/>
      <c r="Q150" s="2169"/>
      <c r="R150" s="8000" t="str">
        <f>IF(OR(R$116="",NOT($B$62)),"",P157)</f>
        <v/>
      </c>
      <c r="S150" s="8001"/>
      <c r="T150" s="8000" t="str">
        <f>IF(OR(T$116="",NOT($B$62)),"",SUM(P157,R157))</f>
        <v/>
      </c>
      <c r="U150" s="8001"/>
      <c r="V150" s="8000" t="str">
        <f>IF(OR(V$116="",NOT($B$62)),"",SUM(P157,R157,T157))</f>
        <v/>
      </c>
      <c r="W150" s="7775"/>
      <c r="X150" s="78"/>
      <c r="Y150" s="1185"/>
      <c r="Z150" s="431"/>
      <c r="AA150" s="431"/>
      <c r="AB150" s="1179"/>
      <c r="AC150" s="1179"/>
      <c r="AD150" s="1179"/>
      <c r="AE150" s="1179"/>
      <c r="AF150" s="1179"/>
      <c r="AG150" s="431"/>
      <c r="AH150" s="431"/>
      <c r="AI150" s="431"/>
      <c r="AJ150" s="431"/>
      <c r="AK150" s="431"/>
      <c r="AL150" s="431"/>
      <c r="AM150" s="431"/>
      <c r="AN150" s="431"/>
      <c r="AO150" s="431"/>
      <c r="AP150" s="431"/>
      <c r="AQ150" s="431"/>
      <c r="AR150" s="431"/>
      <c r="AS150" s="431"/>
      <c r="AT150" s="431"/>
      <c r="AU150" s="42"/>
      <c r="AV150" s="1732"/>
      <c r="AW150" s="42"/>
      <c r="AX150" s="42"/>
      <c r="AY150" s="42"/>
      <c r="AZ150" s="42"/>
      <c r="BA150" s="42"/>
      <c r="BB150" s="42"/>
      <c r="BT150" s="270" t="str">
        <f>"AK"&amp;ROW(AK264)</f>
        <v>AK264</v>
      </c>
      <c r="BZ150" s="270" t="str">
        <f>"AM"&amp;ROW(AM264)</f>
        <v>AM264</v>
      </c>
      <c r="CF150" s="270" t="str">
        <f>"AO"&amp;ROW(AO264)</f>
        <v>AO264</v>
      </c>
      <c r="CL150" s="270" t="str">
        <f>"AQ"&amp;ROW(AQ264)</f>
        <v>AQ264</v>
      </c>
    </row>
    <row r="151" spans="1:94" s="936" customFormat="1" ht="17.25" customHeight="1">
      <c r="A151" s="588"/>
      <c r="B151" s="23"/>
      <c r="C151" s="48">
        <v>23</v>
      </c>
      <c r="D151" s="132" t="s">
        <v>559</v>
      </c>
      <c r="E151" s="23"/>
      <c r="F151" s="23"/>
      <c r="G151" s="23"/>
      <c r="H151" s="23"/>
      <c r="I151" s="23"/>
      <c r="J151" s="23"/>
      <c r="K151" s="23"/>
      <c r="L151" s="23"/>
      <c r="M151" s="23"/>
      <c r="N151" s="1355"/>
      <c r="O151" s="2165">
        <v>23</v>
      </c>
      <c r="P151" s="8000" t="str">
        <f>IF(NOT($B$62),"",IF(OR(P116="",P121=""),"",MAX(0,SUM(P147))))</f>
        <v/>
      </c>
      <c r="Q151" s="8001"/>
      <c r="R151" s="8000" t="str">
        <f>IF(NOT($B$62),"",IF(OR(R116="",R121=""),"",MAX(0,SUM(R147,-R150))))</f>
        <v/>
      </c>
      <c r="S151" s="8001"/>
      <c r="T151" s="8000" t="str">
        <f>IF(NOT($B$62),"",IF(OR(T116="",T121=""),"",MAX(0,SUM(T147,-T150))))</f>
        <v/>
      </c>
      <c r="U151" s="8001"/>
      <c r="V151" s="8002" t="str">
        <f>IF(NOT($B$62),"",IF(OR(V116="",V121=""),"",MAX(0,SUM(V147,-V150))))</f>
        <v/>
      </c>
      <c r="W151" s="8274"/>
      <c r="X151" s="78"/>
      <c r="Y151" s="1185"/>
      <c r="Z151" s="431"/>
      <c r="AA151" s="431"/>
      <c r="AB151" s="1179"/>
      <c r="AC151" s="1179"/>
      <c r="AD151" s="1179"/>
      <c r="AE151" s="1179"/>
      <c r="AF151" s="1179"/>
      <c r="AG151" s="431"/>
      <c r="AH151" s="431"/>
      <c r="AI151" s="431"/>
      <c r="AJ151" s="431"/>
      <c r="AK151" s="431"/>
      <c r="AL151" s="431"/>
      <c r="AM151" s="431"/>
      <c r="AN151" s="431"/>
      <c r="AO151" s="431"/>
      <c r="AP151" s="431"/>
      <c r="AQ151" s="431"/>
      <c r="AR151" s="431"/>
      <c r="AS151" s="431"/>
      <c r="AT151" s="431"/>
      <c r="AU151" s="42"/>
      <c r="AV151" s="1732"/>
      <c r="AW151" s="42"/>
      <c r="AX151" s="42"/>
      <c r="AY151" s="42"/>
      <c r="AZ151" s="42"/>
      <c r="BA151" s="42"/>
      <c r="BB151" s="42"/>
      <c r="BC151" s="2595"/>
      <c r="BD151" s="2595"/>
      <c r="BE151" s="2595"/>
      <c r="BF151" s="2595"/>
      <c r="BG151" s="2595"/>
      <c r="BH151" s="2595"/>
      <c r="BI151" s="2595"/>
      <c r="BJ151" s="2595"/>
      <c r="BK151" s="2595"/>
      <c r="BL151" s="2595"/>
      <c r="BM151" s="2595"/>
      <c r="BN151"/>
      <c r="BO151"/>
      <c r="BP151"/>
      <c r="BQ151"/>
      <c r="BR151"/>
      <c r="BS151"/>
      <c r="BT151"/>
      <c r="BU151"/>
      <c r="BV151"/>
      <c r="BW151"/>
      <c r="BX151"/>
      <c r="BY151"/>
      <c r="BZ151"/>
      <c r="CA151"/>
      <c r="CB151"/>
      <c r="CC151"/>
      <c r="CD151"/>
      <c r="CE151"/>
      <c r="CF151"/>
      <c r="CG151"/>
      <c r="CH151"/>
      <c r="CI151"/>
      <c r="CJ151"/>
      <c r="CK151"/>
      <c r="CL151"/>
      <c r="CM151"/>
      <c r="CN151"/>
      <c r="CO151"/>
      <c r="CP151"/>
    </row>
    <row r="152" spans="1:94" ht="20.25" customHeight="1" thickBot="1">
      <c r="A152" s="588"/>
      <c r="B152" s="23"/>
      <c r="C152" s="48">
        <v>24</v>
      </c>
      <c r="D152" s="70" t="str">
        <f>"Enter "&amp;TEXT(S153,"0%")&amp;" ("&amp;TEXT(S153,"0.00")&amp;") of line 9 on page 1 of Form 2210 in each column"</f>
        <v>Enter 25% (0.25) of line 9 on page 1 of Form 2210 in each column</v>
      </c>
      <c r="E152" s="23"/>
      <c r="F152" s="23"/>
      <c r="G152" s="23"/>
      <c r="H152" s="23"/>
      <c r="I152" s="23"/>
      <c r="J152" s="23"/>
      <c r="K152" s="23"/>
      <c r="L152" s="23"/>
      <c r="M152" s="23"/>
      <c r="N152" s="1355"/>
      <c r="O152" s="2165">
        <v>24</v>
      </c>
      <c r="P152" s="8000" t="str">
        <f>IF(NOT($B$62),"",IF(OR($U$47="",P116="",P121=""),"",$U$47*$S$153))</f>
        <v/>
      </c>
      <c r="Q152" s="8001"/>
      <c r="R152" s="8000" t="str">
        <f>IF(NOT($B$62),"",IF(OR($U$47="",R116="",R121=""),"",$U$47*$S$153))</f>
        <v/>
      </c>
      <c r="S152" s="8001"/>
      <c r="T152" s="8000" t="str">
        <f>IF(NOT($B$62),"",IF(OR($U$47="",T116="",T121=""),"",$U$47*$S$153))</f>
        <v/>
      </c>
      <c r="U152" s="8001"/>
      <c r="V152" s="8000" t="str">
        <f>IF(NOT($B$62),"",IF(OR($U$47="",V116="",V121=""),"",$U$47*$S$153))</f>
        <v/>
      </c>
      <c r="W152" s="7775"/>
      <c r="X152" s="78"/>
      <c r="Y152" s="1185"/>
      <c r="Z152" s="431"/>
      <c r="AA152" s="431"/>
      <c r="AB152" s="1179"/>
      <c r="AC152" s="1179"/>
      <c r="AD152" s="1179"/>
      <c r="AE152" s="1179"/>
      <c r="AF152" s="1179"/>
      <c r="AG152" s="431"/>
      <c r="AH152" s="431"/>
      <c r="AI152" s="431"/>
      <c r="AJ152" s="431"/>
      <c r="AK152" s="431"/>
      <c r="AL152" s="431"/>
      <c r="AM152" s="431"/>
      <c r="AN152" s="431"/>
      <c r="AO152" s="431"/>
      <c r="AP152" s="431"/>
      <c r="AQ152" s="431"/>
      <c r="AR152" s="431"/>
      <c r="AS152" s="431"/>
      <c r="AT152" s="431"/>
      <c r="AU152" s="42"/>
      <c r="AV152" s="1732"/>
      <c r="AW152" s="42"/>
      <c r="AX152" s="42"/>
      <c r="AY152" s="42"/>
      <c r="AZ152" s="42"/>
      <c r="BA152" s="42"/>
      <c r="BB152" s="42"/>
      <c r="BP152" s="1291" t="str">
        <f>"AW"&amp;ROW(AW231)</f>
        <v>AW231</v>
      </c>
      <c r="BQ152" s="270" t="s">
        <v>69</v>
      </c>
      <c r="BR152" s="270" t="s">
        <v>2552</v>
      </c>
      <c r="BS152" s="270" t="s">
        <v>458</v>
      </c>
      <c r="BT152" s="270" t="s">
        <v>2000</v>
      </c>
      <c r="BV152" s="1291" t="str">
        <f>"AX"&amp;ROW(AX231)</f>
        <v>AX231</v>
      </c>
      <c r="BW152" s="270" t="s">
        <v>69</v>
      </c>
      <c r="BX152" s="270" t="s">
        <v>2552</v>
      </c>
      <c r="BY152" s="270" t="s">
        <v>458</v>
      </c>
      <c r="BZ152" s="270" t="s">
        <v>2000</v>
      </c>
      <c r="CB152" s="1291" t="str">
        <f>"AY"&amp;ROW(AY231)</f>
        <v>AY231</v>
      </c>
      <c r="CC152" s="270" t="s">
        <v>69</v>
      </c>
      <c r="CD152" s="270" t="s">
        <v>2552</v>
      </c>
      <c r="CE152" s="270" t="s">
        <v>458</v>
      </c>
      <c r="CF152" s="270" t="s">
        <v>2000</v>
      </c>
      <c r="CH152" s="1291" t="str">
        <f>"AZ"&amp;ROW(AZ231)</f>
        <v>AZ231</v>
      </c>
      <c r="CI152" s="270" t="s">
        <v>69</v>
      </c>
      <c r="CJ152" s="270" t="s">
        <v>2552</v>
      </c>
      <c r="CK152" s="270" t="s">
        <v>458</v>
      </c>
      <c r="CL152" s="270" t="s">
        <v>2000</v>
      </c>
    </row>
    <row r="153" spans="1:94" ht="18.75" customHeight="1" thickTop="1" thickBot="1">
      <c r="A153" s="588"/>
      <c r="B153" s="23"/>
      <c r="C153" s="48">
        <v>25</v>
      </c>
      <c r="D153" s="132" t="s">
        <v>3046</v>
      </c>
      <c r="E153" s="23"/>
      <c r="F153" s="23"/>
      <c r="G153" s="23"/>
      <c r="H153" s="23"/>
      <c r="I153" s="23"/>
      <c r="J153" s="23"/>
      <c r="K153" s="23"/>
      <c r="L153" s="23"/>
      <c r="M153" s="23"/>
      <c r="N153" s="2252"/>
      <c r="O153" s="53"/>
      <c r="P153" s="2174"/>
      <c r="Q153" s="2175"/>
      <c r="R153" s="387"/>
      <c r="S153" s="3873">
        <v>0.25</v>
      </c>
      <c r="T153" s="994"/>
      <c r="U153" s="2158"/>
      <c r="V153" s="425"/>
      <c r="W153" s="2245"/>
      <c r="X153" s="78"/>
      <c r="Y153" s="1185"/>
      <c r="Z153" s="431"/>
      <c r="AA153" s="431"/>
      <c r="AB153" s="1179"/>
      <c r="AC153" s="1179"/>
      <c r="AD153" s="1179"/>
      <c r="AE153" s="1179"/>
      <c r="AF153" s="1179"/>
      <c r="AG153" s="431"/>
      <c r="AH153" s="431"/>
      <c r="AI153" s="431"/>
      <c r="AJ153" s="431"/>
      <c r="AK153" s="431"/>
      <c r="AL153" s="431"/>
      <c r="AM153" s="431"/>
      <c r="AN153" s="431"/>
      <c r="AO153" s="431"/>
      <c r="AP153" s="431"/>
      <c r="AQ153" s="431"/>
      <c r="AR153" s="431"/>
      <c r="AS153" s="431"/>
      <c r="AT153" s="431"/>
      <c r="AU153" s="42"/>
      <c r="AV153" s="1732"/>
      <c r="AW153" s="42"/>
      <c r="AX153" s="42"/>
      <c r="AY153" s="42"/>
      <c r="AZ153" s="42"/>
      <c r="BA153" s="42"/>
      <c r="BB153" s="42"/>
      <c r="BO153" s="4310" t="s">
        <v>3649</v>
      </c>
      <c r="BP153" s="3352">
        <f>$AW$271</f>
        <v>0</v>
      </c>
      <c r="BQ153" s="3346">
        <f>LOOKUP(BP153,'Tax Table'!$B$2:$B$2063,'Tax Table'!$D$2:$D$2063)</f>
        <v>0</v>
      </c>
      <c r="BR153" s="3346">
        <f>LOOKUP(BP153,'Tax Table'!$B$2:$B$2063,'Tax Table'!$E$2:$E$2063)</f>
        <v>0</v>
      </c>
      <c r="BS153" s="3346">
        <f>LOOKUP(BP153,'Tax Table'!$B$2:$B$2063,'Tax Table'!$F$2:$F$2063)</f>
        <v>0</v>
      </c>
      <c r="BT153" s="3347">
        <f>LOOKUP(BP153,'Tax Table'!$B$2:$B$2063,'Tax Table'!$G$2:$G$2063)</f>
        <v>0</v>
      </c>
      <c r="BV153" s="3352">
        <f>$AX$271</f>
        <v>0</v>
      </c>
      <c r="BW153" s="3346">
        <f>LOOKUP(BV153,'Tax Table'!$B$2:$B$2063,'Tax Table'!$D$2:$D$2063)</f>
        <v>0</v>
      </c>
      <c r="BX153" s="3346">
        <f>LOOKUP(BV153,'Tax Table'!$B$2:$B$2063,'Tax Table'!$E$2:$E$2063)</f>
        <v>0</v>
      </c>
      <c r="BY153" s="3346">
        <f>LOOKUP(BV153,'Tax Table'!$B$2:$B$2063,'Tax Table'!$F$2:$F$2063)</f>
        <v>0</v>
      </c>
      <c r="BZ153" s="3347">
        <f>LOOKUP(BV153,'Tax Table'!$B$2:$B$2063,'Tax Table'!$G$2:$G$2063)</f>
        <v>0</v>
      </c>
      <c r="CB153" s="3352">
        <f>$AY$271</f>
        <v>0</v>
      </c>
      <c r="CC153" s="3346">
        <f>LOOKUP(CB153,'Tax Table'!$B$2:$B$2063,'Tax Table'!$D$2:$D$2063)</f>
        <v>0</v>
      </c>
      <c r="CD153" s="3346">
        <f>LOOKUP(CB153,'Tax Table'!$B$2:$B$2063,'Tax Table'!$E$2:$E$2063)</f>
        <v>0</v>
      </c>
      <c r="CE153" s="3346">
        <f>LOOKUP(CB153,'Tax Table'!$B$2:$B$2063,'Tax Table'!$F$2:$F$2063)</f>
        <v>0</v>
      </c>
      <c r="CF153" s="3347">
        <f>LOOKUP(CB153,'Tax Table'!$B$2:$B$2063,'Tax Table'!$G$2:$G$2063)</f>
        <v>0</v>
      </c>
      <c r="CH153" s="3352">
        <f>$AZ$271</f>
        <v>0</v>
      </c>
      <c r="CI153" s="3346">
        <f>LOOKUP(CH153,'Tax Table'!$B$2:$B$2063,'Tax Table'!$D$2:$D$2063)</f>
        <v>0</v>
      </c>
      <c r="CJ153" s="3346">
        <f>LOOKUP(CH153,'Tax Table'!$B$2:$B$2063,'Tax Table'!$E$2:$E$2063)</f>
        <v>0</v>
      </c>
      <c r="CK153" s="3346">
        <f>LOOKUP(CH153,'Tax Table'!$B$2:$B$2063,'Tax Table'!$F$2:$F$2063)</f>
        <v>0</v>
      </c>
      <c r="CL153" s="3347">
        <f>LOOKUP(CH153,'Tax Table'!$B$2:$B$2063,'Tax Table'!$G$2:$G$2063)</f>
        <v>0</v>
      </c>
    </row>
    <row r="154" spans="1:94" ht="11.25" customHeight="1" thickBot="1">
      <c r="A154" s="588"/>
      <c r="B154" s="23"/>
      <c r="C154" s="48"/>
      <c r="D154" s="132" t="s">
        <v>1791</v>
      </c>
      <c r="E154" s="23"/>
      <c r="F154" s="23"/>
      <c r="G154" s="23"/>
      <c r="H154" s="23"/>
      <c r="I154" s="23"/>
      <c r="J154" s="23"/>
      <c r="K154" s="23"/>
      <c r="L154" s="23"/>
      <c r="M154" s="23"/>
      <c r="N154" s="1355" t="s">
        <v>374</v>
      </c>
      <c r="O154" s="2165">
        <v>25</v>
      </c>
      <c r="P154" s="2168"/>
      <c r="Q154" s="2169"/>
      <c r="R154" s="8000" t="str">
        <f>IF(NOT($B$62),"",IF(OR(R116="",R121=""),"",SUM(P155,-P157)))</f>
        <v/>
      </c>
      <c r="S154" s="8001"/>
      <c r="T154" s="8000" t="str">
        <f>IF(NOT($B$62),"",IF(OR(T116="",T121=""),"",SUM(R155,-R157)))</f>
        <v/>
      </c>
      <c r="U154" s="8001"/>
      <c r="V154" s="8000" t="str">
        <f>IF(NOT($B$62),"",IF(OR(V116="",V121=""),"",SUM(T155,-T157)))</f>
        <v/>
      </c>
      <c r="W154" s="7775"/>
      <c r="X154" s="78"/>
      <c r="Y154" s="1185"/>
      <c r="Z154" s="431"/>
      <c r="AA154" s="431"/>
      <c r="AB154" s="1179"/>
      <c r="AC154" s="1179"/>
      <c r="AD154" s="1179"/>
      <c r="AE154" s="1179"/>
      <c r="AF154" s="1179"/>
      <c r="AG154" s="431"/>
      <c r="AH154" s="431"/>
      <c r="AI154" s="431"/>
      <c r="AJ154" s="431"/>
      <c r="AK154" s="431"/>
      <c r="AL154" s="431"/>
      <c r="AM154" s="431"/>
      <c r="AN154" s="431"/>
      <c r="AO154" s="431"/>
      <c r="AP154" s="431"/>
      <c r="AQ154" s="431"/>
      <c r="AR154" s="431"/>
      <c r="AS154" s="431"/>
      <c r="AT154" s="431"/>
      <c r="AU154" s="42"/>
      <c r="AV154" s="1732"/>
      <c r="AW154" s="42"/>
      <c r="AX154" s="42"/>
      <c r="AY154" s="42"/>
      <c r="AZ154" s="42"/>
      <c r="BA154" s="42"/>
      <c r="BB154" s="42"/>
      <c r="BP154" s="3341"/>
      <c r="BQ154" s="3348" t="str">
        <f>IF(BP153&lt;SectA_a3,"---",IF(BP153&lt;=SectA_a4,ROUND((BP153*(SectA_b4/100)-SectA_d4),0),IF(BP153&lt;=SectA_a5,ROUND((BP153*(SectA_b5/100)-SectA_d5),0),IF(BP153&lt;=SectA_a6,ROUND((BP153*(SectA_b6/100)-SectA_d6),0),ROUND((BP153*(SectA_b7/100)-SectA_d7),0)))))</f>
        <v>---</v>
      </c>
      <c r="BR154" s="3348" t="str">
        <f>IF(BP153&lt;SectB_a2,"---",IF(BP153&lt;=SectB_a3,ROUND((BP153*(SectB_b3/100)-SectB_d3),0),IF(BP153&lt;=SectB_a4,ROUND((BP153*(SectB_b4/100)-SectB_d4),0),IF(BP153&lt;=SectB_a5,ROUND((BP153*(SectB_b5/100)-SectB_d5),0),IF(BP153&lt;=SectB_a6,ROUND((BP153*(SectB_b6/100)-SectB_d6),0),ROUND((BP153*(SectB_b7/100)-SectB_d7),0))))))</f>
        <v>---</v>
      </c>
      <c r="BS154" s="3348" t="str">
        <f>IF(BP153&lt;SectC_a2,"---",IF(BP153&lt;=SectC_a3,ROUND((BP153*(SectC_b3/100)-SectC_d3),0),IF(BP153&lt;=SectC_a4,ROUND((BP153*(SectC_b4/100)-SectC_d4),0),IF(BP153&lt;=SectC_a5,ROUND((BP153*(SectC_b5/100)-SectC_d5),0),ROUND((BP153*(SectC_b6/100)-SectC_d6),0)))))</f>
        <v>---</v>
      </c>
      <c r="BT154" s="3349" t="str">
        <f>IF(BP153&lt;SectD_a2,"---",IF(BP153&lt;=SectD_a3,ROUND((BP153*(SectD_b3/100)-SectD_d3),0),IF(BP153&lt;=SectD_a4,ROUND((BP153*(SectD_b4/100)-SectD_d4),0),IF(BP153&lt;=SectD_a5,ROUND((BP153*(SectD_b5/100)-SectD_d5),0),IF(BP153&lt;=SectD_a6,ROUND((BP153*(SectD_b6/100)-SectD_d6),0),ROUND((BP153*(SectD_b7/100)-SectD_d7),0))))))</f>
        <v>---</v>
      </c>
      <c r="BV154" s="3341"/>
      <c r="BW154" s="3348" t="str">
        <f>IF(BV153&lt;SectA_a3,"---",IF(BV153&lt;=SectA_a4,ROUND((BV153*(SectA_b4/100)-SectA_d4),0),IF(BV153&lt;=SectA_a5,ROUND((BV153*(SectA_b5/100)-SectA_d5),0),IF(BV153&lt;=SectA_a6,ROUND((BV153*(SectA_b6/100)-SectA_d6),0),ROUND((BV153*(SectA_b7/100)-SectA_d7),0)))))</f>
        <v>---</v>
      </c>
      <c r="BX154" s="3348" t="str">
        <f>IF(BV153&lt;SectB_a2,"---",IF(BV153&lt;=SectB_a3,ROUND((BV153*(SectB_b3/100)-SectB_d3),0),IF(BV153&lt;=SectB_a4,ROUND((BV153*(SectB_b4/100)-SectB_d4),0),IF(BV153&lt;=SectB_a5,ROUND((BV153*(SectB_b5/100)-SectB_d5),0),IF(BV153&lt;=SectB_a6,ROUND((BV153*(SectB_b6/100)-SectB_d6),0),ROUND((BV153*(SectB_b7/100)-SectB_d7),0))))))</f>
        <v>---</v>
      </c>
      <c r="BY154" s="3348" t="str">
        <f>IF(BV153&lt;SectC_a2,"---",IF(BV153&lt;=SectC_a3,ROUND((BV153*(SectC_b3/100)-SectC_d3),0),IF(BV153&lt;=SectC_a4,ROUND((BV153*(SectC_b4/100)-SectC_d4),0),IF(BV153&lt;=SectC_a5,ROUND((BV153*(SectC_b5/100)-SectC_d5),0),ROUND((BV153*(SectC_b6/100)-SectC_d6),0)))))</f>
        <v>---</v>
      </c>
      <c r="BZ154" s="3349" t="str">
        <f>IF(BV153&lt;SectD_a2,"---",IF(BV153&lt;=SectD_a3,ROUND((BV153*(SectD_b3/100)-SectD_d3),0),IF(BV153&lt;=SectD_a4,ROUND((BV153*(SectD_b4/100)-SectD_d4),0),IF(BV153&lt;=SectD_a5,ROUND((BV153*(SectD_b5/100)-SectD_d5),0),IF(BV153&lt;=SectD_a6,ROUND((BV153*(SectD_b6/100)-SectD_d6),0),ROUND((BV153*(SectD_b7/100)-SectD_d7),0))))))</f>
        <v>---</v>
      </c>
      <c r="CB154" s="3341"/>
      <c r="CC154" s="3348" t="str">
        <f>IF(CB153&lt;SectA_a3,"---",IF(CB153&lt;=SectA_a4,ROUND((CB153*(SectA_b4/100)-SectA_d4),0),IF(CB153&lt;=SectA_a5,ROUND((CB153*(SectA_b5/100)-SectA_d5),0),IF(CB153&lt;=SectA_a6,ROUND((CB153*(SectA_b6/100)-SectA_d6),0),ROUND((CB153*(SectA_b7/100)-SectA_d7),0)))))</f>
        <v>---</v>
      </c>
      <c r="CD154" s="3348" t="str">
        <f>IF(CB153&lt;SectB_a2,"---",IF(CB153&lt;=SectB_a3,ROUND((CB153*(SectB_b3/100)-SectB_d3),0),IF(CB153&lt;=SectB_a4,ROUND((CB153*(SectB_b4/100)-SectB_d4),0),IF(CB153&lt;=SectB_a5,ROUND((CB153*(SectB_b5/100)-SectB_d5),0),IF(CB153&lt;=SectB_a6,ROUND((CB153*(SectB_b6/100)-SectB_d6),0),ROUND((CB153*(SectB_b7/100)-SectB_d7),0))))))</f>
        <v>---</v>
      </c>
      <c r="CE154" s="3348" t="str">
        <f>IF(CB153&lt;SectC_a2,"---",IF(CB153&lt;=SectC_a3,ROUND((CB153*(SectC_b3/100)-SectC_d3),0),IF(CB153&lt;=SectC_a4,ROUND((CB153*(SectC_b4/100)-SectC_d4),0),IF(CB153&lt;=SectC_a5,ROUND((CB153*(SectC_b5/100)-SectC_d5),0),ROUND((CB153*(SectC_b6/100)-SectC_d6),0)))))</f>
        <v>---</v>
      </c>
      <c r="CF154" s="3349" t="str">
        <f>IF(CB153&lt;SectD_a2,"---",IF(CB153&lt;=SectD_a3,ROUND((CB153*(SectD_b3/100)-SectD_d3),0),IF(CB153&lt;=SectD_a4,ROUND((CB153*(SectD_b4/100)-SectD_d4),0),IF(CB153&lt;=SectD_a5,ROUND((CB153*(SectD_b5/100)-SectD_d5),0),IF(CB153&lt;=SectD_a6,ROUND((CB153*(SectD_b6/100)-SectD_d6),0),ROUND((CB153*(SectD_b7/100)-SectD_d7),0))))))</f>
        <v>---</v>
      </c>
      <c r="CH154" s="3341"/>
      <c r="CI154" s="3348" t="str">
        <f>IF(CH153&lt;SectA_a3,"---",IF(CH153&lt;=SectA_a4,ROUND((CH153*(SectA_b4/100)-SectA_d4),0),IF(CH153&lt;=SectA_a5,ROUND((CH153*(SectA_b5/100)-SectA_d5),0),IF(CH153&lt;=SectA_a6,ROUND((CH153*(SectA_b6/100)-SectA_d6),0),ROUND((CH153*(SectA_b7/100)-SectA_d7),0)))))</f>
        <v>---</v>
      </c>
      <c r="CJ154" s="3348" t="str">
        <f>IF(CH153&lt;SectB_a2,"---",IF(CH153&lt;=SectB_a3,ROUND((CH153*(SectB_b3/100)-SectB_d3),0),IF(CH153&lt;=SectB_a4,ROUND((CH153*(SectB_b4/100)-SectB_d4),0),IF(CH153&lt;=SectB_a5,ROUND((CH153*(SectB_b5/100)-SectB_d5),0),IF(CH153&lt;=SectB_a6,ROUND((CH153*(SectB_b6/100)-SectB_d6),0),ROUND((CH153*(SectB_b7/100)-SectB_d7),0))))))</f>
        <v>---</v>
      </c>
      <c r="CK154" s="3348" t="str">
        <f>IF(CH153&lt;SectC_a2,"---",IF(CH153&lt;=SectC_a3,ROUND((CH153*(SectC_b3/100)-SectC_d3),0),IF(CH153&lt;=SectC_a4,ROUND((CH153*(SectC_b4/100)-SectC_d4),0),IF(CH153&lt;=SectC_a5,ROUND((CH153*(SectC_b5/100)-SectC_d5),0),ROUND((CH153*(SectC_b6/100)-SectC_d6),0)))))</f>
        <v>---</v>
      </c>
      <c r="CL154" s="3349" t="str">
        <f>IF(CH153&lt;SectD_a2,"---",IF(CH153&lt;=SectD_a3,ROUND((CH153*(SectD_b3/100)-SectD_d3),0),IF(CH153&lt;=SectD_a4,ROUND((CH153*(SectD_b4/100)-SectD_d4),0),IF(CH153&lt;=SectD_a5,ROUND((CH153*(SectD_b5/100)-SectD_d5),0),IF(CH153&lt;=SectD_a6,ROUND((CH153*(SectD_b6/100)-SectD_d6),0),ROUND((CH153*(SectD_b7/100)-SectD_d7),0))))))</f>
        <v>---</v>
      </c>
    </row>
    <row r="155" spans="1:94" ht="15.75" thickBot="1">
      <c r="A155" s="588"/>
      <c r="B155" s="23"/>
      <c r="C155" s="48">
        <v>26</v>
      </c>
      <c r="D155" s="132" t="s">
        <v>3020</v>
      </c>
      <c r="E155" s="23"/>
      <c r="F155" s="23"/>
      <c r="G155" s="23"/>
      <c r="H155" s="23"/>
      <c r="I155" s="23"/>
      <c r="J155" s="23"/>
      <c r="K155" s="23"/>
      <c r="L155" s="23"/>
      <c r="M155" s="23"/>
      <c r="N155" s="1355" t="s">
        <v>802</v>
      </c>
      <c r="O155" s="2165">
        <v>26</v>
      </c>
      <c r="P155" s="8000" t="str">
        <f>IF(NOT($B$62),"",IF(OR(P116="",P121=""),"",SUM(P152)))</f>
        <v/>
      </c>
      <c r="Q155" s="8001"/>
      <c r="R155" s="8000" t="str">
        <f>IF(NOT($B$62),"",IF(OR(R116="",R121=""),"",SUM(R152,R154)))</f>
        <v/>
      </c>
      <c r="S155" s="8001"/>
      <c r="T155" s="8000" t="str">
        <f>IF(NOT($B$62),"",IF(OR(T116="",T121=""),"",SUM(T152,T154)))</f>
        <v/>
      </c>
      <c r="U155" s="8001"/>
      <c r="V155" s="8000" t="str">
        <f>IF(NOT($B$62),"",IF(OR(V116="",V121=""),"",SUM(V152,V154)))</f>
        <v/>
      </c>
      <c r="W155" s="7775"/>
      <c r="X155" s="78"/>
      <c r="Y155" s="1185"/>
      <c r="Z155" s="431"/>
      <c r="AA155" s="431"/>
      <c r="AB155" s="431"/>
      <c r="AC155" s="431"/>
      <c r="AD155" s="431"/>
      <c r="AE155" s="431"/>
      <c r="AF155" s="431"/>
      <c r="AG155" s="431"/>
      <c r="AH155" s="431"/>
      <c r="AI155" s="431"/>
      <c r="AJ155" s="431"/>
      <c r="AK155" s="431"/>
      <c r="AL155" s="431"/>
      <c r="AM155" s="431"/>
      <c r="AN155" s="431"/>
      <c r="AO155" s="431"/>
      <c r="AP155" s="431"/>
      <c r="AQ155" s="431"/>
      <c r="AR155" s="431"/>
      <c r="AS155" s="431"/>
      <c r="AT155" s="431"/>
      <c r="AU155" s="42"/>
      <c r="AV155" s="1732"/>
      <c r="AW155" s="42"/>
      <c r="AX155" s="42"/>
      <c r="AY155" s="42"/>
      <c r="AZ155" s="42"/>
      <c r="BA155" s="42"/>
      <c r="BB155" s="42"/>
      <c r="BP155" s="3342" t="str">
        <f>IF(File_Single&lt;&gt;"",BQ153,IF(File_Marr_Joint&lt;&gt;"",BR153,IF(File_Marr_Sep&lt;&gt;"", BS153,IF(File_Head&lt;&gt;"",BT153,IF(File_Qual_Widow&lt;&gt;"",BR153,"Filing status?")))))</f>
        <v>Filing status?</v>
      </c>
      <c r="BQ155" s="2087" t="str">
        <f>"&lt;100k"</f>
        <v>&lt;100k</v>
      </c>
      <c r="BR155" s="2087"/>
      <c r="BS155" s="2087"/>
      <c r="BT155" s="3345"/>
      <c r="BV155" s="3342" t="str">
        <f>IF(File_Single&lt;&gt;"",BW153,IF(File_Marr_Joint&lt;&gt;"",BX153,IF(File_Marr_Sep&lt;&gt;"", BY153,IF(File_Head&lt;&gt;"",BZ153,IF(File_Qual_Widow&lt;&gt;"",BX153,"Filing status?")))))</f>
        <v>Filing status?</v>
      </c>
      <c r="BW155" s="2087" t="str">
        <f>"&lt;100k"</f>
        <v>&lt;100k</v>
      </c>
      <c r="BX155" s="2087"/>
      <c r="BY155" s="2087"/>
      <c r="BZ155" s="3345"/>
      <c r="CB155" s="3342" t="str">
        <f>IF(File_Single&lt;&gt;"",CC153,IF(File_Marr_Joint&lt;&gt;"",CD153,IF(File_Marr_Sep&lt;&gt;"", CE153,IF(File_Head&lt;&gt;"",CF153,IF(File_Qual_Widow&lt;&gt;"",CD153,"Filing status?")))))</f>
        <v>Filing status?</v>
      </c>
      <c r="CC155" s="2087" t="str">
        <f>"&lt;100k"</f>
        <v>&lt;100k</v>
      </c>
      <c r="CD155" s="2087"/>
      <c r="CE155" s="2087"/>
      <c r="CF155" s="3345"/>
      <c r="CH155" s="3342" t="str">
        <f>IF(File_Single&lt;&gt;"",CI153,IF(File_Marr_Joint&lt;&gt;"",CJ153,IF(File_Marr_Sep&lt;&gt;"", CK153,IF(File_Head&lt;&gt;"",CL153,IF(File_Qual_Widow&lt;&gt;"",CJ153,"Filing status?")))))</f>
        <v>Filing status?</v>
      </c>
      <c r="CI155" s="2087" t="str">
        <f>"&lt;100k"</f>
        <v>&lt;100k</v>
      </c>
      <c r="CJ155" s="2087"/>
      <c r="CK155" s="2087"/>
      <c r="CL155" s="3345"/>
    </row>
    <row r="156" spans="1:94" ht="16.5" customHeight="1" thickBot="1">
      <c r="A156" s="588"/>
      <c r="B156" s="23"/>
      <c r="C156" s="48">
        <v>27</v>
      </c>
      <c r="D156" s="132" t="s">
        <v>3101</v>
      </c>
      <c r="E156" s="23"/>
      <c r="F156" s="23"/>
      <c r="G156" s="23"/>
      <c r="H156" s="23"/>
      <c r="I156" s="23"/>
      <c r="J156" s="23"/>
      <c r="K156" s="23"/>
      <c r="L156" s="23"/>
      <c r="M156" s="23"/>
      <c r="N156" s="23"/>
      <c r="O156" s="53"/>
      <c r="P156" s="387"/>
      <c r="Q156" s="427"/>
      <c r="R156" s="387"/>
      <c r="S156" s="2158"/>
      <c r="T156" s="994"/>
      <c r="U156" s="2158"/>
      <c r="V156" s="425"/>
      <c r="W156" s="2245"/>
      <c r="X156" s="78"/>
      <c r="Y156" s="1185"/>
      <c r="Z156" s="431"/>
      <c r="AA156" s="431"/>
      <c r="AB156" s="1686"/>
      <c r="AC156" s="1687"/>
      <c r="AD156" s="1687"/>
      <c r="AE156" s="1687"/>
      <c r="AF156" s="1687"/>
      <c r="AG156" s="1687"/>
      <c r="AH156" s="1687"/>
      <c r="AI156" s="1687"/>
      <c r="AJ156" s="1687"/>
      <c r="AK156" s="1687"/>
      <c r="AL156" s="1687"/>
      <c r="AM156" s="1687"/>
      <c r="AN156" s="1687"/>
      <c r="AO156" s="1687"/>
      <c r="AP156" s="1687"/>
      <c r="AQ156" s="1687"/>
      <c r="AR156" s="1687"/>
      <c r="AS156" s="1688"/>
      <c r="AT156" s="431"/>
      <c r="AU156" s="42"/>
      <c r="AV156" s="1732"/>
      <c r="AW156" s="42"/>
      <c r="AX156" s="42"/>
      <c r="AY156" s="42"/>
      <c r="AZ156" s="42"/>
      <c r="BA156" s="42"/>
      <c r="BB156" s="42"/>
      <c r="BO156" s="4310" t="s">
        <v>3650</v>
      </c>
      <c r="BP156" s="3343" t="str">
        <f>IF(File_Single&lt;&gt;"",BQ154,IF(OR(File_Marr_Joint&lt;&gt;"",File_Qual_Widow&lt;&gt;""),BR154,IF(File_Marr_Sep&lt;&gt;"", BS154,IF(File_Head&lt;&gt;"",BT154,"Filing status?"))))</f>
        <v>Filing status?</v>
      </c>
      <c r="BQ156" s="3344" t="str">
        <f>"&gt;=100k"</f>
        <v>&gt;=100k</v>
      </c>
      <c r="BR156" s="3344"/>
      <c r="BS156" s="3350" t="s">
        <v>2553</v>
      </c>
      <c r="BT156" s="3351" t="str">
        <f>IF(BP153&gt;100000,BP156,BP155)</f>
        <v>Filing status?</v>
      </c>
      <c r="BV156" s="3343" t="str">
        <f>IF(File_Single&lt;&gt;"",BW154,IF(OR(File_Marr_Joint&lt;&gt;"",File_Qual_Widow&lt;&gt;""),BX154,IF(File_Marr_Sep&lt;&gt;"", BY154,IF(File_Head&lt;&gt;"",BZ154,"Filing status?"))))</f>
        <v>Filing status?</v>
      </c>
      <c r="BW156" s="3344" t="str">
        <f>"&gt;=100k"</f>
        <v>&gt;=100k</v>
      </c>
      <c r="BX156" s="3344"/>
      <c r="BY156" s="3350" t="s">
        <v>2553</v>
      </c>
      <c r="BZ156" s="3351" t="str">
        <f>IF(BV153&gt;100000,BV156,BV155)</f>
        <v>Filing status?</v>
      </c>
      <c r="CB156" s="3343" t="str">
        <f>IF(File_Single&lt;&gt;"",CC154,IF(OR(File_Marr_Joint&lt;&gt;"",File_Qual_Widow&lt;&gt;""),CD154,IF(File_Marr_Sep&lt;&gt;"", CE154,IF(File_Head&lt;&gt;"",CF154,"Filing status?"))))</f>
        <v>Filing status?</v>
      </c>
      <c r="CC156" s="3344" t="str">
        <f>"&gt;=100k"</f>
        <v>&gt;=100k</v>
      </c>
      <c r="CD156" s="3344"/>
      <c r="CE156" s="3350" t="s">
        <v>2553</v>
      </c>
      <c r="CF156" s="3351" t="str">
        <f>IF(CB153&gt;100000,CB156,CB155)</f>
        <v>Filing status?</v>
      </c>
      <c r="CH156" s="3343" t="str">
        <f>IF(File_Single&lt;&gt;"",CI154,IF(OR(File_Marr_Joint&lt;&gt;"",File_Qual_Widow&lt;&gt;""),CJ154,IF(File_Marr_Sep&lt;&gt;"", CK154,IF(File_Head&lt;&gt;"",CL154,"Filing status?"))))</f>
        <v>Filing status?</v>
      </c>
      <c r="CI156" s="3344" t="str">
        <f>"&gt;=100k"</f>
        <v>&gt;=100k</v>
      </c>
      <c r="CJ156" s="3344"/>
      <c r="CK156" s="3350" t="s">
        <v>2553</v>
      </c>
      <c r="CL156" s="3351" t="str">
        <f>IF(CH153&gt;100000,CH156,CH155)</f>
        <v>Filing status?</v>
      </c>
    </row>
    <row r="157" spans="1:94" ht="16.5" thickTop="1" thickBot="1">
      <c r="A157" s="588"/>
      <c r="B157" s="23"/>
      <c r="C157" s="48"/>
      <c r="D157" s="132" t="s">
        <v>5534</v>
      </c>
      <c r="E157" s="23"/>
      <c r="F157" s="23"/>
      <c r="G157" s="23"/>
      <c r="H157" s="23"/>
      <c r="I157" s="23"/>
      <c r="J157" s="23"/>
      <c r="K157" s="23"/>
      <c r="L157" s="23"/>
      <c r="M157" s="23"/>
      <c r="N157" s="1355" t="s">
        <v>571</v>
      </c>
      <c r="O157" s="2165">
        <v>27</v>
      </c>
      <c r="P157" s="8000" t="str">
        <f>IF(NOT($B$62),"",IF(OR(P116="",P121="",P155=""),"",MIN(P155,P151)))</f>
        <v/>
      </c>
      <c r="Q157" s="8001"/>
      <c r="R157" s="8000" t="str">
        <f>IF(NOT($B$62),"",IF(OR(R116="",R121="",R155=""),"",MIN(R155,R151)))</f>
        <v/>
      </c>
      <c r="S157" s="8001"/>
      <c r="T157" s="8000" t="str">
        <f>IF(NOT($B$62),"",IF(OR(T116="",T121="",T155=""),"",MIN(T155,T151)))</f>
        <v/>
      </c>
      <c r="U157" s="8001"/>
      <c r="V157" s="8299" t="str">
        <f>IF(NOT($B$62),"",IF(OR(V116="",V121="",V155=""),"",MIN(V155,V151)))</f>
        <v/>
      </c>
      <c r="W157" s="8300"/>
      <c r="X157" s="78"/>
      <c r="Y157" s="1185"/>
      <c r="Z157" s="431"/>
      <c r="AA157" s="431"/>
      <c r="AB157" s="3324"/>
      <c r="AC157" s="1145"/>
      <c r="AD157" s="1145"/>
      <c r="AE157" s="1145"/>
      <c r="AF157" s="1145"/>
      <c r="AG157" s="1145"/>
      <c r="AH157" s="1145"/>
      <c r="AI157" s="1145"/>
      <c r="AJ157" s="1145"/>
      <c r="AK157" s="1145"/>
      <c r="AL157" s="1145"/>
      <c r="AM157" s="1145"/>
      <c r="AN157" s="1145"/>
      <c r="AO157" s="1145"/>
      <c r="AP157" s="1145"/>
      <c r="AQ157" s="1145"/>
      <c r="AR157" s="1145"/>
      <c r="AS157" s="1690"/>
      <c r="AT157" s="431"/>
      <c r="AU157" s="42"/>
      <c r="AV157" s="1732"/>
      <c r="AW157" s="42"/>
      <c r="AX157" s="42"/>
      <c r="AY157" s="42"/>
      <c r="AZ157" s="42"/>
      <c r="BA157" s="42"/>
      <c r="BB157" s="42"/>
    </row>
    <row r="158" spans="1:94" ht="15" customHeight="1">
      <c r="A158" s="588"/>
      <c r="B158" s="2143" t="s">
        <v>1757</v>
      </c>
      <c r="C158" s="3821"/>
      <c r="D158" s="2138"/>
      <c r="E158" s="3867" t="s">
        <v>1792</v>
      </c>
      <c r="F158" s="2139"/>
      <c r="G158" s="2139"/>
      <c r="H158" s="2139"/>
      <c r="I158" s="2139"/>
      <c r="J158" s="2139"/>
      <c r="K158" s="2176"/>
      <c r="L158" s="2176" t="s">
        <v>3512</v>
      </c>
      <c r="M158" s="2176"/>
      <c r="N158" s="2139"/>
      <c r="O158" s="2139"/>
      <c r="P158" s="2139"/>
      <c r="Q158" s="2139"/>
      <c r="R158" s="2139"/>
      <c r="S158" s="2139"/>
      <c r="T158" s="2139"/>
      <c r="U158" s="2139"/>
      <c r="V158" s="2139"/>
      <c r="W158" s="2139"/>
      <c r="X158" s="655"/>
      <c r="Y158" s="2187"/>
      <c r="Z158" s="431"/>
      <c r="AA158" s="431"/>
      <c r="AB158" s="3990" t="str">
        <f>TaxYear&amp;" Estimated Tax.  Part I, Line 4"</f>
        <v>2021 Estimated Tax.  Part I, Line 4</v>
      </c>
      <c r="AC158" s="2247"/>
      <c r="AD158" s="2247"/>
      <c r="AE158" s="1145"/>
      <c r="AF158" s="1145"/>
      <c r="AG158" s="1145"/>
      <c r="AH158" s="1145"/>
      <c r="AI158" s="1145"/>
      <c r="AJ158" s="1145"/>
      <c r="AK158" s="1145"/>
      <c r="AL158" s="1145"/>
      <c r="AM158" s="1145"/>
      <c r="AN158" s="1145"/>
      <c r="AO158" s="1145"/>
      <c r="AP158" s="1145"/>
      <c r="AQ158" s="1145"/>
      <c r="AR158" s="1145"/>
      <c r="AS158" s="1690"/>
      <c r="AT158" s="431"/>
      <c r="AU158" s="42"/>
      <c r="AV158" s="3337"/>
      <c r="AW158" s="3155"/>
      <c r="AX158" s="3155"/>
      <c r="AY158" s="3155"/>
      <c r="AZ158" s="3155"/>
      <c r="BA158" s="3155"/>
      <c r="BB158" s="42"/>
    </row>
    <row r="159" spans="1:94" ht="15.75" thickBot="1">
      <c r="A159" s="588"/>
      <c r="B159" s="23"/>
      <c r="C159" s="48">
        <v>28</v>
      </c>
      <c r="D159" s="412" t="s">
        <v>1793</v>
      </c>
      <c r="E159" s="23"/>
      <c r="F159" s="23"/>
      <c r="G159" s="23"/>
      <c r="H159" s="23"/>
      <c r="I159" s="23"/>
      <c r="J159" s="23"/>
      <c r="K159" s="23"/>
      <c r="L159" s="23"/>
      <c r="M159" s="23"/>
      <c r="N159" s="23"/>
      <c r="O159" s="429"/>
      <c r="P159" s="387"/>
      <c r="Q159" s="427"/>
      <c r="R159" s="387"/>
      <c r="S159" s="2158"/>
      <c r="T159" s="994"/>
      <c r="U159" s="2158"/>
      <c r="V159" s="2157"/>
      <c r="W159" s="994"/>
      <c r="X159" s="78"/>
      <c r="Y159" s="1185"/>
      <c r="Z159" s="431"/>
      <c r="AA159" s="431"/>
      <c r="AB159" s="3990" t="s">
        <v>2534</v>
      </c>
      <c r="AC159" s="2182"/>
      <c r="AD159" s="2182"/>
      <c r="AE159" s="1145"/>
      <c r="AF159" s="1145"/>
      <c r="AG159" s="1145"/>
      <c r="AH159" s="1145"/>
      <c r="AI159" s="1145"/>
      <c r="AJ159" s="1145"/>
      <c r="AK159" s="1145"/>
      <c r="AL159" s="1145"/>
      <c r="AM159" s="1145"/>
      <c r="AN159" s="1145"/>
      <c r="AO159" s="5774"/>
      <c r="AP159" s="3326" t="s">
        <v>206</v>
      </c>
      <c r="AQ159" s="1145"/>
      <c r="AR159" s="1145"/>
      <c r="AS159" s="1690"/>
      <c r="AT159" s="431"/>
      <c r="AU159" s="42"/>
      <c r="AV159" s="3337"/>
      <c r="AW159" s="3155"/>
      <c r="AX159" s="3155"/>
      <c r="AY159" s="3155"/>
      <c r="AZ159" s="3155"/>
      <c r="BA159" s="3155"/>
      <c r="BB159" s="42"/>
      <c r="BP159" s="1291" t="str">
        <f>"AK"&amp;ROW(AK200)</f>
        <v>AK200</v>
      </c>
      <c r="BQ159" s="270" t="s">
        <v>69</v>
      </c>
      <c r="BR159" s="270" t="s">
        <v>2552</v>
      </c>
      <c r="BS159" s="270" t="s">
        <v>458</v>
      </c>
      <c r="BT159" s="270" t="s">
        <v>2000</v>
      </c>
      <c r="BV159" s="1291" t="str">
        <f>"AM"&amp;ROW(AQ200)</f>
        <v>AM200</v>
      </c>
      <c r="BW159" s="270" t="s">
        <v>69</v>
      </c>
      <c r="BX159" s="270" t="s">
        <v>2552</v>
      </c>
      <c r="BY159" s="270" t="s">
        <v>458</v>
      </c>
      <c r="BZ159" s="270" t="s">
        <v>2000</v>
      </c>
      <c r="CB159" s="1291" t="str">
        <f>"AO"&amp;ROW(AW197)</f>
        <v>AO197</v>
      </c>
      <c r="CC159" s="270" t="s">
        <v>69</v>
      </c>
      <c r="CD159" s="270" t="s">
        <v>2552</v>
      </c>
      <c r="CE159" s="270" t="s">
        <v>458</v>
      </c>
      <c r="CF159" s="270" t="s">
        <v>2000</v>
      </c>
      <c r="CH159" s="1291" t="str">
        <f>"AQ"&amp;ROW(AQ200)</f>
        <v>AQ200</v>
      </c>
      <c r="CI159" s="270" t="s">
        <v>69</v>
      </c>
      <c r="CJ159" s="270" t="s">
        <v>2552</v>
      </c>
      <c r="CK159" s="270" t="s">
        <v>458</v>
      </c>
      <c r="CL159" s="270" t="s">
        <v>2000</v>
      </c>
    </row>
    <row r="160" spans="1:94" ht="15" customHeight="1" thickTop="1" thickBot="1">
      <c r="A160" s="588"/>
      <c r="B160" s="23"/>
      <c r="C160" s="48"/>
      <c r="D160" s="412" t="s">
        <v>1794</v>
      </c>
      <c r="E160" s="23"/>
      <c r="F160" s="23"/>
      <c r="G160" s="23"/>
      <c r="H160" s="23"/>
      <c r="I160" s="23"/>
      <c r="J160" s="23"/>
      <c r="K160" s="23"/>
      <c r="L160" s="23"/>
      <c r="M160" s="23"/>
      <c r="N160" s="1355" t="s">
        <v>568</v>
      </c>
      <c r="O160" s="2165">
        <v>28</v>
      </c>
      <c r="P160" s="8212"/>
      <c r="Q160" s="8213"/>
      <c r="R160" s="8212"/>
      <c r="S160" s="8213"/>
      <c r="T160" s="8212"/>
      <c r="U160" s="8213"/>
      <c r="V160" s="8212"/>
      <c r="W160" s="8298"/>
      <c r="X160" s="78"/>
      <c r="Y160" s="1185"/>
      <c r="Z160" s="431"/>
      <c r="AA160" s="431"/>
      <c r="AB160" s="2248"/>
      <c r="AC160" s="2182"/>
      <c r="AD160" s="2182"/>
      <c r="AE160" s="1145"/>
      <c r="AF160" s="1145"/>
      <c r="AG160" s="1145"/>
      <c r="AH160" s="1145"/>
      <c r="AI160" s="1145"/>
      <c r="AJ160" s="1145"/>
      <c r="AK160" s="1145"/>
      <c r="AL160" s="1145"/>
      <c r="AM160" s="1145"/>
      <c r="AN160" s="1145"/>
      <c r="AO160" s="1145"/>
      <c r="AP160" s="1145"/>
      <c r="AQ160" s="1145"/>
      <c r="AR160" s="1145"/>
      <c r="AS160" s="1690"/>
      <c r="AT160" s="431"/>
      <c r="AU160" s="42"/>
      <c r="AV160" s="3337"/>
      <c r="AW160" s="3155"/>
      <c r="AX160" s="3155"/>
      <c r="AY160" s="3155"/>
      <c r="AZ160" s="3155"/>
      <c r="BA160" s="3155"/>
      <c r="BB160" s="42"/>
      <c r="BO160" s="4310" t="s">
        <v>5573</v>
      </c>
      <c r="BP160" s="3352">
        <f>AK200</f>
        <v>0</v>
      </c>
      <c r="BQ160" s="3346">
        <f>LOOKUP(BP160,'Tax Table'!$B$2:$B$2063,'Tax Table'!$D$2:$D$2063)</f>
        <v>0</v>
      </c>
      <c r="BR160" s="3346">
        <f>LOOKUP(BP160,'Tax Table'!$B$2:$B$2063,'Tax Table'!$E$2:$E$2063)</f>
        <v>0</v>
      </c>
      <c r="BS160" s="3346">
        <f>LOOKUP(BP160,'Tax Table'!$B$2:$B$2063,'Tax Table'!$F$2:$F$2063)</f>
        <v>0</v>
      </c>
      <c r="BT160" s="3347">
        <f>LOOKUP(BP160,'Tax Table'!$B$2:$B$2063,'Tax Table'!$G$2:$G$2063)</f>
        <v>0</v>
      </c>
      <c r="BV160" s="3352">
        <f>AM200</f>
        <v>0</v>
      </c>
      <c r="BW160" s="3346">
        <f>LOOKUP(BV160,'Tax Table'!$B$2:$B$2063,'Tax Table'!$D$2:$D$2063)</f>
        <v>0</v>
      </c>
      <c r="BX160" s="3346">
        <f>LOOKUP(BV160,'Tax Table'!$B$2:$B$2063,'Tax Table'!$E$2:$E$2063)</f>
        <v>0</v>
      </c>
      <c r="BY160" s="3346">
        <f>LOOKUP(BV160,'Tax Table'!$B$2:$B$2063,'Tax Table'!$F$2:$F$2063)</f>
        <v>0</v>
      </c>
      <c r="BZ160" s="3347">
        <f>LOOKUP(BV160,'Tax Table'!$B$2:$B$2063,'Tax Table'!$G$2:$G$2063)</f>
        <v>0</v>
      </c>
      <c r="CB160" s="3352">
        <f>AO200</f>
        <v>0</v>
      </c>
      <c r="CC160" s="3346">
        <f>LOOKUP(CB160,'Tax Table'!$B$2:$B$2063,'Tax Table'!$D$2:$D$2063)</f>
        <v>0</v>
      </c>
      <c r="CD160" s="3346">
        <f>LOOKUP(CB160,'Tax Table'!$B$2:$B$2063,'Tax Table'!$E$2:$E$2063)</f>
        <v>0</v>
      </c>
      <c r="CE160" s="3346">
        <f>LOOKUP(CB160,'Tax Table'!$B$2:$B$2063,'Tax Table'!$F$2:$F$2063)</f>
        <v>0</v>
      </c>
      <c r="CF160" s="3347">
        <f>LOOKUP(CB160,'Tax Table'!$B$2:$B$2063,'Tax Table'!$G$2:$G$2063)</f>
        <v>0</v>
      </c>
      <c r="CH160" s="3352">
        <f>AQ200</f>
        <v>0</v>
      </c>
      <c r="CI160" s="3346">
        <f>LOOKUP(CH160,'Tax Table'!$B$2:$B$2063,'Tax Table'!$D$2:$D$2063)</f>
        <v>0</v>
      </c>
      <c r="CJ160" s="3346">
        <f>LOOKUP(CH160,'Tax Table'!$B$2:$B$2063,'Tax Table'!$E$2:$E$2063)</f>
        <v>0</v>
      </c>
      <c r="CK160" s="3346">
        <f>LOOKUP(CH160,'Tax Table'!$B$2:$B$2063,'Tax Table'!$F$2:$F$2063)</f>
        <v>0</v>
      </c>
      <c r="CL160" s="3347">
        <f>LOOKUP(CH160,'Tax Table'!$B$2:$B$2063,'Tax Table'!$G$2:$G$2063)</f>
        <v>0</v>
      </c>
    </row>
    <row r="161" spans="1:91" ht="13.5" customHeight="1" thickBot="1">
      <c r="A161" s="588"/>
      <c r="B161" s="23"/>
      <c r="C161" s="48">
        <v>29</v>
      </c>
      <c r="D161" s="412" t="s">
        <v>1795</v>
      </c>
      <c r="E161" s="23"/>
      <c r="F161" s="23"/>
      <c r="G161" s="23"/>
      <c r="H161" s="23"/>
      <c r="I161" s="23"/>
      <c r="J161" s="23"/>
      <c r="K161" s="23"/>
      <c r="L161" s="23"/>
      <c r="M161" s="23"/>
      <c r="N161" s="1355" t="s">
        <v>572</v>
      </c>
      <c r="O161" s="2165">
        <v>29</v>
      </c>
      <c r="P161" s="8309">
        <v>35700</v>
      </c>
      <c r="Q161" s="8310"/>
      <c r="R161" s="8309">
        <v>59500</v>
      </c>
      <c r="S161" s="8310"/>
      <c r="T161" s="8328">
        <v>95200</v>
      </c>
      <c r="U161" s="8330"/>
      <c r="V161" s="8328">
        <v>142800</v>
      </c>
      <c r="W161" s="8329"/>
      <c r="X161" s="78"/>
      <c r="Y161" s="1185"/>
      <c r="Z161" s="431"/>
      <c r="AA161" s="431"/>
      <c r="AB161" s="3321"/>
      <c r="AC161" s="2353" t="s">
        <v>2535</v>
      </c>
      <c r="AD161" s="3322"/>
      <c r="AE161" s="1687"/>
      <c r="AF161" s="1687"/>
      <c r="AG161" s="1687"/>
      <c r="AH161" s="1687"/>
      <c r="AI161" s="1687"/>
      <c r="AJ161" s="1687"/>
      <c r="AK161" s="1687"/>
      <c r="AL161" s="1687"/>
      <c r="AM161" s="1687"/>
      <c r="AN161" s="1687"/>
      <c r="AO161" s="1687"/>
      <c r="AP161" s="1687"/>
      <c r="AQ161" s="1687"/>
      <c r="AR161" s="1687"/>
      <c r="AS161" s="1688"/>
      <c r="AT161" s="431"/>
      <c r="AU161" s="42"/>
      <c r="AV161" s="3337"/>
      <c r="AW161" s="857"/>
      <c r="AX161" s="3339"/>
      <c r="AY161" s="3339"/>
      <c r="AZ161" s="857"/>
      <c r="BA161" s="857"/>
      <c r="BB161" s="42"/>
      <c r="BP161" s="3341"/>
      <c r="BQ161" s="3348" t="str">
        <f>IF(BP160&lt;SectA_a3,"---",IF(BP160&lt;=SectA_a4,ROUND((BP160*(SectA_b4/100)-SectA_d4),0),IF(BP160&lt;=SectA_a5,ROUND((BP160*(SectA_b5/100)-SectA_d5),0),IF(BP160&lt;=SectA_a6,ROUND((BP160*(SectA_b6/100)-SectA_d6),0),ROUND((BP160*(SectA_b7/100)-SectA_d7),0)))))</f>
        <v>---</v>
      </c>
      <c r="BR161" s="3348" t="str">
        <f>IF(BP160&lt;SectB_a2,"---",IF(BP160&lt;=SectB_a3,ROUND((BP160*(SectB_b3/100)-SectB_d3),0),IF(BP160&lt;=SectB_a4,ROUND((BP160*(SectB_b4/100)-SectB_d4),0),IF(BP160&lt;=SectB_a5,ROUND((BP160*(SectB_b5/100)-SectB_d5),0),IF(BP160&lt;=SectB_a6,ROUND((BP160*(SectB_b6/100)-SectB_d6),0),ROUND((BP160*(SectB_b7/100)-SectB_d7),0))))))</f>
        <v>---</v>
      </c>
      <c r="BS161" s="3348" t="str">
        <f>IF(BP160&lt;SectC_a2,"---",IF(BP160&lt;=SectC_a3,ROUND((BP160*(SectC_b3/100)-SectC_d3),0),IF(BP160&lt;=SectC_a4,ROUND((BP160*(SectC_b4/100)-SectC_d4),0),IF(BP160&lt;=SectC_a5,ROUND((BP160*(SectC_b5/100)-SectC_d5),0),ROUND((BP160*(SectC_b6/100)-SectC_d6),0)))))</f>
        <v>---</v>
      </c>
      <c r="BT161" s="3349" t="str">
        <f>IF(BP160&lt;SectD_a2,"---",IF(BP160&lt;=SectD_a3,ROUND((BP160*(SectD_b3/100)-SectD_d3),0),IF(BP160&lt;=SectD_a4,ROUND((BP160*(SectD_b4/100)-SectD_d4),0),IF(BP160&lt;=SectD_a5,ROUND((BP160*(SectD_b5/100)-SectD_d5),0),IF(BP160&lt;=SectD_a6,ROUND((BP160*(SectD_b6/100)-SectD_d6),0),ROUND((BP160*(SectD_b7/100)-SectD_d7),0))))))</f>
        <v>---</v>
      </c>
      <c r="BV161" s="3341"/>
      <c r="BW161" s="3348" t="str">
        <f>IF(BV160&lt;SectA_a3,"---",IF(BV160&lt;=SectA_a4,ROUND((BV160*(SectA_b4/100)-SectA_d4),0),IF(BV160&lt;=SectA_a5,ROUND((BV160*(SectA_b5/100)-SectA_d5),0),IF(BV160&lt;=SectA_a6,ROUND((BV160*(SectA_b6/100)-SectA_d6),0),ROUND((BV160*(SectA_b7/100)-SectA_d7),0)))))</f>
        <v>---</v>
      </c>
      <c r="BX161" s="3348" t="str">
        <f>IF(BV160&lt;SectB_a2,"---",IF(BV160&lt;=SectB_a3,ROUND((BV160*(SectB_b3/100)-SectB_d3),0),IF(BV160&lt;=SectB_a4,ROUND((BV160*(SectB_b4/100)-SectB_d4),0),IF(BV160&lt;=SectB_a5,ROUND((BV160*(SectB_b5/100)-SectB_d5),0),IF(BV160&lt;=SectB_a6,ROUND((BV160*(SectB_b6/100)-SectB_d6),0),ROUND((BV160*(SectB_b7/100)-SectB_d7),0))))))</f>
        <v>---</v>
      </c>
      <c r="BY161" s="3348" t="str">
        <f>IF(BV160&lt;SectC_a2,"---",IF(BV160&lt;=SectC_a3,ROUND((BV160*(SectC_b3/100)-SectC_d3),0),IF(BV160&lt;=SectC_a4,ROUND((BV160*(SectC_b4/100)-SectC_d4),0),IF(BV160&lt;=SectC_a5,ROUND((BV160*(SectC_b5/100)-SectC_d5),0),ROUND((BV160*(SectC_b6/100)-SectC_d6),0)))))</f>
        <v>---</v>
      </c>
      <c r="BZ161" s="3349" t="str">
        <f>IF(BV160&lt;SectD_a2,"---",IF(BV160&lt;=SectD_a3,ROUND((BV160*(SectD_b3/100)-SectD_d3),0),IF(BV160&lt;=SectD_a4,ROUND((BV160*(SectD_b4/100)-SectD_d4),0),IF(BV160&lt;=SectD_a5,ROUND((BV160*(SectD_b5/100)-SectD_d5),0),IF(BV160&lt;=SectD_a6,ROUND((BV160*(SectD_b6/100)-SectD_d6),0),ROUND((BV160*(SectD_b7/100)-SectD_d7),0))))))</f>
        <v>---</v>
      </c>
      <c r="CB161" s="3341"/>
      <c r="CC161" s="3348" t="str">
        <f>IF(CB160&lt;SectA_a3,"---",IF(CB160&lt;=SectA_a4,ROUND((CB160*(SectA_b4/100)-SectA_d4),0),IF(CB160&lt;=SectA_a5,ROUND((CB160*(SectA_b5/100)-SectA_d5),0),IF(CB160&lt;=SectA_a6,ROUND((CB160*(SectA_b6/100)-SectA_d6),0),ROUND((CB160*(SectA_b7/100)-SectA_d7),0)))))</f>
        <v>---</v>
      </c>
      <c r="CD161" s="3348" t="str">
        <f>IF(CB160&lt;SectB_a2,"---",IF(CB160&lt;=SectB_a3,ROUND((CB160*(SectB_b3/100)-SectB_d3),0),IF(CB160&lt;=SectB_a4,ROUND((CB160*(SectB_b4/100)-SectB_d4),0),IF(CB160&lt;=SectB_a5,ROUND((CB160*(SectB_b5/100)-SectB_d5),0),IF(CB160&lt;=SectB_a6,ROUND((CB160*(SectB_b6/100)-SectB_d6),0),ROUND((CB160*(SectB_b7/100)-SectB_d7),0))))))</f>
        <v>---</v>
      </c>
      <c r="CE161" s="3348" t="str">
        <f>IF(CB160&lt;SectC_a2,"---",IF(CB160&lt;=SectC_a3,ROUND((CB160*(SectC_b3/100)-SectC_d3),0),IF(CB160&lt;=SectC_a4,ROUND((CB160*(SectC_b4/100)-SectC_d4),0),IF(CB160&lt;=SectC_a5,ROUND((CB160*(SectC_b5/100)-SectC_d5),0),ROUND((CB160*(SectC_b6/100)-SectC_d6),0)))))</f>
        <v>---</v>
      </c>
      <c r="CF161" s="3349" t="str">
        <f>IF(CB160&lt;SectD_a2,"---",IF(CB160&lt;=SectD_a3,ROUND((CB160*(SectD_b3/100)-SectD_d3),0),IF(CB160&lt;=SectD_a4,ROUND((CB160*(SectD_b4/100)-SectD_d4),0),IF(CB160&lt;=SectD_a5,ROUND((CB160*(SectD_b5/100)-SectD_d5),0),IF(CB160&lt;=SectD_a6,ROUND((CB160*(SectD_b6/100)-SectD_d6),0),ROUND((CB160*(SectD_b7/100)-SectD_d7),0))))))</f>
        <v>---</v>
      </c>
      <c r="CH161" s="3341"/>
      <c r="CI161" s="3348" t="str">
        <f>IF(CH160&lt;SectA_a3,"---",IF(CH160&lt;=SectA_a4,ROUND((CH160*(SectA_b4/100)-SectA_d4),0),IF(CH160&lt;=SectA_a5,ROUND((CH160*(SectA_b5/100)-SectA_d5),0),IF(CH160&lt;=SectA_a6,ROUND((CH160*(SectA_b6/100)-SectA_d6),0),ROUND((CH160*(SectA_b7/100)-SectA_d7),0)))))</f>
        <v>---</v>
      </c>
      <c r="CJ161" s="3348" t="str">
        <f>IF(CH160&lt;SectB_a2,"---",IF(CH160&lt;=SectB_a3,ROUND((CH160*(SectB_b3/100)-SectB_d3),0),IF(CH160&lt;=SectB_a4,ROUND((CH160*(SectB_b4/100)-SectB_d4),0),IF(CH160&lt;=SectB_a5,ROUND((CH160*(SectB_b5/100)-SectB_d5),0),IF(CH160&lt;=SectB_a6,ROUND((CH160*(SectB_b6/100)-SectB_d6),0),ROUND((CH160*(SectB_b7/100)-SectB_d7),0))))))</f>
        <v>---</v>
      </c>
      <c r="CK161" s="3348" t="str">
        <f>IF(CH160&lt;SectC_a2,"---",IF(CH160&lt;=SectC_a3,ROUND((CH160*(SectC_b3/100)-SectC_d3),0),IF(CH160&lt;=SectC_a4,ROUND((CH160*(SectC_b4/100)-SectC_d4),0),IF(CH160&lt;=SectC_a5,ROUND((CH160*(SectC_b5/100)-SectC_d5),0),ROUND((CH160*(SectC_b6/100)-SectC_d6),0)))))</f>
        <v>---</v>
      </c>
      <c r="CL161" s="3349" t="str">
        <f>IF(CH160&lt;SectD_a2,"---",IF(CH160&lt;=SectD_a3,ROUND((CH160*(SectD_b3/100)-SectD_d3),0),IF(CH160&lt;=SectD_a4,ROUND((CH160*(SectD_b4/100)-SectD_d4),0),IF(CH160&lt;=SectD_a5,ROUND((CH160*(SectD_b5/100)-SectD_d5),0),IF(CH160&lt;=SectD_a6,ROUND((CH160*(SectD_b6/100)-SectD_d6),0),ROUND((CH160*(SectD_b7/100)-SectD_d7),0))))))</f>
        <v>---</v>
      </c>
    </row>
    <row r="162" spans="1:91" ht="13.5" thickBot="1">
      <c r="A162" s="588"/>
      <c r="B162" s="70"/>
      <c r="C162" s="48">
        <v>30</v>
      </c>
      <c r="D162" s="70" t="s">
        <v>1796</v>
      </c>
      <c r="E162" s="23"/>
      <c r="F162" s="23"/>
      <c r="G162" s="23"/>
      <c r="H162" s="23"/>
      <c r="I162" s="23"/>
      <c r="J162" s="23"/>
      <c r="K162" s="23"/>
      <c r="L162" s="23"/>
      <c r="M162" s="23"/>
      <c r="N162" s="23"/>
      <c r="O162" s="429"/>
      <c r="P162" s="387"/>
      <c r="Q162" s="427"/>
      <c r="R162" s="387"/>
      <c r="S162" s="2158"/>
      <c r="T162" s="994"/>
      <c r="U162" s="2158"/>
      <c r="V162" s="2157"/>
      <c r="W162" s="994"/>
      <c r="X162" s="78"/>
      <c r="Y162" s="1185"/>
      <c r="Z162" s="431"/>
      <c r="AA162" s="431"/>
      <c r="AB162" s="1693"/>
      <c r="AC162" s="3323" t="s">
        <v>2536</v>
      </c>
      <c r="AD162" s="1694"/>
      <c r="AE162" s="1694"/>
      <c r="AF162" s="1694"/>
      <c r="AG162" s="1694"/>
      <c r="AH162" s="1694"/>
      <c r="AI162" s="1694"/>
      <c r="AJ162" s="1694"/>
      <c r="AK162" s="1694"/>
      <c r="AL162" s="1694"/>
      <c r="AM162" s="1694"/>
      <c r="AN162" s="1694"/>
      <c r="AO162" s="1694"/>
      <c r="AP162" s="1694"/>
      <c r="AQ162" s="1694"/>
      <c r="AR162" s="1694"/>
      <c r="AS162" s="1695"/>
      <c r="AT162" s="431"/>
      <c r="AU162" s="42"/>
      <c r="AV162" s="3337"/>
      <c r="AW162" s="3155"/>
      <c r="AX162" s="3155"/>
      <c r="AY162" s="3155"/>
      <c r="AZ162" s="3155"/>
      <c r="BA162" s="3155"/>
      <c r="BB162" s="42"/>
      <c r="BP162" s="3342" t="str">
        <f>IF(File_Single&lt;&gt;"",BQ160,IF(File_Marr_Joint&lt;&gt;"",BR160,IF(File_Marr_Sep&lt;&gt;"", BS160,IF(File_Head&lt;&gt;"",BT160,IF(File_Qual_Widow&lt;&gt;"",BR160,"Filing status?")))))</f>
        <v>Filing status?</v>
      </c>
      <c r="BQ162" s="2087" t="str">
        <f>"&lt;100k"</f>
        <v>&lt;100k</v>
      </c>
      <c r="BR162" s="2087"/>
      <c r="BS162" s="2087"/>
      <c r="BT162" s="3345"/>
      <c r="BV162" s="3342" t="str">
        <f>IF(File_Single&lt;&gt;"",BW160,IF(File_Marr_Joint&lt;&gt;"",BX160,IF(File_Marr_Sep&lt;&gt;"", BY160,IF(File_Head&lt;&gt;"",BZ160,IF(File_Qual_Widow&lt;&gt;"",BX160,"Filing status?")))))</f>
        <v>Filing status?</v>
      </c>
      <c r="BW162" s="2087" t="str">
        <f>"&lt;100k"</f>
        <v>&lt;100k</v>
      </c>
      <c r="BX162" s="2087"/>
      <c r="BY162" s="2087"/>
      <c r="BZ162" s="3345"/>
      <c r="CB162" s="3342" t="str">
        <f>IF(File_Single&lt;&gt;"",CC160,IF(File_Marr_Joint&lt;&gt;"",CD160,IF(File_Marr_Sep&lt;&gt;"", CE160,IF(File_Head&lt;&gt;"",CF160,IF(File_Qual_Widow&lt;&gt;"",CD160,"Filing status?")))))</f>
        <v>Filing status?</v>
      </c>
      <c r="CC162" s="2087" t="str">
        <f>"&lt;100k"</f>
        <v>&lt;100k</v>
      </c>
      <c r="CD162" s="2087"/>
      <c r="CE162" s="2087"/>
      <c r="CF162" s="3345"/>
      <c r="CH162" s="3342" t="str">
        <f>IF(File_Single&lt;&gt;"",CI160,IF(File_Marr_Joint&lt;&gt;"",CJ160,IF(File_Marr_Sep&lt;&gt;"", CK160,IF(File_Head&lt;&gt;"",CL160,IF(File_Qual_Widow&lt;&gt;"",CJ160,"Filing status?")))))</f>
        <v>Filing status?</v>
      </c>
      <c r="CI162" s="2087" t="str">
        <f>"&lt;100k"</f>
        <v>&lt;100k</v>
      </c>
      <c r="CJ162" s="2087"/>
      <c r="CK162" s="2087"/>
      <c r="CL162" s="3345"/>
    </row>
    <row r="163" spans="1:91" ht="13.5" thickBot="1">
      <c r="A163" s="588"/>
      <c r="B163" s="23"/>
      <c r="C163" s="48"/>
      <c r="D163" s="70" t="s">
        <v>1797</v>
      </c>
      <c r="E163" s="23"/>
      <c r="F163" s="23"/>
      <c r="G163" s="23"/>
      <c r="H163" s="23"/>
      <c r="I163" s="23"/>
      <c r="J163" s="23"/>
      <c r="K163" s="23"/>
      <c r="L163" s="23"/>
      <c r="M163" s="23"/>
      <c r="N163" s="23"/>
      <c r="O163" s="429"/>
      <c r="P163" s="8098">
        <v>0.496</v>
      </c>
      <c r="Q163" s="7616"/>
      <c r="R163" s="8098">
        <v>0.29759999999999998</v>
      </c>
      <c r="S163" s="7616"/>
      <c r="T163" s="8098">
        <v>0.186</v>
      </c>
      <c r="U163" s="7616"/>
      <c r="V163" s="8098">
        <v>0.124</v>
      </c>
      <c r="W163" s="6834"/>
      <c r="X163" s="78"/>
      <c r="Y163" s="1185"/>
      <c r="Z163" s="431"/>
      <c r="AA163" s="431"/>
      <c r="AB163" s="1278"/>
      <c r="AC163" s="1179"/>
      <c r="AD163" s="1179"/>
      <c r="AE163" s="1179"/>
      <c r="AF163" s="1179"/>
      <c r="AG163" s="1179"/>
      <c r="AH163" s="1179"/>
      <c r="AI163" s="1179"/>
      <c r="AJ163" s="1145"/>
      <c r="AK163" s="1145"/>
      <c r="AL163" s="1411"/>
      <c r="AM163" s="1671"/>
      <c r="AN163" s="1145"/>
      <c r="AO163" s="1145"/>
      <c r="AP163" s="1145"/>
      <c r="AQ163" s="1145"/>
      <c r="AR163" s="1145"/>
      <c r="AS163" s="1504"/>
      <c r="AT163" s="431"/>
      <c r="AU163" s="42"/>
      <c r="AV163" s="3337"/>
      <c r="AW163" s="1357"/>
      <c r="AX163" s="1357"/>
      <c r="AY163" s="1357"/>
      <c r="AZ163" s="1357"/>
      <c r="BA163" s="1357"/>
      <c r="BB163" s="42"/>
      <c r="BO163" s="4310" t="s">
        <v>5574</v>
      </c>
      <c r="BP163" s="3343" t="str">
        <f>IF(File_Single&lt;&gt;"",BQ161,IF(OR(File_Marr_Joint&lt;&gt;"",File_Qual_Widow&lt;&gt;""),BR161,IF(File_Marr_Sep&lt;&gt;"", BS161,IF(File_Head&lt;&gt;"",BT161,"Filing status?"))))</f>
        <v>Filing status?</v>
      </c>
      <c r="BQ163" s="3344" t="str">
        <f>"&gt;=100k"</f>
        <v>&gt;=100k</v>
      </c>
      <c r="BR163" s="3344"/>
      <c r="BS163" s="3350" t="s">
        <v>2553</v>
      </c>
      <c r="BT163" s="3351" t="str">
        <f>IF(BP160&gt;100000,BP163,BP162)</f>
        <v>Filing status?</v>
      </c>
      <c r="BV163" s="3343" t="str">
        <f>IF(File_Single&lt;&gt;"",BW161,IF(OR(File_Marr_Joint&lt;&gt;"",File_Qual_Widow&lt;&gt;""),BX161,IF(File_Marr_Sep&lt;&gt;"", BY161,IF(File_Head&lt;&gt;"",BZ161,"Filing status?"))))</f>
        <v>Filing status?</v>
      </c>
      <c r="BW163" s="3344" t="str">
        <f>"&gt;=100k"</f>
        <v>&gt;=100k</v>
      </c>
      <c r="BX163" s="3344"/>
      <c r="BY163" s="3350" t="s">
        <v>2553</v>
      </c>
      <c r="BZ163" s="3351" t="str">
        <f>IF(BV160&gt;100000,BV163,BV162)</f>
        <v>Filing status?</v>
      </c>
      <c r="CB163" s="3343" t="str">
        <f>IF(File_Single&lt;&gt;"",CC161,IF(OR(File_Marr_Joint&lt;&gt;"",File_Qual_Widow&lt;&gt;""),CD161,IF(File_Marr_Sep&lt;&gt;"", CE161,IF(File_Head&lt;&gt;"",CF161,"Filing status?"))))</f>
        <v>Filing status?</v>
      </c>
      <c r="CC163" s="3344" t="str">
        <f>"&gt;=100k"</f>
        <v>&gt;=100k</v>
      </c>
      <c r="CD163" s="3344"/>
      <c r="CE163" s="3350" t="s">
        <v>2553</v>
      </c>
      <c r="CF163" s="3351" t="str">
        <f>IF(CB160&gt;100000,CB163,CB162)</f>
        <v>Filing status?</v>
      </c>
      <c r="CH163" s="3343" t="str">
        <f>IF(File_Single&lt;&gt;"",CI161,IF(OR(File_Marr_Joint&lt;&gt;"",File_Qual_Widow&lt;&gt;""),CJ161,IF(File_Marr_Sep&lt;&gt;"", CK161,IF(File_Head&lt;&gt;"",CL161,"Filing status?"))))</f>
        <v>Filing status?</v>
      </c>
      <c r="CI163" s="3344" t="str">
        <f>"&gt;=100k"</f>
        <v>&gt;=100k</v>
      </c>
      <c r="CJ163" s="3344"/>
      <c r="CK163" s="3350" t="s">
        <v>2553</v>
      </c>
      <c r="CL163" s="3351" t="str">
        <f>IF(CH160&gt;100000,CH163,CH162)</f>
        <v>Filing status?</v>
      </c>
    </row>
    <row r="164" spans="1:91" ht="13.5" thickTop="1">
      <c r="A164" s="588"/>
      <c r="B164" s="23"/>
      <c r="C164" s="48"/>
      <c r="D164" s="70" t="s">
        <v>3102</v>
      </c>
      <c r="E164" s="23"/>
      <c r="F164" s="23"/>
      <c r="G164" s="23"/>
      <c r="H164" s="23"/>
      <c r="I164" s="23"/>
      <c r="J164" s="23"/>
      <c r="K164" s="23"/>
      <c r="L164" s="23"/>
      <c r="M164" s="23"/>
      <c r="N164" s="1355"/>
      <c r="O164" s="2165">
        <v>30</v>
      </c>
      <c r="P164" s="8212"/>
      <c r="Q164" s="8213"/>
      <c r="R164" s="8212"/>
      <c r="S164" s="8213"/>
      <c r="T164" s="8212"/>
      <c r="U164" s="8213"/>
      <c r="V164" s="8212"/>
      <c r="W164" s="8298"/>
      <c r="X164" s="78"/>
      <c r="Y164" s="1185"/>
      <c r="Z164" s="8332" t="s">
        <v>4677</v>
      </c>
      <c r="AA164" s="8333"/>
      <c r="AB164" s="1278"/>
      <c r="AC164" s="1179"/>
      <c r="AD164" s="1179"/>
      <c r="AE164" s="1179"/>
      <c r="AF164" s="1179"/>
      <c r="AG164" s="1179"/>
      <c r="AH164" s="1179"/>
      <c r="AI164" s="1179"/>
      <c r="AJ164" s="8033" t="s">
        <v>906</v>
      </c>
      <c r="AK164" s="8034"/>
      <c r="AL164" s="8033" t="s">
        <v>908</v>
      </c>
      <c r="AM164" s="8034"/>
      <c r="AN164" s="8033" t="s">
        <v>911</v>
      </c>
      <c r="AO164" s="8219"/>
      <c r="AP164" s="8033" t="s">
        <v>763</v>
      </c>
      <c r="AQ164" s="8337"/>
      <c r="AR164" s="1145"/>
      <c r="AS164" s="1504"/>
      <c r="AT164" s="431"/>
      <c r="AU164" s="42"/>
      <c r="AV164" s="3337"/>
      <c r="AW164" s="3155"/>
      <c r="AX164" s="3155"/>
      <c r="AY164" s="3155"/>
      <c r="AZ164" s="3155"/>
      <c r="BA164" s="3155"/>
      <c r="BB164" s="42"/>
      <c r="BT164" s="270" t="str">
        <f>"AK"&amp;ROW(AK259)</f>
        <v>AK259</v>
      </c>
      <c r="BZ164" s="270" t="str">
        <f>"AM"&amp;ROW(AQ259)</f>
        <v>AM259</v>
      </c>
      <c r="CF164" s="270" t="str">
        <f>"AO"&amp;ROW(AM259)</f>
        <v>AO259</v>
      </c>
      <c r="CL164" s="270" t="str">
        <f>"AQ"&amp;ROW(AQ259)</f>
        <v>AQ259</v>
      </c>
    </row>
    <row r="165" spans="1:91" ht="14.25" customHeight="1" thickBot="1">
      <c r="A165" s="588"/>
      <c r="B165" s="23"/>
      <c r="C165" s="48">
        <v>31</v>
      </c>
      <c r="D165" s="412" t="s">
        <v>3047</v>
      </c>
      <c r="E165" s="23"/>
      <c r="F165" s="23"/>
      <c r="G165" s="23"/>
      <c r="H165" s="23"/>
      <c r="I165" s="23"/>
      <c r="J165" s="23"/>
      <c r="K165" s="23"/>
      <c r="L165" s="23"/>
      <c r="M165" s="23"/>
      <c r="N165" s="1355" t="s">
        <v>697</v>
      </c>
      <c r="O165" s="2165">
        <v>31</v>
      </c>
      <c r="P165" s="8000" t="str">
        <f>IF(OR(AND(P160="",P164=""),NOT($B$62)),"",IF(SUM(P161,-P164)&lt;=0,0,SUM(P161,-P164)))</f>
        <v/>
      </c>
      <c r="Q165" s="8001"/>
      <c r="R165" s="8000" t="str">
        <f>IF(OR(AND(R160="",R164=""),NOT($B$62)),"",IF(SUM(R161,-R164)&lt;=0,0,SUM(R161,-R164)))</f>
        <v/>
      </c>
      <c r="S165" s="8001"/>
      <c r="T165" s="8000" t="str">
        <f>IF(OR(AND(T160="",T164=""),NOT($B$62)),"",IF(SUM(T161,-T164)&lt;=0,0,SUM(T161,-T164)))</f>
        <v/>
      </c>
      <c r="U165" s="8001"/>
      <c r="V165" s="8000" t="str">
        <f>IF(OR(AND(V160="",V164=""),NOT($B$62)),"",IF(SUM(V161,-V164)&lt;=0,0,SUM(V161,-V164)))</f>
        <v/>
      </c>
      <c r="W165" s="7775"/>
      <c r="X165" s="78"/>
      <c r="Y165" s="1185"/>
      <c r="Z165" s="8334"/>
      <c r="AA165" s="8333"/>
      <c r="AB165" s="1278"/>
      <c r="AC165" s="1179"/>
      <c r="AD165" s="1179"/>
      <c r="AE165" s="1179"/>
      <c r="AF165" s="1179"/>
      <c r="AG165" s="1179"/>
      <c r="AH165" s="1179"/>
      <c r="AI165" s="1179"/>
      <c r="AJ165" s="8251" t="str">
        <f>"1/1/"&amp;TaxYear-2000&amp;"–3/31/"&amp;TaxYear-2000</f>
        <v>1/1/21–3/31/21</v>
      </c>
      <c r="AK165" s="8252"/>
      <c r="AL165" s="8251" t="str">
        <f>"1/1/"&amp;TaxYear-2000&amp;"–5/31/"&amp;TaxYear-2000</f>
        <v>1/1/21–5/31/21</v>
      </c>
      <c r="AM165" s="8252"/>
      <c r="AN165" s="8251" t="str">
        <f>"1/1/"&amp;TaxYear-2000&amp;"–8/31/"&amp;TaxYear-2000</f>
        <v>1/1/21–8/31/21</v>
      </c>
      <c r="AO165" s="8252"/>
      <c r="AP165" s="8251" t="str">
        <f>"1/1/"&amp;TaxYear-2000&amp;"–12/31/"&amp;TaxYear-2000</f>
        <v>1/1/21–12/31/21</v>
      </c>
      <c r="AQ165" s="8338"/>
      <c r="AR165" s="1145"/>
      <c r="AS165" s="1504"/>
      <c r="AT165" s="431"/>
      <c r="AU165" s="42"/>
      <c r="AV165" s="3337"/>
      <c r="AW165" s="42"/>
      <c r="AX165" s="42"/>
      <c r="AY165" s="42"/>
      <c r="AZ165" s="42"/>
      <c r="BA165" s="42"/>
      <c r="BB165" s="42"/>
    </row>
    <row r="166" spans="1:91" ht="14.25" customHeight="1" thickBot="1">
      <c r="A166" s="588"/>
      <c r="B166" s="23"/>
      <c r="C166" s="48">
        <v>32</v>
      </c>
      <c r="D166" s="2668" t="s">
        <v>4676</v>
      </c>
      <c r="E166" s="23"/>
      <c r="F166" s="23"/>
      <c r="G166" s="23"/>
      <c r="H166" s="23"/>
      <c r="I166" s="23"/>
      <c r="J166" s="23"/>
      <c r="K166" s="23"/>
      <c r="L166" s="23"/>
      <c r="M166" s="23"/>
      <c r="N166" s="1355" t="s">
        <v>529</v>
      </c>
      <c r="O166" s="2165">
        <v>32</v>
      </c>
      <c r="P166" s="8290">
        <f>ROUND(P163*$Z$166,3)</f>
        <v>0.496</v>
      </c>
      <c r="Q166" s="8291"/>
      <c r="R166" s="8292">
        <f>ROUND(R163*$Z$166,4)</f>
        <v>0.29759999999999998</v>
      </c>
      <c r="S166" s="8293"/>
      <c r="T166" s="8290">
        <f>ROUND(T163*$Z$166,3)</f>
        <v>0.186</v>
      </c>
      <c r="U166" s="8291"/>
      <c r="V166" s="8290">
        <f>ROUND(V163*$Z$166,3)</f>
        <v>0.124</v>
      </c>
      <c r="W166" s="8315"/>
      <c r="X166" s="78"/>
      <c r="Y166" s="1185"/>
      <c r="Z166" s="8096">
        <v>1</v>
      </c>
      <c r="AA166" s="8097"/>
      <c r="AB166" s="2525" t="s">
        <v>294</v>
      </c>
      <c r="AC166" s="1276" t="s">
        <v>5552</v>
      </c>
      <c r="AD166" s="1276"/>
      <c r="AE166" s="1179"/>
      <c r="AF166" s="1179"/>
      <c r="AG166" s="1179"/>
      <c r="AH166" s="1179"/>
      <c r="AI166" s="1179"/>
      <c r="AJ166" s="1145"/>
      <c r="AK166" s="1145"/>
      <c r="AL166" s="1145"/>
      <c r="AM166" s="1145"/>
      <c r="AN166" s="1145"/>
      <c r="AO166" s="1145"/>
      <c r="AP166" s="1145"/>
      <c r="AQ166" s="1145"/>
      <c r="AR166" s="1145"/>
      <c r="AS166" s="1504"/>
      <c r="AT166" s="431"/>
      <c r="AU166" s="42"/>
      <c r="AV166" s="3337"/>
      <c r="AW166" s="42"/>
      <c r="AX166" s="42"/>
      <c r="AY166" s="42"/>
      <c r="AZ166" s="42"/>
      <c r="BA166" s="42"/>
      <c r="BB166" s="42"/>
    </row>
    <row r="167" spans="1:91" ht="14.25" customHeight="1" thickBot="1">
      <c r="A167" s="588"/>
      <c r="B167" s="24"/>
      <c r="C167" s="48">
        <v>33</v>
      </c>
      <c r="D167" s="2668" t="s">
        <v>3103</v>
      </c>
      <c r="E167" s="23"/>
      <c r="F167" s="23"/>
      <c r="G167" s="23"/>
      <c r="H167" s="23"/>
      <c r="I167" s="23"/>
      <c r="J167" s="23"/>
      <c r="K167" s="23"/>
      <c r="L167" s="23"/>
      <c r="M167" s="23"/>
      <c r="N167" s="1355" t="s">
        <v>1784</v>
      </c>
      <c r="O167" s="2165">
        <v>33</v>
      </c>
      <c r="P167" s="8000" t="str">
        <f>IF(NOT($B$62),"",P166*MIN(P160,P165))</f>
        <v/>
      </c>
      <c r="Q167" s="8001"/>
      <c r="R167" s="8000" t="str">
        <f>IF(NOT($B$62),"",R166*MIN(R160,R165))</f>
        <v/>
      </c>
      <c r="S167" s="8001"/>
      <c r="T167" s="8000" t="str">
        <f>IF(NOT($B$62),"",T166*MIN(T160,T165))</f>
        <v/>
      </c>
      <c r="U167" s="8001"/>
      <c r="V167" s="8002" t="str">
        <f>IF(NOT($B$62),"",V166*MIN(V160,V165))</f>
        <v/>
      </c>
      <c r="W167" s="8274"/>
      <c r="X167" s="78"/>
      <c r="Y167" s="1185"/>
      <c r="Z167" s="431"/>
      <c r="AA167" s="431"/>
      <c r="AB167" s="2525"/>
      <c r="AC167" s="5775" t="s">
        <v>5553</v>
      </c>
      <c r="AD167" s="1276"/>
      <c r="AE167" s="1179"/>
      <c r="AF167" s="1179"/>
      <c r="AG167" s="1179"/>
      <c r="AH167" s="1179"/>
      <c r="AI167" s="1179"/>
      <c r="AJ167" s="1145"/>
      <c r="AK167" s="1145"/>
      <c r="AL167" s="1145"/>
      <c r="AM167" s="1145"/>
      <c r="AN167" s="1145"/>
      <c r="AO167" s="1145"/>
      <c r="AP167" s="1145"/>
      <c r="AQ167" s="1145"/>
      <c r="AR167" s="1145"/>
      <c r="AS167" s="1504"/>
      <c r="AT167" s="431"/>
      <c r="AU167" s="42"/>
      <c r="AV167" s="3337"/>
      <c r="AW167" s="42"/>
      <c r="AX167" s="42"/>
      <c r="AY167" s="42"/>
      <c r="AZ167" s="42"/>
      <c r="BA167" s="42"/>
      <c r="BB167" s="42"/>
      <c r="BP167" s="4246" t="str">
        <f>"AK"&amp;ROW(AK288)</f>
        <v>AK288</v>
      </c>
      <c r="BQ167" s="270" t="s">
        <v>69</v>
      </c>
      <c r="BR167" s="270" t="s">
        <v>2552</v>
      </c>
      <c r="BS167" s="270" t="s">
        <v>458</v>
      </c>
      <c r="BT167" s="270" t="s">
        <v>2000</v>
      </c>
      <c r="BV167" s="1291" t="str">
        <f>"AM"&amp;ROW(AM288)</f>
        <v>AM288</v>
      </c>
      <c r="BW167" s="270" t="s">
        <v>69</v>
      </c>
      <c r="BX167" s="270" t="s">
        <v>2552</v>
      </c>
      <c r="BY167" s="270" t="s">
        <v>458</v>
      </c>
      <c r="BZ167" s="270" t="s">
        <v>2000</v>
      </c>
      <c r="CB167" s="1291" t="str">
        <f>"AO"&amp;ROW(AO288)</f>
        <v>AO288</v>
      </c>
      <c r="CC167" s="270" t="s">
        <v>69</v>
      </c>
      <c r="CD167" s="270" t="s">
        <v>2552</v>
      </c>
      <c r="CE167" s="270" t="s">
        <v>458</v>
      </c>
      <c r="CF167" s="270" t="s">
        <v>2000</v>
      </c>
      <c r="CH167" s="1291" t="str">
        <f>"AQ"&amp;ROW(AQ288)</f>
        <v>AQ288</v>
      </c>
      <c r="CI167" s="270" t="s">
        <v>69</v>
      </c>
      <c r="CJ167" s="270" t="s">
        <v>2552</v>
      </c>
      <c r="CK167" s="270" t="s">
        <v>458</v>
      </c>
      <c r="CL167" s="270" t="s">
        <v>2000</v>
      </c>
    </row>
    <row r="168" spans="1:91" ht="14.25" customHeight="1" thickTop="1" thickBot="1">
      <c r="A168" s="588"/>
      <c r="B168" s="23"/>
      <c r="C168" s="48">
        <v>34</v>
      </c>
      <c r="D168" s="412" t="s">
        <v>1798</v>
      </c>
      <c r="E168" s="23"/>
      <c r="F168" s="23"/>
      <c r="G168" s="23"/>
      <c r="H168" s="23"/>
      <c r="I168" s="23"/>
      <c r="J168" s="23"/>
      <c r="K168" s="23"/>
      <c r="L168" s="23"/>
      <c r="M168" s="23"/>
      <c r="N168" s="1355" t="s">
        <v>802</v>
      </c>
      <c r="O168" s="2165">
        <v>34</v>
      </c>
      <c r="P168" s="8290">
        <v>0.11600000000000001</v>
      </c>
      <c r="Q168" s="8291"/>
      <c r="R168" s="8292">
        <v>6.9599999999999995E-2</v>
      </c>
      <c r="S168" s="8293"/>
      <c r="T168" s="8292">
        <v>4.3499999999999997E-2</v>
      </c>
      <c r="U168" s="8293"/>
      <c r="V168" s="8290">
        <v>2.9000000000000001E-2</v>
      </c>
      <c r="W168" s="8315"/>
      <c r="X168" s="78"/>
      <c r="Y168" s="1185"/>
      <c r="Z168" s="431"/>
      <c r="AA168" s="431"/>
      <c r="AB168" s="2525"/>
      <c r="AC168" s="5775"/>
      <c r="AD168" s="1276" t="s">
        <v>5554</v>
      </c>
      <c r="AE168" s="1179"/>
      <c r="AF168" s="1179"/>
      <c r="AG168" s="1179"/>
      <c r="AH168" s="1179"/>
      <c r="AI168" s="1179"/>
      <c r="AJ168" s="1145"/>
      <c r="AK168" s="1145"/>
      <c r="AL168" s="1145"/>
      <c r="AM168" s="1145"/>
      <c r="AN168" s="1145"/>
      <c r="AO168" s="1145"/>
      <c r="AP168" s="1145"/>
      <c r="AQ168" s="1145"/>
      <c r="AR168" s="1145"/>
      <c r="AS168" s="1504"/>
      <c r="AT168" s="431"/>
      <c r="AU168" s="42"/>
      <c r="AV168" s="3337"/>
      <c r="AW168" s="42"/>
      <c r="AX168" s="42"/>
      <c r="AY168" s="42"/>
      <c r="AZ168" s="42"/>
      <c r="BA168" s="42"/>
      <c r="BB168" s="42"/>
      <c r="BO168" s="4309" t="s">
        <v>3519</v>
      </c>
      <c r="BP168" s="3352">
        <f>AK288</f>
        <v>0</v>
      </c>
      <c r="BQ168" s="3346">
        <f>LOOKUP(BP168,'Tax Table'!$B$2:$B$2063,'Tax Table'!$D$2:$D$2063)</f>
        <v>0</v>
      </c>
      <c r="BR168" s="3346">
        <f>LOOKUP(BP168,'Tax Table'!$B$2:$B$2063,'Tax Table'!$E$2:$E$2063)</f>
        <v>0</v>
      </c>
      <c r="BS168" s="3346">
        <f>LOOKUP(BP168,'Tax Table'!$B$2:$B$2063,'Tax Table'!$F$2:$F$2063)</f>
        <v>0</v>
      </c>
      <c r="BT168" s="3347">
        <f>LOOKUP(BP168,'Tax Table'!$B$2:$B$2063,'Tax Table'!$G$2:$G$2063)</f>
        <v>0</v>
      </c>
      <c r="BV168" s="3352">
        <f>AM288</f>
        <v>0</v>
      </c>
      <c r="BW168" s="3346">
        <f>LOOKUP(BV168,'Tax Table'!$B$2:$B$2063,'Tax Table'!$D$2:$D$2063)</f>
        <v>0</v>
      </c>
      <c r="BX168" s="3346">
        <f>LOOKUP(BV168,'Tax Table'!$B$2:$B$2063,'Tax Table'!$E$2:$E$2063)</f>
        <v>0</v>
      </c>
      <c r="BY168" s="3346">
        <f>LOOKUP(BV168,'Tax Table'!$B$2:$B$2063,'Tax Table'!$F$2:$F$2063)</f>
        <v>0</v>
      </c>
      <c r="BZ168" s="3347">
        <f>LOOKUP(BV168,'Tax Table'!$B$2:$B$2063,'Tax Table'!$G$2:$G$2063)</f>
        <v>0</v>
      </c>
      <c r="CB168" s="3352">
        <f>AO288</f>
        <v>0</v>
      </c>
      <c r="CC168" s="3346">
        <f>LOOKUP(CB168,'Tax Table'!$B$2:$B$2063,'Tax Table'!$D$2:$D$2063)</f>
        <v>0</v>
      </c>
      <c r="CD168" s="3346">
        <f>LOOKUP(CB168,'Tax Table'!$B$2:$B$2063,'Tax Table'!$E$2:$E$2063)</f>
        <v>0</v>
      </c>
      <c r="CE168" s="3346">
        <f>LOOKUP(CB168,'Tax Table'!$B$2:$B$2063,'Tax Table'!$F$2:$F$2063)</f>
        <v>0</v>
      </c>
      <c r="CF168" s="3347">
        <f>LOOKUP(CB168,'Tax Table'!$B$2:$B$2063,'Tax Table'!$G$2:$G$2063)</f>
        <v>0</v>
      </c>
      <c r="CH168" s="3352">
        <f>AQ288</f>
        <v>0</v>
      </c>
      <c r="CI168" s="3346">
        <f>LOOKUP(CH168,'Tax Table'!$B$2:$B$2063,'Tax Table'!$D$2:$D$2063)</f>
        <v>0</v>
      </c>
      <c r="CJ168" s="3346">
        <f>LOOKUP(CH168,'Tax Table'!$B$2:$B$2063,'Tax Table'!$E$2:$E$2063)</f>
        <v>0</v>
      </c>
      <c r="CK168" s="3346">
        <f>LOOKUP(CH168,'Tax Table'!$B$2:$B$2063,'Tax Table'!$F$2:$F$2063)</f>
        <v>0</v>
      </c>
      <c r="CL168" s="3347">
        <f>LOOKUP(CH168,'Tax Table'!$B$2:$B$2063,'Tax Table'!$G$2:$G$2063)</f>
        <v>0</v>
      </c>
    </row>
    <row r="169" spans="1:91" ht="14.25" customHeight="1" thickBot="1">
      <c r="A169" s="588"/>
      <c r="B169" s="23"/>
      <c r="C169" s="48">
        <v>35</v>
      </c>
      <c r="D169" s="2668" t="s">
        <v>3048</v>
      </c>
      <c r="E169" s="23"/>
      <c r="F169" s="23"/>
      <c r="G169" s="23"/>
      <c r="H169" s="23"/>
      <c r="I169" s="23"/>
      <c r="J169" s="23"/>
      <c r="K169" s="23"/>
      <c r="L169" s="23"/>
      <c r="M169" s="23"/>
      <c r="N169" s="1355" t="s">
        <v>572</v>
      </c>
      <c r="O169" s="2165">
        <v>35</v>
      </c>
      <c r="P169" s="8294" t="str">
        <f>IF(NOT($B$62),"",P160*P168)</f>
        <v/>
      </c>
      <c r="Q169" s="8295"/>
      <c r="R169" s="8294" t="str">
        <f>IF(NOT($B$62),"",R160*R168)</f>
        <v/>
      </c>
      <c r="S169" s="8295"/>
      <c r="T169" s="8294" t="str">
        <f>IF(NOT($B$62),"",T160*T168)</f>
        <v/>
      </c>
      <c r="U169" s="8295"/>
      <c r="V169" s="8324" t="str">
        <f>IF(NOT($B$62),"",V160*V168)</f>
        <v/>
      </c>
      <c r="W169" s="8325"/>
      <c r="X169" s="78"/>
      <c r="Y169" s="1185"/>
      <c r="Z169" s="431"/>
      <c r="AA169" s="431"/>
      <c r="AB169" s="2525"/>
      <c r="AC169" s="5775" t="s">
        <v>5556</v>
      </c>
      <c r="AD169" s="1276"/>
      <c r="AE169" s="1179"/>
      <c r="AF169" s="1179"/>
      <c r="AG169" s="1179"/>
      <c r="AH169" s="1179"/>
      <c r="AI169" s="1179"/>
      <c r="AJ169" s="1145"/>
      <c r="AK169" s="1145"/>
      <c r="AL169" s="1145"/>
      <c r="AM169" s="1145"/>
      <c r="AN169" s="1145"/>
      <c r="AO169" s="1145"/>
      <c r="AP169" s="1145"/>
      <c r="AQ169" s="1145"/>
      <c r="AR169" s="1145"/>
      <c r="AS169" s="1504"/>
      <c r="AT169" s="431"/>
      <c r="AU169" s="42"/>
      <c r="AV169" s="3337"/>
      <c r="AW169" s="1357"/>
      <c r="AX169" s="1357"/>
      <c r="AY169" s="1357"/>
      <c r="AZ169" s="1357"/>
      <c r="BA169" s="1357"/>
      <c r="BB169" s="42"/>
      <c r="BP169" s="3341"/>
      <c r="BQ169" s="3348" t="str">
        <f>IF(BP168&lt;SectA_a3,"---",IF(BP168&lt;=SectA_a4,ROUND((BP168*(SectA_b4/100)-SectA_d4),0),IF(BP168&lt;=SectA_a5,ROUND((BP168*(SectA_b5/100)-SectA_d5),0),IF(BP168&lt;=SectA_a6,ROUND((BP168*(SectA_b6/100)-SectA_d6),0),ROUND((BP168*(SectA_b7/100)-SectA_d7),0)))))</f>
        <v>---</v>
      </c>
      <c r="BR169" s="3348" t="str">
        <f>IF(BP168&lt;SectB_a2,"---",IF(BP168&lt;=SectB_a3,ROUND((BP168*(SectB_b3/100)-SectB_d3),0),IF(BP168&lt;=SectB_a4,ROUND((BP168*(SectB_b4/100)-SectB_d4),0),IF(BP168&lt;=SectB_a5,ROUND((BP168*(SectB_b5/100)-SectB_d5),0),IF(BP168&lt;=SectB_a6,ROUND((BP168*(SectB_b6/100)-SectB_d6),0),ROUND((BP168*(SectB_b7/100)-SectB_d7),0))))))</f>
        <v>---</v>
      </c>
      <c r="BS169" s="3348" t="str">
        <f>IF(BP168&lt;SectC_a2,"---",IF(BP168&lt;=SectC_a3,ROUND((BP168*(SectC_b3/100)-SectC_d3),0),IF(BP168&lt;=SectC_a4,ROUND((BP168*(SectC_b4/100)-SectC_d4),0),IF(BP168&lt;=SectC_a5,ROUND((BP168*(SectC_b5/100)-SectC_d5),0),ROUND((BP168*(SectC_b6/100)-SectC_d6),0)))))</f>
        <v>---</v>
      </c>
      <c r="BT169" s="3349" t="str">
        <f>IF(BP168&lt;SectD_a2,"---",IF(BP168&lt;=SectD_a3,ROUND((BP168*(SectD_b3/100)-SectD_d3),0),IF(BP168&lt;=SectD_a4,ROUND((BP168*(SectD_b4/100)-SectD_d4),0),IF(BP168&lt;=SectD_a5,ROUND((BP168*(SectD_b5/100)-SectD_d5),0),IF(BP168&lt;=SectD_a6,ROUND((BP168*(SectD_b6/100)-SectD_d6),0),ROUND((BP168*(SectD_b7/100)-SectD_d7),0))))))</f>
        <v>---</v>
      </c>
      <c r="BV169" s="3341"/>
      <c r="BW169" s="3348" t="str">
        <f>IF(BV168&lt;SectA_a3,"---",IF(BV168&lt;=SectA_a4,ROUND((BV168*(SectA_b4/100)-SectA_d4),0),IF(BV168&lt;=SectA_a5,ROUND((BV168*(SectA_b5/100)-SectA_d5),0),IF(BV168&lt;=SectA_a6,ROUND((BV168*(SectA_b6/100)-SectA_d6),0),ROUND((BV168*(SectA_b7/100)-SectA_d7),0)))))</f>
        <v>---</v>
      </c>
      <c r="BX169" s="3348" t="str">
        <f>IF(BV168&lt;SectB_a2,"---",IF(BV168&lt;=SectB_a3,ROUND((BV168*(SectB_b3/100)-SectB_d3),0),IF(BV168&lt;=SectB_a4,ROUND((BV168*(SectB_b4/100)-SectB_d4),0),IF(BV168&lt;=SectB_a5,ROUND((BV168*(SectB_b5/100)-SectB_d5),0),IF(BV168&lt;=SectB_a6,ROUND((BV168*(SectB_b6/100)-SectB_d6),0),ROUND((BV168*(SectB_b7/100)-SectB_d7),0))))))</f>
        <v>---</v>
      </c>
      <c r="BY169" s="3348" t="str">
        <f>IF(BV168&lt;SectC_a2,"---",IF(BV168&lt;=SectC_a3,ROUND((BV168*(SectC_b3/100)-SectC_d3),0),IF(BV168&lt;=SectC_a4,ROUND((BV168*(SectC_b4/100)-SectC_d4),0),IF(BV168&lt;=SectC_a5,ROUND((BV168*(SectC_b5/100)-SectC_d5),0),ROUND((BV168*(SectC_b6/100)-SectC_d6),0)))))</f>
        <v>---</v>
      </c>
      <c r="BZ169" s="3349" t="str">
        <f>IF(BV168&lt;SectD_a2,"---",IF(BV168&lt;=SectD_a3,ROUND((BV168*(SectD_b3/100)-SectD_d3),0),IF(BV168&lt;=SectD_a4,ROUND((BV168*(SectD_b4/100)-SectD_d4),0),IF(BV168&lt;=SectD_a5,ROUND((BV168*(SectD_b5/100)-SectD_d5),0),IF(BV168&lt;=SectD_a6,ROUND((BV168*(SectD_b6/100)-SectD_d6),0),ROUND((BV168*(SectD_b7/100)-SectD_d7),0))))))</f>
        <v>---</v>
      </c>
      <c r="CB169" s="3341"/>
      <c r="CC169" s="3348" t="str">
        <f>IF(CB168&lt;SectA_a3,"---",IF(CB168&lt;=SectA_a4,ROUND((CB168*(SectA_b4/100)-SectA_d4),0),IF(CB168&lt;=SectA_a5,ROUND((CB168*(SectA_b5/100)-SectA_d5),0),IF(CB168&lt;=SectA_a6,ROUND((CB168*(SectA_b6/100)-SectA_d6),0),ROUND((CB168*(SectA_b7/100)-SectA_d7),0)))))</f>
        <v>---</v>
      </c>
      <c r="CD169" s="3348" t="str">
        <f>IF(CB168&lt;SectB_a2,"---",IF(CB168&lt;=SectB_a3,ROUND((CB168*(SectB_b3/100)-SectB_d3),0),IF(CB168&lt;=SectB_a4,ROUND((CB168*(SectB_b4/100)-SectB_d4),0),IF(CB168&lt;=SectB_a5,ROUND((CB168*(SectB_b5/100)-SectB_d5),0),IF(CB168&lt;=SectB_a6,ROUND((CB168*(SectB_b6/100)-SectB_d6),0),ROUND((CB168*(SectB_b7/100)-SectB_d7),0))))))</f>
        <v>---</v>
      </c>
      <c r="CE169" s="3348" t="str">
        <f>IF(CB168&lt;SectC_a2,"---",IF(CB168&lt;=SectC_a3,ROUND((CB168*(SectC_b3/100)-SectC_d3),0),IF(CB168&lt;=SectC_a4,ROUND((CB168*(SectC_b4/100)-SectC_d4),0),IF(CB168&lt;=SectC_a5,ROUND((CB168*(SectC_b5/100)-SectC_d5),0),ROUND((CB168*(SectC_b6/100)-SectC_d6),0)))))</f>
        <v>---</v>
      </c>
      <c r="CF169" s="3349" t="str">
        <f>IF(CB168&lt;SectD_a2,"---",IF(CB168&lt;=SectD_a3,ROUND((CB168*(SectD_b3/100)-SectD_d3),0),IF(CB168&lt;=SectD_a4,ROUND((CB168*(SectD_b4/100)-SectD_d4),0),IF(CB168&lt;=SectD_a5,ROUND((CB168*(SectD_b5/100)-SectD_d5),0),IF(CB168&lt;=SectD_a6,ROUND((CB168*(SectD_b6/100)-SectD_d6),0),ROUND((CB168*(SectD_b7/100)-SectD_d7),0))))))</f>
        <v>---</v>
      </c>
      <c r="CH169" s="3341"/>
      <c r="CI169" s="3348" t="str">
        <f>IF(CH168&lt;SectA_a3,"---",IF(CH168&lt;=SectA_a4,ROUND((CH168*(SectA_b4/100)-SectA_d4),0),IF(CH168&lt;=SectA_a5,ROUND((CH168*(SectA_b5/100)-SectA_d5),0),IF(CH168&lt;=SectA_a6,ROUND((CH168*(SectA_b6/100)-SectA_d6),0),ROUND((CH168*(SectA_b7/100)-SectA_d7),0)))))</f>
        <v>---</v>
      </c>
      <c r="CJ169" s="3348" t="str">
        <f>IF(CH168&lt;SectB_a2,"---",IF(CH168&lt;=SectB_a3,ROUND((CH168*(SectB_b3/100)-SectB_d3),0),IF(CH168&lt;=SectB_a4,ROUND((CH168*(SectB_b4/100)-SectB_d4),0),IF(CH168&lt;=SectB_a5,ROUND((CH168*(SectB_b5/100)-SectB_d5),0),IF(CH168&lt;=SectB_a6,ROUND((CH168*(SectB_b6/100)-SectB_d6),0),ROUND((CH168*(SectB_b7/100)-SectB_d7),0))))))</f>
        <v>---</v>
      </c>
      <c r="CK169" s="3348" t="str">
        <f>IF(CH168&lt;SectC_a2,"---",IF(CH168&lt;=SectC_a3,ROUND((CH168*(SectC_b3/100)-SectC_d3),0),IF(CH168&lt;=SectC_a4,ROUND((CH168*(SectC_b4/100)-SectC_d4),0),IF(CH168&lt;=SectC_a5,ROUND((CH168*(SectC_b5/100)-SectC_d5),0),ROUND((CH168*(SectC_b6/100)-SectC_d6),0)))))</f>
        <v>---</v>
      </c>
      <c r="CL169" s="3349" t="str">
        <f>IF(CH168&lt;SectD_a2,"---",IF(CH168&lt;=SectD_a3,ROUND((CH168*(SectD_b3/100)-SectD_d3),0),IF(CH168&lt;=SectD_a4,ROUND((CH168*(SectD_b4/100)-SectD_d4),0),IF(CH168&lt;=SectD_a5,ROUND((CH168*(SectD_b5/100)-SectD_d5),0),IF(CH168&lt;=SectD_a6,ROUND((CH168*(SectD_b6/100)-SectD_d6),0),ROUND((CH168*(SectD_b7/100)-SectD_d7),0))))))</f>
        <v>---</v>
      </c>
    </row>
    <row r="170" spans="1:91" ht="14.25" customHeight="1" thickBot="1">
      <c r="A170" s="588"/>
      <c r="B170" s="24"/>
      <c r="C170" s="48">
        <v>36</v>
      </c>
      <c r="D170" s="412" t="s">
        <v>3049</v>
      </c>
      <c r="E170" s="23"/>
      <c r="F170" s="23"/>
      <c r="G170" s="23"/>
      <c r="H170" s="23"/>
      <c r="I170" s="23"/>
      <c r="J170" s="23"/>
      <c r="K170" s="23"/>
      <c r="L170" s="23"/>
      <c r="M170" s="23"/>
      <c r="N170" s="1355" t="s">
        <v>1784</v>
      </c>
      <c r="O170" s="2165">
        <v>36</v>
      </c>
      <c r="P170" s="8000" t="str">
        <f>IF(NOT($B$62),"",SUM(P167,P169))</f>
        <v/>
      </c>
      <c r="Q170" s="8001"/>
      <c r="R170" s="8000" t="str">
        <f>IF(NOT($B$62),"",SUM(R167,R169))</f>
        <v/>
      </c>
      <c r="S170" s="8001"/>
      <c r="T170" s="8000" t="str">
        <f>IF(NOT($B$62),"",SUM(T167,T169))</f>
        <v/>
      </c>
      <c r="U170" s="8001"/>
      <c r="V170" s="8316" t="str">
        <f>IF(NOT($B$62),"",SUM(V167,V169))</f>
        <v/>
      </c>
      <c r="W170" s="8317"/>
      <c r="X170" s="78"/>
      <c r="Y170" s="1185"/>
      <c r="Z170" s="431"/>
      <c r="AA170" s="431"/>
      <c r="AB170" s="2525"/>
      <c r="AC170" s="1276"/>
      <c r="AD170" s="1276" t="s">
        <v>5555</v>
      </c>
      <c r="AE170" s="1179"/>
      <c r="AF170" s="1179"/>
      <c r="AG170" s="1179"/>
      <c r="AH170" s="1179"/>
      <c r="AI170" s="1179"/>
      <c r="AJ170" s="1411" t="s">
        <v>294</v>
      </c>
      <c r="AK170" s="1600"/>
      <c r="AL170" s="1411"/>
      <c r="AM170" s="1600"/>
      <c r="AN170" s="1411"/>
      <c r="AO170" s="1600"/>
      <c r="AP170" s="1411"/>
      <c r="AQ170" s="1600"/>
      <c r="AR170" s="1411"/>
      <c r="AS170" s="3971"/>
      <c r="AT170" s="431"/>
      <c r="AU170" s="42"/>
      <c r="AV170" s="3337"/>
      <c r="AW170" s="42"/>
      <c r="AX170" s="42"/>
      <c r="AY170" s="42"/>
      <c r="AZ170" s="42"/>
      <c r="BA170" s="42"/>
      <c r="BB170" s="42"/>
      <c r="BP170" s="3342" t="str">
        <f>IF(File_Single&lt;&gt;"",BQ168,IF(File_Marr_Joint&lt;&gt;"",BR168,IF(File_Marr_Sep&lt;&gt;"", BS168,IF(File_Head&lt;&gt;"",BT168,IF(File_Qual_Widow&lt;&gt;"",BR168,"Filing status?")))))</f>
        <v>Filing status?</v>
      </c>
      <c r="BQ170" s="2087" t="str">
        <f>"&lt;100k"</f>
        <v>&lt;100k</v>
      </c>
      <c r="BR170" s="2087"/>
      <c r="BS170" s="2087"/>
      <c r="BT170" s="3345"/>
      <c r="BV170" s="3342" t="str">
        <f>IF(File_Single&lt;&gt;"",BW168,IF(File_Marr_Joint&lt;&gt;"",BX168,IF(File_Marr_Sep&lt;&gt;"", BY168,IF(File_Head&lt;&gt;"",BZ168,IF(File_Qual_Widow&lt;&gt;"",BX168,"Filing status?")))))</f>
        <v>Filing status?</v>
      </c>
      <c r="BW170" s="2087" t="str">
        <f>"&lt;100k"</f>
        <v>&lt;100k</v>
      </c>
      <c r="BX170" s="2087"/>
      <c r="BY170" s="2087"/>
      <c r="BZ170" s="3345"/>
      <c r="CB170" s="3342" t="str">
        <f>IF(File_Single&lt;&gt;"",CC168,IF(File_Marr_Joint&lt;&gt;"",CD168,IF(File_Marr_Sep&lt;&gt;"", CE168,IF(File_Head&lt;&gt;"",CF168,IF(File_Qual_Widow&lt;&gt;"",CD168,"Filing status?")))))</f>
        <v>Filing status?</v>
      </c>
      <c r="CC170" s="2087" t="str">
        <f>"&lt;100k"</f>
        <v>&lt;100k</v>
      </c>
      <c r="CD170" s="2087"/>
      <c r="CE170" s="2087"/>
      <c r="CF170" s="3345"/>
      <c r="CH170" s="3342" t="str">
        <f>IF(File_Single&lt;&gt;"",CI168,IF(File_Marr_Joint&lt;&gt;"",CJ168,IF(File_Marr_Sep&lt;&gt;"", CK168,IF(File_Head&lt;&gt;"",CL168,IF(File_Qual_Widow&lt;&gt;"",CJ168,"Filing status?")))))</f>
        <v>Filing status?</v>
      </c>
      <c r="CI170" s="2087" t="str">
        <f>"&lt;100k"</f>
        <v>&lt;100k</v>
      </c>
      <c r="CJ170" s="2087"/>
      <c r="CK170" s="2087"/>
      <c r="CL170" s="3345"/>
    </row>
    <row r="171" spans="1:91" ht="14.25" customHeight="1" thickBot="1">
      <c r="A171" s="934"/>
      <c r="B171" s="2146"/>
      <c r="C171" s="2152"/>
      <c r="D171" s="2147"/>
      <c r="E171" s="2146"/>
      <c r="F171" s="2146"/>
      <c r="G171" s="2146"/>
      <c r="H171" s="2146"/>
      <c r="I171" s="2146"/>
      <c r="J171" s="2146"/>
      <c r="K171" s="2146"/>
      <c r="L171" s="2146"/>
      <c r="M171" s="2146"/>
      <c r="N171" s="2146"/>
      <c r="O171" s="2146"/>
      <c r="P171" s="2146"/>
      <c r="Q171" s="2148"/>
      <c r="R171" s="2149"/>
      <c r="S171" s="2146"/>
      <c r="T171" s="2146"/>
      <c r="U171" s="2150"/>
      <c r="V171" s="2150" t="s">
        <v>1764</v>
      </c>
      <c r="W171" s="2148" t="str">
        <f>"("&amp;TaxYear&amp;")"</f>
        <v>(2021)</v>
      </c>
      <c r="X171" s="935"/>
      <c r="Y171" s="1185"/>
      <c r="Z171" s="431"/>
      <c r="AA171" s="431"/>
      <c r="AB171" s="2525"/>
      <c r="AC171" s="1276"/>
      <c r="AD171" s="1179"/>
      <c r="AE171" s="1179"/>
      <c r="AF171" s="1179"/>
      <c r="AG171" s="1179"/>
      <c r="AH171" s="1179"/>
      <c r="AI171" s="1179"/>
      <c r="AJ171" s="1411"/>
      <c r="AK171" s="1671"/>
      <c r="AL171" s="1411"/>
      <c r="AM171" s="1671"/>
      <c r="AN171" s="1145"/>
      <c r="AO171" s="1671"/>
      <c r="AP171" s="1145"/>
      <c r="AQ171" s="1671"/>
      <c r="AR171" s="1145"/>
      <c r="AS171" s="1504"/>
      <c r="AT171" s="431"/>
      <c r="AU171" s="42"/>
      <c r="AV171" s="3337"/>
      <c r="AW171" s="42"/>
      <c r="AX171" s="42"/>
      <c r="AY171" s="42"/>
      <c r="AZ171" s="42"/>
      <c r="BA171" s="42"/>
      <c r="BB171" s="42"/>
      <c r="BO171" s="4309" t="s">
        <v>3518</v>
      </c>
      <c r="BP171" s="3343" t="str">
        <f>IF(File_Single&lt;&gt;"",BQ169,IF(OR(File_Marr_Joint&lt;&gt;"",File_Qual_Widow&lt;&gt;""),BR169,IF(File_Marr_Sep&lt;&gt;"", BS169,IF(File_Head&lt;&gt;"",BT169,"Filing status?"))))</f>
        <v>Filing status?</v>
      </c>
      <c r="BQ171" s="3344" t="str">
        <f>"&gt;=100k"</f>
        <v>&gt;=100k</v>
      </c>
      <c r="BR171" s="3344"/>
      <c r="BS171" s="3350" t="s">
        <v>2553</v>
      </c>
      <c r="BT171" s="3351" t="str">
        <f>IF(BP168&gt;100000,BP171,BP170)</f>
        <v>Filing status?</v>
      </c>
      <c r="BV171" s="3343" t="str">
        <f>IF(File_Single&lt;&gt;"",BW169,IF(OR(File_Marr_Joint&lt;&gt;"",File_Qual_Widow&lt;&gt;""),BX169,IF(File_Marr_Sep&lt;&gt;"", BY169,IF(File_Head&lt;&gt;"",BZ169,"Filing status?"))))</f>
        <v>Filing status?</v>
      </c>
      <c r="BW171" s="3344" t="str">
        <f>"&gt;=100k"</f>
        <v>&gt;=100k</v>
      </c>
      <c r="BX171" s="3344"/>
      <c r="BY171" s="3350" t="s">
        <v>2553</v>
      </c>
      <c r="BZ171" s="3351" t="str">
        <f>IF(BV168&gt;100000,BV171,BV170)</f>
        <v>Filing status?</v>
      </c>
      <c r="CB171" s="3343" t="str">
        <f>IF(File_Single&lt;&gt;"",CC169,IF(OR(File_Marr_Joint&lt;&gt;"",File_Qual_Widow&lt;&gt;""),CD169,IF(File_Marr_Sep&lt;&gt;"", CE169,IF(File_Head&lt;&gt;"",CF169,"Filing status?"))))</f>
        <v>Filing status?</v>
      </c>
      <c r="CC171" s="3344" t="str">
        <f>"&gt;=100k"</f>
        <v>&gt;=100k</v>
      </c>
      <c r="CD171" s="3344"/>
      <c r="CE171" s="3350" t="s">
        <v>2553</v>
      </c>
      <c r="CF171" s="3351" t="str">
        <f>IF(CB168&gt;100000,CB171,CB170)</f>
        <v>Filing status?</v>
      </c>
      <c r="CH171" s="3343" t="str">
        <f>IF(File_Single&lt;&gt;"",CI169,IF(OR(File_Marr_Joint&lt;&gt;"",File_Qual_Widow&lt;&gt;""),CJ169,IF(File_Marr_Sep&lt;&gt;"", CK169,IF(File_Head&lt;&gt;"",CL169,"Filing status?"))))</f>
        <v>Filing status?</v>
      </c>
      <c r="CI171" s="3344" t="str">
        <f>"&gt;=100k"</f>
        <v>&gt;=100k</v>
      </c>
      <c r="CJ171" s="3344"/>
      <c r="CK171" s="3350" t="s">
        <v>2553</v>
      </c>
      <c r="CL171" s="3351" t="str">
        <f>IF(CH168&gt;100000,CH171,CH170)</f>
        <v>Filing status?</v>
      </c>
    </row>
    <row r="172" spans="1:91" ht="14.25" customHeight="1" thickTop="1">
      <c r="A172" s="588"/>
      <c r="B172" s="2232" t="s">
        <v>5536</v>
      </c>
      <c r="C172" s="2233"/>
      <c r="D172" s="2233"/>
      <c r="E172" s="2233"/>
      <c r="F172" s="2233"/>
      <c r="G172" s="2233"/>
      <c r="H172" s="2233"/>
      <c r="I172" s="2233"/>
      <c r="J172" s="2233"/>
      <c r="K172" s="2233"/>
      <c r="L172" s="2233"/>
      <c r="M172" s="2233"/>
      <c r="N172" s="2233"/>
      <c r="O172" s="2233"/>
      <c r="P172" s="2233"/>
      <c r="Q172" s="2233"/>
      <c r="R172" s="2233"/>
      <c r="S172" s="2233"/>
      <c r="T172" s="2233"/>
      <c r="U172" s="2233"/>
      <c r="V172" s="2233"/>
      <c r="W172" s="2233"/>
      <c r="X172" s="78"/>
      <c r="Y172" s="1185"/>
      <c r="Z172" s="431"/>
      <c r="AA172" s="431"/>
      <c r="AB172" s="2525" t="s">
        <v>0</v>
      </c>
      <c r="AC172" s="1276" t="str">
        <f>"Enter your qualified dividends expected for "&amp;TaxYear</f>
        <v>Enter your qualified dividends expected for 2021</v>
      </c>
      <c r="AD172" s="1179"/>
      <c r="AE172" s="1179"/>
      <c r="AF172" s="1179"/>
      <c r="AG172" s="1179"/>
      <c r="AH172" s="1179"/>
      <c r="AI172" s="1179"/>
      <c r="AJ172" s="1411" t="s">
        <v>0</v>
      </c>
      <c r="AK172" s="1600"/>
      <c r="AL172" s="1145"/>
      <c r="AM172" s="1600"/>
      <c r="AN172" s="1145"/>
      <c r="AO172" s="1600"/>
      <c r="AP172" s="1145"/>
      <c r="AQ172" s="1600"/>
      <c r="AR172" s="1145"/>
      <c r="AS172" s="1504"/>
      <c r="AT172" s="431"/>
      <c r="AU172" s="42"/>
      <c r="AV172" s="3337"/>
      <c r="AW172" s="42"/>
      <c r="AX172" s="42"/>
      <c r="AY172" s="42"/>
      <c r="AZ172" s="42"/>
      <c r="BA172" s="42"/>
      <c r="BB172" s="42"/>
      <c r="BO172" s="4309"/>
      <c r="BP172" s="4584"/>
      <c r="BQ172" s="2087"/>
      <c r="BR172" s="2087"/>
      <c r="BS172" s="2065"/>
      <c r="BT172" s="4584"/>
      <c r="BV172" s="4584"/>
      <c r="BW172" s="2087"/>
      <c r="BX172" s="2087"/>
      <c r="BY172" s="2065"/>
      <c r="BZ172" s="4584"/>
      <c r="CB172" s="4584"/>
      <c r="CC172" s="2087"/>
      <c r="CD172" s="2087"/>
      <c r="CE172" s="2065"/>
      <c r="CF172" s="4584"/>
      <c r="CH172" s="4584"/>
      <c r="CI172" s="2087"/>
      <c r="CJ172" s="2087"/>
      <c r="CK172" s="2065"/>
      <c r="CL172" s="4584"/>
    </row>
    <row r="173" spans="1:91" ht="14.25" customHeight="1">
      <c r="A173" s="588"/>
      <c r="B173" s="3884" t="s">
        <v>5535</v>
      </c>
      <c r="C173" s="1692"/>
      <c r="D173" s="1692"/>
      <c r="E173" s="1692"/>
      <c r="F173" s="1692"/>
      <c r="G173" s="1692"/>
      <c r="H173" s="1692"/>
      <c r="I173" s="1692"/>
      <c r="J173" s="1692"/>
      <c r="K173" s="1692"/>
      <c r="L173" s="1692"/>
      <c r="M173" s="1692"/>
      <c r="N173" s="1692"/>
      <c r="O173" s="1692"/>
      <c r="P173" s="1692"/>
      <c r="Q173" s="1692"/>
      <c r="R173" s="1692"/>
      <c r="S173" s="1692"/>
      <c r="T173" s="1692"/>
      <c r="U173" s="3885" t="s">
        <v>175</v>
      </c>
      <c r="V173" s="1692"/>
      <c r="W173" s="1692"/>
      <c r="X173" s="78"/>
      <c r="Y173" s="1185"/>
      <c r="Z173" s="431"/>
      <c r="AA173" s="431"/>
      <c r="AB173" s="1278"/>
      <c r="AC173" s="1179"/>
      <c r="AD173" s="1179"/>
      <c r="AE173" s="1179"/>
      <c r="AF173" s="1179"/>
      <c r="AG173" s="1179"/>
      <c r="AH173" s="1179"/>
      <c r="AI173" s="1179"/>
      <c r="AJ173" s="1411"/>
      <c r="AK173" s="2336"/>
      <c r="AL173" s="1411"/>
      <c r="AM173" s="3325"/>
      <c r="AN173" s="1145"/>
      <c r="AO173" s="3325"/>
      <c r="AP173" s="1145"/>
      <c r="AQ173" s="2336"/>
      <c r="AR173" s="1145"/>
      <c r="AS173" s="1504"/>
      <c r="AT173" s="431"/>
      <c r="AU173" s="42"/>
      <c r="AV173" s="3337"/>
      <c r="AW173" s="42"/>
      <c r="AX173" s="42"/>
      <c r="AY173" s="42"/>
      <c r="AZ173" s="42"/>
      <c r="BA173" s="42"/>
      <c r="BB173" s="42"/>
      <c r="BO173" s="4309"/>
      <c r="BP173" s="4584"/>
      <c r="BQ173" s="2087"/>
      <c r="BR173" s="2087"/>
      <c r="BS173" s="2065"/>
      <c r="BT173" s="4584"/>
      <c r="BV173" s="4584"/>
      <c r="BW173" s="2087"/>
      <c r="BX173" s="2087"/>
      <c r="BY173" s="2065"/>
      <c r="BZ173" s="4584"/>
      <c r="CB173" s="4584"/>
      <c r="CC173" s="2087"/>
      <c r="CD173" s="2087"/>
      <c r="CE173" s="2065"/>
      <c r="CF173" s="4584"/>
      <c r="CH173" s="4584"/>
      <c r="CI173" s="2087"/>
      <c r="CJ173" s="2087"/>
      <c r="CK173" s="2065"/>
      <c r="CL173" s="4584"/>
    </row>
    <row r="174" spans="1:91" ht="14.25" customHeight="1">
      <c r="A174" s="588"/>
      <c r="B174" s="2235" t="s">
        <v>1818</v>
      </c>
      <c r="C174" s="1692"/>
      <c r="D174" s="1692"/>
      <c r="E174" s="1692"/>
      <c r="F174" s="1692"/>
      <c r="G174" s="1692"/>
      <c r="H174" s="1692"/>
      <c r="I174" s="1692"/>
      <c r="J174" s="1692"/>
      <c r="K174" s="1692"/>
      <c r="L174" s="1692"/>
      <c r="M174" s="1692"/>
      <c r="N174" s="1692"/>
      <c r="O174" s="1692"/>
      <c r="P174" s="1692"/>
      <c r="Q174" s="1692"/>
      <c r="R174" s="1692"/>
      <c r="S174" s="1692"/>
      <c r="T174" s="1692"/>
      <c r="U174" s="3885"/>
      <c r="V174" s="1692"/>
      <c r="W174" s="1692"/>
      <c r="X174" s="78"/>
      <c r="Y174" s="1185"/>
      <c r="Z174" s="431"/>
      <c r="AA174" s="431"/>
      <c r="AB174" s="2525" t="s">
        <v>1</v>
      </c>
      <c r="AC174" s="1276" t="str">
        <f>"Enter your net capital gain expected for "&amp;TaxYear</f>
        <v>Enter your net capital gain expected for 2021</v>
      </c>
      <c r="AD174" s="1179"/>
      <c r="AE174" s="1284"/>
      <c r="AF174" s="1179"/>
      <c r="AG174" s="1179"/>
      <c r="AH174" s="1179"/>
      <c r="AI174" s="1179"/>
      <c r="AJ174" s="1411" t="s">
        <v>1</v>
      </c>
      <c r="AK174" s="1600"/>
      <c r="AL174" s="1145"/>
      <c r="AM174" s="1600"/>
      <c r="AN174" s="1145"/>
      <c r="AO174" s="1600"/>
      <c r="AP174" s="1145"/>
      <c r="AQ174" s="1600"/>
      <c r="AR174" s="1145"/>
      <c r="AS174" s="1504"/>
      <c r="AT174" s="431"/>
      <c r="AU174" s="42"/>
      <c r="AV174" s="3337"/>
      <c r="AW174" s="42"/>
      <c r="AX174" s="42"/>
      <c r="AY174" s="42"/>
      <c r="AZ174" s="42"/>
      <c r="BA174" s="42"/>
      <c r="BB174" s="42"/>
    </row>
    <row r="175" spans="1:91" ht="14.25" customHeight="1">
      <c r="A175" s="588"/>
      <c r="B175" s="2235" t="s">
        <v>1817</v>
      </c>
      <c r="C175" s="2236"/>
      <c r="D175" s="2236"/>
      <c r="E175" s="2236"/>
      <c r="F175" s="2236"/>
      <c r="G175" s="2236"/>
      <c r="H175" s="2236"/>
      <c r="I175" s="2236"/>
      <c r="J175" s="2236"/>
      <c r="K175" s="2236"/>
      <c r="L175" s="2236"/>
      <c r="M175" s="2236"/>
      <c r="N175" s="2236"/>
      <c r="O175" s="2236"/>
      <c r="P175" s="2236"/>
      <c r="Q175" s="2236"/>
      <c r="R175" s="2236"/>
      <c r="S175" s="2236"/>
      <c r="T175" s="2236"/>
      <c r="U175" s="2236"/>
      <c r="V175" s="2236"/>
      <c r="W175" s="2236"/>
      <c r="X175" s="78"/>
      <c r="Y175" s="1185"/>
      <c r="Z175" s="431"/>
      <c r="AA175" s="431"/>
      <c r="AB175" s="1278"/>
      <c r="AC175" s="1179"/>
      <c r="AD175" s="1179"/>
      <c r="AE175" s="1284"/>
      <c r="AF175" s="1179"/>
      <c r="AG175" s="1179"/>
      <c r="AH175" s="1179"/>
      <c r="AI175" s="1179"/>
      <c r="AJ175" s="1145"/>
      <c r="AK175" s="1145"/>
      <c r="AL175" s="1145"/>
      <c r="AM175" s="1145"/>
      <c r="AN175" s="1145"/>
      <c r="AO175" s="1145"/>
      <c r="AP175" s="1145"/>
      <c r="AQ175" s="1145"/>
      <c r="AR175" s="1145"/>
      <c r="AS175" s="1504"/>
      <c r="AT175" s="431"/>
      <c r="AU175" s="42"/>
      <c r="AV175" s="1732"/>
      <c r="AW175" s="42"/>
      <c r="AX175" s="42"/>
      <c r="AY175" s="42"/>
      <c r="AZ175" s="42"/>
      <c r="BA175" s="42"/>
      <c r="BB175" s="42"/>
      <c r="BN175" s="2197"/>
      <c r="BO175" s="2197"/>
      <c r="CI175" s="2197"/>
      <c r="CJ175" s="2197"/>
      <c r="CK175" s="2197"/>
      <c r="CL175" s="2197"/>
      <c r="CM175" s="2197"/>
    </row>
    <row r="176" spans="1:91" ht="14.25" customHeight="1">
      <c r="A176" s="588"/>
      <c r="B176" s="2235" t="s">
        <v>5537</v>
      </c>
      <c r="C176" s="2236"/>
      <c r="D176" s="2236"/>
      <c r="E176" s="2236"/>
      <c r="F176" s="2236"/>
      <c r="G176" s="2236"/>
      <c r="H176" s="2236"/>
      <c r="I176" s="2236"/>
      <c r="J176" s="2236"/>
      <c r="K176" s="2236"/>
      <c r="L176" s="2236"/>
      <c r="M176" s="2236"/>
      <c r="N176" s="2236"/>
      <c r="O176" s="2236"/>
      <c r="P176" s="2236"/>
      <c r="Q176" s="2236"/>
      <c r="R176" s="2236"/>
      <c r="S176" s="2236"/>
      <c r="T176" s="2236"/>
      <c r="U176" s="2236"/>
      <c r="V176" s="2236"/>
      <c r="W176" s="2236"/>
      <c r="X176" s="78"/>
      <c r="Y176" s="1185"/>
      <c r="Z176" s="431"/>
      <c r="AA176" s="431"/>
      <c r="AB176" s="2525" t="s">
        <v>399</v>
      </c>
      <c r="AC176" s="1179" t="s">
        <v>115</v>
      </c>
      <c r="AD176" s="1179"/>
      <c r="AE176" s="1179"/>
      <c r="AF176" s="1179"/>
      <c r="AG176" s="1179"/>
      <c r="AH176" s="1179"/>
      <c r="AI176" s="1179"/>
      <c r="AJ176" s="1411" t="s">
        <v>399</v>
      </c>
      <c r="AK176" s="2249">
        <f>SUM(AK172,AK174)</f>
        <v>0</v>
      </c>
      <c r="AL176" s="1145"/>
      <c r="AM176" s="2249">
        <f>SUM(AM172,AM174)</f>
        <v>0</v>
      </c>
      <c r="AN176" s="1145"/>
      <c r="AO176" s="2249">
        <f>SUM(AO172,AO174)</f>
        <v>0</v>
      </c>
      <c r="AP176" s="1145"/>
      <c r="AQ176" s="2249">
        <f>SUM(AQ172,AQ174)</f>
        <v>0</v>
      </c>
      <c r="AR176" s="1145"/>
      <c r="AS176" s="1504"/>
      <c r="AT176" s="431"/>
      <c r="AU176" s="42"/>
      <c r="AV176" s="1732"/>
      <c r="AW176" s="42"/>
      <c r="AX176" s="42"/>
      <c r="AY176" s="42"/>
      <c r="AZ176" s="42"/>
      <c r="BA176" s="42"/>
      <c r="BB176" s="42"/>
      <c r="BN176" s="2197"/>
      <c r="BO176" s="2197"/>
      <c r="CI176" s="2197"/>
      <c r="CJ176" s="2197"/>
      <c r="CK176" s="2197"/>
      <c r="CL176" s="2197"/>
      <c r="CM176" s="2197"/>
    </row>
    <row r="177" spans="1:93" ht="14.25" customHeight="1">
      <c r="A177" s="588"/>
      <c r="B177" s="8283" t="str">
        <f>IF(Q241="","Enter payment information below.  (Starting on row "&amp;ROW(Q241)&amp;".)","")</f>
        <v>Enter payment information below.  (Starting on row 241.)</v>
      </c>
      <c r="C177" s="8284"/>
      <c r="D177" s="8284"/>
      <c r="E177" s="8284"/>
      <c r="F177" s="8284"/>
      <c r="G177" s="8284"/>
      <c r="H177" s="8284"/>
      <c r="I177" s="8284"/>
      <c r="J177" s="8284"/>
      <c r="K177" s="8284"/>
      <c r="L177" s="8284"/>
      <c r="M177" s="8284"/>
      <c r="N177" s="8285"/>
      <c r="O177" s="1555"/>
      <c r="P177" s="8313" t="s">
        <v>1771</v>
      </c>
      <c r="Q177" s="8314"/>
      <c r="R177" s="8314"/>
      <c r="S177" s="8314"/>
      <c r="T177" s="8314"/>
      <c r="U177" s="8314"/>
      <c r="V177" s="8314"/>
      <c r="W177" s="8314"/>
      <c r="X177" s="78"/>
      <c r="Y177" s="1185"/>
      <c r="Z177" s="431"/>
      <c r="AA177" s="431"/>
      <c r="AB177" s="1278"/>
      <c r="AC177" s="1179"/>
      <c r="AD177" s="1179"/>
      <c r="AE177" s="1179"/>
      <c r="AF177" s="1179"/>
      <c r="AG177" s="1179"/>
      <c r="AH177" s="1179"/>
      <c r="AI177" s="1179"/>
      <c r="AJ177" s="1145"/>
      <c r="AK177" s="1145"/>
      <c r="AL177" s="1145"/>
      <c r="AM177" s="1145"/>
      <c r="AN177" s="1145"/>
      <c r="AO177" s="1145"/>
      <c r="AP177" s="1145"/>
      <c r="AQ177" s="1145"/>
      <c r="AR177" s="1145"/>
      <c r="AS177" s="1504"/>
      <c r="AT177" s="431"/>
      <c r="AU177" s="42"/>
      <c r="AV177" s="1732"/>
      <c r="AW177" s="42"/>
      <c r="AX177" s="42"/>
      <c r="AY177" s="42"/>
      <c r="AZ177" s="42"/>
      <c r="BA177" s="42"/>
      <c r="BB177" s="42"/>
    </row>
    <row r="178" spans="1:93" ht="14.25" customHeight="1">
      <c r="A178" s="588"/>
      <c r="B178" s="8286"/>
      <c r="C178" s="8287"/>
      <c r="D178" s="8287"/>
      <c r="E178" s="8287"/>
      <c r="F178" s="8287"/>
      <c r="G178" s="8287"/>
      <c r="H178" s="8287"/>
      <c r="I178" s="8287"/>
      <c r="J178" s="8287"/>
      <c r="K178" s="8287"/>
      <c r="L178" s="8287"/>
      <c r="M178" s="8287"/>
      <c r="N178" s="8288"/>
      <c r="O178" s="1558"/>
      <c r="P178" s="8033" t="s">
        <v>906</v>
      </c>
      <c r="Q178" s="8034"/>
      <c r="R178" s="8033" t="s">
        <v>908</v>
      </c>
      <c r="S178" s="8034"/>
      <c r="T178" s="8033" t="s">
        <v>1816</v>
      </c>
      <c r="U178" s="8219"/>
      <c r="V178" s="8033" t="s">
        <v>763</v>
      </c>
      <c r="W178" s="8216"/>
      <c r="X178" s="78"/>
      <c r="Y178" s="1185"/>
      <c r="Z178" s="431"/>
      <c r="AA178" s="431"/>
      <c r="AB178" s="2525" t="s">
        <v>31</v>
      </c>
      <c r="AC178" s="1179" t="str">
        <f>"Enter your 28% rate gain or loss expected for "&amp;TaxYear</f>
        <v>Enter your 28% rate gain or loss expected for 2021</v>
      </c>
      <c r="AD178" s="1179"/>
      <c r="AE178" s="1179"/>
      <c r="AF178" s="1179"/>
      <c r="AG178" s="1179"/>
      <c r="AH178" s="1179"/>
      <c r="AI178" s="1179"/>
      <c r="AJ178" s="1411" t="s">
        <v>31</v>
      </c>
      <c r="AK178" s="1600"/>
      <c r="AL178" s="1145"/>
      <c r="AM178" s="1600"/>
      <c r="AN178" s="1145"/>
      <c r="AO178" s="1600"/>
      <c r="AP178" s="1145"/>
      <c r="AQ178" s="1600"/>
      <c r="AR178" s="1145"/>
      <c r="AS178" s="1504"/>
      <c r="AT178" s="431"/>
      <c r="AU178" s="42"/>
      <c r="AV178" s="1732"/>
      <c r="AW178" s="42"/>
      <c r="AX178" s="42"/>
      <c r="AY178" s="42"/>
      <c r="AZ178" s="42"/>
      <c r="BA178" s="42"/>
      <c r="BB178" s="42"/>
      <c r="BY178" s="936"/>
    </row>
    <row r="179" spans="1:93" ht="14.25" customHeight="1">
      <c r="A179" s="588"/>
      <c r="B179" s="8286"/>
      <c r="C179" s="8287"/>
      <c r="D179" s="8287"/>
      <c r="E179" s="8287"/>
      <c r="F179" s="8287"/>
      <c r="G179" s="8287"/>
      <c r="H179" s="8287"/>
      <c r="I179" s="8287"/>
      <c r="J179" s="8287"/>
      <c r="K179" s="8287"/>
      <c r="L179" s="8287"/>
      <c r="M179" s="8287"/>
      <c r="N179" s="8288"/>
      <c r="O179" s="2194"/>
      <c r="P179" s="8222">
        <f>P73</f>
        <v>44301</v>
      </c>
      <c r="Q179" s="8223"/>
      <c r="R179" s="8222">
        <f>R73</f>
        <v>44362</v>
      </c>
      <c r="S179" s="8289"/>
      <c r="T179" s="8222">
        <f>T73</f>
        <v>44454</v>
      </c>
      <c r="U179" s="8223"/>
      <c r="V179" s="8222">
        <f>V73</f>
        <v>44576</v>
      </c>
      <c r="W179" s="8226"/>
      <c r="X179" s="78"/>
      <c r="Y179" s="1185"/>
      <c r="Z179" s="431"/>
      <c r="AA179" s="431"/>
      <c r="AB179" s="1278"/>
      <c r="AC179" s="1276"/>
      <c r="AD179" s="1179"/>
      <c r="AE179" s="1179"/>
      <c r="AF179" s="1179"/>
      <c r="AG179" s="1179"/>
      <c r="AH179" s="1179"/>
      <c r="AI179" s="1179"/>
      <c r="AJ179" s="1145"/>
      <c r="AK179" s="2243"/>
      <c r="AL179" s="1145"/>
      <c r="AM179" s="1145"/>
      <c r="AN179" s="1145"/>
      <c r="AO179" s="1145"/>
      <c r="AP179" s="1145"/>
      <c r="AQ179" s="1145"/>
      <c r="AR179" s="1145"/>
      <c r="AS179" s="1504"/>
      <c r="AT179" s="431"/>
      <c r="AU179" s="42"/>
      <c r="AV179" s="1732"/>
      <c r="AW179" s="42"/>
      <c r="AX179" s="42"/>
      <c r="AY179" s="42"/>
      <c r="AZ179" s="42"/>
      <c r="BA179" s="42"/>
      <c r="BB179" s="42"/>
      <c r="BY179" s="613"/>
    </row>
    <row r="180" spans="1:93" ht="14.25" customHeight="1">
      <c r="A180" s="588"/>
      <c r="B180" s="2237"/>
      <c r="C180" s="2198" t="s">
        <v>1820</v>
      </c>
      <c r="D180" s="2199" t="s">
        <v>5538</v>
      </c>
      <c r="E180" s="2200"/>
      <c r="F180" s="2200"/>
      <c r="G180" s="2200"/>
      <c r="H180" s="2200"/>
      <c r="I180" s="2200"/>
      <c r="J180" s="2200"/>
      <c r="K180" s="2200"/>
      <c r="L180" s="2200"/>
      <c r="M180" s="2200"/>
      <c r="N180" s="3883" t="s">
        <v>2910</v>
      </c>
      <c r="O180" s="2204" t="s">
        <v>12</v>
      </c>
      <c r="P180" s="8320" t="str">
        <f>P98</f>
        <v/>
      </c>
      <c r="Q180" s="8321"/>
      <c r="R180" s="8320" t="str">
        <f>R98</f>
        <v/>
      </c>
      <c r="S180" s="8321"/>
      <c r="T180" s="8320" t="str">
        <f>T98</f>
        <v/>
      </c>
      <c r="U180" s="8321"/>
      <c r="V180" s="8320" t="str">
        <f>V98</f>
        <v/>
      </c>
      <c r="W180" s="8323"/>
      <c r="X180" s="78"/>
      <c r="Y180" s="1185"/>
      <c r="Z180" s="431"/>
      <c r="AA180" s="431"/>
      <c r="AB180" s="2525" t="s">
        <v>67</v>
      </c>
      <c r="AC180" s="1179" t="str">
        <f>"Enter your unrecaptured section 1250 gain expected for "&amp;TaxYear</f>
        <v>Enter your unrecaptured section 1250 gain expected for 2021</v>
      </c>
      <c r="AD180" s="1179"/>
      <c r="AE180" s="1179"/>
      <c r="AF180" s="1179"/>
      <c r="AG180" s="1179"/>
      <c r="AH180" s="1179"/>
      <c r="AI180" s="1179"/>
      <c r="AJ180" s="1411" t="s">
        <v>67</v>
      </c>
      <c r="AK180" s="1600"/>
      <c r="AL180" s="1145"/>
      <c r="AM180" s="1600"/>
      <c r="AN180" s="1145"/>
      <c r="AO180" s="1600"/>
      <c r="AP180" s="1145"/>
      <c r="AQ180" s="1600"/>
      <c r="AR180" s="1145"/>
      <c r="AS180" s="1504"/>
      <c r="AT180" s="431"/>
      <c r="AU180" s="42"/>
      <c r="AV180" s="1732"/>
      <c r="AW180" s="42"/>
      <c r="AX180" s="42"/>
      <c r="AY180" s="42"/>
      <c r="AZ180" s="42"/>
      <c r="BA180" s="42"/>
      <c r="BB180" s="42"/>
      <c r="BY180" s="2197"/>
    </row>
    <row r="181" spans="1:93" ht="14.25" customHeight="1">
      <c r="A181" s="588"/>
      <c r="B181" s="2238"/>
      <c r="C181" s="2184"/>
      <c r="D181" s="7401" t="s">
        <v>1821</v>
      </c>
      <c r="E181" s="8238"/>
      <c r="F181" s="8238"/>
      <c r="G181" s="8238"/>
      <c r="H181" s="8238"/>
      <c r="I181" s="8238"/>
      <c r="J181" s="8238"/>
      <c r="K181" s="8238"/>
      <c r="L181" s="8238"/>
      <c r="M181" s="8238"/>
      <c r="N181" s="8239"/>
      <c r="O181" s="2195"/>
      <c r="P181" s="8318">
        <f>IF(ISERROR(LOOKUP(P182,$O$241:$O$295,$Q$241:$Q$295)),"",LOOKUP(P182,$O$241:$O$295,$Q$241:$Q$295))</f>
        <v>0</v>
      </c>
      <c r="Q181" s="8319"/>
      <c r="R181" s="8319" t="str">
        <f>IF(ISERROR(LOOKUP(R182,$O$241:$O$295,$Q$241:$Q$295)),"",LOOKUP(R182,$O$241:$O$295,$Q$241:$Q$295))</f>
        <v/>
      </c>
      <c r="S181" s="8319"/>
      <c r="T181" s="8319" t="str">
        <f>IF(ISERROR(LOOKUP(T182,$O$241:$O$295,$Q$241:$Q$295)),"",LOOKUP(T182,$O$241:$O$295,$Q$241:$Q$295))</f>
        <v/>
      </c>
      <c r="U181" s="8319"/>
      <c r="V181" s="8319" t="str">
        <f>IF(ISERROR(LOOKUP(V182,$O$241:$O$295,$Q$241:$Q$295)),"",LOOKUP(V182,$O$241:$O$295,$Q$241:$Q$295))</f>
        <v/>
      </c>
      <c r="W181" s="8319"/>
      <c r="X181" s="78"/>
      <c r="Y181" s="1185"/>
      <c r="Z181" s="431"/>
      <c r="AA181" s="431"/>
      <c r="AB181" s="1278"/>
      <c r="AC181" s="1179"/>
      <c r="AD181" s="1179"/>
      <c r="AE181" s="1284"/>
      <c r="AF181" s="1179"/>
      <c r="AG181" s="1179"/>
      <c r="AH181" s="1179"/>
      <c r="AI181" s="1179"/>
      <c r="AJ181" s="1145"/>
      <c r="AK181" s="1145"/>
      <c r="AL181" s="1145"/>
      <c r="AM181" s="1145"/>
      <c r="AN181" s="1145"/>
      <c r="AO181" s="1145"/>
      <c r="AP181" s="1145"/>
      <c r="AQ181" s="1145"/>
      <c r="AR181" s="1145"/>
      <c r="AS181" s="1504"/>
      <c r="AT181" s="431"/>
      <c r="AU181" s="42"/>
      <c r="AV181" s="1732"/>
      <c r="AW181" s="42"/>
      <c r="AX181" s="42"/>
      <c r="AY181" s="42"/>
      <c r="AZ181" s="42"/>
      <c r="BA181" s="42"/>
      <c r="BB181" s="42"/>
      <c r="BY181" s="2197"/>
    </row>
    <row r="182" spans="1:93" ht="14.25" customHeight="1">
      <c r="A182" s="588"/>
      <c r="B182" s="2239"/>
      <c r="C182" s="2203" t="s">
        <v>15</v>
      </c>
      <c r="D182" s="8234"/>
      <c r="E182" s="8234"/>
      <c r="F182" s="8234"/>
      <c r="G182" s="8234"/>
      <c r="H182" s="8234"/>
      <c r="I182" s="8234"/>
      <c r="J182" s="8234"/>
      <c r="K182" s="8234"/>
      <c r="L182" s="8234"/>
      <c r="M182" s="8234"/>
      <c r="N182" s="8235"/>
      <c r="O182" s="2205"/>
      <c r="P182" s="8305">
        <f>IF(LOOKUP(P183,$U$241:$U$295,$U$241:$U$295)=P183,LOOKUP(P183,$U$241:$U$295,$O$241:$O$295),LOOKUP(P183,$U$241:$U$295,$O$241:$O$295)-1)</f>
        <v>295</v>
      </c>
      <c r="Q182" s="8305"/>
      <c r="R182" s="8305" t="e">
        <f>IF(LOOKUP(R183,$U$241:$U$295,$U$241:$U$295)=R183,LOOKUP(R183,$U$241:$U$295,$O$241:$O$295),LOOKUP(R183,$U$241:$U$295,$O$241:$O$295)-1)</f>
        <v>#N/A</v>
      </c>
      <c r="S182" s="8305"/>
      <c r="T182" s="8305" t="e">
        <f>IF(LOOKUP(T183,$U$241:$U$295,$U$241:$U$295)=T183,LOOKUP(T183,$U$241:$U$295,$O$241:$O$295),LOOKUP(T183,$U$241:$U$295,$O$241:$O$295)-1)</f>
        <v>#N/A</v>
      </c>
      <c r="U182" s="8305"/>
      <c r="V182" s="8305" t="e">
        <f>IF(LOOKUP(V183,$U$241:$U$295,$U$241:$U$295)=V183,LOOKUP(V183,$U$241:$U$295,$O$241:$O$295),LOOKUP(V183,$U$241:$U$295,$O$241:$O$295)-1)</f>
        <v>#N/A</v>
      </c>
      <c r="W182" s="8305"/>
      <c r="X182" s="78"/>
      <c r="Y182" s="1185"/>
      <c r="Z182" s="431"/>
      <c r="AA182" s="431"/>
      <c r="AB182" s="2525" t="s">
        <v>68</v>
      </c>
      <c r="AC182" s="1276" t="s">
        <v>3393</v>
      </c>
      <c r="AD182" s="1179"/>
      <c r="AE182" s="1179"/>
      <c r="AF182" s="1179"/>
      <c r="AG182" s="1179"/>
      <c r="AH182" s="1179"/>
      <c r="AI182" s="1179"/>
      <c r="AJ182" s="1411" t="s">
        <v>68</v>
      </c>
      <c r="AK182" s="2249">
        <f>SUM(AK178,AK180)</f>
        <v>0</v>
      </c>
      <c r="AL182" s="1145"/>
      <c r="AM182" s="2249">
        <f>SUM(AM178,AM180)</f>
        <v>0</v>
      </c>
      <c r="AN182" s="1145"/>
      <c r="AO182" s="2249">
        <f>SUM(AO178,AO180)</f>
        <v>0</v>
      </c>
      <c r="AP182" s="1145"/>
      <c r="AQ182" s="2249">
        <f>SUM(AQ178,AQ180)</f>
        <v>0</v>
      </c>
      <c r="AR182" s="1145"/>
      <c r="AS182" s="1504"/>
      <c r="AT182" s="431"/>
      <c r="AU182" s="42"/>
      <c r="AV182" s="1732"/>
      <c r="AW182" s="42"/>
      <c r="AX182" s="42"/>
      <c r="AY182" s="42"/>
      <c r="AZ182" s="42"/>
      <c r="BA182" s="42"/>
      <c r="BB182" s="42"/>
      <c r="BY182" s="2197"/>
      <c r="CN182" s="936"/>
    </row>
    <row r="183" spans="1:93" ht="14.25" customHeight="1">
      <c r="A183" s="588"/>
      <c r="B183" s="2239"/>
      <c r="C183" s="2202"/>
      <c r="D183" s="8234"/>
      <c r="E183" s="8234"/>
      <c r="F183" s="8234"/>
      <c r="G183" s="8234"/>
      <c r="H183" s="8234"/>
      <c r="I183" s="8234"/>
      <c r="J183" s="8234"/>
      <c r="K183" s="8234"/>
      <c r="L183" s="8234"/>
      <c r="M183" s="8234"/>
      <c r="N183" s="8235"/>
      <c r="O183" s="2205"/>
      <c r="P183" s="8307" t="str">
        <f>P180</f>
        <v/>
      </c>
      <c r="Q183" s="8305"/>
      <c r="R183" s="8305">
        <f>SUM(P180,R180)</f>
        <v>0</v>
      </c>
      <c r="S183" s="8305"/>
      <c r="T183" s="8305">
        <f>SUM(P180,R180,T180)</f>
        <v>0</v>
      </c>
      <c r="U183" s="8305"/>
      <c r="V183" s="8305">
        <f>SUM(P180,R180,T180,V180)</f>
        <v>0</v>
      </c>
      <c r="W183" s="8305"/>
      <c r="X183" s="78"/>
      <c r="Y183" s="1185"/>
      <c r="Z183" s="431"/>
      <c r="AA183" s="431"/>
      <c r="AB183" s="1278"/>
      <c r="AC183" s="1276"/>
      <c r="AD183" s="1179"/>
      <c r="AE183" s="1179"/>
      <c r="AF183" s="1179"/>
      <c r="AG183" s="1179"/>
      <c r="AH183" s="1179"/>
      <c r="AI183" s="1179"/>
      <c r="AJ183" s="1145"/>
      <c r="AK183" s="2243"/>
      <c r="AL183" s="1145"/>
      <c r="AM183" s="1145"/>
      <c r="AN183" s="1145"/>
      <c r="AO183" s="1145"/>
      <c r="AP183" s="1145"/>
      <c r="AQ183" s="1145"/>
      <c r="AR183" s="1145"/>
      <c r="AS183" s="1504"/>
      <c r="AT183" s="431"/>
      <c r="AU183" s="42"/>
      <c r="AV183" s="1732"/>
      <c r="AW183" s="42"/>
      <c r="AX183" s="42"/>
      <c r="AY183" s="42"/>
      <c r="AZ183" s="42"/>
      <c r="BA183" s="42"/>
      <c r="BB183" s="42"/>
      <c r="CN183" s="613"/>
    </row>
    <row r="184" spans="1:93" ht="14.25" customHeight="1">
      <c r="A184" s="588"/>
      <c r="B184" s="2239"/>
      <c r="C184" s="2202"/>
      <c r="D184" s="8234"/>
      <c r="E184" s="8234"/>
      <c r="F184" s="8234"/>
      <c r="G184" s="8234"/>
      <c r="H184" s="8234"/>
      <c r="I184" s="8234"/>
      <c r="J184" s="8234"/>
      <c r="K184" s="8234"/>
      <c r="L184" s="8234"/>
      <c r="M184" s="8234"/>
      <c r="N184" s="8235"/>
      <c r="O184" s="2205"/>
      <c r="P184" s="8311" t="str">
        <f>IF($W$67,"",MIN(P180,LOOKUP(P185,$Q$241:$Q$295,$U$241:$U$295)))</f>
        <v/>
      </c>
      <c r="Q184" s="8312"/>
      <c r="R184" s="2741"/>
      <c r="S184" s="2741"/>
      <c r="T184" s="2741"/>
      <c r="U184" s="2741"/>
      <c r="V184" s="8322"/>
      <c r="W184" s="8322"/>
      <c r="X184" s="78"/>
      <c r="Y184" s="1185"/>
      <c r="Z184" s="431"/>
      <c r="AA184" s="431"/>
      <c r="AB184" s="2525" t="s">
        <v>204</v>
      </c>
      <c r="AC184" s="2246" t="s">
        <v>5557</v>
      </c>
      <c r="AD184" s="1853"/>
      <c r="AE184" s="2246"/>
      <c r="AF184" s="1179"/>
      <c r="AG184" s="1179"/>
      <c r="AH184" s="1179"/>
      <c r="AI184" s="1179"/>
      <c r="AJ184" s="1411" t="s">
        <v>204</v>
      </c>
      <c r="AK184" s="2249">
        <f>MIN(AK174,AK182)</f>
        <v>0</v>
      </c>
      <c r="AL184" s="1145"/>
      <c r="AM184" s="2249">
        <f>MIN(AM174,AM182)</f>
        <v>0</v>
      </c>
      <c r="AN184" s="1145"/>
      <c r="AO184" s="2249">
        <f>MIN(AO174,AO182)</f>
        <v>0</v>
      </c>
      <c r="AP184" s="1145"/>
      <c r="AQ184" s="2249">
        <f>MIN(AQ174,AQ182)</f>
        <v>0</v>
      </c>
      <c r="AR184" s="1145"/>
      <c r="AS184" s="1504"/>
      <c r="AT184" s="431"/>
      <c r="AU184" s="42"/>
      <c r="AV184" s="1732"/>
      <c r="AW184" s="42"/>
      <c r="AX184" s="42"/>
      <c r="AY184" s="42"/>
      <c r="AZ184" s="42"/>
      <c r="BA184" s="42"/>
      <c r="BB184" s="42"/>
      <c r="CN184" s="2197"/>
    </row>
    <row r="185" spans="1:93" ht="14.25" customHeight="1">
      <c r="A185" s="588"/>
      <c r="B185" s="2239"/>
      <c r="C185" s="2202"/>
      <c r="D185" s="8234"/>
      <c r="E185" s="8234"/>
      <c r="F185" s="8234"/>
      <c r="G185" s="8234"/>
      <c r="H185" s="8234"/>
      <c r="I185" s="8234"/>
      <c r="J185" s="8234"/>
      <c r="K185" s="8234"/>
      <c r="L185" s="8234"/>
      <c r="M185" s="8234"/>
      <c r="N185" s="8235"/>
      <c r="O185" s="2205"/>
      <c r="P185" s="8306" t="str">
        <f>IF($W$67,"",MAX(Q191,Q201,Q211,Q221))</f>
        <v/>
      </c>
      <c r="Q185" s="8306"/>
      <c r="R185" s="8306" t="str">
        <f>IF($W$67,"",MAX(S191,S201,S211,S221))</f>
        <v/>
      </c>
      <c r="S185" s="8306"/>
      <c r="T185" s="8306" t="str">
        <f>IF($W$67,"",MAX(U191,U201,U211,U221))</f>
        <v/>
      </c>
      <c r="U185" s="8306"/>
      <c r="V185" s="8306" t="str">
        <f>V181</f>
        <v/>
      </c>
      <c r="W185" s="8306"/>
      <c r="X185" s="78"/>
      <c r="Y185" s="1185"/>
      <c r="Z185" s="431"/>
      <c r="AA185" s="431"/>
      <c r="AB185" s="1278"/>
      <c r="AC185" s="1179"/>
      <c r="AD185" s="1179"/>
      <c r="AE185" s="1179"/>
      <c r="AF185" s="1179"/>
      <c r="AG185" s="1179"/>
      <c r="AH185" s="1179"/>
      <c r="AI185" s="1179"/>
      <c r="AJ185" s="1145"/>
      <c r="AK185" s="3975"/>
      <c r="AL185" s="3542"/>
      <c r="AM185" s="3542"/>
      <c r="AN185" s="3542"/>
      <c r="AO185" s="3542"/>
      <c r="AP185" s="3542"/>
      <c r="AQ185" s="3542"/>
      <c r="AR185" s="1145"/>
      <c r="AS185" s="1504"/>
      <c r="AT185" s="431"/>
      <c r="AU185" s="42"/>
      <c r="AV185" s="1732"/>
      <c r="AW185" s="42"/>
      <c r="AX185" s="42"/>
      <c r="AY185" s="42"/>
      <c r="AZ185" s="42"/>
      <c r="BA185" s="42"/>
      <c r="BB185" s="42"/>
      <c r="CN185" s="2197"/>
    </row>
    <row r="186" spans="1:93" ht="14.25" customHeight="1">
      <c r="A186" s="588"/>
      <c r="B186" s="2240"/>
      <c r="C186" s="2196"/>
      <c r="D186" s="8240"/>
      <c r="E186" s="8240"/>
      <c r="F186" s="8240"/>
      <c r="G186" s="8240"/>
      <c r="H186" s="8240"/>
      <c r="I186" s="8240"/>
      <c r="J186" s="8240"/>
      <c r="K186" s="8240"/>
      <c r="L186" s="8240"/>
      <c r="M186" s="8240"/>
      <c r="N186" s="8241"/>
      <c r="O186" s="2206" t="s">
        <v>1819</v>
      </c>
      <c r="P186" s="8308" t="str">
        <f>IF($W$67,"",MIN(P180,LOOKUP(P185,$Q$241:$Q$295,$U$241:$U$295)))</f>
        <v/>
      </c>
      <c r="Q186" s="8308"/>
      <c r="R186" s="8308" t="str">
        <f>IF(ISERROR(MIN(R180,LOOKUP(R185,$Q$241:$Q$295,$U$241:$U$295))),"",MIN(R180,LOOKUP(R185,$Q$241:$Q$295,$U$241:$U$295)))</f>
        <v/>
      </c>
      <c r="S186" s="8308"/>
      <c r="T186" s="8308" t="str">
        <f>IF(ISERROR(MIN(T180,LOOKUP(T185,$Q$241:$Q$295,$U$241:$U$295))),"",MIN(T180,LOOKUP(T185,$Q$241:$Q$295,$U$241:$U$295)))</f>
        <v/>
      </c>
      <c r="U186" s="8308"/>
      <c r="V186" s="8308" t="str">
        <f>IF(ISERROR(MIN(V180,LOOKUP(V185,$Q$241:$Q$295,$U$241:$U$295))),"",MIN(V180,LOOKUP(V185,$Q$241:$Q$295,$U$241:$U$295)))</f>
        <v/>
      </c>
      <c r="W186" s="8331"/>
      <c r="X186" s="78"/>
      <c r="Y186" s="1185"/>
      <c r="Z186" s="431"/>
      <c r="AA186" s="431"/>
      <c r="AB186" s="2525" t="s">
        <v>205</v>
      </c>
      <c r="AC186" s="1276" t="s">
        <v>5559</v>
      </c>
      <c r="AD186" s="1179"/>
      <c r="AE186" s="1179"/>
      <c r="AF186" s="1179"/>
      <c r="AG186" s="1179"/>
      <c r="AH186" s="1179"/>
      <c r="AI186" s="1179"/>
      <c r="AJ186" s="1411" t="s">
        <v>205</v>
      </c>
      <c r="AK186" s="2045">
        <f>SUM(AK176,-AK184)</f>
        <v>0</v>
      </c>
      <c r="AL186" s="3976"/>
      <c r="AM186" s="2045">
        <f>SUM(AM176,-AM184)</f>
        <v>0</v>
      </c>
      <c r="AN186" s="3976"/>
      <c r="AO186" s="2045">
        <f>SUM(AO176,-AO184)</f>
        <v>0</v>
      </c>
      <c r="AP186" s="3976"/>
      <c r="AQ186" s="2045">
        <f>SUM(AQ176,-AQ184)</f>
        <v>0</v>
      </c>
      <c r="AR186" s="1145"/>
      <c r="AS186" s="1504"/>
      <c r="AT186" s="431"/>
      <c r="AU186" s="42"/>
      <c r="AV186" s="1732"/>
      <c r="AW186" s="42"/>
      <c r="AX186" s="42"/>
      <c r="AY186" s="42"/>
      <c r="AZ186" s="42"/>
      <c r="BA186" s="42"/>
      <c r="BB186" s="42"/>
      <c r="CN186" s="2197"/>
      <c r="CO186" s="936"/>
    </row>
    <row r="187" spans="1:93" ht="14.25" customHeight="1">
      <c r="A187" s="636"/>
      <c r="B187" s="2239"/>
      <c r="C187" s="2207" t="s">
        <v>1826</v>
      </c>
      <c r="D187" s="2207"/>
      <c r="E187" s="2202"/>
      <c r="F187" s="2207" t="str">
        <f>TEXT(K188,"MMMM D, YYYY")&amp;"—"&amp;TEXT(K189,"MMMM D, YYYY")</f>
        <v>April 16, 2021—June 30, 2021</v>
      </c>
      <c r="G187" s="2202"/>
      <c r="H187" s="2202"/>
      <c r="I187" s="2202"/>
      <c r="J187" s="2202"/>
      <c r="K187" s="2202"/>
      <c r="L187" s="2202"/>
      <c r="M187" s="2202"/>
      <c r="N187" s="2208"/>
      <c r="O187" s="2230"/>
      <c r="P187" s="8236"/>
      <c r="Q187" s="8237"/>
      <c r="R187" s="8236"/>
      <c r="S187" s="8237"/>
      <c r="T187" s="2222"/>
      <c r="U187" s="2223"/>
      <c r="V187" s="2742"/>
      <c r="W187" s="3259"/>
      <c r="X187" s="655"/>
      <c r="Y187" s="1185"/>
      <c r="Z187" s="431"/>
      <c r="AA187" s="431"/>
      <c r="AB187" s="1278"/>
      <c r="AC187" s="1179"/>
      <c r="AD187" s="1179"/>
      <c r="AE187" s="1179"/>
      <c r="AF187" s="1179"/>
      <c r="AG187" s="1179"/>
      <c r="AH187" s="1179"/>
      <c r="AI187" s="1179"/>
      <c r="AJ187" s="1145"/>
      <c r="AK187" s="3977"/>
      <c r="AL187" s="3542"/>
      <c r="AM187" s="3977"/>
      <c r="AN187" s="3542"/>
      <c r="AO187" s="3977"/>
      <c r="AP187" s="3542"/>
      <c r="AQ187" s="3977"/>
      <c r="AR187" s="1145"/>
      <c r="AS187" s="1504"/>
      <c r="AT187" s="431"/>
      <c r="AU187" s="42"/>
      <c r="AV187" s="1732"/>
      <c r="AW187" s="42"/>
      <c r="AX187" s="42"/>
      <c r="AY187" s="42"/>
      <c r="AZ187" s="42"/>
      <c r="BA187" s="42"/>
      <c r="BB187" s="42"/>
      <c r="BN187" s="613"/>
      <c r="BO187" s="613"/>
      <c r="CI187" s="613"/>
      <c r="CJ187" s="613"/>
      <c r="CK187" s="613"/>
      <c r="CL187" s="613"/>
      <c r="CM187" s="613"/>
      <c r="CO187" s="613"/>
    </row>
    <row r="188" spans="1:93" ht="12.75" customHeight="1">
      <c r="A188" s="588"/>
      <c r="B188" s="2239"/>
      <c r="C188" s="2211">
        <v>2</v>
      </c>
      <c r="D188" s="2213" t="s">
        <v>1822</v>
      </c>
      <c r="E188" s="2202"/>
      <c r="F188" s="2202"/>
      <c r="G188" s="2202"/>
      <c r="H188" s="2202"/>
      <c r="I188" s="2202"/>
      <c r="J188" s="2202"/>
      <c r="K188" s="8248">
        <f>DATEVALUE("16-Apr-"&amp;TaxYear)</f>
        <v>44302</v>
      </c>
      <c r="L188" s="8249"/>
      <c r="M188" s="8249"/>
      <c r="N188" s="8250"/>
      <c r="O188" s="2215" t="s">
        <v>149</v>
      </c>
      <c r="P188" s="8242">
        <f>P73</f>
        <v>44301</v>
      </c>
      <c r="Q188" s="8243"/>
      <c r="R188" s="8242">
        <f>R73</f>
        <v>44362</v>
      </c>
      <c r="S188" s="8243"/>
      <c r="T188" s="3259"/>
      <c r="U188" s="5082"/>
      <c r="V188" s="2226"/>
      <c r="W188" s="3260"/>
      <c r="X188" s="78"/>
      <c r="Y188" s="1185"/>
      <c r="Z188" s="431"/>
      <c r="AA188" s="431"/>
      <c r="AB188" s="2525" t="s">
        <v>295</v>
      </c>
      <c r="AC188" s="1276" t="s">
        <v>5558</v>
      </c>
      <c r="AD188" s="1276"/>
      <c r="AE188" s="1276"/>
      <c r="AF188" s="1179"/>
      <c r="AG188" s="1179"/>
      <c r="AH188" s="1179"/>
      <c r="AI188" s="1179"/>
      <c r="AJ188" s="1411" t="s">
        <v>295</v>
      </c>
      <c r="AK188" s="1371">
        <f>MAX(0,SUM(AK170,-AK186))</f>
        <v>0</v>
      </c>
      <c r="AL188" s="3976"/>
      <c r="AM188" s="1371">
        <f>MAX(0,SUM(AM170,-AM186))</f>
        <v>0</v>
      </c>
      <c r="AN188" s="3976"/>
      <c r="AO188" s="1371">
        <f>MAX(0,SUM(AO170,-AO186))</f>
        <v>0</v>
      </c>
      <c r="AP188" s="3976"/>
      <c r="AQ188" s="1371">
        <f>MAX(0,SUM(AQ170,-AQ186))</f>
        <v>0</v>
      </c>
      <c r="AR188" s="1145"/>
      <c r="AS188" s="1504"/>
      <c r="AT188" s="431"/>
      <c r="AU188" s="42"/>
      <c r="AV188" s="1732"/>
      <c r="AW188" s="42"/>
      <c r="AX188" s="42"/>
      <c r="AY188" s="42"/>
      <c r="AZ188" s="42"/>
      <c r="BA188" s="42"/>
      <c r="BB188" s="42"/>
      <c r="CO188" s="2197"/>
    </row>
    <row r="189" spans="1:93" ht="12.75" customHeight="1">
      <c r="A189" s="588"/>
      <c r="B189" s="2239"/>
      <c r="C189" s="2256"/>
      <c r="D189" s="2256"/>
      <c r="E189" s="2256"/>
      <c r="F189" s="2256"/>
      <c r="G189" s="2256"/>
      <c r="H189" s="2256"/>
      <c r="I189" s="2256"/>
      <c r="J189" s="2256"/>
      <c r="K189" s="8248">
        <f>DATEVALUE("30-Jun-"&amp;TaxYear)</f>
        <v>44377</v>
      </c>
      <c r="L189" s="8249"/>
      <c r="M189" s="8249"/>
      <c r="N189" s="8250"/>
      <c r="O189" s="2205"/>
      <c r="P189" s="8244" t="s">
        <v>3108</v>
      </c>
      <c r="Q189" s="8245"/>
      <c r="R189" s="8244" t="s">
        <v>3108</v>
      </c>
      <c r="S189" s="8245"/>
      <c r="T189" s="3260"/>
      <c r="U189" s="2227"/>
      <c r="V189" s="2226"/>
      <c r="W189" s="3260"/>
      <c r="X189" s="78"/>
      <c r="Y189" s="1185"/>
      <c r="Z189" s="431"/>
      <c r="AA189" s="431"/>
      <c r="AB189" s="1278"/>
      <c r="AC189" s="1179"/>
      <c r="AD189" s="1179"/>
      <c r="AE189" s="1179"/>
      <c r="AF189" s="1179"/>
      <c r="AG189" s="1179"/>
      <c r="AH189" s="1179"/>
      <c r="AI189" s="1179"/>
      <c r="AJ189" s="1145"/>
      <c r="AK189" s="3975"/>
      <c r="AL189" s="3542"/>
      <c r="AM189" s="3542"/>
      <c r="AN189" s="3542"/>
      <c r="AO189" s="3542"/>
      <c r="AP189" s="3542"/>
      <c r="AQ189" s="3542"/>
      <c r="AR189" s="1145"/>
      <c r="AS189" s="1504"/>
      <c r="AT189" s="431"/>
      <c r="AU189" s="42"/>
      <c r="AV189" s="1732"/>
      <c r="AW189" s="42"/>
      <c r="AX189" s="42"/>
      <c r="AY189" s="42"/>
      <c r="AZ189" s="42"/>
      <c r="BA189" s="42"/>
      <c r="BB189" s="42"/>
      <c r="CO189" s="2197"/>
    </row>
    <row r="190" spans="1:93" ht="17.25" customHeight="1">
      <c r="A190" s="588"/>
      <c r="B190" s="2239"/>
      <c r="C190" s="2202"/>
      <c r="D190" s="2202"/>
      <c r="E190" s="2202"/>
      <c r="F190" s="2202"/>
      <c r="G190" s="2202"/>
      <c r="H190" s="2202"/>
      <c r="I190" s="2202"/>
      <c r="J190" s="2202"/>
      <c r="K190" s="2202"/>
      <c r="L190" s="2202"/>
      <c r="M190" s="2202"/>
      <c r="N190" s="2208"/>
      <c r="O190" s="2205"/>
      <c r="P190" s="3255"/>
      <c r="Q190" s="5783" t="str">
        <f>IF($W$67,"",LOOKUP(Q191,$Q$241:$Q$295,$U$241:$U$295))</f>
        <v/>
      </c>
      <c r="R190" s="3255"/>
      <c r="S190" s="5783" t="str">
        <f>IF($W$67,"",LOOKUP(S191,$Q$241:$Q$295,$U$241:$U$295))</f>
        <v/>
      </c>
      <c r="T190" s="3260"/>
      <c r="U190" s="2227"/>
      <c r="V190" s="2226"/>
      <c r="W190" s="3260"/>
      <c r="X190" s="78"/>
      <c r="Y190" s="1185"/>
      <c r="Z190" s="431"/>
      <c r="AA190" s="431"/>
      <c r="AB190" s="2525" t="s">
        <v>296</v>
      </c>
      <c r="AC190" s="1276" t="s">
        <v>355</v>
      </c>
      <c r="AD190" s="1179"/>
      <c r="AE190" s="1179"/>
      <c r="AF190" s="1179"/>
      <c r="AG190" s="1179"/>
      <c r="AH190" s="1145"/>
      <c r="AI190" s="1179"/>
      <c r="AJ190" s="1145"/>
      <c r="AK190" s="3978">
        <f>CGTW_Line6_SMFS</f>
        <v>40400</v>
      </c>
      <c r="AL190" s="3978"/>
      <c r="AM190" s="3978">
        <f>CGTW_Line6_MFJQW</f>
        <v>80800</v>
      </c>
      <c r="AN190" s="3975"/>
      <c r="AO190" s="3381">
        <f>CGTW_Line6_HOH</f>
        <v>54100</v>
      </c>
      <c r="AP190" s="3975"/>
      <c r="AQ190" s="3381">
        <f>IF(OR(File_Single&lt;&gt;"",File_Marr_Sep&lt;&gt;""),AK190,IF(OR(File_Marr_Joint&lt;&gt;"",File_Qual_Widow&lt;&gt;""),AM190,IF(File_Head&lt;&gt;"",AO190,0)))</f>
        <v>0</v>
      </c>
      <c r="AR190" s="1179"/>
      <c r="AS190" s="1504"/>
      <c r="AT190" s="431"/>
      <c r="AU190" s="42"/>
      <c r="AV190" s="1732"/>
      <c r="AW190" s="42"/>
      <c r="AX190" s="42"/>
      <c r="AY190" s="42"/>
      <c r="AZ190" s="42"/>
      <c r="BA190" s="42"/>
      <c r="BB190" s="42"/>
      <c r="CO190" s="2197"/>
    </row>
    <row r="191" spans="1:93" ht="16.5" customHeight="1">
      <c r="A191" s="588"/>
      <c r="B191" s="2239"/>
      <c r="C191" s="2211">
        <v>3</v>
      </c>
      <c r="D191" s="2212" t="s">
        <v>3109</v>
      </c>
      <c r="E191" s="2202"/>
      <c r="F191" s="2202"/>
      <c r="G191" s="2202"/>
      <c r="H191" s="2202"/>
      <c r="I191" s="2202"/>
      <c r="J191" s="2202"/>
      <c r="K191" s="2202"/>
      <c r="L191" s="2202"/>
      <c r="M191" s="2202"/>
      <c r="N191" s="2208"/>
      <c r="O191" s="2205"/>
      <c r="P191" s="2209"/>
      <c r="Q191" s="5782" t="str">
        <f>IF($W$67,"",IF(P$181&gt;$K189,$K189,P$181))</f>
        <v/>
      </c>
      <c r="R191" s="2209"/>
      <c r="S191" s="5782" t="str">
        <f>IF($W$67,"",IF(R$181&gt;$K189,$K189,R$181))</f>
        <v/>
      </c>
      <c r="T191" s="3260"/>
      <c r="U191" s="2227"/>
      <c r="V191" s="2226"/>
      <c r="W191" s="3260"/>
      <c r="X191" s="78"/>
      <c r="Y191" s="1185"/>
      <c r="Z191" s="431"/>
      <c r="AA191" s="431"/>
      <c r="AB191" s="1278"/>
      <c r="AC191" s="1179" t="str">
        <f>TEXT(AK190,"$0,000")&amp;" if single or married filing separately,"</f>
        <v>$40,400 if single or married filing separately,</v>
      </c>
      <c r="AD191" s="1179"/>
      <c r="AE191" s="1179"/>
      <c r="AF191" s="1179"/>
      <c r="AG191" s="1179"/>
      <c r="AH191" s="1179"/>
      <c r="AI191" s="1179"/>
      <c r="AJ191" s="1145"/>
      <c r="AK191" s="3542"/>
      <c r="AL191" s="3542"/>
      <c r="AM191" s="3542"/>
      <c r="AN191" s="3542"/>
      <c r="AO191" s="3542"/>
      <c r="AP191" s="3542"/>
      <c r="AQ191" s="3542"/>
      <c r="AR191" s="1145"/>
      <c r="AS191" s="1504"/>
      <c r="AT191" s="431"/>
      <c r="AU191" s="42"/>
      <c r="AV191" s="1732"/>
      <c r="AW191" s="42"/>
      <c r="AX191" s="42"/>
      <c r="AY191" s="42"/>
      <c r="AZ191" s="42"/>
      <c r="BA191" s="42"/>
      <c r="BB191" s="42"/>
    </row>
    <row r="192" spans="1:93" ht="13.5" customHeight="1">
      <c r="A192" s="588"/>
      <c r="B192" s="2239"/>
      <c r="C192" s="2202"/>
      <c r="D192" s="2212" t="s">
        <v>1837</v>
      </c>
      <c r="E192" s="2202"/>
      <c r="F192" s="2202"/>
      <c r="G192" s="2212" t="str">
        <f>TEXT(K189,"M/D/YY")&amp;", whichever is earlier"</f>
        <v>6/30/21, whichever is earlier</v>
      </c>
      <c r="H192" s="2202"/>
      <c r="I192" s="2202"/>
      <c r="J192" s="2202"/>
      <c r="K192" s="2202"/>
      <c r="L192" s="2202"/>
      <c r="M192" s="2202"/>
      <c r="N192" s="1355" t="s">
        <v>697</v>
      </c>
      <c r="O192" s="2220">
        <v>3</v>
      </c>
      <c r="P192" s="8303" t="str">
        <f>IF($W$67,"",IF(Q191-P188&lt;0,0,SUM(Q191,-P188)))</f>
        <v/>
      </c>
      <c r="Q192" s="8304"/>
      <c r="R192" s="8303" t="str">
        <f>IF($W$67,"",IF(S191-R188&lt;0,0,SUM(S191,-R188)))</f>
        <v/>
      </c>
      <c r="S192" s="8304"/>
      <c r="T192" s="3260"/>
      <c r="U192" s="2227"/>
      <c r="V192" s="2226"/>
      <c r="W192" s="3260"/>
      <c r="X192" s="78"/>
      <c r="Y192" s="1185"/>
      <c r="Z192" s="431"/>
      <c r="AA192" s="431"/>
      <c r="AB192" s="1278"/>
      <c r="AC192" s="1179" t="str">
        <f>TEXT(AM190,"$0,000")&amp;" if married filing jointly or qualifying widow(er),"</f>
        <v>$80,800 if married filing jointly or qualifying widow(er),</v>
      </c>
      <c r="AD192" s="1179"/>
      <c r="AE192" s="1276"/>
      <c r="AF192" s="1179"/>
      <c r="AG192" s="1179"/>
      <c r="AH192" s="1179"/>
      <c r="AI192" s="1179"/>
      <c r="AJ192" s="1411" t="s">
        <v>296</v>
      </c>
      <c r="AK192" s="2045">
        <f>AQ190</f>
        <v>0</v>
      </c>
      <c r="AL192" s="3976"/>
      <c r="AM192" s="2045">
        <f>AQ190</f>
        <v>0</v>
      </c>
      <c r="AN192" s="3976"/>
      <c r="AO192" s="2045">
        <f>AQ190</f>
        <v>0</v>
      </c>
      <c r="AP192" s="3976"/>
      <c r="AQ192" s="2045">
        <f>AQ190</f>
        <v>0</v>
      </c>
      <c r="AR192" s="1145"/>
      <c r="AS192" s="1504"/>
      <c r="AT192" s="431"/>
      <c r="AU192" s="42"/>
      <c r="AV192" s="1732"/>
      <c r="AW192" s="42"/>
      <c r="AX192" s="42"/>
      <c r="AY192" s="42"/>
      <c r="AZ192" s="42"/>
      <c r="BA192" s="42"/>
      <c r="BB192" s="42"/>
    </row>
    <row r="193" spans="1:95" ht="13.5" customHeight="1">
      <c r="A193" s="588"/>
      <c r="B193" s="2239"/>
      <c r="C193" s="2202"/>
      <c r="D193" s="2202"/>
      <c r="E193" s="2202"/>
      <c r="F193" s="2202"/>
      <c r="G193" s="2202"/>
      <c r="H193" s="2202"/>
      <c r="I193" s="2202"/>
      <c r="J193" s="2202"/>
      <c r="K193" s="2202"/>
      <c r="L193" s="2202"/>
      <c r="M193" s="2202"/>
      <c r="N193" s="2208"/>
      <c r="O193" s="2205"/>
      <c r="P193" s="2209"/>
      <c r="Q193" s="2210"/>
      <c r="R193" s="2209"/>
      <c r="S193" s="2210"/>
      <c r="T193" s="3260"/>
      <c r="U193" s="2227"/>
      <c r="V193" s="2226"/>
      <c r="W193" s="3260"/>
      <c r="X193" s="78"/>
      <c r="Y193" s="1185"/>
      <c r="Z193" s="431"/>
      <c r="AA193" s="431"/>
      <c r="AB193" s="1278"/>
      <c r="AC193" s="1276" t="s">
        <v>243</v>
      </c>
      <c r="AD193" s="1179"/>
      <c r="AE193" s="1179"/>
      <c r="AF193" s="1179"/>
      <c r="AG193" s="1179"/>
      <c r="AH193" s="1179"/>
      <c r="AI193" s="1179"/>
      <c r="AJ193" s="1145"/>
      <c r="AK193" s="3542"/>
      <c r="AL193" s="3542"/>
      <c r="AM193" s="3542"/>
      <c r="AN193" s="3542"/>
      <c r="AO193" s="3542"/>
      <c r="AP193" s="3542"/>
      <c r="AQ193" s="3542"/>
      <c r="AR193" s="1145"/>
      <c r="AS193" s="1504"/>
      <c r="AT193" s="431"/>
      <c r="AU193" s="42"/>
      <c r="AV193" s="1732"/>
      <c r="AW193" s="42"/>
      <c r="AX193" s="42"/>
      <c r="AY193" s="42"/>
      <c r="AZ193" s="42"/>
      <c r="BA193" s="42"/>
      <c r="BB193" s="42"/>
      <c r="BY193" s="613"/>
      <c r="CP193" s="936"/>
    </row>
    <row r="194" spans="1:95" ht="12.75" customHeight="1">
      <c r="A194" s="588"/>
      <c r="B194" s="2239"/>
      <c r="C194" s="2211">
        <v>4</v>
      </c>
      <c r="D194" s="2202"/>
      <c r="E194" s="1776" t="s">
        <v>1823</v>
      </c>
      <c r="F194" s="2202"/>
      <c r="G194" s="2202"/>
      <c r="H194" s="2212" t="s">
        <v>1583</v>
      </c>
      <c r="I194" s="2211"/>
      <c r="J194" s="2202"/>
      <c r="K194" s="2202"/>
      <c r="L194" s="2202"/>
      <c r="M194" s="2202"/>
      <c r="N194" s="2208"/>
      <c r="O194" s="2205"/>
      <c r="P194" s="3255"/>
      <c r="Q194" s="2210"/>
      <c r="R194" s="3255"/>
      <c r="S194" s="2210"/>
      <c r="T194" s="3260"/>
      <c r="U194" s="2227"/>
      <c r="V194" s="2226"/>
      <c r="W194" s="3260"/>
      <c r="X194" s="78"/>
      <c r="Y194" s="1185"/>
      <c r="Z194" s="431"/>
      <c r="AA194" s="431"/>
      <c r="AB194" s="2525"/>
      <c r="AC194" s="1276" t="str">
        <f>TEXT(AO190,"$0,000")&amp;" if head of household."</f>
        <v>$54,100 if head of household.</v>
      </c>
      <c r="AD194" s="1276"/>
      <c r="AE194" s="1179"/>
      <c r="AF194" s="1179"/>
      <c r="AG194" s="1179"/>
      <c r="AH194" s="1179"/>
      <c r="AI194" s="1179"/>
      <c r="AJ194" s="1145"/>
      <c r="AK194" s="3975"/>
      <c r="AL194" s="3542"/>
      <c r="AM194" s="3542"/>
      <c r="AN194" s="3542"/>
      <c r="AO194" s="3542"/>
      <c r="AP194" s="3542"/>
      <c r="AQ194" s="3542"/>
      <c r="AR194" s="1145"/>
      <c r="AS194" s="1504"/>
      <c r="AT194" s="431"/>
      <c r="AU194" s="42"/>
      <c r="AV194" s="1732"/>
      <c r="AW194" s="42"/>
      <c r="AX194" s="42"/>
      <c r="AY194" s="42"/>
      <c r="AZ194" s="42"/>
      <c r="BA194" s="42"/>
      <c r="BB194" s="42"/>
      <c r="CP194" s="613"/>
    </row>
    <row r="195" spans="1:95" ht="12.75" customHeight="1">
      <c r="A195" s="588"/>
      <c r="B195" s="2239"/>
      <c r="C195" s="2211"/>
      <c r="D195" s="2213"/>
      <c r="E195" s="1776" t="s">
        <v>1825</v>
      </c>
      <c r="F195" s="2202"/>
      <c r="G195" s="2201" t="s">
        <v>1202</v>
      </c>
      <c r="H195" s="2196"/>
      <c r="I195" s="1777" t="s">
        <v>1824</v>
      </c>
      <c r="J195" s="2196"/>
      <c r="K195" s="2216" t="s">
        <v>1202</v>
      </c>
      <c r="L195" s="8233">
        <v>0.03</v>
      </c>
      <c r="M195" s="8234"/>
      <c r="N195" s="8235"/>
      <c r="O195" s="2205"/>
      <c r="P195" s="2209"/>
      <c r="Q195" s="2210"/>
      <c r="R195" s="2209"/>
      <c r="S195" s="2210"/>
      <c r="T195" s="3260"/>
      <c r="U195" s="2227"/>
      <c r="V195" s="2226"/>
      <c r="W195" s="3260"/>
      <c r="X195" s="78"/>
      <c r="Y195" s="1185"/>
      <c r="Z195" s="431"/>
      <c r="AA195" s="431"/>
      <c r="AB195" s="1278"/>
      <c r="AC195" s="1179"/>
      <c r="AD195" s="1179"/>
      <c r="AE195" s="1179"/>
      <c r="AF195" s="1179"/>
      <c r="AG195" s="1179"/>
      <c r="AH195" s="1179"/>
      <c r="AI195" s="1179"/>
      <c r="AJ195" s="1145"/>
      <c r="AK195" s="3542"/>
      <c r="AL195" s="3542"/>
      <c r="AM195" s="3542"/>
      <c r="AN195" s="3542"/>
      <c r="AO195" s="3542"/>
      <c r="AP195" s="3542"/>
      <c r="AQ195" s="3542"/>
      <c r="AR195" s="1145"/>
      <c r="AS195" s="1504"/>
      <c r="AT195" s="431"/>
      <c r="AU195" s="42"/>
      <c r="AV195" s="1732"/>
      <c r="AW195" s="42"/>
      <c r="AX195" s="42"/>
      <c r="AY195" s="42"/>
      <c r="AZ195" s="42"/>
      <c r="BA195" s="42"/>
      <c r="BB195" s="42"/>
      <c r="CP195" s="2197"/>
    </row>
    <row r="196" spans="1:95" ht="13.5" customHeight="1">
      <c r="A196" s="588"/>
      <c r="B196" s="2240"/>
      <c r="C196" s="2196"/>
      <c r="D196" s="2217"/>
      <c r="E196" s="2196"/>
      <c r="F196" s="2196"/>
      <c r="G196" s="2196"/>
      <c r="H196" s="2196"/>
      <c r="I196" s="2219">
        <f>DaysInTaxYear</f>
        <v>365</v>
      </c>
      <c r="J196" s="2196"/>
      <c r="K196" s="2196"/>
      <c r="L196" s="2196"/>
      <c r="M196" s="2196"/>
      <c r="N196" s="2218"/>
      <c r="O196" s="2220">
        <v>4</v>
      </c>
      <c r="P196" s="8246" t="str">
        <f>IF($W$67,"",ROUND(P$186*P192/$I196*$L195,0))</f>
        <v/>
      </c>
      <c r="Q196" s="8247"/>
      <c r="R196" s="8246" t="str">
        <f>IF($W$67,"",ROUND(R$186*R192/$I196*$L195,0))</f>
        <v/>
      </c>
      <c r="S196" s="8247"/>
      <c r="T196" s="3261"/>
      <c r="U196" s="2229"/>
      <c r="V196" s="2226"/>
      <c r="W196" s="3260"/>
      <c r="X196" s="78"/>
      <c r="Y196" s="1185"/>
      <c r="Z196" s="431"/>
      <c r="AA196" s="431"/>
      <c r="AB196" s="2525" t="s">
        <v>297</v>
      </c>
      <c r="AC196" s="1276" t="s">
        <v>5549</v>
      </c>
      <c r="AD196" s="1179"/>
      <c r="AE196" s="1179"/>
      <c r="AF196" s="1179"/>
      <c r="AG196" s="1179"/>
      <c r="AH196" s="1179"/>
      <c r="AI196" s="1179"/>
      <c r="AJ196" s="1411" t="s">
        <v>297</v>
      </c>
      <c r="AK196" s="2045">
        <f>MIN(AK188,AK192)</f>
        <v>0</v>
      </c>
      <c r="AL196" s="3976"/>
      <c r="AM196" s="2045">
        <f>MIN(AM188,AM192)</f>
        <v>0</v>
      </c>
      <c r="AN196" s="3976"/>
      <c r="AO196" s="2045">
        <f>MIN(AO188,AO192)</f>
        <v>0</v>
      </c>
      <c r="AP196" s="3976"/>
      <c r="AQ196" s="2045">
        <f>MIN(AQ188,AQ192)</f>
        <v>0</v>
      </c>
      <c r="AR196" s="1411"/>
      <c r="AS196" s="1504"/>
      <c r="AT196" s="431"/>
      <c r="AU196" s="42"/>
      <c r="AV196" s="1732"/>
      <c r="AW196" s="42"/>
      <c r="AX196" s="42"/>
      <c r="AY196" s="42"/>
      <c r="AZ196" s="42"/>
      <c r="BA196" s="42"/>
      <c r="BB196" s="42"/>
      <c r="CP196" s="2197"/>
    </row>
    <row r="197" spans="1:95" ht="13.5" customHeight="1">
      <c r="A197" s="636"/>
      <c r="B197" s="2239"/>
      <c r="C197" s="2207" t="s">
        <v>1827</v>
      </c>
      <c r="D197" s="2207"/>
      <c r="E197" s="2202"/>
      <c r="F197" s="2207" t="str">
        <f>TEXT(K198,"MMMM D, YYYY")&amp;"—"&amp;TEXT(K199,"MMMM D, YYYY")</f>
        <v>July 1, 2021—September 30, 2021</v>
      </c>
      <c r="G197" s="2202"/>
      <c r="H197" s="2202"/>
      <c r="I197" s="2202"/>
      <c r="J197" s="2202"/>
      <c r="K197" s="2202"/>
      <c r="L197" s="2202"/>
      <c r="M197" s="2202"/>
      <c r="N197" s="2208"/>
      <c r="O197" s="2230"/>
      <c r="P197" s="8236"/>
      <c r="Q197" s="8237"/>
      <c r="R197" s="8236"/>
      <c r="S197" s="8237"/>
      <c r="T197" s="2222"/>
      <c r="U197" s="2223"/>
      <c r="V197" s="2226"/>
      <c r="W197" s="3260"/>
      <c r="X197" s="655"/>
      <c r="Y197" s="1185"/>
      <c r="Z197" s="431"/>
      <c r="AA197" s="431"/>
      <c r="AB197" s="1278"/>
      <c r="AC197" s="1179"/>
      <c r="AD197" s="1179"/>
      <c r="AE197" s="1179"/>
      <c r="AF197" s="1179"/>
      <c r="AG197" s="1179"/>
      <c r="AH197" s="1179"/>
      <c r="AI197" s="1179"/>
      <c r="AJ197" s="1145"/>
      <c r="AK197" s="3542"/>
      <c r="AL197" s="3542"/>
      <c r="AM197" s="3542"/>
      <c r="AN197" s="3542"/>
      <c r="AO197" s="3542"/>
      <c r="AP197" s="3542"/>
      <c r="AQ197" s="3542"/>
      <c r="AR197" s="1145"/>
      <c r="AS197" s="1504"/>
      <c r="AT197" s="431"/>
      <c r="AU197" s="42"/>
      <c r="AV197" s="1732"/>
      <c r="AW197" s="42"/>
      <c r="AX197" s="42"/>
      <c r="AY197" s="42"/>
      <c r="AZ197" s="42"/>
      <c r="BA197" s="42"/>
      <c r="BB197" s="42"/>
      <c r="BN197" s="613"/>
      <c r="BO197" s="613"/>
      <c r="CI197" s="613"/>
      <c r="CJ197" s="613"/>
      <c r="CK197" s="613"/>
      <c r="CL197" s="613"/>
      <c r="CM197" s="613"/>
      <c r="CN197" s="613"/>
      <c r="CP197" s="2197"/>
    </row>
    <row r="198" spans="1:95" ht="15">
      <c r="A198" s="588"/>
      <c r="B198" s="2239"/>
      <c r="C198" s="2211">
        <v>5</v>
      </c>
      <c r="D198" s="2213" t="s">
        <v>1822</v>
      </c>
      <c r="E198" s="2202"/>
      <c r="F198" s="2202"/>
      <c r="G198" s="2202"/>
      <c r="H198" s="2202"/>
      <c r="I198" s="2202"/>
      <c r="J198" s="2202"/>
      <c r="K198" s="8248">
        <f>DATEVALUE("1-Jul-"&amp;TaxYear)</f>
        <v>44378</v>
      </c>
      <c r="L198" s="8249"/>
      <c r="M198" s="8249"/>
      <c r="N198" s="8250"/>
      <c r="O198" s="2215">
        <v>5</v>
      </c>
      <c r="P198" s="8242">
        <f>$K189</f>
        <v>44377</v>
      </c>
      <c r="Q198" s="8243"/>
      <c r="R198" s="8242">
        <f>$K189</f>
        <v>44377</v>
      </c>
      <c r="S198" s="8243"/>
      <c r="T198" s="8242">
        <f>T179</f>
        <v>44454</v>
      </c>
      <c r="U198" s="8243"/>
      <c r="V198" s="2226"/>
      <c r="W198" s="3260"/>
      <c r="X198" s="78"/>
      <c r="Y198" s="1185"/>
      <c r="Z198" s="431"/>
      <c r="AA198" s="431"/>
      <c r="AB198" s="2525" t="s">
        <v>431</v>
      </c>
      <c r="AC198" s="1276" t="s">
        <v>5551</v>
      </c>
      <c r="AD198" s="1179"/>
      <c r="AE198" s="1179"/>
      <c r="AF198" s="1179"/>
      <c r="AG198" s="1179"/>
      <c r="AH198" s="1179"/>
      <c r="AI198" s="1179"/>
      <c r="AJ198" s="1411" t="s">
        <v>431</v>
      </c>
      <c r="AK198" s="2045">
        <f>MAX(0,SUM(AK170,-AK176))</f>
        <v>0</v>
      </c>
      <c r="AL198" s="3976"/>
      <c r="AM198" s="2045">
        <f>MAX(0,SUM(AM170,-AM176))</f>
        <v>0</v>
      </c>
      <c r="AN198" s="3976"/>
      <c r="AO198" s="2045">
        <f>MAX(0,SUM(AO170,-AO176))</f>
        <v>0</v>
      </c>
      <c r="AP198" s="3976"/>
      <c r="AQ198" s="2045">
        <f>MAX(0,SUM(AQ170,-AQ176))</f>
        <v>0</v>
      </c>
      <c r="AR198" s="1411"/>
      <c r="AS198" s="1504"/>
      <c r="AT198" s="431"/>
      <c r="AU198" s="42"/>
      <c r="AV198" s="1732"/>
      <c r="AW198" s="42"/>
      <c r="AX198" s="42"/>
      <c r="AY198" s="42"/>
      <c r="AZ198" s="42"/>
      <c r="BA198" s="42"/>
      <c r="BB198" s="42"/>
    </row>
    <row r="199" spans="1:95" ht="13.5" customHeight="1">
      <c r="A199" s="588"/>
      <c r="B199" s="2239"/>
      <c r="C199" s="2202"/>
      <c r="D199" s="2202"/>
      <c r="E199" s="2202"/>
      <c r="F199" s="2202"/>
      <c r="G199" s="2202"/>
      <c r="H199" s="2202"/>
      <c r="I199" s="2202"/>
      <c r="J199" s="2202"/>
      <c r="K199" s="8248">
        <f>DATEVALUE("30-Sep-"&amp;TaxYear)</f>
        <v>44469</v>
      </c>
      <c r="L199" s="8249"/>
      <c r="M199" s="8249"/>
      <c r="N199" s="8250"/>
      <c r="O199" s="2205"/>
      <c r="P199" s="8244" t="s">
        <v>3108</v>
      </c>
      <c r="Q199" s="8245"/>
      <c r="R199" s="8244" t="s">
        <v>3108</v>
      </c>
      <c r="S199" s="8245"/>
      <c r="T199" s="8244" t="s">
        <v>3108</v>
      </c>
      <c r="U199" s="8245"/>
      <c r="V199" s="2226"/>
      <c r="W199" s="3260"/>
      <c r="X199" s="78"/>
      <c r="Y199" s="1185"/>
      <c r="Z199" s="431"/>
      <c r="AA199" s="431"/>
      <c r="AB199" s="1278"/>
      <c r="AC199" s="1179"/>
      <c r="AD199" s="1179"/>
      <c r="AE199" s="1179"/>
      <c r="AF199" s="1179"/>
      <c r="AG199" s="1179"/>
      <c r="AH199" s="1179"/>
      <c r="AI199" s="1179"/>
      <c r="AJ199" s="1145"/>
      <c r="AK199" s="3542"/>
      <c r="AL199" s="3542"/>
      <c r="AM199" s="3542"/>
      <c r="AN199" s="3542"/>
      <c r="AO199" s="3542"/>
      <c r="AP199" s="3542"/>
      <c r="AQ199" s="3542"/>
      <c r="AR199" s="1145"/>
      <c r="AS199" s="1504"/>
      <c r="AT199" s="431"/>
      <c r="AU199" s="42"/>
      <c r="AV199" s="1732"/>
      <c r="AW199" s="42"/>
      <c r="AX199" s="42"/>
      <c r="AY199" s="42"/>
      <c r="AZ199" s="42"/>
      <c r="BA199" s="42"/>
      <c r="BB199" s="42"/>
    </row>
    <row r="200" spans="1:95" ht="13.5" customHeight="1">
      <c r="A200" s="588"/>
      <c r="B200" s="2239"/>
      <c r="C200" s="2202"/>
      <c r="D200" s="2202"/>
      <c r="E200" s="2202"/>
      <c r="F200" s="2202"/>
      <c r="G200" s="2202"/>
      <c r="H200" s="2202"/>
      <c r="I200" s="2202"/>
      <c r="J200" s="2202"/>
      <c r="K200" s="2202"/>
      <c r="L200" s="2202"/>
      <c r="M200" s="2202"/>
      <c r="N200" s="2208"/>
      <c r="O200" s="2205"/>
      <c r="P200" s="3255"/>
      <c r="Q200" s="5783" t="str">
        <f>IF($W$67,"",LOOKUP(Q201,$Q$241:$Q$295,$U$241:$U$295))</f>
        <v/>
      </c>
      <c r="R200" s="3255"/>
      <c r="S200" s="5783" t="str">
        <f>IF($W$67,"",LOOKUP(S201,$Q$241:$Q$295,$U$241:$U$295))</f>
        <v/>
      </c>
      <c r="T200" s="3255"/>
      <c r="U200" s="5783" t="str">
        <f>IF($W$67,"",LOOKUP(U201,$Q$241:$Q$295,$U$241:$U$295))</f>
        <v/>
      </c>
      <c r="V200" s="2226"/>
      <c r="W200" s="3260"/>
      <c r="X200" s="78"/>
      <c r="Y200" s="1185"/>
      <c r="Z200" s="431"/>
      <c r="AA200" s="431"/>
      <c r="AB200" s="2525" t="s">
        <v>432</v>
      </c>
      <c r="AC200" s="1276" t="s">
        <v>5544</v>
      </c>
      <c r="AD200" s="1283"/>
      <c r="AE200" s="1179"/>
      <c r="AF200" s="1179"/>
      <c r="AG200" s="1179"/>
      <c r="AH200" s="1179"/>
      <c r="AI200" s="1179"/>
      <c r="AJ200" s="1411" t="s">
        <v>432</v>
      </c>
      <c r="AK200" s="2045">
        <f>MIN(AK188,AK196)</f>
        <v>0</v>
      </c>
      <c r="AL200" s="3976"/>
      <c r="AM200" s="2045">
        <f>MIN(AM188,AM196)</f>
        <v>0</v>
      </c>
      <c r="AN200" s="3976"/>
      <c r="AO200" s="2045">
        <f>MIN(AO188,AO196)</f>
        <v>0</v>
      </c>
      <c r="AP200" s="3976"/>
      <c r="AQ200" s="2045">
        <f>MIN(AQ188,AQ196)</f>
        <v>0</v>
      </c>
      <c r="AR200" s="1145"/>
      <c r="AS200" s="1504"/>
      <c r="AT200" s="431"/>
      <c r="AU200" s="42"/>
      <c r="AV200" s="1732"/>
      <c r="AW200" s="42"/>
      <c r="AX200" s="42"/>
      <c r="AY200" s="42"/>
      <c r="AZ200" s="42"/>
      <c r="BA200" s="42"/>
      <c r="BB200" s="42"/>
    </row>
    <row r="201" spans="1:95" ht="16.5" customHeight="1">
      <c r="A201" s="588"/>
      <c r="B201" s="2239"/>
      <c r="C201" s="2211">
        <v>6</v>
      </c>
      <c r="D201" s="2212" t="s">
        <v>3110</v>
      </c>
      <c r="E201" s="2202"/>
      <c r="F201" s="2202"/>
      <c r="G201" s="2202"/>
      <c r="H201" s="2202"/>
      <c r="I201" s="2202"/>
      <c r="J201" s="2202"/>
      <c r="K201" s="2202"/>
      <c r="L201" s="2202"/>
      <c r="M201" s="2202"/>
      <c r="N201" s="2208"/>
      <c r="O201" s="2205"/>
      <c r="P201" s="2209"/>
      <c r="Q201" s="5782" t="str">
        <f>IF($W$67,"",IF(P$181&gt;$K199,$K199,P$181))</f>
        <v/>
      </c>
      <c r="R201" s="2209"/>
      <c r="S201" s="5782" t="str">
        <f>IF($W$67,"",IF(R$181&gt;$K199,$K199,R$181))</f>
        <v/>
      </c>
      <c r="T201" s="2209"/>
      <c r="U201" s="5782" t="str">
        <f>IF($W$67,"",IF(T$181&gt;$K199,$K199,T$181))</f>
        <v/>
      </c>
      <c r="V201" s="2226"/>
      <c r="W201" s="3260"/>
      <c r="X201" s="78"/>
      <c r="Y201" s="1185"/>
      <c r="Z201" s="431"/>
      <c r="AA201" s="431"/>
      <c r="AB201" s="1278"/>
      <c r="AC201" s="1283" t="s">
        <v>5545</v>
      </c>
      <c r="AD201" s="1276"/>
      <c r="AE201" s="1276"/>
      <c r="AF201" s="1179"/>
      <c r="AG201" s="1179"/>
      <c r="AH201" s="1179"/>
      <c r="AI201" s="1179"/>
      <c r="AJ201" s="1145"/>
      <c r="AK201" s="3886" t="b">
        <f>AK192=AK196</f>
        <v>1</v>
      </c>
      <c r="AL201" s="3975"/>
      <c r="AM201" s="3886" t="b">
        <f>AM192=AM196</f>
        <v>1</v>
      </c>
      <c r="AN201" s="3975"/>
      <c r="AO201" s="3886" t="b">
        <f>AO192=AO196</f>
        <v>1</v>
      </c>
      <c r="AP201" s="3975"/>
      <c r="AQ201" s="3886" t="b">
        <f>AQ192=AQ196</f>
        <v>1</v>
      </c>
      <c r="AR201" s="1411"/>
      <c r="AS201" s="1504"/>
      <c r="AT201" s="431"/>
      <c r="AU201" s="42"/>
      <c r="AV201" s="1732"/>
      <c r="AW201" s="42"/>
      <c r="AX201" s="42"/>
      <c r="AY201" s="42"/>
      <c r="AZ201" s="42"/>
      <c r="BA201" s="42"/>
      <c r="BB201" s="42"/>
      <c r="CO201" s="613"/>
    </row>
    <row r="202" spans="1:95" ht="15">
      <c r="A202" s="588"/>
      <c r="B202" s="2239"/>
      <c r="C202" s="2202"/>
      <c r="D202" s="2212" t="s">
        <v>1837</v>
      </c>
      <c r="E202" s="2202"/>
      <c r="F202" s="2202"/>
      <c r="G202" s="2212" t="str">
        <f>"9/30/"&amp;TaxYear-2000&amp;", whichever is earlier"</f>
        <v>9/30/21, whichever is earlier</v>
      </c>
      <c r="H202" s="2202"/>
      <c r="I202" s="2202"/>
      <c r="J202" s="2202"/>
      <c r="K202" s="2202"/>
      <c r="L202" s="2202"/>
      <c r="M202" s="2202"/>
      <c r="N202" s="1355" t="s">
        <v>697</v>
      </c>
      <c r="O202" s="2220">
        <v>6</v>
      </c>
      <c r="P202" s="8303" t="str">
        <f>IF($W$67,"",IF(Q201-P198&lt;0,0,SUM(Q201,-P198)))</f>
        <v/>
      </c>
      <c r="Q202" s="8304"/>
      <c r="R202" s="8303" t="str">
        <f>IF($W$67,"",IF(S201-R198&lt;0,0,SUM(S201,-R198)))</f>
        <v/>
      </c>
      <c r="S202" s="8304"/>
      <c r="T202" s="8303" t="str">
        <f>IF($W$67,"",IF(U201-T198&lt;0,0,SUM(U201,-T198)))</f>
        <v/>
      </c>
      <c r="U202" s="8304"/>
      <c r="V202" s="2226"/>
      <c r="W202" s="3260"/>
      <c r="X202" s="78"/>
      <c r="Y202" s="1185"/>
      <c r="Z202" s="431"/>
      <c r="AA202" s="431"/>
      <c r="AB202" s="2525"/>
      <c r="AC202" s="1179"/>
      <c r="AD202" s="1179"/>
      <c r="AE202" s="1276" t="s">
        <v>5546</v>
      </c>
      <c r="AF202" s="1179"/>
      <c r="AG202" s="1179"/>
      <c r="AH202" s="1179"/>
      <c r="AI202" s="1179"/>
      <c r="AJ202" s="1145"/>
      <c r="AK202" s="3542"/>
      <c r="AL202" s="3542"/>
      <c r="AM202" s="3542"/>
      <c r="AN202" s="3542"/>
      <c r="AO202" s="3542"/>
      <c r="AP202" s="3542"/>
      <c r="AQ202" s="3542"/>
      <c r="AR202" s="1145"/>
      <c r="AS202" s="1504"/>
      <c r="AT202" s="431"/>
      <c r="AU202" s="42"/>
      <c r="AV202" s="1732"/>
      <c r="AW202" s="42"/>
      <c r="AX202" s="42"/>
      <c r="AY202" s="42"/>
      <c r="AZ202" s="42"/>
      <c r="BA202" s="42"/>
      <c r="BB202" s="42"/>
      <c r="CQ202" s="936"/>
    </row>
    <row r="203" spans="1:95" ht="12" customHeight="1">
      <c r="A203" s="588"/>
      <c r="B203" s="2239"/>
      <c r="C203" s="2202"/>
      <c r="D203" s="2202"/>
      <c r="E203" s="2202"/>
      <c r="F203" s="2202"/>
      <c r="G203" s="2202"/>
      <c r="H203" s="2202"/>
      <c r="I203" s="2202"/>
      <c r="J203" s="2202"/>
      <c r="K203" s="2202"/>
      <c r="L203" s="2202"/>
      <c r="M203" s="2202"/>
      <c r="N203" s="2208"/>
      <c r="O203" s="2205"/>
      <c r="P203" s="2209"/>
      <c r="Q203" s="2210"/>
      <c r="R203" s="2209"/>
      <c r="S203" s="2210"/>
      <c r="T203" s="2209"/>
      <c r="U203" s="2210"/>
      <c r="V203" s="2226"/>
      <c r="W203" s="3260"/>
      <c r="X203" s="78"/>
      <c r="Y203" s="1185"/>
      <c r="Z203" s="431"/>
      <c r="AA203" s="431"/>
      <c r="AB203" s="2525"/>
      <c r="AC203" s="1179"/>
      <c r="AD203" s="1179"/>
      <c r="AE203" s="1276"/>
      <c r="AF203" s="1179"/>
      <c r="AG203" s="1179"/>
      <c r="AH203" s="1179"/>
      <c r="AI203" s="1179"/>
      <c r="AJ203" s="1145"/>
      <c r="AK203" s="3542"/>
      <c r="AL203" s="3542"/>
      <c r="AM203" s="3542"/>
      <c r="AN203" s="3542"/>
      <c r="AO203" s="3542"/>
      <c r="AP203" s="3542"/>
      <c r="AQ203" s="3542"/>
      <c r="AR203" s="1145"/>
      <c r="AS203" s="1504"/>
      <c r="AT203" s="431"/>
      <c r="AU203" s="42"/>
      <c r="AV203" s="1732"/>
      <c r="AW203" s="42"/>
      <c r="AX203" s="42"/>
      <c r="AY203" s="42"/>
      <c r="AZ203" s="42"/>
      <c r="BA203" s="42"/>
      <c r="BB203" s="42"/>
      <c r="BY203" s="613"/>
      <c r="CQ203" s="613"/>
    </row>
    <row r="204" spans="1:95" ht="12.75" customHeight="1">
      <c r="A204" s="588"/>
      <c r="B204" s="2239"/>
      <c r="C204" s="2211">
        <v>7</v>
      </c>
      <c r="D204" s="2202"/>
      <c r="E204" s="1776" t="s">
        <v>1823</v>
      </c>
      <c r="F204" s="2202"/>
      <c r="G204" s="2202"/>
      <c r="H204" s="2212" t="s">
        <v>1583</v>
      </c>
      <c r="I204" s="2211"/>
      <c r="J204" s="2202"/>
      <c r="K204" s="2202"/>
      <c r="L204" s="2202"/>
      <c r="M204" s="2202"/>
      <c r="N204" s="2208"/>
      <c r="O204" s="2205"/>
      <c r="P204" s="3255"/>
      <c r="Q204" s="2210"/>
      <c r="R204" s="3255"/>
      <c r="S204" s="2210"/>
      <c r="T204" s="2209"/>
      <c r="U204" s="2210"/>
      <c r="V204" s="2226"/>
      <c r="W204" s="3260"/>
      <c r="X204" s="78"/>
      <c r="Y204" s="1185"/>
      <c r="Z204" s="431"/>
      <c r="AA204" s="431"/>
      <c r="AB204" s="2525" t="s">
        <v>433</v>
      </c>
      <c r="AC204" s="1276" t="s">
        <v>5550</v>
      </c>
      <c r="AD204" s="1276"/>
      <c r="AE204" s="1179"/>
      <c r="AF204" s="1179"/>
      <c r="AG204" s="1179"/>
      <c r="AH204" s="1179"/>
      <c r="AI204" s="1179"/>
      <c r="AJ204" s="1411" t="s">
        <v>433</v>
      </c>
      <c r="AK204" s="2045" t="str">
        <f>IF(AK201,"",SUM(AK192,-AK196))</f>
        <v/>
      </c>
      <c r="AL204" s="3976"/>
      <c r="AM204" s="2045" t="str">
        <f>IF(AM201,"",SUM(AM192,-AM196))</f>
        <v/>
      </c>
      <c r="AN204" s="3976"/>
      <c r="AO204" s="2045" t="str">
        <f>IF(AO201,"",SUM(AO192,-AO196))</f>
        <v/>
      </c>
      <c r="AP204" s="3976"/>
      <c r="AQ204" s="2045" t="str">
        <f>IF(AQ201,"",SUM(AQ192,-AQ196))</f>
        <v/>
      </c>
      <c r="AR204" s="1145"/>
      <c r="AS204" s="1504"/>
      <c r="AT204" s="431"/>
      <c r="AU204" s="42"/>
      <c r="AV204" s="1732"/>
      <c r="AW204" s="42"/>
      <c r="AX204" s="42"/>
      <c r="AY204" s="42"/>
      <c r="AZ204" s="42"/>
      <c r="BA204" s="42"/>
      <c r="BB204" s="42"/>
      <c r="CQ204" s="2197"/>
    </row>
    <row r="205" spans="1:95" ht="15">
      <c r="A205" s="588"/>
      <c r="B205" s="2239"/>
      <c r="C205" s="2211"/>
      <c r="D205" s="2213"/>
      <c r="E205" s="1776" t="s">
        <v>1825</v>
      </c>
      <c r="F205" s="2202"/>
      <c r="G205" s="2201" t="s">
        <v>1202</v>
      </c>
      <c r="H205" s="2196"/>
      <c r="I205" s="1777" t="s">
        <v>3112</v>
      </c>
      <c r="J205" s="2196"/>
      <c r="K205" s="2216" t="s">
        <v>1202</v>
      </c>
      <c r="L205" s="8233">
        <v>0.03</v>
      </c>
      <c r="M205" s="8234"/>
      <c r="N205" s="8235"/>
      <c r="O205" s="2205"/>
      <c r="P205" s="2209"/>
      <c r="Q205" s="2210"/>
      <c r="R205" s="2209"/>
      <c r="S205" s="2210"/>
      <c r="T205" s="2209"/>
      <c r="U205" s="2210"/>
      <c r="V205" s="2226"/>
      <c r="W205" s="3260"/>
      <c r="X205" s="78"/>
      <c r="Y205" s="1185"/>
      <c r="Z205" s="431"/>
      <c r="AA205" s="431"/>
      <c r="AB205" s="1278"/>
      <c r="AC205" s="1276" t="s">
        <v>5547</v>
      </c>
      <c r="AD205" s="1276"/>
      <c r="AE205" s="1179"/>
      <c r="AF205" s="1179"/>
      <c r="AG205" s="1179"/>
      <c r="AH205" s="1179"/>
      <c r="AI205" s="1179"/>
      <c r="AJ205" s="1145"/>
      <c r="AK205" s="3886" t="b">
        <f>OR(AK170=AK196)</f>
        <v>1</v>
      </c>
      <c r="AL205" s="3975"/>
      <c r="AM205" s="3886" t="b">
        <f>OR(AM170=AM196)</f>
        <v>1</v>
      </c>
      <c r="AN205" s="3975"/>
      <c r="AO205" s="3886" t="b">
        <f>OR(AO170=AO196)</f>
        <v>1</v>
      </c>
      <c r="AP205" s="3975"/>
      <c r="AQ205" s="3886" t="b">
        <f>OR(AQ170=AQ196)</f>
        <v>1</v>
      </c>
      <c r="AR205" s="1411"/>
      <c r="AS205" s="1504"/>
      <c r="AT205" s="431"/>
      <c r="AU205" s="42"/>
      <c r="AV205" s="1732"/>
      <c r="AW205" s="42"/>
      <c r="AX205" s="42"/>
      <c r="AY205" s="42"/>
      <c r="AZ205" s="42"/>
      <c r="BA205" s="42"/>
      <c r="BB205" s="42"/>
      <c r="CQ205" s="2197"/>
    </row>
    <row r="206" spans="1:95" ht="15">
      <c r="A206" s="588"/>
      <c r="B206" s="2240"/>
      <c r="C206" s="2196"/>
      <c r="D206" s="2217"/>
      <c r="E206" s="2196"/>
      <c r="F206" s="2196"/>
      <c r="G206" s="2196"/>
      <c r="H206" s="2196"/>
      <c r="I206" s="2219">
        <f>DaysInTaxYear</f>
        <v>365</v>
      </c>
      <c r="J206" s="2196"/>
      <c r="K206" s="2196"/>
      <c r="L206" s="2196"/>
      <c r="M206" s="2196"/>
      <c r="N206" s="2218"/>
      <c r="O206" s="2220">
        <v>7</v>
      </c>
      <c r="P206" s="8246" t="str">
        <f>IF($W$67,"",ROUND(P$186*P202/I206*L205,0))</f>
        <v/>
      </c>
      <c r="Q206" s="8247"/>
      <c r="R206" s="8246" t="str">
        <f>IF($W$67,"",ROUND(R$186*R202/$I206*$L205,0))</f>
        <v/>
      </c>
      <c r="S206" s="8247"/>
      <c r="T206" s="8246" t="str">
        <f>IF($W$67,"",ROUND(T$186*T202/$I206*$L205,0))</f>
        <v/>
      </c>
      <c r="U206" s="8247"/>
      <c r="V206" s="2226"/>
      <c r="W206" s="3260"/>
      <c r="X206" s="78"/>
      <c r="Y206" s="1185"/>
      <c r="Z206" s="431"/>
      <c r="AA206" s="431"/>
      <c r="AB206" s="1278"/>
      <c r="AC206" s="1276"/>
      <c r="AD206" s="1276"/>
      <c r="AE206" s="1276" t="s">
        <v>5548</v>
      </c>
      <c r="AF206" s="1179"/>
      <c r="AG206" s="1179"/>
      <c r="AH206" s="1179"/>
      <c r="AI206" s="1179"/>
      <c r="AJ206" s="1145"/>
      <c r="AK206" s="3886" t="b">
        <f>OR(AK205,AM205,AO205,AQ205)</f>
        <v>1</v>
      </c>
      <c r="AL206" s="3542"/>
      <c r="AM206" s="3542"/>
      <c r="AN206" s="3542"/>
      <c r="AO206" s="3542"/>
      <c r="AP206" s="3542"/>
      <c r="AQ206" s="3542"/>
      <c r="AR206" s="1411"/>
      <c r="AS206" s="1504"/>
      <c r="AT206" s="431"/>
      <c r="AU206" s="42"/>
      <c r="AV206" s="1732"/>
      <c r="AW206" s="42"/>
      <c r="AX206" s="42"/>
      <c r="AY206" s="42"/>
      <c r="AZ206" s="42"/>
      <c r="BA206" s="42"/>
      <c r="BB206" s="42"/>
      <c r="CQ206" s="2197"/>
    </row>
    <row r="207" spans="1:95" ht="13.5" customHeight="1">
      <c r="A207" s="636"/>
      <c r="B207" s="2239"/>
      <c r="C207" s="2207" t="s">
        <v>1828</v>
      </c>
      <c r="D207" s="2207"/>
      <c r="E207" s="2202"/>
      <c r="F207" s="2207" t="str">
        <f>TEXT(K208,"MMMM D, YYYY")&amp;"—"&amp;TEXT(K209,"MMMM D, YYYY")</f>
        <v>October 1, 2021—December 31, 2021</v>
      </c>
      <c r="G207" s="2202"/>
      <c r="H207" s="2202"/>
      <c r="I207" s="2202"/>
      <c r="J207" s="2202"/>
      <c r="K207" s="2202"/>
      <c r="L207" s="2202"/>
      <c r="M207" s="2202"/>
      <c r="N207" s="2208"/>
      <c r="O207" s="2230"/>
      <c r="P207" s="8236"/>
      <c r="Q207" s="8237"/>
      <c r="R207" s="8236"/>
      <c r="S207" s="8237"/>
      <c r="T207" s="2222"/>
      <c r="U207" s="2223"/>
      <c r="V207" s="2226"/>
      <c r="W207" s="3260"/>
      <c r="X207" s="655"/>
      <c r="Y207" s="1185"/>
      <c r="Z207" s="431"/>
      <c r="AA207" s="431"/>
      <c r="AB207" s="1278"/>
      <c r="AC207" s="1276"/>
      <c r="AD207" s="1276"/>
      <c r="AE207" s="1276"/>
      <c r="AF207" s="1179"/>
      <c r="AG207" s="1179"/>
      <c r="AH207" s="1179"/>
      <c r="AI207" s="1179"/>
      <c r="AJ207" s="1145"/>
      <c r="AK207" s="3542"/>
      <c r="AL207" s="3542"/>
      <c r="AM207" s="3542"/>
      <c r="AN207" s="3542"/>
      <c r="AO207" s="3542"/>
      <c r="AP207" s="3542"/>
      <c r="AQ207" s="3542"/>
      <c r="AR207" s="1411"/>
      <c r="AS207" s="1504"/>
      <c r="AT207" s="431"/>
      <c r="AU207" s="42"/>
      <c r="AV207" s="1732"/>
      <c r="AW207" s="42"/>
      <c r="AX207" s="42"/>
      <c r="AY207" s="42"/>
      <c r="AZ207" s="42"/>
      <c r="BA207" s="42"/>
      <c r="BB207" s="42"/>
      <c r="BN207" s="613"/>
      <c r="BO207" s="613"/>
      <c r="CA207" s="613"/>
      <c r="CB207" s="613"/>
      <c r="CC207" s="613"/>
      <c r="CD207" s="613"/>
      <c r="CE207" s="613"/>
      <c r="CF207" s="613"/>
      <c r="CG207" s="613"/>
      <c r="CH207" s="613"/>
      <c r="CI207" s="613"/>
      <c r="CJ207" s="613"/>
      <c r="CK207" s="613"/>
      <c r="CL207" s="613"/>
      <c r="CM207" s="613"/>
      <c r="CN207" s="613"/>
    </row>
    <row r="208" spans="1:95" ht="13.5" customHeight="1">
      <c r="A208" s="588"/>
      <c r="B208" s="2239"/>
      <c r="C208" s="2211">
        <v>8</v>
      </c>
      <c r="D208" s="2213" t="s">
        <v>1822</v>
      </c>
      <c r="E208" s="2202"/>
      <c r="F208" s="2202"/>
      <c r="G208" s="2202"/>
      <c r="H208" s="2202"/>
      <c r="I208" s="2202"/>
      <c r="J208" s="2202"/>
      <c r="K208" s="8248">
        <f>DATEVALUE("1-Oct-"&amp;TaxYear)</f>
        <v>44470</v>
      </c>
      <c r="L208" s="8249"/>
      <c r="M208" s="8249"/>
      <c r="N208" s="8250"/>
      <c r="O208" s="2215">
        <v>8</v>
      </c>
      <c r="P208" s="8242">
        <f>$K199</f>
        <v>44469</v>
      </c>
      <c r="Q208" s="8243"/>
      <c r="R208" s="8242">
        <f>$K199</f>
        <v>44469</v>
      </c>
      <c r="S208" s="8243"/>
      <c r="T208" s="8242">
        <f>$K199</f>
        <v>44469</v>
      </c>
      <c r="U208" s="8243"/>
      <c r="V208" s="2226"/>
      <c r="W208" s="3260"/>
      <c r="X208" s="78"/>
      <c r="Y208" s="1185"/>
      <c r="Z208" s="431"/>
      <c r="AA208" s="431"/>
      <c r="AB208" s="2525" t="s">
        <v>189</v>
      </c>
      <c r="AC208" s="1276" t="s">
        <v>5543</v>
      </c>
      <c r="AD208" s="1276"/>
      <c r="AE208" s="1179"/>
      <c r="AF208" s="1179"/>
      <c r="AG208" s="1179"/>
      <c r="AH208" s="1179"/>
      <c r="AI208" s="1179"/>
      <c r="AJ208" s="1411" t="s">
        <v>189</v>
      </c>
      <c r="AK208" s="2045" t="str">
        <f>IF(AK205,"",MIN(AK170,AK186))</f>
        <v/>
      </c>
      <c r="AL208" s="3976"/>
      <c r="AM208" s="2045" t="str">
        <f>IF(AM205,"",MIN(AM170,AM186))</f>
        <v/>
      </c>
      <c r="AN208" s="3976"/>
      <c r="AO208" s="2045" t="str">
        <f>IF(AO205,"",MIN(AO170,AO186))</f>
        <v/>
      </c>
      <c r="AP208" s="3976"/>
      <c r="AQ208" s="2045" t="str">
        <f>IF(AQ205,"",MIN(AQ170,AQ186))</f>
        <v/>
      </c>
      <c r="AR208" s="1145"/>
      <c r="AS208" s="1504"/>
      <c r="AT208" s="431"/>
      <c r="AU208" s="42"/>
      <c r="AV208" s="1732"/>
      <c r="AW208" s="42"/>
      <c r="AX208" s="42"/>
      <c r="AY208" s="42"/>
      <c r="AZ208" s="42"/>
      <c r="BA208" s="42"/>
      <c r="BB208" s="42"/>
      <c r="CP208" s="613"/>
    </row>
    <row r="209" spans="1:95" ht="13.5" customHeight="1">
      <c r="A209" s="588"/>
      <c r="B209" s="2239"/>
      <c r="C209" s="2202"/>
      <c r="D209" s="2202"/>
      <c r="E209" s="2202"/>
      <c r="F209" s="2202"/>
      <c r="G209" s="2202"/>
      <c r="H209" s="2202"/>
      <c r="I209" s="2202"/>
      <c r="J209" s="2202"/>
      <c r="K209" s="8248">
        <f>DATEVALUE("31-Dec-"&amp;TaxYear)</f>
        <v>44561</v>
      </c>
      <c r="L209" s="8249"/>
      <c r="M209" s="8249"/>
      <c r="N209" s="8250"/>
      <c r="O209" s="2205"/>
      <c r="P209" s="8244" t="s">
        <v>3108</v>
      </c>
      <c r="Q209" s="8245"/>
      <c r="R209" s="8244" t="s">
        <v>3108</v>
      </c>
      <c r="S209" s="8245"/>
      <c r="T209" s="8244" t="s">
        <v>3108</v>
      </c>
      <c r="U209" s="8245"/>
      <c r="V209" s="2226"/>
      <c r="W209" s="3260"/>
      <c r="X209" s="78"/>
      <c r="Y209" s="1185"/>
      <c r="Z209" s="431"/>
      <c r="AA209" s="431"/>
      <c r="AB209" s="1278"/>
      <c r="AC209" s="1276"/>
      <c r="AD209" s="1276"/>
      <c r="AE209" s="1179"/>
      <c r="AF209" s="1179"/>
      <c r="AG209" s="1179"/>
      <c r="AH209" s="1179"/>
      <c r="AI209" s="1179"/>
      <c r="AJ209" s="1145"/>
      <c r="AK209" s="3542"/>
      <c r="AL209" s="3542"/>
      <c r="AM209" s="3542"/>
      <c r="AN209" s="3542"/>
      <c r="AO209" s="3542"/>
      <c r="AP209" s="3542"/>
      <c r="AQ209" s="3542"/>
      <c r="AR209" s="1411"/>
      <c r="AS209" s="1504"/>
      <c r="AT209" s="431"/>
      <c r="AU209" s="42"/>
      <c r="AV209" s="1732"/>
      <c r="AW209" s="42"/>
      <c r="AX209" s="42"/>
      <c r="AY209" s="42"/>
      <c r="AZ209" s="42"/>
      <c r="BA209" s="42"/>
      <c r="BB209" s="42"/>
    </row>
    <row r="210" spans="1:95" ht="15.75" customHeight="1">
      <c r="A210" s="588"/>
      <c r="B210" s="2239"/>
      <c r="C210" s="2202"/>
      <c r="D210" s="2202"/>
      <c r="E210" s="2202"/>
      <c r="F210" s="2202"/>
      <c r="G210" s="2202"/>
      <c r="H210" s="2202"/>
      <c r="I210" s="2202"/>
      <c r="J210" s="2202"/>
      <c r="K210" s="2202"/>
      <c r="L210" s="2202"/>
      <c r="M210" s="2202"/>
      <c r="N210" s="2208"/>
      <c r="O210" s="2205"/>
      <c r="P210" s="3255"/>
      <c r="Q210" s="5783" t="str">
        <f>IF($W$67,"",LOOKUP(Q211,$Q$241:$Q$295,$U$241:$U$295))</f>
        <v/>
      </c>
      <c r="R210" s="3255"/>
      <c r="S210" s="5783" t="str">
        <f>IF($W$67,"",LOOKUP(S211,$Q$241:$Q$295,$U$241:$U$295))</f>
        <v/>
      </c>
      <c r="T210" s="3255"/>
      <c r="U210" s="5783" t="str">
        <f>IF($W$67,"",LOOKUP(U211,$Q$241:$Q$295,$U$241:$U$295))</f>
        <v/>
      </c>
      <c r="V210" s="2226"/>
      <c r="W210" s="3260"/>
      <c r="X210" s="78"/>
      <c r="Y210" s="1185"/>
      <c r="Z210" s="431"/>
      <c r="AA210" s="431"/>
      <c r="AB210" s="2525" t="s">
        <v>479</v>
      </c>
      <c r="AC210" s="1276" t="s">
        <v>5542</v>
      </c>
      <c r="AD210" s="1276"/>
      <c r="AE210" s="1179"/>
      <c r="AF210" s="1179"/>
      <c r="AG210" s="1179"/>
      <c r="AH210" s="1179"/>
      <c r="AI210" s="1179"/>
      <c r="AJ210" s="1411" t="s">
        <v>479</v>
      </c>
      <c r="AK210" s="2045" t="str">
        <f>IF(AK205,"",IF(AK204="",0,AK204))</f>
        <v/>
      </c>
      <c r="AL210" s="3976"/>
      <c r="AM210" s="2045" t="str">
        <f>IF(AM205,"",IF(AM204="",0,AM204))</f>
        <v/>
      </c>
      <c r="AN210" s="3976"/>
      <c r="AO210" s="2045" t="str">
        <f>IF(AO205,"",IF(AO204="",0,AO204))</f>
        <v/>
      </c>
      <c r="AP210" s="3976"/>
      <c r="AQ210" s="2045" t="str">
        <f>IF(AQ205,"",IF(AQ204="",0,AQ204))</f>
        <v/>
      </c>
      <c r="AR210" s="1145"/>
      <c r="AS210" s="1504"/>
      <c r="AT210" s="431"/>
      <c r="AU210" s="42"/>
      <c r="AV210" s="1732"/>
      <c r="AW210" s="42"/>
      <c r="AX210" s="42"/>
      <c r="AY210" s="42"/>
      <c r="AZ210" s="42"/>
      <c r="BA210" s="42"/>
      <c r="BB210" s="42"/>
    </row>
    <row r="211" spans="1:95" ht="12.75" customHeight="1">
      <c r="A211" s="588"/>
      <c r="B211" s="2239"/>
      <c r="C211" s="2211">
        <v>9</v>
      </c>
      <c r="D211" s="2212" t="s">
        <v>3111</v>
      </c>
      <c r="E211" s="2202"/>
      <c r="F211" s="2202"/>
      <c r="G211" s="2202"/>
      <c r="H211" s="2202"/>
      <c r="I211" s="2202"/>
      <c r="J211" s="2202"/>
      <c r="K211" s="2202"/>
      <c r="L211" s="2202"/>
      <c r="M211" s="2202"/>
      <c r="N211" s="2208"/>
      <c r="O211" s="2205"/>
      <c r="P211" s="2209"/>
      <c r="Q211" s="5782" t="str">
        <f>IF($W$67,"",IF(P$181&gt;$K209,$K209,P$181))</f>
        <v/>
      </c>
      <c r="R211" s="2209"/>
      <c r="S211" s="5782" t="str">
        <f>IF($W$67,"",IF(R$181&gt;$K209,$K209,R$181))</f>
        <v/>
      </c>
      <c r="T211" s="2209"/>
      <c r="U211" s="5782" t="str">
        <f>IF($W$67,"",IF(T$181&gt;$K209,$K209,T$181))</f>
        <v/>
      </c>
      <c r="V211" s="2226"/>
      <c r="W211" s="3260"/>
      <c r="X211" s="78"/>
      <c r="Y211" s="1185"/>
      <c r="Z211" s="431"/>
      <c r="AA211" s="431"/>
      <c r="AB211" s="1278"/>
      <c r="AC211" s="1276"/>
      <c r="AD211" s="1276"/>
      <c r="AE211" s="1179"/>
      <c r="AF211" s="1179"/>
      <c r="AG211" s="1179"/>
      <c r="AH211" s="1179"/>
      <c r="AI211" s="1179"/>
      <c r="AJ211" s="1145"/>
      <c r="AK211" s="3542"/>
      <c r="AL211" s="3542"/>
      <c r="AM211" s="3542"/>
      <c r="AN211" s="3542"/>
      <c r="AO211" s="3542"/>
      <c r="AP211" s="3542"/>
      <c r="AQ211" s="3542"/>
      <c r="AR211" s="1411"/>
      <c r="AS211" s="1504"/>
      <c r="AT211" s="431"/>
      <c r="AU211" s="42"/>
      <c r="AV211" s="1732"/>
      <c r="AW211" s="42"/>
      <c r="AX211" s="42"/>
      <c r="AY211" s="42"/>
      <c r="AZ211" s="42"/>
      <c r="BA211" s="42"/>
      <c r="BB211" s="42"/>
      <c r="CO211" s="613"/>
    </row>
    <row r="212" spans="1:95" ht="15.75" customHeight="1">
      <c r="A212" s="588"/>
      <c r="B212" s="2239"/>
      <c r="C212" s="2202"/>
      <c r="D212" s="2212" t="s">
        <v>1837</v>
      </c>
      <c r="E212" s="2202"/>
      <c r="F212" s="2202"/>
      <c r="G212" s="2212" t="str">
        <f>"12/31/"&amp;TaxYear-2000&amp;", whichever is earlier"</f>
        <v>12/31/21, whichever is earlier</v>
      </c>
      <c r="H212" s="2202"/>
      <c r="I212" s="2202"/>
      <c r="J212" s="2202"/>
      <c r="K212" s="2202"/>
      <c r="L212" s="2202"/>
      <c r="M212" s="2202"/>
      <c r="N212" s="1355" t="s">
        <v>697</v>
      </c>
      <c r="O212" s="2220">
        <v>9</v>
      </c>
      <c r="P212" s="8303" t="str">
        <f>IF($W$67,"",IF(Q211-P208&lt;0,0,SUM(Q211,-P208)))</f>
        <v/>
      </c>
      <c r="Q212" s="8304"/>
      <c r="R212" s="8303" t="str">
        <f>IF($W$67,"",IF(S211-R208&lt;0,0,SUM(S211,-R208)))</f>
        <v/>
      </c>
      <c r="S212" s="8304"/>
      <c r="T212" s="8303" t="str">
        <f>IF($W$67,"",IF(U211-T208&lt;0,0,SUM(U211,-T208)))</f>
        <v/>
      </c>
      <c r="U212" s="8304"/>
      <c r="V212" s="2226"/>
      <c r="W212" s="3260"/>
      <c r="X212" s="78"/>
      <c r="Y212" s="1185"/>
      <c r="Z212" s="431"/>
      <c r="AA212" s="431"/>
      <c r="AB212" s="2525" t="s">
        <v>480</v>
      </c>
      <c r="AC212" s="1276" t="s">
        <v>5541</v>
      </c>
      <c r="AD212" s="1276"/>
      <c r="AE212" s="1179"/>
      <c r="AF212" s="1179"/>
      <c r="AG212" s="1179"/>
      <c r="AH212" s="1179"/>
      <c r="AI212" s="1179"/>
      <c r="AJ212" s="1411" t="s">
        <v>480</v>
      </c>
      <c r="AK212" s="2045" t="str">
        <f>IF(AK205,"",MAX(0,SUM(AK208,-AK210)))</f>
        <v/>
      </c>
      <c r="AL212" s="3976"/>
      <c r="AM212" s="2045" t="str">
        <f>IF(AM205,"",MAX(0,SUM(AM208,-AM210)))</f>
        <v/>
      </c>
      <c r="AN212" s="3976"/>
      <c r="AO212" s="2045" t="str">
        <f>IF(AO205,"",MAX(0,SUM(AO208,-AO210)))</f>
        <v/>
      </c>
      <c r="AP212" s="3976"/>
      <c r="AQ212" s="2045" t="str">
        <f>IF(AQ205,"",MAX(0,SUM(AQ208,-AQ210)))</f>
        <v/>
      </c>
      <c r="AR212" s="1145"/>
      <c r="AS212" s="1504"/>
      <c r="AT212" s="431"/>
      <c r="AU212" s="42"/>
      <c r="AV212" s="1732"/>
      <c r="AW212" s="42"/>
      <c r="AX212" s="42"/>
      <c r="AY212" s="42"/>
      <c r="AZ212" s="42"/>
      <c r="BA212" s="42"/>
      <c r="BB212" s="42"/>
    </row>
    <row r="213" spans="1:95" ht="15">
      <c r="A213" s="588"/>
      <c r="B213" s="2239"/>
      <c r="C213" s="2202"/>
      <c r="D213" s="2202"/>
      <c r="E213" s="2202"/>
      <c r="F213" s="2202"/>
      <c r="G213" s="2202"/>
      <c r="H213" s="2202"/>
      <c r="I213" s="2202"/>
      <c r="J213" s="2202"/>
      <c r="K213" s="2202"/>
      <c r="L213" s="2202"/>
      <c r="M213" s="2202"/>
      <c r="N213" s="2208"/>
      <c r="O213" s="2205"/>
      <c r="P213" s="2209"/>
      <c r="Q213" s="2210"/>
      <c r="R213" s="2209"/>
      <c r="S213" s="2210"/>
      <c r="T213" s="2209"/>
      <c r="U213" s="2210"/>
      <c r="V213" s="2226"/>
      <c r="W213" s="3260"/>
      <c r="X213" s="78"/>
      <c r="Y213" s="1185"/>
      <c r="Z213" s="431"/>
      <c r="AA213" s="431"/>
      <c r="AB213" s="1278"/>
      <c r="AC213" s="1179"/>
      <c r="AD213" s="1179"/>
      <c r="AE213" s="1179"/>
      <c r="AF213" s="1179"/>
      <c r="AG213" s="1179"/>
      <c r="AH213" s="1179"/>
      <c r="AI213" s="1179"/>
      <c r="AJ213" s="1145"/>
      <c r="AK213" s="3975"/>
      <c r="AL213" s="3542"/>
      <c r="AM213" s="3542"/>
      <c r="AN213" s="3542"/>
      <c r="AO213" s="3542"/>
      <c r="AP213" s="3542"/>
      <c r="AQ213" s="3542"/>
      <c r="AR213" s="1145"/>
      <c r="AS213" s="1504"/>
      <c r="AT213" s="431"/>
      <c r="AU213" s="42"/>
      <c r="AV213" s="1732"/>
      <c r="AW213" s="42"/>
      <c r="AX213" s="42"/>
      <c r="AY213" s="42"/>
      <c r="AZ213" s="42"/>
      <c r="BA213" s="42"/>
      <c r="BB213" s="42"/>
      <c r="BY213" s="613"/>
      <c r="BZ213" s="613"/>
    </row>
    <row r="214" spans="1:95" s="936" customFormat="1" ht="17.25" customHeight="1">
      <c r="A214" s="588"/>
      <c r="B214" s="2239"/>
      <c r="C214" s="2211">
        <v>10</v>
      </c>
      <c r="D214" s="2202"/>
      <c r="E214" s="1776" t="s">
        <v>1823</v>
      </c>
      <c r="F214" s="2202"/>
      <c r="G214" s="2202"/>
      <c r="H214" s="2212" t="s">
        <v>1583</v>
      </c>
      <c r="I214" s="2211"/>
      <c r="J214" s="2202"/>
      <c r="K214" s="2202"/>
      <c r="L214" s="2202"/>
      <c r="M214" s="2202"/>
      <c r="N214" s="2208"/>
      <c r="O214" s="2205"/>
      <c r="P214" s="3255"/>
      <c r="Q214" s="2210"/>
      <c r="R214" s="3255"/>
      <c r="S214" s="2210"/>
      <c r="T214" s="2209"/>
      <c r="U214" s="2210"/>
      <c r="V214" s="2226"/>
      <c r="W214" s="3260"/>
      <c r="X214" s="78"/>
      <c r="Y214" s="1185"/>
      <c r="Z214" s="431"/>
      <c r="AA214" s="431"/>
      <c r="AB214" s="2525" t="s">
        <v>481</v>
      </c>
      <c r="AC214" s="1276" t="s">
        <v>355</v>
      </c>
      <c r="AD214" s="1179"/>
      <c r="AE214" s="1179"/>
      <c r="AF214" s="1179"/>
      <c r="AG214" s="1179"/>
      <c r="AH214" s="1179"/>
      <c r="AI214" s="3978">
        <f>CGTW_Line13_Single</f>
        <v>445850</v>
      </c>
      <c r="AJ214" s="2243"/>
      <c r="AK214" s="3978">
        <f>CGTW_Line13_MFS</f>
        <v>250800</v>
      </c>
      <c r="AL214" s="3978"/>
      <c r="AM214" s="3978">
        <f>CGTW_Line13_MFJQW</f>
        <v>501600</v>
      </c>
      <c r="AN214" s="3975"/>
      <c r="AO214" s="3381">
        <f>CGTW_Line13_HOH</f>
        <v>473750</v>
      </c>
      <c r="AP214" s="3975"/>
      <c r="AQ214" s="3381">
        <f>IF(File_Single&lt;&gt;"",AI214,IF(File_Marr_Sep&lt;&gt;"",AK214,IF(OR(File_Marr_Joint&lt;&gt;"",File_Qual_Widow&lt;&gt;""),AM214,IF(File_Head&lt;&gt;"",AO214,0))))</f>
        <v>0</v>
      </c>
      <c r="AR214" s="1145"/>
      <c r="AS214" s="1504"/>
      <c r="AT214" s="431"/>
      <c r="AU214" s="42"/>
      <c r="AV214" s="1732"/>
      <c r="AW214" s="42"/>
      <c r="AX214" s="42"/>
      <c r="AY214" s="42"/>
      <c r="AZ214" s="42"/>
      <c r="BA214" s="42"/>
      <c r="BB214" s="42"/>
      <c r="BC214" s="2595"/>
      <c r="BD214" s="2595"/>
      <c r="BE214" s="2595"/>
      <c r="BF214" s="2595"/>
      <c r="BG214" s="2595"/>
      <c r="BH214" s="2595"/>
      <c r="BI214" s="2595"/>
      <c r="BJ214" s="2595"/>
      <c r="BK214" s="2595"/>
      <c r="BL214" s="2595"/>
      <c r="BM214" s="2595"/>
      <c r="BN214"/>
      <c r="BO214"/>
      <c r="BP214"/>
      <c r="BQ214"/>
      <c r="BR214"/>
      <c r="BS214"/>
      <c r="BT214"/>
      <c r="BU214"/>
      <c r="BV214"/>
      <c r="BW214"/>
      <c r="BX214"/>
      <c r="BY214"/>
      <c r="BZ214"/>
      <c r="CA214"/>
      <c r="CB214"/>
      <c r="CC214"/>
      <c r="CD214"/>
      <c r="CE214"/>
      <c r="CF214"/>
      <c r="CG214"/>
      <c r="CH214"/>
      <c r="CI214"/>
      <c r="CJ214"/>
      <c r="CK214"/>
      <c r="CL214"/>
      <c r="CM214"/>
      <c r="CN214"/>
      <c r="CO214"/>
      <c r="CP214"/>
      <c r="CQ214"/>
    </row>
    <row r="215" spans="1:95" s="613" customFormat="1" ht="15">
      <c r="A215" s="588"/>
      <c r="B215" s="2239"/>
      <c r="C215" s="2211"/>
      <c r="D215" s="2213"/>
      <c r="E215" s="1776" t="s">
        <v>1825</v>
      </c>
      <c r="F215" s="2202"/>
      <c r="G215" s="2201" t="s">
        <v>1202</v>
      </c>
      <c r="H215" s="2196"/>
      <c r="I215" s="1777" t="s">
        <v>3113</v>
      </c>
      <c r="J215" s="2196"/>
      <c r="K215" s="2216" t="s">
        <v>1202</v>
      </c>
      <c r="L215" s="8233">
        <v>0.03</v>
      </c>
      <c r="M215" s="8234"/>
      <c r="N215" s="8235"/>
      <c r="O215" s="2205"/>
      <c r="P215" s="2209"/>
      <c r="Q215" s="2210"/>
      <c r="R215" s="2209"/>
      <c r="S215" s="2210"/>
      <c r="T215" s="2209"/>
      <c r="U215" s="2210"/>
      <c r="V215" s="2226"/>
      <c r="W215" s="3260"/>
      <c r="X215" s="78"/>
      <c r="Y215" s="1185"/>
      <c r="Z215" s="431"/>
      <c r="AA215" s="431"/>
      <c r="AB215" s="1278"/>
      <c r="AC215" s="1179" t="str">
        <f>TEXT(AI214,"$0,000")&amp;" if single,"</f>
        <v>$445,850 if single,</v>
      </c>
      <c r="AD215" s="1179"/>
      <c r="AE215" s="1179"/>
      <c r="AF215" s="1179"/>
      <c r="AG215" s="1179"/>
      <c r="AH215" s="1179"/>
      <c r="AI215" s="1179"/>
      <c r="AJ215" s="1145"/>
      <c r="AK215" s="3542"/>
      <c r="AL215" s="3542"/>
      <c r="AM215" s="3542"/>
      <c r="AN215" s="3542"/>
      <c r="AO215" s="3542"/>
      <c r="AP215" s="3542"/>
      <c r="AQ215" s="3542"/>
      <c r="AR215" s="1145"/>
      <c r="AS215" s="1504"/>
      <c r="AT215" s="431"/>
      <c r="AU215" s="42"/>
      <c r="AV215" s="1732"/>
      <c r="AW215" s="42"/>
      <c r="AX215" s="42"/>
      <c r="AY215" s="42"/>
      <c r="AZ215" s="42"/>
      <c r="BA215" s="42"/>
      <c r="BB215" s="42"/>
      <c r="BC215" s="2595"/>
      <c r="BD215" s="2595"/>
      <c r="BE215" s="2595"/>
      <c r="BF215" s="2595"/>
      <c r="BG215" s="2595"/>
      <c r="BH215" s="2595"/>
      <c r="BI215" s="2595"/>
      <c r="BJ215" s="2595"/>
      <c r="BK215" s="2595"/>
      <c r="BL215" s="2595"/>
      <c r="BM215" s="2595"/>
      <c r="BN215"/>
      <c r="BO215"/>
      <c r="BP215"/>
      <c r="BQ215"/>
      <c r="BR215"/>
      <c r="BS215"/>
      <c r="BT215"/>
      <c r="BU215"/>
      <c r="BV215"/>
      <c r="BW215"/>
      <c r="BX215"/>
      <c r="BY215"/>
      <c r="BZ215"/>
      <c r="CA215"/>
      <c r="CB215"/>
      <c r="CC215"/>
      <c r="CD215"/>
      <c r="CE215"/>
      <c r="CF215"/>
      <c r="CG215"/>
      <c r="CH215"/>
      <c r="CI215"/>
      <c r="CJ215"/>
      <c r="CK215"/>
      <c r="CL215"/>
      <c r="CM215"/>
      <c r="CN215"/>
      <c r="CO215"/>
      <c r="CP215"/>
      <c r="CQ215"/>
    </row>
    <row r="216" spans="1:95" s="613" customFormat="1" ht="15">
      <c r="A216" s="588"/>
      <c r="B216" s="2240"/>
      <c r="C216" s="2196"/>
      <c r="D216" s="2217"/>
      <c r="E216" s="2196"/>
      <c r="F216" s="2196"/>
      <c r="G216" s="2196"/>
      <c r="H216" s="2196"/>
      <c r="I216" s="2219">
        <f>DaysInTaxYear</f>
        <v>365</v>
      </c>
      <c r="J216" s="2196"/>
      <c r="K216" s="2196"/>
      <c r="L216" s="2196"/>
      <c r="M216" s="2196"/>
      <c r="N216" s="2218"/>
      <c r="O216" s="2224">
        <v>10</v>
      </c>
      <c r="P216" s="8246" t="str">
        <f>IF($W$67,"",ROUND(P$186*P212/I216*L215,0))</f>
        <v/>
      </c>
      <c r="Q216" s="8247"/>
      <c r="R216" s="8246" t="str">
        <f>IF($W$67,"",ROUND(R$186*R212/$I216*$L215,0))</f>
        <v/>
      </c>
      <c r="S216" s="8247"/>
      <c r="T216" s="8246" t="str">
        <f>IF($W$67,"",ROUND(T$186*T212/$I216*$L215,0))</f>
        <v/>
      </c>
      <c r="U216" s="8247"/>
      <c r="V216" s="2228"/>
      <c r="W216" s="3261"/>
      <c r="X216" s="78"/>
      <c r="Y216" s="1185"/>
      <c r="Z216" s="431"/>
      <c r="AA216" s="431"/>
      <c r="AB216" s="1278"/>
      <c r="AC216" s="1179" t="str">
        <f>TEXT(AK214,"$0,000")&amp;" if married filing separately,"</f>
        <v>$250,800 if married filing separately,</v>
      </c>
      <c r="AD216" s="1179"/>
      <c r="AE216" s="1276"/>
      <c r="AF216" s="1179"/>
      <c r="AG216" s="1179"/>
      <c r="AH216" s="1179"/>
      <c r="AI216" s="1179"/>
      <c r="AJ216" s="1411" t="s">
        <v>481</v>
      </c>
      <c r="AK216" s="2045" t="str">
        <f>IF(AK205,"",$AQ$214)</f>
        <v/>
      </c>
      <c r="AL216" s="3976"/>
      <c r="AM216" s="2045" t="str">
        <f>IF(AM205,"",$AQ$214)</f>
        <v/>
      </c>
      <c r="AN216" s="3976"/>
      <c r="AO216" s="2045" t="str">
        <f>IF(AO205,"",$AQ$214)</f>
        <v/>
      </c>
      <c r="AP216" s="3976"/>
      <c r="AQ216" s="2045" t="str">
        <f>IF(AQ205,"",$AQ$214)</f>
        <v/>
      </c>
      <c r="AR216" s="1145"/>
      <c r="AS216" s="1504"/>
      <c r="AT216" s="431"/>
      <c r="AU216" s="42"/>
      <c r="AV216" s="1732"/>
      <c r="AW216" s="42"/>
      <c r="AX216" s="42"/>
      <c r="AY216" s="42"/>
      <c r="AZ216" s="42"/>
      <c r="BA216" s="42"/>
      <c r="BB216" s="42"/>
      <c r="BC216" s="2595"/>
      <c r="BD216" s="2595"/>
      <c r="BE216" s="2595"/>
      <c r="BF216" s="2595"/>
      <c r="BG216" s="2595"/>
      <c r="BH216" s="2595"/>
      <c r="BI216" s="2595"/>
      <c r="BJ216" s="2595"/>
      <c r="BK216" s="2595"/>
      <c r="BL216" s="2595"/>
      <c r="BM216" s="2595"/>
      <c r="BN216"/>
      <c r="BO216"/>
      <c r="BP216"/>
      <c r="BQ216"/>
      <c r="BR216"/>
      <c r="BS216"/>
      <c r="BT216"/>
      <c r="BU216"/>
      <c r="BV216"/>
      <c r="BW216"/>
      <c r="BX216"/>
      <c r="BY216"/>
      <c r="BZ216"/>
      <c r="CA216"/>
      <c r="CB216"/>
      <c r="CC216"/>
      <c r="CD216"/>
      <c r="CE216"/>
      <c r="CF216"/>
      <c r="CG216"/>
      <c r="CH216"/>
      <c r="CI216"/>
      <c r="CJ216"/>
      <c r="CK216"/>
      <c r="CL216"/>
      <c r="CM216"/>
      <c r="CN216"/>
      <c r="CO216"/>
      <c r="CP216"/>
      <c r="CQ216"/>
    </row>
    <row r="217" spans="1:95" s="2197" customFormat="1" ht="15">
      <c r="A217" s="636"/>
      <c r="B217" s="2239"/>
      <c r="C217" s="2207" t="s">
        <v>1829</v>
      </c>
      <c r="D217" s="2207"/>
      <c r="E217" s="2202"/>
      <c r="F217" s="2207" t="str">
        <f>TEXT(K218,"MMMM D, YYYY")&amp;"—"&amp;TEXT(K219,"MMMM D, YYYY")</f>
        <v>January 1, 2022—April 15, 2022</v>
      </c>
      <c r="G217" s="2202"/>
      <c r="H217" s="2202"/>
      <c r="I217" s="2202"/>
      <c r="J217" s="2202"/>
      <c r="K217" s="2202"/>
      <c r="L217" s="2202"/>
      <c r="M217" s="2202"/>
      <c r="N217" s="2208"/>
      <c r="O217" s="2230"/>
      <c r="P217" s="8236"/>
      <c r="Q217" s="8237"/>
      <c r="R217" s="8236"/>
      <c r="S217" s="8237"/>
      <c r="T217" s="2222"/>
      <c r="U217" s="2223"/>
      <c r="V217" s="2226"/>
      <c r="W217" s="3260"/>
      <c r="X217" s="655"/>
      <c r="Y217" s="1185"/>
      <c r="Z217" s="431"/>
      <c r="AA217" s="431"/>
      <c r="AB217" s="1278"/>
      <c r="AC217" s="1179" t="str">
        <f>TEXT(AM214,"$0,000")&amp;" if married filing jointly or qualifying widow(er),"</f>
        <v>$501,600 if married filing jointly or qualifying widow(er),</v>
      </c>
      <c r="AD217" s="1179"/>
      <c r="AE217" s="1179"/>
      <c r="AF217" s="1179"/>
      <c r="AG217" s="1179"/>
      <c r="AH217" s="1179"/>
      <c r="AI217" s="1179"/>
      <c r="AJ217" s="1145"/>
      <c r="AK217" s="3542"/>
      <c r="AL217" s="3542"/>
      <c r="AM217" s="3542"/>
      <c r="AN217" s="3542"/>
      <c r="AO217" s="3542"/>
      <c r="AP217" s="3542"/>
      <c r="AQ217" s="3542"/>
      <c r="AR217" s="1145"/>
      <c r="AS217" s="1504"/>
      <c r="AT217" s="431"/>
      <c r="AU217" s="42"/>
      <c r="AV217" s="1732"/>
      <c r="AW217" s="42"/>
      <c r="AX217" s="42"/>
      <c r="AY217" s="42"/>
      <c r="AZ217" s="42"/>
      <c r="BA217" s="3155"/>
      <c r="BB217" s="42"/>
      <c r="BC217" s="2595"/>
      <c r="BD217" s="2595"/>
      <c r="BE217" s="2595"/>
      <c r="BF217" s="2595"/>
      <c r="BG217" s="2595"/>
      <c r="BH217" s="2595"/>
      <c r="BI217" s="2595"/>
      <c r="BJ217" s="2595"/>
      <c r="BK217" s="2595"/>
      <c r="BL217" s="2595"/>
      <c r="BM217" s="2595"/>
      <c r="BN217"/>
      <c r="BO217"/>
      <c r="BP217"/>
      <c r="BQ217"/>
      <c r="BR217"/>
      <c r="BS217"/>
      <c r="BT217"/>
      <c r="BU217"/>
      <c r="BV217"/>
      <c r="BW217"/>
      <c r="BX217"/>
      <c r="BY217"/>
      <c r="BZ217"/>
      <c r="CA217"/>
      <c r="CB217"/>
      <c r="CC217"/>
      <c r="CD217"/>
      <c r="CE217"/>
      <c r="CF217"/>
      <c r="CG217"/>
      <c r="CH217"/>
      <c r="CI217"/>
      <c r="CJ217"/>
      <c r="CK217"/>
      <c r="CL217"/>
      <c r="CM217"/>
      <c r="CN217"/>
      <c r="CO217"/>
      <c r="CP217"/>
      <c r="CQ217"/>
    </row>
    <row r="218" spans="1:95" s="2197" customFormat="1" ht="15" customHeight="1">
      <c r="A218" s="588"/>
      <c r="B218" s="2239"/>
      <c r="C218" s="2211">
        <v>11</v>
      </c>
      <c r="D218" s="2213" t="s">
        <v>1822</v>
      </c>
      <c r="E218" s="2202"/>
      <c r="F218" s="2202"/>
      <c r="G218" s="2202"/>
      <c r="H218" s="2202"/>
      <c r="I218" s="2202"/>
      <c r="J218" s="2202"/>
      <c r="K218" s="8248">
        <f>DATEVALUE("1-Jan-"&amp;TaxYear+1)</f>
        <v>44562</v>
      </c>
      <c r="L218" s="8249"/>
      <c r="M218" s="8249"/>
      <c r="N218" s="8250"/>
      <c r="O218" s="2225">
        <v>11</v>
      </c>
      <c r="P218" s="8242">
        <f>$K209</f>
        <v>44561</v>
      </c>
      <c r="Q218" s="8243"/>
      <c r="R218" s="8242">
        <f>$K209</f>
        <v>44561</v>
      </c>
      <c r="S218" s="8243"/>
      <c r="T218" s="8242">
        <f>$K209</f>
        <v>44561</v>
      </c>
      <c r="U218" s="8243"/>
      <c r="V218" s="8242">
        <f>V179</f>
        <v>44576</v>
      </c>
      <c r="W218" s="8336"/>
      <c r="X218" s="78"/>
      <c r="Y218" s="1185"/>
      <c r="Z218" s="431"/>
      <c r="AA218" s="431"/>
      <c r="AB218" s="2525"/>
      <c r="AC218" s="1276" t="str">
        <f>TEXT(AO214,"$0,000")&amp;" if head of household."</f>
        <v>$473,750 if head of household.</v>
      </c>
      <c r="AD218" s="1276"/>
      <c r="AE218" s="1179"/>
      <c r="AF218" s="1179"/>
      <c r="AG218" s="1179"/>
      <c r="AH218" s="1179"/>
      <c r="AI218" s="1179"/>
      <c r="AJ218" s="1145"/>
      <c r="AK218" s="3975"/>
      <c r="AL218" s="3542"/>
      <c r="AM218" s="3542"/>
      <c r="AN218" s="3542"/>
      <c r="AO218" s="3542"/>
      <c r="AP218" s="3542"/>
      <c r="AQ218" s="3542"/>
      <c r="AR218" s="1145"/>
      <c r="AS218" s="1504"/>
      <c r="AT218" s="431"/>
      <c r="AU218" s="42"/>
      <c r="AV218" s="1732"/>
      <c r="AW218" s="42"/>
      <c r="AX218" s="42"/>
      <c r="AY218" s="42"/>
      <c r="AZ218" s="42"/>
      <c r="BA218" s="3155"/>
      <c r="BB218" s="42"/>
      <c r="BC218" s="2595"/>
      <c r="BD218" s="2595"/>
      <c r="BE218" s="2595"/>
      <c r="BF218" s="2595"/>
      <c r="BG218" s="2595"/>
      <c r="BH218" s="2595"/>
      <c r="BI218" s="2595"/>
      <c r="BJ218" s="2595"/>
      <c r="BK218" s="2595"/>
      <c r="BL218" s="2595"/>
      <c r="BM218" s="2595"/>
      <c r="BN218" s="613"/>
      <c r="BO218" s="613"/>
      <c r="BP218"/>
      <c r="BQ218"/>
      <c r="BR218"/>
      <c r="BS218"/>
      <c r="BT218"/>
      <c r="BU218"/>
      <c r="BV218"/>
      <c r="BW218"/>
      <c r="BX218"/>
      <c r="BY218"/>
      <c r="BZ218"/>
      <c r="CA218" s="613"/>
      <c r="CB218" s="613"/>
      <c r="CC218" s="613"/>
      <c r="CD218" s="613"/>
      <c r="CE218" s="613"/>
      <c r="CF218" s="613"/>
      <c r="CG218" s="613"/>
      <c r="CH218" s="613"/>
      <c r="CI218" s="613"/>
      <c r="CJ218" s="613"/>
      <c r="CK218" s="613"/>
      <c r="CL218" s="613"/>
      <c r="CM218" s="613"/>
      <c r="CN218" s="613"/>
      <c r="CO218"/>
      <c r="CP218"/>
      <c r="CQ218" s="613"/>
    </row>
    <row r="219" spans="1:95" s="2197" customFormat="1" ht="15">
      <c r="A219" s="588"/>
      <c r="B219" s="2239"/>
      <c r="C219" s="2202"/>
      <c r="D219" s="2202"/>
      <c r="E219" s="2202"/>
      <c r="F219" s="2202"/>
      <c r="G219" s="2202"/>
      <c r="H219" s="2202"/>
      <c r="I219" s="2202"/>
      <c r="J219" s="2202"/>
      <c r="K219" s="8248">
        <f>DATEVALUE("15-Apr-"&amp;TaxYear+1)</f>
        <v>44666</v>
      </c>
      <c r="L219" s="8249"/>
      <c r="M219" s="8249"/>
      <c r="N219" s="8250"/>
      <c r="O219" s="2205"/>
      <c r="P219" s="8244" t="s">
        <v>3108</v>
      </c>
      <c r="Q219" s="8245"/>
      <c r="R219" s="8244" t="s">
        <v>3108</v>
      </c>
      <c r="S219" s="8245"/>
      <c r="T219" s="8244" t="s">
        <v>3108</v>
      </c>
      <c r="U219" s="8245"/>
      <c r="V219" s="8244" t="s">
        <v>3108</v>
      </c>
      <c r="W219" s="8335"/>
      <c r="X219" s="78"/>
      <c r="Y219" s="1185"/>
      <c r="Z219" s="431"/>
      <c r="AA219" s="431"/>
      <c r="AB219" s="1278"/>
      <c r="AC219" s="1179"/>
      <c r="AD219" s="1179"/>
      <c r="AE219" s="1179"/>
      <c r="AF219" s="1179"/>
      <c r="AG219" s="1179"/>
      <c r="AH219" s="1179"/>
      <c r="AI219" s="1179"/>
      <c r="AJ219" s="1145"/>
      <c r="AK219" s="3542"/>
      <c r="AL219" s="3542"/>
      <c r="AM219" s="3542"/>
      <c r="AN219" s="3542"/>
      <c r="AO219" s="3542"/>
      <c r="AP219" s="3542"/>
      <c r="AQ219" s="3542"/>
      <c r="AR219" s="1145"/>
      <c r="AS219" s="1504"/>
      <c r="AT219" s="431"/>
      <c r="AU219" s="42"/>
      <c r="AV219" s="1732"/>
      <c r="AW219" s="42"/>
      <c r="AX219" s="42"/>
      <c r="AY219" s="42"/>
      <c r="AZ219" s="42"/>
      <c r="BA219" s="3155"/>
      <c r="BB219" s="42"/>
      <c r="BC219" s="2595"/>
      <c r="BD219" s="2595"/>
      <c r="BE219" s="2595"/>
      <c r="BF219" s="2595"/>
      <c r="BG219" s="2595"/>
      <c r="BH219" s="2595"/>
      <c r="BI219" s="2595"/>
      <c r="BJ219" s="2595"/>
      <c r="BK219" s="2595"/>
      <c r="BL219" s="2595"/>
      <c r="BM219" s="2595"/>
      <c r="BN219"/>
      <c r="BO219"/>
      <c r="BP219"/>
      <c r="BQ219"/>
      <c r="BR219"/>
      <c r="BS219"/>
      <c r="BT219"/>
      <c r="BU219"/>
      <c r="BV219"/>
      <c r="BW219"/>
      <c r="BX219"/>
      <c r="BY219"/>
      <c r="BZ219"/>
      <c r="CA219"/>
      <c r="CB219"/>
      <c r="CC219"/>
      <c r="CD219"/>
      <c r="CE219"/>
      <c r="CF219"/>
      <c r="CG219"/>
      <c r="CH219"/>
      <c r="CI219"/>
      <c r="CJ219"/>
      <c r="CK219"/>
      <c r="CL219"/>
      <c r="CM219"/>
      <c r="CN219"/>
      <c r="CO219"/>
      <c r="CP219" s="613"/>
      <c r="CQ219"/>
    </row>
    <row r="220" spans="1:95" ht="13.5" customHeight="1">
      <c r="A220" s="588"/>
      <c r="B220" s="2239"/>
      <c r="C220" s="2202"/>
      <c r="D220" s="2202"/>
      <c r="E220" s="2202"/>
      <c r="F220" s="2202"/>
      <c r="G220" s="2202"/>
      <c r="H220" s="2202"/>
      <c r="I220" s="2202"/>
      <c r="J220" s="2202"/>
      <c r="K220" s="2202"/>
      <c r="L220" s="2202"/>
      <c r="M220" s="2202"/>
      <c r="N220" s="2208"/>
      <c r="O220" s="2205"/>
      <c r="P220" s="3255"/>
      <c r="Q220" s="2210"/>
      <c r="R220" s="3255"/>
      <c r="S220" s="5783" t="str">
        <f>IF($W$67,"",LOOKUP(S221,$Q$241:$Q$295,$U$241:$U$295))</f>
        <v/>
      </c>
      <c r="T220" s="3255"/>
      <c r="U220" s="5783" t="str">
        <f>IF($W$67,"",LOOKUP(U221,$Q$241:$Q$295,$U$241:$U$295))</f>
        <v/>
      </c>
      <c r="V220" s="3255"/>
      <c r="W220" s="5783" t="str">
        <f>IF($W$67,"",LOOKUP(W221,$Q$241:$Q$295,$U$241:$U$295))</f>
        <v/>
      </c>
      <c r="X220" s="78"/>
      <c r="Y220" s="1185"/>
      <c r="Z220" s="431"/>
      <c r="AA220" s="431"/>
      <c r="AB220" s="2525" t="s">
        <v>345</v>
      </c>
      <c r="AC220" s="1276" t="s">
        <v>5560</v>
      </c>
      <c r="AD220" s="1179"/>
      <c r="AE220" s="1179"/>
      <c r="AF220" s="1179"/>
      <c r="AG220" s="1179"/>
      <c r="AH220" s="1179"/>
      <c r="AI220" s="1179"/>
      <c r="AJ220" s="1411" t="s">
        <v>345</v>
      </c>
      <c r="AK220" s="2045" t="str">
        <f>IF(OR(AK170="",AK205),"",MIN(AK170,AK216))</f>
        <v/>
      </c>
      <c r="AL220" s="3976"/>
      <c r="AM220" s="2045" t="str">
        <f>IF(OR(AM170="",AM205),"",MIN(AM170,AM216))</f>
        <v/>
      </c>
      <c r="AN220" s="3976"/>
      <c r="AO220" s="2045" t="str">
        <f>IF(OR(AO170="",AO205),"",MIN(AO170,AO216))</f>
        <v/>
      </c>
      <c r="AP220" s="3976"/>
      <c r="AQ220" s="2045" t="str">
        <f>IF(OR(AQ170="",AQ205),"",MIN(AQ170,AQ216))</f>
        <v/>
      </c>
      <c r="AR220" s="1411"/>
      <c r="AS220" s="1504"/>
      <c r="AT220" s="431"/>
      <c r="AU220" s="42"/>
      <c r="AV220" s="1732"/>
      <c r="AW220" s="42"/>
      <c r="AX220" s="42"/>
      <c r="AY220" s="42"/>
      <c r="AZ220" s="42"/>
      <c r="BA220" s="3155"/>
      <c r="BB220" s="42"/>
    </row>
    <row r="221" spans="1:95" ht="13.5" customHeight="1">
      <c r="A221" s="588"/>
      <c r="B221" s="2239"/>
      <c r="C221" s="2211">
        <v>12</v>
      </c>
      <c r="D221" s="2212" t="s">
        <v>3873</v>
      </c>
      <c r="E221" s="2202"/>
      <c r="F221" s="2202"/>
      <c r="G221" s="2202"/>
      <c r="H221" s="2202"/>
      <c r="I221" s="2202"/>
      <c r="J221" s="2202"/>
      <c r="K221" s="2202"/>
      <c r="L221" s="2202"/>
      <c r="M221" s="2202"/>
      <c r="N221" s="2208"/>
      <c r="O221" s="2205"/>
      <c r="P221" s="2209"/>
      <c r="Q221" s="5782" t="str">
        <f>IF($W$67,"",IF(P$181&gt;$K219,$K219,P$181))</f>
        <v/>
      </c>
      <c r="R221" s="2209"/>
      <c r="S221" s="5782" t="str">
        <f>IF($W$67,"",IF(R$181&gt;$K219,$K219,R$181))</f>
        <v/>
      </c>
      <c r="T221" s="2209"/>
      <c r="U221" s="5782" t="str">
        <f>IF($W$67,"",IF(T$181&gt;$K219,$K219,T$181))</f>
        <v/>
      </c>
      <c r="V221" s="2209"/>
      <c r="W221" s="5782" t="str">
        <f>IF($W$67,"",IF(V$181&gt;$K219,$K219,V$181))</f>
        <v/>
      </c>
      <c r="X221" s="78"/>
      <c r="Y221" s="1185"/>
      <c r="Z221" s="431"/>
      <c r="AA221" s="431"/>
      <c r="AB221" s="1278"/>
      <c r="AC221" s="1276"/>
      <c r="AD221" s="1179"/>
      <c r="AE221" s="1179"/>
      <c r="AF221" s="1179"/>
      <c r="AG221" s="1179"/>
      <c r="AH221" s="1179"/>
      <c r="AI221" s="1179"/>
      <c r="AJ221" s="1145"/>
      <c r="AK221" s="1145"/>
      <c r="AL221" s="1145"/>
      <c r="AM221" s="1145"/>
      <c r="AN221" s="1145"/>
      <c r="AO221" s="1145"/>
      <c r="AP221" s="1145"/>
      <c r="AQ221" s="1145"/>
      <c r="AR221" s="1145"/>
      <c r="AS221" s="1504"/>
      <c r="AT221" s="431"/>
      <c r="AU221" s="42"/>
      <c r="AV221" s="1732"/>
      <c r="AW221" s="3155"/>
      <c r="AX221" s="42"/>
      <c r="AY221" s="42"/>
      <c r="AZ221" s="42"/>
      <c r="BA221" s="3155"/>
      <c r="BB221" s="42"/>
    </row>
    <row r="222" spans="1:95" ht="12" customHeight="1">
      <c r="A222" s="588"/>
      <c r="B222" s="2239"/>
      <c r="C222" s="2202"/>
      <c r="D222" s="2212" t="s">
        <v>1837</v>
      </c>
      <c r="E222" s="2202"/>
      <c r="F222" s="2202"/>
      <c r="G222" s="2212" t="str">
        <f>"4/15/"&amp;TaxYear+1-2000&amp;", whichever is earlier"</f>
        <v>4/15/22, whichever is earlier</v>
      </c>
      <c r="H222" s="2202"/>
      <c r="I222" s="2202"/>
      <c r="J222" s="2202"/>
      <c r="K222" s="2202"/>
      <c r="L222" s="2202"/>
      <c r="M222" s="2202"/>
      <c r="N222" s="1355" t="s">
        <v>697</v>
      </c>
      <c r="O222" s="2224">
        <v>12</v>
      </c>
      <c r="P222" s="8303" t="str">
        <f>IF($W$67,"",IF(Q221-P218&lt;0,0,SUM(Q221,-P218)))</f>
        <v/>
      </c>
      <c r="Q222" s="8304"/>
      <c r="R222" s="8303" t="str">
        <f>IF($W$67,"",IF(S221-R218&lt;0,0,SUM(S221,-R218)))</f>
        <v/>
      </c>
      <c r="S222" s="8304"/>
      <c r="T222" s="8303" t="str">
        <f>IF($W$67,"",IF(U221-T218&lt;0,0,SUM(U221,-T218)))</f>
        <v/>
      </c>
      <c r="U222" s="8304"/>
      <c r="V222" s="8303" t="str">
        <f>IF($W$67,"",IF(W221-V218&lt;0,0,SUM(W221,-V218)))</f>
        <v/>
      </c>
      <c r="W222" s="8304"/>
      <c r="X222" s="78"/>
      <c r="Y222" s="1185"/>
      <c r="Z222" s="431"/>
      <c r="AA222" s="431"/>
      <c r="AB222" s="2525" t="s">
        <v>346</v>
      </c>
      <c r="AC222" s="1276" t="s">
        <v>2559</v>
      </c>
      <c r="AD222" s="1179"/>
      <c r="AE222" s="1179"/>
      <c r="AF222" s="1179"/>
      <c r="AG222" s="1179"/>
      <c r="AH222" s="1179"/>
      <c r="AI222" s="1179"/>
      <c r="AJ222" s="1411" t="s">
        <v>346</v>
      </c>
      <c r="AK222" s="2045" t="str">
        <f>IF(AK205,"",SUM(AK200,AK204))</f>
        <v/>
      </c>
      <c r="AL222" s="1145"/>
      <c r="AM222" s="2045" t="str">
        <f>IF(AM205,"",SUM(AM200,AM204))</f>
        <v/>
      </c>
      <c r="AN222" s="1145"/>
      <c r="AO222" s="2045" t="str">
        <f>IF(AO205,"",SUM(AO200,AO204))</f>
        <v/>
      </c>
      <c r="AP222" s="1145"/>
      <c r="AQ222" s="2045" t="str">
        <f>IF(AQ205,"",SUM(AQ200,AQ204))</f>
        <v/>
      </c>
      <c r="AR222" s="1145"/>
      <c r="AS222" s="1504"/>
      <c r="AT222" s="431"/>
      <c r="AU222" s="42"/>
      <c r="AV222" s="1732"/>
      <c r="AW222" s="42"/>
      <c r="AX222" s="42"/>
      <c r="AY222" s="42"/>
      <c r="AZ222" s="42"/>
      <c r="BA222" s="3155"/>
      <c r="BB222" s="42"/>
      <c r="CO222" s="613"/>
    </row>
    <row r="223" spans="1:95" ht="13.5" customHeight="1">
      <c r="A223" s="588"/>
      <c r="B223" s="2239"/>
      <c r="C223" s="2202"/>
      <c r="D223" s="2202"/>
      <c r="E223" s="2202"/>
      <c r="F223" s="2202"/>
      <c r="G223" s="2202"/>
      <c r="H223" s="2202"/>
      <c r="I223" s="2202"/>
      <c r="J223" s="2202"/>
      <c r="K223" s="2202"/>
      <c r="L223" s="2202"/>
      <c r="M223" s="2202"/>
      <c r="N223" s="2208"/>
      <c r="O223" s="2205"/>
      <c r="P223" s="2209"/>
      <c r="Q223" s="2210"/>
      <c r="R223" s="2209"/>
      <c r="S223" s="2210"/>
      <c r="T223" s="2209"/>
      <c r="U223" s="2210"/>
      <c r="V223" s="2209"/>
      <c r="W223" s="2210"/>
      <c r="X223" s="78"/>
      <c r="Y223" s="1185"/>
      <c r="Z223" s="431"/>
      <c r="AA223" s="431"/>
      <c r="AB223" s="1278"/>
      <c r="AC223" s="1179"/>
      <c r="AD223" s="1179"/>
      <c r="AE223" s="1179"/>
      <c r="AF223" s="1179"/>
      <c r="AG223" s="1179"/>
      <c r="AH223" s="1179"/>
      <c r="AI223" s="1179"/>
      <c r="AJ223" s="1145"/>
      <c r="AK223" s="3975"/>
      <c r="AL223" s="3542"/>
      <c r="AM223" s="3542"/>
      <c r="AN223" s="3542"/>
      <c r="AO223" s="3542"/>
      <c r="AP223" s="3542"/>
      <c r="AQ223" s="3542"/>
      <c r="AR223" s="1145"/>
      <c r="AS223" s="1504"/>
      <c r="AT223" s="431"/>
      <c r="AU223" s="42"/>
      <c r="AV223" s="1732"/>
      <c r="AW223" s="42"/>
      <c r="AX223" s="42"/>
      <c r="AY223" s="42"/>
      <c r="AZ223" s="42"/>
      <c r="BA223" s="3155"/>
      <c r="BB223" s="42"/>
    </row>
    <row r="224" spans="1:95" ht="12.6" customHeight="1">
      <c r="A224" s="588"/>
      <c r="B224" s="2239"/>
      <c r="C224" s="2211">
        <v>13</v>
      </c>
      <c r="D224" s="2202"/>
      <c r="E224" s="1776" t="s">
        <v>1823</v>
      </c>
      <c r="F224" s="2202"/>
      <c r="G224" s="2202"/>
      <c r="H224" s="2212" t="s">
        <v>1583</v>
      </c>
      <c r="I224" s="2211"/>
      <c r="J224" s="2202"/>
      <c r="K224" s="2202"/>
      <c r="L224" s="2202"/>
      <c r="M224" s="2202"/>
      <c r="N224" s="2208"/>
      <c r="O224" s="2205"/>
      <c r="P224" s="3255"/>
      <c r="Q224" s="2210"/>
      <c r="R224" s="3255"/>
      <c r="S224" s="2210"/>
      <c r="T224" s="2209"/>
      <c r="U224" s="2210"/>
      <c r="V224" s="2209"/>
      <c r="W224" s="2210"/>
      <c r="X224" s="78"/>
      <c r="Y224" s="1185"/>
      <c r="Z224" s="431"/>
      <c r="AA224" s="431"/>
      <c r="AB224" s="2525" t="s">
        <v>347</v>
      </c>
      <c r="AC224" s="1276" t="s">
        <v>5562</v>
      </c>
      <c r="AD224" s="1179"/>
      <c r="AE224" s="1179"/>
      <c r="AF224" s="1179"/>
      <c r="AG224" s="1179"/>
      <c r="AH224" s="1179"/>
      <c r="AI224" s="1179"/>
      <c r="AJ224" s="1411" t="s">
        <v>347</v>
      </c>
      <c r="AK224" s="2045" t="str">
        <f>IF(AK205,"",MAX(0,SUM(AK220,-AK222)))</f>
        <v/>
      </c>
      <c r="AL224" s="3976"/>
      <c r="AM224" s="2045" t="str">
        <f>IF(AM205,"",MAX(0,SUM(AM220,-AM222)))</f>
        <v/>
      </c>
      <c r="AN224" s="3976"/>
      <c r="AO224" s="2045" t="str">
        <f>IF(AO205,"",MAX(0,SUM(AO220,-AO222)))</f>
        <v/>
      </c>
      <c r="AP224" s="3976"/>
      <c r="AQ224" s="2045" t="str">
        <f>IF(AQ205,"",MAX(0,SUM(AQ220,-AQ222)))</f>
        <v/>
      </c>
      <c r="AR224" s="1145"/>
      <c r="AS224" s="1504"/>
      <c r="AT224" s="431"/>
      <c r="AU224" s="42"/>
      <c r="AV224" s="1732"/>
      <c r="AW224" s="42"/>
      <c r="AX224" s="42"/>
      <c r="AY224" s="42"/>
      <c r="AZ224" s="42"/>
      <c r="BA224" s="3155"/>
      <c r="BB224" s="42"/>
      <c r="BY224" s="613"/>
      <c r="BZ224" s="613"/>
    </row>
    <row r="225" spans="1:95" ht="12.6" customHeight="1">
      <c r="A225" s="588"/>
      <c r="B225" s="2239"/>
      <c r="C225" s="2211"/>
      <c r="D225" s="2213"/>
      <c r="E225" s="1776" t="s">
        <v>1825</v>
      </c>
      <c r="F225" s="2202"/>
      <c r="G225" s="2201" t="s">
        <v>1202</v>
      </c>
      <c r="H225" s="2196"/>
      <c r="I225" s="1777" t="s">
        <v>3114</v>
      </c>
      <c r="J225" s="2196"/>
      <c r="K225" s="2216" t="s">
        <v>1202</v>
      </c>
      <c r="L225" s="8233">
        <v>0.03</v>
      </c>
      <c r="M225" s="8234"/>
      <c r="N225" s="8235"/>
      <c r="O225" s="2205"/>
      <c r="P225" s="2209"/>
      <c r="Q225" s="2210"/>
      <c r="R225" s="2209"/>
      <c r="S225" s="2210"/>
      <c r="T225" s="2209"/>
      <c r="U225" s="2210"/>
      <c r="V225" s="2209"/>
      <c r="W225" s="2210"/>
      <c r="X225" s="78"/>
      <c r="Y225" s="1185"/>
      <c r="Z225" s="431"/>
      <c r="AA225" s="431"/>
      <c r="AB225" s="1278"/>
      <c r="AC225" s="1179"/>
      <c r="AD225" s="1179"/>
      <c r="AE225" s="1179"/>
      <c r="AF225" s="1179"/>
      <c r="AG225" s="1179"/>
      <c r="AH225" s="1179"/>
      <c r="AI225" s="1179"/>
      <c r="AJ225" s="1145"/>
      <c r="AK225" s="3542"/>
      <c r="AL225" s="3542"/>
      <c r="AM225" s="3542"/>
      <c r="AN225" s="3542"/>
      <c r="AO225" s="3542"/>
      <c r="AP225" s="3542"/>
      <c r="AQ225" s="3542"/>
      <c r="AR225" s="1145"/>
      <c r="AS225" s="1504"/>
      <c r="AT225" s="431"/>
      <c r="AU225" s="42"/>
      <c r="AV225" s="1732"/>
      <c r="AW225" s="42"/>
      <c r="AX225" s="42"/>
      <c r="AY225" s="42"/>
      <c r="AZ225" s="42"/>
      <c r="BA225" s="3155"/>
      <c r="BB225" s="42"/>
    </row>
    <row r="226" spans="1:95" ht="12.6" customHeight="1">
      <c r="A226" s="588"/>
      <c r="B226" s="2239"/>
      <c r="C226" s="2202"/>
      <c r="D226" s="2213"/>
      <c r="E226" s="2202"/>
      <c r="F226" s="2202"/>
      <c r="G226" s="2202"/>
      <c r="H226" s="2202"/>
      <c r="I226" s="2221">
        <f>DaysInTaxYear</f>
        <v>365</v>
      </c>
      <c r="J226" s="2202"/>
      <c r="K226" s="2202"/>
      <c r="L226" s="2202"/>
      <c r="M226" s="2202"/>
      <c r="N226" s="1355"/>
      <c r="O226" s="2214">
        <v>13</v>
      </c>
      <c r="P226" s="8246" t="str">
        <f>IF($W$67,"",ROUND(P$186*P222/I226*L225,0))</f>
        <v/>
      </c>
      <c r="Q226" s="8247"/>
      <c r="R226" s="8246" t="str">
        <f>IF($W$67,"",ROUND(R$186*R222/$I226*$L225,0))</f>
        <v/>
      </c>
      <c r="S226" s="8247"/>
      <c r="T226" s="8246" t="str">
        <f>IF($W$67,"",ROUND(T$186*T222/$I226*$L225,0))</f>
        <v/>
      </c>
      <c r="U226" s="8247"/>
      <c r="V226" s="8246" t="str">
        <f>IF($W$67,"",ROUND(V$186*V222/$I226*$L225,0))</f>
        <v/>
      </c>
      <c r="W226" s="8247"/>
      <c r="X226" s="78"/>
      <c r="Y226" s="1185"/>
      <c r="Z226" s="431"/>
      <c r="AA226" s="431"/>
      <c r="AB226" s="2525" t="s">
        <v>348</v>
      </c>
      <c r="AC226" s="1276" t="s">
        <v>5561</v>
      </c>
      <c r="AD226" s="1283"/>
      <c r="AE226" s="1179"/>
      <c r="AF226" s="1179"/>
      <c r="AG226" s="1179"/>
      <c r="AH226" s="1179"/>
      <c r="AI226" s="1179"/>
      <c r="AJ226" s="1411" t="s">
        <v>348</v>
      </c>
      <c r="AK226" s="2045" t="str">
        <f>IF(AK205,"",MIN(AK212,AK224))</f>
        <v/>
      </c>
      <c r="AL226" s="3976"/>
      <c r="AM226" s="2045" t="str">
        <f>IF(AM205,"",MIN(AM212,AM224))</f>
        <v/>
      </c>
      <c r="AN226" s="3976"/>
      <c r="AO226" s="2045" t="str">
        <f>IF(AO205,"",MIN(AO212,AO224))</f>
        <v/>
      </c>
      <c r="AP226" s="3976"/>
      <c r="AQ226" s="2045" t="str">
        <f>IF(AQ205,"",MIN(AQ212,AQ224))</f>
        <v/>
      </c>
      <c r="AR226" s="1145"/>
      <c r="AS226" s="1504"/>
      <c r="AT226" s="431"/>
      <c r="AU226" s="42"/>
      <c r="AV226" s="1732"/>
      <c r="AW226" s="42"/>
      <c r="AX226" s="42"/>
      <c r="AY226" s="42"/>
      <c r="AZ226" s="42"/>
      <c r="BA226" s="3155"/>
      <c r="BB226" s="42"/>
    </row>
    <row r="227" spans="1:95" ht="12.6" customHeight="1">
      <c r="A227" s="588"/>
      <c r="B227" s="1686"/>
      <c r="C227" s="2231">
        <v>14</v>
      </c>
      <c r="D227" s="2353" t="s">
        <v>5539</v>
      </c>
      <c r="E227" s="1687"/>
      <c r="F227" s="1687"/>
      <c r="G227" s="1687"/>
      <c r="H227" s="1687"/>
      <c r="I227" s="1687"/>
      <c r="J227" s="1687"/>
      <c r="K227" s="1687"/>
      <c r="L227" s="1687"/>
      <c r="M227" s="1687"/>
      <c r="N227" s="1687"/>
      <c r="O227" s="1687"/>
      <c r="P227" s="1687"/>
      <c r="Q227" s="1687"/>
      <c r="R227" s="1687"/>
      <c r="S227" s="1687"/>
      <c r="T227" s="1687"/>
      <c r="U227" s="1687"/>
      <c r="V227" s="1686"/>
      <c r="W227" s="1687"/>
      <c r="X227" s="78"/>
      <c r="Y227" s="1185"/>
      <c r="Z227" s="431"/>
      <c r="AA227" s="431"/>
      <c r="AB227" s="1278"/>
      <c r="AC227" s="1284">
        <v>0.15</v>
      </c>
      <c r="AD227" s="1276"/>
      <c r="AE227" s="1179"/>
      <c r="AF227" s="1179"/>
      <c r="AG227" s="1179"/>
      <c r="AH227" s="1179"/>
      <c r="AI227" s="1179"/>
      <c r="AJ227" s="1145"/>
      <c r="AK227" s="3542"/>
      <c r="AL227" s="3542"/>
      <c r="AM227" s="3542"/>
      <c r="AN227" s="3542"/>
      <c r="AO227" s="3542"/>
      <c r="AP227" s="3542"/>
      <c r="AQ227" s="3542"/>
      <c r="AR227" s="1411"/>
      <c r="AS227" s="1504"/>
      <c r="AT227" s="431"/>
      <c r="AU227" s="42"/>
      <c r="AV227" s="1732"/>
      <c r="AW227" s="42"/>
      <c r="AX227" s="42"/>
      <c r="AY227" s="42"/>
      <c r="AZ227" s="42"/>
      <c r="BA227" s="3155"/>
      <c r="BB227" s="42"/>
    </row>
    <row r="228" spans="1:95" ht="12.6" customHeight="1">
      <c r="A228" s="588"/>
      <c r="B228" s="1689"/>
      <c r="C228" s="1145"/>
      <c r="D228" s="1410" t="s">
        <v>521</v>
      </c>
      <c r="E228" s="1145"/>
      <c r="F228" s="1145"/>
      <c r="G228" s="1145"/>
      <c r="H228" s="1145"/>
      <c r="I228" s="1145"/>
      <c r="J228" s="1145"/>
      <c r="K228" s="1145"/>
      <c r="L228" s="1145"/>
      <c r="M228" s="1145"/>
      <c r="N228" s="1145"/>
      <c r="O228" s="1145"/>
      <c r="P228" s="1145"/>
      <c r="Q228" s="1145"/>
      <c r="R228" s="1145"/>
      <c r="S228" s="1145"/>
      <c r="T228" s="1145"/>
      <c r="U228" s="1355" t="s">
        <v>1585</v>
      </c>
      <c r="V228" s="8342" t="str">
        <f>IF($W$67,"",ROUND(SUM(P206,R206,T206,P216,R216,T216,P226,R226,T226,V226),2))</f>
        <v/>
      </c>
      <c r="W228" s="8343"/>
      <c r="X228" s="78"/>
      <c r="Y228" s="1185"/>
      <c r="Z228" s="431"/>
      <c r="AA228" s="431"/>
      <c r="AB228" s="2525" t="s">
        <v>349</v>
      </c>
      <c r="AC228" s="1276" t="str">
        <f>"Multiply line 19 by "&amp;TEXT(AC227,"0%")&amp;" ("&amp;TEXT(AC227,"0.00")&amp;")"</f>
        <v>Multiply line 19 by 15% (0.15)</v>
      </c>
      <c r="AD228" s="1276"/>
      <c r="AE228" s="1179"/>
      <c r="AF228" s="1179"/>
      <c r="AG228" s="1179"/>
      <c r="AH228" s="1179"/>
      <c r="AI228" s="1179"/>
      <c r="AJ228" s="1411" t="s">
        <v>349</v>
      </c>
      <c r="AK228" s="2045" t="str">
        <f>IF(AK205,"",ROUND(AK226*$AC227,0))</f>
        <v/>
      </c>
      <c r="AL228" s="3976"/>
      <c r="AM228" s="2045" t="str">
        <f>IF(AM205,"",ROUND(AM226*$AC227,0))</f>
        <v/>
      </c>
      <c r="AN228" s="3976"/>
      <c r="AO228" s="2045" t="str">
        <f>IF(AO205,"",ROUND(AO226*$AC227,0))</f>
        <v/>
      </c>
      <c r="AP228" s="3976"/>
      <c r="AQ228" s="2045" t="str">
        <f>IF(AQ205,"",ROUND(AQ226*$AC227,0))</f>
        <v/>
      </c>
      <c r="AR228" s="1145"/>
      <c r="AS228" s="1504"/>
      <c r="AT228" s="431"/>
      <c r="AU228" s="42"/>
      <c r="AV228" s="1732"/>
      <c r="AW228" s="42"/>
      <c r="AX228" s="42"/>
      <c r="AY228" s="42"/>
      <c r="AZ228" s="42"/>
      <c r="BA228" s="3155"/>
      <c r="BB228" s="42"/>
      <c r="CN228" s="613"/>
      <c r="CQ228" s="613"/>
    </row>
    <row r="229" spans="1:95" ht="12.6" customHeight="1">
      <c r="A229" s="588"/>
      <c r="B229" s="1693"/>
      <c r="C229" s="1694"/>
      <c r="D229" s="1694"/>
      <c r="E229" s="1694"/>
      <c r="F229" s="1694"/>
      <c r="G229" s="1694"/>
      <c r="H229" s="1694"/>
      <c r="I229" s="1694"/>
      <c r="J229" s="1694"/>
      <c r="K229" s="1694"/>
      <c r="L229" s="1694"/>
      <c r="M229" s="1694"/>
      <c r="N229" s="1694"/>
      <c r="O229" s="1694"/>
      <c r="P229" s="1694"/>
      <c r="Q229" s="1694"/>
      <c r="R229" s="1694"/>
      <c r="S229" s="1694"/>
      <c r="T229" s="1694"/>
      <c r="U229" s="1694"/>
      <c r="V229" s="1693"/>
      <c r="W229" s="1694"/>
      <c r="X229" s="78"/>
      <c r="Y229" s="1185"/>
      <c r="Z229" s="431"/>
      <c r="AA229" s="431"/>
      <c r="AB229" s="1278"/>
      <c r="AC229" s="1276"/>
      <c r="AD229" s="1276"/>
      <c r="AE229" s="1179"/>
      <c r="AF229" s="1179"/>
      <c r="AG229" s="1179"/>
      <c r="AH229" s="1179"/>
      <c r="AI229" s="1179"/>
      <c r="AJ229" s="1145"/>
      <c r="AK229" s="3542"/>
      <c r="AL229" s="3542"/>
      <c r="AM229" s="3542"/>
      <c r="AN229" s="3542"/>
      <c r="AO229" s="3542"/>
      <c r="AP229" s="3542"/>
      <c r="AQ229" s="3542"/>
      <c r="AR229" s="1411"/>
      <c r="AS229" s="1504"/>
      <c r="AT229" s="431"/>
      <c r="AU229" s="42"/>
      <c r="AV229" s="1732"/>
      <c r="AW229" s="42"/>
      <c r="AX229" s="42"/>
      <c r="AY229" s="42"/>
      <c r="AZ229" s="42"/>
      <c r="BA229" s="3155"/>
      <c r="BB229" s="42"/>
      <c r="CP229" s="613"/>
    </row>
    <row r="230" spans="1:95" s="613" customFormat="1" ht="20.100000000000001" customHeight="1">
      <c r="A230" s="588"/>
      <c r="B230" s="1687"/>
      <c r="C230" s="1687"/>
      <c r="D230" s="1687"/>
      <c r="E230" s="1687"/>
      <c r="F230" s="1687"/>
      <c r="G230" s="1687"/>
      <c r="H230" s="1687"/>
      <c r="I230" s="1687"/>
      <c r="J230" s="1687"/>
      <c r="K230" s="1687"/>
      <c r="L230" s="1687"/>
      <c r="M230" s="1687"/>
      <c r="N230" s="1687"/>
      <c r="O230" s="1687"/>
      <c r="P230" s="1687"/>
      <c r="Q230" s="1687"/>
      <c r="R230" s="1687"/>
      <c r="S230" s="1687"/>
      <c r="T230" s="1687"/>
      <c r="U230" s="1687"/>
      <c r="V230" s="1687"/>
      <c r="W230" s="1687"/>
      <c r="X230" s="78"/>
      <c r="Y230" s="1185"/>
      <c r="Z230" s="431"/>
      <c r="AA230" s="431"/>
      <c r="AB230" s="2525" t="s">
        <v>350</v>
      </c>
      <c r="AC230" s="1276" t="s">
        <v>5563</v>
      </c>
      <c r="AD230" s="1276"/>
      <c r="AE230" s="1179"/>
      <c r="AF230" s="1179"/>
      <c r="AG230" s="1179"/>
      <c r="AH230" s="1179"/>
      <c r="AI230" s="1179"/>
      <c r="AJ230" s="1145"/>
      <c r="AK230" s="3542"/>
      <c r="AL230" s="3542"/>
      <c r="AM230" s="3542"/>
      <c r="AN230" s="3542"/>
      <c r="AO230" s="3542"/>
      <c r="AP230" s="3542"/>
      <c r="AQ230" s="3542"/>
      <c r="AR230" s="1411"/>
      <c r="AS230" s="1504"/>
      <c r="AT230" s="431"/>
      <c r="AU230" s="42"/>
      <c r="AV230" s="1732"/>
      <c r="AW230" s="42"/>
      <c r="AX230" s="42"/>
      <c r="AY230" s="42"/>
      <c r="AZ230" s="42"/>
      <c r="BA230" s="3155"/>
      <c r="BB230" s="42"/>
      <c r="BC230" s="2595"/>
      <c r="BD230" s="2595"/>
      <c r="BE230" s="2595"/>
      <c r="BF230" s="2595"/>
      <c r="BG230" s="2595"/>
      <c r="BH230" s="2595"/>
      <c r="BI230" s="2595"/>
      <c r="BJ230" s="2595"/>
      <c r="BK230" s="2595"/>
      <c r="BL230" s="2595"/>
      <c r="BM230" s="2595"/>
      <c r="BN230"/>
      <c r="BO230"/>
      <c r="BP230"/>
      <c r="BQ230"/>
      <c r="BR230"/>
      <c r="BS230"/>
      <c r="BT230"/>
      <c r="BU230"/>
      <c r="BV230"/>
      <c r="BW230"/>
      <c r="BX230"/>
      <c r="BY230"/>
      <c r="BZ230"/>
      <c r="CA230"/>
      <c r="CB230"/>
      <c r="CC230"/>
      <c r="CD230"/>
      <c r="CE230"/>
      <c r="CF230"/>
      <c r="CG230"/>
      <c r="CH230"/>
      <c r="CI230"/>
      <c r="CJ230"/>
      <c r="CK230"/>
      <c r="CL230"/>
      <c r="CM230"/>
      <c r="CN230"/>
      <c r="CO230"/>
      <c r="CP230"/>
      <c r="CQ230"/>
    </row>
    <row r="231" spans="1:95" ht="15.75">
      <c r="A231" s="588"/>
      <c r="B231" s="4825" t="str">
        <f>"Instructions for Form 2210 ("&amp;TaxYear&amp;")"</f>
        <v>Instructions for Form 2210 (2021)</v>
      </c>
      <c r="C231" s="1145"/>
      <c r="D231" s="1145"/>
      <c r="E231" s="1145"/>
      <c r="F231" s="1145"/>
      <c r="G231" s="1145"/>
      <c r="H231" s="1145"/>
      <c r="I231" s="1145"/>
      <c r="J231" s="1145"/>
      <c r="K231" s="1145"/>
      <c r="L231" s="1145"/>
      <c r="M231" s="1145"/>
      <c r="N231" s="1145"/>
      <c r="O231" s="2242" t="s">
        <v>5540</v>
      </c>
      <c r="P231" s="1145"/>
      <c r="Q231" s="1145"/>
      <c r="R231" s="1145"/>
      <c r="S231" s="1145"/>
      <c r="T231" s="1145"/>
      <c r="U231" s="1145"/>
      <c r="V231" s="1145"/>
      <c r="W231" s="2241"/>
      <c r="X231" s="78"/>
      <c r="Y231" s="1185"/>
      <c r="Z231" s="431"/>
      <c r="AA231" s="431"/>
      <c r="AB231" s="1278"/>
      <c r="AC231" s="1276" t="s">
        <v>5584</v>
      </c>
      <c r="AD231" s="1179"/>
      <c r="AE231" s="1179"/>
      <c r="AF231" s="1179"/>
      <c r="AG231" s="1179"/>
      <c r="AH231" s="1179"/>
      <c r="AI231" s="1179"/>
      <c r="AJ231" s="1145"/>
      <c r="AK231" s="1145"/>
      <c r="AL231" s="1145"/>
      <c r="AM231" s="1145"/>
      <c r="AN231" s="1145"/>
      <c r="AO231" s="1145"/>
      <c r="AP231" s="1145"/>
      <c r="AQ231" s="1145"/>
      <c r="AR231" s="1145"/>
      <c r="AS231" s="1504"/>
      <c r="AT231" s="431"/>
      <c r="AU231" s="42"/>
      <c r="AV231" s="1732"/>
      <c r="AW231" s="42"/>
      <c r="AX231" s="42"/>
      <c r="AY231" s="42"/>
      <c r="AZ231" s="42"/>
      <c r="BA231" s="3155"/>
      <c r="BB231" s="42"/>
    </row>
    <row r="232" spans="1:95" ht="12.6" customHeight="1">
      <c r="A232" s="588"/>
      <c r="B232" s="1145"/>
      <c r="C232" s="1145"/>
      <c r="D232" s="1145"/>
      <c r="E232" s="1145"/>
      <c r="F232" s="1145"/>
      <c r="G232" s="1145"/>
      <c r="H232" s="1145"/>
      <c r="I232" s="1145"/>
      <c r="J232" s="1145"/>
      <c r="K232" s="1145"/>
      <c r="L232" s="1145"/>
      <c r="M232" s="1145"/>
      <c r="N232" s="1145"/>
      <c r="O232" s="1145"/>
      <c r="P232" s="1145"/>
      <c r="Q232" s="1145"/>
      <c r="R232" s="1145"/>
      <c r="S232" s="1145"/>
      <c r="T232" s="1145"/>
      <c r="U232" s="1145"/>
      <c r="V232" s="1145"/>
      <c r="W232" s="1145"/>
      <c r="X232" s="78"/>
      <c r="Y232" s="1185"/>
      <c r="Z232" s="431"/>
      <c r="AA232" s="431"/>
      <c r="AB232" s="2525"/>
      <c r="AC232" s="1276" t="s">
        <v>5583</v>
      </c>
      <c r="AD232" s="1179"/>
      <c r="AE232" s="1179"/>
      <c r="AF232" s="1179"/>
      <c r="AG232" s="1179"/>
      <c r="AH232" s="1179"/>
      <c r="AI232" s="1179"/>
      <c r="AJ232" s="1411" t="s">
        <v>350</v>
      </c>
      <c r="AK232" s="2045" t="str">
        <f>IF(AK205,"",SUM(AK204,AK226))</f>
        <v/>
      </c>
      <c r="AL232" s="1145"/>
      <c r="AM232" s="2045" t="str">
        <f>IF(AM205,"",SUM(AM204,AM226))</f>
        <v/>
      </c>
      <c r="AN232" s="1145"/>
      <c r="AO232" s="2045" t="str">
        <f>IF(AO205,"",SUM(AO204,AO226))</f>
        <v/>
      </c>
      <c r="AP232" s="1145"/>
      <c r="AQ232" s="2045" t="str">
        <f>IF(AQ205,"",SUM(AQ204,AQ226))</f>
        <v/>
      </c>
      <c r="AR232" s="1145"/>
      <c r="AS232" s="1504"/>
      <c r="AT232" s="431"/>
      <c r="AU232" s="42"/>
      <c r="AV232" s="1732"/>
      <c r="AW232" s="42"/>
      <c r="AX232" s="42"/>
      <c r="AY232" s="42"/>
      <c r="AZ232" s="42"/>
      <c r="BA232" s="3155"/>
      <c r="BB232" s="42"/>
      <c r="CO232" s="613"/>
    </row>
    <row r="233" spans="1:95" ht="12.6" customHeight="1" thickBot="1">
      <c r="A233" s="58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1185"/>
      <c r="Z233" s="431"/>
      <c r="AA233" s="431"/>
      <c r="AB233" s="1278"/>
      <c r="AC233" s="1276"/>
      <c r="AD233" s="1276"/>
      <c r="AE233" s="1179"/>
      <c r="AF233" s="1179"/>
      <c r="AG233" s="1179"/>
      <c r="AH233" s="1179"/>
      <c r="AI233" s="1179"/>
      <c r="AJ233" s="1145"/>
      <c r="AK233" s="5776" t="b">
        <f>AK170=SUM(AK222,AK226)</f>
        <v>1</v>
      </c>
      <c r="AL233" s="3975"/>
      <c r="AM233" s="5776" t="b">
        <f>AM170=SUM(AM222,AM226)</f>
        <v>1</v>
      </c>
      <c r="AN233" s="3975"/>
      <c r="AO233" s="5776" t="b">
        <f>AO170=SUM(AO222,AO226)</f>
        <v>1</v>
      </c>
      <c r="AP233" s="3975"/>
      <c r="AQ233" s="5776" t="b">
        <f>AQ170=SUM(AQ222,AQ226)</f>
        <v>1</v>
      </c>
      <c r="AR233" s="1411"/>
      <c r="AS233" s="1504"/>
      <c r="AT233" s="431"/>
      <c r="AU233" s="42"/>
      <c r="AV233" s="1732"/>
      <c r="AW233" s="42"/>
      <c r="AX233" s="42"/>
      <c r="AY233" s="42"/>
      <c r="AZ233" s="42"/>
      <c r="BA233" s="3155"/>
      <c r="BB233" s="42"/>
    </row>
    <row r="234" spans="1:95" ht="12.6" customHeight="1" thickTop="1">
      <c r="O234" s="2243"/>
      <c r="P234" s="2402"/>
      <c r="Q234" s="2403"/>
      <c r="R234" s="2403"/>
      <c r="S234" s="2403"/>
      <c r="T234" s="2403"/>
      <c r="U234" s="2403"/>
      <c r="V234" s="2403"/>
      <c r="W234" s="2403"/>
      <c r="X234" s="2404"/>
      <c r="Y234" s="2258"/>
      <c r="Z234" s="431"/>
      <c r="AA234" s="431"/>
      <c r="AB234" s="2525" t="s">
        <v>351</v>
      </c>
      <c r="AC234" s="1276" t="s">
        <v>5564</v>
      </c>
      <c r="AD234" s="1276"/>
      <c r="AE234" s="1179"/>
      <c r="AF234" s="1179"/>
      <c r="AG234" s="1179"/>
      <c r="AH234" s="1179"/>
      <c r="AI234" s="1179"/>
      <c r="AJ234" s="1411" t="s">
        <v>351</v>
      </c>
      <c r="AK234" s="2045" t="str">
        <f>IF(OR(AK205,AK233),"",SUM(AK208,-AK232))</f>
        <v/>
      </c>
      <c r="AL234" s="3976"/>
      <c r="AM234" s="2045" t="str">
        <f>IF(OR(AM205,AM233),"",SUM(AM208,-AM232))</f>
        <v/>
      </c>
      <c r="AN234" s="3976"/>
      <c r="AO234" s="2045" t="str">
        <f>IF(OR(AO205,AO233),"",SUM(AO208,-AO232))</f>
        <v/>
      </c>
      <c r="AP234" s="3976"/>
      <c r="AQ234" s="2045" t="str">
        <f>IF(OR(AQ205,AQ233),"",SUM(AQ208,-AQ232))</f>
        <v/>
      </c>
      <c r="AR234" s="1145"/>
      <c r="AS234" s="1504"/>
      <c r="AT234" s="431"/>
      <c r="AU234" s="42"/>
      <c r="AV234" s="1732"/>
      <c r="AW234" s="42"/>
      <c r="AX234" s="42"/>
      <c r="AY234" s="42"/>
      <c r="AZ234" s="42"/>
      <c r="BA234" s="42"/>
      <c r="BB234" s="42"/>
    </row>
    <row r="235" spans="1:95" ht="13.5" thickBot="1">
      <c r="O235" s="2243"/>
      <c r="P235" s="2405"/>
      <c r="Q235" s="1179"/>
      <c r="R235" s="1179"/>
      <c r="S235" s="2406" t="str">
        <f>IF($X$241,"Payments must be entered in order","")</f>
        <v/>
      </c>
      <c r="T235" s="2406"/>
      <c r="U235" s="1179"/>
      <c r="V235" s="1179"/>
      <c r="W235" s="1179"/>
      <c r="X235" s="2407"/>
      <c r="Y235" s="2258"/>
      <c r="Z235" s="431"/>
      <c r="AA235" s="431"/>
      <c r="AB235" s="1278"/>
      <c r="AC235" s="1284">
        <v>0.2</v>
      </c>
      <c r="AD235" s="1276"/>
      <c r="AE235" s="1179"/>
      <c r="AF235" s="1179"/>
      <c r="AG235" s="1179"/>
      <c r="AH235" s="1179"/>
      <c r="AI235" s="1179"/>
      <c r="AJ235" s="1145"/>
      <c r="AK235" s="3542"/>
      <c r="AL235" s="3542"/>
      <c r="AM235" s="3542"/>
      <c r="AN235" s="3542"/>
      <c r="AO235" s="3542"/>
      <c r="AP235" s="3542"/>
      <c r="AQ235" s="3542"/>
      <c r="AR235" s="1411"/>
      <c r="AS235" s="1504"/>
      <c r="AT235" s="431"/>
      <c r="AU235" s="42"/>
      <c r="AV235" s="1732"/>
      <c r="AW235" s="42"/>
      <c r="AX235" s="42"/>
      <c r="AY235" s="42"/>
      <c r="AZ235" s="42"/>
      <c r="BA235" s="42"/>
      <c r="BB235" s="42"/>
    </row>
    <row r="236" spans="1:95" ht="17.25" thickTop="1" thickBot="1">
      <c r="F236" s="7689" t="s">
        <v>1831</v>
      </c>
      <c r="G236" s="7690"/>
      <c r="H236" s="7690"/>
      <c r="I236" s="7690"/>
      <c r="J236" s="8229"/>
      <c r="K236" s="8230"/>
      <c r="O236" s="2243"/>
      <c r="P236" s="2405"/>
      <c r="Q236" s="1276"/>
      <c r="R236" s="1179"/>
      <c r="S236" s="2408"/>
      <c r="T236" s="2408" t="str">
        <f>IF(Y241&gt;0,"Entries must be made in order (by date).","Enter taxes paid and withheld here.")</f>
        <v>Enter taxes paid and withheld here.</v>
      </c>
      <c r="U236" s="1179"/>
      <c r="V236" s="1179"/>
      <c r="W236" s="1179"/>
      <c r="X236" s="2407"/>
      <c r="Y236" s="2258"/>
      <c r="Z236" s="431"/>
      <c r="AA236" s="431"/>
      <c r="AB236" s="2525" t="s">
        <v>352</v>
      </c>
      <c r="AC236" s="1276" t="str">
        <f>"Multiply line 26 by "&amp;TEXT(AC235,"0%")&amp;" ("&amp;TEXT(AC235,"0.00")&amp;")"</f>
        <v>Multiply line 26 by 20% (0.20)</v>
      </c>
      <c r="AD236" s="1276"/>
      <c r="AE236" s="1179"/>
      <c r="AF236" s="1179"/>
      <c r="AG236" s="1179"/>
      <c r="AH236" s="1179"/>
      <c r="AI236" s="1179"/>
      <c r="AJ236" s="1411" t="s">
        <v>352</v>
      </c>
      <c r="AK236" s="2045" t="str">
        <f>IF(OR(AK205,AK233),"",ROUND(AK234*$AC235,0))</f>
        <v/>
      </c>
      <c r="AL236" s="3976"/>
      <c r="AM236" s="2045" t="str">
        <f>IF(OR(AM205,AM233),"",ROUND(AM234*$AC235,0))</f>
        <v/>
      </c>
      <c r="AN236" s="3976"/>
      <c r="AO236" s="2045" t="str">
        <f>IF(OR(AO205,AO233),"",ROUND(AO234*$AC235,0))</f>
        <v/>
      </c>
      <c r="AP236" s="3976"/>
      <c r="AQ236" s="2045" t="str">
        <f>IF(OR(AQ205,AQ233),"",ROUND(AQ234*$AC235,0))</f>
        <v/>
      </c>
      <c r="AR236" s="1145"/>
      <c r="AS236" s="1504"/>
      <c r="AT236" s="431"/>
      <c r="AU236" s="42"/>
      <c r="AV236" s="1732"/>
      <c r="AW236" s="42"/>
      <c r="AX236" s="42"/>
      <c r="AY236" s="42"/>
      <c r="AZ236" s="42"/>
      <c r="BA236" s="42"/>
      <c r="BB236" s="42"/>
    </row>
    <row r="237" spans="1:95" ht="12.6" customHeight="1" thickTop="1" thickBot="1">
      <c r="F237" s="42"/>
      <c r="G237" s="42"/>
      <c r="H237" s="42"/>
      <c r="I237" s="42"/>
      <c r="J237" s="42"/>
      <c r="K237" s="42"/>
      <c r="O237" s="2243"/>
      <c r="P237" s="2405"/>
      <c r="Q237" s="1179"/>
      <c r="R237" s="1179"/>
      <c r="S237" s="2409" t="str">
        <f>IF($X$241,"by date.","")</f>
        <v/>
      </c>
      <c r="T237" s="2409"/>
      <c r="U237" s="1179"/>
      <c r="V237" s="1179"/>
      <c r="W237" s="1179"/>
      <c r="X237" s="2407"/>
      <c r="Y237" s="2258"/>
      <c r="Z237" s="431"/>
      <c r="AA237" s="431"/>
      <c r="AB237" s="1278"/>
      <c r="AC237" s="1276"/>
      <c r="AD237" s="1276"/>
      <c r="AE237" s="1179"/>
      <c r="AF237" s="1179"/>
      <c r="AG237" s="1179"/>
      <c r="AH237" s="1179"/>
      <c r="AI237" s="1179"/>
      <c r="AJ237" s="1145"/>
      <c r="AK237" s="3542"/>
      <c r="AL237" s="3542"/>
      <c r="AM237" s="3542"/>
      <c r="AN237" s="3542"/>
      <c r="AO237" s="3542"/>
      <c r="AP237" s="3542"/>
      <c r="AQ237" s="3542"/>
      <c r="AR237" s="1411"/>
      <c r="AS237" s="1504"/>
      <c r="AT237" s="431"/>
      <c r="AU237" s="42"/>
      <c r="AV237" s="1732"/>
      <c r="AW237" s="42"/>
      <c r="AX237" s="42"/>
      <c r="AY237" s="42"/>
      <c r="AZ237" s="42"/>
      <c r="BA237" s="42"/>
      <c r="BB237" s="42"/>
    </row>
    <row r="238" spans="1:95" ht="14.25" thickTop="1" thickBot="1">
      <c r="F238" s="7026" t="s">
        <v>1830</v>
      </c>
      <c r="G238" s="7027"/>
      <c r="H238" s="7027"/>
      <c r="I238" s="7027"/>
      <c r="J238" s="8231"/>
      <c r="K238" s="8232"/>
      <c r="O238" s="2243"/>
      <c r="P238" s="2405"/>
      <c r="Q238" s="431"/>
      <c r="R238" s="431"/>
      <c r="S238" s="431"/>
      <c r="T238" s="431"/>
      <c r="U238" s="431"/>
      <c r="V238" s="431"/>
      <c r="W238" s="431"/>
      <c r="X238" s="2407"/>
      <c r="Y238" s="2258"/>
      <c r="Z238" s="431"/>
      <c r="AA238" s="431"/>
      <c r="AB238" s="2525" t="s">
        <v>2662</v>
      </c>
      <c r="AC238" s="1276" t="s">
        <v>5565</v>
      </c>
      <c r="AD238" s="1276"/>
      <c r="AE238" s="1179"/>
      <c r="AF238" s="1179"/>
      <c r="AG238" s="1179"/>
      <c r="AH238" s="1179"/>
      <c r="AI238" s="1179"/>
      <c r="AJ238" s="1411" t="s">
        <v>2662</v>
      </c>
      <c r="AK238" s="2045" t="str">
        <f>IF(OR(AK205,AK233),"",MIN(AK174,AK180))</f>
        <v/>
      </c>
      <c r="AL238" s="3976"/>
      <c r="AM238" s="2045" t="str">
        <f>IF(OR(AM205,AM233),"",MIN(AM174,AM180))</f>
        <v/>
      </c>
      <c r="AN238" s="3976"/>
      <c r="AO238" s="2045" t="str">
        <f>IF(OR(AO205,AO233),"",MIN(AO174,AO180))</f>
        <v/>
      </c>
      <c r="AP238" s="3976"/>
      <c r="AQ238" s="2045" t="str">
        <f>IF(OR(AQ205,AQ233),"",MIN(AQ174,AQ180))</f>
        <v/>
      </c>
      <c r="AR238" s="1145"/>
      <c r="AS238" s="1504"/>
      <c r="AT238" s="431"/>
      <c r="AU238" s="42"/>
      <c r="AV238" s="1732"/>
      <c r="AW238" s="42"/>
      <c r="AX238" s="42"/>
      <c r="AY238" s="42"/>
      <c r="AZ238" s="42"/>
      <c r="BA238" s="42"/>
      <c r="BB238" s="42"/>
      <c r="CQ238" s="613"/>
    </row>
    <row r="239" spans="1:95" ht="15.95" customHeight="1" thickTop="1">
      <c r="O239" s="1284"/>
      <c r="P239" s="2405"/>
      <c r="Q239" s="431"/>
      <c r="R239" s="431"/>
      <c r="S239" s="2410" t="s">
        <v>1838</v>
      </c>
      <c r="T239" s="431"/>
      <c r="U239" s="431"/>
      <c r="V239" s="431"/>
      <c r="W239" s="2410" t="s">
        <v>1848</v>
      </c>
      <c r="X239" s="2407"/>
      <c r="Y239" s="2258"/>
      <c r="Z239" s="431"/>
      <c r="AA239" s="431"/>
      <c r="AB239" s="1278"/>
      <c r="AC239" s="1276"/>
      <c r="AD239" s="1276"/>
      <c r="AE239" s="1179"/>
      <c r="AF239" s="1179"/>
      <c r="AG239" s="1179"/>
      <c r="AH239" s="1179"/>
      <c r="AI239" s="1179"/>
      <c r="AJ239" s="1145"/>
      <c r="AK239" s="3542"/>
      <c r="AL239" s="3542"/>
      <c r="AM239" s="3542"/>
      <c r="AN239" s="3542"/>
      <c r="AO239" s="3542"/>
      <c r="AP239" s="3542"/>
      <c r="AQ239" s="3542"/>
      <c r="AR239" s="1411"/>
      <c r="AS239" s="1504"/>
      <c r="AT239" s="431"/>
      <c r="AU239" s="42"/>
      <c r="AV239" s="1732"/>
      <c r="AW239" s="42"/>
      <c r="AX239" s="42"/>
      <c r="AY239" s="42"/>
      <c r="AZ239" s="42"/>
      <c r="BA239" s="42"/>
      <c r="BB239" s="42"/>
      <c r="CP239" s="613"/>
    </row>
    <row r="240" spans="1:95" s="613" customFormat="1" ht="20.100000000000001" customHeight="1" thickBot="1">
      <c r="A240"/>
      <c r="B240"/>
      <c r="C240"/>
      <c r="D240"/>
      <c r="E240"/>
      <c r="F240"/>
      <c r="G240"/>
      <c r="H240"/>
      <c r="I240"/>
      <c r="J240"/>
      <c r="K240"/>
      <c r="L240"/>
      <c r="M240"/>
      <c r="N240"/>
      <c r="O240" s="4734"/>
      <c r="P240" s="2405"/>
      <c r="Q240" s="2410" t="s">
        <v>1836</v>
      </c>
      <c r="R240" s="431"/>
      <c r="S240" s="2410" t="s">
        <v>1840</v>
      </c>
      <c r="T240" s="431"/>
      <c r="U240" s="2410" t="s">
        <v>1839</v>
      </c>
      <c r="V240" s="431"/>
      <c r="W240" s="2410" t="s">
        <v>1847</v>
      </c>
      <c r="X240" s="2407"/>
      <c r="Y240" s="2258"/>
      <c r="Z240" s="431"/>
      <c r="AA240" s="431"/>
      <c r="AB240" s="2525" t="s">
        <v>2663</v>
      </c>
      <c r="AC240" s="1276" t="s">
        <v>5566</v>
      </c>
      <c r="AD240" s="1276"/>
      <c r="AE240" s="1179"/>
      <c r="AF240" s="1179"/>
      <c r="AG240" s="1179"/>
      <c r="AH240" s="1179"/>
      <c r="AI240" s="1179"/>
      <c r="AJ240" s="1411" t="s">
        <v>2663</v>
      </c>
      <c r="AK240" s="2045" t="str">
        <f>IF(OR(AK205,AK233),"",SUM(AK176,AK200))</f>
        <v/>
      </c>
      <c r="AL240" s="3976"/>
      <c r="AM240" s="2045" t="str">
        <f>IF(OR(AM205,AM233),"",SUM(AM176,AM200))</f>
        <v/>
      </c>
      <c r="AN240" s="3976"/>
      <c r="AO240" s="2045" t="str">
        <f>IF(OR(AO205,AO233),"",SUM(AO176,AO200))</f>
        <v/>
      </c>
      <c r="AP240" s="3976"/>
      <c r="AQ240" s="2045" t="str">
        <f>IF(OR(AQ205,AQ233),"",SUM(AQ176,AQ200))</f>
        <v/>
      </c>
      <c r="AR240" s="1411"/>
      <c r="AS240" s="1504"/>
      <c r="AT240" s="431"/>
      <c r="AU240" s="42"/>
      <c r="AV240" s="1732"/>
      <c r="AW240" s="42"/>
      <c r="AX240" s="42"/>
      <c r="AY240" s="42"/>
      <c r="AZ240" s="42"/>
      <c r="BA240" s="42"/>
      <c r="BB240" s="42"/>
      <c r="BC240" s="2595"/>
      <c r="BD240" s="2595"/>
      <c r="BE240" s="2595"/>
      <c r="BF240" s="2595"/>
      <c r="BG240" s="2595"/>
      <c r="BH240" s="2595"/>
      <c r="BI240" s="2595"/>
      <c r="BJ240" s="2595"/>
      <c r="BK240" s="2595"/>
      <c r="BL240" s="2595"/>
      <c r="BM240" s="2595"/>
      <c r="BN240"/>
      <c r="BO240"/>
      <c r="BP240"/>
      <c r="BQ240"/>
      <c r="BR240"/>
      <c r="BS240"/>
      <c r="BT240"/>
      <c r="BU240"/>
      <c r="BV240"/>
      <c r="BW240"/>
      <c r="BX240"/>
      <c r="BY240"/>
      <c r="BZ240"/>
      <c r="CA240"/>
      <c r="CB240"/>
      <c r="CC240"/>
      <c r="CD240"/>
      <c r="CE240"/>
      <c r="CF240"/>
      <c r="CG240"/>
      <c r="CH240"/>
      <c r="CI240"/>
      <c r="CJ240"/>
      <c r="CK240"/>
      <c r="CL240"/>
      <c r="CM240"/>
      <c r="CN240"/>
      <c r="CO240"/>
      <c r="CP240"/>
      <c r="CQ240"/>
    </row>
    <row r="241" spans="1:95" ht="12.6" customHeight="1">
      <c r="O241" s="5784">
        <f t="shared" ref="O241:O272" si="0">ROW(Q241)</f>
        <v>241</v>
      </c>
      <c r="P241" s="2405"/>
      <c r="Q241" s="2272"/>
      <c r="R241" s="431"/>
      <c r="S241" s="2269"/>
      <c r="T241" s="431"/>
      <c r="U241" s="2275" t="str">
        <f>IF(S241&lt;&gt;"",S241,"")</f>
        <v/>
      </c>
      <c r="V241" s="431"/>
      <c r="W241" s="2266" t="str">
        <f>IF(S241="","",IF(AND(Q241&lt;$P$179,Q242&gt;=$P$179),SUM($P$77,-U241),IF(AND(Q241&lt;$R$179,Q242&gt;=$R$179),SUM($P$77,$R$77,-U241),IF(AND(Q241&lt;$T$179,Q242&gt;=$T$179),SUM($P$77,$R$77,$T$77,-U241),IF(AND(Q241&lt;$V$179,Q242&gt;=$V$179),SUM($P$77,$R$77,$T$77,$V$77,-U241),0)))))</f>
        <v/>
      </c>
      <c r="X241" s="2407"/>
      <c r="Y241" s="2258">
        <f>SUM(Y242:Y295)</f>
        <v>0</v>
      </c>
      <c r="Z241" s="431"/>
      <c r="AA241" s="431"/>
      <c r="AB241" s="1278"/>
      <c r="AC241" s="1276"/>
      <c r="AD241" s="1276"/>
      <c r="AE241" s="1179"/>
      <c r="AF241" s="1179"/>
      <c r="AG241" s="1179"/>
      <c r="AH241" s="1179"/>
      <c r="AI241" s="1179"/>
      <c r="AJ241" s="1145"/>
      <c r="AK241" s="3542"/>
      <c r="AL241" s="3542"/>
      <c r="AM241" s="3542"/>
      <c r="AN241" s="3542"/>
      <c r="AO241" s="3542"/>
      <c r="AP241" s="3542"/>
      <c r="AQ241" s="3542"/>
      <c r="AR241" s="1411"/>
      <c r="AS241" s="1504"/>
      <c r="AT241" s="431"/>
      <c r="AU241" s="42"/>
      <c r="AV241" s="1732"/>
      <c r="AW241" s="42"/>
      <c r="AX241" s="42"/>
      <c r="AY241" s="42"/>
      <c r="AZ241" s="42"/>
      <c r="BA241" s="42"/>
      <c r="BB241" s="42"/>
      <c r="BN241" s="1291" t="s">
        <v>2260</v>
      </c>
      <c r="BO241" s="1291" t="s">
        <v>2261</v>
      </c>
      <c r="BP241" s="1291" t="s">
        <v>2262</v>
      </c>
      <c r="BQ241" s="1291" t="s">
        <v>2263</v>
      </c>
      <c r="BR241" s="1291" t="s">
        <v>2264</v>
      </c>
      <c r="BS241" s="1291" t="s">
        <v>2265</v>
      </c>
      <c r="BT241" s="1291" t="s">
        <v>2266</v>
      </c>
      <c r="BU241" s="1291" t="s">
        <v>2267</v>
      </c>
      <c r="BV241" s="1291" t="s">
        <v>2268</v>
      </c>
      <c r="BW241" s="1291" t="s">
        <v>2269</v>
      </c>
      <c r="BX241" s="1291" t="s">
        <v>2270</v>
      </c>
      <c r="BY241" s="1291" t="s">
        <v>2271</v>
      </c>
    </row>
    <row r="242" spans="1:95" ht="12.6" customHeight="1">
      <c r="O242" s="5784">
        <f t="shared" si="0"/>
        <v>242</v>
      </c>
      <c r="P242" s="2405"/>
      <c r="Q242" s="2273"/>
      <c r="R242" s="431"/>
      <c r="S242" s="2270"/>
      <c r="T242" s="431"/>
      <c r="U242" s="2276" t="str">
        <f>IF(S242&lt;&gt;"",U241+S242,"")</f>
        <v/>
      </c>
      <c r="V242" s="431"/>
      <c r="W242" s="2267" t="str">
        <f>IF(S242="","",IF(AND(Q242&lt;$P$179,Q243&gt;=$P$179),SUM($P$77,-U242),IF(AND(Q242&lt;$R$179,Q243&gt;=$R$179),SUM($P$77,$R$77,-U242),IF(AND(Q242&lt;$T$179,Q243&gt;=$T$179),SUM($P$77,$R$77,$T$77,-U242),IF(AND(Q242&lt;$V$179,Q243&gt;=$V$179),SUM($P$77,$R$77,$T$77,$V$77,-U242),0)))))</f>
        <v/>
      </c>
      <c r="X242" s="2407"/>
      <c r="Y242" s="2258">
        <f t="shared" ref="Y242:Y273" si="1">IF(OR(Q242="",Q242&gt;Q241),0,1)</f>
        <v>0</v>
      </c>
      <c r="Z242" s="431"/>
      <c r="AA242" s="431"/>
      <c r="AB242" s="2525" t="s">
        <v>5567</v>
      </c>
      <c r="AC242" s="1276" t="s">
        <v>561</v>
      </c>
      <c r="AD242" s="1276"/>
      <c r="AE242" s="1179"/>
      <c r="AF242" s="1179"/>
      <c r="AG242" s="1179"/>
      <c r="AH242" s="1179"/>
      <c r="AI242" s="1179"/>
      <c r="AJ242" s="1411" t="s">
        <v>5567</v>
      </c>
      <c r="AK242" s="2045" t="str">
        <f>IF(OR(AK205,AK233),"",AK170)</f>
        <v/>
      </c>
      <c r="AL242" s="3976"/>
      <c r="AM242" s="2045" t="str">
        <f>IF(OR(AM205,AM233),"",AM170)</f>
        <v/>
      </c>
      <c r="AN242" s="3976"/>
      <c r="AO242" s="2045" t="str">
        <f>IF(OR(AO205,AO233),"",AO170)</f>
        <v/>
      </c>
      <c r="AP242" s="3976"/>
      <c r="AQ242" s="2045" t="str">
        <f>IF(OR(AQ205,AQ233),"",AQ170)</f>
        <v/>
      </c>
      <c r="AR242" s="1411"/>
      <c r="AS242" s="1504"/>
      <c r="AT242" s="431"/>
      <c r="AU242" s="42"/>
      <c r="AV242" s="1732"/>
      <c r="AW242" s="42"/>
      <c r="AX242" s="42"/>
      <c r="AY242" s="42"/>
      <c r="AZ242" s="42"/>
      <c r="BA242" s="42"/>
      <c r="BB242" s="42"/>
      <c r="BN242" s="2873">
        <f>IF(OR($Q241&lt;$P$188,$Q241&gt;$K$189),0,MIN($P$180,$S241)*SUM(MIN($Q241,$K$189),-$P$188)/$I$196*$L$195)</f>
        <v>0</v>
      </c>
      <c r="BO242" s="2873">
        <f>IF(OR($Q241&lt;$P$198,$Q241&gt;$K$199),0,MIN($P$180,$S241)*SUM(MIN($Q241,$K$199),-$P$198)/$I$206*$L$205)</f>
        <v>0</v>
      </c>
      <c r="BP242" s="2873">
        <f>IF(OR($Q241&lt;$P$208,$Q241&gt;$K$209),0,MIN($P$180,$S241)*SUM(MIN($Q241,$K$209),-$P$208)/$I$216*$L$215)</f>
        <v>0</v>
      </c>
      <c r="BQ242" s="2873">
        <f>IF(OR($Q241&lt;$P$218,$Q241&gt;$K$219),0,MIN($P$180,$S241)*SUM(MIN($Q241,$K$219),-$P$218)/$I$226*$L$225)</f>
        <v>0</v>
      </c>
      <c r="BR242" s="2873">
        <f>IF(OR($Q241&lt;$R$188,$Q241&gt;$K$189),0,IF($U241&gt;$P$180,MIN(SUM($U241,-$P$180),$S241,$R$180)*SUM(MIN($Q241,$K$189),-$R$188)/$I$196*$L$195,MIN(SUM($P$180,$R$180),$S241)*SUM(MIN($Q241,$K$189),-$R$188)/$I$196*$L$195))</f>
        <v>0</v>
      </c>
      <c r="BS242" s="2873">
        <f>IF(OR($Q241&lt;$R$198,$Q241&gt;$K$199),0,IF($U241&gt;$P$180,MIN(SUM($U241,-$P$180),$S241,$R$180)*SUM(MIN($Q241,$K$199),-$R$198)/$I$206*$L$205,MIN(SUM($P$180,$R$180),$S241)*SUM(MIN($Q241,$K$199),-$R$198)/$I$206*$L$205))</f>
        <v>0</v>
      </c>
      <c r="BT242" s="2873">
        <f>IF(OR($Q241&lt;$R$208,$Q241&gt;$K$209),0,IF($U241&gt;$P$180,MIN(SUM($U241,-$P$180),$S241,$R$180)*SUM(MIN($Q241,$K$209),-$R$208)/$I$216*$L$215,MIN(SUM($P$180,$R$180),$S241)*SUM(MIN($Q241,$K$209),-$R$208)/$I$216*$L$215))</f>
        <v>0</v>
      </c>
      <c r="BU242" s="2873">
        <f>IF(OR($Q241&lt;$R$218,$Q241&gt;$K$219),0,IF($U241&gt;$P$180,MIN(SUM($U241,-$P$180),$S241,$R$180)*SUM(MIN($Q241,$K$219),-$R$218)/$I$226*$L$225,MIN(SUM($P$180,$R$180),$S241)*SUM(MIN($Q241,$K$219),-$R$218)/$I$226*$L$225))</f>
        <v>0</v>
      </c>
      <c r="BV242" s="2873">
        <f>IF(OR($Q241&lt;$T$198,$Q241&gt;$K$199),0,IF($U241&gt;SUM($P$180,$R$180),MIN(SUM($U241,-$P$180,-$R$180),$S241)*SUM(MIN($Q241,$K$199),-$T$198)/$I$206*$L$205,MIN(SUM($P$180,$R$180,$T$180),$S241)*SUM(MIN($Q241,$K$199),-$T$198)/$I$206*$L$205))</f>
        <v>0</v>
      </c>
      <c r="BW242" s="2873">
        <f xml:space="preserve"> IF(OR($Q241&lt;$T$208,$Q241&gt;$K$209),0,IF($U241&gt;SUM($P$180,$R$180),MIN(SUM($U241,-$P$180,-$R$180),$S241)*SUM(MIN($Q241,$K$209),-$T$208)/$I$216*$L$215,MIN(SUM($P$180,$R$180,$T$180),$S241)*SUM(MIN($Q241,$K$209),-$T$208)/$I$216*$L$215))</f>
        <v>0</v>
      </c>
      <c r="BX242" s="2873">
        <f xml:space="preserve"> IF(OR($Q241&lt;$T$218,$Q241&gt;$K$219),0,IF($U241&gt;SUM($P$180,$R$180),MIN(SUM($U241,-$P$180,-$R$180),$S241,$T$180)*SUM(MIN($Q241,$K$219),-$T$218)/$I$226*$L$225,MIN(SUM($P$180,$R$180,$T$180,-$U241),$S241)*SUM(MIN($Q241,$K$219),-$T$218)/$I$226*$L$225))</f>
        <v>0</v>
      </c>
      <c r="BY242" s="2873">
        <f xml:space="preserve"> IF(OR($Q241&lt;$V$218,$Q241&gt;$K$219),0,IF($U241&gt;SUM($P$180,$R$180,$T$180),MIN(SUM($U241,-$P$180,-$R$180,-$T$180),$S241,$R$180)*SUM(MIN($Q241,$K$219),-$V$218)/$I$226*$L$225,MIN(SUM($P$180,$R$180,$T$180,$V$180),$S241)*SUM(MIN($Q241,$K$219),-$V$218)/$I$226*$L$225))</f>
        <v>0</v>
      </c>
    </row>
    <row r="243" spans="1:95" ht="12.6" customHeight="1">
      <c r="O243" s="5784">
        <f t="shared" si="0"/>
        <v>243</v>
      </c>
      <c r="P243" s="2405"/>
      <c r="Q243" s="2273"/>
      <c r="R243" s="431"/>
      <c r="S243" s="2270"/>
      <c r="T243" s="431"/>
      <c r="U243" s="2276" t="str">
        <f t="shared" ref="U243:U295" si="2">IF(S243&lt;&gt;"",U242+S243,"")</f>
        <v/>
      </c>
      <c r="V243" s="431"/>
      <c r="W243" s="2267" t="str">
        <f t="shared" ref="W243:W253" si="3">IF(S243="","",IF(AND(Q243&lt;$P$179,Q244&gt;=$P$179),SUM($P$77,-U243),IF(AND(Q243&lt;$R$179,Q244&gt;=$R$179),SUM($P$77,$R$77,-U243),IF(AND(Q243&lt;$T$179,Q244&gt;=$T$179),SUM($P$77,$R$77,$T$77,-U243),IF(AND(Q243&lt;$V$179,Q244&gt;=$V$179),SUM($P$77,$R$77,$T$77,$V$77,-U243),0)))))</f>
        <v/>
      </c>
      <c r="X243" s="2407"/>
      <c r="Y243" s="2258">
        <f t="shared" si="1"/>
        <v>0</v>
      </c>
      <c r="Z243" s="431"/>
      <c r="AA243" s="431"/>
      <c r="AB243" s="1278"/>
      <c r="AC243" s="1276"/>
      <c r="AD243" s="1276"/>
      <c r="AE243" s="1179"/>
      <c r="AF243" s="1179"/>
      <c r="AG243" s="1179"/>
      <c r="AH243" s="1179"/>
      <c r="AI243" s="1179"/>
      <c r="AJ243" s="1145"/>
      <c r="AK243" s="3542"/>
      <c r="AL243" s="3542"/>
      <c r="AM243" s="3542"/>
      <c r="AN243" s="3542"/>
      <c r="AO243" s="3542"/>
      <c r="AP243" s="3542"/>
      <c r="AQ243" s="3542"/>
      <c r="AR243" s="1411"/>
      <c r="AS243" s="1504"/>
      <c r="AT243" s="431"/>
      <c r="AU243" s="42"/>
      <c r="AV243" s="1732"/>
      <c r="AW243" s="42"/>
      <c r="AX243" s="42"/>
      <c r="AY243" s="42"/>
      <c r="AZ243" s="42"/>
      <c r="BA243" s="42"/>
      <c r="BB243" s="42"/>
      <c r="BN243" s="2873">
        <f t="shared" ref="BN243:BN274" si="4">IF(OR($Q242&lt;$P$188,$Q242&gt;$K$189),0,IF($U241&gt;$P$180,0,IF(SUM($P$180,-$U241)&lt;0,0,MIN(SUM($P$180,-$U241),$S242)*SUM(MIN($Q242,$K$189),-$P$188)/$I$196*$L$195)))</f>
        <v>0</v>
      </c>
      <c r="BO243" s="2873">
        <f t="shared" ref="BO243:BO274" si="5">IF(OR($Q242&lt;$P$198,$Q242&gt;$K$199),0,IF($U241&gt;$P$180,0,IF(SUM($P$180,-$U241)&lt;0,0,MIN(SUM($P$180,-$U241),$S242)*SUM(MIN($Q242,$K$199),-$P$198)/$I$206*$L$205)))</f>
        <v>0</v>
      </c>
      <c r="BP243" s="2873">
        <f t="shared" ref="BP243:BP274" si="6">IF(OR($Q242&lt;$P$208,$Q242&gt;$K$209),0,IF($U241&gt;$P$180,0,IF(SUM($P$180,-$U241)&lt;0,0,MIN(SUM($P$180,-$U241),$S242)*SUM(MIN($Q242,$K$209),-$P$208)/$I$216*$L$215)))</f>
        <v>0</v>
      </c>
      <c r="BQ243" s="2873">
        <f t="shared" ref="BQ243:BQ274" si="7">IF(OR($Q242&lt;$P$218,$Q242&gt;$K$219),0,IF($U241&gt;$P$180,0,IF(SUM($P$180,-$U241)&lt;0,0,MIN(SUM($P$180,-$U241),$S242)*SUM(MIN($Q242,$K$219),-$P$218)/$I$226*$L$225)))</f>
        <v>0</v>
      </c>
      <c r="BR243" s="2873">
        <f t="shared" ref="BR243:BR274" si="8">IF($U241&gt;=SUM($P$180,$R$180),0,IF(OR($Q242&lt;$R$188,$Q242&gt;$K$189),0,IF(AND($U241&lt;$P$180,$U242&gt;$P$180),MIN(SUM($U242,-$P$180),$S242)*SUM(MIN($Q242,$K$189),-$R$188)/$I$196*$L$195,IF($U241&lt;$P$180,0,IF(SUM($P$180,$R$180,-$U241)&lt;0,0,MIN(SUM($P$180,$R$180,-$U241),$S242)*SUM(MIN($Q242,$K$189),-$R$188)/$I$196*$L$195)))))</f>
        <v>0</v>
      </c>
      <c r="BS243" s="2873">
        <f t="shared" ref="BS243:BS274" si="9">IF($U241&gt;=SUM($P$180,$R$180),0,IF(OR($Q242&lt;$R$198,$Q242&gt;$K$199),0,IF(AND($U241&lt;$P$180,$U242&gt;$P$180),MIN(SUM($U242,-$P$180),$S242)*SUM(MIN($Q242,$K$199),-$R$198)/$I$206*$L$205,IF($U241&lt;$P$180,0,MIN(SUM($P$180,$R$180,-$U241),$S242)*SUM(MIN($Q242,$K$199),-$R$198)/$I$206*$L$205))))</f>
        <v>0</v>
      </c>
      <c r="BT243" s="2873">
        <f t="shared" ref="BT243:BT274" si="10">IF($U241&gt;=SUM($P$180,$R$180),0,IF(OR($Q242&lt;$R$208,$Q242&gt;$K$209),0,IF(AND($U241&lt;$P$180,$U242&gt;$P$180),MIN(SUM($U242,-$P$180),$S242)*SUM(MIN($Q242,$K$209),-$R$208)/$I$216*$L$215,IF($U241&lt;$P$180,0,IF(SUM($P$180,$R$180,-$U241)&lt;0,0,MIN(SUM($P$180,$R$180,-$U241),$S242)*SUM(MIN($Q242,$K$209),-$R$208)/$I$216*$L$215)))))</f>
        <v>0</v>
      </c>
      <c r="BU243" s="2873">
        <f t="shared" ref="BU243:BU274" si="11">IF($U241&gt;=SUM($P$180,$R$180),0,IF(OR($Q242&lt;$R$218,$Q242&gt;$K$219),0,IF(AND($U241&lt;$P$180,$U242&gt;$P$180),MIN(SUM($U242,-$P$180),$S242)*SUM(MIN($Q242,$K$219),-$R$218)/$I$226*$L$225,IF($U241&lt;$P$180,0,IF(SUM($P$180,$R$180,-$U241)&lt;0,0,MIN(SUM($P$180,$R$180,-$U241),$S242)*SUM(MIN($Q242,$K$219),-$R$218)/$I$226*$L$225)))))</f>
        <v>0</v>
      </c>
      <c r="BV243" s="2873">
        <f t="shared" ref="BV243:BV274" si="12">IF($U241&gt;=SUM($P$180,$R$180,$T$180),0,IF(OR($Q242&lt;$T$198,$Q242&gt;$K$199),0,IF(AND($U241&lt;SUM($P$180,$R$180),$U242&gt;SUM($P$180,$R$180)),MIN(SUM($U242,-$P$180,-$R$180),$S242)*SUM(MIN($Q242,$K$199),-$T$198)/$I$206*$L$205,IF($U241&lt;SUM($P$180,$R$180),0,IF(SUM($P$180,$R$180,$T$180,-$U241)&lt;0,0,MIN(SUM($P$180,$R$180,$T$180,-$U241),$S242)*SUM(MIN($Q242,$K$199),-$T$198)/$I$206*$L$205)))))</f>
        <v>0</v>
      </c>
      <c r="BW243" s="2873">
        <f t="shared" ref="BW243:BW274" si="13">IF($U241&gt;=SUM($P$180,$R$180,$T$180),0,IF(OR($Q242&lt;$T$208,$Q242&gt;$K$209),0,IF(AND($U241&lt;SUM($P$180,$R$180),$U242&gt;SUM($P$180,$R$180)),MIN(SUM($U242,-$P$180,-$R$180),$S242)*SUM(MIN($Q242,$K$209),-$T$208)/$I$216*$L$215,IF($U241&lt;SUM($P$180,$R$180),0,IF(SUM($P$180,$R$180,$T$180,-$U241)&lt;0,0,MIN(SUM($P$180,$R$180,$T$180,-$U241),$S242)*SUM(MIN($Q242,$K$209),-$T$208)/$I$216*$L$215)))))</f>
        <v>0</v>
      </c>
      <c r="BX243" s="2873">
        <f t="shared" ref="BX243:BX274" si="14">IF($U241&gt;=SUM($P$180,$R$180,$T$180),0,IF(OR($Q242&lt;$T$218,$Q242&gt;$K$219),0,IF(AND($U241&lt;SUM($P$180,$R$180),$U242&gt;SUM($P$180,$R$180)),MIN(SUM($U242,-$P$180,-$R$180),$S242)*SUM(MIN($Q242,$K$219),-$T$218)/$I$226*$L$225,IF($U241&lt;SUM($P$180,$R$180),0,IF(SUM($P$180,$R$180,$T$180,-$U242)&lt;0,0,MIN(SUM($P$180,$R$180,$T$180,-$U242),$S242)*SUM(MIN($Q242,$K$219),-$T$218)/$I$226*$L$225)))))</f>
        <v>0</v>
      </c>
      <c r="BY243" s="2873">
        <f t="shared" ref="BY243:BY274" si="15">IF($U241&gt;=SUM($P$180,$R$180,$T$180,$V$180),0,IF(OR($Q242&lt;$V$218,$Q242&gt;$K$219),0,IF(AND($U241&lt;SUM($P$180,$R$180,$T$180),$U242&gt;SUM($P$180,$R$180,$T$180)),MIN(SUM($U242,-$P$180,-$R$180,-$T$180),$S242)*SUM(MIN($Q242,$K$219),-$V$218)/$I$226*$L$225,IF($U241&lt;SUM($P$180,$R$180,$T$180),0,IF(SUM($P$180,$R$180,$T$180,$V$180,-$U241)&lt;0,0,MIN(SUM($P$180,$R$180,$T$180,$V$180,-$U241),$S242)*SUM(MIN($Q242,$K$219),-$V$218)/$I$226*$L$225)))))</f>
        <v>0</v>
      </c>
    </row>
    <row r="244" spans="1:95" ht="13.5" customHeight="1">
      <c r="O244" s="5784">
        <f t="shared" si="0"/>
        <v>244</v>
      </c>
      <c r="P244" s="2405"/>
      <c r="Q244" s="2273"/>
      <c r="R244" s="431"/>
      <c r="S244" s="2270"/>
      <c r="T244" s="431"/>
      <c r="U244" s="2276" t="str">
        <f t="shared" si="2"/>
        <v/>
      </c>
      <c r="V244" s="431"/>
      <c r="W244" s="2267" t="str">
        <f t="shared" si="3"/>
        <v/>
      </c>
      <c r="X244" s="2407"/>
      <c r="Y244" s="2258">
        <f t="shared" si="1"/>
        <v>0</v>
      </c>
      <c r="Z244" s="431"/>
      <c r="AA244" s="431"/>
      <c r="AB244" s="2525" t="s">
        <v>2664</v>
      </c>
      <c r="AC244" s="1276" t="s">
        <v>3047</v>
      </c>
      <c r="AD244" s="1276"/>
      <c r="AE244" s="1179"/>
      <c r="AF244" s="1179"/>
      <c r="AG244" s="1179"/>
      <c r="AH244" s="1179"/>
      <c r="AI244" s="1179"/>
      <c r="AJ244" s="1411" t="s">
        <v>2664</v>
      </c>
      <c r="AK244" s="2045" t="str">
        <f>IF(OR(AK205,AK233),"",MAX(0,SUM(AK240,-AK242)))</f>
        <v/>
      </c>
      <c r="AL244" s="3976"/>
      <c r="AM244" s="2045" t="str">
        <f>IF(OR(AM205,AM233),"",MAX(0,SUM(AM240,-AM242)))</f>
        <v/>
      </c>
      <c r="AN244" s="3976"/>
      <c r="AO244" s="2045" t="str">
        <f>IF(OR(AO205,AO233),"",MAX(0,SUM(AO240,-AO242)))</f>
        <v/>
      </c>
      <c r="AP244" s="3976"/>
      <c r="AQ244" s="2045" t="str">
        <f>IF(OR(AQ205,AQ233),"",MAX(0,SUM(AQ240,-AQ242)))</f>
        <v/>
      </c>
      <c r="AR244" s="1145"/>
      <c r="AS244" s="1504"/>
      <c r="AT244" s="431"/>
      <c r="AU244" s="42"/>
      <c r="AV244" s="1732"/>
      <c r="AW244" s="42"/>
      <c r="AX244" s="42"/>
      <c r="AY244" s="42"/>
      <c r="AZ244" s="42"/>
      <c r="BA244" s="42"/>
      <c r="BB244" s="42"/>
      <c r="BN244" s="2873">
        <f t="shared" si="4"/>
        <v>0</v>
      </c>
      <c r="BO244" s="2873">
        <f t="shared" si="5"/>
        <v>0</v>
      </c>
      <c r="BP244" s="2873">
        <f t="shared" si="6"/>
        <v>0</v>
      </c>
      <c r="BQ244" s="2873">
        <f t="shared" si="7"/>
        <v>0</v>
      </c>
      <c r="BR244" s="2873">
        <f t="shared" si="8"/>
        <v>0</v>
      </c>
      <c r="BS244" s="2873">
        <f t="shared" si="9"/>
        <v>0</v>
      </c>
      <c r="BT244" s="2873">
        <f t="shared" si="10"/>
        <v>0</v>
      </c>
      <c r="BU244" s="2873">
        <f t="shared" si="11"/>
        <v>0</v>
      </c>
      <c r="BV244" s="2873">
        <f t="shared" si="12"/>
        <v>0</v>
      </c>
      <c r="BW244" s="2873">
        <f t="shared" si="13"/>
        <v>0</v>
      </c>
      <c r="BX244" s="2873">
        <f t="shared" si="14"/>
        <v>0</v>
      </c>
      <c r="BY244" s="2873">
        <f t="shared" si="15"/>
        <v>0</v>
      </c>
    </row>
    <row r="245" spans="1:95" ht="12.6" customHeight="1">
      <c r="O245" s="5784">
        <f t="shared" si="0"/>
        <v>245</v>
      </c>
      <c r="P245" s="2405"/>
      <c r="Q245" s="2273"/>
      <c r="R245" s="431"/>
      <c r="S245" s="2270"/>
      <c r="T245" s="431"/>
      <c r="U245" s="2276" t="str">
        <f t="shared" si="2"/>
        <v/>
      </c>
      <c r="V245" s="431"/>
      <c r="W245" s="2267" t="str">
        <f t="shared" si="3"/>
        <v/>
      </c>
      <c r="X245" s="2407"/>
      <c r="Y245" s="2258">
        <f t="shared" si="1"/>
        <v>0</v>
      </c>
      <c r="Z245" s="431"/>
      <c r="AA245" s="431"/>
      <c r="AB245" s="1278"/>
      <c r="AC245" s="1276"/>
      <c r="AD245" s="1276"/>
      <c r="AE245" s="1179"/>
      <c r="AF245" s="1179"/>
      <c r="AG245" s="1179"/>
      <c r="AH245" s="1179"/>
      <c r="AI245" s="1179"/>
      <c r="AJ245" s="1145"/>
      <c r="AK245" s="3542"/>
      <c r="AL245" s="3542"/>
      <c r="AM245" s="3542"/>
      <c r="AN245" s="3542"/>
      <c r="AO245" s="3542"/>
      <c r="AP245" s="3542"/>
      <c r="AQ245" s="3542"/>
      <c r="AR245" s="1411"/>
      <c r="AS245" s="1504"/>
      <c r="AT245" s="431"/>
      <c r="AU245" s="42"/>
      <c r="AV245" s="1732"/>
      <c r="AW245" s="42"/>
      <c r="AX245" s="42"/>
      <c r="AY245" s="42"/>
      <c r="AZ245" s="42"/>
      <c r="BA245" s="42"/>
      <c r="BB245" s="42"/>
      <c r="BN245" s="2873">
        <f t="shared" si="4"/>
        <v>0</v>
      </c>
      <c r="BO245" s="2873">
        <f t="shared" si="5"/>
        <v>0</v>
      </c>
      <c r="BP245" s="2873">
        <f t="shared" si="6"/>
        <v>0</v>
      </c>
      <c r="BQ245" s="2873">
        <f t="shared" si="7"/>
        <v>0</v>
      </c>
      <c r="BR245" s="2873">
        <f t="shared" si="8"/>
        <v>0</v>
      </c>
      <c r="BS245" s="2873">
        <f t="shared" si="9"/>
        <v>0</v>
      </c>
      <c r="BT245" s="2873">
        <f t="shared" si="10"/>
        <v>0</v>
      </c>
      <c r="BU245" s="2873">
        <f t="shared" si="11"/>
        <v>0</v>
      </c>
      <c r="BV245" s="2873">
        <f t="shared" si="12"/>
        <v>0</v>
      </c>
      <c r="BW245" s="2873">
        <f t="shared" si="13"/>
        <v>0</v>
      </c>
      <c r="BX245" s="2873">
        <f t="shared" si="14"/>
        <v>0</v>
      </c>
      <c r="BY245" s="2873">
        <f t="shared" si="15"/>
        <v>0</v>
      </c>
    </row>
    <row r="246" spans="1:95" ht="12.6" customHeight="1">
      <c r="O246" s="5784">
        <f t="shared" si="0"/>
        <v>246</v>
      </c>
      <c r="P246" s="2405"/>
      <c r="Q246" s="2273"/>
      <c r="R246" s="431"/>
      <c r="S246" s="2270"/>
      <c r="T246" s="431"/>
      <c r="U246" s="2276" t="str">
        <f t="shared" si="2"/>
        <v/>
      </c>
      <c r="V246" s="431"/>
      <c r="W246" s="2267" t="str">
        <f t="shared" si="3"/>
        <v/>
      </c>
      <c r="X246" s="2407"/>
      <c r="Y246" s="2258">
        <f t="shared" si="1"/>
        <v>0</v>
      </c>
      <c r="Z246" s="431"/>
      <c r="AA246" s="431"/>
      <c r="AB246" s="2525" t="s">
        <v>353</v>
      </c>
      <c r="AC246" s="1276" t="s">
        <v>5568</v>
      </c>
      <c r="AD246" s="1276"/>
      <c r="AE246" s="1179"/>
      <c r="AF246" s="1179"/>
      <c r="AG246" s="1179"/>
      <c r="AH246" s="1179"/>
      <c r="AI246" s="1179"/>
      <c r="AJ246" s="1411" t="s">
        <v>353</v>
      </c>
      <c r="AK246" s="2045" t="str">
        <f>IF(OR(AK205,AK233),"",MAX(0,SUM(AK238,-AK244)))</f>
        <v/>
      </c>
      <c r="AL246" s="3976"/>
      <c r="AM246" s="2045" t="str">
        <f>IF(OR(AM205,AM233),"",MAX(0,SUM(AM238,-AM244)))</f>
        <v/>
      </c>
      <c r="AN246" s="3976"/>
      <c r="AO246" s="2045" t="str">
        <f>IF(OR(AO205,AO233),"",MAX(0,SUM(AO238,-AO244)))</f>
        <v/>
      </c>
      <c r="AP246" s="3976"/>
      <c r="AQ246" s="2045" t="str">
        <f>IF(OR(AQ205,AQ233),"",MAX(0,SUM(AQ238,-AQ244)))</f>
        <v/>
      </c>
      <c r="AR246" s="1411"/>
      <c r="AS246" s="1504"/>
      <c r="AT246" s="431"/>
      <c r="AU246" s="42"/>
      <c r="AV246" s="1732"/>
      <c r="AW246" s="42"/>
      <c r="AX246" s="42"/>
      <c r="AY246" s="42"/>
      <c r="AZ246" s="42"/>
      <c r="BA246" s="42"/>
      <c r="BB246" s="42"/>
      <c r="BN246" s="2873">
        <f t="shared" si="4"/>
        <v>0</v>
      </c>
      <c r="BO246" s="2873">
        <f t="shared" si="5"/>
        <v>0</v>
      </c>
      <c r="BP246" s="2873">
        <f t="shared" si="6"/>
        <v>0</v>
      </c>
      <c r="BQ246" s="2873">
        <f t="shared" si="7"/>
        <v>0</v>
      </c>
      <c r="BR246" s="2873">
        <f t="shared" si="8"/>
        <v>0</v>
      </c>
      <c r="BS246" s="2873">
        <f t="shared" si="9"/>
        <v>0</v>
      </c>
      <c r="BT246" s="2873">
        <f t="shared" si="10"/>
        <v>0</v>
      </c>
      <c r="BU246" s="2873">
        <f t="shared" si="11"/>
        <v>0</v>
      </c>
      <c r="BV246" s="2873">
        <f t="shared" si="12"/>
        <v>0</v>
      </c>
      <c r="BW246" s="2873">
        <f t="shared" si="13"/>
        <v>0</v>
      </c>
      <c r="BX246" s="2873">
        <f t="shared" si="14"/>
        <v>0</v>
      </c>
      <c r="BY246" s="2873">
        <f t="shared" si="15"/>
        <v>0</v>
      </c>
    </row>
    <row r="247" spans="1:95" ht="12.6" customHeight="1">
      <c r="O247" s="5784">
        <f t="shared" si="0"/>
        <v>247</v>
      </c>
      <c r="P247" s="2405"/>
      <c r="Q247" s="2273"/>
      <c r="R247" s="431"/>
      <c r="S247" s="2270"/>
      <c r="T247" s="431"/>
      <c r="U247" s="2276" t="str">
        <f t="shared" si="2"/>
        <v/>
      </c>
      <c r="V247" s="431"/>
      <c r="W247" s="2267" t="str">
        <f t="shared" si="3"/>
        <v/>
      </c>
      <c r="X247" s="2407"/>
      <c r="Y247" s="2258">
        <f t="shared" si="1"/>
        <v>0</v>
      </c>
      <c r="Z247" s="431"/>
      <c r="AA247" s="431"/>
      <c r="AB247" s="1278"/>
      <c r="AC247" s="1284">
        <v>0.25</v>
      </c>
      <c r="AD247" s="1276"/>
      <c r="AE247" s="1179"/>
      <c r="AF247" s="1179"/>
      <c r="AG247" s="1179"/>
      <c r="AH247" s="1179"/>
      <c r="AI247" s="1179"/>
      <c r="AJ247" s="1145"/>
      <c r="AK247" s="3542"/>
      <c r="AL247" s="3542"/>
      <c r="AM247" s="3542"/>
      <c r="AN247" s="3542"/>
      <c r="AO247" s="3542"/>
      <c r="AP247" s="3542"/>
      <c r="AQ247" s="3542"/>
      <c r="AR247" s="1411"/>
      <c r="AS247" s="1504"/>
      <c r="AT247" s="431"/>
      <c r="AU247" s="42"/>
      <c r="AV247" s="1732"/>
      <c r="AW247" s="42"/>
      <c r="AX247" s="42"/>
      <c r="AY247" s="42"/>
      <c r="AZ247" s="42"/>
      <c r="BA247" s="42"/>
      <c r="BB247" s="42"/>
      <c r="BN247" s="2873">
        <f t="shared" si="4"/>
        <v>0</v>
      </c>
      <c r="BO247" s="2873">
        <f t="shared" si="5"/>
        <v>0</v>
      </c>
      <c r="BP247" s="2873">
        <f t="shared" si="6"/>
        <v>0</v>
      </c>
      <c r="BQ247" s="2873">
        <f t="shared" si="7"/>
        <v>0</v>
      </c>
      <c r="BR247" s="2873">
        <f t="shared" si="8"/>
        <v>0</v>
      </c>
      <c r="BS247" s="2873">
        <f t="shared" si="9"/>
        <v>0</v>
      </c>
      <c r="BT247" s="2873">
        <f t="shared" si="10"/>
        <v>0</v>
      </c>
      <c r="BU247" s="2873">
        <f t="shared" si="11"/>
        <v>0</v>
      </c>
      <c r="BV247" s="2873">
        <f t="shared" si="12"/>
        <v>0</v>
      </c>
      <c r="BW247" s="2873">
        <f t="shared" si="13"/>
        <v>0</v>
      </c>
      <c r="BX247" s="2873">
        <f t="shared" si="14"/>
        <v>0</v>
      </c>
      <c r="BY247" s="2873">
        <f t="shared" si="15"/>
        <v>0</v>
      </c>
    </row>
    <row r="248" spans="1:95" ht="12.6" customHeight="1">
      <c r="O248" s="5784">
        <f t="shared" si="0"/>
        <v>248</v>
      </c>
      <c r="P248" s="2405"/>
      <c r="Q248" s="2273"/>
      <c r="R248" s="431"/>
      <c r="S248" s="2270"/>
      <c r="T248" s="431"/>
      <c r="U248" s="2276" t="str">
        <f t="shared" si="2"/>
        <v/>
      </c>
      <c r="V248" s="431"/>
      <c r="W248" s="2267" t="str">
        <f t="shared" si="3"/>
        <v/>
      </c>
      <c r="X248" s="2407"/>
      <c r="Y248" s="2258">
        <f t="shared" si="1"/>
        <v>0</v>
      </c>
      <c r="Z248" s="431"/>
      <c r="AA248" s="431"/>
      <c r="AB248" s="2525" t="s">
        <v>354</v>
      </c>
      <c r="AC248" s="1276" t="str">
        <f>"Multiply line 32 by "&amp;TEXT(AC247,"0%")&amp;" ("&amp;TEXT(AC247,"0.00")&amp;")"</f>
        <v>Multiply line 32 by 25% (0.25)</v>
      </c>
      <c r="AD248" s="1276"/>
      <c r="AE248" s="1179"/>
      <c r="AF248" s="1179"/>
      <c r="AG248" s="1179"/>
      <c r="AH248" s="1179"/>
      <c r="AI248" s="1179"/>
      <c r="AJ248" s="1145"/>
      <c r="AK248" s="3542"/>
      <c r="AL248" s="3542"/>
      <c r="AM248" s="3542"/>
      <c r="AN248" s="3542"/>
      <c r="AO248" s="3542"/>
      <c r="AP248" s="3542"/>
      <c r="AQ248" s="3542"/>
      <c r="AR248" s="1411"/>
      <c r="AS248" s="1504"/>
      <c r="AT248" s="431"/>
      <c r="AU248" s="42"/>
      <c r="AV248" s="1732"/>
      <c r="AW248" s="42"/>
      <c r="AX248" s="42"/>
      <c r="AY248" s="42"/>
      <c r="AZ248" s="42"/>
      <c r="BA248" s="42"/>
      <c r="BB248" s="42"/>
      <c r="BN248" s="2873">
        <f t="shared" si="4"/>
        <v>0</v>
      </c>
      <c r="BO248" s="2873">
        <f t="shared" si="5"/>
        <v>0</v>
      </c>
      <c r="BP248" s="2873">
        <f t="shared" si="6"/>
        <v>0</v>
      </c>
      <c r="BQ248" s="2873">
        <f t="shared" si="7"/>
        <v>0</v>
      </c>
      <c r="BR248" s="2873">
        <f t="shared" si="8"/>
        <v>0</v>
      </c>
      <c r="BS248" s="2873">
        <f t="shared" si="9"/>
        <v>0</v>
      </c>
      <c r="BT248" s="2873">
        <f t="shared" si="10"/>
        <v>0</v>
      </c>
      <c r="BU248" s="2873">
        <f t="shared" si="11"/>
        <v>0</v>
      </c>
      <c r="BV248" s="2873">
        <f t="shared" si="12"/>
        <v>0</v>
      </c>
      <c r="BW248" s="2873">
        <f t="shared" si="13"/>
        <v>0</v>
      </c>
      <c r="BX248" s="2873">
        <f t="shared" si="14"/>
        <v>0</v>
      </c>
      <c r="BY248" s="2873">
        <f t="shared" si="15"/>
        <v>0</v>
      </c>
      <c r="CQ248" s="613"/>
    </row>
    <row r="249" spans="1:95" ht="15.95" customHeight="1">
      <c r="N249" s="1357" t="s">
        <v>5592</v>
      </c>
      <c r="O249" s="5784">
        <f t="shared" si="0"/>
        <v>249</v>
      </c>
      <c r="P249" s="2405"/>
      <c r="Q249" s="2273"/>
      <c r="R249" s="431"/>
      <c r="S249" s="2270"/>
      <c r="T249" s="431"/>
      <c r="U249" s="2276" t="str">
        <f t="shared" si="2"/>
        <v/>
      </c>
      <c r="V249" s="431"/>
      <c r="W249" s="2267" t="str">
        <f t="shared" si="3"/>
        <v/>
      </c>
      <c r="X249" s="2407"/>
      <c r="Y249" s="2258">
        <f t="shared" si="1"/>
        <v>0</v>
      </c>
      <c r="Z249" s="431"/>
      <c r="AA249" s="431"/>
      <c r="AB249" s="1278"/>
      <c r="AC249" s="1276" t="s">
        <v>5570</v>
      </c>
      <c r="AD249" s="1276"/>
      <c r="AE249" s="1179"/>
      <c r="AF249" s="1179"/>
      <c r="AG249" s="1179"/>
      <c r="AH249" s="1179"/>
      <c r="AI249" s="1179"/>
      <c r="AJ249" s="1145"/>
      <c r="AK249" s="3542"/>
      <c r="AL249" s="3542"/>
      <c r="AM249" s="3542"/>
      <c r="AN249" s="3542"/>
      <c r="AO249" s="3542"/>
      <c r="AP249" s="3542"/>
      <c r="AQ249" s="3542"/>
      <c r="AR249" s="1411"/>
      <c r="AS249" s="1504"/>
      <c r="AT249" s="431"/>
      <c r="AU249" s="42"/>
      <c r="AV249" s="1732"/>
      <c r="AW249" s="42"/>
      <c r="AX249" s="42"/>
      <c r="AY249" s="42"/>
      <c r="AZ249" s="42"/>
      <c r="BA249" s="42"/>
      <c r="BB249" s="42"/>
      <c r="BN249" s="2873">
        <f t="shared" si="4"/>
        <v>0</v>
      </c>
      <c r="BO249" s="2873">
        <f t="shared" si="5"/>
        <v>0</v>
      </c>
      <c r="BP249" s="2873">
        <f t="shared" si="6"/>
        <v>0</v>
      </c>
      <c r="BQ249" s="2873">
        <f t="shared" si="7"/>
        <v>0</v>
      </c>
      <c r="BR249" s="2873">
        <f t="shared" si="8"/>
        <v>0</v>
      </c>
      <c r="BS249" s="2873">
        <f t="shared" si="9"/>
        <v>0</v>
      </c>
      <c r="BT249" s="2873">
        <f t="shared" si="10"/>
        <v>0</v>
      </c>
      <c r="BU249" s="2873">
        <f t="shared" si="11"/>
        <v>0</v>
      </c>
      <c r="BV249" s="2873">
        <f t="shared" si="12"/>
        <v>0</v>
      </c>
      <c r="BW249" s="2873">
        <f t="shared" si="13"/>
        <v>0</v>
      </c>
      <c r="BX249" s="2873">
        <f t="shared" si="14"/>
        <v>0</v>
      </c>
      <c r="BY249" s="2873">
        <f t="shared" si="15"/>
        <v>0</v>
      </c>
    </row>
    <row r="250" spans="1:95" s="613" customFormat="1" ht="20.100000000000001" customHeight="1">
      <c r="A250"/>
      <c r="B250"/>
      <c r="C250"/>
      <c r="D250"/>
      <c r="E250"/>
      <c r="F250"/>
      <c r="G250"/>
      <c r="H250"/>
      <c r="I250"/>
      <c r="J250"/>
      <c r="K250"/>
      <c r="L250"/>
      <c r="M250"/>
      <c r="N250"/>
      <c r="O250" s="5784">
        <f t="shared" si="0"/>
        <v>250</v>
      </c>
      <c r="P250" s="2405"/>
      <c r="Q250" s="2273"/>
      <c r="R250" s="431"/>
      <c r="S250" s="2270"/>
      <c r="T250" s="431"/>
      <c r="U250" s="2276" t="str">
        <f t="shared" si="2"/>
        <v/>
      </c>
      <c r="V250" s="431"/>
      <c r="W250" s="2267" t="str">
        <f t="shared" si="3"/>
        <v/>
      </c>
      <c r="X250" s="2407"/>
      <c r="Y250" s="2258">
        <f t="shared" si="1"/>
        <v>0</v>
      </c>
      <c r="Z250" s="431"/>
      <c r="AA250" s="431"/>
      <c r="AB250" s="1278"/>
      <c r="AC250" s="1276"/>
      <c r="AD250" s="1276" t="s">
        <v>5571</v>
      </c>
      <c r="AE250" s="1179"/>
      <c r="AF250" s="1179"/>
      <c r="AG250" s="1179"/>
      <c r="AH250" s="1179"/>
      <c r="AI250" s="1179"/>
      <c r="AJ250" s="1411" t="s">
        <v>354</v>
      </c>
      <c r="AK250" s="2045" t="str">
        <f>IF(OR(AK205,AK233),"",ROUND(AK246*$AC247,0))</f>
        <v/>
      </c>
      <c r="AL250" s="3976"/>
      <c r="AM250" s="2045" t="str">
        <f>IF(OR(AM205,AM233),"",ROUND(AM246*$AC247,0))</f>
        <v/>
      </c>
      <c r="AN250" s="3976"/>
      <c r="AO250" s="2045" t="str">
        <f>IF(OR(AO205,AO233),"",ROUND(AO246*$AC247,0))</f>
        <v/>
      </c>
      <c r="AP250" s="3976"/>
      <c r="AQ250" s="2045" t="str">
        <f>IF(OR(AQ205,AQ233),"",ROUND(AQ246*$AC247,0))</f>
        <v/>
      </c>
      <c r="AR250" s="1411"/>
      <c r="AS250" s="1504"/>
      <c r="AT250" s="431"/>
      <c r="AU250" s="42"/>
      <c r="AV250" s="1732"/>
      <c r="AW250" s="42"/>
      <c r="AX250" s="42"/>
      <c r="AY250" s="42"/>
      <c r="AZ250" s="42"/>
      <c r="BA250" s="42"/>
      <c r="BB250" s="42"/>
      <c r="BC250" s="2595"/>
      <c r="BD250" s="2595"/>
      <c r="BE250" s="2595"/>
      <c r="BF250" s="2595"/>
      <c r="BG250" s="2595"/>
      <c r="BH250" s="2595"/>
      <c r="BI250" s="2595"/>
      <c r="BJ250" s="2595"/>
      <c r="BK250" s="2595"/>
      <c r="BL250" s="2595"/>
      <c r="BM250" s="2595"/>
      <c r="BN250" s="2873">
        <f t="shared" si="4"/>
        <v>0</v>
      </c>
      <c r="BO250" s="2873">
        <f t="shared" si="5"/>
        <v>0</v>
      </c>
      <c r="BP250" s="2873">
        <f t="shared" si="6"/>
        <v>0</v>
      </c>
      <c r="BQ250" s="2873">
        <f t="shared" si="7"/>
        <v>0</v>
      </c>
      <c r="BR250" s="2873">
        <f t="shared" si="8"/>
        <v>0</v>
      </c>
      <c r="BS250" s="2873">
        <f t="shared" si="9"/>
        <v>0</v>
      </c>
      <c r="BT250" s="2873">
        <f t="shared" si="10"/>
        <v>0</v>
      </c>
      <c r="BU250" s="2873">
        <f t="shared" si="11"/>
        <v>0</v>
      </c>
      <c r="BV250" s="2873">
        <f t="shared" si="12"/>
        <v>0</v>
      </c>
      <c r="BW250" s="2873">
        <f t="shared" si="13"/>
        <v>0</v>
      </c>
      <c r="BX250" s="2873">
        <f t="shared" si="14"/>
        <v>0</v>
      </c>
      <c r="BY250" s="2873">
        <f t="shared" si="15"/>
        <v>0</v>
      </c>
      <c r="BZ250"/>
      <c r="CA250"/>
      <c r="CB250"/>
      <c r="CC250"/>
      <c r="CD250"/>
      <c r="CE250"/>
      <c r="CF250"/>
      <c r="CG250"/>
      <c r="CH250"/>
      <c r="CI250"/>
      <c r="CJ250"/>
      <c r="CK250"/>
      <c r="CL250"/>
      <c r="CM250"/>
      <c r="CN250"/>
      <c r="CO250"/>
      <c r="CP250"/>
      <c r="CQ250"/>
    </row>
    <row r="251" spans="1:95">
      <c r="O251" s="5784">
        <f t="shared" si="0"/>
        <v>251</v>
      </c>
      <c r="P251" s="2405"/>
      <c r="Q251" s="2273"/>
      <c r="R251" s="431"/>
      <c r="S251" s="2270"/>
      <c r="T251" s="431"/>
      <c r="U251" s="2276" t="str">
        <f t="shared" si="2"/>
        <v/>
      </c>
      <c r="V251" s="431"/>
      <c r="W251" s="2267" t="str">
        <f t="shared" si="3"/>
        <v/>
      </c>
      <c r="X251" s="2407"/>
      <c r="Y251" s="2258">
        <f t="shared" si="1"/>
        <v>0</v>
      </c>
      <c r="Z251" s="431"/>
      <c r="AA251" s="431"/>
      <c r="AB251" s="2525"/>
      <c r="AC251" s="1276"/>
      <c r="AD251" s="1276"/>
      <c r="AE251" s="1179"/>
      <c r="AF251" s="1179"/>
      <c r="AG251" s="1179"/>
      <c r="AH251" s="1179"/>
      <c r="AI251" s="1179"/>
      <c r="AJ251" s="1145"/>
      <c r="AK251" s="3886" t="b">
        <f>OR(AK178=0,AK178="")</f>
        <v>1</v>
      </c>
      <c r="AL251" s="3975"/>
      <c r="AM251" s="3886" t="b">
        <f>OR(AM178=0,AM178="")</f>
        <v>1</v>
      </c>
      <c r="AN251" s="3975"/>
      <c r="AO251" s="3886" t="b">
        <f>OR(AO178=0,AO178="")</f>
        <v>1</v>
      </c>
      <c r="AP251" s="3975"/>
      <c r="AQ251" s="3886" t="b">
        <f>OR(AQ178=0,AQ178="")</f>
        <v>1</v>
      </c>
      <c r="AR251" s="1411"/>
      <c r="AS251" s="1504"/>
      <c r="AT251" s="431"/>
      <c r="AU251" s="42"/>
      <c r="AV251" s="1732"/>
      <c r="AW251" s="42"/>
      <c r="AX251" s="42"/>
      <c r="AY251" s="42"/>
      <c r="AZ251" s="42"/>
      <c r="BA251" s="42"/>
      <c r="BB251" s="42"/>
      <c r="BN251" s="2873">
        <f t="shared" si="4"/>
        <v>0</v>
      </c>
      <c r="BO251" s="2873">
        <f t="shared" si="5"/>
        <v>0</v>
      </c>
      <c r="BP251" s="2873">
        <f t="shared" si="6"/>
        <v>0</v>
      </c>
      <c r="BQ251" s="2873">
        <f t="shared" si="7"/>
        <v>0</v>
      </c>
      <c r="BR251" s="2873">
        <f t="shared" si="8"/>
        <v>0</v>
      </c>
      <c r="BS251" s="2873">
        <f t="shared" si="9"/>
        <v>0</v>
      </c>
      <c r="BT251" s="2873">
        <f t="shared" si="10"/>
        <v>0</v>
      </c>
      <c r="BU251" s="2873">
        <f t="shared" si="11"/>
        <v>0</v>
      </c>
      <c r="BV251" s="2873">
        <f t="shared" si="12"/>
        <v>0</v>
      </c>
      <c r="BW251" s="2873">
        <f t="shared" si="13"/>
        <v>0</v>
      </c>
      <c r="BX251" s="2873">
        <f t="shared" si="14"/>
        <v>0</v>
      </c>
      <c r="BY251" s="2873">
        <f t="shared" si="15"/>
        <v>0</v>
      </c>
    </row>
    <row r="252" spans="1:95" ht="12.6" customHeight="1">
      <c r="O252" s="5784">
        <f t="shared" si="0"/>
        <v>252</v>
      </c>
      <c r="P252" s="2405"/>
      <c r="Q252" s="2273"/>
      <c r="R252" s="431"/>
      <c r="S252" s="2270"/>
      <c r="T252" s="431"/>
      <c r="U252" s="2276" t="str">
        <f t="shared" si="2"/>
        <v/>
      </c>
      <c r="V252" s="431"/>
      <c r="W252" s="2267" t="str">
        <f t="shared" si="3"/>
        <v/>
      </c>
      <c r="X252" s="2407"/>
      <c r="Y252" s="2258">
        <f t="shared" si="1"/>
        <v>0</v>
      </c>
      <c r="Z252" s="431"/>
      <c r="AA252" s="431"/>
      <c r="AB252" s="2525" t="s">
        <v>2666</v>
      </c>
      <c r="AC252" s="1276" t="s">
        <v>5569</v>
      </c>
      <c r="AD252" s="1276"/>
      <c r="AE252" s="1179"/>
      <c r="AF252" s="1179"/>
      <c r="AG252" s="1179"/>
      <c r="AH252" s="1179"/>
      <c r="AI252" s="1179"/>
      <c r="AJ252" s="1411" t="s">
        <v>2666</v>
      </c>
      <c r="AK252" s="2045" t="str">
        <f>IF(OR(AK205,AK233,AK251),"",SUM(AK200,AK204,AK226,AK234,AK246))</f>
        <v/>
      </c>
      <c r="AL252" s="3976"/>
      <c r="AM252" s="2045" t="str">
        <f>IF(OR(AM205,AM233,AM251),"",SUM(AM200,AM204,AM226,AM234,AM246))</f>
        <v/>
      </c>
      <c r="AN252" s="3976"/>
      <c r="AO252" s="2045" t="str">
        <f>IF(OR(AO205,AO233,AO251),"",SUM(AO200,AO204,AO226,AO234,AO246))</f>
        <v/>
      </c>
      <c r="AP252" s="3976"/>
      <c r="AQ252" s="2045" t="str">
        <f>IF(OR(AQ205,AQ233,AQ251),"",SUM(AQ200,AQ204,AQ226,AQ234,AQ246))</f>
        <v/>
      </c>
      <c r="AR252" s="1411"/>
      <c r="AS252" s="1504"/>
      <c r="AT252" s="431"/>
      <c r="AU252" s="42"/>
      <c r="AV252" s="1732"/>
      <c r="AW252" s="42"/>
      <c r="AX252" s="42"/>
      <c r="AY252" s="42"/>
      <c r="AZ252" s="42"/>
      <c r="BA252" s="42"/>
      <c r="BB252" s="42"/>
      <c r="BN252" s="2873">
        <f t="shared" si="4"/>
        <v>0</v>
      </c>
      <c r="BO252" s="2873">
        <f t="shared" si="5"/>
        <v>0</v>
      </c>
      <c r="BP252" s="2873">
        <f t="shared" si="6"/>
        <v>0</v>
      </c>
      <c r="BQ252" s="2873">
        <f t="shared" si="7"/>
        <v>0</v>
      </c>
      <c r="BR252" s="2873">
        <f t="shared" si="8"/>
        <v>0</v>
      </c>
      <c r="BS252" s="2873">
        <f t="shared" si="9"/>
        <v>0</v>
      </c>
      <c r="BT252" s="2873">
        <f t="shared" si="10"/>
        <v>0</v>
      </c>
      <c r="BU252" s="2873">
        <f t="shared" si="11"/>
        <v>0</v>
      </c>
      <c r="BV252" s="2873">
        <f t="shared" si="12"/>
        <v>0</v>
      </c>
      <c r="BW252" s="2873">
        <f t="shared" si="13"/>
        <v>0</v>
      </c>
      <c r="BX252" s="2873">
        <f t="shared" si="14"/>
        <v>0</v>
      </c>
      <c r="BY252" s="2873">
        <f t="shared" si="15"/>
        <v>0</v>
      </c>
    </row>
    <row r="253" spans="1:95" ht="12.6" customHeight="1">
      <c r="O253" s="5784">
        <f t="shared" si="0"/>
        <v>253</v>
      </c>
      <c r="P253" s="2405"/>
      <c r="Q253" s="2273"/>
      <c r="R253" s="431"/>
      <c r="S253" s="2270"/>
      <c r="T253" s="431"/>
      <c r="U253" s="2276" t="str">
        <f t="shared" si="2"/>
        <v/>
      </c>
      <c r="V253" s="431"/>
      <c r="W253" s="2267" t="str">
        <f t="shared" si="3"/>
        <v/>
      </c>
      <c r="X253" s="2407"/>
      <c r="Y253" s="2258">
        <f t="shared" si="1"/>
        <v>0</v>
      </c>
      <c r="Z253" s="431"/>
      <c r="AA253" s="431"/>
      <c r="AB253" s="1278"/>
      <c r="AC253" s="1276"/>
      <c r="AD253" s="1276"/>
      <c r="AE253" s="1179"/>
      <c r="AF253" s="1179"/>
      <c r="AG253" s="1179"/>
      <c r="AH253" s="1179"/>
      <c r="AI253" s="1179"/>
      <c r="AJ253" s="1145"/>
      <c r="AK253" s="3542"/>
      <c r="AL253" s="3542"/>
      <c r="AM253" s="3542"/>
      <c r="AN253" s="3542"/>
      <c r="AO253" s="3542"/>
      <c r="AP253" s="3542"/>
      <c r="AQ253" s="3542"/>
      <c r="AR253" s="1411"/>
      <c r="AS253" s="1504"/>
      <c r="AT253" s="431"/>
      <c r="AU253" s="42"/>
      <c r="AV253" s="1732"/>
      <c r="AW253" s="42"/>
      <c r="AX253" s="42"/>
      <c r="AY253" s="42"/>
      <c r="AZ253" s="42"/>
      <c r="BA253" s="42"/>
      <c r="BB253" s="42"/>
      <c r="BN253" s="2873">
        <f t="shared" si="4"/>
        <v>0</v>
      </c>
      <c r="BO253" s="2873">
        <f t="shared" si="5"/>
        <v>0</v>
      </c>
      <c r="BP253" s="2873">
        <f t="shared" si="6"/>
        <v>0</v>
      </c>
      <c r="BQ253" s="2873">
        <f t="shared" si="7"/>
        <v>0</v>
      </c>
      <c r="BR253" s="2873">
        <f t="shared" si="8"/>
        <v>0</v>
      </c>
      <c r="BS253" s="2873">
        <f t="shared" si="9"/>
        <v>0</v>
      </c>
      <c r="BT253" s="2873">
        <f t="shared" si="10"/>
        <v>0</v>
      </c>
      <c r="BU253" s="2873">
        <f t="shared" si="11"/>
        <v>0</v>
      </c>
      <c r="BV253" s="2873">
        <f t="shared" si="12"/>
        <v>0</v>
      </c>
      <c r="BW253" s="2873">
        <f t="shared" si="13"/>
        <v>0</v>
      </c>
      <c r="BX253" s="2873">
        <f t="shared" si="14"/>
        <v>0</v>
      </c>
      <c r="BY253" s="2873">
        <f t="shared" si="15"/>
        <v>0</v>
      </c>
    </row>
    <row r="254" spans="1:95" ht="12.6" customHeight="1">
      <c r="O254" s="5784">
        <f t="shared" si="0"/>
        <v>254</v>
      </c>
      <c r="P254" s="2405"/>
      <c r="Q254" s="2273"/>
      <c r="R254" s="431"/>
      <c r="S254" s="2270"/>
      <c r="T254" s="431"/>
      <c r="U254" s="2276" t="str">
        <f t="shared" si="2"/>
        <v/>
      </c>
      <c r="V254" s="431"/>
      <c r="W254" s="2267" t="str">
        <f t="shared" ref="W254:W295" si="16">IF(S254="","",IF(AND(Q254&lt;$P$179,Q255&gt;=$P$179),SUM($P$77,-U254),IF(AND(Q254&lt;$R$179,Q255&gt;=$R$179),SUM($P$77,$R$77,-U254),IF(AND(Q254&lt;$T$179,Q255&gt;=$T$179),SUM($P$77,$R$77,$T$77,-U254),IF(AND(Q254&lt;$V$179,Q255&gt;=$V$179),SUM($P$77,$R$77,$T$77,$V$77,-U254),0)))))</f>
        <v/>
      </c>
      <c r="X254" s="2407"/>
      <c r="Y254" s="2258">
        <f t="shared" si="1"/>
        <v>0</v>
      </c>
      <c r="Z254" s="431"/>
      <c r="AA254" s="431"/>
      <c r="AB254" s="2525" t="s">
        <v>2682</v>
      </c>
      <c r="AC254" s="1276" t="s">
        <v>5572</v>
      </c>
      <c r="AD254" s="1276"/>
      <c r="AE254" s="1179"/>
      <c r="AF254" s="1179"/>
      <c r="AG254" s="1179"/>
      <c r="AH254" s="1179"/>
      <c r="AI254" s="1179"/>
      <c r="AJ254" s="1411" t="s">
        <v>2682</v>
      </c>
      <c r="AK254" s="2045" t="str">
        <f>IF(OR(AK205,AK233,AK251),"",SUM(AK170,-AK252))</f>
        <v/>
      </c>
      <c r="AL254" s="3976"/>
      <c r="AM254" s="2045" t="str">
        <f>IF(OR(AM205,AM233,AM251),"",SUM(AM170,-AM252))</f>
        <v/>
      </c>
      <c r="AN254" s="3976"/>
      <c r="AO254" s="2045" t="str">
        <f>IF(OR(AO205,AO233,AO251),"",SUM(AO170,-AO252))</f>
        <v/>
      </c>
      <c r="AP254" s="3976"/>
      <c r="AQ254" s="2045" t="str">
        <f>IF(OR(AQ205,AQ233,AQ251),"",SUM(AQ170,-AQ252))</f>
        <v/>
      </c>
      <c r="AR254" s="1411"/>
      <c r="AS254" s="1504"/>
      <c r="AT254" s="431"/>
      <c r="AU254" s="42"/>
      <c r="AV254" s="1732"/>
      <c r="BA254" s="42"/>
      <c r="BB254" s="42"/>
      <c r="BN254" s="2873">
        <f t="shared" si="4"/>
        <v>0</v>
      </c>
      <c r="BO254" s="2873">
        <f t="shared" si="5"/>
        <v>0</v>
      </c>
      <c r="BP254" s="2873">
        <f t="shared" si="6"/>
        <v>0</v>
      </c>
      <c r="BQ254" s="2873">
        <f t="shared" si="7"/>
        <v>0</v>
      </c>
      <c r="BR254" s="2873">
        <f t="shared" si="8"/>
        <v>0</v>
      </c>
      <c r="BS254" s="2873">
        <f t="shared" si="9"/>
        <v>0</v>
      </c>
      <c r="BT254" s="2873">
        <f t="shared" si="10"/>
        <v>0</v>
      </c>
      <c r="BU254" s="2873">
        <f t="shared" si="11"/>
        <v>0</v>
      </c>
      <c r="BV254" s="2873">
        <f t="shared" si="12"/>
        <v>0</v>
      </c>
      <c r="BW254" s="2873">
        <f t="shared" si="13"/>
        <v>0</v>
      </c>
      <c r="BX254" s="2873">
        <f t="shared" si="14"/>
        <v>0</v>
      </c>
      <c r="BY254" s="2873">
        <f t="shared" si="15"/>
        <v>0</v>
      </c>
    </row>
    <row r="255" spans="1:95" ht="12.6" customHeight="1">
      <c r="O255" s="5784">
        <f t="shared" si="0"/>
        <v>255</v>
      </c>
      <c r="P255" s="2405"/>
      <c r="Q255" s="2273"/>
      <c r="R255" s="431"/>
      <c r="S255" s="2270"/>
      <c r="T255" s="431"/>
      <c r="U255" s="2276" t="str">
        <f t="shared" si="2"/>
        <v/>
      </c>
      <c r="V255" s="431"/>
      <c r="W255" s="2267" t="str">
        <f t="shared" si="16"/>
        <v/>
      </c>
      <c r="X255" s="2407"/>
      <c r="Y255" s="2258">
        <f t="shared" si="1"/>
        <v>0</v>
      </c>
      <c r="Z255" s="431"/>
      <c r="AA255" s="431"/>
      <c r="AB255" s="1278"/>
      <c r="AC255" s="1284">
        <v>0.28000000000000003</v>
      </c>
      <c r="AD255" s="1276"/>
      <c r="AE255" s="1179"/>
      <c r="AF255" s="1179"/>
      <c r="AG255" s="1179"/>
      <c r="AH255" s="1179"/>
      <c r="AI255" s="1179"/>
      <c r="AJ255" s="1145"/>
      <c r="AK255" s="3542"/>
      <c r="AL255" s="3542"/>
      <c r="AM255" s="3542"/>
      <c r="AN255" s="3542"/>
      <c r="AO255" s="3542"/>
      <c r="AP255" s="3542"/>
      <c r="AQ255" s="3542"/>
      <c r="AR255" s="1411"/>
      <c r="AS255" s="1504"/>
      <c r="AT255" s="431"/>
      <c r="AU255" s="42"/>
      <c r="AV255" s="1732"/>
      <c r="BA255" s="42"/>
      <c r="BB255" s="42"/>
      <c r="BN255" s="2873">
        <f t="shared" si="4"/>
        <v>0</v>
      </c>
      <c r="BO255" s="2873">
        <f t="shared" si="5"/>
        <v>0</v>
      </c>
      <c r="BP255" s="2873">
        <f t="shared" si="6"/>
        <v>0</v>
      </c>
      <c r="BQ255" s="2873">
        <f t="shared" si="7"/>
        <v>0</v>
      </c>
      <c r="BR255" s="2873">
        <f t="shared" si="8"/>
        <v>0</v>
      </c>
      <c r="BS255" s="2873">
        <f t="shared" si="9"/>
        <v>0</v>
      </c>
      <c r="BT255" s="2873">
        <f t="shared" si="10"/>
        <v>0</v>
      </c>
      <c r="BU255" s="2873">
        <f t="shared" si="11"/>
        <v>0</v>
      </c>
      <c r="BV255" s="2873">
        <f t="shared" si="12"/>
        <v>0</v>
      </c>
      <c r="BW255" s="2873">
        <f t="shared" si="13"/>
        <v>0</v>
      </c>
      <c r="BX255" s="2873">
        <f t="shared" si="14"/>
        <v>0</v>
      </c>
      <c r="BY255" s="2873">
        <f t="shared" si="15"/>
        <v>0</v>
      </c>
    </row>
    <row r="256" spans="1:95" ht="12.6" customHeight="1">
      <c r="O256" s="5784">
        <f t="shared" si="0"/>
        <v>256</v>
      </c>
      <c r="P256" s="2405"/>
      <c r="Q256" s="2273"/>
      <c r="R256" s="431"/>
      <c r="S256" s="2270"/>
      <c r="T256" s="431"/>
      <c r="U256" s="2276" t="str">
        <f t="shared" si="2"/>
        <v/>
      </c>
      <c r="V256" s="431"/>
      <c r="W256" s="2267" t="str">
        <f t="shared" si="16"/>
        <v/>
      </c>
      <c r="X256" s="2407"/>
      <c r="Y256" s="2258">
        <f t="shared" si="1"/>
        <v>0</v>
      </c>
      <c r="AB256" s="2525" t="s">
        <v>2684</v>
      </c>
      <c r="AC256" s="1276" t="str">
        <f>"Multiply line 35 by "&amp;TEXT(AC255,"0%")&amp;" ("&amp;TEXT(AC255,"0.00")&amp;")"</f>
        <v>Multiply line 35 by 28% (0.28)</v>
      </c>
      <c r="AD256" s="1276"/>
      <c r="AE256" s="1179"/>
      <c r="AF256" s="1179"/>
      <c r="AG256" s="1179"/>
      <c r="AH256" s="1179"/>
      <c r="AI256" s="1179"/>
      <c r="AJ256" s="1411" t="s">
        <v>2684</v>
      </c>
      <c r="AK256" s="2045" t="str">
        <f>IF(OR(AK205,AK233,AK251),"",ROUND(AK254*$AC255,0))</f>
        <v/>
      </c>
      <c r="AL256" s="3976"/>
      <c r="AM256" s="2045" t="str">
        <f>IF(OR(AM205,AM233,AM251),"",ROUND(AM254*$AC255,0))</f>
        <v/>
      </c>
      <c r="AN256" s="3976"/>
      <c r="AO256" s="2045" t="str">
        <f>IF(OR(AO205,AO233,AO251),"",ROUND(AO254*$AC255,0))</f>
        <v/>
      </c>
      <c r="AP256" s="3976"/>
      <c r="AQ256" s="2045" t="str">
        <f>IF(OR(AQ205,AQ233,AQ251),"",ROUND(AQ254*$AC255,0))</f>
        <v/>
      </c>
      <c r="AR256" s="1411"/>
      <c r="AS256" s="1504"/>
      <c r="AT256" s="431"/>
      <c r="AU256" s="42"/>
      <c r="AV256" s="1732"/>
      <c r="BA256" s="42"/>
      <c r="BB256" s="42"/>
      <c r="BN256" s="2873">
        <f t="shared" si="4"/>
        <v>0</v>
      </c>
      <c r="BO256" s="2873">
        <f t="shared" si="5"/>
        <v>0</v>
      </c>
      <c r="BP256" s="2873">
        <f t="shared" si="6"/>
        <v>0</v>
      </c>
      <c r="BQ256" s="2873">
        <f t="shared" si="7"/>
        <v>0</v>
      </c>
      <c r="BR256" s="2873">
        <f t="shared" si="8"/>
        <v>0</v>
      </c>
      <c r="BS256" s="2873">
        <f t="shared" si="9"/>
        <v>0</v>
      </c>
      <c r="BT256" s="2873">
        <f t="shared" si="10"/>
        <v>0</v>
      </c>
      <c r="BU256" s="2873">
        <f t="shared" si="11"/>
        <v>0</v>
      </c>
      <c r="BV256" s="2873">
        <f t="shared" si="12"/>
        <v>0</v>
      </c>
      <c r="BW256" s="2873">
        <f t="shared" si="13"/>
        <v>0</v>
      </c>
      <c r="BX256" s="2873">
        <f t="shared" si="14"/>
        <v>0</v>
      </c>
      <c r="BY256" s="2873">
        <f t="shared" si="15"/>
        <v>0</v>
      </c>
    </row>
    <row r="257" spans="1:95" ht="12.6" customHeight="1">
      <c r="O257" s="5784">
        <f t="shared" si="0"/>
        <v>257</v>
      </c>
      <c r="P257" s="2405"/>
      <c r="Q257" s="2273"/>
      <c r="R257" s="431"/>
      <c r="S257" s="2270"/>
      <c r="T257" s="431"/>
      <c r="U257" s="2276" t="str">
        <f t="shared" si="2"/>
        <v/>
      </c>
      <c r="V257" s="431"/>
      <c r="W257" s="2267" t="str">
        <f t="shared" si="16"/>
        <v/>
      </c>
      <c r="X257" s="2407"/>
      <c r="Y257" s="2258">
        <f t="shared" si="1"/>
        <v>0</v>
      </c>
      <c r="AB257" s="1278"/>
      <c r="AC257" s="1276"/>
      <c r="AD257" s="1276"/>
      <c r="AE257" s="1179"/>
      <c r="AF257" s="1179"/>
      <c r="AG257" s="1179"/>
      <c r="AH257" s="1179"/>
      <c r="AI257" s="1179"/>
      <c r="AJ257" s="1145"/>
      <c r="AK257" s="3542"/>
      <c r="AL257" s="3542"/>
      <c r="AM257" s="3542"/>
      <c r="AN257" s="3542"/>
      <c r="AO257" s="3542"/>
      <c r="AP257" s="3542"/>
      <c r="AQ257" s="3542"/>
      <c r="AR257" s="1411"/>
      <c r="AS257" s="1504"/>
      <c r="AT257" s="431"/>
      <c r="AU257" s="42"/>
      <c r="AV257" s="1732"/>
      <c r="AW257" s="613"/>
      <c r="AX257" s="613"/>
      <c r="AY257" s="613"/>
      <c r="AZ257" s="613"/>
      <c r="BA257" s="42"/>
      <c r="BB257" s="42"/>
      <c r="BN257" s="2873">
        <f t="shared" si="4"/>
        <v>0</v>
      </c>
      <c r="BO257" s="2873">
        <f t="shared" si="5"/>
        <v>0</v>
      </c>
      <c r="BP257" s="2873">
        <f t="shared" si="6"/>
        <v>0</v>
      </c>
      <c r="BQ257" s="2873">
        <f t="shared" si="7"/>
        <v>0</v>
      </c>
      <c r="BR257" s="2873">
        <f t="shared" si="8"/>
        <v>0</v>
      </c>
      <c r="BS257" s="2873">
        <f t="shared" si="9"/>
        <v>0</v>
      </c>
      <c r="BT257" s="2873">
        <f t="shared" si="10"/>
        <v>0</v>
      </c>
      <c r="BU257" s="2873">
        <f t="shared" si="11"/>
        <v>0</v>
      </c>
      <c r="BV257" s="2873">
        <f t="shared" si="12"/>
        <v>0</v>
      </c>
      <c r="BW257" s="2873">
        <f t="shared" si="13"/>
        <v>0</v>
      </c>
      <c r="BX257" s="2873">
        <f t="shared" si="14"/>
        <v>0</v>
      </c>
      <c r="BY257" s="2873">
        <f t="shared" si="15"/>
        <v>0</v>
      </c>
    </row>
    <row r="258" spans="1:95" ht="12.6" customHeight="1">
      <c r="O258" s="5784">
        <f t="shared" si="0"/>
        <v>258</v>
      </c>
      <c r="P258" s="2405"/>
      <c r="Q258" s="2273"/>
      <c r="R258" s="431"/>
      <c r="S258" s="2270"/>
      <c r="T258" s="431"/>
      <c r="U258" s="2276" t="str">
        <f t="shared" si="2"/>
        <v/>
      </c>
      <c r="V258" s="431"/>
      <c r="W258" s="2267" t="str">
        <f t="shared" si="16"/>
        <v/>
      </c>
      <c r="X258" s="2407"/>
      <c r="Y258" s="2258">
        <f t="shared" si="1"/>
        <v>0</v>
      </c>
      <c r="AB258" s="2525" t="s">
        <v>2685</v>
      </c>
      <c r="AC258" s="1276" t="s">
        <v>5578</v>
      </c>
      <c r="AD258" s="1276"/>
      <c r="AE258" s="1179"/>
      <c r="AF258" s="1179"/>
      <c r="AG258" s="1179"/>
      <c r="AH258" s="1179"/>
      <c r="AI258" s="1179"/>
      <c r="AJ258" s="1145"/>
      <c r="AK258" s="3542"/>
      <c r="AL258" s="3542"/>
      <c r="AM258" s="3542"/>
      <c r="AN258" s="3542"/>
      <c r="AO258" s="3542"/>
      <c r="AP258" s="3542"/>
      <c r="AQ258" s="3542"/>
      <c r="AR258" s="1411"/>
      <c r="AS258" s="1504"/>
      <c r="AT258" s="431"/>
      <c r="AU258" s="42"/>
      <c r="AV258" s="1732"/>
      <c r="BA258" s="42"/>
      <c r="BB258" s="42"/>
      <c r="BN258" s="2873">
        <f t="shared" si="4"/>
        <v>0</v>
      </c>
      <c r="BO258" s="2873">
        <f t="shared" si="5"/>
        <v>0</v>
      </c>
      <c r="BP258" s="2873">
        <f t="shared" si="6"/>
        <v>0</v>
      </c>
      <c r="BQ258" s="2873">
        <f t="shared" si="7"/>
        <v>0</v>
      </c>
      <c r="BR258" s="2873">
        <f t="shared" si="8"/>
        <v>0</v>
      </c>
      <c r="BS258" s="2873">
        <f t="shared" si="9"/>
        <v>0</v>
      </c>
      <c r="BT258" s="2873">
        <f t="shared" si="10"/>
        <v>0</v>
      </c>
      <c r="BU258" s="2873">
        <f t="shared" si="11"/>
        <v>0</v>
      </c>
      <c r="BV258" s="2873">
        <f t="shared" si="12"/>
        <v>0</v>
      </c>
      <c r="BW258" s="2873">
        <f t="shared" si="13"/>
        <v>0</v>
      </c>
      <c r="BX258" s="2873">
        <f t="shared" si="14"/>
        <v>0</v>
      </c>
      <c r="BY258" s="2873">
        <f t="shared" si="15"/>
        <v>0</v>
      </c>
    </row>
    <row r="259" spans="1:95" ht="15.95" customHeight="1">
      <c r="O259" s="5784">
        <f t="shared" si="0"/>
        <v>259</v>
      </c>
      <c r="P259" s="2405"/>
      <c r="Q259" s="2273"/>
      <c r="R259" s="431"/>
      <c r="S259" s="2270"/>
      <c r="T259" s="431"/>
      <c r="U259" s="2276" t="str">
        <f t="shared" si="2"/>
        <v/>
      </c>
      <c r="V259" s="431"/>
      <c r="W259" s="2267" t="str">
        <f t="shared" si="16"/>
        <v/>
      </c>
      <c r="X259" s="2407"/>
      <c r="Y259" s="2258">
        <f t="shared" si="1"/>
        <v>0</v>
      </c>
      <c r="AB259" s="1278"/>
      <c r="AC259" s="1276" t="str">
        <f>"the "&amp;TaxYear&amp;" Tax Rate Schedules"</f>
        <v>the 2021 Tax Rate Schedules</v>
      </c>
      <c r="AD259" s="1276"/>
      <c r="AE259" s="1179"/>
      <c r="AF259" s="1179"/>
      <c r="AG259" s="1179"/>
      <c r="AH259" s="1179"/>
      <c r="AI259" s="1179"/>
      <c r="AJ259" s="1411" t="s">
        <v>2685</v>
      </c>
      <c r="AK259" s="2045" t="str">
        <f>BT163</f>
        <v>Filing status?</v>
      </c>
      <c r="AL259" s="3976"/>
      <c r="AM259" s="2045" t="str">
        <f>BZ163</f>
        <v>Filing status?</v>
      </c>
      <c r="AN259" s="3976"/>
      <c r="AO259" s="2045" t="str">
        <f>CF163</f>
        <v>Filing status?</v>
      </c>
      <c r="AP259" s="3976"/>
      <c r="AQ259" s="2045" t="str">
        <f>CL163</f>
        <v>Filing status?</v>
      </c>
      <c r="AR259" s="1411"/>
      <c r="AS259" s="1504"/>
      <c r="AT259" s="431"/>
      <c r="AU259" s="42"/>
      <c r="BA259" s="42"/>
      <c r="BB259" s="42"/>
      <c r="BN259" s="2873">
        <f t="shared" si="4"/>
        <v>0</v>
      </c>
      <c r="BO259" s="2873">
        <f t="shared" si="5"/>
        <v>0</v>
      </c>
      <c r="BP259" s="2873">
        <f t="shared" si="6"/>
        <v>0</v>
      </c>
      <c r="BQ259" s="2873">
        <f t="shared" si="7"/>
        <v>0</v>
      </c>
      <c r="BR259" s="2873">
        <f t="shared" si="8"/>
        <v>0</v>
      </c>
      <c r="BS259" s="2873">
        <f t="shared" si="9"/>
        <v>0</v>
      </c>
      <c r="BT259" s="2873">
        <f t="shared" si="10"/>
        <v>0</v>
      </c>
      <c r="BU259" s="2873">
        <f t="shared" si="11"/>
        <v>0</v>
      </c>
      <c r="BV259" s="2873">
        <f t="shared" si="12"/>
        <v>0</v>
      </c>
      <c r="BW259" s="2873">
        <f t="shared" si="13"/>
        <v>0</v>
      </c>
      <c r="BX259" s="2873">
        <f t="shared" si="14"/>
        <v>0</v>
      </c>
      <c r="BY259" s="2873">
        <f t="shared" si="15"/>
        <v>0</v>
      </c>
    </row>
    <row r="260" spans="1:95" s="613" customFormat="1" ht="20.100000000000001" customHeight="1">
      <c r="A260"/>
      <c r="B260"/>
      <c r="C260"/>
      <c r="D260"/>
      <c r="E260"/>
      <c r="F260"/>
      <c r="G260"/>
      <c r="H260"/>
      <c r="I260"/>
      <c r="J260"/>
      <c r="K260"/>
      <c r="L260"/>
      <c r="M260"/>
      <c r="N260"/>
      <c r="O260" s="5784">
        <f t="shared" si="0"/>
        <v>260</v>
      </c>
      <c r="P260" s="2405"/>
      <c r="Q260" s="2273"/>
      <c r="R260" s="431"/>
      <c r="S260" s="2270"/>
      <c r="T260" s="431"/>
      <c r="U260" s="2276" t="str">
        <f t="shared" si="2"/>
        <v/>
      </c>
      <c r="V260" s="431"/>
      <c r="W260" s="2267" t="str">
        <f t="shared" si="16"/>
        <v/>
      </c>
      <c r="X260" s="2407"/>
      <c r="Y260" s="2258">
        <f t="shared" si="1"/>
        <v>0</v>
      </c>
      <c r="Z260"/>
      <c r="AA260"/>
      <c r="AB260" s="1278"/>
      <c r="AC260" s="1276"/>
      <c r="AD260" s="1276"/>
      <c r="AE260" s="1179"/>
      <c r="AF260" s="1179"/>
      <c r="AG260" s="1179"/>
      <c r="AH260" s="1179"/>
      <c r="AI260" s="1179"/>
      <c r="AJ260" s="1145"/>
      <c r="AK260" s="3542"/>
      <c r="AL260" s="3542"/>
      <c r="AM260" s="3542"/>
      <c r="AN260" s="3542"/>
      <c r="AO260" s="3542"/>
      <c r="AP260" s="3542"/>
      <c r="AQ260" s="3542"/>
      <c r="AR260" s="1411"/>
      <c r="AS260" s="1504"/>
      <c r="AT260" s="431"/>
      <c r="AU260" s="42"/>
      <c r="AV260" s="866"/>
      <c r="AW260"/>
      <c r="AX260"/>
      <c r="AY260"/>
      <c r="AZ260"/>
      <c r="BA260" s="42"/>
      <c r="BB260" s="42"/>
      <c r="BC260" s="2595"/>
      <c r="BD260" s="2595"/>
      <c r="BE260" s="2595"/>
      <c r="BF260" s="2595"/>
      <c r="BG260" s="2595"/>
      <c r="BH260" s="2595"/>
      <c r="BI260" s="2595"/>
      <c r="BJ260" s="2595"/>
      <c r="BK260" s="2595"/>
      <c r="BL260" s="2595"/>
      <c r="BM260" s="2595"/>
      <c r="BN260" s="2873">
        <f t="shared" si="4"/>
        <v>0</v>
      </c>
      <c r="BO260" s="2873">
        <f t="shared" si="5"/>
        <v>0</v>
      </c>
      <c r="BP260" s="2873">
        <f t="shared" si="6"/>
        <v>0</v>
      </c>
      <c r="BQ260" s="2873">
        <f t="shared" si="7"/>
        <v>0</v>
      </c>
      <c r="BR260" s="2873">
        <f t="shared" si="8"/>
        <v>0</v>
      </c>
      <c r="BS260" s="2873">
        <f t="shared" si="9"/>
        <v>0</v>
      </c>
      <c r="BT260" s="2873">
        <f t="shared" si="10"/>
        <v>0</v>
      </c>
      <c r="BU260" s="2873">
        <f t="shared" si="11"/>
        <v>0</v>
      </c>
      <c r="BV260" s="2873">
        <f t="shared" si="12"/>
        <v>0</v>
      </c>
      <c r="BW260" s="2873">
        <f t="shared" si="13"/>
        <v>0</v>
      </c>
      <c r="BX260" s="2873">
        <f t="shared" si="14"/>
        <v>0</v>
      </c>
      <c r="BY260" s="2873">
        <f t="shared" si="15"/>
        <v>0</v>
      </c>
      <c r="BZ260"/>
      <c r="CA260"/>
      <c r="CB260"/>
      <c r="CC260"/>
      <c r="CD260"/>
      <c r="CE260"/>
      <c r="CF260"/>
      <c r="CG260"/>
      <c r="CH260"/>
      <c r="CI260"/>
      <c r="CJ260"/>
      <c r="CK260"/>
      <c r="CL260"/>
      <c r="CM260"/>
      <c r="CN260"/>
      <c r="CO260"/>
      <c r="CP260"/>
      <c r="CQ260"/>
    </row>
    <row r="261" spans="1:95">
      <c r="O261" s="5784">
        <f t="shared" si="0"/>
        <v>261</v>
      </c>
      <c r="P261" s="2405"/>
      <c r="Q261" s="2273"/>
      <c r="R261" s="431"/>
      <c r="S261" s="2270"/>
      <c r="T261" s="431"/>
      <c r="U261" s="2276" t="str">
        <f t="shared" si="2"/>
        <v/>
      </c>
      <c r="V261" s="431"/>
      <c r="W261" s="2267" t="str">
        <f t="shared" si="16"/>
        <v/>
      </c>
      <c r="X261" s="2407"/>
      <c r="Y261" s="2258">
        <f t="shared" si="1"/>
        <v>0</v>
      </c>
      <c r="AB261" s="2525" t="s">
        <v>2686</v>
      </c>
      <c r="AC261" s="1276" t="s">
        <v>5575</v>
      </c>
      <c r="AD261" s="1276"/>
      <c r="AE261" s="1179"/>
      <c r="AF261" s="1179"/>
      <c r="AG261" s="1179"/>
      <c r="AH261" s="1179"/>
      <c r="AI261" s="1179"/>
      <c r="AJ261" s="1411" t="s">
        <v>2686</v>
      </c>
      <c r="AK261" s="2045">
        <f>SUM(AK228,AK236,AK250,AK256,AK259)</f>
        <v>0</v>
      </c>
      <c r="AL261" s="3976"/>
      <c r="AM261" s="2045">
        <f>SUM(AM228,AM236,AM250,AM256,AM259)</f>
        <v>0</v>
      </c>
      <c r="AN261" s="3976"/>
      <c r="AO261" s="2045">
        <f>SUM(AO228,AO236,AO250,AO256,AO259)</f>
        <v>0</v>
      </c>
      <c r="AP261" s="3976"/>
      <c r="AQ261" s="2045">
        <f>SUM(AQ228,AQ236,AQ250,AQ256,AQ259)</f>
        <v>0</v>
      </c>
      <c r="AR261" s="1411"/>
      <c r="AS261" s="1504"/>
      <c r="AT261" s="431"/>
      <c r="AU261" s="42"/>
      <c r="BA261" s="42"/>
      <c r="BB261" s="42"/>
      <c r="BN261" s="2873">
        <f t="shared" si="4"/>
        <v>0</v>
      </c>
      <c r="BO261" s="2873">
        <f t="shared" si="5"/>
        <v>0</v>
      </c>
      <c r="BP261" s="2873">
        <f t="shared" si="6"/>
        <v>0</v>
      </c>
      <c r="BQ261" s="2873">
        <f t="shared" si="7"/>
        <v>0</v>
      </c>
      <c r="BR261" s="2873">
        <f t="shared" si="8"/>
        <v>0</v>
      </c>
      <c r="BS261" s="2873">
        <f t="shared" si="9"/>
        <v>0</v>
      </c>
      <c r="BT261" s="2873">
        <f t="shared" si="10"/>
        <v>0</v>
      </c>
      <c r="BU261" s="2873">
        <f t="shared" si="11"/>
        <v>0</v>
      </c>
      <c r="BV261" s="2873">
        <f t="shared" si="12"/>
        <v>0</v>
      </c>
      <c r="BW261" s="2873">
        <f t="shared" si="13"/>
        <v>0</v>
      </c>
      <c r="BX261" s="2873">
        <f t="shared" si="14"/>
        <v>0</v>
      </c>
      <c r="BY261" s="2873">
        <f t="shared" si="15"/>
        <v>0</v>
      </c>
    </row>
    <row r="262" spans="1:95" ht="12.6" customHeight="1">
      <c r="O262" s="5784">
        <f t="shared" si="0"/>
        <v>262</v>
      </c>
      <c r="P262" s="2405"/>
      <c r="Q262" s="2273"/>
      <c r="R262" s="431"/>
      <c r="S262" s="2270"/>
      <c r="T262" s="431"/>
      <c r="U262" s="2276" t="str">
        <f t="shared" si="2"/>
        <v/>
      </c>
      <c r="V262" s="431"/>
      <c r="W262" s="2267" t="str">
        <f t="shared" si="16"/>
        <v/>
      </c>
      <c r="X262" s="2407"/>
      <c r="Y262" s="2258">
        <f t="shared" si="1"/>
        <v>0</v>
      </c>
      <c r="AB262" s="1278"/>
      <c r="AC262" s="1276"/>
      <c r="AD262" s="1276"/>
      <c r="AE262" s="1179"/>
      <c r="AF262" s="1179"/>
      <c r="AG262" s="1179"/>
      <c r="AH262" s="1179"/>
      <c r="AI262" s="1179"/>
      <c r="AJ262" s="1145"/>
      <c r="AK262" s="3542"/>
      <c r="AL262" s="3542"/>
      <c r="AM262" s="3542"/>
      <c r="AN262" s="3542"/>
      <c r="AO262" s="3542"/>
      <c r="AP262" s="3542"/>
      <c r="AQ262" s="3542"/>
      <c r="AR262" s="1411"/>
      <c r="AS262" s="1504"/>
      <c r="AT262" s="431"/>
      <c r="AU262" s="42"/>
      <c r="AV262" s="3338"/>
      <c r="BA262" s="42"/>
      <c r="BB262" s="42"/>
      <c r="BN262" s="2873">
        <f t="shared" si="4"/>
        <v>0</v>
      </c>
      <c r="BO262" s="2873">
        <f t="shared" si="5"/>
        <v>0</v>
      </c>
      <c r="BP262" s="2873">
        <f t="shared" si="6"/>
        <v>0</v>
      </c>
      <c r="BQ262" s="2873">
        <f t="shared" si="7"/>
        <v>0</v>
      </c>
      <c r="BR262" s="2873">
        <f t="shared" si="8"/>
        <v>0</v>
      </c>
      <c r="BS262" s="2873">
        <f t="shared" si="9"/>
        <v>0</v>
      </c>
      <c r="BT262" s="2873">
        <f t="shared" si="10"/>
        <v>0</v>
      </c>
      <c r="BU262" s="2873">
        <f t="shared" si="11"/>
        <v>0</v>
      </c>
      <c r="BV262" s="2873">
        <f t="shared" si="12"/>
        <v>0</v>
      </c>
      <c r="BW262" s="2873">
        <f t="shared" si="13"/>
        <v>0</v>
      </c>
      <c r="BX262" s="2873">
        <f t="shared" si="14"/>
        <v>0</v>
      </c>
      <c r="BY262" s="2873">
        <f t="shared" si="15"/>
        <v>0</v>
      </c>
    </row>
    <row r="263" spans="1:95" ht="12.6" customHeight="1">
      <c r="O263" s="5784">
        <f t="shared" si="0"/>
        <v>263</v>
      </c>
      <c r="P263" s="2405"/>
      <c r="Q263" s="2273"/>
      <c r="R263" s="431"/>
      <c r="S263" s="2270"/>
      <c r="T263" s="431"/>
      <c r="U263" s="2276" t="str">
        <f t="shared" si="2"/>
        <v/>
      </c>
      <c r="V263" s="431"/>
      <c r="W263" s="2267" t="str">
        <f t="shared" si="16"/>
        <v/>
      </c>
      <c r="X263" s="2407"/>
      <c r="Y263" s="2258">
        <f t="shared" si="1"/>
        <v>0</v>
      </c>
      <c r="AB263" s="2525" t="s">
        <v>821</v>
      </c>
      <c r="AC263" s="1276" t="s">
        <v>5577</v>
      </c>
      <c r="AD263" s="1276"/>
      <c r="AE263" s="1179"/>
      <c r="AF263" s="1179"/>
      <c r="AG263" s="1179"/>
      <c r="AH263" s="1179"/>
      <c r="AI263" s="1179"/>
      <c r="AJ263" s="1145"/>
      <c r="AK263" s="3542"/>
      <c r="AL263" s="3542"/>
      <c r="AM263" s="3542"/>
      <c r="AN263" s="3542"/>
      <c r="AO263" s="3542"/>
      <c r="AP263" s="3542"/>
      <c r="AQ263" s="3542"/>
      <c r="AR263" s="1411"/>
      <c r="AS263" s="1504"/>
      <c r="AT263" s="431"/>
      <c r="AV263" s="3337" t="s">
        <v>294</v>
      </c>
      <c r="AW263" s="3155">
        <f>AK290</f>
        <v>0</v>
      </c>
      <c r="AX263" s="3155">
        <f>AM290</f>
        <v>0</v>
      </c>
      <c r="AY263" s="3155">
        <f>AO290</f>
        <v>0</v>
      </c>
      <c r="AZ263" s="3155">
        <f>AQ290</f>
        <v>0</v>
      </c>
      <c r="BN263" s="2873">
        <f t="shared" si="4"/>
        <v>0</v>
      </c>
      <c r="BO263" s="2873">
        <f t="shared" si="5"/>
        <v>0</v>
      </c>
      <c r="BP263" s="2873">
        <f t="shared" si="6"/>
        <v>0</v>
      </c>
      <c r="BQ263" s="2873">
        <f t="shared" si="7"/>
        <v>0</v>
      </c>
      <c r="BR263" s="2873">
        <f t="shared" si="8"/>
        <v>0</v>
      </c>
      <c r="BS263" s="2873">
        <f t="shared" si="9"/>
        <v>0</v>
      </c>
      <c r="BT263" s="2873">
        <f t="shared" si="10"/>
        <v>0</v>
      </c>
      <c r="BU263" s="2873">
        <f t="shared" si="11"/>
        <v>0</v>
      </c>
      <c r="BV263" s="2873">
        <f t="shared" si="12"/>
        <v>0</v>
      </c>
      <c r="BW263" s="2873">
        <f t="shared" si="13"/>
        <v>0</v>
      </c>
      <c r="BX263" s="2873">
        <f t="shared" si="14"/>
        <v>0</v>
      </c>
      <c r="BY263" s="2873">
        <f t="shared" si="15"/>
        <v>0</v>
      </c>
    </row>
    <row r="264" spans="1:95" ht="12.6" customHeight="1">
      <c r="O264" s="5784">
        <f t="shared" si="0"/>
        <v>264</v>
      </c>
      <c r="P264" s="2405"/>
      <c r="Q264" s="2273"/>
      <c r="R264" s="431"/>
      <c r="S264" s="2270"/>
      <c r="T264" s="431"/>
      <c r="U264" s="2276" t="str">
        <f t="shared" si="2"/>
        <v/>
      </c>
      <c r="V264" s="431"/>
      <c r="W264" s="2267" t="str">
        <f t="shared" si="16"/>
        <v/>
      </c>
      <c r="X264" s="2407"/>
      <c r="Y264" s="2258">
        <f t="shared" si="1"/>
        <v>0</v>
      </c>
      <c r="AB264" s="1278"/>
      <c r="AC264" s="1276" t="s">
        <v>5576</v>
      </c>
      <c r="AD264" s="1276"/>
      <c r="AE264" s="1179"/>
      <c r="AF264" s="1179"/>
      <c r="AG264" s="1179"/>
      <c r="AH264" s="1179"/>
      <c r="AI264" s="1179"/>
      <c r="AJ264" s="1411" t="s">
        <v>821</v>
      </c>
      <c r="AK264" s="2045" t="str">
        <f>BT149</f>
        <v>Filing status?</v>
      </c>
      <c r="AL264" s="3976"/>
      <c r="AM264" s="2045" t="str">
        <f>BZ149</f>
        <v>Filing status?</v>
      </c>
      <c r="AN264" s="3976"/>
      <c r="AO264" s="2045" t="str">
        <f>CF149</f>
        <v>Filing status?</v>
      </c>
      <c r="AP264" s="3976"/>
      <c r="AQ264" s="2045" t="str">
        <f>CL149</f>
        <v>Filing status?</v>
      </c>
      <c r="AR264" s="1411"/>
      <c r="AS264" s="1504"/>
      <c r="AT264" s="431"/>
      <c r="AV264" s="3337" t="s">
        <v>0</v>
      </c>
      <c r="AW264" s="3155">
        <f>AK172</f>
        <v>0</v>
      </c>
      <c r="AX264" s="3155">
        <f>AM172</f>
        <v>0</v>
      </c>
      <c r="AY264" s="3155">
        <f>AO172</f>
        <v>0</v>
      </c>
      <c r="AZ264" s="3155">
        <f>AQ172</f>
        <v>0</v>
      </c>
      <c r="BN264" s="2873">
        <f t="shared" si="4"/>
        <v>0</v>
      </c>
      <c r="BO264" s="2873">
        <f t="shared" si="5"/>
        <v>0</v>
      </c>
      <c r="BP264" s="2873">
        <f t="shared" si="6"/>
        <v>0</v>
      </c>
      <c r="BQ264" s="2873">
        <f t="shared" si="7"/>
        <v>0</v>
      </c>
      <c r="BR264" s="2873">
        <f t="shared" si="8"/>
        <v>0</v>
      </c>
      <c r="BS264" s="2873">
        <f t="shared" si="9"/>
        <v>0</v>
      </c>
      <c r="BT264" s="2873">
        <f t="shared" si="10"/>
        <v>0</v>
      </c>
      <c r="BU264" s="2873">
        <f t="shared" si="11"/>
        <v>0</v>
      </c>
      <c r="BV264" s="2873">
        <f t="shared" si="12"/>
        <v>0</v>
      </c>
      <c r="BW264" s="2873">
        <f t="shared" si="13"/>
        <v>0</v>
      </c>
      <c r="BX264" s="2873">
        <f t="shared" si="14"/>
        <v>0</v>
      </c>
      <c r="BY264" s="2873">
        <f t="shared" si="15"/>
        <v>0</v>
      </c>
    </row>
    <row r="265" spans="1:95" ht="12.6" customHeight="1">
      <c r="O265" s="5784">
        <f t="shared" si="0"/>
        <v>265</v>
      </c>
      <c r="P265" s="2405"/>
      <c r="Q265" s="2273"/>
      <c r="R265" s="431"/>
      <c r="S265" s="2270"/>
      <c r="T265" s="431"/>
      <c r="U265" s="2276" t="str">
        <f t="shared" si="2"/>
        <v/>
      </c>
      <c r="V265" s="431"/>
      <c r="W265" s="2267" t="str">
        <f t="shared" si="16"/>
        <v/>
      </c>
      <c r="X265" s="2407"/>
      <c r="Y265" s="2258">
        <f t="shared" si="1"/>
        <v>0</v>
      </c>
      <c r="AB265" s="1278"/>
      <c r="AC265" s="1276"/>
      <c r="AD265" s="1276"/>
      <c r="AE265" s="1179"/>
      <c r="AF265" s="1179"/>
      <c r="AG265" s="1179"/>
      <c r="AH265" s="1179"/>
      <c r="AI265" s="1179"/>
      <c r="AJ265" s="1145"/>
      <c r="AK265" s="3542"/>
      <c r="AL265" s="3542"/>
      <c r="AM265" s="3542"/>
      <c r="AN265" s="3542"/>
      <c r="AO265" s="3542"/>
      <c r="AP265" s="3542"/>
      <c r="AQ265" s="3542"/>
      <c r="AR265" s="1411"/>
      <c r="AS265" s="1504"/>
      <c r="AT265" s="431"/>
      <c r="AV265" s="3337"/>
      <c r="AW265" s="3155"/>
      <c r="AX265" s="3155"/>
      <c r="AY265" s="3155"/>
      <c r="AZ265" s="3155"/>
      <c r="BN265" s="2873">
        <f t="shared" si="4"/>
        <v>0</v>
      </c>
      <c r="BO265" s="2873">
        <f t="shared" si="5"/>
        <v>0</v>
      </c>
      <c r="BP265" s="2873">
        <f t="shared" si="6"/>
        <v>0</v>
      </c>
      <c r="BQ265" s="2873">
        <f t="shared" si="7"/>
        <v>0</v>
      </c>
      <c r="BR265" s="2873">
        <f t="shared" si="8"/>
        <v>0</v>
      </c>
      <c r="BS265" s="2873">
        <f t="shared" si="9"/>
        <v>0</v>
      </c>
      <c r="BT265" s="2873">
        <f t="shared" si="10"/>
        <v>0</v>
      </c>
      <c r="BU265" s="2873">
        <f t="shared" si="11"/>
        <v>0</v>
      </c>
      <c r="BV265" s="2873">
        <f t="shared" si="12"/>
        <v>0</v>
      </c>
      <c r="BW265" s="2873">
        <f t="shared" si="13"/>
        <v>0</v>
      </c>
      <c r="BX265" s="2873">
        <f t="shared" si="14"/>
        <v>0</v>
      </c>
      <c r="BY265" s="2873">
        <f t="shared" si="15"/>
        <v>0</v>
      </c>
    </row>
    <row r="266" spans="1:95" ht="12.6" customHeight="1">
      <c r="O266" s="5784">
        <f t="shared" si="0"/>
        <v>266</v>
      </c>
      <c r="P266" s="2405"/>
      <c r="Q266" s="2273"/>
      <c r="R266" s="431"/>
      <c r="S266" s="2270"/>
      <c r="T266" s="431"/>
      <c r="U266" s="2276" t="str">
        <f t="shared" si="2"/>
        <v/>
      </c>
      <c r="V266" s="431"/>
      <c r="W266" s="2267" t="str">
        <f t="shared" si="16"/>
        <v/>
      </c>
      <c r="X266" s="2407"/>
      <c r="Y266" s="2258">
        <f t="shared" si="1"/>
        <v>0</v>
      </c>
      <c r="AB266" s="2525" t="s">
        <v>822</v>
      </c>
      <c r="AC266" s="1283" t="s">
        <v>5581</v>
      </c>
      <c r="AD266" s="1276"/>
      <c r="AE266" s="1179"/>
      <c r="AF266" s="1179"/>
      <c r="AG266" s="1179"/>
      <c r="AH266" s="1179"/>
      <c r="AI266" s="1179"/>
      <c r="AK266" s="3542"/>
      <c r="AL266" s="3542"/>
      <c r="AM266" s="3542"/>
      <c r="AN266" s="3542"/>
      <c r="AO266" s="3542"/>
      <c r="AP266" s="3542"/>
      <c r="AQ266" s="3542"/>
      <c r="AR266" s="1145"/>
      <c r="AS266" s="1504"/>
      <c r="AT266" s="431"/>
      <c r="AV266" s="3337" t="s">
        <v>1</v>
      </c>
      <c r="AW266" s="3155">
        <f>AK174</f>
        <v>0</v>
      </c>
      <c r="AX266" s="3155">
        <f>AM174</f>
        <v>0</v>
      </c>
      <c r="AY266" s="3155">
        <f>AO174</f>
        <v>0</v>
      </c>
      <c r="AZ266" s="3155">
        <f>AQ174</f>
        <v>0</v>
      </c>
      <c r="BN266" s="2873">
        <f t="shared" si="4"/>
        <v>0</v>
      </c>
      <c r="BO266" s="2873">
        <f t="shared" si="5"/>
        <v>0</v>
      </c>
      <c r="BP266" s="2873">
        <f t="shared" si="6"/>
        <v>0</v>
      </c>
      <c r="BQ266" s="2873">
        <f t="shared" si="7"/>
        <v>0</v>
      </c>
      <c r="BR266" s="2873">
        <f t="shared" si="8"/>
        <v>0</v>
      </c>
      <c r="BS266" s="2873">
        <f t="shared" si="9"/>
        <v>0</v>
      </c>
      <c r="BT266" s="2873">
        <f t="shared" si="10"/>
        <v>0</v>
      </c>
      <c r="BU266" s="2873">
        <f t="shared" si="11"/>
        <v>0</v>
      </c>
      <c r="BV266" s="2873">
        <f t="shared" si="12"/>
        <v>0</v>
      </c>
      <c r="BW266" s="2873">
        <f t="shared" si="13"/>
        <v>0</v>
      </c>
      <c r="BX266" s="2873">
        <f t="shared" si="14"/>
        <v>0</v>
      </c>
      <c r="BY266" s="2873">
        <f t="shared" si="15"/>
        <v>0</v>
      </c>
    </row>
    <row r="267" spans="1:95" ht="12.6" customHeight="1">
      <c r="O267" s="5784">
        <f t="shared" si="0"/>
        <v>267</v>
      </c>
      <c r="P267" s="2405"/>
      <c r="Q267" s="2273"/>
      <c r="R267" s="431"/>
      <c r="S267" s="2270"/>
      <c r="T267" s="431"/>
      <c r="U267" s="2276" t="str">
        <f t="shared" si="2"/>
        <v/>
      </c>
      <c r="V267" s="431"/>
      <c r="W267" s="2267" t="str">
        <f t="shared" si="16"/>
        <v/>
      </c>
      <c r="X267" s="2407"/>
      <c r="Y267" s="2258">
        <f t="shared" si="1"/>
        <v>0</v>
      </c>
      <c r="AB267" s="2525"/>
      <c r="AC267" s="1276" t="s">
        <v>5582</v>
      </c>
      <c r="AD267" s="1276"/>
      <c r="AE267" s="1179"/>
      <c r="AF267" s="1179"/>
      <c r="AG267" s="1179"/>
      <c r="AH267" s="1179"/>
      <c r="AI267" s="1179"/>
      <c r="AK267" s="3542"/>
      <c r="AL267" s="3542"/>
      <c r="AM267" s="3542"/>
      <c r="AN267" s="3542"/>
      <c r="AO267" s="3542"/>
      <c r="AP267" s="3542"/>
      <c r="AQ267" s="3542"/>
      <c r="AR267" s="1145"/>
      <c r="AS267" s="1504"/>
      <c r="AT267" s="431"/>
      <c r="AV267" s="3337"/>
      <c r="AW267" s="3155"/>
      <c r="AX267" s="3155"/>
      <c r="AY267" s="3155"/>
      <c r="AZ267" s="3155"/>
      <c r="BN267" s="2873">
        <f t="shared" si="4"/>
        <v>0</v>
      </c>
      <c r="BO267" s="2873">
        <f t="shared" si="5"/>
        <v>0</v>
      </c>
      <c r="BP267" s="2873">
        <f t="shared" si="6"/>
        <v>0</v>
      </c>
      <c r="BQ267" s="2873">
        <f t="shared" si="7"/>
        <v>0</v>
      </c>
      <c r="BR267" s="2873">
        <f t="shared" si="8"/>
        <v>0</v>
      </c>
      <c r="BS267" s="2873">
        <f t="shared" si="9"/>
        <v>0</v>
      </c>
      <c r="BT267" s="2873">
        <f t="shared" si="10"/>
        <v>0</v>
      </c>
      <c r="BU267" s="2873">
        <f t="shared" si="11"/>
        <v>0</v>
      </c>
      <c r="BV267" s="2873">
        <f t="shared" si="12"/>
        <v>0</v>
      </c>
      <c r="BW267" s="2873">
        <f t="shared" si="13"/>
        <v>0</v>
      </c>
      <c r="BX267" s="2873">
        <f t="shared" si="14"/>
        <v>0</v>
      </c>
      <c r="BY267" s="2873">
        <f t="shared" si="15"/>
        <v>0</v>
      </c>
    </row>
    <row r="268" spans="1:95" ht="12.6" customHeight="1">
      <c r="O268" s="5784">
        <f t="shared" si="0"/>
        <v>268</v>
      </c>
      <c r="P268" s="2405"/>
      <c r="Q268" s="2273"/>
      <c r="R268" s="431"/>
      <c r="S268" s="2270"/>
      <c r="T268" s="431"/>
      <c r="U268" s="2276" t="str">
        <f t="shared" si="2"/>
        <v/>
      </c>
      <c r="V268" s="431"/>
      <c r="W268" s="2267" t="str">
        <f t="shared" si="16"/>
        <v/>
      </c>
      <c r="X268" s="2407"/>
      <c r="Y268" s="2258">
        <f t="shared" si="1"/>
        <v>0</v>
      </c>
      <c r="AB268" s="1278"/>
      <c r="AC268" s="1276"/>
      <c r="AD268" s="1276"/>
      <c r="AE268" s="1179"/>
      <c r="AF268" s="1179"/>
      <c r="AG268" s="1179"/>
      <c r="AH268" s="1179"/>
      <c r="AI268" s="1179"/>
      <c r="AJ268" s="1145"/>
      <c r="AK268" s="3542"/>
      <c r="AL268" s="3542"/>
      <c r="AM268" s="3542"/>
      <c r="AN268" s="3542"/>
      <c r="AO268" s="3542"/>
      <c r="AP268" s="3542"/>
      <c r="AQ268" s="3542"/>
      <c r="AR268" s="1411"/>
      <c r="AS268" s="1504"/>
      <c r="AT268" s="431"/>
      <c r="AV268" s="3337" t="s">
        <v>399</v>
      </c>
      <c r="AW268" s="3155">
        <f>SUM(AW264,AW266)</f>
        <v>0</v>
      </c>
      <c r="AX268" s="3155">
        <f>SUM(AX264,AX266)</f>
        <v>0</v>
      </c>
      <c r="AY268" s="3155">
        <f>SUM(AY264,AY266)</f>
        <v>0</v>
      </c>
      <c r="AZ268" s="3155">
        <f>SUM(AZ264,AZ266)</f>
        <v>0</v>
      </c>
      <c r="BN268" s="2873">
        <f t="shared" si="4"/>
        <v>0</v>
      </c>
      <c r="BO268" s="2873">
        <f t="shared" si="5"/>
        <v>0</v>
      </c>
      <c r="BP268" s="2873">
        <f t="shared" si="6"/>
        <v>0</v>
      </c>
      <c r="BQ268" s="2873">
        <f t="shared" si="7"/>
        <v>0</v>
      </c>
      <c r="BR268" s="2873">
        <f t="shared" si="8"/>
        <v>0</v>
      </c>
      <c r="BS268" s="2873">
        <f t="shared" si="9"/>
        <v>0</v>
      </c>
      <c r="BT268" s="2873">
        <f t="shared" si="10"/>
        <v>0</v>
      </c>
      <c r="BU268" s="2873">
        <f t="shared" si="11"/>
        <v>0</v>
      </c>
      <c r="BV268" s="2873">
        <f t="shared" si="12"/>
        <v>0</v>
      </c>
      <c r="BW268" s="2873">
        <f t="shared" si="13"/>
        <v>0</v>
      </c>
      <c r="BX268" s="2873">
        <f t="shared" si="14"/>
        <v>0</v>
      </c>
      <c r="BY268" s="2873">
        <f t="shared" si="15"/>
        <v>0</v>
      </c>
    </row>
    <row r="269" spans="1:95" ht="15.95" customHeight="1">
      <c r="O269" s="5784">
        <f t="shared" si="0"/>
        <v>269</v>
      </c>
      <c r="P269" s="2405"/>
      <c r="Q269" s="2273"/>
      <c r="R269" s="431"/>
      <c r="S269" s="2270"/>
      <c r="T269" s="431"/>
      <c r="U269" s="2276" t="str">
        <f t="shared" si="2"/>
        <v/>
      </c>
      <c r="V269" s="431"/>
      <c r="W269" s="2267" t="str">
        <f t="shared" si="16"/>
        <v/>
      </c>
      <c r="X269" s="2407"/>
      <c r="Y269" s="2258">
        <f t="shared" si="1"/>
        <v>0</v>
      </c>
      <c r="AB269" s="1278"/>
      <c r="AC269" s="1276"/>
      <c r="AD269" s="1276"/>
      <c r="AE269" s="1179"/>
      <c r="AF269" s="1179"/>
      <c r="AG269" s="1179"/>
      <c r="AH269" s="1179"/>
      <c r="AI269" s="1179"/>
      <c r="AJ269" s="1411" t="s">
        <v>822</v>
      </c>
      <c r="AK269" s="2045">
        <f>MIN(AK261,AK264)</f>
        <v>0</v>
      </c>
      <c r="AL269" s="3976"/>
      <c r="AM269" s="2045">
        <f>MIN(AM261,AM264)</f>
        <v>0</v>
      </c>
      <c r="AN269" s="3976"/>
      <c r="AO269" s="2045">
        <f>MIN(AO261,AO264)</f>
        <v>0</v>
      </c>
      <c r="AP269" s="3976"/>
      <c r="AQ269" s="2045">
        <f>MIN(AQ261,AQ264)</f>
        <v>0</v>
      </c>
      <c r="AR269" s="1411"/>
      <c r="AS269" s="1504"/>
      <c r="AT269" s="431"/>
      <c r="AV269" s="3337" t="s">
        <v>31</v>
      </c>
      <c r="AW269" s="3155">
        <f>AK184</f>
        <v>0</v>
      </c>
      <c r="AX269" s="3155">
        <f>AM184</f>
        <v>0</v>
      </c>
      <c r="AY269" s="3155">
        <f>AO184</f>
        <v>0</v>
      </c>
      <c r="AZ269" s="3155">
        <f>AQ184</f>
        <v>0</v>
      </c>
      <c r="BN269" s="2873">
        <f t="shared" si="4"/>
        <v>0</v>
      </c>
      <c r="BO269" s="2873">
        <f t="shared" si="5"/>
        <v>0</v>
      </c>
      <c r="BP269" s="2873">
        <f t="shared" si="6"/>
        <v>0</v>
      </c>
      <c r="BQ269" s="2873">
        <f t="shared" si="7"/>
        <v>0</v>
      </c>
      <c r="BR269" s="2873">
        <f t="shared" si="8"/>
        <v>0</v>
      </c>
      <c r="BS269" s="2873">
        <f t="shared" si="9"/>
        <v>0</v>
      </c>
      <c r="BT269" s="2873">
        <f t="shared" si="10"/>
        <v>0</v>
      </c>
      <c r="BU269" s="2873">
        <f t="shared" si="11"/>
        <v>0</v>
      </c>
      <c r="BV269" s="2873">
        <f t="shared" si="12"/>
        <v>0</v>
      </c>
      <c r="BW269" s="2873">
        <f t="shared" si="13"/>
        <v>0</v>
      </c>
      <c r="BX269" s="2873">
        <f t="shared" si="14"/>
        <v>0</v>
      </c>
      <c r="BY269" s="2873">
        <f t="shared" si="15"/>
        <v>0</v>
      </c>
    </row>
    <row r="270" spans="1:95">
      <c r="O270" s="5784">
        <f t="shared" si="0"/>
        <v>270</v>
      </c>
      <c r="P270" s="2405"/>
      <c r="Q270" s="2273"/>
      <c r="R270" s="431"/>
      <c r="S270" s="2270"/>
      <c r="T270" s="431"/>
      <c r="U270" s="2276" t="str">
        <f t="shared" si="2"/>
        <v/>
      </c>
      <c r="V270" s="431"/>
      <c r="W270" s="2267" t="str">
        <f t="shared" si="16"/>
        <v/>
      </c>
      <c r="X270" s="2407"/>
      <c r="Y270" s="2258">
        <f t="shared" si="1"/>
        <v>0</v>
      </c>
      <c r="AB270" s="1278"/>
      <c r="AC270" s="1276"/>
      <c r="AD270" s="1276"/>
      <c r="AE270" s="1179"/>
      <c r="AF270" s="1179"/>
      <c r="AG270" s="1179"/>
      <c r="AH270" s="1179"/>
      <c r="AI270" s="1179"/>
      <c r="AJ270" s="1145"/>
      <c r="AK270" s="1145"/>
      <c r="AL270" s="1145"/>
      <c r="AM270" s="1145"/>
      <c r="AN270" s="1145"/>
      <c r="AO270" s="1145"/>
      <c r="AP270" s="1145"/>
      <c r="AQ270" s="1145"/>
      <c r="AR270" s="1411"/>
      <c r="AS270" s="1504"/>
      <c r="AT270" s="431"/>
      <c r="AV270" s="3337" t="s">
        <v>67</v>
      </c>
      <c r="AW270" s="3155">
        <f>MAX(0,SUM(AW268,-AW269))</f>
        <v>0</v>
      </c>
      <c r="AX270" s="3155">
        <f>MAX(0,SUM(AX268,-AX269))</f>
        <v>0</v>
      </c>
      <c r="AY270" s="3155">
        <f>MAX(0,SUM(AY268,-AY269))</f>
        <v>0</v>
      </c>
      <c r="AZ270" s="3155">
        <f>MAX(0,SUM(AZ268,-AZ269))</f>
        <v>0</v>
      </c>
      <c r="BN270" s="2873">
        <f t="shared" si="4"/>
        <v>0</v>
      </c>
      <c r="BO270" s="2873">
        <f t="shared" si="5"/>
        <v>0</v>
      </c>
      <c r="BP270" s="2873">
        <f t="shared" si="6"/>
        <v>0</v>
      </c>
      <c r="BQ270" s="2873">
        <f t="shared" si="7"/>
        <v>0</v>
      </c>
      <c r="BR270" s="2873">
        <f t="shared" si="8"/>
        <v>0</v>
      </c>
      <c r="BS270" s="2873">
        <f t="shared" si="9"/>
        <v>0</v>
      </c>
      <c r="BT270" s="2873">
        <f t="shared" si="10"/>
        <v>0</v>
      </c>
      <c r="BU270" s="2873">
        <f t="shared" si="11"/>
        <v>0</v>
      </c>
      <c r="BV270" s="2873">
        <f t="shared" si="12"/>
        <v>0</v>
      </c>
      <c r="BW270" s="2873">
        <f t="shared" si="13"/>
        <v>0</v>
      </c>
      <c r="BX270" s="2873">
        <f t="shared" si="14"/>
        <v>0</v>
      </c>
      <c r="BY270" s="2873">
        <f t="shared" si="15"/>
        <v>0</v>
      </c>
    </row>
    <row r="271" spans="1:95" ht="13.5" thickBot="1">
      <c r="O271" s="5784">
        <f t="shared" si="0"/>
        <v>271</v>
      </c>
      <c r="P271" s="2405"/>
      <c r="Q271" s="2273"/>
      <c r="R271" s="431"/>
      <c r="S271" s="2270"/>
      <c r="T271" s="431"/>
      <c r="U271" s="2276" t="str">
        <f t="shared" si="2"/>
        <v/>
      </c>
      <c r="V271" s="431"/>
      <c r="W271" s="2267" t="str">
        <f t="shared" si="16"/>
        <v/>
      </c>
      <c r="X271" s="2407"/>
      <c r="Y271" s="2258">
        <f t="shared" si="1"/>
        <v>0</v>
      </c>
      <c r="AB271" s="1279"/>
      <c r="AC271" s="1280"/>
      <c r="AD271" s="1280"/>
      <c r="AE271" s="1280"/>
      <c r="AF271" s="1280"/>
      <c r="AG271" s="1280"/>
      <c r="AH271" s="1280"/>
      <c r="AI271" s="1280"/>
      <c r="AJ271" s="1509"/>
      <c r="AK271" s="1509"/>
      <c r="AL271" s="1509"/>
      <c r="AM271" s="1509"/>
      <c r="AN271" s="1509"/>
      <c r="AO271" s="1509"/>
      <c r="AP271" s="1509"/>
      <c r="AQ271" s="1509"/>
      <c r="AR271" s="1509"/>
      <c r="AS271" s="1510"/>
      <c r="AT271" s="431"/>
      <c r="AV271" s="3337" t="s">
        <v>68</v>
      </c>
      <c r="AW271" s="3155">
        <f>MAX(0,SUM(AW263,-AW270))</f>
        <v>0</v>
      </c>
      <c r="AX271" s="3155">
        <f>MAX(0,SUM(AX263,-AX270))</f>
        <v>0</v>
      </c>
      <c r="AY271" s="3155">
        <f>MAX(0,SUM(AY263,-AY270))</f>
        <v>0</v>
      </c>
      <c r="AZ271" s="3155">
        <f>MAX(0,SUM(AZ263,-AZ270))</f>
        <v>0</v>
      </c>
      <c r="BN271" s="2873">
        <f t="shared" si="4"/>
        <v>0</v>
      </c>
      <c r="BO271" s="2873">
        <f t="shared" si="5"/>
        <v>0</v>
      </c>
      <c r="BP271" s="2873">
        <f t="shared" si="6"/>
        <v>0</v>
      </c>
      <c r="BQ271" s="2873">
        <f t="shared" si="7"/>
        <v>0</v>
      </c>
      <c r="BR271" s="2873">
        <f t="shared" si="8"/>
        <v>0</v>
      </c>
      <c r="BS271" s="2873">
        <f t="shared" si="9"/>
        <v>0</v>
      </c>
      <c r="BT271" s="2873">
        <f t="shared" si="10"/>
        <v>0</v>
      </c>
      <c r="BU271" s="2873">
        <f t="shared" si="11"/>
        <v>0</v>
      </c>
      <c r="BV271" s="2873">
        <f t="shared" si="12"/>
        <v>0</v>
      </c>
      <c r="BW271" s="2873">
        <f t="shared" si="13"/>
        <v>0</v>
      </c>
      <c r="BX271" s="2873">
        <f t="shared" si="14"/>
        <v>0</v>
      </c>
      <c r="BY271" s="2873">
        <f t="shared" si="15"/>
        <v>0</v>
      </c>
    </row>
    <row r="272" spans="1:95">
      <c r="O272" s="5784">
        <f t="shared" si="0"/>
        <v>272</v>
      </c>
      <c r="P272" s="2405"/>
      <c r="Q272" s="2273"/>
      <c r="R272" s="431"/>
      <c r="S272" s="2270"/>
      <c r="T272" s="431"/>
      <c r="U272" s="2276" t="str">
        <f t="shared" si="2"/>
        <v/>
      </c>
      <c r="V272" s="431"/>
      <c r="W272" s="2267" t="str">
        <f t="shared" si="16"/>
        <v/>
      </c>
      <c r="X272" s="2407"/>
      <c r="Y272" s="2258">
        <f t="shared" si="1"/>
        <v>0</v>
      </c>
      <c r="AB272" s="431"/>
      <c r="AC272" s="431"/>
      <c r="AD272" s="431"/>
      <c r="AE272" s="431"/>
      <c r="AF272" s="431"/>
      <c r="AG272" s="431"/>
      <c r="AH272" s="431"/>
      <c r="AI272" s="431"/>
      <c r="AJ272" s="431"/>
      <c r="AK272" s="431"/>
      <c r="AL272" s="431"/>
      <c r="AM272" s="431"/>
      <c r="AN272" s="431"/>
      <c r="AO272" s="431"/>
      <c r="AP272" s="431"/>
      <c r="AQ272" s="431"/>
      <c r="AR272" s="2250"/>
      <c r="AS272" s="2250"/>
      <c r="AT272" s="431"/>
      <c r="AV272" s="3337" t="s">
        <v>204</v>
      </c>
      <c r="AW272" s="3155">
        <f>$AQ$190</f>
        <v>0</v>
      </c>
      <c r="AX272" s="3155">
        <f>$AQ$190</f>
        <v>0</v>
      </c>
      <c r="AY272" s="3155">
        <f>$AQ$190</f>
        <v>0</v>
      </c>
      <c r="AZ272" s="3155">
        <f>$AQ$190</f>
        <v>0</v>
      </c>
      <c r="BN272" s="2873">
        <f t="shared" si="4"/>
        <v>0</v>
      </c>
      <c r="BO272" s="2873">
        <f t="shared" si="5"/>
        <v>0</v>
      </c>
      <c r="BP272" s="2873">
        <f t="shared" si="6"/>
        <v>0</v>
      </c>
      <c r="BQ272" s="2873">
        <f t="shared" si="7"/>
        <v>0</v>
      </c>
      <c r="BR272" s="2873">
        <f t="shared" si="8"/>
        <v>0</v>
      </c>
      <c r="BS272" s="2873">
        <f t="shared" si="9"/>
        <v>0</v>
      </c>
      <c r="BT272" s="2873">
        <f t="shared" si="10"/>
        <v>0</v>
      </c>
      <c r="BU272" s="2873">
        <f t="shared" si="11"/>
        <v>0</v>
      </c>
      <c r="BV272" s="2873">
        <f t="shared" si="12"/>
        <v>0</v>
      </c>
      <c r="BW272" s="2873">
        <f t="shared" si="13"/>
        <v>0</v>
      </c>
      <c r="BX272" s="2873">
        <f t="shared" si="14"/>
        <v>0</v>
      </c>
      <c r="BY272" s="2873">
        <f t="shared" si="15"/>
        <v>0</v>
      </c>
    </row>
    <row r="273" spans="15:77" ht="13.5" thickBot="1">
      <c r="O273" s="5784">
        <f t="shared" ref="O273:O295" si="17">ROW(Q273)</f>
        <v>273</v>
      </c>
      <c r="P273" s="2405"/>
      <c r="Q273" s="2273"/>
      <c r="R273" s="431"/>
      <c r="S273" s="2270"/>
      <c r="T273" s="431"/>
      <c r="U273" s="2276" t="str">
        <f t="shared" si="2"/>
        <v/>
      </c>
      <c r="V273" s="431"/>
      <c r="W273" s="2267" t="str">
        <f t="shared" si="16"/>
        <v/>
      </c>
      <c r="X273" s="2407"/>
      <c r="Y273" s="2258">
        <f t="shared" si="1"/>
        <v>0</v>
      </c>
      <c r="AB273" s="431"/>
      <c r="AC273" s="431"/>
      <c r="AD273" s="431"/>
      <c r="AE273" s="431"/>
      <c r="AF273" s="431"/>
      <c r="AG273" s="431"/>
      <c r="AH273" s="431"/>
      <c r="AI273" s="431"/>
      <c r="AJ273" s="431"/>
      <c r="AK273" s="431"/>
      <c r="AL273" s="431"/>
      <c r="AM273" s="431"/>
      <c r="AN273" s="431"/>
      <c r="AO273" s="431"/>
      <c r="AP273" s="431"/>
      <c r="AQ273" s="431"/>
      <c r="AR273" s="2250"/>
      <c r="AS273" s="2250"/>
      <c r="AT273" s="431"/>
      <c r="AV273" s="3337" t="s">
        <v>205</v>
      </c>
      <c r="AW273" s="3155">
        <f>MIN(AW263,AW272)</f>
        <v>0</v>
      </c>
      <c r="AX273" s="3155">
        <f>MIN(AX263,AX272)</f>
        <v>0</v>
      </c>
      <c r="AY273" s="3155">
        <f>MIN(AY263,AY272)</f>
        <v>0</v>
      </c>
      <c r="AZ273" s="3155">
        <f>MIN(AZ263,AZ272)</f>
        <v>0</v>
      </c>
      <c r="BN273" s="2873">
        <f t="shared" si="4"/>
        <v>0</v>
      </c>
      <c r="BO273" s="2873">
        <f t="shared" si="5"/>
        <v>0</v>
      </c>
      <c r="BP273" s="2873">
        <f t="shared" si="6"/>
        <v>0</v>
      </c>
      <c r="BQ273" s="2873">
        <f t="shared" si="7"/>
        <v>0</v>
      </c>
      <c r="BR273" s="2873">
        <f t="shared" si="8"/>
        <v>0</v>
      </c>
      <c r="BS273" s="2873">
        <f t="shared" si="9"/>
        <v>0</v>
      </c>
      <c r="BT273" s="2873">
        <f t="shared" si="10"/>
        <v>0</v>
      </c>
      <c r="BU273" s="2873">
        <f t="shared" si="11"/>
        <v>0</v>
      </c>
      <c r="BV273" s="2873">
        <f t="shared" si="12"/>
        <v>0</v>
      </c>
      <c r="BW273" s="2873">
        <f t="shared" si="13"/>
        <v>0</v>
      </c>
      <c r="BX273" s="2873">
        <f t="shared" si="14"/>
        <v>0</v>
      </c>
      <c r="BY273" s="2873">
        <f t="shared" si="15"/>
        <v>0</v>
      </c>
    </row>
    <row r="274" spans="15:77">
      <c r="O274" s="5784">
        <f t="shared" si="17"/>
        <v>274</v>
      </c>
      <c r="P274" s="2405"/>
      <c r="Q274" s="2273"/>
      <c r="R274" s="431"/>
      <c r="S274" s="2270"/>
      <c r="T274" s="431"/>
      <c r="U274" s="2276" t="str">
        <f t="shared" si="2"/>
        <v/>
      </c>
      <c r="V274" s="431"/>
      <c r="W274" s="2267" t="str">
        <f t="shared" si="16"/>
        <v/>
      </c>
      <c r="X274" s="2407"/>
      <c r="Y274" s="2258">
        <f t="shared" ref="Y274:Y295" si="18">IF(OR(Q274="",Q274&gt;Q273),0,1)</f>
        <v>0</v>
      </c>
      <c r="AB274" s="1402"/>
      <c r="AC274" s="1501"/>
      <c r="AD274" s="1501"/>
      <c r="AE274" s="1501"/>
      <c r="AF274" s="1501"/>
      <c r="AG274" s="1501"/>
      <c r="AH274" s="1501"/>
      <c r="AI274" s="1501"/>
      <c r="AJ274" s="1501"/>
      <c r="AK274" s="1501"/>
      <c r="AL274" s="1501"/>
      <c r="AM274" s="1501"/>
      <c r="AN274" s="1501"/>
      <c r="AO274" s="1501"/>
      <c r="AP274" s="1501"/>
      <c r="AQ274" s="1501"/>
      <c r="AR274" s="1501"/>
      <c r="AS274" s="1502"/>
      <c r="AT274" s="431"/>
      <c r="AV274" s="3337" t="s">
        <v>295</v>
      </c>
      <c r="AW274" s="3155">
        <f>MIN(AW271,AW273)</f>
        <v>0</v>
      </c>
      <c r="AX274" s="3155">
        <f>MIN(AX271,AX273)</f>
        <v>0</v>
      </c>
      <c r="AY274" s="3155">
        <f>MIN(AY271,AY273)</f>
        <v>0</v>
      </c>
      <c r="AZ274" s="3155">
        <f>MIN(AZ271,AZ273)</f>
        <v>0</v>
      </c>
      <c r="BN274" s="2873">
        <f t="shared" si="4"/>
        <v>0</v>
      </c>
      <c r="BO274" s="2873">
        <f t="shared" si="5"/>
        <v>0</v>
      </c>
      <c r="BP274" s="2873">
        <f t="shared" si="6"/>
        <v>0</v>
      </c>
      <c r="BQ274" s="2873">
        <f t="shared" si="7"/>
        <v>0</v>
      </c>
      <c r="BR274" s="2873">
        <f t="shared" si="8"/>
        <v>0</v>
      </c>
      <c r="BS274" s="2873">
        <f t="shared" si="9"/>
        <v>0</v>
      </c>
      <c r="BT274" s="2873">
        <f t="shared" si="10"/>
        <v>0</v>
      </c>
      <c r="BU274" s="2873">
        <f t="shared" si="11"/>
        <v>0</v>
      </c>
      <c r="BV274" s="2873">
        <f t="shared" si="12"/>
        <v>0</v>
      </c>
      <c r="BW274" s="2873">
        <f t="shared" si="13"/>
        <v>0</v>
      </c>
      <c r="BX274" s="2873">
        <f t="shared" si="14"/>
        <v>0</v>
      </c>
      <c r="BY274" s="2873">
        <f t="shared" si="15"/>
        <v>0</v>
      </c>
    </row>
    <row r="275" spans="15:77">
      <c r="O275" s="5784">
        <f t="shared" si="17"/>
        <v>275</v>
      </c>
      <c r="P275" s="2405"/>
      <c r="Q275" s="2273"/>
      <c r="R275" s="431"/>
      <c r="S275" s="2270"/>
      <c r="T275" s="431"/>
      <c r="U275" s="2276" t="str">
        <f t="shared" si="2"/>
        <v/>
      </c>
      <c r="V275" s="431"/>
      <c r="W275" s="2267" t="str">
        <f t="shared" si="16"/>
        <v/>
      </c>
      <c r="X275" s="2407"/>
      <c r="Y275" s="2258">
        <f t="shared" si="18"/>
        <v>0</v>
      </c>
      <c r="AB275" s="3332" t="s">
        <v>2538</v>
      </c>
      <c r="AC275" s="1145"/>
      <c r="AD275" s="1145"/>
      <c r="AE275" s="1145"/>
      <c r="AF275" s="1145"/>
      <c r="AG275" s="1145"/>
      <c r="AH275" s="1145"/>
      <c r="AI275" s="1145"/>
      <c r="AJ275" s="1145"/>
      <c r="AK275" s="1145"/>
      <c r="AL275" s="1145"/>
      <c r="AM275" s="1145"/>
      <c r="AN275" s="1145"/>
      <c r="AO275" s="1145"/>
      <c r="AP275" s="1145"/>
      <c r="AQ275" s="1145"/>
      <c r="AR275" s="1145"/>
      <c r="AS275" s="1504"/>
      <c r="AT275" s="431"/>
      <c r="AV275" s="3337" t="s">
        <v>296</v>
      </c>
      <c r="AW275" s="3155">
        <f>SUM(AW273,-AW274)</f>
        <v>0</v>
      </c>
      <c r="AX275" s="3155">
        <f>SUM(AX273,-AX274)</f>
        <v>0</v>
      </c>
      <c r="AY275" s="3155">
        <f>SUM(AY273,-AY274)</f>
        <v>0</v>
      </c>
      <c r="AZ275" s="3155">
        <f>SUM(AZ273,-AZ274)</f>
        <v>0</v>
      </c>
      <c r="BN275" s="2873">
        <f t="shared" ref="BN275:BN296" si="19">IF(OR($Q274&lt;$P$188,$Q274&gt;$K$189),0,IF($U273&gt;$P$180,0,IF(SUM($P$180,-$U273)&lt;0,0,MIN(SUM($P$180,-$U273),$S274)*SUM(MIN($Q274,$K$189),-$P$188)/$I$196*$L$195)))</f>
        <v>0</v>
      </c>
      <c r="BO275" s="2873">
        <f t="shared" ref="BO275:BO296" si="20">IF(OR($Q274&lt;$P$198,$Q274&gt;$K$199),0,IF($U273&gt;$P$180,0,IF(SUM($P$180,-$U273)&lt;0,0,MIN(SUM($P$180,-$U273),$S274)*SUM(MIN($Q274,$K$199),-$P$198)/$I$206*$L$205)))</f>
        <v>0</v>
      </c>
      <c r="BP275" s="2873">
        <f t="shared" ref="BP275:BP296" si="21">IF(OR($Q274&lt;$P$208,$Q274&gt;$K$209),0,IF($U273&gt;$P$180,0,IF(SUM($P$180,-$U273)&lt;0,0,MIN(SUM($P$180,-$U273),$S274)*SUM(MIN($Q274,$K$209),-$P$208)/$I$216*$L$215)))</f>
        <v>0</v>
      </c>
      <c r="BQ275" s="2873">
        <f t="shared" ref="BQ275:BQ296" si="22">IF(OR($Q274&lt;$P$218,$Q274&gt;$K$219),0,IF($U273&gt;$P$180,0,IF(SUM($P$180,-$U273)&lt;0,0,MIN(SUM($P$180,-$U273),$S274)*SUM(MIN($Q274,$K$219),-$P$218)/$I$226*$L$225)))</f>
        <v>0</v>
      </c>
      <c r="BR275" s="2873">
        <f t="shared" ref="BR275:BR296" si="23">IF($U273&gt;=SUM($P$180,$R$180),0,IF(OR($Q274&lt;$R$188,$Q274&gt;$K$189),0,IF(AND($U273&lt;$P$180,$U274&gt;$P$180),MIN(SUM($U274,-$P$180),$S274)*SUM(MIN($Q274,$K$189),-$R$188)/$I$196*$L$195,IF($U273&lt;$P$180,0,IF(SUM($P$180,$R$180,-$U273)&lt;0,0,MIN(SUM($P$180,$R$180,-$U273),$S274)*SUM(MIN($Q274,$K$189),-$R$188)/$I$196*$L$195)))))</f>
        <v>0</v>
      </c>
      <c r="BS275" s="2873">
        <f t="shared" ref="BS275:BS296" si="24">IF($U273&gt;=SUM($P$180,$R$180),0,IF(OR($Q274&lt;$R$198,$Q274&gt;$K$199),0,IF(AND($U273&lt;$P$180,$U274&gt;$P$180),MIN(SUM($U274,-$P$180),$S274)*SUM(MIN($Q274,$K$199),-$R$198)/$I$206*$L$205,IF($U273&lt;$P$180,0,MIN(SUM($P$180,$R$180,-$U273),$S274)*SUM(MIN($Q274,$K$199),-$R$198)/$I$206*$L$205))))</f>
        <v>0</v>
      </c>
      <c r="BT275" s="2873">
        <f t="shared" ref="BT275:BT296" si="25">IF($U273&gt;=SUM($P$180,$R$180),0,IF(OR($Q274&lt;$R$208,$Q274&gt;$K$209),0,IF(AND($U273&lt;$P$180,$U274&gt;$P$180),MIN(SUM($U274,-$P$180),$S274)*SUM(MIN($Q274,$K$209),-$R$208)/$I$216*$L$215,IF($U273&lt;$P$180,0,IF(SUM($P$180,$R$180,-$U273)&lt;0,0,MIN(SUM($P$180,$R$180,-$U273),$S274)*SUM(MIN($Q274,$K$209),-$R$208)/$I$216*$L$215)))))</f>
        <v>0</v>
      </c>
      <c r="BU275" s="2873">
        <f t="shared" ref="BU275:BU296" si="26">IF($U273&gt;=SUM($P$180,$R$180),0,IF(OR($Q274&lt;$R$218,$Q274&gt;$K$219),0,IF(AND($U273&lt;$P$180,$U274&gt;$P$180),MIN(SUM($U274,-$P$180),$S274)*SUM(MIN($Q274,$K$219),-$R$218)/$I$226*$L$225,IF($U273&lt;$P$180,0,IF(SUM($P$180,$R$180,-$U273)&lt;0,0,MIN(SUM($P$180,$R$180,-$U273),$S274)*SUM(MIN($Q274,$K$219),-$R$218)/$I$226*$L$225)))))</f>
        <v>0</v>
      </c>
      <c r="BV275" s="2873">
        <f t="shared" ref="BV275:BV296" si="27">IF($U273&gt;=SUM($P$180,$R$180,$T$180),0,IF(OR($Q274&lt;$T$198,$Q274&gt;$K$199),0,IF(AND($U273&lt;SUM($P$180,$R$180),$U274&gt;SUM($P$180,$R$180)),MIN(SUM($U274,-$P$180,-$R$180),$S274)*SUM(MIN($Q274,$K$199),-$T$198)/$I$206*$L$205,IF($U273&lt;SUM($P$180,$R$180),0,IF(SUM($P$180,$R$180,$T$180,-$U273)&lt;0,0,MIN(SUM($P$180,$R$180,$T$180,-$U273),$S274)*SUM(MIN($Q274,$K$199),-$T$198)/$I$206*$L$205)))))</f>
        <v>0</v>
      </c>
      <c r="BW275" s="2873">
        <f t="shared" ref="BW275:BW296" si="28">IF($U273&gt;=SUM($P$180,$R$180,$T$180),0,IF(OR($Q274&lt;$T$208,$Q274&gt;$K$209),0,IF(AND($U273&lt;SUM($P$180,$R$180),$U274&gt;SUM($P$180,$R$180)),MIN(SUM($U274,-$P$180,-$R$180),$S274)*SUM(MIN($Q274,$K$209),-$T$208)/$I$216*$L$215,IF($U273&lt;SUM($P$180,$R$180),0,IF(SUM($P$180,$R$180,$T$180,-$U273)&lt;0,0,MIN(SUM($P$180,$R$180,$T$180,-$U273),$S274)*SUM(MIN($Q274,$K$209),-$T$208)/$I$216*$L$215)))))</f>
        <v>0</v>
      </c>
      <c r="BX275" s="2873">
        <f t="shared" ref="BX275:BX296" si="29">IF($U273&gt;=SUM($P$180,$R$180,$T$180),0,IF(OR($Q274&lt;$T$218,$Q274&gt;$K$219),0,IF(AND($U273&lt;SUM($P$180,$R$180),$U274&gt;SUM($P$180,$R$180)),MIN(SUM($U274,-$P$180,-$R$180),$S274)*SUM(MIN($Q274,$K$219),-$T$218)/$I$226*$L$225,IF($U273&lt;SUM($P$180,$R$180),0,IF(SUM($P$180,$R$180,$T$180,-$U274)&lt;0,0,MIN(SUM($P$180,$R$180,$T$180,-$U274),$S274)*SUM(MIN($Q274,$K$219),-$T$218)/$I$226*$L$225)))))</f>
        <v>0</v>
      </c>
      <c r="BY275" s="2873">
        <f t="shared" ref="BY275:BY296" si="30">IF($U273&gt;=SUM($P$180,$R$180,$T$180,$V$180),0,IF(OR($Q274&lt;$V$218,$Q274&gt;$K$219),0,IF(AND($U273&lt;SUM($P$180,$R$180,$T$180),$U274&gt;SUM($P$180,$R$180,$T$180)),MIN(SUM($U274,-$P$180,-$R$180,-$T$180),$S274)*SUM(MIN($Q274,$K$219),-$V$218)/$I$226*$L$225,IF($U273&lt;SUM($P$180,$R$180,$T$180),0,IF(SUM($P$180,$R$180,$T$180,$V$180,-$U273)&lt;0,0,MIN(SUM($P$180,$R$180,$T$180,$V$180,-$U273),$S274)*SUM(MIN($Q274,$K$219),-$V$218)/$I$226*$L$225)))))</f>
        <v>0</v>
      </c>
    </row>
    <row r="276" spans="15:77" ht="15.75">
      <c r="O276" s="5784">
        <f t="shared" si="17"/>
        <v>276</v>
      </c>
      <c r="P276" s="2405"/>
      <c r="Q276" s="2273"/>
      <c r="R276" s="431"/>
      <c r="S276" s="2270"/>
      <c r="T276" s="431"/>
      <c r="U276" s="2276" t="str">
        <f t="shared" si="2"/>
        <v/>
      </c>
      <c r="V276" s="431"/>
      <c r="W276" s="2267" t="str">
        <f t="shared" si="16"/>
        <v/>
      </c>
      <c r="X276" s="2407"/>
      <c r="Y276" s="2258">
        <f t="shared" si="18"/>
        <v>0</v>
      </c>
      <c r="AB276" s="3989" t="str">
        <f>TaxYear&amp;" Form 2210, Schedule AI—Line 14"</f>
        <v>2021 Form 2210, Schedule AI—Line 14</v>
      </c>
      <c r="AC276" s="2247"/>
      <c r="AD276" s="2247"/>
      <c r="AE276" s="1145"/>
      <c r="AF276" s="1145"/>
      <c r="AG276" s="1145"/>
      <c r="AH276" s="1145"/>
      <c r="AI276" s="1145"/>
      <c r="AJ276" s="1145"/>
      <c r="AK276" s="1145"/>
      <c r="AL276" s="1145"/>
      <c r="AM276" s="1145"/>
      <c r="AN276" s="1145"/>
      <c r="AO276" s="1145"/>
      <c r="AP276" s="1145"/>
      <c r="AQ276" s="1145"/>
      <c r="AR276" s="1145"/>
      <c r="AS276" s="1504"/>
      <c r="AT276" s="431"/>
      <c r="AV276" s="3337" t="s">
        <v>297</v>
      </c>
      <c r="AW276" s="3155">
        <f>MIN(AW263,AW270)</f>
        <v>0</v>
      </c>
      <c r="AX276" s="3155">
        <f>MIN(AX263,AX270)</f>
        <v>0</v>
      </c>
      <c r="AY276" s="3155">
        <f>MIN(AY263,AY270)</f>
        <v>0</v>
      </c>
      <c r="AZ276" s="3155">
        <f>MIN(AZ263,AZ270)</f>
        <v>0</v>
      </c>
      <c r="BN276" s="2873">
        <f t="shared" si="19"/>
        <v>0</v>
      </c>
      <c r="BO276" s="2873">
        <f t="shared" si="20"/>
        <v>0</v>
      </c>
      <c r="BP276" s="2873">
        <f t="shared" si="21"/>
        <v>0</v>
      </c>
      <c r="BQ276" s="2873">
        <f t="shared" si="22"/>
        <v>0</v>
      </c>
      <c r="BR276" s="2873">
        <f t="shared" si="23"/>
        <v>0</v>
      </c>
      <c r="BS276" s="2873">
        <f t="shared" si="24"/>
        <v>0</v>
      </c>
      <c r="BT276" s="2873">
        <f t="shared" si="25"/>
        <v>0</v>
      </c>
      <c r="BU276" s="2873">
        <f t="shared" si="26"/>
        <v>0</v>
      </c>
      <c r="BV276" s="2873">
        <f t="shared" si="27"/>
        <v>0</v>
      </c>
      <c r="BW276" s="2873">
        <f t="shared" si="28"/>
        <v>0</v>
      </c>
      <c r="BX276" s="2873">
        <f t="shared" si="29"/>
        <v>0</v>
      </c>
      <c r="BY276" s="2873">
        <f t="shared" si="30"/>
        <v>0</v>
      </c>
    </row>
    <row r="277" spans="15:77" ht="15">
      <c r="O277" s="5784">
        <f t="shared" si="17"/>
        <v>277</v>
      </c>
      <c r="P277" s="2405"/>
      <c r="Q277" s="2273"/>
      <c r="R277" s="431"/>
      <c r="S277" s="2270"/>
      <c r="T277" s="431"/>
      <c r="U277" s="2276" t="str">
        <f t="shared" si="2"/>
        <v/>
      </c>
      <c r="V277" s="431"/>
      <c r="W277" s="2267" t="str">
        <f t="shared" si="16"/>
        <v/>
      </c>
      <c r="X277" s="2407"/>
      <c r="Y277" s="2258">
        <f t="shared" si="18"/>
        <v>0</v>
      </c>
      <c r="AB277" s="3989" t="s">
        <v>2539</v>
      </c>
      <c r="AC277" s="2182"/>
      <c r="AD277" s="2182"/>
      <c r="AE277" s="1145"/>
      <c r="AF277" s="1145"/>
      <c r="AG277" s="1145"/>
      <c r="AH277" s="1145"/>
      <c r="AI277" s="1145"/>
      <c r="AJ277" s="1145"/>
      <c r="AK277" s="1145"/>
      <c r="AL277" s="1145"/>
      <c r="AM277" s="1145"/>
      <c r="AN277" s="1145"/>
      <c r="AO277" s="1145"/>
      <c r="AP277" s="3326" t="s">
        <v>206</v>
      </c>
      <c r="AQ277" s="1145"/>
      <c r="AR277" s="1145"/>
      <c r="AS277" s="1504"/>
      <c r="AT277" s="431"/>
      <c r="AV277" s="3337" t="s">
        <v>431</v>
      </c>
      <c r="AW277" s="3155">
        <f>AW275</f>
        <v>0</v>
      </c>
      <c r="AX277" s="3155">
        <f>AX275</f>
        <v>0</v>
      </c>
      <c r="AY277" s="3155">
        <f>AY275</f>
        <v>0</v>
      </c>
      <c r="AZ277" s="3155">
        <f>AZ275</f>
        <v>0</v>
      </c>
      <c r="BN277" s="2873">
        <f t="shared" si="19"/>
        <v>0</v>
      </c>
      <c r="BO277" s="2873">
        <f t="shared" si="20"/>
        <v>0</v>
      </c>
      <c r="BP277" s="2873">
        <f t="shared" si="21"/>
        <v>0</v>
      </c>
      <c r="BQ277" s="2873">
        <f t="shared" si="22"/>
        <v>0</v>
      </c>
      <c r="BR277" s="2873">
        <f t="shared" si="23"/>
        <v>0</v>
      </c>
      <c r="BS277" s="2873">
        <f t="shared" si="24"/>
        <v>0</v>
      </c>
      <c r="BT277" s="2873">
        <f t="shared" si="25"/>
        <v>0</v>
      </c>
      <c r="BU277" s="2873">
        <f t="shared" si="26"/>
        <v>0</v>
      </c>
      <c r="BV277" s="2873">
        <f t="shared" si="27"/>
        <v>0</v>
      </c>
      <c r="BW277" s="2873">
        <f t="shared" si="28"/>
        <v>0</v>
      </c>
      <c r="BX277" s="2873">
        <f t="shared" si="29"/>
        <v>0</v>
      </c>
      <c r="BY277" s="2873">
        <f t="shared" si="30"/>
        <v>0</v>
      </c>
    </row>
    <row r="278" spans="15:77" ht="15.75">
      <c r="O278" s="5784">
        <f t="shared" si="17"/>
        <v>278</v>
      </c>
      <c r="P278" s="2405"/>
      <c r="Q278" s="2273"/>
      <c r="R278" s="431"/>
      <c r="S278" s="2270"/>
      <c r="T278" s="431"/>
      <c r="U278" s="2276" t="str">
        <f t="shared" si="2"/>
        <v/>
      </c>
      <c r="V278" s="431"/>
      <c r="W278" s="2267" t="str">
        <f t="shared" si="16"/>
        <v/>
      </c>
      <c r="X278" s="2407"/>
      <c r="Y278" s="2258">
        <f t="shared" si="18"/>
        <v>0</v>
      </c>
      <c r="AB278" s="3333"/>
      <c r="AC278" s="2182"/>
      <c r="AD278" s="2182"/>
      <c r="AE278" s="1145"/>
      <c r="AF278" s="1145"/>
      <c r="AG278" s="1145"/>
      <c r="AH278" s="1145"/>
      <c r="AI278" s="1145"/>
      <c r="AJ278" s="1145"/>
      <c r="AK278" s="1145"/>
      <c r="AL278" s="1145"/>
      <c r="AM278" s="1145"/>
      <c r="AN278" s="1145"/>
      <c r="AO278" s="1145"/>
      <c r="AP278" s="1145"/>
      <c r="AQ278" s="1145"/>
      <c r="AR278" s="1145"/>
      <c r="AS278" s="1504"/>
      <c r="AT278" s="431"/>
      <c r="AV278" s="3337" t="s">
        <v>432</v>
      </c>
      <c r="AW278" s="3155">
        <f>SUM(AW276,-AW277)</f>
        <v>0</v>
      </c>
      <c r="AX278" s="3155">
        <f>SUM(AX276,-AX277)</f>
        <v>0</v>
      </c>
      <c r="AY278" s="3155">
        <f>SUM(AY276,-AY277)</f>
        <v>0</v>
      </c>
      <c r="AZ278" s="3155">
        <f>SUM(AZ276,-AZ277)</f>
        <v>0</v>
      </c>
      <c r="BN278" s="2873">
        <f t="shared" si="19"/>
        <v>0</v>
      </c>
      <c r="BO278" s="2873">
        <f t="shared" si="20"/>
        <v>0</v>
      </c>
      <c r="BP278" s="2873">
        <f t="shared" si="21"/>
        <v>0</v>
      </c>
      <c r="BQ278" s="2873">
        <f t="shared" si="22"/>
        <v>0</v>
      </c>
      <c r="BR278" s="2873">
        <f t="shared" si="23"/>
        <v>0</v>
      </c>
      <c r="BS278" s="2873">
        <f t="shared" si="24"/>
        <v>0</v>
      </c>
      <c r="BT278" s="2873">
        <f t="shared" si="25"/>
        <v>0</v>
      </c>
      <c r="BU278" s="2873">
        <f t="shared" si="26"/>
        <v>0</v>
      </c>
      <c r="BV278" s="2873">
        <f t="shared" si="27"/>
        <v>0</v>
      </c>
      <c r="BW278" s="2873">
        <f t="shared" si="28"/>
        <v>0</v>
      </c>
      <c r="BX278" s="2873">
        <f t="shared" si="29"/>
        <v>0</v>
      </c>
      <c r="BY278" s="2873">
        <f t="shared" si="30"/>
        <v>0</v>
      </c>
    </row>
    <row r="279" spans="15:77" ht="13.5" thickBot="1">
      <c r="O279" s="5784">
        <f t="shared" si="17"/>
        <v>279</v>
      </c>
      <c r="P279" s="2405"/>
      <c r="Q279" s="2273"/>
      <c r="R279" s="431"/>
      <c r="S279" s="2270"/>
      <c r="T279" s="431"/>
      <c r="U279" s="2276" t="str">
        <f t="shared" si="2"/>
        <v/>
      </c>
      <c r="V279" s="431"/>
      <c r="W279" s="2267" t="str">
        <f t="shared" si="16"/>
        <v/>
      </c>
      <c r="X279" s="2407"/>
      <c r="Y279" s="2258">
        <f t="shared" si="18"/>
        <v>0</v>
      </c>
      <c r="AB279" s="3334" t="s">
        <v>2540</v>
      </c>
      <c r="AC279" s="2128"/>
      <c r="AD279" s="3335"/>
      <c r="AE279" s="1509"/>
      <c r="AF279" s="2128" t="s">
        <v>3515</v>
      </c>
      <c r="AG279" s="1509"/>
      <c r="AH279" s="1509"/>
      <c r="AI279" s="1509"/>
      <c r="AJ279" s="1509"/>
      <c r="AK279" s="1509"/>
      <c r="AL279" s="1509"/>
      <c r="AM279" s="1509"/>
      <c r="AN279" s="1509"/>
      <c r="AO279" s="1509"/>
      <c r="AP279" s="1509"/>
      <c r="AQ279" s="1509"/>
      <c r="AR279" s="1509"/>
      <c r="AS279" s="1510"/>
      <c r="AT279" s="431"/>
      <c r="AV279" s="3337" t="s">
        <v>433</v>
      </c>
      <c r="AW279" s="3155">
        <f>$AQ$214</f>
        <v>0</v>
      </c>
      <c r="AX279" s="3155">
        <f>$AQ$214</f>
        <v>0</v>
      </c>
      <c r="AY279" s="3155">
        <f>$AQ$214</f>
        <v>0</v>
      </c>
      <c r="AZ279" s="3155">
        <f>$AQ$214</f>
        <v>0</v>
      </c>
      <c r="BN279" s="2873">
        <f t="shared" si="19"/>
        <v>0</v>
      </c>
      <c r="BO279" s="2873">
        <f t="shared" si="20"/>
        <v>0</v>
      </c>
      <c r="BP279" s="2873">
        <f t="shared" si="21"/>
        <v>0</v>
      </c>
      <c r="BQ279" s="2873">
        <f t="shared" si="22"/>
        <v>0</v>
      </c>
      <c r="BR279" s="2873">
        <f t="shared" si="23"/>
        <v>0</v>
      </c>
      <c r="BS279" s="2873">
        <f t="shared" si="24"/>
        <v>0</v>
      </c>
      <c r="BT279" s="2873">
        <f t="shared" si="25"/>
        <v>0</v>
      </c>
      <c r="BU279" s="2873">
        <f t="shared" si="26"/>
        <v>0</v>
      </c>
      <c r="BV279" s="2873">
        <f t="shared" si="27"/>
        <v>0</v>
      </c>
      <c r="BW279" s="2873">
        <f t="shared" si="28"/>
        <v>0</v>
      </c>
      <c r="BX279" s="2873">
        <f t="shared" si="29"/>
        <v>0</v>
      </c>
      <c r="BY279" s="2873">
        <f t="shared" si="30"/>
        <v>0</v>
      </c>
    </row>
    <row r="280" spans="15:77">
      <c r="O280" s="5784">
        <f t="shared" si="17"/>
        <v>280</v>
      </c>
      <c r="P280" s="2405"/>
      <c r="Q280" s="2273"/>
      <c r="R280" s="431"/>
      <c r="S280" s="2270"/>
      <c r="T280" s="431"/>
      <c r="U280" s="2276" t="str">
        <f t="shared" si="2"/>
        <v/>
      </c>
      <c r="V280" s="431"/>
      <c r="W280" s="2267" t="str">
        <f t="shared" si="16"/>
        <v/>
      </c>
      <c r="X280" s="2407"/>
      <c r="Y280" s="2258">
        <f t="shared" si="18"/>
        <v>0</v>
      </c>
      <c r="AB280" s="1278"/>
      <c r="AC280" s="1179"/>
      <c r="AD280" s="1179"/>
      <c r="AE280" s="1179"/>
      <c r="AF280" s="1179"/>
      <c r="AG280" s="1179"/>
      <c r="AH280" s="1179"/>
      <c r="AI280" s="1284" t="b">
        <f>AND(AK280,AM280,AO280,AQ280)</f>
        <v>1</v>
      </c>
      <c r="AJ280" s="2243"/>
      <c r="AK280" s="2243" t="b">
        <f>OR(P136=0,P136="")</f>
        <v>1</v>
      </c>
      <c r="AL280" s="3327"/>
      <c r="AM280" s="2243" t="b">
        <f>OR(R136=0,R136="")</f>
        <v>1</v>
      </c>
      <c r="AN280" s="2243"/>
      <c r="AO280" s="2243" t="b">
        <f>OR(T136=0,T136="")</f>
        <v>1</v>
      </c>
      <c r="AP280" s="2243"/>
      <c r="AQ280" s="2243" t="b">
        <f>OR(V136=0,V136="")</f>
        <v>1</v>
      </c>
      <c r="AR280" s="1145"/>
      <c r="AS280" s="1504"/>
      <c r="AT280" s="431"/>
      <c r="AV280" s="3337" t="s">
        <v>189</v>
      </c>
      <c r="AW280" s="3155">
        <f>MIN(AW263,AW279)</f>
        <v>0</v>
      </c>
      <c r="AX280" s="3155">
        <f>MIN(AX263,AX279)</f>
        <v>0</v>
      </c>
      <c r="AY280" s="3155">
        <f>MIN(AY263,AY279)</f>
        <v>0</v>
      </c>
      <c r="AZ280" s="3155">
        <f>MIN(AZ263,AZ279)</f>
        <v>0</v>
      </c>
      <c r="BN280" s="2873">
        <f t="shared" si="19"/>
        <v>0</v>
      </c>
      <c r="BO280" s="2873">
        <f t="shared" si="20"/>
        <v>0</v>
      </c>
      <c r="BP280" s="2873">
        <f t="shared" si="21"/>
        <v>0</v>
      </c>
      <c r="BQ280" s="2873">
        <f t="shared" si="22"/>
        <v>0</v>
      </c>
      <c r="BR280" s="2873">
        <f t="shared" si="23"/>
        <v>0</v>
      </c>
      <c r="BS280" s="2873">
        <f t="shared" si="24"/>
        <v>0</v>
      </c>
      <c r="BT280" s="2873">
        <f t="shared" si="25"/>
        <v>0</v>
      </c>
      <c r="BU280" s="2873">
        <f t="shared" si="26"/>
        <v>0</v>
      </c>
      <c r="BV280" s="2873">
        <f t="shared" si="27"/>
        <v>0</v>
      </c>
      <c r="BW280" s="2873">
        <f t="shared" si="28"/>
        <v>0</v>
      </c>
      <c r="BX280" s="2873">
        <f t="shared" si="29"/>
        <v>0</v>
      </c>
      <c r="BY280" s="2873">
        <f t="shared" si="30"/>
        <v>0</v>
      </c>
    </row>
    <row r="281" spans="15:77">
      <c r="O281" s="5784">
        <f t="shared" si="17"/>
        <v>281</v>
      </c>
      <c r="P281" s="2405"/>
      <c r="Q281" s="2273"/>
      <c r="R281" s="431"/>
      <c r="S281" s="2270"/>
      <c r="T281" s="431"/>
      <c r="U281" s="2276" t="str">
        <f t="shared" si="2"/>
        <v/>
      </c>
      <c r="V281" s="431"/>
      <c r="W281" s="2267" t="str">
        <f t="shared" si="16"/>
        <v/>
      </c>
      <c r="X281" s="2407"/>
      <c r="Y281" s="2258">
        <f t="shared" si="18"/>
        <v>0</v>
      </c>
      <c r="AB281" s="1278"/>
      <c r="AC281" s="1179"/>
      <c r="AD281" s="1179"/>
      <c r="AE281" s="1179"/>
      <c r="AF281" s="1179"/>
      <c r="AG281" s="1179"/>
      <c r="AH281" s="1179"/>
      <c r="AI281" s="1179"/>
      <c r="AJ281" s="8033" t="s">
        <v>906</v>
      </c>
      <c r="AK281" s="8034"/>
      <c r="AL281" s="8033" t="s">
        <v>908</v>
      </c>
      <c r="AM281" s="8034"/>
      <c r="AN281" s="8033" t="s">
        <v>911</v>
      </c>
      <c r="AO281" s="8219"/>
      <c r="AP281" s="8033" t="s">
        <v>763</v>
      </c>
      <c r="AQ281" s="8337"/>
      <c r="AR281" s="1145"/>
      <c r="AS281" s="1504"/>
      <c r="AT281" s="431"/>
      <c r="AV281" s="3337" t="s">
        <v>479</v>
      </c>
      <c r="AW281" s="3155">
        <f>SUM(AW271,AW275)</f>
        <v>0</v>
      </c>
      <c r="AX281" s="3155">
        <f>SUM(AX271,AX275)</f>
        <v>0</v>
      </c>
      <c r="AY281" s="3155">
        <f>SUM(AY271,AY275)</f>
        <v>0</v>
      </c>
      <c r="AZ281" s="3155">
        <f>SUM(AZ271,AZ275)</f>
        <v>0</v>
      </c>
      <c r="BN281" s="2873">
        <f t="shared" si="19"/>
        <v>0</v>
      </c>
      <c r="BO281" s="2873">
        <f t="shared" si="20"/>
        <v>0</v>
      </c>
      <c r="BP281" s="2873">
        <f t="shared" si="21"/>
        <v>0</v>
      </c>
      <c r="BQ281" s="2873">
        <f t="shared" si="22"/>
        <v>0</v>
      </c>
      <c r="BR281" s="2873">
        <f t="shared" si="23"/>
        <v>0</v>
      </c>
      <c r="BS281" s="2873">
        <f t="shared" si="24"/>
        <v>0</v>
      </c>
      <c r="BT281" s="2873">
        <f t="shared" si="25"/>
        <v>0</v>
      </c>
      <c r="BU281" s="2873">
        <f t="shared" si="26"/>
        <v>0</v>
      </c>
      <c r="BV281" s="2873">
        <f t="shared" si="27"/>
        <v>0</v>
      </c>
      <c r="BW281" s="2873">
        <f t="shared" si="28"/>
        <v>0</v>
      </c>
      <c r="BX281" s="2873">
        <f t="shared" si="29"/>
        <v>0</v>
      </c>
      <c r="BY281" s="2873">
        <f t="shared" si="30"/>
        <v>0</v>
      </c>
    </row>
    <row r="282" spans="15:77">
      <c r="O282" s="5784">
        <f t="shared" si="17"/>
        <v>282</v>
      </c>
      <c r="P282" s="2405"/>
      <c r="Q282" s="2273"/>
      <c r="R282" s="431"/>
      <c r="S282" s="2270"/>
      <c r="T282" s="431"/>
      <c r="U282" s="2276" t="str">
        <f t="shared" si="2"/>
        <v/>
      </c>
      <c r="V282" s="431"/>
      <c r="W282" s="2267" t="str">
        <f t="shared" si="16"/>
        <v/>
      </c>
      <c r="X282" s="2407"/>
      <c r="Y282" s="2258">
        <f t="shared" si="18"/>
        <v>0</v>
      </c>
      <c r="AB282" s="1278"/>
      <c r="AC282" s="1179"/>
      <c r="AD282" s="1179"/>
      <c r="AE282" s="1179"/>
      <c r="AF282" s="1179"/>
      <c r="AG282" s="1179"/>
      <c r="AH282" s="1179"/>
      <c r="AI282" s="1179"/>
      <c r="AJ282" s="8251" t="str">
        <f>"1/1/"&amp;TaxYear-2000&amp;"–3/31/"&amp;TaxYear-2000</f>
        <v>1/1/21–3/31/21</v>
      </c>
      <c r="AK282" s="8252"/>
      <c r="AL282" s="8251" t="str">
        <f>"1/1/"&amp;TaxYear-2000&amp;"–5/31/"&amp;TaxYear-2000</f>
        <v>1/1/21–5/31/21</v>
      </c>
      <c r="AM282" s="8252"/>
      <c r="AN282" s="8251" t="str">
        <f>"1/1/"&amp;TaxYear-2000&amp;"–8/31/"&amp;TaxYear-2000</f>
        <v>1/1/21–8/31/21</v>
      </c>
      <c r="AO282" s="8252"/>
      <c r="AP282" s="8251" t="str">
        <f>"1/1/"&amp;TaxYear-2000&amp;"–12/31/"&amp;TaxYear-2000</f>
        <v>1/1/21–12/31/21</v>
      </c>
      <c r="AQ282" s="8338"/>
      <c r="AR282" s="1145"/>
      <c r="AS282" s="1504"/>
      <c r="AT282" s="431"/>
      <c r="AV282" s="3337" t="s">
        <v>480</v>
      </c>
      <c r="AW282" s="3155">
        <f>MAX(0,SUM(AW280,-AW281))</f>
        <v>0</v>
      </c>
      <c r="AX282" s="3155">
        <f>MAX(0,SUM(AX280,-AX281))</f>
        <v>0</v>
      </c>
      <c r="AY282" s="3155">
        <f>MAX(0,SUM(AY280,-AY281))</f>
        <v>0</v>
      </c>
      <c r="AZ282" s="3155">
        <f>MAX(0,SUM(AZ280,-AZ281))</f>
        <v>0</v>
      </c>
      <c r="BN282" s="2873">
        <f t="shared" si="19"/>
        <v>0</v>
      </c>
      <c r="BO282" s="2873">
        <f t="shared" si="20"/>
        <v>0</v>
      </c>
      <c r="BP282" s="2873">
        <f t="shared" si="21"/>
        <v>0</v>
      </c>
      <c r="BQ282" s="2873">
        <f t="shared" si="22"/>
        <v>0</v>
      </c>
      <c r="BR282" s="2873">
        <f t="shared" si="23"/>
        <v>0</v>
      </c>
      <c r="BS282" s="2873">
        <f t="shared" si="24"/>
        <v>0</v>
      </c>
      <c r="BT282" s="2873">
        <f t="shared" si="25"/>
        <v>0</v>
      </c>
      <c r="BU282" s="2873">
        <f t="shared" si="26"/>
        <v>0</v>
      </c>
      <c r="BV282" s="2873">
        <f t="shared" si="27"/>
        <v>0</v>
      </c>
      <c r="BW282" s="2873">
        <f t="shared" si="28"/>
        <v>0</v>
      </c>
      <c r="BX282" s="2873">
        <f t="shared" si="29"/>
        <v>0</v>
      </c>
      <c r="BY282" s="2873">
        <f t="shared" si="30"/>
        <v>0</v>
      </c>
    </row>
    <row r="283" spans="15:77" ht="12.75" customHeight="1">
      <c r="O283" s="5784">
        <f t="shared" si="17"/>
        <v>283</v>
      </c>
      <c r="P283" s="2405"/>
      <c r="Q283" s="2273"/>
      <c r="R283" s="431"/>
      <c r="S283" s="2270"/>
      <c r="T283" s="431"/>
      <c r="U283" s="2276" t="str">
        <f t="shared" si="2"/>
        <v/>
      </c>
      <c r="V283" s="431"/>
      <c r="W283" s="2267" t="str">
        <f t="shared" si="16"/>
        <v/>
      </c>
      <c r="X283" s="2407"/>
      <c r="Y283" s="2258">
        <f t="shared" si="18"/>
        <v>0</v>
      </c>
      <c r="AB283" s="2525" t="s">
        <v>294</v>
      </c>
      <c r="AC283" s="1276" t="s">
        <v>3648</v>
      </c>
      <c r="AD283" s="1276"/>
      <c r="AE283" s="1179"/>
      <c r="AF283" s="1179"/>
      <c r="AG283" s="1179"/>
      <c r="AH283" s="1179"/>
      <c r="AI283" s="1179"/>
      <c r="AJ283" s="1145"/>
      <c r="AK283" s="1145"/>
      <c r="AL283" s="1145"/>
      <c r="AM283" s="1145"/>
      <c r="AN283" s="1145"/>
      <c r="AO283" s="1145"/>
      <c r="AP283" s="1145"/>
      <c r="AQ283" s="1145"/>
      <c r="AR283" s="1145"/>
      <c r="AS283" s="1504"/>
      <c r="AT283" s="431"/>
      <c r="AV283" s="3337" t="s">
        <v>481</v>
      </c>
      <c r="AW283" s="3155">
        <f>MIN(AW278,AW282)</f>
        <v>0</v>
      </c>
      <c r="AX283" s="3155">
        <f>MIN(AX278,AX282)</f>
        <v>0</v>
      </c>
      <c r="AY283" s="3155">
        <f>MIN(AY278,AY282)</f>
        <v>0</v>
      </c>
      <c r="AZ283" s="3155">
        <f>MIN(AZ278,AZ282)</f>
        <v>0</v>
      </c>
      <c r="BN283" s="2873">
        <f t="shared" si="19"/>
        <v>0</v>
      </c>
      <c r="BO283" s="2873">
        <f t="shared" si="20"/>
        <v>0</v>
      </c>
      <c r="BP283" s="2873">
        <f t="shared" si="21"/>
        <v>0</v>
      </c>
      <c r="BQ283" s="2873">
        <f t="shared" si="22"/>
        <v>0</v>
      </c>
      <c r="BR283" s="2873">
        <f t="shared" si="23"/>
        <v>0</v>
      </c>
      <c r="BS283" s="2873">
        <f t="shared" si="24"/>
        <v>0</v>
      </c>
      <c r="BT283" s="2873">
        <f t="shared" si="25"/>
        <v>0</v>
      </c>
      <c r="BU283" s="2873">
        <f t="shared" si="26"/>
        <v>0</v>
      </c>
      <c r="BV283" s="2873">
        <f t="shared" si="27"/>
        <v>0</v>
      </c>
      <c r="BW283" s="2873">
        <f t="shared" si="28"/>
        <v>0</v>
      </c>
      <c r="BX283" s="2873">
        <f t="shared" si="29"/>
        <v>0</v>
      </c>
      <c r="BY283" s="2873">
        <f t="shared" si="30"/>
        <v>0</v>
      </c>
    </row>
    <row r="284" spans="15:77">
      <c r="O284" s="5784">
        <f t="shared" si="17"/>
        <v>284</v>
      </c>
      <c r="P284" s="2405"/>
      <c r="Q284" s="2273"/>
      <c r="R284" s="431"/>
      <c r="S284" s="2270"/>
      <c r="T284" s="431"/>
      <c r="U284" s="2276" t="str">
        <f t="shared" si="2"/>
        <v/>
      </c>
      <c r="V284" s="431"/>
      <c r="W284" s="2267" t="str">
        <f t="shared" si="16"/>
        <v/>
      </c>
      <c r="X284" s="2407"/>
      <c r="Y284" s="2258">
        <f t="shared" si="18"/>
        <v>0</v>
      </c>
      <c r="AB284" s="1278"/>
      <c r="AC284" s="1276" t="s">
        <v>2541</v>
      </c>
      <c r="AD284" s="1276"/>
      <c r="AE284" s="1179"/>
      <c r="AF284" s="1179"/>
      <c r="AG284" s="1179"/>
      <c r="AH284" s="1179"/>
      <c r="AI284" s="1179"/>
      <c r="AJ284" s="1411" t="s">
        <v>294</v>
      </c>
      <c r="AK284" s="2045" t="str">
        <f>P136</f>
        <v/>
      </c>
      <c r="AL284" s="1411"/>
      <c r="AM284" s="2045" t="str">
        <f>R136</f>
        <v/>
      </c>
      <c r="AN284" s="1411"/>
      <c r="AO284" s="2045" t="str">
        <f>T136</f>
        <v/>
      </c>
      <c r="AP284" s="1411"/>
      <c r="AQ284" s="2045" t="str">
        <f>V136</f>
        <v/>
      </c>
      <c r="AR284" s="1411"/>
      <c r="AS284" s="1504"/>
      <c r="AT284" s="431"/>
      <c r="AV284" s="3337" t="s">
        <v>345</v>
      </c>
      <c r="AW284" s="3155">
        <f>ROUND(AW283*$AC$227,0)</f>
        <v>0</v>
      </c>
      <c r="AX284" s="3155">
        <f>ROUND(AX283*$AC$227,0)</f>
        <v>0</v>
      </c>
      <c r="AY284" s="3155">
        <f>ROUND(AY283*$AC$227,0)</f>
        <v>0</v>
      </c>
      <c r="AZ284" s="3155">
        <f>ROUND(AZ283*$AC$227,0)</f>
        <v>0</v>
      </c>
      <c r="BN284" s="2873">
        <f t="shared" si="19"/>
        <v>0</v>
      </c>
      <c r="BO284" s="2873">
        <f t="shared" si="20"/>
        <v>0</v>
      </c>
      <c r="BP284" s="2873">
        <f t="shared" si="21"/>
        <v>0</v>
      </c>
      <c r="BQ284" s="2873">
        <f t="shared" si="22"/>
        <v>0</v>
      </c>
      <c r="BR284" s="2873">
        <f t="shared" si="23"/>
        <v>0</v>
      </c>
      <c r="BS284" s="2873">
        <f t="shared" si="24"/>
        <v>0</v>
      </c>
      <c r="BT284" s="2873">
        <f t="shared" si="25"/>
        <v>0</v>
      </c>
      <c r="BU284" s="2873">
        <f t="shared" si="26"/>
        <v>0</v>
      </c>
      <c r="BV284" s="2873">
        <f t="shared" si="27"/>
        <v>0</v>
      </c>
      <c r="BW284" s="2873">
        <f t="shared" si="28"/>
        <v>0</v>
      </c>
      <c r="BX284" s="2873">
        <f t="shared" si="29"/>
        <v>0</v>
      </c>
      <c r="BY284" s="2873">
        <f t="shared" si="30"/>
        <v>0</v>
      </c>
    </row>
    <row r="285" spans="15:77" ht="26.25" customHeight="1">
      <c r="O285" s="5784">
        <f t="shared" si="17"/>
        <v>285</v>
      </c>
      <c r="P285" s="2405"/>
      <c r="Q285" s="2273"/>
      <c r="R285" s="431"/>
      <c r="S285" s="2270"/>
      <c r="T285" s="431"/>
      <c r="U285" s="2276" t="str">
        <f t="shared" si="2"/>
        <v/>
      </c>
      <c r="V285" s="431"/>
      <c r="W285" s="2267" t="str">
        <f t="shared" si="16"/>
        <v/>
      </c>
      <c r="X285" s="2407"/>
      <c r="Y285" s="2258">
        <f t="shared" si="18"/>
        <v>0</v>
      </c>
      <c r="AB285" s="1278"/>
      <c r="AC285" s="1179"/>
      <c r="AD285" s="1179"/>
      <c r="AE285" s="1179"/>
      <c r="AF285" s="1179"/>
      <c r="AG285" s="1179"/>
      <c r="AH285" s="1179"/>
      <c r="AI285" s="1179"/>
      <c r="AJ285" s="1411"/>
      <c r="AK285" s="1671"/>
      <c r="AL285" s="1411"/>
      <c r="AM285" s="1671"/>
      <c r="AN285" s="1145"/>
      <c r="AO285" s="1671"/>
      <c r="AP285" s="1145"/>
      <c r="AQ285" s="1671"/>
      <c r="AR285" s="1145"/>
      <c r="AS285" s="1504"/>
      <c r="AT285" s="431"/>
      <c r="AV285" s="3337" t="s">
        <v>346</v>
      </c>
      <c r="AW285" s="3155">
        <f>SUM(AW275,AW283)</f>
        <v>0</v>
      </c>
      <c r="AX285" s="3155">
        <f>SUM(AX275,AX283)</f>
        <v>0</v>
      </c>
      <c r="AY285" s="3155">
        <f>SUM(AY275,AY283)</f>
        <v>0</v>
      </c>
      <c r="AZ285" s="3155">
        <f>SUM(AZ275,AZ283)</f>
        <v>0</v>
      </c>
      <c r="BN285" s="2873">
        <f t="shared" si="19"/>
        <v>0</v>
      </c>
      <c r="BO285" s="2873">
        <f t="shared" si="20"/>
        <v>0</v>
      </c>
      <c r="BP285" s="2873">
        <f t="shared" si="21"/>
        <v>0</v>
      </c>
      <c r="BQ285" s="2873">
        <f t="shared" si="22"/>
        <v>0</v>
      </c>
      <c r="BR285" s="2873">
        <f t="shared" si="23"/>
        <v>0</v>
      </c>
      <c r="BS285" s="2873">
        <f t="shared" si="24"/>
        <v>0</v>
      </c>
      <c r="BT285" s="2873">
        <f t="shared" si="25"/>
        <v>0</v>
      </c>
      <c r="BU285" s="2873">
        <f t="shared" si="26"/>
        <v>0</v>
      </c>
      <c r="BV285" s="2873">
        <f t="shared" si="27"/>
        <v>0</v>
      </c>
      <c r="BW285" s="2873">
        <f t="shared" si="28"/>
        <v>0</v>
      </c>
      <c r="BX285" s="2873">
        <f t="shared" si="29"/>
        <v>0</v>
      </c>
      <c r="BY285" s="2873">
        <f t="shared" si="30"/>
        <v>0</v>
      </c>
    </row>
    <row r="286" spans="15:77">
      <c r="O286" s="5784">
        <f t="shared" si="17"/>
        <v>286</v>
      </c>
      <c r="P286" s="2405"/>
      <c r="Q286" s="2273"/>
      <c r="R286" s="431"/>
      <c r="S286" s="2270"/>
      <c r="T286" s="431"/>
      <c r="U286" s="2276" t="str">
        <f t="shared" si="2"/>
        <v/>
      </c>
      <c r="V286" s="431"/>
      <c r="W286" s="2267" t="str">
        <f t="shared" si="16"/>
        <v/>
      </c>
      <c r="X286" s="2407"/>
      <c r="Y286" s="2258">
        <f t="shared" si="18"/>
        <v>0</v>
      </c>
      <c r="AB286" s="2525" t="s">
        <v>0</v>
      </c>
      <c r="AC286" s="1276" t="s">
        <v>3517</v>
      </c>
      <c r="AD286" s="1179"/>
      <c r="AE286" s="1179"/>
      <c r="AF286" s="1179"/>
      <c r="AG286" s="1179"/>
      <c r="AH286" s="1179"/>
      <c r="AI286" s="1179"/>
      <c r="AJ286" s="1411"/>
      <c r="AK286" s="1671"/>
      <c r="AL286" s="1411"/>
      <c r="AM286" s="1671"/>
      <c r="AN286" s="1145"/>
      <c r="AO286" s="1671"/>
      <c r="AP286" s="1145"/>
      <c r="AQ286" s="1671"/>
      <c r="AR286" s="1145"/>
      <c r="AS286" s="1504"/>
      <c r="AT286" s="431"/>
      <c r="AV286" s="3337" t="s">
        <v>347</v>
      </c>
      <c r="AW286" s="3155">
        <f>SUM(AW276,-AW285)</f>
        <v>0</v>
      </c>
      <c r="AX286" s="3155">
        <f>SUM(AX276,-AX285)</f>
        <v>0</v>
      </c>
      <c r="AY286" s="3155">
        <f>SUM(AY276,-AY285)</f>
        <v>0</v>
      </c>
      <c r="AZ286" s="3155">
        <f>SUM(AZ276,-AZ285)</f>
        <v>0</v>
      </c>
      <c r="BN286" s="2873">
        <f t="shared" si="19"/>
        <v>0</v>
      </c>
      <c r="BO286" s="2873">
        <f t="shared" si="20"/>
        <v>0</v>
      </c>
      <c r="BP286" s="2873">
        <f t="shared" si="21"/>
        <v>0</v>
      </c>
      <c r="BQ286" s="2873">
        <f t="shared" si="22"/>
        <v>0</v>
      </c>
      <c r="BR286" s="2873">
        <f t="shared" si="23"/>
        <v>0</v>
      </c>
      <c r="BS286" s="2873">
        <f t="shared" si="24"/>
        <v>0</v>
      </c>
      <c r="BT286" s="2873">
        <f t="shared" si="25"/>
        <v>0</v>
      </c>
      <c r="BU286" s="2873">
        <f t="shared" si="26"/>
        <v>0</v>
      </c>
      <c r="BV286" s="2873">
        <f t="shared" si="27"/>
        <v>0</v>
      </c>
      <c r="BW286" s="2873">
        <f t="shared" si="28"/>
        <v>0</v>
      </c>
      <c r="BX286" s="2873">
        <f t="shared" si="29"/>
        <v>0</v>
      </c>
      <c r="BY286" s="2873">
        <f t="shared" si="30"/>
        <v>0</v>
      </c>
    </row>
    <row r="287" spans="15:77">
      <c r="O287" s="5784">
        <f>ROW(Q287)</f>
        <v>287</v>
      </c>
      <c r="P287" s="2405"/>
      <c r="Q287" s="2273"/>
      <c r="R287" s="431"/>
      <c r="S287" s="2270"/>
      <c r="T287" s="431"/>
      <c r="U287" s="2276" t="str">
        <f t="shared" si="2"/>
        <v/>
      </c>
      <c r="V287" s="431"/>
      <c r="W287" s="2267" t="str">
        <f t="shared" si="16"/>
        <v/>
      </c>
      <c r="X287" s="2407"/>
      <c r="Y287" s="2258">
        <f t="shared" si="18"/>
        <v>0</v>
      </c>
      <c r="AB287" s="2525"/>
      <c r="AC287" s="1276" t="s">
        <v>2542</v>
      </c>
      <c r="AD287" s="1179"/>
      <c r="AE287" s="1179"/>
      <c r="AF287" s="1179"/>
      <c r="AG287" s="1179"/>
      <c r="AH287" s="1179"/>
      <c r="AI287" s="1179"/>
      <c r="AO287" s="1145"/>
      <c r="AP287" s="1145"/>
      <c r="AQ287" s="1145"/>
      <c r="AR287" s="1145"/>
      <c r="AS287" s="1504"/>
      <c r="AT287" s="431"/>
      <c r="AV287" s="3337" t="s">
        <v>348</v>
      </c>
      <c r="AW287" s="3155">
        <f>ROUND(AW286*$AC$235,0)</f>
        <v>0</v>
      </c>
      <c r="AX287" s="3155">
        <f>ROUND(AX286*$AC$235,0)</f>
        <v>0</v>
      </c>
      <c r="AY287" s="3155">
        <f>ROUND(AY286*$AC$235,0)</f>
        <v>0</v>
      </c>
      <c r="AZ287" s="3155">
        <f>ROUND(AZ286*$AC$235,0)</f>
        <v>0</v>
      </c>
      <c r="BN287" s="2873">
        <f t="shared" si="19"/>
        <v>0</v>
      </c>
      <c r="BO287" s="2873">
        <f t="shared" si="20"/>
        <v>0</v>
      </c>
      <c r="BP287" s="2873">
        <f t="shared" si="21"/>
        <v>0</v>
      </c>
      <c r="BQ287" s="2873">
        <f t="shared" si="22"/>
        <v>0</v>
      </c>
      <c r="BR287" s="2873">
        <f t="shared" si="23"/>
        <v>0</v>
      </c>
      <c r="BS287" s="2873">
        <f t="shared" si="24"/>
        <v>0</v>
      </c>
      <c r="BT287" s="2873">
        <f t="shared" si="25"/>
        <v>0</v>
      </c>
      <c r="BU287" s="2873">
        <f t="shared" si="26"/>
        <v>0</v>
      </c>
      <c r="BV287" s="2873">
        <f t="shared" si="27"/>
        <v>0</v>
      </c>
      <c r="BW287" s="2873">
        <f t="shared" si="28"/>
        <v>0</v>
      </c>
      <c r="BX287" s="2873">
        <f t="shared" si="29"/>
        <v>0</v>
      </c>
      <c r="BY287" s="2873">
        <f t="shared" si="30"/>
        <v>0</v>
      </c>
    </row>
    <row r="288" spans="15:77">
      <c r="O288" s="5784">
        <f t="shared" si="17"/>
        <v>288</v>
      </c>
      <c r="P288" s="2405"/>
      <c r="Q288" s="2273"/>
      <c r="R288" s="431"/>
      <c r="S288" s="2270"/>
      <c r="T288" s="431"/>
      <c r="U288" s="2276" t="str">
        <f t="shared" si="2"/>
        <v/>
      </c>
      <c r="V288" s="431"/>
      <c r="W288" s="2267" t="str">
        <f t="shared" si="16"/>
        <v/>
      </c>
      <c r="X288" s="2407"/>
      <c r="Y288" s="2258">
        <f t="shared" si="18"/>
        <v>0</v>
      </c>
      <c r="AB288" s="1278"/>
      <c r="AC288" s="1276" t="s">
        <v>3516</v>
      </c>
      <c r="AD288" s="1179"/>
      <c r="AE288" s="1179"/>
      <c r="AF288" s="1179"/>
      <c r="AG288" s="1179"/>
      <c r="AH288" s="1179"/>
      <c r="AI288" s="1179"/>
      <c r="AJ288" s="1411" t="s">
        <v>0</v>
      </c>
      <c r="AK288" s="4289"/>
      <c r="AL288" s="1145"/>
      <c r="AM288" s="4289"/>
      <c r="AN288" s="1145"/>
      <c r="AO288" s="4289"/>
      <c r="AP288" s="1145"/>
      <c r="AQ288" s="4289"/>
      <c r="AR288" s="1145"/>
      <c r="AS288" s="1504"/>
      <c r="AT288" s="431"/>
      <c r="AV288" s="3337" t="s">
        <v>349</v>
      </c>
      <c r="AW288" s="3155" t="str">
        <f>BT156</f>
        <v>Filing status?</v>
      </c>
      <c r="AX288" s="3155" t="str">
        <f>BZ156</f>
        <v>Filing status?</v>
      </c>
      <c r="AY288" s="3155" t="str">
        <f>CF156</f>
        <v>Filing status?</v>
      </c>
      <c r="AZ288" s="3155" t="str">
        <f>CL156</f>
        <v>Filing status?</v>
      </c>
      <c r="BN288" s="2873">
        <f t="shared" si="19"/>
        <v>0</v>
      </c>
      <c r="BO288" s="2873">
        <f t="shared" si="20"/>
        <v>0</v>
      </c>
      <c r="BP288" s="2873">
        <f t="shared" si="21"/>
        <v>0</v>
      </c>
      <c r="BQ288" s="2873">
        <f t="shared" si="22"/>
        <v>0</v>
      </c>
      <c r="BR288" s="2873">
        <f t="shared" si="23"/>
        <v>0</v>
      </c>
      <c r="BS288" s="2873">
        <f t="shared" si="24"/>
        <v>0</v>
      </c>
      <c r="BT288" s="2873">
        <f t="shared" si="25"/>
        <v>0</v>
      </c>
      <c r="BU288" s="2873">
        <f t="shared" si="26"/>
        <v>0</v>
      </c>
      <c r="BV288" s="2873">
        <f t="shared" si="27"/>
        <v>0</v>
      </c>
      <c r="BW288" s="2873">
        <f t="shared" si="28"/>
        <v>0</v>
      </c>
      <c r="BX288" s="2873">
        <f t="shared" si="29"/>
        <v>0</v>
      </c>
      <c r="BY288" s="2873">
        <f t="shared" si="30"/>
        <v>0</v>
      </c>
    </row>
    <row r="289" spans="2:77">
      <c r="O289" s="5784">
        <f t="shared" si="17"/>
        <v>289</v>
      </c>
      <c r="P289" s="2405"/>
      <c r="Q289" s="2273"/>
      <c r="R289" s="431"/>
      <c r="S289" s="2270"/>
      <c r="T289" s="431"/>
      <c r="U289" s="2276" t="str">
        <f t="shared" si="2"/>
        <v/>
      </c>
      <c r="V289" s="431"/>
      <c r="W289" s="2267" t="str">
        <f t="shared" si="16"/>
        <v/>
      </c>
      <c r="X289" s="2407"/>
      <c r="Y289" s="2258">
        <f t="shared" si="18"/>
        <v>0</v>
      </c>
      <c r="AB289" s="1278"/>
      <c r="AC289" s="1276"/>
      <c r="AD289" s="1179"/>
      <c r="AE289" s="1179"/>
      <c r="AF289" s="1179"/>
      <c r="AG289" s="1179"/>
      <c r="AH289" s="1179"/>
      <c r="AI289" s="1179"/>
      <c r="AJ289" s="1145"/>
      <c r="AK289" s="1145"/>
      <c r="AL289" s="1145"/>
      <c r="AM289" s="1145"/>
      <c r="AN289" s="1145"/>
      <c r="AO289" s="1145"/>
      <c r="AP289" s="1145"/>
      <c r="AQ289" s="1145"/>
      <c r="AR289" s="1145"/>
      <c r="AS289" s="1504"/>
      <c r="AT289" s="431"/>
      <c r="AV289" s="3337" t="s">
        <v>350</v>
      </c>
      <c r="AW289" s="3155">
        <f>SUM(AW284,AW287,AW288)</f>
        <v>0</v>
      </c>
      <c r="AX289" s="3155">
        <f>SUM(AX284,AX287,AX288)</f>
        <v>0</v>
      </c>
      <c r="AY289" s="3155">
        <f>SUM(AY284,AY287,AY288)</f>
        <v>0</v>
      </c>
      <c r="AZ289" s="3155">
        <f>SUM(AZ284,AZ287,AZ288)</f>
        <v>0</v>
      </c>
      <c r="BN289" s="2873">
        <f t="shared" si="19"/>
        <v>0</v>
      </c>
      <c r="BO289" s="2873">
        <f t="shared" si="20"/>
        <v>0</v>
      </c>
      <c r="BP289" s="2873">
        <f t="shared" si="21"/>
        <v>0</v>
      </c>
      <c r="BQ289" s="2873">
        <f t="shared" si="22"/>
        <v>0</v>
      </c>
      <c r="BR289" s="2873">
        <f t="shared" si="23"/>
        <v>0</v>
      </c>
      <c r="BS289" s="2873">
        <f t="shared" si="24"/>
        <v>0</v>
      </c>
      <c r="BT289" s="2873">
        <f t="shared" si="25"/>
        <v>0</v>
      </c>
      <c r="BU289" s="2873">
        <f t="shared" si="26"/>
        <v>0</v>
      </c>
      <c r="BV289" s="2873">
        <f t="shared" si="27"/>
        <v>0</v>
      </c>
      <c r="BW289" s="2873">
        <f t="shared" si="28"/>
        <v>0</v>
      </c>
      <c r="BX289" s="2873">
        <f t="shared" si="29"/>
        <v>0</v>
      </c>
      <c r="BY289" s="2873">
        <f t="shared" si="30"/>
        <v>0</v>
      </c>
    </row>
    <row r="290" spans="2:77">
      <c r="O290" s="5784">
        <f t="shared" si="17"/>
        <v>290</v>
      </c>
      <c r="P290" s="2405"/>
      <c r="Q290" s="2273"/>
      <c r="R290" s="431"/>
      <c r="S290" s="2270"/>
      <c r="T290" s="431"/>
      <c r="U290" s="2276" t="str">
        <f t="shared" si="2"/>
        <v/>
      </c>
      <c r="V290" s="431"/>
      <c r="W290" s="2267" t="str">
        <f t="shared" si="16"/>
        <v/>
      </c>
      <c r="X290" s="2407"/>
      <c r="Y290" s="2258">
        <f t="shared" si="18"/>
        <v>0</v>
      </c>
      <c r="AB290" s="2525" t="s">
        <v>1</v>
      </c>
      <c r="AC290" s="1179" t="s">
        <v>2103</v>
      </c>
      <c r="AD290" s="1179"/>
      <c r="AE290" s="1179"/>
      <c r="AF290" s="1179"/>
      <c r="AG290" s="1179"/>
      <c r="AH290" s="1179"/>
      <c r="AI290" s="1179"/>
      <c r="AJ290" s="1411" t="s">
        <v>1</v>
      </c>
      <c r="AK290" s="2045">
        <f>SUM(AK284,AK288)</f>
        <v>0</v>
      </c>
      <c r="AL290" s="1145"/>
      <c r="AM290" s="2045">
        <f>SUM(AM284,AM288)</f>
        <v>0</v>
      </c>
      <c r="AN290" s="1145"/>
      <c r="AO290" s="2045">
        <f>SUM(AO284,AO288)</f>
        <v>0</v>
      </c>
      <c r="AP290" s="1145"/>
      <c r="AQ290" s="2045">
        <f>SUM(AQ284,AQ288)</f>
        <v>0</v>
      </c>
      <c r="AR290" s="1145"/>
      <c r="AS290" s="1504"/>
      <c r="AT290" s="431"/>
      <c r="AV290" s="3337" t="s">
        <v>351</v>
      </c>
      <c r="AW290" s="3155" t="str">
        <f>$BT$142</f>
        <v>Filing status?</v>
      </c>
      <c r="AX290" s="3155" t="str">
        <f>$BZ$142</f>
        <v>Filing status?</v>
      </c>
      <c r="AY290" s="3155" t="str">
        <f>$CF$142</f>
        <v>Filing status?</v>
      </c>
      <c r="AZ290" s="3155" t="str">
        <f>$CL$142</f>
        <v>Filing status?</v>
      </c>
      <c r="BN290" s="2873">
        <f t="shared" si="19"/>
        <v>0</v>
      </c>
      <c r="BO290" s="2873">
        <f t="shared" si="20"/>
        <v>0</v>
      </c>
      <c r="BP290" s="2873">
        <f t="shared" si="21"/>
        <v>0</v>
      </c>
      <c r="BQ290" s="2873">
        <f t="shared" si="22"/>
        <v>0</v>
      </c>
      <c r="BR290" s="2873">
        <f t="shared" si="23"/>
        <v>0</v>
      </c>
      <c r="BS290" s="2873">
        <f t="shared" si="24"/>
        <v>0</v>
      </c>
      <c r="BT290" s="2873">
        <f t="shared" si="25"/>
        <v>0</v>
      </c>
      <c r="BU290" s="2873">
        <f t="shared" si="26"/>
        <v>0</v>
      </c>
      <c r="BV290" s="2873">
        <f t="shared" si="27"/>
        <v>0</v>
      </c>
      <c r="BW290" s="2873">
        <f t="shared" si="28"/>
        <v>0</v>
      </c>
      <c r="BX290" s="2873">
        <f t="shared" si="29"/>
        <v>0</v>
      </c>
      <c r="BY290" s="2873">
        <f t="shared" si="30"/>
        <v>0</v>
      </c>
    </row>
    <row r="291" spans="2:77">
      <c r="O291" s="5784">
        <f t="shared" si="17"/>
        <v>291</v>
      </c>
      <c r="P291" s="2405"/>
      <c r="Q291" s="2273"/>
      <c r="R291" s="431"/>
      <c r="S291" s="2270"/>
      <c r="T291" s="431"/>
      <c r="U291" s="2276" t="str">
        <f t="shared" si="2"/>
        <v/>
      </c>
      <c r="V291" s="431"/>
      <c r="W291" s="2267" t="str">
        <f t="shared" si="16"/>
        <v/>
      </c>
      <c r="X291" s="2407"/>
      <c r="Y291" s="2258">
        <f t="shared" si="18"/>
        <v>0</v>
      </c>
      <c r="AB291" s="2525"/>
      <c r="AC291" s="1276"/>
      <c r="AD291" s="1276"/>
      <c r="AE291" s="1179"/>
      <c r="AF291" s="1179"/>
      <c r="AG291" s="1179"/>
      <c r="AH291" s="1179"/>
      <c r="AI291" s="1179"/>
      <c r="AJ291" s="1179"/>
      <c r="AK291" s="1179"/>
      <c r="AL291" s="1179"/>
      <c r="AM291" s="1179"/>
      <c r="AN291" s="1179"/>
      <c r="AO291" s="1179"/>
      <c r="AP291" s="1179"/>
      <c r="AQ291" s="1179"/>
      <c r="AR291" s="1179"/>
      <c r="AS291" s="1504"/>
      <c r="AT291" s="431"/>
      <c r="AV291" s="3337" t="s">
        <v>352</v>
      </c>
      <c r="AW291" s="3155">
        <f>MIN(AW289,AW290)</f>
        <v>0</v>
      </c>
      <c r="AX291" s="3155">
        <f>MIN(AX289,AX290)</f>
        <v>0</v>
      </c>
      <c r="AY291" s="3155">
        <f>MIN(AY289,AY290)</f>
        <v>0</v>
      </c>
      <c r="AZ291" s="3155">
        <f>MIN(AZ289,AZ290)</f>
        <v>0</v>
      </c>
      <c r="BN291" s="2873">
        <f t="shared" si="19"/>
        <v>0</v>
      </c>
      <c r="BO291" s="2873">
        <f t="shared" si="20"/>
        <v>0</v>
      </c>
      <c r="BP291" s="2873">
        <f t="shared" si="21"/>
        <v>0</v>
      </c>
      <c r="BQ291" s="2873">
        <f t="shared" si="22"/>
        <v>0</v>
      </c>
      <c r="BR291" s="2873">
        <f t="shared" si="23"/>
        <v>0</v>
      </c>
      <c r="BS291" s="2873">
        <f t="shared" si="24"/>
        <v>0</v>
      </c>
      <c r="BT291" s="2873">
        <f t="shared" si="25"/>
        <v>0</v>
      </c>
      <c r="BU291" s="2873">
        <f t="shared" si="26"/>
        <v>0</v>
      </c>
      <c r="BV291" s="2873">
        <f t="shared" si="27"/>
        <v>0</v>
      </c>
      <c r="BW291" s="2873">
        <f t="shared" si="28"/>
        <v>0</v>
      </c>
      <c r="BX291" s="2873">
        <f t="shared" si="29"/>
        <v>0</v>
      </c>
      <c r="BY291" s="2873">
        <f t="shared" si="30"/>
        <v>0</v>
      </c>
    </row>
    <row r="292" spans="2:77">
      <c r="O292" s="5784">
        <f t="shared" si="17"/>
        <v>292</v>
      </c>
      <c r="P292" s="2405"/>
      <c r="Q292" s="2273"/>
      <c r="R292" s="431"/>
      <c r="S292" s="2270"/>
      <c r="T292" s="431"/>
      <c r="U292" s="2276" t="str">
        <f t="shared" si="2"/>
        <v/>
      </c>
      <c r="V292" s="431"/>
      <c r="W292" s="2267" t="str">
        <f t="shared" si="16"/>
        <v/>
      </c>
      <c r="X292" s="2407"/>
      <c r="Y292" s="2258">
        <f t="shared" si="18"/>
        <v>0</v>
      </c>
      <c r="AB292" s="2525" t="s">
        <v>399</v>
      </c>
      <c r="AC292" s="1283" t="s">
        <v>1619</v>
      </c>
      <c r="AD292" s="1276"/>
      <c r="AE292" s="1179"/>
      <c r="AF292" s="1179"/>
      <c r="AG292" s="1179"/>
      <c r="AH292" s="1179"/>
      <c r="AI292" s="1179" t="s">
        <v>2544</v>
      </c>
      <c r="AO292" s="1145"/>
      <c r="AP292" s="1145"/>
      <c r="AQ292" s="1145"/>
      <c r="AR292" s="1145"/>
      <c r="AS292" s="1504"/>
      <c r="AT292" s="431"/>
      <c r="BN292" s="2873">
        <f t="shared" si="19"/>
        <v>0</v>
      </c>
      <c r="BO292" s="2873">
        <f t="shared" si="20"/>
        <v>0</v>
      </c>
      <c r="BP292" s="2873">
        <f t="shared" si="21"/>
        <v>0</v>
      </c>
      <c r="BQ292" s="2873">
        <f t="shared" si="22"/>
        <v>0</v>
      </c>
      <c r="BR292" s="2873">
        <f t="shared" si="23"/>
        <v>0</v>
      </c>
      <c r="BS292" s="2873">
        <f t="shared" si="24"/>
        <v>0</v>
      </c>
      <c r="BT292" s="2873">
        <f t="shared" si="25"/>
        <v>0</v>
      </c>
      <c r="BU292" s="2873">
        <f t="shared" si="26"/>
        <v>0</v>
      </c>
      <c r="BV292" s="2873">
        <f t="shared" si="27"/>
        <v>0</v>
      </c>
      <c r="BW292" s="2873">
        <f t="shared" si="28"/>
        <v>0</v>
      </c>
      <c r="BX292" s="2873">
        <f t="shared" si="29"/>
        <v>0</v>
      </c>
      <c r="BY292" s="2873">
        <f t="shared" si="30"/>
        <v>0</v>
      </c>
    </row>
    <row r="293" spans="2:77">
      <c r="O293" s="5784">
        <f>ROW(Q293)</f>
        <v>293</v>
      </c>
      <c r="P293" s="2405"/>
      <c r="Q293" s="2273"/>
      <c r="R293" s="431"/>
      <c r="S293" s="2270"/>
      <c r="T293" s="431"/>
      <c r="U293" s="2276" t="str">
        <f t="shared" si="2"/>
        <v/>
      </c>
      <c r="V293" s="431"/>
      <c r="W293" s="2267" t="str">
        <f t="shared" si="16"/>
        <v/>
      </c>
      <c r="X293" s="2407"/>
      <c r="Y293" s="2258">
        <f t="shared" si="18"/>
        <v>0</v>
      </c>
      <c r="AB293" s="1278"/>
      <c r="AC293" s="1276" t="s">
        <v>2543</v>
      </c>
      <c r="AD293" s="1276"/>
      <c r="AE293" s="1179"/>
      <c r="AF293" s="1179"/>
      <c r="AG293" s="1179"/>
      <c r="AH293" s="1179"/>
      <c r="AI293" s="1179"/>
      <c r="AJ293" s="1145"/>
      <c r="AK293" s="1145"/>
      <c r="AL293" s="1145"/>
      <c r="AM293" s="1145"/>
      <c r="AN293" s="1145"/>
      <c r="AO293" s="1145"/>
      <c r="AP293" s="1145"/>
      <c r="AQ293" s="1145"/>
      <c r="AR293" s="1411"/>
      <c r="AS293" s="1504"/>
      <c r="AT293" s="431"/>
      <c r="BN293" s="2873">
        <f t="shared" si="19"/>
        <v>0</v>
      </c>
      <c r="BO293" s="2873">
        <f t="shared" si="20"/>
        <v>0</v>
      </c>
      <c r="BP293" s="2873">
        <f t="shared" si="21"/>
        <v>0</v>
      </c>
      <c r="BQ293" s="2873">
        <f t="shared" si="22"/>
        <v>0</v>
      </c>
      <c r="BR293" s="2873">
        <f t="shared" si="23"/>
        <v>0</v>
      </c>
      <c r="BS293" s="2873">
        <f t="shared" si="24"/>
        <v>0</v>
      </c>
      <c r="BT293" s="2873">
        <f t="shared" si="25"/>
        <v>0</v>
      </c>
      <c r="BU293" s="2873">
        <f t="shared" si="26"/>
        <v>0</v>
      </c>
      <c r="BV293" s="2873">
        <f t="shared" si="27"/>
        <v>0</v>
      </c>
      <c r="BW293" s="2873">
        <f t="shared" si="28"/>
        <v>0</v>
      </c>
      <c r="BX293" s="2873">
        <f t="shared" si="29"/>
        <v>0</v>
      </c>
      <c r="BY293" s="2873">
        <f t="shared" si="30"/>
        <v>0</v>
      </c>
    </row>
    <row r="294" spans="2:77">
      <c r="O294" s="5784">
        <f t="shared" si="17"/>
        <v>294</v>
      </c>
      <c r="P294" s="2405"/>
      <c r="Q294" s="2273"/>
      <c r="R294" s="431"/>
      <c r="S294" s="2270"/>
      <c r="T294" s="431"/>
      <c r="U294" s="2276" t="str">
        <f t="shared" si="2"/>
        <v/>
      </c>
      <c r="V294" s="431"/>
      <c r="W294" s="2267" t="str">
        <f t="shared" si="16"/>
        <v/>
      </c>
      <c r="X294" s="2407"/>
      <c r="Y294" s="2258">
        <f t="shared" si="18"/>
        <v>0</v>
      </c>
      <c r="AB294" s="1278"/>
      <c r="AC294" s="1926" t="str">
        <f>TaxYear&amp;" instructions for Form 1040, line 44, to find out which tax computation method to use."</f>
        <v>2021 instructions for Form 1040, line 44, to find out which tax computation method to use.</v>
      </c>
      <c r="AD294" s="1276"/>
      <c r="AE294" s="1179"/>
      <c r="AF294" s="1179"/>
      <c r="AG294" s="1179"/>
      <c r="AH294" s="1179"/>
      <c r="AI294" s="1179"/>
      <c r="AJ294" s="1145"/>
      <c r="AK294" s="1145"/>
      <c r="AL294" s="1145"/>
      <c r="AM294" s="1145"/>
      <c r="AN294" s="1145"/>
      <c r="AO294" s="1410"/>
      <c r="AP294" s="1145"/>
      <c r="AQ294" s="1145"/>
      <c r="AR294" s="1411"/>
      <c r="AS294" s="1504"/>
      <c r="AT294" s="431"/>
      <c r="BA294" s="2595"/>
      <c r="BN294" s="2873">
        <f t="shared" si="19"/>
        <v>0</v>
      </c>
      <c r="BO294" s="2873">
        <f t="shared" si="20"/>
        <v>0</v>
      </c>
      <c r="BP294" s="2873">
        <f t="shared" si="21"/>
        <v>0</v>
      </c>
      <c r="BQ294" s="2873">
        <f t="shared" si="22"/>
        <v>0</v>
      </c>
      <c r="BR294" s="2873">
        <f t="shared" si="23"/>
        <v>0</v>
      </c>
      <c r="BS294" s="2873">
        <f t="shared" si="24"/>
        <v>0</v>
      </c>
      <c r="BT294" s="2873">
        <f t="shared" si="25"/>
        <v>0</v>
      </c>
      <c r="BU294" s="2873">
        <f t="shared" si="26"/>
        <v>0</v>
      </c>
      <c r="BV294" s="2873">
        <f t="shared" si="27"/>
        <v>0</v>
      </c>
      <c r="BW294" s="2873">
        <f t="shared" si="28"/>
        <v>0</v>
      </c>
      <c r="BX294" s="2873">
        <f t="shared" si="29"/>
        <v>0</v>
      </c>
      <c r="BY294" s="2873">
        <f t="shared" si="30"/>
        <v>0</v>
      </c>
    </row>
    <row r="295" spans="2:77" ht="13.5" thickBot="1">
      <c r="O295" s="5784">
        <f t="shared" si="17"/>
        <v>295</v>
      </c>
      <c r="P295" s="2405"/>
      <c r="Q295" s="2274"/>
      <c r="R295" s="431"/>
      <c r="S295" s="2271"/>
      <c r="T295" s="431"/>
      <c r="U295" s="2277" t="str">
        <f t="shared" si="2"/>
        <v/>
      </c>
      <c r="V295" s="431"/>
      <c r="W295" s="2268" t="str">
        <f t="shared" si="16"/>
        <v/>
      </c>
      <c r="X295" s="2407"/>
      <c r="Y295" s="2258">
        <f t="shared" si="18"/>
        <v>0</v>
      </c>
      <c r="AB295" s="1278"/>
      <c r="AC295" s="1926" t="s">
        <v>3653</v>
      </c>
      <c r="AD295" s="1276"/>
      <c r="AE295" s="1179"/>
      <c r="AF295" s="1179"/>
      <c r="AG295" s="1179"/>
      <c r="AH295" s="1179"/>
      <c r="AI295" s="1179"/>
      <c r="AJ295" s="1145"/>
      <c r="AK295" s="1145"/>
      <c r="AL295" s="1145"/>
      <c r="AM295" s="1145"/>
      <c r="AN295" s="1145"/>
      <c r="AO295" s="1145"/>
      <c r="AP295" s="1145"/>
      <c r="AQ295" s="1145"/>
      <c r="AR295" s="1411"/>
      <c r="AS295" s="1504"/>
      <c r="AT295" s="431"/>
      <c r="BN295" s="2873">
        <f t="shared" si="19"/>
        <v>0</v>
      </c>
      <c r="BO295" s="2873">
        <f t="shared" si="20"/>
        <v>0</v>
      </c>
      <c r="BP295" s="2873">
        <f t="shared" si="21"/>
        <v>0</v>
      </c>
      <c r="BQ295" s="2873">
        <f t="shared" si="22"/>
        <v>0</v>
      </c>
      <c r="BR295" s="2873">
        <f t="shared" si="23"/>
        <v>0</v>
      </c>
      <c r="BS295" s="2873">
        <f t="shared" si="24"/>
        <v>0</v>
      </c>
      <c r="BT295" s="2873">
        <f t="shared" si="25"/>
        <v>0</v>
      </c>
      <c r="BU295" s="2873">
        <f t="shared" si="26"/>
        <v>0</v>
      </c>
      <c r="BV295" s="2873">
        <f t="shared" si="27"/>
        <v>0</v>
      </c>
      <c r="BW295" s="2873">
        <f t="shared" si="28"/>
        <v>0</v>
      </c>
      <c r="BX295" s="2873">
        <f t="shared" si="29"/>
        <v>0</v>
      </c>
      <c r="BY295" s="2873">
        <f t="shared" si="30"/>
        <v>0</v>
      </c>
    </row>
    <row r="296" spans="2:77" ht="13.5" thickBot="1">
      <c r="O296" s="1284"/>
      <c r="P296" s="2411"/>
      <c r="Q296" s="2412"/>
      <c r="R296" s="2412"/>
      <c r="S296" s="2412"/>
      <c r="T296" s="2412"/>
      <c r="U296" s="2412"/>
      <c r="V296" s="2412"/>
      <c r="W296" s="2412"/>
      <c r="X296" s="2413"/>
      <c r="Y296" s="2258"/>
      <c r="AB296" s="1278"/>
      <c r="AC296" s="1276"/>
      <c r="AD296" s="1276"/>
      <c r="AE296" s="1179"/>
      <c r="AF296" s="1179"/>
      <c r="AG296" s="1179"/>
      <c r="AH296" s="1179"/>
      <c r="AI296" s="1179"/>
      <c r="AJ296" s="1411" t="s">
        <v>399</v>
      </c>
      <c r="AK296" s="2249">
        <f>AW291</f>
        <v>0</v>
      </c>
      <c r="AL296" s="1411"/>
      <c r="AM296" s="2249">
        <f>AX291</f>
        <v>0</v>
      </c>
      <c r="AN296" s="1411"/>
      <c r="AO296" s="2249">
        <f>AY291</f>
        <v>0</v>
      </c>
      <c r="AP296" s="1411"/>
      <c r="AQ296" s="2249">
        <f>AZ291</f>
        <v>0</v>
      </c>
      <c r="AR296" s="1411"/>
      <c r="AS296" s="1504"/>
      <c r="AT296" s="431"/>
      <c r="BN296" s="2873">
        <f t="shared" si="19"/>
        <v>0</v>
      </c>
      <c r="BO296" s="2873">
        <f t="shared" si="20"/>
        <v>0</v>
      </c>
      <c r="BP296" s="2873">
        <f t="shared" si="21"/>
        <v>0</v>
      </c>
      <c r="BQ296" s="2873">
        <f t="shared" si="22"/>
        <v>0</v>
      </c>
      <c r="BR296" s="2873">
        <f t="shared" si="23"/>
        <v>0</v>
      </c>
      <c r="BS296" s="2873">
        <f t="shared" si="24"/>
        <v>0</v>
      </c>
      <c r="BT296" s="2873">
        <f t="shared" si="25"/>
        <v>0</v>
      </c>
      <c r="BU296" s="2873">
        <f t="shared" si="26"/>
        <v>0</v>
      </c>
      <c r="BV296" s="2873">
        <f t="shared" si="27"/>
        <v>0</v>
      </c>
      <c r="BW296" s="2873">
        <f t="shared" si="28"/>
        <v>0</v>
      </c>
      <c r="BX296" s="2873">
        <f t="shared" si="29"/>
        <v>0</v>
      </c>
      <c r="BY296" s="2873">
        <f t="shared" si="30"/>
        <v>0</v>
      </c>
    </row>
    <row r="297" spans="2:77" ht="13.5" thickTop="1">
      <c r="O297" s="2243"/>
      <c r="P297" s="1145"/>
      <c r="Q297" s="1145"/>
      <c r="R297" s="1145"/>
      <c r="S297" s="1145"/>
      <c r="T297" s="1145"/>
      <c r="U297" s="1145"/>
      <c r="V297" s="1145"/>
      <c r="W297" s="1145"/>
      <c r="X297" s="1145"/>
      <c r="Y297" s="1145"/>
      <c r="AB297" s="1278"/>
      <c r="AC297" s="1179"/>
      <c r="AD297" s="1179"/>
      <c r="AE297" s="1179"/>
      <c r="AF297" s="1179"/>
      <c r="AG297" s="1179"/>
      <c r="AH297" s="1179"/>
      <c r="AI297" s="1179"/>
      <c r="AJ297" s="1411"/>
      <c r="AK297" s="1671"/>
      <c r="AL297" s="1411"/>
      <c r="AM297" s="1671"/>
      <c r="AN297" s="1145"/>
      <c r="AO297" s="1671"/>
      <c r="AP297" s="1145"/>
      <c r="AQ297" s="1671"/>
      <c r="AR297" s="1145"/>
      <c r="AS297" s="1504"/>
      <c r="AT297" s="431"/>
      <c r="BN297" s="2874">
        <f t="shared" ref="BN297:BY297" si="31">ROUND(SUM(BN242:BN296),2)</f>
        <v>0</v>
      </c>
      <c r="BO297" s="2874">
        <f t="shared" si="31"/>
        <v>0</v>
      </c>
      <c r="BP297" s="2874">
        <f t="shared" si="31"/>
        <v>0</v>
      </c>
      <c r="BQ297" s="2874">
        <f t="shared" si="31"/>
        <v>0</v>
      </c>
      <c r="BR297" s="2874">
        <f t="shared" si="31"/>
        <v>0</v>
      </c>
      <c r="BS297" s="2874">
        <f t="shared" si="31"/>
        <v>0</v>
      </c>
      <c r="BT297" s="2874">
        <f t="shared" si="31"/>
        <v>0</v>
      </c>
      <c r="BU297" s="2874">
        <f t="shared" si="31"/>
        <v>0</v>
      </c>
      <c r="BV297" s="2874">
        <f t="shared" si="31"/>
        <v>0</v>
      </c>
      <c r="BW297" s="2874">
        <f t="shared" si="31"/>
        <v>0</v>
      </c>
      <c r="BX297" s="2874">
        <f t="shared" si="31"/>
        <v>0</v>
      </c>
      <c r="BY297" s="2874">
        <f t="shared" si="31"/>
        <v>0</v>
      </c>
    </row>
    <row r="298" spans="2:77">
      <c r="AB298" s="2525" t="s">
        <v>31</v>
      </c>
      <c r="AC298" s="1283" t="s">
        <v>2545</v>
      </c>
      <c r="AD298" s="1276"/>
      <c r="AE298" s="1179"/>
      <c r="AF298" s="1179"/>
      <c r="AG298" s="1179"/>
      <c r="AH298" s="1179"/>
      <c r="AI298" s="1179" t="str">
        <f>"If the amount on line 2 is less than $100,000, use the Tax Table in the "&amp;TaxYear</f>
        <v>If the amount on line 2 is less than $100,000, use the Tax Table in the 2021</v>
      </c>
      <c r="AO298" s="1145"/>
      <c r="AP298" s="1145"/>
      <c r="AQ298" s="1145"/>
      <c r="AR298" s="1145"/>
      <c r="AS298" s="1504"/>
      <c r="AT298" s="431"/>
    </row>
    <row r="299" spans="2:77">
      <c r="AB299" s="1278"/>
      <c r="AC299" s="1276" t="s">
        <v>2546</v>
      </c>
      <c r="AD299" s="1276"/>
      <c r="AE299" s="1179"/>
      <c r="AF299" s="1179"/>
      <c r="AG299" s="1179"/>
      <c r="AH299" s="1179"/>
      <c r="AI299" s="1179"/>
      <c r="AJ299" s="1145"/>
      <c r="AK299" s="1145"/>
      <c r="AL299" s="1145"/>
      <c r="AM299" s="1145"/>
      <c r="AN299" s="1145"/>
      <c r="AO299" s="1145"/>
      <c r="AP299" s="1145"/>
      <c r="AQ299" s="1145"/>
      <c r="AR299" s="1411"/>
      <c r="AS299" s="1504"/>
      <c r="AT299" s="431"/>
    </row>
    <row r="300" spans="2:77">
      <c r="AB300" s="1278"/>
      <c r="AC300" s="1926" t="s">
        <v>2547</v>
      </c>
      <c r="AD300" s="1276"/>
      <c r="AE300" s="1179"/>
      <c r="AF300" s="1179"/>
      <c r="AG300" s="1179"/>
      <c r="AH300" s="1179"/>
      <c r="AI300" s="1179"/>
      <c r="AJ300" s="1145"/>
      <c r="AK300" s="1145"/>
      <c r="AL300" s="1145"/>
      <c r="AM300" s="1145"/>
      <c r="AN300" s="1145"/>
      <c r="AO300" s="1410"/>
      <c r="AP300" s="1145"/>
      <c r="AQ300" s="1145"/>
      <c r="AR300" s="1411"/>
      <c r="AS300" s="1504"/>
      <c r="AT300" s="431"/>
    </row>
    <row r="301" spans="2:77">
      <c r="AB301" s="1278"/>
      <c r="AC301" s="1276"/>
      <c r="AD301" s="1276"/>
      <c r="AE301" s="1179"/>
      <c r="AF301" s="1179"/>
      <c r="AG301" s="1179"/>
      <c r="AH301" s="1179"/>
      <c r="AI301" s="1179"/>
      <c r="AJ301" s="1411" t="s">
        <v>31</v>
      </c>
      <c r="AK301" s="2249" t="str">
        <f>BT171</f>
        <v>Filing status?</v>
      </c>
      <c r="AL301" s="1411"/>
      <c r="AM301" s="2249" t="str">
        <f>BZ171</f>
        <v>Filing status?</v>
      </c>
      <c r="AN301" s="1411"/>
      <c r="AO301" s="2249" t="str">
        <f>CF171</f>
        <v>Filing status?</v>
      </c>
      <c r="AP301" s="1411"/>
      <c r="AQ301" s="2249" t="str">
        <f>CL171</f>
        <v>Filing status?</v>
      </c>
      <c r="AR301" s="1411"/>
      <c r="AS301" s="1504"/>
      <c r="AT301" s="431"/>
      <c r="AV301"/>
      <c r="AX301" s="2595"/>
      <c r="AY301" s="2595"/>
      <c r="AZ301" s="2595"/>
    </row>
    <row r="302" spans="2:77">
      <c r="B302" s="42"/>
      <c r="C302" s="42"/>
      <c r="D302" s="42"/>
      <c r="E302" s="42"/>
      <c r="L302" s="42"/>
      <c r="M302" s="42"/>
      <c r="N302" s="42"/>
      <c r="O302" s="42"/>
      <c r="P302" s="42"/>
      <c r="Q302" s="42"/>
      <c r="R302" s="42"/>
      <c r="S302" s="42"/>
      <c r="T302" s="42"/>
      <c r="U302" s="42"/>
      <c r="V302" s="42"/>
      <c r="W302" s="42"/>
      <c r="X302" s="42"/>
      <c r="Y302" s="235"/>
      <c r="AB302" s="1278"/>
      <c r="AC302" s="1179"/>
      <c r="AD302" s="1179"/>
      <c r="AE302" s="1179"/>
      <c r="AF302" s="1179"/>
      <c r="AG302" s="1179"/>
      <c r="AH302" s="1179"/>
      <c r="AI302" s="1179"/>
      <c r="AJ302" s="1411"/>
      <c r="AK302" s="1671"/>
      <c r="AL302" s="1411"/>
      <c r="AM302" s="1671"/>
      <c r="AN302" s="1145"/>
      <c r="AO302" s="1671"/>
      <c r="AP302" s="1145"/>
      <c r="AQ302" s="1671"/>
      <c r="AR302" s="1145"/>
      <c r="AS302" s="1504"/>
      <c r="AT302" s="431"/>
    </row>
    <row r="303" spans="2:77" ht="12.75" customHeight="1">
      <c r="B303" s="350"/>
      <c r="C303" s="350"/>
      <c r="D303" s="350"/>
      <c r="E303" s="350"/>
      <c r="L303" s="350"/>
      <c r="M303" s="350"/>
      <c r="N303" s="350"/>
      <c r="O303" s="350"/>
      <c r="P303" s="350"/>
      <c r="Q303" s="350"/>
      <c r="R303" s="350"/>
      <c r="S303" s="350"/>
      <c r="T303" s="350"/>
      <c r="U303" s="350"/>
      <c r="V303" s="350"/>
      <c r="W303" s="350"/>
      <c r="X303" s="350"/>
      <c r="Y303" s="2255"/>
      <c r="AB303" s="2525" t="s">
        <v>67</v>
      </c>
      <c r="AC303" s="1179" t="s">
        <v>2548</v>
      </c>
      <c r="AD303" s="1179"/>
      <c r="AE303" s="1179"/>
      <c r="AF303" s="1179"/>
      <c r="AG303" s="1179"/>
      <c r="AH303" s="1179"/>
      <c r="AI303" s="1179"/>
      <c r="AJ303" s="1145"/>
      <c r="AK303" s="1145"/>
      <c r="AL303" s="1145"/>
      <c r="AM303" s="1145"/>
      <c r="AN303" s="1145"/>
      <c r="AO303" s="1145"/>
      <c r="AP303" s="1145"/>
      <c r="AQ303" s="1145"/>
      <c r="AR303" s="1145"/>
      <c r="AS303" s="1504"/>
      <c r="AT303" s="431"/>
    </row>
    <row r="304" spans="2:77">
      <c r="B304" s="42"/>
      <c r="C304" s="42"/>
      <c r="D304" s="42"/>
      <c r="E304" s="42"/>
      <c r="L304" s="42"/>
      <c r="M304" s="42"/>
      <c r="N304" s="42"/>
      <c r="O304" s="42"/>
      <c r="P304" s="42"/>
      <c r="Q304" s="42"/>
      <c r="R304" s="42"/>
      <c r="S304" s="42"/>
      <c r="T304" s="42"/>
      <c r="U304" s="42"/>
      <c r="V304" s="42"/>
      <c r="W304" s="42"/>
      <c r="X304" s="42"/>
      <c r="Y304" s="235"/>
      <c r="AB304" s="2525"/>
      <c r="AC304" s="1179" t="s">
        <v>2549</v>
      </c>
      <c r="AD304" s="1179"/>
      <c r="AE304" s="1179"/>
      <c r="AF304" s="1179"/>
      <c r="AG304" s="1179"/>
      <c r="AH304" s="1179"/>
      <c r="AI304" s="1179"/>
      <c r="AJ304" s="1411" t="s">
        <v>67</v>
      </c>
      <c r="AK304" s="2249" t="str">
        <f>IF(ISERROR(MAX(0,SUM(AK296,-AK301))),"",MAX(0,SUM(AK296,-AK301)))</f>
        <v/>
      </c>
      <c r="AL304" s="1145"/>
      <c r="AM304" s="2249" t="str">
        <f>IF(ISERROR(MAX(0,SUM(AM296,-AM301))),"",MAX(0,SUM(AM296,-AM301)))</f>
        <v/>
      </c>
      <c r="AN304" s="1145"/>
      <c r="AO304" s="2249" t="str">
        <f>IF(ISERROR(MAX(0,SUM(AO296,-AO301))),"",MAX(0,SUM(AO296,-AO301)))</f>
        <v/>
      </c>
      <c r="AP304" s="1145"/>
      <c r="AQ304" s="2249" t="str">
        <f>IF(ISERROR(MAX(0,SUM(AQ296,-AQ301))),"",MAX(0,SUM(AQ296,-AQ301)))</f>
        <v/>
      </c>
      <c r="AR304" s="1145"/>
      <c r="AS304" s="1504"/>
      <c r="AT304" s="431"/>
    </row>
    <row r="305" spans="2:46">
      <c r="B305" s="350"/>
      <c r="C305" s="350"/>
      <c r="D305" s="350"/>
      <c r="E305" s="350"/>
      <c r="L305" s="350"/>
      <c r="M305" s="350"/>
      <c r="N305" s="350"/>
      <c r="O305" s="350"/>
      <c r="P305" s="350"/>
      <c r="Q305" s="350"/>
      <c r="R305" s="350"/>
      <c r="S305" s="350"/>
      <c r="T305" s="350"/>
      <c r="U305" s="350"/>
      <c r="V305" s="350"/>
      <c r="W305" s="350"/>
      <c r="X305" s="350"/>
      <c r="Y305" s="2255"/>
      <c r="AB305" s="2525"/>
      <c r="AC305" s="1276"/>
      <c r="AD305" s="1276"/>
      <c r="AE305" s="1179"/>
      <c r="AF305" s="1179"/>
      <c r="AG305" s="1179"/>
      <c r="AH305" s="1179"/>
      <c r="AI305" s="1179"/>
      <c r="AJ305" s="1179"/>
      <c r="AK305" s="1179"/>
      <c r="AL305" s="1179"/>
      <c r="AM305" s="1179"/>
      <c r="AN305" s="1179"/>
      <c r="AO305" s="1179"/>
      <c r="AP305" s="1179"/>
      <c r="AQ305" s="1179"/>
      <c r="AR305" s="1179"/>
      <c r="AS305" s="1504"/>
      <c r="AT305" s="431"/>
    </row>
    <row r="306" spans="2:46">
      <c r="AB306" s="8041" t="s">
        <v>2550</v>
      </c>
      <c r="AC306" s="8042"/>
      <c r="AD306" s="8042"/>
      <c r="AE306" s="8042"/>
      <c r="AF306" s="8042"/>
      <c r="AG306" s="8042"/>
      <c r="AH306" s="8042"/>
      <c r="AI306" s="8042"/>
      <c r="AJ306" s="8042"/>
      <c r="AK306" s="8042"/>
      <c r="AL306" s="8042"/>
      <c r="AM306" s="8042"/>
      <c r="AN306" s="8042"/>
      <c r="AO306" s="8042"/>
      <c r="AP306" s="8042"/>
      <c r="AQ306" s="8042"/>
      <c r="AR306" s="8042"/>
      <c r="AS306" s="8043"/>
      <c r="AT306" s="431"/>
    </row>
    <row r="307" spans="2:46">
      <c r="AB307" s="8041"/>
      <c r="AC307" s="8042"/>
      <c r="AD307" s="8042"/>
      <c r="AE307" s="8042"/>
      <c r="AF307" s="8042"/>
      <c r="AG307" s="8042"/>
      <c r="AH307" s="8042"/>
      <c r="AI307" s="8042"/>
      <c r="AJ307" s="8042"/>
      <c r="AK307" s="8042"/>
      <c r="AL307" s="8042"/>
      <c r="AM307" s="8042"/>
      <c r="AN307" s="8042"/>
      <c r="AO307" s="8042"/>
      <c r="AP307" s="8042"/>
      <c r="AQ307" s="8042"/>
      <c r="AR307" s="8042"/>
      <c r="AS307" s="8043"/>
      <c r="AT307" s="431"/>
    </row>
    <row r="308" spans="2:46">
      <c r="AB308" s="8041"/>
      <c r="AC308" s="8042"/>
      <c r="AD308" s="8042"/>
      <c r="AE308" s="8042"/>
      <c r="AF308" s="8042"/>
      <c r="AG308" s="8042"/>
      <c r="AH308" s="8042"/>
      <c r="AI308" s="8042"/>
      <c r="AJ308" s="8042"/>
      <c r="AK308" s="8042"/>
      <c r="AL308" s="8042"/>
      <c r="AM308" s="8042"/>
      <c r="AN308" s="8042"/>
      <c r="AO308" s="8042"/>
      <c r="AP308" s="8042"/>
      <c r="AQ308" s="8042"/>
      <c r="AR308" s="8042"/>
      <c r="AS308" s="8043"/>
      <c r="AT308" s="431"/>
    </row>
    <row r="309" spans="2:46">
      <c r="AB309" s="8041"/>
      <c r="AC309" s="8042"/>
      <c r="AD309" s="8042"/>
      <c r="AE309" s="8042"/>
      <c r="AF309" s="8042"/>
      <c r="AG309" s="8042"/>
      <c r="AH309" s="8042"/>
      <c r="AI309" s="8042"/>
      <c r="AJ309" s="8042"/>
      <c r="AK309" s="8042"/>
      <c r="AL309" s="8042"/>
      <c r="AM309" s="8042"/>
      <c r="AN309" s="8042"/>
      <c r="AO309" s="8042"/>
      <c r="AP309" s="8042"/>
      <c r="AQ309" s="8042"/>
      <c r="AR309" s="8042"/>
      <c r="AS309" s="8043"/>
      <c r="AT309" s="431"/>
    </row>
    <row r="310" spans="2:46">
      <c r="AA310" s="613"/>
      <c r="AB310" s="8041"/>
      <c r="AC310" s="8042"/>
      <c r="AD310" s="8042"/>
      <c r="AE310" s="8042"/>
      <c r="AF310" s="8042"/>
      <c r="AG310" s="8042"/>
      <c r="AH310" s="8042"/>
      <c r="AI310" s="8042"/>
      <c r="AJ310" s="8042"/>
      <c r="AK310" s="8042"/>
      <c r="AL310" s="8042"/>
      <c r="AM310" s="8042"/>
      <c r="AN310" s="8042"/>
      <c r="AO310" s="8042"/>
      <c r="AP310" s="8042"/>
      <c r="AQ310" s="8042"/>
      <c r="AR310" s="8042"/>
      <c r="AS310" s="8043"/>
      <c r="AT310" s="431"/>
    </row>
    <row r="311" spans="2:46">
      <c r="AB311" s="8041"/>
      <c r="AC311" s="8042"/>
      <c r="AD311" s="8042"/>
      <c r="AE311" s="8042"/>
      <c r="AF311" s="8042"/>
      <c r="AG311" s="8042"/>
      <c r="AH311" s="8042"/>
      <c r="AI311" s="8042"/>
      <c r="AJ311" s="8042"/>
      <c r="AK311" s="8042"/>
      <c r="AL311" s="8042"/>
      <c r="AM311" s="8042"/>
      <c r="AN311" s="8042"/>
      <c r="AO311" s="8042"/>
      <c r="AP311" s="8042"/>
      <c r="AQ311" s="8042"/>
      <c r="AR311" s="8042"/>
      <c r="AS311" s="8043"/>
      <c r="AT311" s="431"/>
    </row>
    <row r="312" spans="2:46">
      <c r="AB312" s="8041"/>
      <c r="AC312" s="8042"/>
      <c r="AD312" s="8042"/>
      <c r="AE312" s="8042"/>
      <c r="AF312" s="8042"/>
      <c r="AG312" s="8042"/>
      <c r="AH312" s="8042"/>
      <c r="AI312" s="8042"/>
      <c r="AJ312" s="8042"/>
      <c r="AK312" s="8042"/>
      <c r="AL312" s="8042"/>
      <c r="AM312" s="8042"/>
      <c r="AN312" s="8042"/>
      <c r="AO312" s="8042"/>
      <c r="AP312" s="8042"/>
      <c r="AQ312" s="8042"/>
      <c r="AR312" s="8042"/>
      <c r="AS312" s="8043"/>
      <c r="AT312" s="431"/>
    </row>
    <row r="313" spans="2:46">
      <c r="AB313" s="8041"/>
      <c r="AC313" s="8042"/>
      <c r="AD313" s="8042"/>
      <c r="AE313" s="8042"/>
      <c r="AF313" s="8042"/>
      <c r="AG313" s="8042"/>
      <c r="AH313" s="8042"/>
      <c r="AI313" s="8042"/>
      <c r="AJ313" s="8042"/>
      <c r="AK313" s="8042"/>
      <c r="AL313" s="8042"/>
      <c r="AM313" s="8042"/>
      <c r="AN313" s="8042"/>
      <c r="AO313" s="8042"/>
      <c r="AP313" s="8042"/>
      <c r="AQ313" s="8042"/>
      <c r="AR313" s="8042"/>
      <c r="AS313" s="8043"/>
      <c r="AT313" s="431"/>
    </row>
    <row r="314" spans="2:46">
      <c r="AB314" s="8041"/>
      <c r="AC314" s="8042"/>
      <c r="AD314" s="8042"/>
      <c r="AE314" s="8042"/>
      <c r="AF314" s="8042"/>
      <c r="AG314" s="8042"/>
      <c r="AH314" s="8042"/>
      <c r="AI314" s="8042"/>
      <c r="AJ314" s="8042"/>
      <c r="AK314" s="8042"/>
      <c r="AL314" s="8042"/>
      <c r="AM314" s="8042"/>
      <c r="AN314" s="8042"/>
      <c r="AO314" s="8042"/>
      <c r="AP314" s="8042"/>
      <c r="AQ314" s="8042"/>
      <c r="AR314" s="8042"/>
      <c r="AS314" s="8043"/>
      <c r="AT314" s="431"/>
    </row>
    <row r="315" spans="2:46">
      <c r="AB315" s="8041"/>
      <c r="AC315" s="8042"/>
      <c r="AD315" s="8042"/>
      <c r="AE315" s="8042"/>
      <c r="AF315" s="8042"/>
      <c r="AG315" s="8042"/>
      <c r="AH315" s="8042"/>
      <c r="AI315" s="8042"/>
      <c r="AJ315" s="8042"/>
      <c r="AK315" s="8042"/>
      <c r="AL315" s="8042"/>
      <c r="AM315" s="8042"/>
      <c r="AN315" s="8042"/>
      <c r="AO315" s="8042"/>
      <c r="AP315" s="8042"/>
      <c r="AQ315" s="8042"/>
      <c r="AR315" s="8042"/>
      <c r="AS315" s="8043"/>
      <c r="AT315" s="431"/>
    </row>
    <row r="316" spans="2:46">
      <c r="AB316" s="8041"/>
      <c r="AC316" s="8042"/>
      <c r="AD316" s="8042"/>
      <c r="AE316" s="8042"/>
      <c r="AF316" s="8042"/>
      <c r="AG316" s="8042"/>
      <c r="AH316" s="8042"/>
      <c r="AI316" s="8042"/>
      <c r="AJ316" s="8042"/>
      <c r="AK316" s="8042"/>
      <c r="AL316" s="8042"/>
      <c r="AM316" s="8042"/>
      <c r="AN316" s="8042"/>
      <c r="AO316" s="8042"/>
      <c r="AP316" s="8042"/>
      <c r="AQ316" s="8042"/>
      <c r="AR316" s="8042"/>
      <c r="AS316" s="8043"/>
      <c r="AT316" s="431"/>
    </row>
    <row r="317" spans="2:46">
      <c r="AB317" s="8041"/>
      <c r="AC317" s="8042"/>
      <c r="AD317" s="8042"/>
      <c r="AE317" s="8042"/>
      <c r="AF317" s="8042"/>
      <c r="AG317" s="8042"/>
      <c r="AH317" s="8042"/>
      <c r="AI317" s="8042"/>
      <c r="AJ317" s="8042"/>
      <c r="AK317" s="8042"/>
      <c r="AL317" s="8042"/>
      <c r="AM317" s="8042"/>
      <c r="AN317" s="8042"/>
      <c r="AO317" s="8042"/>
      <c r="AP317" s="8042"/>
      <c r="AQ317" s="8042"/>
      <c r="AR317" s="8042"/>
      <c r="AS317" s="8043"/>
      <c r="AT317" s="431"/>
    </row>
    <row r="318" spans="2:46">
      <c r="AB318" s="3330" t="s">
        <v>2551</v>
      </c>
      <c r="AC318" s="3328"/>
      <c r="AD318" s="3328"/>
      <c r="AE318" s="3328"/>
      <c r="AF318" s="3328"/>
      <c r="AG318" s="3328"/>
      <c r="AH318" s="3328"/>
      <c r="AI318" s="3328"/>
      <c r="AJ318" s="3328"/>
      <c r="AK318" s="3328"/>
      <c r="AL318" s="3328"/>
      <c r="AM318" s="3328"/>
      <c r="AN318" s="3328"/>
      <c r="AO318" s="3328"/>
      <c r="AP318" s="3328"/>
      <c r="AQ318" s="3328"/>
      <c r="AR318" s="3328"/>
      <c r="AS318" s="3329"/>
      <c r="AT318" s="431"/>
    </row>
    <row r="319" spans="2:46" ht="13.5" thickBot="1">
      <c r="AB319" s="3331"/>
      <c r="AC319" s="1704"/>
      <c r="AD319" s="1704"/>
      <c r="AE319" s="1280"/>
      <c r="AF319" s="1280"/>
      <c r="AG319" s="1280"/>
      <c r="AH319" s="1280"/>
      <c r="AI319" s="1280"/>
      <c r="AJ319" s="1280"/>
      <c r="AK319" s="1280"/>
      <c r="AL319" s="1280"/>
      <c r="AM319" s="1280"/>
      <c r="AN319" s="1280"/>
      <c r="AO319" s="1280"/>
      <c r="AP319" s="1280"/>
      <c r="AQ319" s="1280"/>
      <c r="AR319" s="1280"/>
      <c r="AS319" s="1510"/>
      <c r="AT319" s="431"/>
    </row>
    <row r="320" spans="2:46">
      <c r="AA320" s="613"/>
      <c r="AB320" s="431"/>
      <c r="AC320" s="431"/>
      <c r="AD320" s="431"/>
      <c r="AE320" s="431"/>
      <c r="AF320" s="431"/>
      <c r="AG320" s="431"/>
      <c r="AH320" s="431"/>
      <c r="AI320" s="431"/>
      <c r="AJ320" s="431"/>
      <c r="AK320" s="431"/>
      <c r="AL320" s="431"/>
      <c r="AM320" s="431"/>
      <c r="AN320" s="431"/>
      <c r="AO320" s="431"/>
      <c r="AP320" s="431"/>
      <c r="AQ320" s="431"/>
      <c r="AR320" s="431"/>
      <c r="AS320" s="431"/>
      <c r="AT320" s="431"/>
    </row>
    <row r="322" spans="27:42" ht="13.5" thickBot="1"/>
    <row r="323" spans="27:42">
      <c r="AH323" s="8354" t="str">
        <f>"Enter the "&amp;TaxYear-1&amp;" tax you figured above unless the AGI on your"</f>
        <v>Enter the 2020 tax you figured above unless the AGI on your</v>
      </c>
      <c r="AI323" s="8355"/>
      <c r="AJ323" s="8355"/>
      <c r="AK323" s="8355"/>
      <c r="AL323" s="8355"/>
      <c r="AM323" s="8355"/>
      <c r="AN323" s="8355"/>
      <c r="AO323" s="8355"/>
      <c r="AP323" s="8356"/>
    </row>
    <row r="324" spans="27:42">
      <c r="AH324" s="8348"/>
      <c r="AI324" s="8349"/>
      <c r="AJ324" s="8349"/>
      <c r="AK324" s="8349"/>
      <c r="AL324" s="8349"/>
      <c r="AM324" s="8349"/>
      <c r="AN324" s="8349"/>
      <c r="AO324" s="8349"/>
      <c r="AP324" s="8350"/>
    </row>
    <row r="325" spans="27:42">
      <c r="AH325" s="3980" t="str">
        <f>TaxYear-1&amp;" return is more than "&amp;TEXT(AA249,"$0,000")&amp;" ("&amp;TEXT(AE249,"$0,000")&amp;" if married filing"</f>
        <v>2020 return is more than $0,000 ($0,000 if married filing</v>
      </c>
      <c r="AI325" s="4884"/>
      <c r="AJ325" s="4884"/>
      <c r="AK325" s="4884"/>
      <c r="AL325" s="4884"/>
      <c r="AM325" s="4884"/>
      <c r="AN325" s="4884"/>
      <c r="AO325" s="4528"/>
      <c r="AP325" s="4885"/>
    </row>
    <row r="326" spans="27:42">
      <c r="AH326" s="3980" t="str">
        <f>"separately for "&amp;TaxYear&amp;"). If the AGI shown on your "&amp;TaxYear-1&amp;" tax return is"</f>
        <v>separately for 2021). If the AGI shown on your 2020 tax return is</v>
      </c>
      <c r="AI326" s="4884"/>
      <c r="AJ326" s="4884"/>
      <c r="AK326" s="4884"/>
      <c r="AL326" s="4884"/>
      <c r="AM326" s="4884"/>
      <c r="AN326" s="4884"/>
      <c r="AO326" s="4528"/>
      <c r="AP326" s="4885"/>
    </row>
    <row r="327" spans="27:42">
      <c r="AH327" s="8344" t="str">
        <f>"more than "&amp;TEXT(AA249,"$0,000")&amp;" ("&amp;TEXT(AE249,"$0,000")&amp;" if married filing separately), enter"</f>
        <v>more than $0,000 ($0,000 if married filing separately), enter</v>
      </c>
      <c r="AI327" s="8345"/>
      <c r="AJ327" s="8345"/>
      <c r="AK327" s="8345"/>
      <c r="AL327" s="8345"/>
      <c r="AM327" s="8345"/>
      <c r="AN327" s="8345"/>
      <c r="AO327" s="8357"/>
      <c r="AP327" s="8358"/>
    </row>
    <row r="328" spans="27:42">
      <c r="AH328" s="8344" t="s">
        <v>4432</v>
      </c>
      <c r="AI328" s="8345"/>
      <c r="AJ328" s="8345"/>
      <c r="AK328" s="8345"/>
      <c r="AL328" s="8345"/>
      <c r="AM328" s="8345"/>
      <c r="AN328" s="8345"/>
      <c r="AO328" s="8359"/>
      <c r="AP328" s="8360"/>
    </row>
    <row r="329" spans="27:42">
      <c r="AH329" s="8344" t="str">
        <f>"If you are filing a joint return for "&amp;TaxYear&amp;", but you didn't file a joint"</f>
        <v>If you are filing a joint return for 2021, but you didn't file a joint</v>
      </c>
      <c r="AI329" s="8345"/>
      <c r="AJ329" s="8345"/>
      <c r="AK329" s="8345"/>
      <c r="AL329" s="8345"/>
      <c r="AM329" s="8345"/>
      <c r="AN329" s="8345"/>
      <c r="AO329" s="1145"/>
      <c r="AP329" s="1504"/>
    </row>
    <row r="330" spans="27:42" ht="12.75" customHeight="1">
      <c r="AA330" s="613"/>
      <c r="AH330" s="8344" t="str">
        <f>"return for "&amp;TaxYear-1&amp;", add your "&amp;TaxYear-1&amp;" tax (as figured earlier) to your spouse's "&amp;TaxYear</f>
        <v>return for 2020, add your 2020 tax (as figured earlier) to your spouse's 2021</v>
      </c>
      <c r="AI330" s="8345"/>
      <c r="AJ330" s="8345"/>
      <c r="AK330" s="8345"/>
      <c r="AL330" s="8345"/>
      <c r="AM330" s="8345"/>
      <c r="AN330" s="8345"/>
      <c r="AO330" s="7524"/>
      <c r="AP330" s="8361"/>
    </row>
    <row r="331" spans="27:42" ht="12.6" customHeight="1">
      <c r="AH331" s="5771"/>
      <c r="AI331" s="5772"/>
      <c r="AJ331" s="5772"/>
      <c r="AK331" s="5772"/>
      <c r="AL331" s="5772"/>
      <c r="AM331" s="5772"/>
      <c r="AN331" s="5772"/>
      <c r="AO331" s="5770"/>
      <c r="AP331" s="5773"/>
    </row>
    <row r="332" spans="27:42">
      <c r="AH332" s="8344" t="str">
        <f>"line 8. If you filed a joint return for "&amp;TaxYear&amp;" but you aren't filing a joint"</f>
        <v>line 8. If you filed a joint return for 2021 but you aren't filing a joint</v>
      </c>
      <c r="AI332" s="8345"/>
      <c r="AJ332" s="8345"/>
      <c r="AK332" s="8345"/>
      <c r="AL332" s="8345"/>
      <c r="AM332" s="8345"/>
      <c r="AN332" s="8345"/>
      <c r="AO332" s="7524"/>
      <c r="AP332" s="8361"/>
    </row>
    <row r="333" spans="27:42">
      <c r="AH333" s="8344" t="s">
        <v>4431</v>
      </c>
      <c r="AI333" s="8345"/>
      <c r="AJ333" s="8345"/>
      <c r="AK333" s="8345"/>
      <c r="AL333" s="8345"/>
      <c r="AM333" s="8345"/>
      <c r="AN333" s="8345"/>
      <c r="AO333" s="8346"/>
      <c r="AP333" s="8347"/>
    </row>
    <row r="334" spans="27:42">
      <c r="AH334" s="8344" t="str">
        <f>"line 8. If you filed a joint return for "&amp;TaxYear-1&amp;" but you aren't filing a joint"</f>
        <v>line 8. If you filed a joint return for 2020 but you aren't filing a joint</v>
      </c>
      <c r="AI334" s="8345"/>
      <c r="AJ334" s="8345"/>
      <c r="AK334" s="8345"/>
      <c r="AL334" s="8345"/>
      <c r="AM334" s="8345"/>
      <c r="AN334" s="8345"/>
      <c r="AO334" s="7524"/>
      <c r="AP334" s="8361"/>
    </row>
    <row r="335" spans="27:42">
      <c r="AH335" s="8344" t="str">
        <f>"return for "&amp;TaxYear&amp;", see Pub. 505, chapter 4, General Rule, to figure"</f>
        <v>return for 2021, see Pub. 505, chapter 4, General Rule, to figure</v>
      </c>
      <c r="AI335" s="8345"/>
      <c r="AJ335" s="8345"/>
      <c r="AK335" s="8345"/>
      <c r="AL335" s="8345"/>
      <c r="AM335" s="8345"/>
      <c r="AN335" s="8345"/>
      <c r="AO335" s="8346"/>
      <c r="AP335" s="8347"/>
    </row>
    <row r="336" spans="27:42">
      <c r="AH336" s="8344"/>
      <c r="AI336" s="8345"/>
      <c r="AJ336" s="8345"/>
      <c r="AK336" s="8345"/>
      <c r="AL336" s="8345"/>
      <c r="AM336" s="8345"/>
      <c r="AN336" s="8345"/>
      <c r="AO336" s="1145"/>
      <c r="AP336" s="1504"/>
    </row>
    <row r="337" spans="34:42">
      <c r="AH337" s="8348" t="str">
        <f>"your share of the "&amp;TaxYear-1&amp;" tax to enter on line 8. If you didn't file a"</f>
        <v>your share of the 2020 tax to enter on line 8. If you didn't file a</v>
      </c>
      <c r="AI337" s="8349"/>
      <c r="AJ337" s="8349"/>
      <c r="AK337" s="8349"/>
      <c r="AL337" s="8349"/>
      <c r="AM337" s="8349"/>
      <c r="AN337" s="8349"/>
      <c r="AO337" s="8349"/>
      <c r="AP337" s="8350"/>
    </row>
    <row r="338" spans="34:42">
      <c r="AH338" s="8348" t="str">
        <f>"turn for "&amp;TaxYear-1&amp;" or your "&amp;TaxYear-1&amp;" tax year was less than 12 months, don't"</f>
        <v>turn for 2020 or your 2020 tax year was less than 12 months, don't</v>
      </c>
      <c r="AI338" s="8349"/>
      <c r="AJ338" s="8349"/>
      <c r="AK338" s="8349"/>
      <c r="AL338" s="8349"/>
      <c r="AM338" s="8349"/>
      <c r="AN338" s="8349"/>
      <c r="AO338" s="8349"/>
      <c r="AP338" s="8350"/>
    </row>
    <row r="339" spans="34:42">
      <c r="AH339" s="8344" t="s">
        <v>4430</v>
      </c>
      <c r="AI339" s="8345"/>
      <c r="AJ339" s="8345"/>
      <c r="AK339" s="8345"/>
      <c r="AL339" s="8345"/>
      <c r="AM339" s="8345"/>
      <c r="AN339" s="8345"/>
      <c r="AO339" s="8346"/>
      <c r="AP339" s="8347"/>
    </row>
    <row r="340" spans="34:42" ht="13.5" thickBot="1">
      <c r="AH340" s="8351" t="s">
        <v>2031</v>
      </c>
      <c r="AI340" s="6888"/>
      <c r="AJ340" s="6888"/>
      <c r="AK340" s="6888"/>
      <c r="AL340" s="6888"/>
      <c r="AM340" s="6888"/>
      <c r="AN340" s="6888"/>
      <c r="AO340" s="8352"/>
      <c r="AP340" s="8353"/>
    </row>
    <row r="371" spans="32:39">
      <c r="AF371" s="613"/>
      <c r="AG371" s="613"/>
      <c r="AH371" s="613"/>
      <c r="AI371" s="613"/>
      <c r="AJ371" s="613"/>
      <c r="AM371" s="613"/>
    </row>
    <row r="372" spans="32:39">
      <c r="AK372" s="613"/>
      <c r="AL372" s="613"/>
    </row>
    <row r="381" spans="32:39">
      <c r="AF381" s="613"/>
      <c r="AG381" s="613"/>
      <c r="AH381" s="613"/>
      <c r="AI381" s="613"/>
      <c r="AJ381" s="613"/>
      <c r="AM381" s="613"/>
    </row>
    <row r="382" spans="32:39">
      <c r="AK382" s="613"/>
      <c r="AL382" s="613"/>
    </row>
    <row r="391" spans="32:39">
      <c r="AF391" s="613"/>
      <c r="AG391" s="613"/>
      <c r="AH391" s="613"/>
      <c r="AI391" s="613"/>
      <c r="AJ391" s="613"/>
      <c r="AM391" s="613"/>
    </row>
    <row r="392" spans="32:39">
      <c r="AK392" s="613"/>
      <c r="AL392" s="613"/>
    </row>
  </sheetData>
  <sheetProtection sheet="1" objects="1" scenarios="1"/>
  <mergeCells count="437">
    <mergeCell ref="AH335:AP335"/>
    <mergeCell ref="AH336:AN336"/>
    <mergeCell ref="AH337:AP337"/>
    <mergeCell ref="AH338:AP338"/>
    <mergeCell ref="AH339:AP339"/>
    <mergeCell ref="AH340:AP340"/>
    <mergeCell ref="AH323:AP323"/>
    <mergeCell ref="AH324:AP324"/>
    <mergeCell ref="AH327:AP327"/>
    <mergeCell ref="AH328:AP328"/>
    <mergeCell ref="AH329:AN329"/>
    <mergeCell ref="AH330:AP330"/>
    <mergeCell ref="AH332:AP332"/>
    <mergeCell ref="AH333:AP333"/>
    <mergeCell ref="AH334:AP334"/>
    <mergeCell ref="AP164:AQ164"/>
    <mergeCell ref="AP165:AQ165"/>
    <mergeCell ref="AP281:AQ281"/>
    <mergeCell ref="AP282:AQ282"/>
    <mergeCell ref="P113:Q113"/>
    <mergeCell ref="P144:Q144"/>
    <mergeCell ref="V154:W154"/>
    <mergeCell ref="V145:W145"/>
    <mergeCell ref="V128:W128"/>
    <mergeCell ref="T127:U127"/>
    <mergeCell ref="V122:W122"/>
    <mergeCell ref="V150:W150"/>
    <mergeCell ref="V142:W142"/>
    <mergeCell ref="V146:W146"/>
    <mergeCell ref="V147:W147"/>
    <mergeCell ref="T142:U142"/>
    <mergeCell ref="T145:U145"/>
    <mergeCell ref="T146:U146"/>
    <mergeCell ref="R142:S142"/>
    <mergeCell ref="P151:Q151"/>
    <mergeCell ref="P128:Q128"/>
    <mergeCell ref="V228:W228"/>
    <mergeCell ref="V185:W185"/>
    <mergeCell ref="AL281:AM281"/>
    <mergeCell ref="V219:W219"/>
    <mergeCell ref="V218:W218"/>
    <mergeCell ref="T226:U226"/>
    <mergeCell ref="R226:S226"/>
    <mergeCell ref="V222:W222"/>
    <mergeCell ref="V226:W226"/>
    <mergeCell ref="P185:Q185"/>
    <mergeCell ref="R185:S185"/>
    <mergeCell ref="R198:S198"/>
    <mergeCell ref="P208:Q208"/>
    <mergeCell ref="P222:Q222"/>
    <mergeCell ref="R222:S222"/>
    <mergeCell ref="T222:U222"/>
    <mergeCell ref="T209:U209"/>
    <mergeCell ref="P226:Q226"/>
    <mergeCell ref="AN281:AO281"/>
    <mergeCell ref="V141:W141"/>
    <mergeCell ref="V161:W161"/>
    <mergeCell ref="T147:U147"/>
    <mergeCell ref="V151:W151"/>
    <mergeCell ref="AJ282:AK282"/>
    <mergeCell ref="T165:U165"/>
    <mergeCell ref="V152:W152"/>
    <mergeCell ref="T151:U151"/>
    <mergeCell ref="V164:W164"/>
    <mergeCell ref="V165:W165"/>
    <mergeCell ref="T150:U150"/>
    <mergeCell ref="V144:W144"/>
    <mergeCell ref="AJ281:AK281"/>
    <mergeCell ref="T152:U152"/>
    <mergeCell ref="T161:U161"/>
    <mergeCell ref="T157:U157"/>
    <mergeCell ref="T154:U154"/>
    <mergeCell ref="T155:U155"/>
    <mergeCell ref="AL282:AM282"/>
    <mergeCell ref="V186:W186"/>
    <mergeCell ref="AN282:AO282"/>
    <mergeCell ref="T206:U206"/>
    <mergeCell ref="Z164:AA165"/>
    <mergeCell ref="V138:W138"/>
    <mergeCell ref="T141:U141"/>
    <mergeCell ref="V137:W137"/>
    <mergeCell ref="T138:U138"/>
    <mergeCell ref="T144:U144"/>
    <mergeCell ref="V135:W135"/>
    <mergeCell ref="V132:W132"/>
    <mergeCell ref="T121:U121"/>
    <mergeCell ref="T132:U132"/>
    <mergeCell ref="T137:U137"/>
    <mergeCell ref="V123:W123"/>
    <mergeCell ref="V133:W133"/>
    <mergeCell ref="V127:W127"/>
    <mergeCell ref="V136:W136"/>
    <mergeCell ref="T136:U136"/>
    <mergeCell ref="V129:W129"/>
    <mergeCell ref="T128:U128"/>
    <mergeCell ref="T123:U123"/>
    <mergeCell ref="T133:U133"/>
    <mergeCell ref="T135:U135"/>
    <mergeCell ref="AL164:AM164"/>
    <mergeCell ref="AL165:AM165"/>
    <mergeCell ref="T168:U168"/>
    <mergeCell ref="T169:U169"/>
    <mergeCell ref="AN164:AO164"/>
    <mergeCell ref="AN165:AO165"/>
    <mergeCell ref="V184:W184"/>
    <mergeCell ref="T183:U183"/>
    <mergeCell ref="T182:U182"/>
    <mergeCell ref="T178:U178"/>
    <mergeCell ref="T180:U180"/>
    <mergeCell ref="V179:W179"/>
    <mergeCell ref="V182:W182"/>
    <mergeCell ref="V183:W183"/>
    <mergeCell ref="T164:U164"/>
    <mergeCell ref="V180:W180"/>
    <mergeCell ref="V181:W181"/>
    <mergeCell ref="V168:W168"/>
    <mergeCell ref="V169:W169"/>
    <mergeCell ref="T167:U167"/>
    <mergeCell ref="V178:W178"/>
    <mergeCell ref="T179:U179"/>
    <mergeCell ref="T170:U170"/>
    <mergeCell ref="T166:U166"/>
    <mergeCell ref="P155:Q155"/>
    <mergeCell ref="P165:Q165"/>
    <mergeCell ref="R155:S155"/>
    <mergeCell ref="P181:Q181"/>
    <mergeCell ref="R181:S181"/>
    <mergeCell ref="T181:U181"/>
    <mergeCell ref="P147:Q147"/>
    <mergeCell ref="R150:S150"/>
    <mergeCell ref="AJ164:AK164"/>
    <mergeCell ref="R157:S157"/>
    <mergeCell ref="R160:S160"/>
    <mergeCell ref="R152:S152"/>
    <mergeCell ref="R147:S147"/>
    <mergeCell ref="P157:Q157"/>
    <mergeCell ref="R154:S154"/>
    <mergeCell ref="R164:S164"/>
    <mergeCell ref="R151:S151"/>
    <mergeCell ref="P152:Q152"/>
    <mergeCell ref="V163:W163"/>
    <mergeCell ref="P180:Q180"/>
    <mergeCell ref="R180:S180"/>
    <mergeCell ref="R169:S169"/>
    <mergeCell ref="R167:S167"/>
    <mergeCell ref="AJ165:AK165"/>
    <mergeCell ref="V167:W167"/>
    <mergeCell ref="P177:W177"/>
    <mergeCell ref="V166:W166"/>
    <mergeCell ref="V170:W170"/>
    <mergeCell ref="R186:S186"/>
    <mergeCell ref="K188:N188"/>
    <mergeCell ref="L215:N215"/>
    <mergeCell ref="P216:Q216"/>
    <mergeCell ref="R216:S216"/>
    <mergeCell ref="T216:U216"/>
    <mergeCell ref="R165:S165"/>
    <mergeCell ref="P160:Q160"/>
    <mergeCell ref="P217:Q217"/>
    <mergeCell ref="R217:S217"/>
    <mergeCell ref="P182:Q182"/>
    <mergeCell ref="R182:S182"/>
    <mergeCell ref="T185:U185"/>
    <mergeCell ref="R183:S183"/>
    <mergeCell ref="P183:Q183"/>
    <mergeCell ref="P186:Q186"/>
    <mergeCell ref="T186:U186"/>
    <mergeCell ref="P192:Q192"/>
    <mergeCell ref="P164:Q164"/>
    <mergeCell ref="P161:Q161"/>
    <mergeCell ref="R161:S161"/>
    <mergeCell ref="T163:U163"/>
    <mergeCell ref="P184:Q184"/>
    <mergeCell ref="R192:S192"/>
    <mergeCell ref="P206:Q206"/>
    <mergeCell ref="K219:N219"/>
    <mergeCell ref="T219:U219"/>
    <mergeCell ref="K218:N218"/>
    <mergeCell ref="T199:U199"/>
    <mergeCell ref="T198:U198"/>
    <mergeCell ref="T202:U202"/>
    <mergeCell ref="R189:S189"/>
    <mergeCell ref="R199:S199"/>
    <mergeCell ref="P189:Q189"/>
    <mergeCell ref="P202:Q202"/>
    <mergeCell ref="R202:S202"/>
    <mergeCell ref="K198:N198"/>
    <mergeCell ref="K208:N208"/>
    <mergeCell ref="P212:Q212"/>
    <mergeCell ref="R212:S212"/>
    <mergeCell ref="T212:U212"/>
    <mergeCell ref="T208:U208"/>
    <mergeCell ref="R208:S208"/>
    <mergeCell ref="R196:S196"/>
    <mergeCell ref="P218:Q218"/>
    <mergeCell ref="R218:S218"/>
    <mergeCell ref="T218:U218"/>
    <mergeCell ref="R206:S206"/>
    <mergeCell ref="P209:Q209"/>
    <mergeCell ref="P122:Q122"/>
    <mergeCell ref="R122:S122"/>
    <mergeCell ref="T112:U112"/>
    <mergeCell ref="V116:W116"/>
    <mergeCell ref="P117:Q117"/>
    <mergeCell ref="P118:Q118"/>
    <mergeCell ref="P121:Q121"/>
    <mergeCell ref="P112:Q112"/>
    <mergeCell ref="T113:U113"/>
    <mergeCell ref="V113:W113"/>
    <mergeCell ref="V121:W121"/>
    <mergeCell ref="R146:S146"/>
    <mergeCell ref="R144:S144"/>
    <mergeCell ref="P142:Q142"/>
    <mergeCell ref="P146:Q146"/>
    <mergeCell ref="B177:N179"/>
    <mergeCell ref="P179:Q179"/>
    <mergeCell ref="R179:S179"/>
    <mergeCell ref="P170:Q170"/>
    <mergeCell ref="R170:S170"/>
    <mergeCell ref="P166:Q166"/>
    <mergeCell ref="R166:S166"/>
    <mergeCell ref="P167:Q167"/>
    <mergeCell ref="P178:Q178"/>
    <mergeCell ref="R178:S178"/>
    <mergeCell ref="P168:Q168"/>
    <mergeCell ref="P169:Q169"/>
    <mergeCell ref="R168:S168"/>
    <mergeCell ref="P145:Q145"/>
    <mergeCell ref="R145:S145"/>
    <mergeCell ref="D148:W149"/>
    <mergeCell ref="V155:W155"/>
    <mergeCell ref="V160:W160"/>
    <mergeCell ref="V157:W157"/>
    <mergeCell ref="T160:U160"/>
    <mergeCell ref="L78:N78"/>
    <mergeCell ref="V72:W72"/>
    <mergeCell ref="B71:N73"/>
    <mergeCell ref="T129:U129"/>
    <mergeCell ref="V91:W91"/>
    <mergeCell ref="V112:W112"/>
    <mergeCell ref="V88:W88"/>
    <mergeCell ref="T88:U88"/>
    <mergeCell ref="T89:U89"/>
    <mergeCell ref="R88:S88"/>
    <mergeCell ref="V89:W89"/>
    <mergeCell ref="P93:Q93"/>
    <mergeCell ref="P83:Q83"/>
    <mergeCell ref="R83:S83"/>
    <mergeCell ref="V117:W117"/>
    <mergeCell ref="V118:W118"/>
    <mergeCell ref="P129:Q129"/>
    <mergeCell ref="R129:S129"/>
    <mergeCell ref="T118:U118"/>
    <mergeCell ref="T101:U101"/>
    <mergeCell ref="P126:Q126"/>
    <mergeCell ref="T74:U74"/>
    <mergeCell ref="P101:Q101"/>
    <mergeCell ref="P124:Q124"/>
    <mergeCell ref="P137:Q137"/>
    <mergeCell ref="R112:S112"/>
    <mergeCell ref="P127:Q127"/>
    <mergeCell ref="P141:Q141"/>
    <mergeCell ref="R141:S141"/>
    <mergeCell ref="P138:Q138"/>
    <mergeCell ref="R138:S138"/>
    <mergeCell ref="R117:S117"/>
    <mergeCell ref="R118:S118"/>
    <mergeCell ref="P136:Q136"/>
    <mergeCell ref="R136:S136"/>
    <mergeCell ref="P116:Q116"/>
    <mergeCell ref="R116:S116"/>
    <mergeCell ref="P132:Q132"/>
    <mergeCell ref="R128:S128"/>
    <mergeCell ref="R113:S113"/>
    <mergeCell ref="P123:Q123"/>
    <mergeCell ref="P135:Q135"/>
    <mergeCell ref="P133:Q133"/>
    <mergeCell ref="R133:S133"/>
    <mergeCell ref="P134:Q134"/>
    <mergeCell ref="R137:S137"/>
    <mergeCell ref="R127:S127"/>
    <mergeCell ref="R132:S132"/>
    <mergeCell ref="T72:U72"/>
    <mergeCell ref="F236:K236"/>
    <mergeCell ref="F238:K238"/>
    <mergeCell ref="L195:N195"/>
    <mergeCell ref="P197:Q197"/>
    <mergeCell ref="R197:S197"/>
    <mergeCell ref="P187:Q187"/>
    <mergeCell ref="R187:S187"/>
    <mergeCell ref="D181:N186"/>
    <mergeCell ref="P188:Q188"/>
    <mergeCell ref="R188:S188"/>
    <mergeCell ref="R209:S209"/>
    <mergeCell ref="R219:S219"/>
    <mergeCell ref="P219:Q219"/>
    <mergeCell ref="L205:N205"/>
    <mergeCell ref="P196:Q196"/>
    <mergeCell ref="R207:S207"/>
    <mergeCell ref="P207:Q207"/>
    <mergeCell ref="K199:N199"/>
    <mergeCell ref="P198:Q198"/>
    <mergeCell ref="K209:N209"/>
    <mergeCell ref="L225:N225"/>
    <mergeCell ref="K189:N189"/>
    <mergeCell ref="P199:Q199"/>
    <mergeCell ref="V76:W76"/>
    <mergeCell ref="P73:Q73"/>
    <mergeCell ref="R73:S73"/>
    <mergeCell ref="T73:U73"/>
    <mergeCell ref="T93:U93"/>
    <mergeCell ref="V83:W83"/>
    <mergeCell ref="V73:W73"/>
    <mergeCell ref="V74:W74"/>
    <mergeCell ref="T83:U83"/>
    <mergeCell ref="P98:Q98"/>
    <mergeCell ref="V101:W101"/>
    <mergeCell ref="P111:Q111"/>
    <mergeCell ref="R111:S111"/>
    <mergeCell ref="U107:W107"/>
    <mergeCell ref="V98:W98"/>
    <mergeCell ref="R98:S98"/>
    <mergeCell ref="V111:W111"/>
    <mergeCell ref="R101:S101"/>
    <mergeCell ref="T111:U111"/>
    <mergeCell ref="R135:S135"/>
    <mergeCell ref="T98:U98"/>
    <mergeCell ref="T95:U95"/>
    <mergeCell ref="T91:U91"/>
    <mergeCell ref="T122:U122"/>
    <mergeCell ref="R121:S121"/>
    <mergeCell ref="T116:U116"/>
    <mergeCell ref="T117:U117"/>
    <mergeCell ref="R93:S93"/>
    <mergeCell ref="R123:S123"/>
    <mergeCell ref="AC23:AE23"/>
    <mergeCell ref="U40:W40"/>
    <mergeCell ref="S11:W11"/>
    <mergeCell ref="B12:W12"/>
    <mergeCell ref="O14:V15"/>
    <mergeCell ref="U42:W42"/>
    <mergeCell ref="U44:W44"/>
    <mergeCell ref="B53:C53"/>
    <mergeCell ref="B59:D59"/>
    <mergeCell ref="C14:K15"/>
    <mergeCell ref="AB28:AE28"/>
    <mergeCell ref="AB25:AE27"/>
    <mergeCell ref="AC38:AE38"/>
    <mergeCell ref="U37:W37"/>
    <mergeCell ref="U39:W39"/>
    <mergeCell ref="U36:W36"/>
    <mergeCell ref="AB11:AE11"/>
    <mergeCell ref="AH7:AP7"/>
    <mergeCell ref="AH8:AJ19"/>
    <mergeCell ref="AK8:AP19"/>
    <mergeCell ref="AH20:AP29"/>
    <mergeCell ref="AI62:AP62"/>
    <mergeCell ref="AI63:AP67"/>
    <mergeCell ref="AH49:AP50"/>
    <mergeCell ref="AI55:AP56"/>
    <mergeCell ref="AH47:AP48"/>
    <mergeCell ref="AB10:AE10"/>
    <mergeCell ref="T6:W6"/>
    <mergeCell ref="T7:W7"/>
    <mergeCell ref="AC7:AE7"/>
    <mergeCell ref="S10:W10"/>
    <mergeCell ref="AB6:AE6"/>
    <mergeCell ref="AC19:AE19"/>
    <mergeCell ref="AC20:AE22"/>
    <mergeCell ref="G6:S7"/>
    <mergeCell ref="G8:S8"/>
    <mergeCell ref="AC14:AE15"/>
    <mergeCell ref="AB12:AE13"/>
    <mergeCell ref="AA17:AB17"/>
    <mergeCell ref="AA19:AB19"/>
    <mergeCell ref="AC8:AE9"/>
    <mergeCell ref="Z12:Z15"/>
    <mergeCell ref="B6:D6"/>
    <mergeCell ref="E6:F7"/>
    <mergeCell ref="C7:D7"/>
    <mergeCell ref="B52:C52"/>
    <mergeCell ref="G9:S9"/>
    <mergeCell ref="N30:V33"/>
    <mergeCell ref="U46:W46"/>
    <mergeCell ref="U45:W45"/>
    <mergeCell ref="U41:W41"/>
    <mergeCell ref="U47:W47"/>
    <mergeCell ref="U38:W38"/>
    <mergeCell ref="F16:F17"/>
    <mergeCell ref="AB306:AS317"/>
    <mergeCell ref="B84:C84"/>
    <mergeCell ref="AH51:AP54"/>
    <mergeCell ref="AH46:AP46"/>
    <mergeCell ref="AH68:AP70"/>
    <mergeCell ref="Z20:Z23"/>
    <mergeCell ref="T8:W8"/>
    <mergeCell ref="T9:W9"/>
    <mergeCell ref="C9:F9"/>
    <mergeCell ref="L14:N14"/>
    <mergeCell ref="AI57:AP57"/>
    <mergeCell ref="AI58:AP59"/>
    <mergeCell ref="AI60:AP61"/>
    <mergeCell ref="AH31:AP31"/>
    <mergeCell ref="Z30:Z31"/>
    <mergeCell ref="C30:K33"/>
    <mergeCell ref="AA14:AB14"/>
    <mergeCell ref="F22:F23"/>
    <mergeCell ref="F27:F29"/>
    <mergeCell ref="B11:R11"/>
    <mergeCell ref="AH32:AP32"/>
    <mergeCell ref="Z166:AA166"/>
    <mergeCell ref="P163:Q163"/>
    <mergeCell ref="R163:S163"/>
    <mergeCell ref="B67:D67"/>
    <mergeCell ref="C18:K21"/>
    <mergeCell ref="L19:N19"/>
    <mergeCell ref="R95:S95"/>
    <mergeCell ref="R91:S91"/>
    <mergeCell ref="V93:W93"/>
    <mergeCell ref="R89:S89"/>
    <mergeCell ref="C24:K26"/>
    <mergeCell ref="L24:N25"/>
    <mergeCell ref="O18:V21"/>
    <mergeCell ref="O24:V26"/>
    <mergeCell ref="S28:V28"/>
    <mergeCell ref="P27:P28"/>
    <mergeCell ref="Q27:R28"/>
    <mergeCell ref="R72:S72"/>
    <mergeCell ref="P71:W71"/>
    <mergeCell ref="P74:Q74"/>
    <mergeCell ref="P72:Q72"/>
    <mergeCell ref="T77:U77"/>
    <mergeCell ref="P80:Q80"/>
    <mergeCell ref="P77:Q77"/>
    <mergeCell ref="R77:S77"/>
    <mergeCell ref="V77:W77"/>
    <mergeCell ref="R74:S74"/>
  </mergeCells>
  <conditionalFormatting sqref="B11 T88:T89 V89:W89 T91 T93 V93:W93 T98 V98:W98 P116:T117 P118:W118 P122:T122 P123:W123 P127:W128 P129:P132 P133:W133 P135:W138 P141:T141 V141:W141 P142:W142 P145:W145 P147:W147 R150:T150 V150:W150 P151:W152 P155:W155 P160:T161 P169:W170">
    <cfRule type="expression" dxfId="1399" priority="551">
      <formula>IF(NoColor,1,0)</formula>
    </cfRule>
  </conditionalFormatting>
  <conditionalFormatting sqref="B34:W34">
    <cfRule type="expression" dxfId="1398" priority="558" stopIfTrue="1">
      <formula>IF(TaxYear&gt;1996,1,0)</formula>
    </cfRule>
  </conditionalFormatting>
  <conditionalFormatting sqref="D42">
    <cfRule type="expression" dxfId="1397" priority="372">
      <formula>AND(Y17="",$U$42&lt;$W$43,NOT(NoColor))</formula>
    </cfRule>
  </conditionalFormatting>
  <conditionalFormatting sqref="D49">
    <cfRule type="expression" dxfId="1396" priority="497">
      <formula>IF(NoColor,1,0)</formula>
    </cfRule>
  </conditionalFormatting>
  <conditionalFormatting sqref="D51">
    <cfRule type="expression" dxfId="1395" priority="163">
      <formula>IF(NoColor,1,0)</formula>
    </cfRule>
  </conditionalFormatting>
  <conditionalFormatting sqref="D58">
    <cfRule type="expression" dxfId="1394" priority="496">
      <formula>IF(NoColor,1,0)</formula>
    </cfRule>
  </conditionalFormatting>
  <conditionalFormatting sqref="D60">
    <cfRule type="expression" dxfId="1393" priority="491">
      <formula>IF(NoColor,1,0)</formula>
    </cfRule>
  </conditionalFormatting>
  <conditionalFormatting sqref="D62">
    <cfRule type="expression" dxfId="1392" priority="490">
      <formula>IF(NoColor,1,0)</formula>
    </cfRule>
  </conditionalFormatting>
  <conditionalFormatting sqref="D64">
    <cfRule type="expression" dxfId="1391" priority="489">
      <formula>IF(NoColor,1,0)</formula>
    </cfRule>
  </conditionalFormatting>
  <conditionalFormatting sqref="D66">
    <cfRule type="expression" dxfId="1390" priority="488">
      <formula>IF(NoColor,1,0)</formula>
    </cfRule>
  </conditionalFormatting>
  <conditionalFormatting sqref="D82">
    <cfRule type="expression" dxfId="1389" priority="11">
      <formula>$P$80</formula>
    </cfRule>
  </conditionalFormatting>
  <conditionalFormatting sqref="D84:D86">
    <cfRule type="expression" dxfId="1388" priority="140">
      <formula>IF($L$78,TRUE,FALSE)</formula>
    </cfRule>
    <cfRule type="expression" dxfId="1387" priority="2011">
      <formula>AND($B$67,#REF!,$L$86)</formula>
    </cfRule>
  </conditionalFormatting>
  <conditionalFormatting sqref="G82 D83 D107">
    <cfRule type="expression" dxfId="1386" priority="1941">
      <formula>IF(AND(NOT(NoColor),NOT($B$67)),1,0)</formula>
    </cfRule>
  </conditionalFormatting>
  <conditionalFormatting sqref="H82">
    <cfRule type="expression" dxfId="1385" priority="43">
      <formula>IF(AND(NOT(NoColor),NOT($B$67),#REF!),1,0)</formula>
    </cfRule>
  </conditionalFormatting>
  <conditionalFormatting sqref="I45">
    <cfRule type="expression" dxfId="1384" priority="1921" stopIfTrue="1">
      <formula>IF(AND($C$31&lt;&gt;"",OR($U$39="",$U$39=0),$U$46&lt;$U$45),1,0)</formula>
    </cfRule>
  </conditionalFormatting>
  <conditionalFormatting sqref="I49">
    <cfRule type="expression" dxfId="1383" priority="2008">
      <formula>IF(AND(NOT(NoColor),$V$43,$D$49&lt;&gt;"",NOT($B$67)),1,0)</formula>
    </cfRule>
  </conditionalFormatting>
  <conditionalFormatting sqref="I81">
    <cfRule type="expression" dxfId="1382" priority="2010">
      <formula>IF(AND(NOT(NoColor),$B$67,#REF!,$L$80),1,0)</formula>
    </cfRule>
  </conditionalFormatting>
  <conditionalFormatting sqref="J41">
    <cfRule type="expression" dxfId="1381" priority="373">
      <formula>IF(AND($U$42&lt;$W$43,NOT(NoColor)),1,0)</formula>
    </cfRule>
  </conditionalFormatting>
  <conditionalFormatting sqref="J45:K45">
    <cfRule type="expression" dxfId="1380" priority="125">
      <formula>AND($U$48,NOT(NoColor))</formula>
    </cfRule>
  </conditionalFormatting>
  <conditionalFormatting sqref="K82">
    <cfRule type="expression" dxfId="1379" priority="8">
      <formula>AND(NOT(NoColor),NOT($B$67))</formula>
    </cfRule>
  </conditionalFormatting>
  <conditionalFormatting sqref="L56">
    <cfRule type="expression" dxfId="1378" priority="1940">
      <formula>AND(Y17="",NOT(NoColor),$V$43,NOT($B$67))</formula>
    </cfRule>
  </conditionalFormatting>
  <conditionalFormatting sqref="L82">
    <cfRule type="expression" dxfId="1377" priority="10">
      <formula>IF(AND(NOT(NoColor),NOT($B$67),#REF!),1,0)</formula>
    </cfRule>
  </conditionalFormatting>
  <conditionalFormatting sqref="M82">
    <cfRule type="expression" dxfId="1376" priority="7">
      <formula>AND(NOT(NoColor),NOT($B$67))</formula>
    </cfRule>
  </conditionalFormatting>
  <conditionalFormatting sqref="N41">
    <cfRule type="expression" dxfId="1375" priority="127">
      <formula>AND(Y17="",$U$42&lt;$W$43,NOT(NoColor))</formula>
    </cfRule>
  </conditionalFormatting>
  <conditionalFormatting sqref="N49">
    <cfRule type="expression" dxfId="1374" priority="33">
      <formula>IF(AND(NOT(NoColor),$V$43,$D$49&lt;&gt;"",NOT($B$67)),1,0)</formula>
    </cfRule>
  </conditionalFormatting>
  <conditionalFormatting sqref="N82">
    <cfRule type="expression" dxfId="1373" priority="42">
      <formula>IF(AND(NOT(NoColor),NOT($B$67),#REF!),1,0)</formula>
    </cfRule>
  </conditionalFormatting>
  <conditionalFormatting sqref="O41">
    <cfRule type="expression" dxfId="1372" priority="128">
      <formula>AND(Y17="",$U$42&lt;$W$43,NOT(NoColor))</formula>
    </cfRule>
  </conditionalFormatting>
  <conditionalFormatting sqref="O49">
    <cfRule type="expression" dxfId="1371" priority="162">
      <formula>B66</formula>
    </cfRule>
  </conditionalFormatting>
  <conditionalFormatting sqref="O14:V15">
    <cfRule type="expression" dxfId="1370" priority="30">
      <formula>AND(Y17="",OR(AND($U$41,NOT(NoColor)),AND($U$48,NOT(NoColor))))</formula>
    </cfRule>
  </conditionalFormatting>
  <conditionalFormatting sqref="P112">
    <cfRule type="expression" dxfId="1369" priority="451">
      <formula>IF(NoColor,1,0)</formula>
    </cfRule>
  </conditionalFormatting>
  <conditionalFormatting sqref="P93:R93">
    <cfRule type="expression" dxfId="1368" priority="3">
      <formula>IF(NoColor,1,0)</formula>
    </cfRule>
  </conditionalFormatting>
  <conditionalFormatting sqref="P98:R98">
    <cfRule type="expression" dxfId="1367" priority="6">
      <formula>IF(NoColor,1,0)</formula>
    </cfRule>
  </conditionalFormatting>
  <conditionalFormatting sqref="P144:T144 V144:W144">
    <cfRule type="expression" dxfId="1366" priority="104">
      <formula>IF(NoColor,1,0)</formula>
    </cfRule>
  </conditionalFormatting>
  <conditionalFormatting sqref="P146:T146">
    <cfRule type="expression" dxfId="1365" priority="388">
      <formula>IF(NoColor,1,0)</formula>
    </cfRule>
  </conditionalFormatting>
  <conditionalFormatting sqref="P168:T168">
    <cfRule type="expression" dxfId="1364" priority="377">
      <formula>IF(NoColor,1,0)</formula>
    </cfRule>
  </conditionalFormatting>
  <conditionalFormatting sqref="P121:U121">
    <cfRule type="expression" dxfId="1363" priority="355">
      <formula>IF(NoColor,1,0)</formula>
    </cfRule>
  </conditionalFormatting>
  <conditionalFormatting sqref="P77:W77">
    <cfRule type="expression" dxfId="1362" priority="14">
      <formula>IF(NoColor,1,0)</formula>
    </cfRule>
  </conditionalFormatting>
  <conditionalFormatting sqref="P83:W83">
    <cfRule type="expression" dxfId="1361" priority="157">
      <formula>IF(NoColor,1,0)</formula>
    </cfRule>
  </conditionalFormatting>
  <conditionalFormatting sqref="P101:W101">
    <cfRule type="expression" dxfId="1360" priority="12">
      <formula>IF(NoColor,1,0)</formula>
    </cfRule>
  </conditionalFormatting>
  <conditionalFormatting sqref="P157:W157">
    <cfRule type="expression" dxfId="1359" priority="404">
      <formula>IF(NoColor,1,0)</formula>
    </cfRule>
  </conditionalFormatting>
  <conditionalFormatting sqref="P164:W167">
    <cfRule type="expression" dxfId="1358" priority="24">
      <formula>IF(NoColor,1,0)</formula>
    </cfRule>
  </conditionalFormatting>
  <conditionalFormatting sqref="P180:W180">
    <cfRule type="expression" dxfId="1357" priority="1">
      <formula>IF(NoColor,1,0)</formula>
    </cfRule>
  </conditionalFormatting>
  <conditionalFormatting sqref="Q241:Q295">
    <cfRule type="expression" dxfId="1356" priority="148">
      <formula>IF(NoColor,1,0)</formula>
    </cfRule>
    <cfRule type="expression" dxfId="1355" priority="164">
      <formula>IF($X241=1,1,0)</formula>
    </cfRule>
  </conditionalFormatting>
  <conditionalFormatting sqref="Q235:W237">
    <cfRule type="expression" dxfId="1354" priority="167">
      <formula>IF($Y$241&gt;0,1,0)</formula>
    </cfRule>
  </conditionalFormatting>
  <conditionalFormatting sqref="R66">
    <cfRule type="expression" dxfId="1353" priority="32">
      <formula>AND($D$66&lt;&gt;"",$U$46&gt;$Q$43)</formula>
    </cfRule>
  </conditionalFormatting>
  <conditionalFormatting sqref="R88:R89">
    <cfRule type="expression" dxfId="1352" priority="5">
      <formula>IF(NoColor,1,0)</formula>
    </cfRule>
  </conditionalFormatting>
  <conditionalFormatting sqref="R91">
    <cfRule type="expression" dxfId="1351" priority="4">
      <formula>IF(NoColor,1,0)</formula>
    </cfRule>
  </conditionalFormatting>
  <conditionalFormatting sqref="R112">
    <cfRule type="expression" dxfId="1350" priority="311">
      <formula>IF(NoColor,1,0)</formula>
    </cfRule>
  </conditionalFormatting>
  <conditionalFormatting sqref="R129:R132">
    <cfRule type="expression" dxfId="1349" priority="47">
      <formula>IF(NoColor,1,0)</formula>
    </cfRule>
  </conditionalFormatting>
  <conditionalFormatting sqref="R95:U95">
    <cfRule type="expression" dxfId="1348" priority="2">
      <formula>IF(NoColor,1,0)</formula>
    </cfRule>
  </conditionalFormatting>
  <conditionalFormatting sqref="R154:W154">
    <cfRule type="expression" dxfId="1347" priority="183">
      <formula>IF(NoColor,1,0)</formula>
    </cfRule>
  </conditionalFormatting>
  <conditionalFormatting sqref="S11">
    <cfRule type="expression" dxfId="1346" priority="550">
      <formula>IF(NoColor,1,0)</formula>
    </cfRule>
  </conditionalFormatting>
  <conditionalFormatting sqref="S40">
    <cfRule type="expression" dxfId="1345" priority="124">
      <formula>IF(U40&gt;1,1,0)</formula>
    </cfRule>
  </conditionalFormatting>
  <conditionalFormatting sqref="S43">
    <cfRule type="expression" dxfId="1344" priority="351">
      <formula>IF(NoColor,1,0)</formula>
    </cfRule>
  </conditionalFormatting>
  <conditionalFormatting sqref="S45">
    <cfRule type="expression" dxfId="1343" priority="374">
      <formula>IF(AND($U$48,NOT(NoColor)),1,0)</formula>
    </cfRule>
  </conditionalFormatting>
  <conditionalFormatting sqref="S241:S295">
    <cfRule type="expression" dxfId="1342" priority="147">
      <formula>IF(NoColor,1,0)</formula>
    </cfRule>
  </conditionalFormatting>
  <conditionalFormatting sqref="T112">
    <cfRule type="expression" dxfId="1341" priority="310">
      <formula>IF(NoColor,1,0)</formula>
    </cfRule>
  </conditionalFormatting>
  <conditionalFormatting sqref="T129:T132">
    <cfRule type="expression" dxfId="1340" priority="46">
      <formula>IF(NoColor,1,0)</formula>
    </cfRule>
  </conditionalFormatting>
  <conditionalFormatting sqref="U37">
    <cfRule type="expression" dxfId="1339" priority="563" stopIfTrue="1">
      <formula>IF($P$31&lt;&gt;"",1,0)</formula>
    </cfRule>
    <cfRule type="expression" dxfId="1338" priority="546">
      <formula>IF(NoColor,1,0)</formula>
    </cfRule>
  </conditionalFormatting>
  <conditionalFormatting sqref="U107">
    <cfRule type="expression" dxfId="1337" priority="467" stopIfTrue="1">
      <formula>IF($P$31&lt;&gt;"",1,0)</formula>
    </cfRule>
    <cfRule type="expression" dxfId="1336" priority="466">
      <formula>IF(NoColor,1,0)</formula>
    </cfRule>
  </conditionalFormatting>
  <conditionalFormatting sqref="U241:U295">
    <cfRule type="expression" dxfId="1335" priority="146">
      <formula>IF(NoColor,1,0)</formula>
    </cfRule>
  </conditionalFormatting>
  <conditionalFormatting sqref="U39:W40">
    <cfRule type="expression" dxfId="1334" priority="123" stopIfTrue="1">
      <formula>IF($P$31&lt;&gt;"",1,0)</formula>
    </cfRule>
    <cfRule type="expression" dxfId="1333" priority="122">
      <formula>IF(NoColor,1,0)</formula>
    </cfRule>
  </conditionalFormatting>
  <conditionalFormatting sqref="U42:W42">
    <cfRule type="expression" dxfId="1332" priority="504">
      <formula>IF(NoColor,1,0)</formula>
    </cfRule>
  </conditionalFormatting>
  <conditionalFormatting sqref="U44:W44">
    <cfRule type="expression" dxfId="1331" priority="376" stopIfTrue="1">
      <formula>IF($P$31&lt;&gt;"",1,0)</formula>
    </cfRule>
  </conditionalFormatting>
  <conditionalFormatting sqref="U44:W47">
    <cfRule type="expression" dxfId="1330" priority="375">
      <formula>IF(NoColor,1,0)</formula>
    </cfRule>
  </conditionalFormatting>
  <conditionalFormatting sqref="U46:W47">
    <cfRule type="expression" dxfId="1329" priority="501" stopIfTrue="1">
      <formula>IF($P$31&lt;&gt;"",1,0)</formula>
    </cfRule>
  </conditionalFormatting>
  <conditionalFormatting sqref="V88">
    <cfRule type="expression" dxfId="1328" priority="354">
      <formula>IF(NoColor,1,0)</formula>
    </cfRule>
  </conditionalFormatting>
  <conditionalFormatting sqref="V91">
    <cfRule type="expression" dxfId="1327" priority="203">
      <formula>IF(NoColor,1,0)</formula>
    </cfRule>
  </conditionalFormatting>
  <conditionalFormatting sqref="V112">
    <cfRule type="expression" dxfId="1326" priority="309">
      <formula>IF(NoColor,1,0)</formula>
    </cfRule>
  </conditionalFormatting>
  <conditionalFormatting sqref="V129:V132">
    <cfRule type="expression" dxfId="1325" priority="45">
      <formula>IF(NoColor,1,0)</formula>
    </cfRule>
  </conditionalFormatting>
  <conditionalFormatting sqref="V76:W76">
    <cfRule type="expression" dxfId="1324" priority="19">
      <formula>OR(#REF!&lt;&gt;"",$U$47="",#REF!,ShortMethod,NOT(#REF!),NOT($B$62))</formula>
    </cfRule>
  </conditionalFormatting>
  <conditionalFormatting sqref="V116:W117">
    <cfRule type="expression" dxfId="1323" priority="390">
      <formula>IF(NoColor,1,0)</formula>
    </cfRule>
  </conditionalFormatting>
  <conditionalFormatting sqref="V121:W122">
    <cfRule type="expression" dxfId="1322" priority="441">
      <formula>IF(NoColor,1,0)</formula>
    </cfRule>
  </conditionalFormatting>
  <conditionalFormatting sqref="V146:W146">
    <cfRule type="expression" dxfId="1321" priority="386">
      <formula>IF(NoColor,1,0)</formula>
    </cfRule>
  </conditionalFormatting>
  <conditionalFormatting sqref="V160:W161">
    <cfRule type="expression" dxfId="1320" priority="400">
      <formula>IF(NoColor,1,0)</formula>
    </cfRule>
  </conditionalFormatting>
  <conditionalFormatting sqref="V168:W168">
    <cfRule type="expression" dxfId="1319" priority="378">
      <formula>IF(NoColor,1,0)</formula>
    </cfRule>
  </conditionalFormatting>
  <conditionalFormatting sqref="W66">
    <cfRule type="expression" dxfId="1318" priority="182">
      <formula>AND($D$66&lt;&gt;"",$U$46&gt;$Q$43)</formula>
    </cfRule>
  </conditionalFormatting>
  <conditionalFormatting sqref="W241:W295">
    <cfRule type="expression" priority="145">
      <formula>IF(NoColor,1,0)</formula>
    </cfRule>
    <cfRule type="expression" dxfId="1317" priority="144">
      <formula>IF(NoColor,1,0)</formula>
    </cfRule>
  </conditionalFormatting>
  <conditionalFormatting sqref="Y17">
    <cfRule type="expression" dxfId="1316" priority="28">
      <formula>OR(AND($U$42&lt;$W$43,NOT(NoColor)),AND($U$48,NOT(NoColor)))</formula>
    </cfRule>
  </conditionalFormatting>
  <conditionalFormatting sqref="Y109">
    <cfRule type="expression" dxfId="1315" priority="121">
      <formula>IF(AND(NOT(ShortMethod),NOT($B$62),#REF!),TRUE,FALSE)</formula>
    </cfRule>
  </conditionalFormatting>
  <conditionalFormatting sqref="Z7:Z9">
    <cfRule type="expression" dxfId="1314" priority="135">
      <formula>IF($AC$8="",TRUE,FALSE)</formula>
    </cfRule>
  </conditionalFormatting>
  <conditionalFormatting sqref="Z12">
    <cfRule type="expression" dxfId="1313" priority="37">
      <formula>IF($AC$14="",TRUE,FALSE)</formula>
    </cfRule>
  </conditionalFormatting>
  <conditionalFormatting sqref="Z17">
    <cfRule type="expression" dxfId="1312" priority="29">
      <formula>OR(AND($U$42&lt;$W$43,NOT(NoColor)),AND($U$48,NOT(NoColor)))</formula>
    </cfRule>
  </conditionalFormatting>
  <conditionalFormatting sqref="Z20">
    <cfRule type="expression" dxfId="1311" priority="38">
      <formula>IF($AC$23="",TRUE,FALSE)</formula>
    </cfRule>
  </conditionalFormatting>
  <conditionalFormatting sqref="Z30">
    <cfRule type="expression" dxfId="1310" priority="4512">
      <formula>IF($Y$35&lt;&gt;1,1,0)</formula>
    </cfRule>
  </conditionalFormatting>
  <conditionalFormatting sqref="AC205">
    <cfRule type="expression" dxfId="1309" priority="16">
      <formula>$AK$206</formula>
    </cfRule>
  </conditionalFormatting>
  <conditionalFormatting sqref="AE206">
    <cfRule type="expression" dxfId="1308" priority="15">
      <formula>$AK$206</formula>
    </cfRule>
  </conditionalFormatting>
  <conditionalFormatting sqref="AF279:AG279">
    <cfRule type="expression" dxfId="1307" priority="53">
      <formula>$AI$280</formula>
    </cfRule>
  </conditionalFormatting>
  <conditionalFormatting sqref="AJ165">
    <cfRule type="expression" dxfId="1306" priority="232">
      <formula>IF(NoColor,1,0)</formula>
    </cfRule>
  </conditionalFormatting>
  <conditionalFormatting sqref="AJ282">
    <cfRule type="expression" dxfId="1305" priority="57">
      <formula>IF(NoColor,1,0)</formula>
    </cfRule>
  </conditionalFormatting>
  <conditionalFormatting sqref="AK187">
    <cfRule type="expression" dxfId="1304" priority="295">
      <formula>IF(NOT(#REF!),1,0)</formula>
    </cfRule>
  </conditionalFormatting>
  <conditionalFormatting sqref="AL165">
    <cfRule type="expression" dxfId="1303" priority="231">
      <formula>IF(NoColor,1,0)</formula>
    </cfRule>
  </conditionalFormatting>
  <conditionalFormatting sqref="AL282">
    <cfRule type="expression" dxfId="1302" priority="56">
      <formula>IF(NoColor,1,0)</formula>
    </cfRule>
  </conditionalFormatting>
  <conditionalFormatting sqref="AM187">
    <cfRule type="expression" dxfId="1301" priority="222">
      <formula>IF(NOT(#REF!),1,0)</formula>
    </cfRule>
  </conditionalFormatting>
  <conditionalFormatting sqref="AN165">
    <cfRule type="expression" dxfId="1300" priority="230">
      <formula>IF(NoColor,1,0)</formula>
    </cfRule>
  </conditionalFormatting>
  <conditionalFormatting sqref="AN282">
    <cfRule type="expression" dxfId="1299" priority="55">
      <formula>IF(NoColor,1,0)</formula>
    </cfRule>
  </conditionalFormatting>
  <conditionalFormatting sqref="AO187">
    <cfRule type="expression" dxfId="1298" priority="221">
      <formula>IF(NOT(#REF!),1,0)</formula>
    </cfRule>
  </conditionalFormatting>
  <conditionalFormatting sqref="AP165">
    <cfRule type="expression" dxfId="1297" priority="229">
      <formula>IF(NoColor,1,0)</formula>
    </cfRule>
  </conditionalFormatting>
  <conditionalFormatting sqref="AP282">
    <cfRule type="expression" dxfId="1296" priority="54">
      <formula>IF(NoColor,1,0)</formula>
    </cfRule>
  </conditionalFormatting>
  <conditionalFormatting sqref="AQ187">
    <cfRule type="expression" dxfId="1295" priority="220">
      <formula>IF(NOT(#REF!),1,0)</formula>
    </cfRule>
  </conditionalFormatting>
  <hyperlinks>
    <hyperlink ref="F236:I236" r:id="rId1" display="Download Form 1040 Schedule SE" xr:uid="{00000000-0004-0000-2400-000000000000}"/>
    <hyperlink ref="F238:I238" r:id="rId2" display="Download Form 1040 Schedule SE Instructions" xr:uid="{00000000-0004-0000-2400-000001000000}"/>
    <hyperlink ref="F236:K236" r:id="rId3" display="Download Form 2210" xr:uid="{00000000-0004-0000-2400-000002000000}"/>
    <hyperlink ref="F238:K238" r:id="rId4" display="Download Form 2210 Instructions" xr:uid="{00000000-0004-0000-2400-000003000000}"/>
  </hyperlinks>
  <printOptions horizontalCentered="1"/>
  <pageMargins left="0.3" right="0.15" top="0.65" bottom="0" header="0.42" footer="0.35"/>
  <pageSetup scale="84" fitToHeight="2" orientation="portrait" r:id="rId5"/>
  <headerFooter alignWithMargins="0"/>
  <rowBreaks count="3" manualBreakCount="3">
    <brk id="68" min="1" max="22" man="1"/>
    <brk id="151" max="16383" man="1"/>
    <brk id="171" min="1" max="22" man="1"/>
  </rowBreaks>
  <drawing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V253"/>
  <sheetViews>
    <sheetView zoomScaleNormal="100" zoomScaleSheetLayoutView="120" workbookViewId="0"/>
  </sheetViews>
  <sheetFormatPr defaultRowHeight="12.75"/>
  <cols>
    <col min="1" max="1" width="2" style="42" customWidth="1"/>
    <col min="2" max="2" width="8.42578125" customWidth="1"/>
    <col min="3" max="3" width="3.140625" customWidth="1"/>
    <col min="4" max="4" width="7.7109375" customWidth="1"/>
    <col min="5" max="5" width="4.7109375" customWidth="1"/>
    <col min="6" max="6" width="8.7109375" customWidth="1"/>
    <col min="7" max="7" width="8" customWidth="1"/>
    <col min="8" max="8" width="4.28515625" customWidth="1"/>
    <col min="9" max="9" width="8.7109375" customWidth="1"/>
    <col min="10" max="10" width="9.42578125" customWidth="1"/>
    <col min="11" max="11" width="10.5703125" customWidth="1"/>
    <col min="12" max="12" width="3.85546875" customWidth="1"/>
    <col min="13" max="15" width="5.5703125" customWidth="1"/>
    <col min="16" max="16" width="3.85546875" customWidth="1"/>
    <col min="17" max="17" width="5.5703125" customWidth="1"/>
    <col min="18" max="18" width="15" customWidth="1"/>
    <col min="19" max="19" width="5.5703125" customWidth="1"/>
    <col min="20" max="20" width="3" customWidth="1"/>
    <col min="21" max="21" width="3.7109375" customWidth="1"/>
    <col min="22" max="22" width="3" customWidth="1"/>
    <col min="23" max="23" width="16.28515625" customWidth="1"/>
    <col min="25" max="25" width="2.42578125" customWidth="1"/>
    <col min="26" max="26" width="3.85546875" customWidth="1"/>
    <col min="27" max="27" width="17.5703125" customWidth="1"/>
    <col min="28" max="28" width="12.85546875" customWidth="1"/>
    <col min="29" max="29" width="25.28515625" customWidth="1"/>
    <col min="30" max="30" width="9.42578125" customWidth="1"/>
    <col min="31" max="31" width="7.85546875" customWidth="1"/>
    <col min="32" max="32" width="4.140625" customWidth="1"/>
    <col min="33" max="33" width="4" customWidth="1"/>
    <col min="34" max="42" width="10.7109375" style="2595" customWidth="1"/>
    <col min="45" max="45" width="9" customWidth="1"/>
    <col min="46" max="46" width="9.85546875" style="270" customWidth="1"/>
    <col min="47" max="47" width="13.7109375" style="270" customWidth="1"/>
    <col min="48" max="48" width="11.85546875" customWidth="1"/>
    <col min="269" max="269" width="2" customWidth="1"/>
    <col min="270" max="270" width="8.28515625" customWidth="1"/>
    <col min="271" max="271" width="15.42578125" customWidth="1"/>
    <col min="272" max="272" width="8.7109375" customWidth="1"/>
    <col min="273" max="273" width="8" customWidth="1"/>
    <col min="274" max="274" width="6" customWidth="1"/>
    <col min="275" max="275" width="6.5703125" customWidth="1"/>
    <col min="276" max="276" width="9.5703125" customWidth="1"/>
    <col min="277" max="277" width="11.5703125" customWidth="1"/>
    <col min="278" max="278" width="3.5703125" customWidth="1"/>
    <col min="279" max="279" width="13.85546875" customWidth="1"/>
    <col min="280" max="280" width="5.5703125" customWidth="1"/>
    <col min="281" max="281" width="19.7109375" customWidth="1"/>
    <col min="282" max="282" width="2.140625" customWidth="1"/>
    <col min="283" max="283" width="13.5703125" customWidth="1"/>
    <col min="525" max="525" width="2" customWidth="1"/>
    <col min="526" max="526" width="8.28515625" customWidth="1"/>
    <col min="527" max="527" width="15.42578125" customWidth="1"/>
    <col min="528" max="528" width="8.7109375" customWidth="1"/>
    <col min="529" max="529" width="8" customWidth="1"/>
    <col min="530" max="530" width="6" customWidth="1"/>
    <col min="531" max="531" width="6.5703125" customWidth="1"/>
    <col min="532" max="532" width="9.5703125" customWidth="1"/>
    <col min="533" max="533" width="11.5703125" customWidth="1"/>
    <col min="534" max="534" width="3.5703125" customWidth="1"/>
    <col min="535" max="535" width="13.85546875" customWidth="1"/>
    <col min="536" max="536" width="5.5703125" customWidth="1"/>
    <col min="537" max="537" width="19.7109375" customWidth="1"/>
    <col min="538" max="538" width="2.140625" customWidth="1"/>
    <col min="539" max="539" width="13.5703125" customWidth="1"/>
    <col min="781" max="781" width="2" customWidth="1"/>
    <col min="782" max="782" width="8.28515625" customWidth="1"/>
    <col min="783" max="783" width="15.42578125" customWidth="1"/>
    <col min="784" max="784" width="8.7109375" customWidth="1"/>
    <col min="785" max="785" width="8" customWidth="1"/>
    <col min="786" max="786" width="6" customWidth="1"/>
    <col min="787" max="787" width="6.5703125" customWidth="1"/>
    <col min="788" max="788" width="9.5703125" customWidth="1"/>
    <col min="789" max="789" width="11.5703125" customWidth="1"/>
    <col min="790" max="790" width="3.5703125" customWidth="1"/>
    <col min="791" max="791" width="13.85546875" customWidth="1"/>
    <col min="792" max="792" width="5.5703125" customWidth="1"/>
    <col min="793" max="793" width="19.7109375" customWidth="1"/>
    <col min="794" max="794" width="2.140625" customWidth="1"/>
    <col min="795" max="795" width="13.5703125" customWidth="1"/>
    <col min="1037" max="1037" width="2" customWidth="1"/>
    <col min="1038" max="1038" width="8.28515625" customWidth="1"/>
    <col min="1039" max="1039" width="15.42578125" customWidth="1"/>
    <col min="1040" max="1040" width="8.7109375" customWidth="1"/>
    <col min="1041" max="1041" width="8" customWidth="1"/>
    <col min="1042" max="1042" width="6" customWidth="1"/>
    <col min="1043" max="1043" width="6.5703125" customWidth="1"/>
    <col min="1044" max="1044" width="9.5703125" customWidth="1"/>
    <col min="1045" max="1045" width="11.5703125" customWidth="1"/>
    <col min="1046" max="1046" width="3.5703125" customWidth="1"/>
    <col min="1047" max="1047" width="13.85546875" customWidth="1"/>
    <col min="1048" max="1048" width="5.5703125" customWidth="1"/>
    <col min="1049" max="1049" width="19.7109375" customWidth="1"/>
    <col min="1050" max="1050" width="2.140625" customWidth="1"/>
    <col min="1051" max="1051" width="13.5703125" customWidth="1"/>
    <col min="1293" max="1293" width="2" customWidth="1"/>
    <col min="1294" max="1294" width="8.28515625" customWidth="1"/>
    <col min="1295" max="1295" width="15.42578125" customWidth="1"/>
    <col min="1296" max="1296" width="8.7109375" customWidth="1"/>
    <col min="1297" max="1297" width="8" customWidth="1"/>
    <col min="1298" max="1298" width="6" customWidth="1"/>
    <col min="1299" max="1299" width="6.5703125" customWidth="1"/>
    <col min="1300" max="1300" width="9.5703125" customWidth="1"/>
    <col min="1301" max="1301" width="11.5703125" customWidth="1"/>
    <col min="1302" max="1302" width="3.5703125" customWidth="1"/>
    <col min="1303" max="1303" width="13.85546875" customWidth="1"/>
    <col min="1304" max="1304" width="5.5703125" customWidth="1"/>
    <col min="1305" max="1305" width="19.7109375" customWidth="1"/>
    <col min="1306" max="1306" width="2.140625" customWidth="1"/>
    <col min="1307" max="1307" width="13.5703125" customWidth="1"/>
    <col min="1549" max="1549" width="2" customWidth="1"/>
    <col min="1550" max="1550" width="8.28515625" customWidth="1"/>
    <col min="1551" max="1551" width="15.42578125" customWidth="1"/>
    <col min="1552" max="1552" width="8.7109375" customWidth="1"/>
    <col min="1553" max="1553" width="8" customWidth="1"/>
    <col min="1554" max="1554" width="6" customWidth="1"/>
    <col min="1555" max="1555" width="6.5703125" customWidth="1"/>
    <col min="1556" max="1556" width="9.5703125" customWidth="1"/>
    <col min="1557" max="1557" width="11.5703125" customWidth="1"/>
    <col min="1558" max="1558" width="3.5703125" customWidth="1"/>
    <col min="1559" max="1559" width="13.85546875" customWidth="1"/>
    <col min="1560" max="1560" width="5.5703125" customWidth="1"/>
    <col min="1561" max="1561" width="19.7109375" customWidth="1"/>
    <col min="1562" max="1562" width="2.140625" customWidth="1"/>
    <col min="1563" max="1563" width="13.5703125" customWidth="1"/>
    <col min="1805" max="1805" width="2" customWidth="1"/>
    <col min="1806" max="1806" width="8.28515625" customWidth="1"/>
    <col min="1807" max="1807" width="15.42578125" customWidth="1"/>
    <col min="1808" max="1808" width="8.7109375" customWidth="1"/>
    <col min="1809" max="1809" width="8" customWidth="1"/>
    <col min="1810" max="1810" width="6" customWidth="1"/>
    <col min="1811" max="1811" width="6.5703125" customWidth="1"/>
    <col min="1812" max="1812" width="9.5703125" customWidth="1"/>
    <col min="1813" max="1813" width="11.5703125" customWidth="1"/>
    <col min="1814" max="1814" width="3.5703125" customWidth="1"/>
    <col min="1815" max="1815" width="13.85546875" customWidth="1"/>
    <col min="1816" max="1816" width="5.5703125" customWidth="1"/>
    <col min="1817" max="1817" width="19.7109375" customWidth="1"/>
    <col min="1818" max="1818" width="2.140625" customWidth="1"/>
    <col min="1819" max="1819" width="13.5703125" customWidth="1"/>
    <col min="2061" max="2061" width="2" customWidth="1"/>
    <col min="2062" max="2062" width="8.28515625" customWidth="1"/>
    <col min="2063" max="2063" width="15.42578125" customWidth="1"/>
    <col min="2064" max="2064" width="8.7109375" customWidth="1"/>
    <col min="2065" max="2065" width="8" customWidth="1"/>
    <col min="2066" max="2066" width="6" customWidth="1"/>
    <col min="2067" max="2067" width="6.5703125" customWidth="1"/>
    <col min="2068" max="2068" width="9.5703125" customWidth="1"/>
    <col min="2069" max="2069" width="11.5703125" customWidth="1"/>
    <col min="2070" max="2070" width="3.5703125" customWidth="1"/>
    <col min="2071" max="2071" width="13.85546875" customWidth="1"/>
    <col min="2072" max="2072" width="5.5703125" customWidth="1"/>
    <col min="2073" max="2073" width="19.7109375" customWidth="1"/>
    <col min="2074" max="2074" width="2.140625" customWidth="1"/>
    <col min="2075" max="2075" width="13.5703125" customWidth="1"/>
    <col min="2317" max="2317" width="2" customWidth="1"/>
    <col min="2318" max="2318" width="8.28515625" customWidth="1"/>
    <col min="2319" max="2319" width="15.42578125" customWidth="1"/>
    <col min="2320" max="2320" width="8.7109375" customWidth="1"/>
    <col min="2321" max="2321" width="8" customWidth="1"/>
    <col min="2322" max="2322" width="6" customWidth="1"/>
    <col min="2323" max="2323" width="6.5703125" customWidth="1"/>
    <col min="2324" max="2324" width="9.5703125" customWidth="1"/>
    <col min="2325" max="2325" width="11.5703125" customWidth="1"/>
    <col min="2326" max="2326" width="3.5703125" customWidth="1"/>
    <col min="2327" max="2327" width="13.85546875" customWidth="1"/>
    <col min="2328" max="2328" width="5.5703125" customWidth="1"/>
    <col min="2329" max="2329" width="19.7109375" customWidth="1"/>
    <col min="2330" max="2330" width="2.140625" customWidth="1"/>
    <col min="2331" max="2331" width="13.5703125" customWidth="1"/>
    <col min="2573" max="2573" width="2" customWidth="1"/>
    <col min="2574" max="2574" width="8.28515625" customWidth="1"/>
    <col min="2575" max="2575" width="15.42578125" customWidth="1"/>
    <col min="2576" max="2576" width="8.7109375" customWidth="1"/>
    <col min="2577" max="2577" width="8" customWidth="1"/>
    <col min="2578" max="2578" width="6" customWidth="1"/>
    <col min="2579" max="2579" width="6.5703125" customWidth="1"/>
    <col min="2580" max="2580" width="9.5703125" customWidth="1"/>
    <col min="2581" max="2581" width="11.5703125" customWidth="1"/>
    <col min="2582" max="2582" width="3.5703125" customWidth="1"/>
    <col min="2583" max="2583" width="13.85546875" customWidth="1"/>
    <col min="2584" max="2584" width="5.5703125" customWidth="1"/>
    <col min="2585" max="2585" width="19.7109375" customWidth="1"/>
    <col min="2586" max="2586" width="2.140625" customWidth="1"/>
    <col min="2587" max="2587" width="13.5703125" customWidth="1"/>
    <col min="2829" max="2829" width="2" customWidth="1"/>
    <col min="2830" max="2830" width="8.28515625" customWidth="1"/>
    <col min="2831" max="2831" width="15.42578125" customWidth="1"/>
    <col min="2832" max="2832" width="8.7109375" customWidth="1"/>
    <col min="2833" max="2833" width="8" customWidth="1"/>
    <col min="2834" max="2834" width="6" customWidth="1"/>
    <col min="2835" max="2835" width="6.5703125" customWidth="1"/>
    <col min="2836" max="2836" width="9.5703125" customWidth="1"/>
    <col min="2837" max="2837" width="11.5703125" customWidth="1"/>
    <col min="2838" max="2838" width="3.5703125" customWidth="1"/>
    <col min="2839" max="2839" width="13.85546875" customWidth="1"/>
    <col min="2840" max="2840" width="5.5703125" customWidth="1"/>
    <col min="2841" max="2841" width="19.7109375" customWidth="1"/>
    <col min="2842" max="2842" width="2.140625" customWidth="1"/>
    <col min="2843" max="2843" width="13.5703125" customWidth="1"/>
    <col min="3085" max="3085" width="2" customWidth="1"/>
    <col min="3086" max="3086" width="8.28515625" customWidth="1"/>
    <col min="3087" max="3087" width="15.42578125" customWidth="1"/>
    <col min="3088" max="3088" width="8.7109375" customWidth="1"/>
    <col min="3089" max="3089" width="8" customWidth="1"/>
    <col min="3090" max="3090" width="6" customWidth="1"/>
    <col min="3091" max="3091" width="6.5703125" customWidth="1"/>
    <col min="3092" max="3092" width="9.5703125" customWidth="1"/>
    <col min="3093" max="3093" width="11.5703125" customWidth="1"/>
    <col min="3094" max="3094" width="3.5703125" customWidth="1"/>
    <col min="3095" max="3095" width="13.85546875" customWidth="1"/>
    <col min="3096" max="3096" width="5.5703125" customWidth="1"/>
    <col min="3097" max="3097" width="19.7109375" customWidth="1"/>
    <col min="3098" max="3098" width="2.140625" customWidth="1"/>
    <col min="3099" max="3099" width="13.5703125" customWidth="1"/>
    <col min="3341" max="3341" width="2" customWidth="1"/>
    <col min="3342" max="3342" width="8.28515625" customWidth="1"/>
    <col min="3343" max="3343" width="15.42578125" customWidth="1"/>
    <col min="3344" max="3344" width="8.7109375" customWidth="1"/>
    <col min="3345" max="3345" width="8" customWidth="1"/>
    <col min="3346" max="3346" width="6" customWidth="1"/>
    <col min="3347" max="3347" width="6.5703125" customWidth="1"/>
    <col min="3348" max="3348" width="9.5703125" customWidth="1"/>
    <col min="3349" max="3349" width="11.5703125" customWidth="1"/>
    <col min="3350" max="3350" width="3.5703125" customWidth="1"/>
    <col min="3351" max="3351" width="13.85546875" customWidth="1"/>
    <col min="3352" max="3352" width="5.5703125" customWidth="1"/>
    <col min="3353" max="3353" width="19.7109375" customWidth="1"/>
    <col min="3354" max="3354" width="2.140625" customWidth="1"/>
    <col min="3355" max="3355" width="13.5703125" customWidth="1"/>
    <col min="3597" max="3597" width="2" customWidth="1"/>
    <col min="3598" max="3598" width="8.28515625" customWidth="1"/>
    <col min="3599" max="3599" width="15.42578125" customWidth="1"/>
    <col min="3600" max="3600" width="8.7109375" customWidth="1"/>
    <col min="3601" max="3601" width="8" customWidth="1"/>
    <col min="3602" max="3602" width="6" customWidth="1"/>
    <col min="3603" max="3603" width="6.5703125" customWidth="1"/>
    <col min="3604" max="3604" width="9.5703125" customWidth="1"/>
    <col min="3605" max="3605" width="11.5703125" customWidth="1"/>
    <col min="3606" max="3606" width="3.5703125" customWidth="1"/>
    <col min="3607" max="3607" width="13.85546875" customWidth="1"/>
    <col min="3608" max="3608" width="5.5703125" customWidth="1"/>
    <col min="3609" max="3609" width="19.7109375" customWidth="1"/>
    <col min="3610" max="3610" width="2.140625" customWidth="1"/>
    <col min="3611" max="3611" width="13.5703125" customWidth="1"/>
    <col min="3853" max="3853" width="2" customWidth="1"/>
    <col min="3854" max="3854" width="8.28515625" customWidth="1"/>
    <col min="3855" max="3855" width="15.42578125" customWidth="1"/>
    <col min="3856" max="3856" width="8.7109375" customWidth="1"/>
    <col min="3857" max="3857" width="8" customWidth="1"/>
    <col min="3858" max="3858" width="6" customWidth="1"/>
    <col min="3859" max="3859" width="6.5703125" customWidth="1"/>
    <col min="3860" max="3860" width="9.5703125" customWidth="1"/>
    <col min="3861" max="3861" width="11.5703125" customWidth="1"/>
    <col min="3862" max="3862" width="3.5703125" customWidth="1"/>
    <col min="3863" max="3863" width="13.85546875" customWidth="1"/>
    <col min="3864" max="3864" width="5.5703125" customWidth="1"/>
    <col min="3865" max="3865" width="19.7109375" customWidth="1"/>
    <col min="3866" max="3866" width="2.140625" customWidth="1"/>
    <col min="3867" max="3867" width="13.5703125" customWidth="1"/>
    <col min="4109" max="4109" width="2" customWidth="1"/>
    <col min="4110" max="4110" width="8.28515625" customWidth="1"/>
    <col min="4111" max="4111" width="15.42578125" customWidth="1"/>
    <col min="4112" max="4112" width="8.7109375" customWidth="1"/>
    <col min="4113" max="4113" width="8" customWidth="1"/>
    <col min="4114" max="4114" width="6" customWidth="1"/>
    <col min="4115" max="4115" width="6.5703125" customWidth="1"/>
    <col min="4116" max="4116" width="9.5703125" customWidth="1"/>
    <col min="4117" max="4117" width="11.5703125" customWidth="1"/>
    <col min="4118" max="4118" width="3.5703125" customWidth="1"/>
    <col min="4119" max="4119" width="13.85546875" customWidth="1"/>
    <col min="4120" max="4120" width="5.5703125" customWidth="1"/>
    <col min="4121" max="4121" width="19.7109375" customWidth="1"/>
    <col min="4122" max="4122" width="2.140625" customWidth="1"/>
    <col min="4123" max="4123" width="13.5703125" customWidth="1"/>
    <col min="4365" max="4365" width="2" customWidth="1"/>
    <col min="4366" max="4366" width="8.28515625" customWidth="1"/>
    <col min="4367" max="4367" width="15.42578125" customWidth="1"/>
    <col min="4368" max="4368" width="8.7109375" customWidth="1"/>
    <col min="4369" max="4369" width="8" customWidth="1"/>
    <col min="4370" max="4370" width="6" customWidth="1"/>
    <col min="4371" max="4371" width="6.5703125" customWidth="1"/>
    <col min="4372" max="4372" width="9.5703125" customWidth="1"/>
    <col min="4373" max="4373" width="11.5703125" customWidth="1"/>
    <col min="4374" max="4374" width="3.5703125" customWidth="1"/>
    <col min="4375" max="4375" width="13.85546875" customWidth="1"/>
    <col min="4376" max="4376" width="5.5703125" customWidth="1"/>
    <col min="4377" max="4377" width="19.7109375" customWidth="1"/>
    <col min="4378" max="4378" width="2.140625" customWidth="1"/>
    <col min="4379" max="4379" width="13.5703125" customWidth="1"/>
    <col min="4621" max="4621" width="2" customWidth="1"/>
    <col min="4622" max="4622" width="8.28515625" customWidth="1"/>
    <col min="4623" max="4623" width="15.42578125" customWidth="1"/>
    <col min="4624" max="4624" width="8.7109375" customWidth="1"/>
    <col min="4625" max="4625" width="8" customWidth="1"/>
    <col min="4626" max="4626" width="6" customWidth="1"/>
    <col min="4627" max="4627" width="6.5703125" customWidth="1"/>
    <col min="4628" max="4628" width="9.5703125" customWidth="1"/>
    <col min="4629" max="4629" width="11.5703125" customWidth="1"/>
    <col min="4630" max="4630" width="3.5703125" customWidth="1"/>
    <col min="4631" max="4631" width="13.85546875" customWidth="1"/>
    <col min="4632" max="4632" width="5.5703125" customWidth="1"/>
    <col min="4633" max="4633" width="19.7109375" customWidth="1"/>
    <col min="4634" max="4634" width="2.140625" customWidth="1"/>
    <col min="4635" max="4635" width="13.5703125" customWidth="1"/>
    <col min="4877" max="4877" width="2" customWidth="1"/>
    <col min="4878" max="4878" width="8.28515625" customWidth="1"/>
    <col min="4879" max="4879" width="15.42578125" customWidth="1"/>
    <col min="4880" max="4880" width="8.7109375" customWidth="1"/>
    <col min="4881" max="4881" width="8" customWidth="1"/>
    <col min="4882" max="4882" width="6" customWidth="1"/>
    <col min="4883" max="4883" width="6.5703125" customWidth="1"/>
    <col min="4884" max="4884" width="9.5703125" customWidth="1"/>
    <col min="4885" max="4885" width="11.5703125" customWidth="1"/>
    <col min="4886" max="4886" width="3.5703125" customWidth="1"/>
    <col min="4887" max="4887" width="13.85546875" customWidth="1"/>
    <col min="4888" max="4888" width="5.5703125" customWidth="1"/>
    <col min="4889" max="4889" width="19.7109375" customWidth="1"/>
    <col min="4890" max="4890" width="2.140625" customWidth="1"/>
    <col min="4891" max="4891" width="13.5703125" customWidth="1"/>
    <col min="5133" max="5133" width="2" customWidth="1"/>
    <col min="5134" max="5134" width="8.28515625" customWidth="1"/>
    <col min="5135" max="5135" width="15.42578125" customWidth="1"/>
    <col min="5136" max="5136" width="8.7109375" customWidth="1"/>
    <col min="5137" max="5137" width="8" customWidth="1"/>
    <col min="5138" max="5138" width="6" customWidth="1"/>
    <col min="5139" max="5139" width="6.5703125" customWidth="1"/>
    <col min="5140" max="5140" width="9.5703125" customWidth="1"/>
    <col min="5141" max="5141" width="11.5703125" customWidth="1"/>
    <col min="5142" max="5142" width="3.5703125" customWidth="1"/>
    <col min="5143" max="5143" width="13.85546875" customWidth="1"/>
    <col min="5144" max="5144" width="5.5703125" customWidth="1"/>
    <col min="5145" max="5145" width="19.7109375" customWidth="1"/>
    <col min="5146" max="5146" width="2.140625" customWidth="1"/>
    <col min="5147" max="5147" width="13.5703125" customWidth="1"/>
    <col min="5389" max="5389" width="2" customWidth="1"/>
    <col min="5390" max="5390" width="8.28515625" customWidth="1"/>
    <col min="5391" max="5391" width="15.42578125" customWidth="1"/>
    <col min="5392" max="5392" width="8.7109375" customWidth="1"/>
    <col min="5393" max="5393" width="8" customWidth="1"/>
    <col min="5394" max="5394" width="6" customWidth="1"/>
    <col min="5395" max="5395" width="6.5703125" customWidth="1"/>
    <col min="5396" max="5396" width="9.5703125" customWidth="1"/>
    <col min="5397" max="5397" width="11.5703125" customWidth="1"/>
    <col min="5398" max="5398" width="3.5703125" customWidth="1"/>
    <col min="5399" max="5399" width="13.85546875" customWidth="1"/>
    <col min="5400" max="5400" width="5.5703125" customWidth="1"/>
    <col min="5401" max="5401" width="19.7109375" customWidth="1"/>
    <col min="5402" max="5402" width="2.140625" customWidth="1"/>
    <col min="5403" max="5403" width="13.5703125" customWidth="1"/>
    <col min="5645" max="5645" width="2" customWidth="1"/>
    <col min="5646" max="5646" width="8.28515625" customWidth="1"/>
    <col min="5647" max="5647" width="15.42578125" customWidth="1"/>
    <col min="5648" max="5648" width="8.7109375" customWidth="1"/>
    <col min="5649" max="5649" width="8" customWidth="1"/>
    <col min="5650" max="5650" width="6" customWidth="1"/>
    <col min="5651" max="5651" width="6.5703125" customWidth="1"/>
    <col min="5652" max="5652" width="9.5703125" customWidth="1"/>
    <col min="5653" max="5653" width="11.5703125" customWidth="1"/>
    <col min="5654" max="5654" width="3.5703125" customWidth="1"/>
    <col min="5655" max="5655" width="13.85546875" customWidth="1"/>
    <col min="5656" max="5656" width="5.5703125" customWidth="1"/>
    <col min="5657" max="5657" width="19.7109375" customWidth="1"/>
    <col min="5658" max="5658" width="2.140625" customWidth="1"/>
    <col min="5659" max="5659" width="13.5703125" customWidth="1"/>
    <col min="5901" max="5901" width="2" customWidth="1"/>
    <col min="5902" max="5902" width="8.28515625" customWidth="1"/>
    <col min="5903" max="5903" width="15.42578125" customWidth="1"/>
    <col min="5904" max="5904" width="8.7109375" customWidth="1"/>
    <col min="5905" max="5905" width="8" customWidth="1"/>
    <col min="5906" max="5906" width="6" customWidth="1"/>
    <col min="5907" max="5907" width="6.5703125" customWidth="1"/>
    <col min="5908" max="5908" width="9.5703125" customWidth="1"/>
    <col min="5909" max="5909" width="11.5703125" customWidth="1"/>
    <col min="5910" max="5910" width="3.5703125" customWidth="1"/>
    <col min="5911" max="5911" width="13.85546875" customWidth="1"/>
    <col min="5912" max="5912" width="5.5703125" customWidth="1"/>
    <col min="5913" max="5913" width="19.7109375" customWidth="1"/>
    <col min="5914" max="5914" width="2.140625" customWidth="1"/>
    <col min="5915" max="5915" width="13.5703125" customWidth="1"/>
    <col min="6157" max="6157" width="2" customWidth="1"/>
    <col min="6158" max="6158" width="8.28515625" customWidth="1"/>
    <col min="6159" max="6159" width="15.42578125" customWidth="1"/>
    <col min="6160" max="6160" width="8.7109375" customWidth="1"/>
    <col min="6161" max="6161" width="8" customWidth="1"/>
    <col min="6162" max="6162" width="6" customWidth="1"/>
    <col min="6163" max="6163" width="6.5703125" customWidth="1"/>
    <col min="6164" max="6164" width="9.5703125" customWidth="1"/>
    <col min="6165" max="6165" width="11.5703125" customWidth="1"/>
    <col min="6166" max="6166" width="3.5703125" customWidth="1"/>
    <col min="6167" max="6167" width="13.85546875" customWidth="1"/>
    <col min="6168" max="6168" width="5.5703125" customWidth="1"/>
    <col min="6169" max="6169" width="19.7109375" customWidth="1"/>
    <col min="6170" max="6170" width="2.140625" customWidth="1"/>
    <col min="6171" max="6171" width="13.5703125" customWidth="1"/>
    <col min="6413" max="6413" width="2" customWidth="1"/>
    <col min="6414" max="6414" width="8.28515625" customWidth="1"/>
    <col min="6415" max="6415" width="15.42578125" customWidth="1"/>
    <col min="6416" max="6416" width="8.7109375" customWidth="1"/>
    <col min="6417" max="6417" width="8" customWidth="1"/>
    <col min="6418" max="6418" width="6" customWidth="1"/>
    <col min="6419" max="6419" width="6.5703125" customWidth="1"/>
    <col min="6420" max="6420" width="9.5703125" customWidth="1"/>
    <col min="6421" max="6421" width="11.5703125" customWidth="1"/>
    <col min="6422" max="6422" width="3.5703125" customWidth="1"/>
    <col min="6423" max="6423" width="13.85546875" customWidth="1"/>
    <col min="6424" max="6424" width="5.5703125" customWidth="1"/>
    <col min="6425" max="6425" width="19.7109375" customWidth="1"/>
    <col min="6426" max="6426" width="2.140625" customWidth="1"/>
    <col min="6427" max="6427" width="13.5703125" customWidth="1"/>
    <col min="6669" max="6669" width="2" customWidth="1"/>
    <col min="6670" max="6670" width="8.28515625" customWidth="1"/>
    <col min="6671" max="6671" width="15.42578125" customWidth="1"/>
    <col min="6672" max="6672" width="8.7109375" customWidth="1"/>
    <col min="6673" max="6673" width="8" customWidth="1"/>
    <col min="6674" max="6674" width="6" customWidth="1"/>
    <col min="6675" max="6675" width="6.5703125" customWidth="1"/>
    <col min="6676" max="6676" width="9.5703125" customWidth="1"/>
    <col min="6677" max="6677" width="11.5703125" customWidth="1"/>
    <col min="6678" max="6678" width="3.5703125" customWidth="1"/>
    <col min="6679" max="6679" width="13.85546875" customWidth="1"/>
    <col min="6680" max="6680" width="5.5703125" customWidth="1"/>
    <col min="6681" max="6681" width="19.7109375" customWidth="1"/>
    <col min="6682" max="6682" width="2.140625" customWidth="1"/>
    <col min="6683" max="6683" width="13.5703125" customWidth="1"/>
    <col min="6925" max="6925" width="2" customWidth="1"/>
    <col min="6926" max="6926" width="8.28515625" customWidth="1"/>
    <col min="6927" max="6927" width="15.42578125" customWidth="1"/>
    <col min="6928" max="6928" width="8.7109375" customWidth="1"/>
    <col min="6929" max="6929" width="8" customWidth="1"/>
    <col min="6930" max="6930" width="6" customWidth="1"/>
    <col min="6931" max="6931" width="6.5703125" customWidth="1"/>
    <col min="6932" max="6932" width="9.5703125" customWidth="1"/>
    <col min="6933" max="6933" width="11.5703125" customWidth="1"/>
    <col min="6934" max="6934" width="3.5703125" customWidth="1"/>
    <col min="6935" max="6935" width="13.85546875" customWidth="1"/>
    <col min="6936" max="6936" width="5.5703125" customWidth="1"/>
    <col min="6937" max="6937" width="19.7109375" customWidth="1"/>
    <col min="6938" max="6938" width="2.140625" customWidth="1"/>
    <col min="6939" max="6939" width="13.5703125" customWidth="1"/>
    <col min="7181" max="7181" width="2" customWidth="1"/>
    <col min="7182" max="7182" width="8.28515625" customWidth="1"/>
    <col min="7183" max="7183" width="15.42578125" customWidth="1"/>
    <col min="7184" max="7184" width="8.7109375" customWidth="1"/>
    <col min="7185" max="7185" width="8" customWidth="1"/>
    <col min="7186" max="7186" width="6" customWidth="1"/>
    <col min="7187" max="7187" width="6.5703125" customWidth="1"/>
    <col min="7188" max="7188" width="9.5703125" customWidth="1"/>
    <col min="7189" max="7189" width="11.5703125" customWidth="1"/>
    <col min="7190" max="7190" width="3.5703125" customWidth="1"/>
    <col min="7191" max="7191" width="13.85546875" customWidth="1"/>
    <col min="7192" max="7192" width="5.5703125" customWidth="1"/>
    <col min="7193" max="7193" width="19.7109375" customWidth="1"/>
    <col min="7194" max="7194" width="2.140625" customWidth="1"/>
    <col min="7195" max="7195" width="13.5703125" customWidth="1"/>
    <col min="7437" max="7437" width="2" customWidth="1"/>
    <col min="7438" max="7438" width="8.28515625" customWidth="1"/>
    <col min="7439" max="7439" width="15.42578125" customWidth="1"/>
    <col min="7440" max="7440" width="8.7109375" customWidth="1"/>
    <col min="7441" max="7441" width="8" customWidth="1"/>
    <col min="7442" max="7442" width="6" customWidth="1"/>
    <col min="7443" max="7443" width="6.5703125" customWidth="1"/>
    <col min="7444" max="7444" width="9.5703125" customWidth="1"/>
    <col min="7445" max="7445" width="11.5703125" customWidth="1"/>
    <col min="7446" max="7446" width="3.5703125" customWidth="1"/>
    <col min="7447" max="7447" width="13.85546875" customWidth="1"/>
    <col min="7448" max="7448" width="5.5703125" customWidth="1"/>
    <col min="7449" max="7449" width="19.7109375" customWidth="1"/>
    <col min="7450" max="7450" width="2.140625" customWidth="1"/>
    <col min="7451" max="7451" width="13.5703125" customWidth="1"/>
    <col min="7693" max="7693" width="2" customWidth="1"/>
    <col min="7694" max="7694" width="8.28515625" customWidth="1"/>
    <col min="7695" max="7695" width="15.42578125" customWidth="1"/>
    <col min="7696" max="7696" width="8.7109375" customWidth="1"/>
    <col min="7697" max="7697" width="8" customWidth="1"/>
    <col min="7698" max="7698" width="6" customWidth="1"/>
    <col min="7699" max="7699" width="6.5703125" customWidth="1"/>
    <col min="7700" max="7700" width="9.5703125" customWidth="1"/>
    <col min="7701" max="7701" width="11.5703125" customWidth="1"/>
    <col min="7702" max="7702" width="3.5703125" customWidth="1"/>
    <col min="7703" max="7703" width="13.85546875" customWidth="1"/>
    <col min="7704" max="7704" width="5.5703125" customWidth="1"/>
    <col min="7705" max="7705" width="19.7109375" customWidth="1"/>
    <col min="7706" max="7706" width="2.140625" customWidth="1"/>
    <col min="7707" max="7707" width="13.5703125" customWidth="1"/>
    <col min="7949" max="7949" width="2" customWidth="1"/>
    <col min="7950" max="7950" width="8.28515625" customWidth="1"/>
    <col min="7951" max="7951" width="15.42578125" customWidth="1"/>
    <col min="7952" max="7952" width="8.7109375" customWidth="1"/>
    <col min="7953" max="7953" width="8" customWidth="1"/>
    <col min="7954" max="7954" width="6" customWidth="1"/>
    <col min="7955" max="7955" width="6.5703125" customWidth="1"/>
    <col min="7956" max="7956" width="9.5703125" customWidth="1"/>
    <col min="7957" max="7957" width="11.5703125" customWidth="1"/>
    <col min="7958" max="7958" width="3.5703125" customWidth="1"/>
    <col min="7959" max="7959" width="13.85546875" customWidth="1"/>
    <col min="7960" max="7960" width="5.5703125" customWidth="1"/>
    <col min="7961" max="7961" width="19.7109375" customWidth="1"/>
    <col min="7962" max="7962" width="2.140625" customWidth="1"/>
    <col min="7963" max="7963" width="13.5703125" customWidth="1"/>
    <col min="8205" max="8205" width="2" customWidth="1"/>
    <col min="8206" max="8206" width="8.28515625" customWidth="1"/>
    <col min="8207" max="8207" width="15.42578125" customWidth="1"/>
    <col min="8208" max="8208" width="8.7109375" customWidth="1"/>
    <col min="8209" max="8209" width="8" customWidth="1"/>
    <col min="8210" max="8210" width="6" customWidth="1"/>
    <col min="8211" max="8211" width="6.5703125" customWidth="1"/>
    <col min="8212" max="8212" width="9.5703125" customWidth="1"/>
    <col min="8213" max="8213" width="11.5703125" customWidth="1"/>
    <col min="8214" max="8214" width="3.5703125" customWidth="1"/>
    <col min="8215" max="8215" width="13.85546875" customWidth="1"/>
    <col min="8216" max="8216" width="5.5703125" customWidth="1"/>
    <col min="8217" max="8217" width="19.7109375" customWidth="1"/>
    <col min="8218" max="8218" width="2.140625" customWidth="1"/>
    <col min="8219" max="8219" width="13.5703125" customWidth="1"/>
    <col min="8461" max="8461" width="2" customWidth="1"/>
    <col min="8462" max="8462" width="8.28515625" customWidth="1"/>
    <col min="8463" max="8463" width="15.42578125" customWidth="1"/>
    <col min="8464" max="8464" width="8.7109375" customWidth="1"/>
    <col min="8465" max="8465" width="8" customWidth="1"/>
    <col min="8466" max="8466" width="6" customWidth="1"/>
    <col min="8467" max="8467" width="6.5703125" customWidth="1"/>
    <col min="8468" max="8468" width="9.5703125" customWidth="1"/>
    <col min="8469" max="8469" width="11.5703125" customWidth="1"/>
    <col min="8470" max="8470" width="3.5703125" customWidth="1"/>
    <col min="8471" max="8471" width="13.85546875" customWidth="1"/>
    <col min="8472" max="8472" width="5.5703125" customWidth="1"/>
    <col min="8473" max="8473" width="19.7109375" customWidth="1"/>
    <col min="8474" max="8474" width="2.140625" customWidth="1"/>
    <col min="8475" max="8475" width="13.5703125" customWidth="1"/>
    <col min="8717" max="8717" width="2" customWidth="1"/>
    <col min="8718" max="8718" width="8.28515625" customWidth="1"/>
    <col min="8719" max="8719" width="15.42578125" customWidth="1"/>
    <col min="8720" max="8720" width="8.7109375" customWidth="1"/>
    <col min="8721" max="8721" width="8" customWidth="1"/>
    <col min="8722" max="8722" width="6" customWidth="1"/>
    <col min="8723" max="8723" width="6.5703125" customWidth="1"/>
    <col min="8724" max="8724" width="9.5703125" customWidth="1"/>
    <col min="8725" max="8725" width="11.5703125" customWidth="1"/>
    <col min="8726" max="8726" width="3.5703125" customWidth="1"/>
    <col min="8727" max="8727" width="13.85546875" customWidth="1"/>
    <col min="8728" max="8728" width="5.5703125" customWidth="1"/>
    <col min="8729" max="8729" width="19.7109375" customWidth="1"/>
    <col min="8730" max="8730" width="2.140625" customWidth="1"/>
    <col min="8731" max="8731" width="13.5703125" customWidth="1"/>
    <col min="8973" max="8973" width="2" customWidth="1"/>
    <col min="8974" max="8974" width="8.28515625" customWidth="1"/>
    <col min="8975" max="8975" width="15.42578125" customWidth="1"/>
    <col min="8976" max="8976" width="8.7109375" customWidth="1"/>
    <col min="8977" max="8977" width="8" customWidth="1"/>
    <col min="8978" max="8978" width="6" customWidth="1"/>
    <col min="8979" max="8979" width="6.5703125" customWidth="1"/>
    <col min="8980" max="8980" width="9.5703125" customWidth="1"/>
    <col min="8981" max="8981" width="11.5703125" customWidth="1"/>
    <col min="8982" max="8982" width="3.5703125" customWidth="1"/>
    <col min="8983" max="8983" width="13.85546875" customWidth="1"/>
    <col min="8984" max="8984" width="5.5703125" customWidth="1"/>
    <col min="8985" max="8985" width="19.7109375" customWidth="1"/>
    <col min="8986" max="8986" width="2.140625" customWidth="1"/>
    <col min="8987" max="8987" width="13.5703125" customWidth="1"/>
    <col min="9229" max="9229" width="2" customWidth="1"/>
    <col min="9230" max="9230" width="8.28515625" customWidth="1"/>
    <col min="9231" max="9231" width="15.42578125" customWidth="1"/>
    <col min="9232" max="9232" width="8.7109375" customWidth="1"/>
    <col min="9233" max="9233" width="8" customWidth="1"/>
    <col min="9234" max="9234" width="6" customWidth="1"/>
    <col min="9235" max="9235" width="6.5703125" customWidth="1"/>
    <col min="9236" max="9236" width="9.5703125" customWidth="1"/>
    <col min="9237" max="9237" width="11.5703125" customWidth="1"/>
    <col min="9238" max="9238" width="3.5703125" customWidth="1"/>
    <col min="9239" max="9239" width="13.85546875" customWidth="1"/>
    <col min="9240" max="9240" width="5.5703125" customWidth="1"/>
    <col min="9241" max="9241" width="19.7109375" customWidth="1"/>
    <col min="9242" max="9242" width="2.140625" customWidth="1"/>
    <col min="9243" max="9243" width="13.5703125" customWidth="1"/>
    <col min="9485" max="9485" width="2" customWidth="1"/>
    <col min="9486" max="9486" width="8.28515625" customWidth="1"/>
    <col min="9487" max="9487" width="15.42578125" customWidth="1"/>
    <col min="9488" max="9488" width="8.7109375" customWidth="1"/>
    <col min="9489" max="9489" width="8" customWidth="1"/>
    <col min="9490" max="9490" width="6" customWidth="1"/>
    <col min="9491" max="9491" width="6.5703125" customWidth="1"/>
    <col min="9492" max="9492" width="9.5703125" customWidth="1"/>
    <col min="9493" max="9493" width="11.5703125" customWidth="1"/>
    <col min="9494" max="9494" width="3.5703125" customWidth="1"/>
    <col min="9495" max="9495" width="13.85546875" customWidth="1"/>
    <col min="9496" max="9496" width="5.5703125" customWidth="1"/>
    <col min="9497" max="9497" width="19.7109375" customWidth="1"/>
    <col min="9498" max="9498" width="2.140625" customWidth="1"/>
    <col min="9499" max="9499" width="13.5703125" customWidth="1"/>
    <col min="9741" max="9741" width="2" customWidth="1"/>
    <col min="9742" max="9742" width="8.28515625" customWidth="1"/>
    <col min="9743" max="9743" width="15.42578125" customWidth="1"/>
    <col min="9744" max="9744" width="8.7109375" customWidth="1"/>
    <col min="9745" max="9745" width="8" customWidth="1"/>
    <col min="9746" max="9746" width="6" customWidth="1"/>
    <col min="9747" max="9747" width="6.5703125" customWidth="1"/>
    <col min="9748" max="9748" width="9.5703125" customWidth="1"/>
    <col min="9749" max="9749" width="11.5703125" customWidth="1"/>
    <col min="9750" max="9750" width="3.5703125" customWidth="1"/>
    <col min="9751" max="9751" width="13.85546875" customWidth="1"/>
    <col min="9752" max="9752" width="5.5703125" customWidth="1"/>
    <col min="9753" max="9753" width="19.7109375" customWidth="1"/>
    <col min="9754" max="9754" width="2.140625" customWidth="1"/>
    <col min="9755" max="9755" width="13.5703125" customWidth="1"/>
    <col min="9997" max="9997" width="2" customWidth="1"/>
    <col min="9998" max="9998" width="8.28515625" customWidth="1"/>
    <col min="9999" max="9999" width="15.42578125" customWidth="1"/>
    <col min="10000" max="10000" width="8.7109375" customWidth="1"/>
    <col min="10001" max="10001" width="8" customWidth="1"/>
    <col min="10002" max="10002" width="6" customWidth="1"/>
    <col min="10003" max="10003" width="6.5703125" customWidth="1"/>
    <col min="10004" max="10004" width="9.5703125" customWidth="1"/>
    <col min="10005" max="10005" width="11.5703125" customWidth="1"/>
    <col min="10006" max="10006" width="3.5703125" customWidth="1"/>
    <col min="10007" max="10007" width="13.85546875" customWidth="1"/>
    <col min="10008" max="10008" width="5.5703125" customWidth="1"/>
    <col min="10009" max="10009" width="19.7109375" customWidth="1"/>
    <col min="10010" max="10010" width="2.140625" customWidth="1"/>
    <col min="10011" max="10011" width="13.5703125" customWidth="1"/>
    <col min="10253" max="10253" width="2" customWidth="1"/>
    <col min="10254" max="10254" width="8.28515625" customWidth="1"/>
    <col min="10255" max="10255" width="15.42578125" customWidth="1"/>
    <col min="10256" max="10256" width="8.7109375" customWidth="1"/>
    <col min="10257" max="10257" width="8" customWidth="1"/>
    <col min="10258" max="10258" width="6" customWidth="1"/>
    <col min="10259" max="10259" width="6.5703125" customWidth="1"/>
    <col min="10260" max="10260" width="9.5703125" customWidth="1"/>
    <col min="10261" max="10261" width="11.5703125" customWidth="1"/>
    <col min="10262" max="10262" width="3.5703125" customWidth="1"/>
    <col min="10263" max="10263" width="13.85546875" customWidth="1"/>
    <col min="10264" max="10264" width="5.5703125" customWidth="1"/>
    <col min="10265" max="10265" width="19.7109375" customWidth="1"/>
    <col min="10266" max="10266" width="2.140625" customWidth="1"/>
    <col min="10267" max="10267" width="13.5703125" customWidth="1"/>
    <col min="10509" max="10509" width="2" customWidth="1"/>
    <col min="10510" max="10510" width="8.28515625" customWidth="1"/>
    <col min="10511" max="10511" width="15.42578125" customWidth="1"/>
    <col min="10512" max="10512" width="8.7109375" customWidth="1"/>
    <col min="10513" max="10513" width="8" customWidth="1"/>
    <col min="10514" max="10514" width="6" customWidth="1"/>
    <col min="10515" max="10515" width="6.5703125" customWidth="1"/>
    <col min="10516" max="10516" width="9.5703125" customWidth="1"/>
    <col min="10517" max="10517" width="11.5703125" customWidth="1"/>
    <col min="10518" max="10518" width="3.5703125" customWidth="1"/>
    <col min="10519" max="10519" width="13.85546875" customWidth="1"/>
    <col min="10520" max="10520" width="5.5703125" customWidth="1"/>
    <col min="10521" max="10521" width="19.7109375" customWidth="1"/>
    <col min="10522" max="10522" width="2.140625" customWidth="1"/>
    <col min="10523" max="10523" width="13.5703125" customWidth="1"/>
    <col min="10765" max="10765" width="2" customWidth="1"/>
    <col min="10766" max="10766" width="8.28515625" customWidth="1"/>
    <col min="10767" max="10767" width="15.42578125" customWidth="1"/>
    <col min="10768" max="10768" width="8.7109375" customWidth="1"/>
    <col min="10769" max="10769" width="8" customWidth="1"/>
    <col min="10770" max="10770" width="6" customWidth="1"/>
    <col min="10771" max="10771" width="6.5703125" customWidth="1"/>
    <col min="10772" max="10772" width="9.5703125" customWidth="1"/>
    <col min="10773" max="10773" width="11.5703125" customWidth="1"/>
    <col min="10774" max="10774" width="3.5703125" customWidth="1"/>
    <col min="10775" max="10775" width="13.85546875" customWidth="1"/>
    <col min="10776" max="10776" width="5.5703125" customWidth="1"/>
    <col min="10777" max="10777" width="19.7109375" customWidth="1"/>
    <col min="10778" max="10778" width="2.140625" customWidth="1"/>
    <col min="10779" max="10779" width="13.5703125" customWidth="1"/>
    <col min="11021" max="11021" width="2" customWidth="1"/>
    <col min="11022" max="11022" width="8.28515625" customWidth="1"/>
    <col min="11023" max="11023" width="15.42578125" customWidth="1"/>
    <col min="11024" max="11024" width="8.7109375" customWidth="1"/>
    <col min="11025" max="11025" width="8" customWidth="1"/>
    <col min="11026" max="11026" width="6" customWidth="1"/>
    <col min="11027" max="11027" width="6.5703125" customWidth="1"/>
    <col min="11028" max="11028" width="9.5703125" customWidth="1"/>
    <col min="11029" max="11029" width="11.5703125" customWidth="1"/>
    <col min="11030" max="11030" width="3.5703125" customWidth="1"/>
    <col min="11031" max="11031" width="13.85546875" customWidth="1"/>
    <col min="11032" max="11032" width="5.5703125" customWidth="1"/>
    <col min="11033" max="11033" width="19.7109375" customWidth="1"/>
    <col min="11034" max="11034" width="2.140625" customWidth="1"/>
    <col min="11035" max="11035" width="13.5703125" customWidth="1"/>
    <col min="11277" max="11277" width="2" customWidth="1"/>
    <col min="11278" max="11278" width="8.28515625" customWidth="1"/>
    <col min="11279" max="11279" width="15.42578125" customWidth="1"/>
    <col min="11280" max="11280" width="8.7109375" customWidth="1"/>
    <col min="11281" max="11281" width="8" customWidth="1"/>
    <col min="11282" max="11282" width="6" customWidth="1"/>
    <col min="11283" max="11283" width="6.5703125" customWidth="1"/>
    <col min="11284" max="11284" width="9.5703125" customWidth="1"/>
    <col min="11285" max="11285" width="11.5703125" customWidth="1"/>
    <col min="11286" max="11286" width="3.5703125" customWidth="1"/>
    <col min="11287" max="11287" width="13.85546875" customWidth="1"/>
    <col min="11288" max="11288" width="5.5703125" customWidth="1"/>
    <col min="11289" max="11289" width="19.7109375" customWidth="1"/>
    <col min="11290" max="11290" width="2.140625" customWidth="1"/>
    <col min="11291" max="11291" width="13.5703125" customWidth="1"/>
    <col min="11533" max="11533" width="2" customWidth="1"/>
    <col min="11534" max="11534" width="8.28515625" customWidth="1"/>
    <col min="11535" max="11535" width="15.42578125" customWidth="1"/>
    <col min="11536" max="11536" width="8.7109375" customWidth="1"/>
    <col min="11537" max="11537" width="8" customWidth="1"/>
    <col min="11538" max="11538" width="6" customWidth="1"/>
    <col min="11539" max="11539" width="6.5703125" customWidth="1"/>
    <col min="11540" max="11540" width="9.5703125" customWidth="1"/>
    <col min="11541" max="11541" width="11.5703125" customWidth="1"/>
    <col min="11542" max="11542" width="3.5703125" customWidth="1"/>
    <col min="11543" max="11543" width="13.85546875" customWidth="1"/>
    <col min="11544" max="11544" width="5.5703125" customWidth="1"/>
    <col min="11545" max="11545" width="19.7109375" customWidth="1"/>
    <col min="11546" max="11546" width="2.140625" customWidth="1"/>
    <col min="11547" max="11547" width="13.5703125" customWidth="1"/>
    <col min="11789" max="11789" width="2" customWidth="1"/>
    <col min="11790" max="11790" width="8.28515625" customWidth="1"/>
    <col min="11791" max="11791" width="15.42578125" customWidth="1"/>
    <col min="11792" max="11792" width="8.7109375" customWidth="1"/>
    <col min="11793" max="11793" width="8" customWidth="1"/>
    <col min="11794" max="11794" width="6" customWidth="1"/>
    <col min="11795" max="11795" width="6.5703125" customWidth="1"/>
    <col min="11796" max="11796" width="9.5703125" customWidth="1"/>
    <col min="11797" max="11797" width="11.5703125" customWidth="1"/>
    <col min="11798" max="11798" width="3.5703125" customWidth="1"/>
    <col min="11799" max="11799" width="13.85546875" customWidth="1"/>
    <col min="11800" max="11800" width="5.5703125" customWidth="1"/>
    <col min="11801" max="11801" width="19.7109375" customWidth="1"/>
    <col min="11802" max="11802" width="2.140625" customWidth="1"/>
    <col min="11803" max="11803" width="13.5703125" customWidth="1"/>
    <col min="12045" max="12045" width="2" customWidth="1"/>
    <col min="12046" max="12046" width="8.28515625" customWidth="1"/>
    <col min="12047" max="12047" width="15.42578125" customWidth="1"/>
    <col min="12048" max="12048" width="8.7109375" customWidth="1"/>
    <col min="12049" max="12049" width="8" customWidth="1"/>
    <col min="12050" max="12050" width="6" customWidth="1"/>
    <col min="12051" max="12051" width="6.5703125" customWidth="1"/>
    <col min="12052" max="12052" width="9.5703125" customWidth="1"/>
    <col min="12053" max="12053" width="11.5703125" customWidth="1"/>
    <col min="12054" max="12054" width="3.5703125" customWidth="1"/>
    <col min="12055" max="12055" width="13.85546875" customWidth="1"/>
    <col min="12056" max="12056" width="5.5703125" customWidth="1"/>
    <col min="12057" max="12057" width="19.7109375" customWidth="1"/>
    <col min="12058" max="12058" width="2.140625" customWidth="1"/>
    <col min="12059" max="12059" width="13.5703125" customWidth="1"/>
    <col min="12301" max="12301" width="2" customWidth="1"/>
    <col min="12302" max="12302" width="8.28515625" customWidth="1"/>
    <col min="12303" max="12303" width="15.42578125" customWidth="1"/>
    <col min="12304" max="12304" width="8.7109375" customWidth="1"/>
    <col min="12305" max="12305" width="8" customWidth="1"/>
    <col min="12306" max="12306" width="6" customWidth="1"/>
    <col min="12307" max="12307" width="6.5703125" customWidth="1"/>
    <col min="12308" max="12308" width="9.5703125" customWidth="1"/>
    <col min="12309" max="12309" width="11.5703125" customWidth="1"/>
    <col min="12310" max="12310" width="3.5703125" customWidth="1"/>
    <col min="12311" max="12311" width="13.85546875" customWidth="1"/>
    <col min="12312" max="12312" width="5.5703125" customWidth="1"/>
    <col min="12313" max="12313" width="19.7109375" customWidth="1"/>
    <col min="12314" max="12314" width="2.140625" customWidth="1"/>
    <col min="12315" max="12315" width="13.5703125" customWidth="1"/>
    <col min="12557" max="12557" width="2" customWidth="1"/>
    <col min="12558" max="12558" width="8.28515625" customWidth="1"/>
    <col min="12559" max="12559" width="15.42578125" customWidth="1"/>
    <col min="12560" max="12560" width="8.7109375" customWidth="1"/>
    <col min="12561" max="12561" width="8" customWidth="1"/>
    <col min="12562" max="12562" width="6" customWidth="1"/>
    <col min="12563" max="12563" width="6.5703125" customWidth="1"/>
    <col min="12564" max="12564" width="9.5703125" customWidth="1"/>
    <col min="12565" max="12565" width="11.5703125" customWidth="1"/>
    <col min="12566" max="12566" width="3.5703125" customWidth="1"/>
    <col min="12567" max="12567" width="13.85546875" customWidth="1"/>
    <col min="12568" max="12568" width="5.5703125" customWidth="1"/>
    <col min="12569" max="12569" width="19.7109375" customWidth="1"/>
    <col min="12570" max="12570" width="2.140625" customWidth="1"/>
    <col min="12571" max="12571" width="13.5703125" customWidth="1"/>
    <col min="12813" max="12813" width="2" customWidth="1"/>
    <col min="12814" max="12814" width="8.28515625" customWidth="1"/>
    <col min="12815" max="12815" width="15.42578125" customWidth="1"/>
    <col min="12816" max="12816" width="8.7109375" customWidth="1"/>
    <col min="12817" max="12817" width="8" customWidth="1"/>
    <col min="12818" max="12818" width="6" customWidth="1"/>
    <col min="12819" max="12819" width="6.5703125" customWidth="1"/>
    <col min="12820" max="12820" width="9.5703125" customWidth="1"/>
    <col min="12821" max="12821" width="11.5703125" customWidth="1"/>
    <col min="12822" max="12822" width="3.5703125" customWidth="1"/>
    <col min="12823" max="12823" width="13.85546875" customWidth="1"/>
    <col min="12824" max="12824" width="5.5703125" customWidth="1"/>
    <col min="12825" max="12825" width="19.7109375" customWidth="1"/>
    <col min="12826" max="12826" width="2.140625" customWidth="1"/>
    <col min="12827" max="12827" width="13.5703125" customWidth="1"/>
    <col min="13069" max="13069" width="2" customWidth="1"/>
    <col min="13070" max="13070" width="8.28515625" customWidth="1"/>
    <col min="13071" max="13071" width="15.42578125" customWidth="1"/>
    <col min="13072" max="13072" width="8.7109375" customWidth="1"/>
    <col min="13073" max="13073" width="8" customWidth="1"/>
    <col min="13074" max="13074" width="6" customWidth="1"/>
    <col min="13075" max="13075" width="6.5703125" customWidth="1"/>
    <col min="13076" max="13076" width="9.5703125" customWidth="1"/>
    <col min="13077" max="13077" width="11.5703125" customWidth="1"/>
    <col min="13078" max="13078" width="3.5703125" customWidth="1"/>
    <col min="13079" max="13079" width="13.85546875" customWidth="1"/>
    <col min="13080" max="13080" width="5.5703125" customWidth="1"/>
    <col min="13081" max="13081" width="19.7109375" customWidth="1"/>
    <col min="13082" max="13082" width="2.140625" customWidth="1"/>
    <col min="13083" max="13083" width="13.5703125" customWidth="1"/>
    <col min="13325" max="13325" width="2" customWidth="1"/>
    <col min="13326" max="13326" width="8.28515625" customWidth="1"/>
    <col min="13327" max="13327" width="15.42578125" customWidth="1"/>
    <col min="13328" max="13328" width="8.7109375" customWidth="1"/>
    <col min="13329" max="13329" width="8" customWidth="1"/>
    <col min="13330" max="13330" width="6" customWidth="1"/>
    <col min="13331" max="13331" width="6.5703125" customWidth="1"/>
    <col min="13332" max="13332" width="9.5703125" customWidth="1"/>
    <col min="13333" max="13333" width="11.5703125" customWidth="1"/>
    <col min="13334" max="13334" width="3.5703125" customWidth="1"/>
    <col min="13335" max="13335" width="13.85546875" customWidth="1"/>
    <col min="13336" max="13336" width="5.5703125" customWidth="1"/>
    <col min="13337" max="13337" width="19.7109375" customWidth="1"/>
    <col min="13338" max="13338" width="2.140625" customWidth="1"/>
    <col min="13339" max="13339" width="13.5703125" customWidth="1"/>
    <col min="13581" max="13581" width="2" customWidth="1"/>
    <col min="13582" max="13582" width="8.28515625" customWidth="1"/>
    <col min="13583" max="13583" width="15.42578125" customWidth="1"/>
    <col min="13584" max="13584" width="8.7109375" customWidth="1"/>
    <col min="13585" max="13585" width="8" customWidth="1"/>
    <col min="13586" max="13586" width="6" customWidth="1"/>
    <col min="13587" max="13587" width="6.5703125" customWidth="1"/>
    <col min="13588" max="13588" width="9.5703125" customWidth="1"/>
    <col min="13589" max="13589" width="11.5703125" customWidth="1"/>
    <col min="13590" max="13590" width="3.5703125" customWidth="1"/>
    <col min="13591" max="13591" width="13.85546875" customWidth="1"/>
    <col min="13592" max="13592" width="5.5703125" customWidth="1"/>
    <col min="13593" max="13593" width="19.7109375" customWidth="1"/>
    <col min="13594" max="13594" width="2.140625" customWidth="1"/>
    <col min="13595" max="13595" width="13.5703125" customWidth="1"/>
    <col min="13837" max="13837" width="2" customWidth="1"/>
    <col min="13838" max="13838" width="8.28515625" customWidth="1"/>
    <col min="13839" max="13839" width="15.42578125" customWidth="1"/>
    <col min="13840" max="13840" width="8.7109375" customWidth="1"/>
    <col min="13841" max="13841" width="8" customWidth="1"/>
    <col min="13842" max="13842" width="6" customWidth="1"/>
    <col min="13843" max="13843" width="6.5703125" customWidth="1"/>
    <col min="13844" max="13844" width="9.5703125" customWidth="1"/>
    <col min="13845" max="13845" width="11.5703125" customWidth="1"/>
    <col min="13846" max="13846" width="3.5703125" customWidth="1"/>
    <col min="13847" max="13847" width="13.85546875" customWidth="1"/>
    <col min="13848" max="13848" width="5.5703125" customWidth="1"/>
    <col min="13849" max="13849" width="19.7109375" customWidth="1"/>
    <col min="13850" max="13850" width="2.140625" customWidth="1"/>
    <col min="13851" max="13851" width="13.5703125" customWidth="1"/>
    <col min="14093" max="14093" width="2" customWidth="1"/>
    <col min="14094" max="14094" width="8.28515625" customWidth="1"/>
    <col min="14095" max="14095" width="15.42578125" customWidth="1"/>
    <col min="14096" max="14096" width="8.7109375" customWidth="1"/>
    <col min="14097" max="14097" width="8" customWidth="1"/>
    <col min="14098" max="14098" width="6" customWidth="1"/>
    <col min="14099" max="14099" width="6.5703125" customWidth="1"/>
    <col min="14100" max="14100" width="9.5703125" customWidth="1"/>
    <col min="14101" max="14101" width="11.5703125" customWidth="1"/>
    <col min="14102" max="14102" width="3.5703125" customWidth="1"/>
    <col min="14103" max="14103" width="13.85546875" customWidth="1"/>
    <col min="14104" max="14104" width="5.5703125" customWidth="1"/>
    <col min="14105" max="14105" width="19.7109375" customWidth="1"/>
    <col min="14106" max="14106" width="2.140625" customWidth="1"/>
    <col min="14107" max="14107" width="13.5703125" customWidth="1"/>
    <col min="14349" max="14349" width="2" customWidth="1"/>
    <col min="14350" max="14350" width="8.28515625" customWidth="1"/>
    <col min="14351" max="14351" width="15.42578125" customWidth="1"/>
    <col min="14352" max="14352" width="8.7109375" customWidth="1"/>
    <col min="14353" max="14353" width="8" customWidth="1"/>
    <col min="14354" max="14354" width="6" customWidth="1"/>
    <col min="14355" max="14355" width="6.5703125" customWidth="1"/>
    <col min="14356" max="14356" width="9.5703125" customWidth="1"/>
    <col min="14357" max="14357" width="11.5703125" customWidth="1"/>
    <col min="14358" max="14358" width="3.5703125" customWidth="1"/>
    <col min="14359" max="14359" width="13.85546875" customWidth="1"/>
    <col min="14360" max="14360" width="5.5703125" customWidth="1"/>
    <col min="14361" max="14361" width="19.7109375" customWidth="1"/>
    <col min="14362" max="14362" width="2.140625" customWidth="1"/>
    <col min="14363" max="14363" width="13.5703125" customWidth="1"/>
    <col min="14605" max="14605" width="2" customWidth="1"/>
    <col min="14606" max="14606" width="8.28515625" customWidth="1"/>
    <col min="14607" max="14607" width="15.42578125" customWidth="1"/>
    <col min="14608" max="14608" width="8.7109375" customWidth="1"/>
    <col min="14609" max="14609" width="8" customWidth="1"/>
    <col min="14610" max="14610" width="6" customWidth="1"/>
    <col min="14611" max="14611" width="6.5703125" customWidth="1"/>
    <col min="14612" max="14612" width="9.5703125" customWidth="1"/>
    <col min="14613" max="14613" width="11.5703125" customWidth="1"/>
    <col min="14614" max="14614" width="3.5703125" customWidth="1"/>
    <col min="14615" max="14615" width="13.85546875" customWidth="1"/>
    <col min="14616" max="14616" width="5.5703125" customWidth="1"/>
    <col min="14617" max="14617" width="19.7109375" customWidth="1"/>
    <col min="14618" max="14618" width="2.140625" customWidth="1"/>
    <col min="14619" max="14619" width="13.5703125" customWidth="1"/>
    <col min="14861" max="14861" width="2" customWidth="1"/>
    <col min="14862" max="14862" width="8.28515625" customWidth="1"/>
    <col min="14863" max="14863" width="15.42578125" customWidth="1"/>
    <col min="14864" max="14864" width="8.7109375" customWidth="1"/>
    <col min="14865" max="14865" width="8" customWidth="1"/>
    <col min="14866" max="14866" width="6" customWidth="1"/>
    <col min="14867" max="14867" width="6.5703125" customWidth="1"/>
    <col min="14868" max="14868" width="9.5703125" customWidth="1"/>
    <col min="14869" max="14869" width="11.5703125" customWidth="1"/>
    <col min="14870" max="14870" width="3.5703125" customWidth="1"/>
    <col min="14871" max="14871" width="13.85546875" customWidth="1"/>
    <col min="14872" max="14872" width="5.5703125" customWidth="1"/>
    <col min="14873" max="14873" width="19.7109375" customWidth="1"/>
    <col min="14874" max="14874" width="2.140625" customWidth="1"/>
    <col min="14875" max="14875" width="13.5703125" customWidth="1"/>
    <col min="15117" max="15117" width="2" customWidth="1"/>
    <col min="15118" max="15118" width="8.28515625" customWidth="1"/>
    <col min="15119" max="15119" width="15.42578125" customWidth="1"/>
    <col min="15120" max="15120" width="8.7109375" customWidth="1"/>
    <col min="15121" max="15121" width="8" customWidth="1"/>
    <col min="15122" max="15122" width="6" customWidth="1"/>
    <col min="15123" max="15123" width="6.5703125" customWidth="1"/>
    <col min="15124" max="15124" width="9.5703125" customWidth="1"/>
    <col min="15125" max="15125" width="11.5703125" customWidth="1"/>
    <col min="15126" max="15126" width="3.5703125" customWidth="1"/>
    <col min="15127" max="15127" width="13.85546875" customWidth="1"/>
    <col min="15128" max="15128" width="5.5703125" customWidth="1"/>
    <col min="15129" max="15129" width="19.7109375" customWidth="1"/>
    <col min="15130" max="15130" width="2.140625" customWidth="1"/>
    <col min="15131" max="15131" width="13.5703125" customWidth="1"/>
    <col min="15373" max="15373" width="2" customWidth="1"/>
    <col min="15374" max="15374" width="8.28515625" customWidth="1"/>
    <col min="15375" max="15375" width="15.42578125" customWidth="1"/>
    <col min="15376" max="15376" width="8.7109375" customWidth="1"/>
    <col min="15377" max="15377" width="8" customWidth="1"/>
    <col min="15378" max="15378" width="6" customWidth="1"/>
    <col min="15379" max="15379" width="6.5703125" customWidth="1"/>
    <col min="15380" max="15380" width="9.5703125" customWidth="1"/>
    <col min="15381" max="15381" width="11.5703125" customWidth="1"/>
    <col min="15382" max="15382" width="3.5703125" customWidth="1"/>
    <col min="15383" max="15383" width="13.85546875" customWidth="1"/>
    <col min="15384" max="15384" width="5.5703125" customWidth="1"/>
    <col min="15385" max="15385" width="19.7109375" customWidth="1"/>
    <col min="15386" max="15386" width="2.140625" customWidth="1"/>
    <col min="15387" max="15387" width="13.5703125" customWidth="1"/>
    <col min="15629" max="15629" width="2" customWidth="1"/>
    <col min="15630" max="15630" width="8.28515625" customWidth="1"/>
    <col min="15631" max="15631" width="15.42578125" customWidth="1"/>
    <col min="15632" max="15632" width="8.7109375" customWidth="1"/>
    <col min="15633" max="15633" width="8" customWidth="1"/>
    <col min="15634" max="15634" width="6" customWidth="1"/>
    <col min="15635" max="15635" width="6.5703125" customWidth="1"/>
    <col min="15636" max="15636" width="9.5703125" customWidth="1"/>
    <col min="15637" max="15637" width="11.5703125" customWidth="1"/>
    <col min="15638" max="15638" width="3.5703125" customWidth="1"/>
    <col min="15639" max="15639" width="13.85546875" customWidth="1"/>
    <col min="15640" max="15640" width="5.5703125" customWidth="1"/>
    <col min="15641" max="15641" width="19.7109375" customWidth="1"/>
    <col min="15642" max="15642" width="2.140625" customWidth="1"/>
    <col min="15643" max="15643" width="13.5703125" customWidth="1"/>
    <col min="15885" max="15885" width="2" customWidth="1"/>
    <col min="15886" max="15886" width="8.28515625" customWidth="1"/>
    <col min="15887" max="15887" width="15.42578125" customWidth="1"/>
    <col min="15888" max="15888" width="8.7109375" customWidth="1"/>
    <col min="15889" max="15889" width="8" customWidth="1"/>
    <col min="15890" max="15890" width="6" customWidth="1"/>
    <col min="15891" max="15891" width="6.5703125" customWidth="1"/>
    <col min="15892" max="15892" width="9.5703125" customWidth="1"/>
    <col min="15893" max="15893" width="11.5703125" customWidth="1"/>
    <col min="15894" max="15894" width="3.5703125" customWidth="1"/>
    <col min="15895" max="15895" width="13.85546875" customWidth="1"/>
    <col min="15896" max="15896" width="5.5703125" customWidth="1"/>
    <col min="15897" max="15897" width="19.7109375" customWidth="1"/>
    <col min="15898" max="15898" width="2.140625" customWidth="1"/>
    <col min="15899" max="15899" width="13.5703125" customWidth="1"/>
    <col min="16141" max="16141" width="2" customWidth="1"/>
    <col min="16142" max="16142" width="8.28515625" customWidth="1"/>
    <col min="16143" max="16143" width="15.42578125" customWidth="1"/>
    <col min="16144" max="16144" width="8.7109375" customWidth="1"/>
    <col min="16145" max="16145" width="8" customWidth="1"/>
    <col min="16146" max="16146" width="6" customWidth="1"/>
    <col min="16147" max="16147" width="6.5703125" customWidth="1"/>
    <col min="16148" max="16148" width="9.5703125" customWidth="1"/>
    <col min="16149" max="16149" width="11.5703125" customWidth="1"/>
    <col min="16150" max="16150" width="3.5703125" customWidth="1"/>
    <col min="16151" max="16151" width="13.85546875" customWidth="1"/>
    <col min="16152" max="16152" width="5.5703125" customWidth="1"/>
    <col min="16153" max="16153" width="19.7109375" customWidth="1"/>
    <col min="16154" max="16154" width="2.140625" customWidth="1"/>
    <col min="16155" max="16155" width="13.5703125" customWidth="1"/>
  </cols>
  <sheetData>
    <row r="1" spans="1:42" ht="9" customHeight="1">
      <c r="A1" s="78"/>
      <c r="B1" s="78"/>
      <c r="C1" s="78"/>
      <c r="D1" s="78"/>
      <c r="E1" s="78"/>
      <c r="F1" s="78"/>
      <c r="G1" s="78"/>
      <c r="H1" s="78"/>
      <c r="I1" s="78"/>
      <c r="J1" s="78"/>
      <c r="K1" s="78"/>
      <c r="L1" s="78"/>
      <c r="M1" s="78"/>
      <c r="N1" s="78"/>
      <c r="O1" s="78"/>
      <c r="P1" s="78"/>
      <c r="Q1" s="78"/>
      <c r="R1" s="78"/>
      <c r="S1" s="78"/>
      <c r="T1" s="661"/>
      <c r="U1" s="661"/>
      <c r="V1" s="661"/>
      <c r="Y1" s="2352"/>
      <c r="Z1" s="2352"/>
      <c r="AA1" s="2352"/>
      <c r="AB1" s="2352"/>
      <c r="AC1" s="2352"/>
      <c r="AD1" s="2352"/>
      <c r="AE1" s="2352"/>
      <c r="AF1" s="2352"/>
      <c r="AG1" s="1357"/>
      <c r="AH1" s="2594"/>
      <c r="AI1" s="2594"/>
      <c r="AJ1" s="2594"/>
      <c r="AK1" s="2594"/>
      <c r="AL1" s="2594"/>
      <c r="AM1" s="2594"/>
      <c r="AN1" s="2594"/>
      <c r="AO1" s="2594"/>
      <c r="AP1" s="2594"/>
    </row>
    <row r="2" spans="1:42" ht="9" customHeight="1">
      <c r="A2" s="78"/>
      <c r="B2" s="78"/>
      <c r="C2" s="78"/>
      <c r="D2" s="78"/>
      <c r="E2" s="78"/>
      <c r="F2" s="78"/>
      <c r="G2" s="78"/>
      <c r="H2" s="78"/>
      <c r="I2" s="78"/>
      <c r="J2" s="78"/>
      <c r="K2" s="78"/>
      <c r="L2" s="78"/>
      <c r="M2" s="78"/>
      <c r="N2" s="78"/>
      <c r="O2" s="78"/>
      <c r="P2" s="78"/>
      <c r="Q2" s="78"/>
      <c r="R2" s="78"/>
      <c r="S2" s="78"/>
      <c r="T2" s="661"/>
      <c r="U2" s="661"/>
      <c r="V2" s="661"/>
      <c r="Y2" s="1697"/>
      <c r="Z2" s="2353"/>
      <c r="AA2" s="2353"/>
      <c r="AB2" s="2353"/>
      <c r="AC2" s="2353"/>
      <c r="AD2" s="2353"/>
      <c r="AE2" s="2353"/>
      <c r="AF2" s="2354"/>
      <c r="AG2" s="1410"/>
    </row>
    <row r="3" spans="1:42" ht="12.75" customHeight="1">
      <c r="A3" s="78"/>
      <c r="B3" s="3388"/>
      <c r="C3" s="282"/>
      <c r="D3" s="282"/>
      <c r="E3" s="294"/>
      <c r="F3" s="7514" t="s">
        <v>1156</v>
      </c>
      <c r="G3" s="7178"/>
      <c r="H3" s="7178"/>
      <c r="I3" s="7178"/>
      <c r="J3" s="7178"/>
      <c r="K3" s="7178"/>
      <c r="L3" s="7178"/>
      <c r="M3" s="1145"/>
      <c r="N3" s="1145"/>
      <c r="O3" s="1145"/>
      <c r="P3" s="1145"/>
      <c r="Q3" s="1145"/>
      <c r="R3" s="8459" t="s">
        <v>152</v>
      </c>
      <c r="S3" s="8460"/>
      <c r="T3" s="1602"/>
      <c r="U3" s="1602"/>
      <c r="V3" s="1602"/>
      <c r="Y3" s="2355"/>
      <c r="Z3" s="1416" t="s">
        <v>1887</v>
      </c>
      <c r="AA3" s="1410"/>
      <c r="AB3" s="1410"/>
      <c r="AC3" s="1410"/>
      <c r="AD3" s="1410"/>
      <c r="AE3" s="1410"/>
      <c r="AF3" s="2356"/>
      <c r="AG3" s="1410"/>
    </row>
    <row r="4" spans="1:42" ht="22.5" customHeight="1">
      <c r="A4" s="78"/>
      <c r="B4" s="8467" t="s">
        <v>291</v>
      </c>
      <c r="C4" s="8456">
        <v>2441</v>
      </c>
      <c r="D4" s="8457"/>
      <c r="E4" s="8458"/>
      <c r="F4" s="7514"/>
      <c r="G4" s="7178"/>
      <c r="H4" s="7178"/>
      <c r="I4" s="7178"/>
      <c r="J4" s="7178"/>
      <c r="K4" s="7178"/>
      <c r="L4" s="7178"/>
      <c r="M4" s="1145"/>
      <c r="N4" s="1145"/>
      <c r="O4" s="1145"/>
      <c r="P4" s="1145"/>
      <c r="Q4" s="1145"/>
      <c r="R4" s="8461">
        <f>TaxYear</f>
        <v>2021</v>
      </c>
      <c r="S4" s="8462"/>
      <c r="T4" s="1602"/>
      <c r="U4" s="1602"/>
      <c r="V4" s="1602"/>
      <c r="Y4" s="2355"/>
      <c r="Z4" s="1410" t="s">
        <v>1849</v>
      </c>
      <c r="AA4" s="1410"/>
      <c r="AB4" s="1410"/>
      <c r="AC4" s="1410"/>
      <c r="AD4" s="1410"/>
      <c r="AE4" s="1410"/>
      <c r="AF4" s="2356"/>
      <c r="AG4" s="1410"/>
      <c r="AH4" s="2594" t="s">
        <v>2033</v>
      </c>
      <c r="AI4" s="2594"/>
      <c r="AJ4" s="2594"/>
      <c r="AK4" s="2594"/>
      <c r="AL4" s="2594"/>
      <c r="AM4" s="2594"/>
      <c r="AN4" s="2594"/>
      <c r="AO4" s="2594"/>
      <c r="AP4" s="2594"/>
    </row>
    <row r="5" spans="1:42" ht="12.75" customHeight="1">
      <c r="A5" s="78"/>
      <c r="B5" s="8455"/>
      <c r="C5" s="8457"/>
      <c r="D5" s="8457"/>
      <c r="E5" s="8458"/>
      <c r="F5" s="8450" t="s">
        <v>3520</v>
      </c>
      <c r="G5" s="8451"/>
      <c r="H5" s="8451"/>
      <c r="I5" s="8451"/>
      <c r="J5" s="8451"/>
      <c r="K5" s="8451"/>
      <c r="L5" s="8451"/>
      <c r="M5" s="1145"/>
      <c r="N5" s="1145"/>
      <c r="O5" s="1145"/>
      <c r="P5" s="1145"/>
      <c r="Q5" s="1145"/>
      <c r="R5" s="8461"/>
      <c r="S5" s="8462"/>
      <c r="T5" s="1602"/>
      <c r="U5" s="1602"/>
      <c r="V5" s="1602"/>
      <c r="Y5" s="2355"/>
      <c r="Z5" s="1410" t="s">
        <v>1850</v>
      </c>
      <c r="AA5" s="1410"/>
      <c r="AB5" s="1410"/>
      <c r="AC5" s="1410"/>
      <c r="AD5" s="1410"/>
      <c r="AE5" s="1410"/>
      <c r="AF5" s="2356"/>
      <c r="AG5" s="1410"/>
    </row>
    <row r="6" spans="1:42" ht="12.75" customHeight="1">
      <c r="A6" s="78"/>
      <c r="B6" s="230" t="s">
        <v>1157</v>
      </c>
      <c r="C6" s="230"/>
      <c r="D6" s="230"/>
      <c r="E6" s="1663"/>
      <c r="F6" s="8450" t="s">
        <v>2036</v>
      </c>
      <c r="G6" s="8451"/>
      <c r="H6" s="8451"/>
      <c r="I6" s="8451"/>
      <c r="J6" s="8451"/>
      <c r="K6" s="8451"/>
      <c r="L6" s="8451"/>
      <c r="M6" s="1145"/>
      <c r="N6" s="1145"/>
      <c r="O6" s="1145"/>
      <c r="P6" s="1145"/>
      <c r="Q6" s="1145"/>
      <c r="R6" s="8463" t="s">
        <v>1158</v>
      </c>
      <c r="S6" s="8464"/>
      <c r="T6" s="1602"/>
      <c r="U6" s="1602"/>
      <c r="V6" s="1602"/>
      <c r="Y6" s="2355"/>
      <c r="Z6" s="1410" t="s">
        <v>1851</v>
      </c>
      <c r="AA6" s="1410"/>
      <c r="AB6" s="1410"/>
      <c r="AC6" s="1410"/>
      <c r="AD6" s="1410"/>
      <c r="AE6" s="1410"/>
      <c r="AF6" s="2356"/>
      <c r="AG6" s="1410"/>
    </row>
    <row r="7" spans="1:42" ht="18.75" thickBot="1">
      <c r="A7" s="78"/>
      <c r="B7" s="1061" t="s">
        <v>1159</v>
      </c>
      <c r="C7" s="3778"/>
      <c r="D7" s="3778"/>
      <c r="E7" s="3779"/>
      <c r="F7" s="8452" t="s">
        <v>2035</v>
      </c>
      <c r="G7" s="8453"/>
      <c r="H7" s="8453"/>
      <c r="I7" s="8453"/>
      <c r="J7" s="8453"/>
      <c r="K7" s="8453"/>
      <c r="L7" s="8453"/>
      <c r="M7" s="1145"/>
      <c r="N7" s="1145"/>
      <c r="O7" s="1145"/>
      <c r="P7" s="1145"/>
      <c r="Q7" s="1145"/>
      <c r="R7" s="8465" t="s">
        <v>3521</v>
      </c>
      <c r="S7" s="8466"/>
      <c r="T7" s="1602"/>
      <c r="U7" s="1602"/>
      <c r="V7" s="1602"/>
      <c r="W7" s="8385" t="s">
        <v>2593</v>
      </c>
      <c r="X7" s="8386"/>
      <c r="Y7" s="2355"/>
      <c r="Z7" s="1416" t="str">
        <f>"o You lived apart from your spouse during the last 6 months of "&amp;TaxYear&amp;"."</f>
        <v>o You lived apart from your spouse during the last 6 months of 2021.</v>
      </c>
      <c r="AA7" s="1410"/>
      <c r="AB7" s="1410"/>
      <c r="AC7" s="1410"/>
      <c r="AD7" s="1410"/>
      <c r="AE7" s="1410"/>
      <c r="AF7" s="2356"/>
      <c r="AG7" s="1410"/>
    </row>
    <row r="8" spans="1:42" ht="11.25" customHeight="1" thickTop="1">
      <c r="A8" s="78"/>
      <c r="B8" s="3780" t="s">
        <v>55</v>
      </c>
      <c r="C8" s="3781"/>
      <c r="D8" s="3781"/>
      <c r="E8" s="3781"/>
      <c r="F8" s="58"/>
      <c r="G8" s="57"/>
      <c r="H8" s="57"/>
      <c r="I8" s="57"/>
      <c r="J8" s="57"/>
      <c r="K8" s="3782"/>
      <c r="L8" s="3783"/>
      <c r="M8" s="3783"/>
      <c r="N8" s="3783"/>
      <c r="O8" s="7118" t="s">
        <v>89</v>
      </c>
      <c r="P8" s="7119"/>
      <c r="Q8" s="7119"/>
      <c r="R8" s="7119"/>
      <c r="S8" s="7119"/>
      <c r="T8" s="1603"/>
      <c r="U8" s="1603"/>
      <c r="V8" s="1603"/>
      <c r="W8" s="8385" t="s">
        <v>2594</v>
      </c>
      <c r="X8" s="8386"/>
      <c r="Y8" s="2355"/>
      <c r="Z8" s="1416" t="str">
        <f>"o Your home was the qualifying person's main home for more than half of "&amp;TaxYear&amp;"."</f>
        <v>o Your home was the qualifying person's main home for more than half of 2021.</v>
      </c>
      <c r="AA8" s="1410"/>
      <c r="AB8" s="1410"/>
      <c r="AC8" s="1410"/>
      <c r="AD8" s="1410"/>
      <c r="AE8" s="1410"/>
      <c r="AF8" s="2356"/>
      <c r="AG8" s="1410"/>
    </row>
    <row r="9" spans="1:42" ht="16.5" customHeight="1" thickBot="1">
      <c r="A9" s="78"/>
      <c r="B9" s="5598" t="str">
        <f>Names</f>
        <v/>
      </c>
      <c r="C9" s="5599"/>
      <c r="D9" s="5599"/>
      <c r="E9" s="5599"/>
      <c r="F9" s="5599"/>
      <c r="G9" s="5599"/>
      <c r="H9" s="5599"/>
      <c r="I9" s="5599"/>
      <c r="J9" s="5599"/>
      <c r="K9" s="5599"/>
      <c r="L9" s="5599"/>
      <c r="M9" s="5599"/>
      <c r="N9" s="5599"/>
      <c r="O9" s="8493">
        <f>IF(NoSSN,"",SS_Yours)</f>
        <v>1010001</v>
      </c>
      <c r="P9" s="8494"/>
      <c r="Q9" s="8494"/>
      <c r="R9" s="8494"/>
      <c r="S9" s="8494"/>
      <c r="T9" s="1603"/>
      <c r="U9" s="1603"/>
      <c r="V9" s="1603"/>
      <c r="W9" s="8385" t="s">
        <v>1852</v>
      </c>
      <c r="X9" s="8386"/>
      <c r="Y9" s="2355"/>
      <c r="Z9" s="1416" t="str">
        <f>"o You paid more than half of the cost of keeping up that home for "&amp;TaxYear&amp;"."</f>
        <v>o You paid more than half of the cost of keeping up that home for 2021.</v>
      </c>
      <c r="AA9" s="1410"/>
      <c r="AB9" s="1410"/>
      <c r="AC9" s="1410"/>
      <c r="AD9" s="1410"/>
      <c r="AE9" s="1410"/>
      <c r="AF9" s="2356"/>
      <c r="AG9" s="1410"/>
    </row>
    <row r="10" spans="1:42" ht="12.75" customHeight="1">
      <c r="A10" s="78"/>
      <c r="B10" s="997" t="s">
        <v>5359</v>
      </c>
      <c r="C10" s="134"/>
      <c r="D10" s="134"/>
      <c r="E10" s="134"/>
      <c r="F10" s="134"/>
      <c r="G10" s="134"/>
      <c r="H10" s="134"/>
      <c r="I10" s="1605"/>
      <c r="J10" s="1605"/>
      <c r="K10" s="134"/>
      <c r="L10" s="1606"/>
      <c r="M10" s="134"/>
      <c r="N10" s="134"/>
      <c r="O10" s="134"/>
      <c r="P10" s="134"/>
      <c r="Q10" s="134"/>
      <c r="R10" s="1607"/>
      <c r="S10" s="1607"/>
      <c r="T10" s="1602"/>
      <c r="U10" s="1602"/>
      <c r="V10" s="1602"/>
      <c r="W10" s="8385" t="s">
        <v>1853</v>
      </c>
      <c r="X10" s="8386"/>
      <c r="Y10" s="2355"/>
      <c r="Z10" s="1410"/>
      <c r="AA10" s="1410"/>
      <c r="AB10" s="1410"/>
      <c r="AC10" s="1410"/>
      <c r="AD10" s="1410"/>
      <c r="AE10" s="1410"/>
      <c r="AF10" s="2356"/>
      <c r="AG10" s="1410"/>
    </row>
    <row r="11" spans="1:42" ht="12.75" customHeight="1">
      <c r="A11" s="78"/>
      <c r="B11" s="5644" t="s">
        <v>2588</v>
      </c>
      <c r="C11" s="17"/>
      <c r="D11" s="17"/>
      <c r="E11" s="17"/>
      <c r="F11" s="17"/>
      <c r="G11" s="17"/>
      <c r="H11" s="17"/>
      <c r="I11" s="3396"/>
      <c r="J11" s="3396"/>
      <c r="K11" s="17"/>
      <c r="L11" s="3397"/>
      <c r="M11" s="17"/>
      <c r="N11" s="17"/>
      <c r="O11" s="17"/>
      <c r="P11" s="17"/>
      <c r="Q11" s="17"/>
      <c r="R11" s="3401" t="str">
        <f>IF(X19,"You are not eligible for this credit.",IF(X18,"Check 'Yes' or 'No' box at the right.    ","If you meet these requirements, check this box.   "))</f>
        <v xml:space="preserve">If you meet these requirements, check this box.   </v>
      </c>
      <c r="S11" s="3400" t="str">
        <f>IF(AND(File_Marr_Sep&lt;&gt;"",Z18&lt;&gt;""),"X","")</f>
        <v/>
      </c>
      <c r="T11" s="1602"/>
      <c r="U11" s="1602"/>
      <c r="V11" s="1602"/>
      <c r="W11" s="8385" t="s">
        <v>2590</v>
      </c>
      <c r="X11" s="8386"/>
      <c r="Y11" s="2355"/>
      <c r="Z11" s="1410"/>
      <c r="AA11" s="1410"/>
      <c r="AB11" s="1410"/>
      <c r="AC11" s="1410"/>
      <c r="AD11" s="1410"/>
      <c r="AE11" s="1410"/>
      <c r="AF11" s="2356"/>
      <c r="AG11" s="1410"/>
    </row>
    <row r="12" spans="1:42" ht="12.75" customHeight="1">
      <c r="A12" s="78"/>
      <c r="B12" s="5645" t="s">
        <v>5360</v>
      </c>
      <c r="C12" s="134"/>
      <c r="D12" s="134"/>
      <c r="E12" s="134"/>
      <c r="F12" s="134"/>
      <c r="G12" s="134"/>
      <c r="H12" s="134"/>
      <c r="I12" s="1605"/>
      <c r="J12" s="1605"/>
      <c r="K12" s="134"/>
      <c r="L12" s="1606"/>
      <c r="M12" s="134"/>
      <c r="N12" s="134"/>
      <c r="O12" s="134"/>
      <c r="P12" s="134"/>
      <c r="Q12" s="134"/>
      <c r="R12" s="1607"/>
      <c r="S12" s="4623"/>
      <c r="T12" s="1602"/>
      <c r="U12" s="1602"/>
      <c r="V12" s="1602"/>
      <c r="W12" s="8385" t="s">
        <v>2591</v>
      </c>
      <c r="X12" s="8386"/>
      <c r="Y12" s="2355"/>
      <c r="Z12" s="1410" t="s">
        <v>1891</v>
      </c>
      <c r="AA12" s="1410"/>
      <c r="AB12" s="1410"/>
      <c r="AC12" s="1410"/>
      <c r="AD12" s="1410"/>
      <c r="AE12" s="1410"/>
      <c r="AF12" s="2356"/>
      <c r="AG12" s="1410"/>
    </row>
    <row r="13" spans="1:42" ht="12.75" customHeight="1">
      <c r="A13" s="78"/>
      <c r="B13" s="997" t="s">
        <v>5361</v>
      </c>
      <c r="C13" s="17"/>
      <c r="D13" s="17"/>
      <c r="E13" s="17"/>
      <c r="F13" s="17"/>
      <c r="G13" s="17"/>
      <c r="H13" s="17"/>
      <c r="I13" s="3396"/>
      <c r="J13" s="3396"/>
      <c r="K13" s="17"/>
      <c r="L13" s="3397"/>
      <c r="M13" s="17"/>
      <c r="N13" s="17"/>
      <c r="O13" s="17"/>
      <c r="P13" s="17"/>
      <c r="Q13" s="17"/>
      <c r="R13" s="3401" t="s">
        <v>5362</v>
      </c>
      <c r="S13" s="2368" t="s">
        <v>1262</v>
      </c>
      <c r="T13" s="1602"/>
      <c r="U13" s="1602"/>
      <c r="V13" s="1602"/>
      <c r="W13" s="8390" t="s">
        <v>2592</v>
      </c>
      <c r="X13" s="8386"/>
      <c r="Y13" s="2355"/>
      <c r="Z13" s="1410"/>
      <c r="AA13" s="1410"/>
      <c r="AB13" s="1410"/>
      <c r="AC13" s="1410"/>
      <c r="AD13" s="1410"/>
      <c r="AE13" s="1410"/>
      <c r="AF13" s="2356"/>
      <c r="AG13" s="1410"/>
    </row>
    <row r="14" spans="1:42" ht="15" customHeight="1">
      <c r="A14" s="78"/>
      <c r="B14" s="1608" t="s">
        <v>51</v>
      </c>
      <c r="C14" s="1609" t="s">
        <v>1160</v>
      </c>
      <c r="D14" s="1609"/>
      <c r="E14" s="1609"/>
      <c r="F14" s="134"/>
      <c r="G14" s="134"/>
      <c r="H14" s="134"/>
      <c r="I14" s="134"/>
      <c r="J14" s="134"/>
      <c r="K14" s="134"/>
      <c r="L14" s="134"/>
      <c r="M14" s="134"/>
      <c r="N14" s="134"/>
      <c r="O14" s="134"/>
      <c r="P14" s="134"/>
      <c r="Q14" s="134"/>
      <c r="R14" s="3387"/>
      <c r="S14" s="3387"/>
      <c r="T14" s="1602"/>
      <c r="U14" s="1602"/>
      <c r="V14" s="1602"/>
      <c r="W14" s="8385" t="s">
        <v>1196</v>
      </c>
      <c r="X14" s="8386"/>
      <c r="Y14" s="2355"/>
      <c r="Z14" s="1410" t="s">
        <v>1888</v>
      </c>
      <c r="AA14" s="1410"/>
      <c r="AB14" s="1410"/>
      <c r="AC14" s="1410"/>
      <c r="AD14" s="1410"/>
      <c r="AE14" s="1410"/>
      <c r="AF14" s="2356"/>
      <c r="AG14" s="1410"/>
    </row>
    <row r="15" spans="1:42">
      <c r="A15" s="78"/>
      <c r="B15" s="17"/>
      <c r="C15" s="1622" t="s">
        <v>5303</v>
      </c>
      <c r="D15" s="17"/>
      <c r="E15" s="17"/>
      <c r="F15" s="17"/>
      <c r="G15" s="17"/>
      <c r="H15" s="17"/>
      <c r="I15" s="17"/>
      <c r="J15" s="17"/>
      <c r="K15" s="17"/>
      <c r="L15" s="17"/>
      <c r="M15" s="17"/>
      <c r="N15" s="17"/>
      <c r="O15" s="17"/>
      <c r="P15" s="17"/>
      <c r="Q15" s="17"/>
      <c r="R15" s="1630" t="s">
        <v>374</v>
      </c>
      <c r="S15" s="2368" t="str">
        <f>IF(Z20&lt;&gt;"","X","")</f>
        <v/>
      </c>
      <c r="T15" s="1602"/>
      <c r="U15" s="1602"/>
      <c r="V15" s="1602"/>
      <c r="W15" s="8385" t="s">
        <v>1197</v>
      </c>
      <c r="X15" s="8386"/>
      <c r="Y15" s="2355"/>
      <c r="Z15" s="1410" t="s">
        <v>1890</v>
      </c>
      <c r="AA15" s="1410"/>
      <c r="AB15" s="1410"/>
      <c r="AC15" s="1410"/>
      <c r="AD15" s="1410"/>
      <c r="AE15" s="1410"/>
      <c r="AF15" s="2356"/>
      <c r="AG15" s="1410"/>
    </row>
    <row r="16" spans="1:42" ht="27" customHeight="1">
      <c r="A16" s="78"/>
      <c r="B16" s="1059" t="s">
        <v>3522</v>
      </c>
      <c r="C16" s="21" t="s">
        <v>1161</v>
      </c>
      <c r="D16" s="21"/>
      <c r="E16" s="21"/>
      <c r="F16" s="1610"/>
      <c r="G16" s="8434" t="s">
        <v>1162</v>
      </c>
      <c r="H16" s="8435"/>
      <c r="I16" s="8435"/>
      <c r="J16" s="8435"/>
      <c r="K16" s="8436"/>
      <c r="L16" s="8478" t="s">
        <v>5305</v>
      </c>
      <c r="M16" s="8479"/>
      <c r="N16" s="8480"/>
      <c r="O16" s="7172" t="s">
        <v>5306</v>
      </c>
      <c r="P16" s="8473"/>
      <c r="Q16" s="8474"/>
      <c r="R16" s="8468" t="s">
        <v>5307</v>
      </c>
      <c r="S16" s="8469"/>
      <c r="T16" s="1602"/>
      <c r="U16" s="1602"/>
      <c r="V16" s="1602"/>
      <c r="W16" s="8385" t="s">
        <v>1198</v>
      </c>
      <c r="X16" s="8386"/>
      <c r="Y16" s="2355"/>
      <c r="Z16" s="3898" t="s">
        <v>1889</v>
      </c>
      <c r="AA16" s="1410"/>
      <c r="AB16" s="1410"/>
      <c r="AC16" s="1410"/>
      <c r="AD16" s="1410"/>
      <c r="AE16" s="1410"/>
      <c r="AF16" s="2356"/>
      <c r="AG16" s="1410"/>
    </row>
    <row r="17" spans="1:33" ht="27" customHeight="1">
      <c r="A17" s="78"/>
      <c r="B17" s="1613"/>
      <c r="C17" s="3399" t="s">
        <v>1192</v>
      </c>
      <c r="D17" s="1614"/>
      <c r="E17" s="1614"/>
      <c r="F17" s="1615"/>
      <c r="G17" s="8437" t="s">
        <v>1163</v>
      </c>
      <c r="H17" s="8438"/>
      <c r="I17" s="8438"/>
      <c r="J17" s="8438"/>
      <c r="K17" s="8439"/>
      <c r="L17" s="8437" t="s">
        <v>5304</v>
      </c>
      <c r="M17" s="8438"/>
      <c r="N17" s="8439"/>
      <c r="O17" s="8475"/>
      <c r="P17" s="8476"/>
      <c r="Q17" s="8477"/>
      <c r="R17" s="3398" t="s">
        <v>1164</v>
      </c>
      <c r="S17" s="143"/>
      <c r="T17" s="1602"/>
      <c r="U17" s="1602"/>
      <c r="V17" s="1602"/>
      <c r="W17" s="8385"/>
      <c r="X17" s="8386"/>
      <c r="Y17" s="2355"/>
      <c r="Z17" s="1410"/>
      <c r="AA17" s="1410"/>
      <c r="AB17" s="1410"/>
      <c r="AC17" s="1410"/>
      <c r="AD17" s="1410"/>
      <c r="AE17" s="1410"/>
      <c r="AF17" s="2356"/>
      <c r="AG17" s="1410"/>
    </row>
    <row r="18" spans="1:33" ht="12" customHeight="1">
      <c r="A18" s="78"/>
      <c r="B18" s="8405"/>
      <c r="C18" s="8406"/>
      <c r="D18" s="8406"/>
      <c r="E18" s="8406"/>
      <c r="F18" s="8407"/>
      <c r="G18" s="8410"/>
      <c r="H18" s="8411"/>
      <c r="I18" s="8412"/>
      <c r="J18" s="8412"/>
      <c r="K18" s="8413"/>
      <c r="L18" s="5606"/>
      <c r="M18" s="5607"/>
      <c r="N18" s="5608"/>
      <c r="O18" s="5608"/>
      <c r="P18" s="8362"/>
      <c r="Q18" s="5608"/>
      <c r="R18" s="8364"/>
      <c r="S18" s="8365"/>
      <c r="T18" s="1602"/>
      <c r="U18" s="1602"/>
      <c r="V18" s="1602"/>
      <c r="X18" s="1271" t="b">
        <f>AND($Z$18="",$Z$19="",File_Marr_Sep&lt;&gt;"")</f>
        <v>0</v>
      </c>
      <c r="Y18" s="2351"/>
      <c r="Z18" s="1245"/>
      <c r="AA18" s="1410" t="s">
        <v>2284</v>
      </c>
      <c r="AB18" s="1410"/>
      <c r="AC18" s="1410"/>
      <c r="AD18" s="1410"/>
      <c r="AE18" s="1410"/>
      <c r="AF18" s="2356"/>
      <c r="AG18" s="1410"/>
    </row>
    <row r="19" spans="1:33" ht="12" customHeight="1">
      <c r="A19" s="78"/>
      <c r="B19" s="8408"/>
      <c r="C19" s="8408"/>
      <c r="D19" s="8408"/>
      <c r="E19" s="8408"/>
      <c r="F19" s="8409"/>
      <c r="G19" s="8374"/>
      <c r="H19" s="8375"/>
      <c r="I19" s="8376"/>
      <c r="J19" s="8376"/>
      <c r="K19" s="8377"/>
      <c r="L19" s="8495"/>
      <c r="M19" s="7391"/>
      <c r="N19" s="8496"/>
      <c r="O19" s="5609"/>
      <c r="P19" s="8363"/>
      <c r="Q19" s="5609"/>
      <c r="R19" s="8366"/>
      <c r="S19" s="8367"/>
      <c r="T19" s="1602"/>
      <c r="U19" s="1602"/>
      <c r="V19" s="1602"/>
      <c r="X19" s="1271" t="b">
        <f>AND(File_Marr_Sep&lt;&gt;"",Z19&lt;&gt;"")</f>
        <v>0</v>
      </c>
      <c r="Y19" s="2351"/>
      <c r="Z19" s="1245"/>
      <c r="AA19" s="1410" t="s">
        <v>2589</v>
      </c>
      <c r="AB19" s="1410"/>
      <c r="AC19" s="1410"/>
      <c r="AD19" s="1410"/>
      <c r="AE19" s="1410"/>
      <c r="AF19" s="2356"/>
      <c r="AG19" s="1410"/>
    </row>
    <row r="20" spans="1:33" ht="12" customHeight="1">
      <c r="A20" s="78"/>
      <c r="B20" s="8405"/>
      <c r="C20" s="8406"/>
      <c r="D20" s="8406"/>
      <c r="E20" s="8406"/>
      <c r="F20" s="8407"/>
      <c r="G20" s="8410"/>
      <c r="H20" s="8411"/>
      <c r="I20" s="8412"/>
      <c r="J20" s="8412"/>
      <c r="K20" s="8413"/>
      <c r="L20" s="5606"/>
      <c r="M20" s="5607"/>
      <c r="N20" s="5608"/>
      <c r="O20" s="5608"/>
      <c r="P20" s="8362"/>
      <c r="Q20" s="5608"/>
      <c r="R20" s="8364"/>
      <c r="S20" s="8365"/>
      <c r="T20" s="1602"/>
      <c r="U20" s="1602"/>
      <c r="V20" s="1602"/>
      <c r="Y20" s="2355"/>
      <c r="Z20" s="1410"/>
      <c r="AA20" s="1410"/>
      <c r="AB20" s="1410"/>
      <c r="AC20" s="1410"/>
      <c r="AD20" s="1410"/>
      <c r="AE20" s="1410"/>
      <c r="AF20" s="2356"/>
      <c r="AG20" s="1410"/>
    </row>
    <row r="21" spans="1:33" ht="12" customHeight="1">
      <c r="A21" s="78"/>
      <c r="B21" s="8408"/>
      <c r="C21" s="8408"/>
      <c r="D21" s="8408"/>
      <c r="E21" s="8408"/>
      <c r="F21" s="8409"/>
      <c r="G21" s="8374"/>
      <c r="H21" s="8375"/>
      <c r="I21" s="8376"/>
      <c r="J21" s="8376"/>
      <c r="K21" s="8377"/>
      <c r="L21" s="8495"/>
      <c r="M21" s="7391"/>
      <c r="N21" s="8496"/>
      <c r="O21" s="5609"/>
      <c r="P21" s="8363"/>
      <c r="Q21" s="5609"/>
      <c r="R21" s="8366"/>
      <c r="S21" s="8367"/>
      <c r="T21" s="1602"/>
      <c r="U21" s="1602"/>
      <c r="V21" s="1602"/>
      <c r="Y21" s="2357"/>
      <c r="Z21" s="2358"/>
      <c r="AA21" s="2358"/>
      <c r="AB21" s="2358"/>
      <c r="AC21" s="2358"/>
      <c r="AD21" s="2358"/>
      <c r="AE21" s="2358"/>
      <c r="AF21" s="2359"/>
      <c r="AG21" s="1410"/>
    </row>
    <row r="22" spans="1:33" ht="12" customHeight="1">
      <c r="A22" s="78"/>
      <c r="B22" s="8405"/>
      <c r="C22" s="8406"/>
      <c r="D22" s="8406"/>
      <c r="E22" s="8406"/>
      <c r="F22" s="8407"/>
      <c r="G22" s="8410"/>
      <c r="H22" s="8411"/>
      <c r="I22" s="8412"/>
      <c r="J22" s="8412"/>
      <c r="K22" s="8413"/>
      <c r="L22" s="5606"/>
      <c r="M22" s="5607"/>
      <c r="N22" s="5608"/>
      <c r="O22" s="5608"/>
      <c r="P22" s="8362"/>
      <c r="Q22" s="5608"/>
      <c r="R22" s="8364"/>
      <c r="S22" s="8365"/>
      <c r="T22" s="1602"/>
      <c r="U22" s="1602"/>
      <c r="V22" s="1602"/>
    </row>
    <row r="23" spans="1:33" ht="12" customHeight="1">
      <c r="A23" s="78"/>
      <c r="B23" s="8408"/>
      <c r="C23" s="8408"/>
      <c r="D23" s="8408"/>
      <c r="E23" s="8408"/>
      <c r="F23" s="8409"/>
      <c r="G23" s="8374"/>
      <c r="H23" s="8375"/>
      <c r="I23" s="8376"/>
      <c r="J23" s="8376"/>
      <c r="K23" s="8377"/>
      <c r="L23" s="8495"/>
      <c r="M23" s="7391"/>
      <c r="N23" s="8496"/>
      <c r="O23" s="5609"/>
      <c r="P23" s="8363"/>
      <c r="Q23" s="5609"/>
      <c r="R23" s="8366"/>
      <c r="S23" s="8367"/>
      <c r="T23" s="1602"/>
      <c r="U23" s="1602"/>
      <c r="V23" s="1602"/>
      <c r="AA23" s="1696" t="s">
        <v>1230</v>
      </c>
    </row>
    <row r="24" spans="1:33" ht="6.75" customHeight="1" thickBot="1">
      <c r="A24" s="78"/>
      <c r="B24" s="134"/>
      <c r="C24" s="134"/>
      <c r="D24" s="134"/>
      <c r="E24" s="134"/>
      <c r="F24" s="134"/>
      <c r="G24" s="134"/>
      <c r="H24" s="134"/>
      <c r="I24" s="134"/>
      <c r="J24" s="134"/>
      <c r="K24" s="134"/>
      <c r="L24" s="134"/>
      <c r="M24" s="134"/>
      <c r="N24" s="134"/>
      <c r="O24" s="134"/>
      <c r="P24" s="134"/>
      <c r="Q24" s="134"/>
      <c r="R24" s="134"/>
      <c r="S24" s="134"/>
      <c r="T24" s="1602"/>
      <c r="U24" s="1602"/>
      <c r="V24" s="1602"/>
    </row>
    <row r="25" spans="1:33" ht="13.5" customHeight="1" thickTop="1" thickBot="1">
      <c r="A25" s="78"/>
      <c r="B25" s="134"/>
      <c r="C25" s="134"/>
      <c r="D25" s="134"/>
      <c r="E25" s="134"/>
      <c r="F25" s="8417" t="s">
        <v>1166</v>
      </c>
      <c r="G25" s="8418"/>
      <c r="H25" s="8418"/>
      <c r="I25" s="8419"/>
      <c r="J25" s="134"/>
      <c r="K25" s="1616" t="s">
        <v>272</v>
      </c>
      <c r="L25" s="1193"/>
      <c r="M25" s="134" t="s">
        <v>1165</v>
      </c>
      <c r="N25" s="134"/>
      <c r="O25" s="134"/>
      <c r="P25" s="134"/>
      <c r="Q25" s="134"/>
      <c r="R25" s="134"/>
      <c r="S25" s="134"/>
      <c r="T25" s="1602"/>
      <c r="U25" s="1602"/>
      <c r="V25" s="1602"/>
    </row>
    <row r="26" spans="1:33" ht="6.75" customHeight="1" thickBot="1">
      <c r="A26" s="78"/>
      <c r="B26" s="134"/>
      <c r="C26" s="134"/>
      <c r="D26" s="134"/>
      <c r="E26" s="134"/>
      <c r="F26" s="8420"/>
      <c r="G26" s="6636"/>
      <c r="H26" s="6636"/>
      <c r="I26" s="8421"/>
      <c r="J26" s="1617"/>
      <c r="K26" s="1618"/>
      <c r="L26" s="470"/>
      <c r="M26" s="134"/>
      <c r="N26" s="134"/>
      <c r="O26" s="134"/>
      <c r="P26" s="134"/>
      <c r="Q26" s="134"/>
      <c r="R26" s="134"/>
      <c r="S26" s="134"/>
      <c r="T26" s="1602"/>
      <c r="U26" s="1602"/>
      <c r="V26" s="1602"/>
      <c r="AA26" s="8512" t="s">
        <v>5380</v>
      </c>
      <c r="AB26" s="8513"/>
      <c r="AC26" s="8514"/>
      <c r="AD26" s="2161"/>
    </row>
    <row r="27" spans="1:33" ht="12.75" customHeight="1" thickBot="1">
      <c r="A27" s="78"/>
      <c r="B27" s="134"/>
      <c r="C27" s="134"/>
      <c r="D27" s="134"/>
      <c r="E27" s="134"/>
      <c r="F27" s="8425" t="s">
        <v>1167</v>
      </c>
      <c r="G27" s="6371"/>
      <c r="H27" s="6371"/>
      <c r="I27" s="8426"/>
      <c r="J27" s="134"/>
      <c r="K27" s="1616" t="s">
        <v>271</v>
      </c>
      <c r="L27" s="2630"/>
      <c r="M27" s="134" t="s">
        <v>1168</v>
      </c>
      <c r="N27" s="134"/>
      <c r="O27" s="134"/>
      <c r="P27" s="134"/>
      <c r="Q27" s="134"/>
      <c r="R27" s="134"/>
      <c r="S27" s="134"/>
      <c r="T27" s="1602"/>
      <c r="U27" s="1602"/>
      <c r="V27" s="1602"/>
      <c r="AA27" s="8515"/>
      <c r="AB27" s="8516"/>
      <c r="AC27" s="8517"/>
      <c r="AD27" s="2161"/>
    </row>
    <row r="28" spans="1:33" ht="6.75" customHeight="1" thickBot="1">
      <c r="A28" s="78"/>
      <c r="B28" s="134"/>
      <c r="C28" s="134"/>
      <c r="D28" s="134"/>
      <c r="E28" s="134"/>
      <c r="F28" s="1619"/>
      <c r="G28" s="1140"/>
      <c r="H28" s="1140"/>
      <c r="I28" s="1620"/>
      <c r="J28" s="8454" t="str">
        <f>IF(AND(L25="",L27=""),"Check one.",IF(AND(L25&lt;&gt;"",L27&lt;&gt;""),"Check only one.",""))</f>
        <v>Check one.</v>
      </c>
      <c r="K28" s="8455"/>
      <c r="L28" s="134"/>
      <c r="M28" s="1621"/>
      <c r="N28" s="134"/>
      <c r="O28" s="134"/>
      <c r="P28" s="134"/>
      <c r="Q28" s="134"/>
      <c r="R28" s="134"/>
      <c r="S28" s="134"/>
      <c r="T28" s="1602"/>
      <c r="U28" s="1602"/>
      <c r="V28" s="1602"/>
      <c r="AA28" s="8518"/>
      <c r="AB28" s="8519"/>
      <c r="AC28" s="8520"/>
      <c r="AD28" s="2161"/>
    </row>
    <row r="29" spans="1:33" ht="6.75" customHeight="1" thickTop="1">
      <c r="A29" s="78"/>
      <c r="B29" s="134"/>
      <c r="C29" s="134"/>
      <c r="D29" s="134"/>
      <c r="E29" s="134"/>
      <c r="F29" s="134"/>
      <c r="G29" s="134"/>
      <c r="H29" s="134"/>
      <c r="I29" s="134"/>
      <c r="J29" s="8455"/>
      <c r="K29" s="8455"/>
      <c r="L29" s="134"/>
      <c r="M29" s="134"/>
      <c r="N29" s="134"/>
      <c r="O29" s="134"/>
      <c r="P29" s="134"/>
      <c r="Q29" s="134"/>
      <c r="R29" s="134"/>
      <c r="S29" s="134"/>
      <c r="T29" s="1602"/>
      <c r="U29" s="1602"/>
      <c r="V29" s="1602"/>
      <c r="W29" s="2929"/>
      <c r="AA29" s="8512" t="s">
        <v>5683</v>
      </c>
      <c r="AB29" s="8513"/>
      <c r="AC29" s="8514"/>
      <c r="AD29" s="2161"/>
    </row>
    <row r="30" spans="1:33">
      <c r="A30" s="78"/>
      <c r="B30" s="218" t="s">
        <v>1169</v>
      </c>
      <c r="C30" s="1023" t="s">
        <v>5308</v>
      </c>
      <c r="D30" s="1023"/>
      <c r="E30" s="1023"/>
      <c r="F30" s="1023"/>
      <c r="G30" s="134"/>
      <c r="H30" s="134"/>
      <c r="I30" s="134"/>
      <c r="J30" s="134"/>
      <c r="K30" s="134"/>
      <c r="L30" s="134"/>
      <c r="M30" s="134"/>
      <c r="N30" s="134"/>
      <c r="O30" s="134"/>
      <c r="P30" s="134"/>
      <c r="Q30" s="134"/>
      <c r="R30" s="134"/>
      <c r="S30" s="134"/>
      <c r="T30" s="1602"/>
      <c r="U30" s="1602"/>
      <c r="V30" s="1602"/>
      <c r="W30" s="270"/>
      <c r="AA30" s="8515"/>
      <c r="AB30" s="8516"/>
      <c r="AC30" s="8517"/>
      <c r="AD30" s="2161"/>
    </row>
    <row r="31" spans="1:33">
      <c r="A31" s="78"/>
      <c r="B31" s="392" t="str">
        <f>"(Form 1040). If you incurred care expenses in "&amp;TaxYear&amp;" but didn’t pay them until "&amp;TaxYear+1&amp;", or if you prepaid in "&amp;TaxYear&amp;" for care to be provided"</f>
        <v>(Form 1040). If you incurred care expenses in 2021 but didn’t pay them until 2022, or if you prepaid in 2021 for care to be provided</v>
      </c>
      <c r="C31" s="1023"/>
      <c r="D31" s="1023"/>
      <c r="E31" s="1023"/>
      <c r="F31" s="1023"/>
      <c r="G31" s="134"/>
      <c r="H31" s="134"/>
      <c r="I31" s="134"/>
      <c r="J31" s="134"/>
      <c r="K31" s="134"/>
      <c r="L31" s="134"/>
      <c r="M31" s="134"/>
      <c r="N31" s="134"/>
      <c r="O31" s="134"/>
      <c r="P31" s="134"/>
      <c r="Q31" s="134"/>
      <c r="R31" s="134"/>
      <c r="S31" s="134"/>
      <c r="T31" s="1602"/>
      <c r="U31" s="1602"/>
      <c r="V31" s="1602"/>
      <c r="W31" s="270"/>
      <c r="AA31" s="8515"/>
      <c r="AB31" s="8516"/>
      <c r="AC31" s="8517"/>
      <c r="AD31" s="2161"/>
    </row>
    <row r="32" spans="1:33">
      <c r="A32" s="78"/>
      <c r="B32" s="1664" t="str">
        <f>"in "&amp;TaxYear+1&amp;", don’t include these expenses in column (c) of line 2 for "&amp;TaxYear&amp;". See the instructions."</f>
        <v>in 2022, don’t include these expenses in column (c) of line 2 for 2021. See the instructions.</v>
      </c>
      <c r="C32" s="1622"/>
      <c r="D32" s="1622"/>
      <c r="E32" s="1622"/>
      <c r="F32" s="1622"/>
      <c r="G32" s="17"/>
      <c r="H32" s="17"/>
      <c r="I32" s="17"/>
      <c r="J32" s="17"/>
      <c r="K32" s="17"/>
      <c r="L32" s="17"/>
      <c r="M32" s="17"/>
      <c r="N32" s="17"/>
      <c r="O32" s="17"/>
      <c r="P32" s="17"/>
      <c r="Q32" s="17"/>
      <c r="R32" s="17"/>
      <c r="S32" s="134"/>
      <c r="T32" s="1602"/>
      <c r="U32" s="1602"/>
      <c r="V32" s="1602"/>
      <c r="W32" s="270"/>
      <c r="AA32" s="2355" t="s">
        <v>1207</v>
      </c>
      <c r="AB32" s="1145"/>
      <c r="AC32" s="1145"/>
      <c r="AD32" s="2161"/>
    </row>
    <row r="33" spans="1:30" ht="17.25" customHeight="1">
      <c r="A33" s="78"/>
      <c r="B33" s="4736" t="s">
        <v>118</v>
      </c>
      <c r="C33" s="1662" t="s">
        <v>1170</v>
      </c>
      <c r="D33" s="1623"/>
      <c r="E33" s="1623"/>
      <c r="F33" s="1624"/>
      <c r="G33" s="1624"/>
      <c r="H33" s="1624"/>
      <c r="I33" s="1624"/>
      <c r="J33" s="1624"/>
      <c r="K33" s="2279" t="str">
        <f>IF(AND(File_Marr_Sep&lt;&gt;"",$Z18="",$Z$19=""),"Indicate eligibility above and right.",IF(AND(File_Marr_Sep&lt;&gt;"",$Z$19&lt;&gt;"",U33=""),"You cannot take the credit.",""))</f>
        <v/>
      </c>
      <c r="L33" s="1624"/>
      <c r="M33" s="1624"/>
      <c r="N33" s="1624"/>
      <c r="O33" s="1624"/>
      <c r="P33" s="1624"/>
      <c r="Q33" s="1624"/>
      <c r="R33" s="1624"/>
      <c r="S33" s="1624"/>
      <c r="T33" s="1602"/>
      <c r="U33" s="2930"/>
      <c r="V33" s="1602"/>
      <c r="W33" s="2929" t="str">
        <f>IF(AND(File_Marr_Sep&lt;&gt;"",$Z$19&lt;&gt;""),"Hide note.","")</f>
        <v/>
      </c>
      <c r="AA33" s="5669" t="s">
        <v>1208</v>
      </c>
      <c r="AB33" s="1145"/>
      <c r="AC33" s="1145"/>
      <c r="AD33" s="2161"/>
    </row>
    <row r="34" spans="1:30">
      <c r="A34" s="78"/>
      <c r="B34" s="3788">
        <v>2</v>
      </c>
      <c r="C34" s="1023" t="s">
        <v>5309</v>
      </c>
      <c r="D34" s="134"/>
      <c r="E34" s="134"/>
      <c r="F34" s="134"/>
      <c r="G34" s="134"/>
      <c r="H34" s="134"/>
      <c r="I34" s="134"/>
      <c r="J34" s="134"/>
      <c r="K34" s="134"/>
      <c r="L34" s="134"/>
      <c r="M34" s="134"/>
      <c r="N34" s="134"/>
      <c r="O34" s="134"/>
      <c r="P34" s="134"/>
      <c r="Q34" s="134"/>
      <c r="R34" s="134"/>
      <c r="S34" s="134"/>
      <c r="T34" s="1602"/>
      <c r="U34" s="1602"/>
      <c r="V34" s="1602"/>
      <c r="W34" s="2929"/>
      <c r="AA34" s="8440" t="s">
        <v>3523</v>
      </c>
      <c r="AB34" s="8441"/>
      <c r="AC34" s="8442"/>
      <c r="AD34" s="2161"/>
    </row>
    <row r="35" spans="1:30">
      <c r="A35" s="78"/>
      <c r="B35" s="3790"/>
      <c r="C35" s="17" t="s">
        <v>5310</v>
      </c>
      <c r="D35" s="17"/>
      <c r="E35" s="17"/>
      <c r="F35" s="17"/>
      <c r="G35" s="17"/>
      <c r="H35" s="17"/>
      <c r="I35" s="17"/>
      <c r="J35" s="17"/>
      <c r="K35" s="17"/>
      <c r="L35" s="17"/>
      <c r="M35" s="17"/>
      <c r="N35" s="17"/>
      <c r="O35" s="17"/>
      <c r="P35" s="17"/>
      <c r="Q35" s="17"/>
      <c r="R35" s="1644" t="s">
        <v>5311</v>
      </c>
      <c r="S35" s="2368" t="str">
        <f>IF(Z41&lt;&gt;"","X","")</f>
        <v/>
      </c>
      <c r="T35" s="1602"/>
      <c r="U35" s="1602"/>
      <c r="V35" s="1602"/>
      <c r="W35" s="2929"/>
      <c r="AA35" s="8443"/>
      <c r="AB35" s="8441"/>
      <c r="AC35" s="8442"/>
      <c r="AD35" s="2161"/>
    </row>
    <row r="36" spans="1:30" ht="12.75" customHeight="1">
      <c r="A36" s="78"/>
      <c r="B36" s="134"/>
      <c r="C36" s="134"/>
      <c r="D36" s="134"/>
      <c r="E36" s="134"/>
      <c r="F36" s="140" t="s">
        <v>1171</v>
      </c>
      <c r="G36" s="134"/>
      <c r="H36" s="134"/>
      <c r="I36" s="134"/>
      <c r="J36" s="134"/>
      <c r="K36" s="134"/>
      <c r="L36" s="8481" t="s">
        <v>1193</v>
      </c>
      <c r="M36" s="8482"/>
      <c r="N36" s="8482"/>
      <c r="O36" s="8483"/>
      <c r="P36" s="8487" t="s">
        <v>1172</v>
      </c>
      <c r="Q36" s="8488"/>
      <c r="R36" s="8488"/>
      <c r="S36" s="8488"/>
      <c r="T36" s="1602"/>
      <c r="U36" s="1602"/>
      <c r="V36" s="1602"/>
      <c r="AA36" s="8521" t="s">
        <v>3524</v>
      </c>
      <c r="AB36" s="8522"/>
      <c r="AC36" s="8523"/>
      <c r="AD36" s="2161"/>
    </row>
    <row r="37" spans="1:30" ht="9.75" customHeight="1">
      <c r="A37" s="78"/>
      <c r="B37" s="134"/>
      <c r="C37" s="1625"/>
      <c r="D37" s="1625"/>
      <c r="E37" s="1625"/>
      <c r="F37" s="140"/>
      <c r="G37" s="134"/>
      <c r="H37" s="134"/>
      <c r="I37" s="21"/>
      <c r="J37" s="21"/>
      <c r="K37" s="134"/>
      <c r="L37" s="8481"/>
      <c r="M37" s="8482"/>
      <c r="N37" s="8482"/>
      <c r="O37" s="8483"/>
      <c r="P37" s="8489" t="str">
        <f>"incurred and paid in "&amp;TaxYear&amp;" for"</f>
        <v>incurred and paid in 2021 for</v>
      </c>
      <c r="Q37" s="8490"/>
      <c r="R37" s="8490"/>
      <c r="S37" s="8490"/>
      <c r="T37" s="1602"/>
      <c r="U37" s="1602"/>
      <c r="V37" s="1602"/>
      <c r="AA37" s="8521"/>
      <c r="AB37" s="8522"/>
      <c r="AC37" s="8523"/>
      <c r="AD37" s="2161"/>
    </row>
    <row r="38" spans="1:30" ht="10.5" customHeight="1">
      <c r="A38" s="78"/>
      <c r="B38" s="17"/>
      <c r="C38" s="1614" t="s">
        <v>1173</v>
      </c>
      <c r="D38" s="1614"/>
      <c r="E38" s="1614"/>
      <c r="F38" s="17"/>
      <c r="G38" s="17"/>
      <c r="H38" s="17"/>
      <c r="I38" s="143" t="s">
        <v>1174</v>
      </c>
      <c r="J38" s="143"/>
      <c r="K38" s="17"/>
      <c r="L38" s="8484"/>
      <c r="M38" s="8485"/>
      <c r="N38" s="8485"/>
      <c r="O38" s="8486"/>
      <c r="P38" s="8491" t="s">
        <v>1175</v>
      </c>
      <c r="Q38" s="8492"/>
      <c r="R38" s="8492"/>
      <c r="S38" s="8492"/>
      <c r="T38" s="1602"/>
      <c r="U38" s="1602"/>
      <c r="V38" s="1602"/>
      <c r="AA38" s="1689" t="s">
        <v>1209</v>
      </c>
      <c r="AB38" s="1145"/>
      <c r="AC38" s="1145"/>
      <c r="AD38" s="2161"/>
    </row>
    <row r="39" spans="1:30" ht="24" customHeight="1">
      <c r="A39" s="78"/>
      <c r="B39" s="8422"/>
      <c r="C39" s="8423"/>
      <c r="D39" s="8423"/>
      <c r="E39" s="8423"/>
      <c r="F39" s="8424"/>
      <c r="G39" s="8422"/>
      <c r="H39" s="8423"/>
      <c r="I39" s="8423"/>
      <c r="J39" s="8423"/>
      <c r="K39" s="8424"/>
      <c r="L39" s="8470"/>
      <c r="M39" s="8471"/>
      <c r="N39" s="8471"/>
      <c r="O39" s="8472"/>
      <c r="P39" s="8395"/>
      <c r="Q39" s="8396"/>
      <c r="R39" s="8396"/>
      <c r="S39" s="8396"/>
      <c r="T39" s="1602">
        <f>IF(P39&lt;&gt;"",1,0)</f>
        <v>0</v>
      </c>
      <c r="U39" s="1602"/>
      <c r="V39" s="1602"/>
      <c r="W39" s="2136"/>
      <c r="AA39" s="5670" t="s">
        <v>1210</v>
      </c>
      <c r="AB39" s="1145"/>
      <c r="AC39" s="1145"/>
      <c r="AD39" s="2161"/>
    </row>
    <row r="40" spans="1:30" ht="24" customHeight="1">
      <c r="A40" s="78"/>
      <c r="B40" s="8422"/>
      <c r="C40" s="8423"/>
      <c r="D40" s="8423"/>
      <c r="E40" s="8423"/>
      <c r="F40" s="8424"/>
      <c r="G40" s="8422"/>
      <c r="H40" s="8423"/>
      <c r="I40" s="8423"/>
      <c r="J40" s="8423"/>
      <c r="K40" s="8424"/>
      <c r="L40" s="8470"/>
      <c r="M40" s="8471"/>
      <c r="N40" s="8471"/>
      <c r="O40" s="8472"/>
      <c r="P40" s="8395"/>
      <c r="Q40" s="8396"/>
      <c r="R40" s="8396"/>
      <c r="S40" s="8396"/>
      <c r="T40" s="1602">
        <f>IF(P40&lt;&gt;"",1,0)</f>
        <v>0</v>
      </c>
      <c r="U40" s="5663">
        <f>SUM(T39:T41,T161:T171)</f>
        <v>0</v>
      </c>
      <c r="V40" s="1602"/>
      <c r="W40" s="5661" t="s">
        <v>5377</v>
      </c>
      <c r="AA40" s="2355" t="s">
        <v>5381</v>
      </c>
      <c r="AB40" s="1145"/>
      <c r="AC40" s="1145"/>
      <c r="AD40" s="2161"/>
    </row>
    <row r="41" spans="1:30" ht="24" customHeight="1">
      <c r="A41" s="78"/>
      <c r="B41" s="8422"/>
      <c r="C41" s="8423"/>
      <c r="D41" s="8423"/>
      <c r="E41" s="8423"/>
      <c r="F41" s="8424"/>
      <c r="G41" s="8422"/>
      <c r="H41" s="8423"/>
      <c r="I41" s="8423"/>
      <c r="J41" s="8423"/>
      <c r="K41" s="8424"/>
      <c r="L41" s="8470"/>
      <c r="M41" s="8471"/>
      <c r="N41" s="8471"/>
      <c r="O41" s="8472"/>
      <c r="P41" s="8395"/>
      <c r="Q41" s="8396"/>
      <c r="R41" s="8396"/>
      <c r="S41" s="8396"/>
      <c r="T41" s="1602">
        <f>IF(P41&lt;&gt;"",1,0)</f>
        <v>0</v>
      </c>
      <c r="U41" s="1602"/>
      <c r="V41" s="5662" t="s">
        <v>5378</v>
      </c>
      <c r="W41" s="5661"/>
      <c r="AA41" s="5670" t="s">
        <v>1211</v>
      </c>
      <c r="AB41" s="1145"/>
      <c r="AC41" s="1145"/>
      <c r="AD41" s="2161"/>
    </row>
    <row r="42" spans="1:30" ht="13.5" thickBot="1">
      <c r="A42" s="78"/>
      <c r="B42" s="3814">
        <v>3</v>
      </c>
      <c r="C42" s="1023" t="s">
        <v>4181</v>
      </c>
      <c r="D42" s="1023"/>
      <c r="E42" s="1023"/>
      <c r="F42" s="134"/>
      <c r="G42" s="134"/>
      <c r="H42" s="134"/>
      <c r="I42" s="246" t="s">
        <v>2037</v>
      </c>
      <c r="J42" s="1023" t="str">
        <f>"enter more than "&amp;TEXT(X42,"$0,000")&amp;" for one qualifying person"</f>
        <v>enter more than $8,000 for one qualifying person</v>
      </c>
      <c r="K42" s="134"/>
      <c r="L42" s="134"/>
      <c r="M42" s="2378"/>
      <c r="N42" s="2378"/>
      <c r="O42" s="2378"/>
      <c r="P42" s="2378"/>
      <c r="Q42" s="1627"/>
      <c r="R42" s="8397">
        <f>ROUND(SUM(P39:S41,P161:S171),0)</f>
        <v>0</v>
      </c>
      <c r="S42" s="8398"/>
      <c r="T42" s="1602">
        <f>SUM(T39:T41,T161:T171)</f>
        <v>0</v>
      </c>
      <c r="U42" s="1602"/>
      <c r="V42" s="1602"/>
      <c r="W42" s="799" t="s">
        <v>91</v>
      </c>
      <c r="X42" s="5671">
        <v>8000</v>
      </c>
      <c r="AA42" s="2355" t="s">
        <v>5382</v>
      </c>
      <c r="AB42" s="1145"/>
      <c r="AC42" s="1145"/>
      <c r="AD42" s="2161"/>
    </row>
    <row r="43" spans="1:30" ht="13.5" thickBot="1">
      <c r="A43" s="78"/>
      <c r="B43" s="3816"/>
      <c r="C43" s="1023" t="str">
        <f>"or "&amp;TEXT(X43,"$0,000")&amp;" for two or more persons.  If you completed Part III, enter the amount from line 31"</f>
        <v>or $16,000 for two or more persons.  If you completed Part III, enter the amount from line 31</v>
      </c>
      <c r="D43" s="1023"/>
      <c r="E43" s="1023"/>
      <c r="F43" s="134"/>
      <c r="G43" s="134"/>
      <c r="H43" s="134"/>
      <c r="I43" s="134"/>
      <c r="J43" s="134"/>
      <c r="K43" s="134"/>
      <c r="L43" s="134"/>
      <c r="M43" s="134"/>
      <c r="N43" s="134"/>
      <c r="O43" s="134"/>
      <c r="P43" s="1630" t="s">
        <v>697</v>
      </c>
      <c r="Q43" s="1631">
        <f>B42</f>
        <v>3</v>
      </c>
      <c r="R43" s="8378" t="str">
        <f>IF(W43&lt;&gt;"",ROUND(W43,0),IF(OR(X19,J28&lt;&gt;""),"",IF(AND(L25&lt;&gt;"",L27=""),MIN(R42,X44),R121)))</f>
        <v/>
      </c>
      <c r="S43" s="8387"/>
      <c r="T43" s="1602"/>
      <c r="U43" s="1602"/>
      <c r="V43" s="1602"/>
      <c r="W43" s="1836"/>
      <c r="X43" s="5671">
        <v>16000</v>
      </c>
      <c r="AA43" s="1689" t="s">
        <v>1212</v>
      </c>
      <c r="AB43" s="1145"/>
      <c r="AC43" s="1145"/>
      <c r="AD43" s="2161"/>
    </row>
    <row r="44" spans="1:30" ht="15.75" customHeight="1" thickBot="1">
      <c r="A44" s="78"/>
      <c r="B44" s="3814">
        <v>4</v>
      </c>
      <c r="C44" s="1023" t="s">
        <v>3012</v>
      </c>
      <c r="D44" s="1023"/>
      <c r="E44" s="1023"/>
      <c r="F44" s="134"/>
      <c r="G44" s="134"/>
      <c r="H44" s="134"/>
      <c r="I44" s="134"/>
      <c r="J44" s="134"/>
      <c r="K44" s="134"/>
      <c r="L44" s="134"/>
      <c r="M44" s="134"/>
      <c r="N44" s="134"/>
      <c r="O44" s="134"/>
      <c r="P44" s="1630" t="s">
        <v>2126</v>
      </c>
      <c r="Q44" s="1631">
        <f>B44</f>
        <v>4</v>
      </c>
      <c r="R44" s="8378" t="str">
        <f>IF(W44&lt;&gt;"",ROUND(W44,0),IF(OR(X19,AND(L25="",L27="")),"",SUM('W-2s'!I3,'Sch. SE'!AL41,'Sch. SE'!AL100,-SchSE_Deduction_You,-SchSE_Deduction_Both,SchC_You_StatEmp_Inc)))</f>
        <v/>
      </c>
      <c r="S44" s="8387"/>
      <c r="T44" s="1602"/>
      <c r="U44" s="1602"/>
      <c r="V44" s="1602"/>
      <c r="W44" s="1836"/>
      <c r="X44" s="5671">
        <f>IF(U40&gt;1,X43,X42)</f>
        <v>8000</v>
      </c>
      <c r="AA44" s="1689" t="s">
        <v>1213</v>
      </c>
      <c r="AB44" s="1145"/>
      <c r="AC44" s="1145"/>
      <c r="AD44" s="2161"/>
    </row>
    <row r="45" spans="1:30" ht="15" customHeight="1" thickBot="1">
      <c r="A45" s="78"/>
      <c r="B45" s="3814">
        <v>5</v>
      </c>
      <c r="C45" s="1023" t="s">
        <v>4182</v>
      </c>
      <c r="D45" s="1023"/>
      <c r="E45" s="1023"/>
      <c r="F45" s="134"/>
      <c r="G45" s="134"/>
      <c r="H45" s="134"/>
      <c r="I45" s="134"/>
      <c r="J45" s="134"/>
      <c r="K45" s="134"/>
      <c r="L45" s="134"/>
      <c r="M45" s="134"/>
      <c r="N45" s="134"/>
      <c r="O45" s="134"/>
      <c r="P45" s="134"/>
      <c r="Q45" s="1611"/>
      <c r="R45" s="1632"/>
      <c r="S45" s="1641"/>
      <c r="T45" s="1602"/>
      <c r="U45" s="1602"/>
      <c r="V45" s="1602"/>
      <c r="W45" s="3796"/>
      <c r="AA45" s="1689" t="s">
        <v>1214</v>
      </c>
      <c r="AB45" s="1145"/>
      <c r="AC45" s="1145"/>
      <c r="AD45" s="2161"/>
    </row>
    <row r="46" spans="1:30" ht="14.25" customHeight="1" thickBot="1">
      <c r="A46" s="78"/>
      <c r="B46" s="3816"/>
      <c r="C46" s="997" t="s">
        <v>4184</v>
      </c>
      <c r="D46" s="1633"/>
      <c r="E46" s="1633"/>
      <c r="F46" s="134"/>
      <c r="G46" s="134"/>
      <c r="H46" s="134"/>
      <c r="I46" s="134"/>
      <c r="J46" s="134"/>
      <c r="K46" s="134"/>
      <c r="L46" s="134"/>
      <c r="M46" s="134"/>
      <c r="N46" s="134"/>
      <c r="O46" s="134"/>
      <c r="P46" s="154" t="s">
        <v>4185</v>
      </c>
      <c r="Q46" s="1631">
        <f>B45</f>
        <v>5</v>
      </c>
      <c r="R46" s="8378" t="str">
        <f>IF(W46&lt;&gt;"",ROUND(W46,0),IF(J28&lt;&gt;"","",IF(File_Marr_Joint&lt;&gt;"",ROUND(SUM('W-2s'!I32,'Sch. SE'!AM41,-SchSE_Deduction_Sp,SchC_Sp_StatEmp_Inc),0),R44)))</f>
        <v/>
      </c>
      <c r="S46" s="8387"/>
      <c r="T46" s="1602"/>
      <c r="U46" s="1602"/>
      <c r="V46" s="1602"/>
      <c r="W46" s="1836"/>
      <c r="AA46" s="1689" t="s">
        <v>1215</v>
      </c>
      <c r="AB46" s="1145"/>
      <c r="AC46" s="1145"/>
      <c r="AD46" s="2161"/>
    </row>
    <row r="47" spans="1:30" ht="14.25" customHeight="1" thickBot="1">
      <c r="A47" s="78"/>
      <c r="B47" s="3814">
        <v>6</v>
      </c>
      <c r="C47" s="1023" t="s">
        <v>1614</v>
      </c>
      <c r="D47" s="164"/>
      <c r="E47" s="164"/>
      <c r="F47" s="134"/>
      <c r="G47" s="134"/>
      <c r="H47" s="134"/>
      <c r="I47" s="134"/>
      <c r="J47" s="134"/>
      <c r="K47" s="134"/>
      <c r="L47" s="134"/>
      <c r="M47" s="134"/>
      <c r="N47" s="134"/>
      <c r="O47" s="134"/>
      <c r="P47" s="1630" t="s">
        <v>94</v>
      </c>
      <c r="Q47" s="1631">
        <f>B47</f>
        <v>6</v>
      </c>
      <c r="R47" s="8378" t="str">
        <f>IF(W47&lt;&gt;"",ROUND(W47,0),IF(OR(X19,J28&lt;&gt;""),"",MAX(0,MIN(R43,R44,R46))))</f>
        <v/>
      </c>
      <c r="S47" s="8387"/>
      <c r="T47" s="1602"/>
      <c r="U47" s="1602"/>
      <c r="V47" s="1602"/>
      <c r="W47" s="1836"/>
      <c r="AA47" s="1693" t="s">
        <v>1216</v>
      </c>
      <c r="AB47" s="1694"/>
      <c r="AC47" s="1694"/>
      <c r="AD47" s="2161"/>
    </row>
    <row r="48" spans="1:30" ht="19.5" customHeight="1" thickBot="1">
      <c r="A48" s="78"/>
      <c r="B48" s="3814">
        <v>7</v>
      </c>
      <c r="C48" s="1023" t="s">
        <v>4183</v>
      </c>
      <c r="D48" s="134"/>
      <c r="E48" s="134"/>
      <c r="F48" s="134"/>
      <c r="G48" s="134"/>
      <c r="H48" s="134"/>
      <c r="I48" s="134"/>
      <c r="J48" s="134"/>
      <c r="K48" s="154"/>
      <c r="L48" s="1631">
        <f>B48</f>
        <v>7</v>
      </c>
      <c r="M48" s="8378" t="str">
        <f>IF(W48&lt;&gt;"",ROUND(W48,0),IF(OR(X19,AND(L25="",L27="")),"",Adj_Gross_Inc))</f>
        <v/>
      </c>
      <c r="N48" s="8387"/>
      <c r="O48" s="8387"/>
      <c r="P48" s="8500"/>
      <c r="Q48" s="1629"/>
      <c r="R48" s="1060"/>
      <c r="S48" s="135"/>
      <c r="T48" s="1602"/>
      <c r="U48" s="1602"/>
      <c r="V48" s="1602"/>
      <c r="W48" s="1836"/>
      <c r="AA48" s="4251" t="s">
        <v>5684</v>
      </c>
      <c r="AB48" s="1687"/>
      <c r="AC48" s="1687"/>
      <c r="AD48" s="2161"/>
    </row>
    <row r="49" spans="1:30" ht="14.25" customHeight="1">
      <c r="A49" s="78"/>
      <c r="B49" s="3814">
        <v>8</v>
      </c>
      <c r="C49" s="134" t="s">
        <v>1176</v>
      </c>
      <c r="D49" s="134"/>
      <c r="E49" s="134"/>
      <c r="F49" s="134"/>
      <c r="G49" s="134"/>
      <c r="H49" s="134"/>
      <c r="I49" s="134"/>
      <c r="J49" s="134"/>
      <c r="K49" s="134"/>
      <c r="L49" s="134"/>
      <c r="M49" s="134"/>
      <c r="N49" s="134"/>
      <c r="O49" s="134"/>
      <c r="P49" s="134"/>
      <c r="Q49" s="1629"/>
      <c r="R49" s="8393">
        <f>IF('Sch. SE'!AJ7,SUM('Sch. SE'!X21,-SE_Deduct),0)</f>
        <v>0</v>
      </c>
      <c r="S49" s="8394"/>
      <c r="T49" s="1602"/>
      <c r="U49" s="1602"/>
      <c r="V49" s="1602"/>
      <c r="W49" s="3796"/>
      <c r="X49" s="5671">
        <v>125000</v>
      </c>
      <c r="AA49" s="4250" t="s">
        <v>5685</v>
      </c>
      <c r="AB49" s="1145"/>
      <c r="AC49" s="1145"/>
      <c r="AD49" s="2161"/>
    </row>
    <row r="50" spans="1:30" ht="15">
      <c r="A50" s="78"/>
      <c r="B50" s="1023"/>
      <c r="C50" s="5610" t="s">
        <v>120</v>
      </c>
      <c r="D50" s="134" t="str">
        <f>"If line 7 is "&amp;TEXT(X49,"$0,000")&amp;" or less, enter "&amp;TEXT(X50,".00")&amp;" on line 8."</f>
        <v>If line 7 is $125,000 or less, enter .50 on line 8.</v>
      </c>
      <c r="E50" s="134"/>
      <c r="F50" s="134"/>
      <c r="G50" s="134"/>
      <c r="H50" s="134"/>
      <c r="I50" s="134"/>
      <c r="J50" s="134"/>
      <c r="K50" s="134"/>
      <c r="L50" s="134"/>
      <c r="M50" s="134"/>
      <c r="N50" s="134"/>
      <c r="O50" s="134"/>
      <c r="P50" s="134"/>
      <c r="Q50" s="1629"/>
      <c r="R50" s="1060"/>
      <c r="S50" s="135"/>
      <c r="T50" s="1602"/>
      <c r="U50" s="1602"/>
      <c r="V50" s="1602"/>
      <c r="W50" s="3796"/>
      <c r="X50" s="5672">
        <v>0.5</v>
      </c>
      <c r="AA50" s="2355" t="s">
        <v>3525</v>
      </c>
      <c r="AB50" s="1145"/>
      <c r="AC50" s="1145"/>
      <c r="AD50" s="2161"/>
    </row>
    <row r="51" spans="1:30" ht="15">
      <c r="A51" s="78"/>
      <c r="B51" s="1023"/>
      <c r="C51" s="5610" t="s">
        <v>120</v>
      </c>
      <c r="D51" s="1023" t="str">
        <f>"If line 7 is over "&amp;TEXT(X49,"$0,000")&amp;" and no more than "&amp;TEXT(X51,"$0,000")&amp;", see the instructions for line 8 for the"</f>
        <v>If line 7 is over $125,000 and no more than $438,000, see the instructions for line 8 for the</v>
      </c>
      <c r="E51" s="134"/>
      <c r="F51" s="134"/>
      <c r="G51" s="134"/>
      <c r="H51" s="134"/>
      <c r="I51" s="134"/>
      <c r="J51" s="134"/>
      <c r="K51" s="134"/>
      <c r="L51" s="134"/>
      <c r="M51" s="5605"/>
      <c r="N51" s="134"/>
      <c r="O51" s="134"/>
      <c r="P51" s="134"/>
      <c r="Q51" s="1629"/>
      <c r="R51" s="1060"/>
      <c r="S51" s="135"/>
      <c r="T51" s="1602"/>
      <c r="U51" s="1602"/>
      <c r="V51" s="1602"/>
      <c r="W51" s="3796"/>
      <c r="X51" s="5671">
        <v>438000</v>
      </c>
      <c r="AA51" s="2355" t="s">
        <v>3526</v>
      </c>
      <c r="AB51" s="1145"/>
      <c r="AC51" s="1145"/>
      <c r="AD51" s="2161"/>
    </row>
    <row r="52" spans="1:30" ht="11.25" customHeight="1">
      <c r="A52" s="78"/>
      <c r="B52" s="1023"/>
      <c r="C52" s="134"/>
      <c r="D52" s="134" t="s">
        <v>5312</v>
      </c>
      <c r="E52" s="134"/>
      <c r="F52" s="134"/>
      <c r="G52" s="134"/>
      <c r="H52" s="134"/>
      <c r="I52" s="134"/>
      <c r="J52" s="134"/>
      <c r="K52" s="134"/>
      <c r="L52" s="134"/>
      <c r="M52" s="134"/>
      <c r="N52" s="134"/>
      <c r="O52" s="134"/>
      <c r="P52" s="134"/>
      <c r="Q52" s="1629"/>
      <c r="R52" s="1060"/>
      <c r="S52" s="135"/>
      <c r="T52" s="1602"/>
      <c r="U52" s="1602"/>
      <c r="V52" s="1602"/>
      <c r="W52" s="3796"/>
      <c r="X52" s="5611"/>
      <c r="AA52" s="2355" t="s">
        <v>5383</v>
      </c>
      <c r="AB52" s="1145"/>
      <c r="AC52" s="1145"/>
      <c r="AD52" s="2161"/>
    </row>
    <row r="53" spans="1:30" ht="15" customHeight="1" thickBot="1">
      <c r="A53" s="78"/>
      <c r="B53" s="1023"/>
      <c r="C53" s="5610" t="s">
        <v>120</v>
      </c>
      <c r="D53" s="1023" t="str">
        <f>"If line 7 is over "&amp;TEXT(X51,"$0,000")&amp;", don’t complete line 8. Enter zero on line 9a. You may be able to"</f>
        <v>If line 7 is over $438,000, don’t complete line 8. Enter zero on line 9a. You may be able to</v>
      </c>
      <c r="E53" s="134"/>
      <c r="F53" s="134"/>
      <c r="G53" s="134"/>
      <c r="H53" s="134"/>
      <c r="I53" s="134"/>
      <c r="J53" s="134"/>
      <c r="K53" s="134"/>
      <c r="L53" s="134"/>
      <c r="M53" s="134"/>
      <c r="N53" s="134"/>
      <c r="O53" s="134"/>
      <c r="P53" s="134"/>
      <c r="Q53" s="1629"/>
      <c r="R53" s="1060"/>
      <c r="S53" s="135"/>
      <c r="T53" s="1602"/>
      <c r="U53" s="1602"/>
      <c r="V53" s="1602"/>
      <c r="W53" s="799" t="s">
        <v>91</v>
      </c>
      <c r="AA53" s="2355" t="s">
        <v>3527</v>
      </c>
      <c r="AB53" s="1145"/>
      <c r="AC53" s="1145"/>
      <c r="AD53" s="2161"/>
    </row>
    <row r="54" spans="1:30" ht="15" customHeight="1" thickBot="1">
      <c r="A54" s="78"/>
      <c r="B54" s="1023"/>
      <c r="C54" s="134"/>
      <c r="D54" s="1023" t="s">
        <v>5313</v>
      </c>
      <c r="E54" s="134"/>
      <c r="F54" s="134"/>
      <c r="G54" s="134"/>
      <c r="H54" s="134"/>
      <c r="I54" s="134"/>
      <c r="J54" s="134"/>
      <c r="K54" s="134"/>
      <c r="L54" s="134"/>
      <c r="M54" s="134"/>
      <c r="N54" s="134"/>
      <c r="O54" s="134"/>
      <c r="P54" s="134"/>
      <c r="Q54" s="1631">
        <f>B49</f>
        <v>8</v>
      </c>
      <c r="R54" s="5647" t="s">
        <v>5363</v>
      </c>
      <c r="S54" s="5646">
        <f>IF(W54&lt;&gt;"",MIN(0.5,ROUND(W54,2)),IF(M48&lt;=125000,0.5,IF(M48&lt;=183000,ROUND((0.5*(1-((INT((M48-1-125000)/2000))/50))-0.01),2),IF(M48&lt;=400000,0.2,IF(M48&lt;=438000,ROUND((0.2*(1-((INT((M48-1-400000)/2000))/19))),2),0)))))</f>
        <v>0</v>
      </c>
      <c r="T54" s="1602"/>
      <c r="U54" s="661"/>
      <c r="V54" s="661"/>
      <c r="W54" s="2928"/>
      <c r="AA54" s="2355" t="s">
        <v>3528</v>
      </c>
      <c r="AB54" s="1145"/>
      <c r="AC54" s="1145"/>
      <c r="AD54" s="2161"/>
    </row>
    <row r="55" spans="1:30" ht="15" customHeight="1">
      <c r="A55" s="78"/>
      <c r="B55" s="246" t="s">
        <v>285</v>
      </c>
      <c r="C55" s="326" t="s">
        <v>5314</v>
      </c>
      <c r="D55" s="1023"/>
      <c r="E55" s="1023"/>
      <c r="F55" s="134"/>
      <c r="G55" s="134"/>
      <c r="H55" s="134"/>
      <c r="I55" s="134"/>
      <c r="J55" s="134"/>
      <c r="K55" s="134"/>
      <c r="L55" s="134"/>
      <c r="M55" s="134"/>
      <c r="N55" s="134"/>
      <c r="O55" s="134"/>
      <c r="P55" s="134"/>
      <c r="Q55" s="332" t="s">
        <v>285</v>
      </c>
      <c r="R55" s="8378" t="str">
        <f>IF(OR(X19,AND(L25="",L27="")),"",ROUND(R47*S54,0))</f>
        <v/>
      </c>
      <c r="S55" s="8387"/>
      <c r="T55" s="1602"/>
      <c r="U55" s="1602"/>
      <c r="V55" s="1602"/>
      <c r="W55" s="3796"/>
      <c r="AA55" s="2355"/>
      <c r="AB55" s="1145"/>
      <c r="AC55" s="1145"/>
      <c r="AD55" s="2161"/>
    </row>
    <row r="56" spans="1:30" ht="15" customHeight="1" thickBot="1">
      <c r="A56" s="78"/>
      <c r="B56" s="246" t="s">
        <v>286</v>
      </c>
      <c r="C56" s="326" t="str">
        <f>"If you paid "&amp;TaxYear-1&amp;" expenses in "&amp;TaxYear&amp;", complete Worksheet A in the instructions. Enter the"</f>
        <v>If you paid 2020 expenses in 2021, complete Worksheet A in the instructions. Enter the</v>
      </c>
      <c r="D56" s="1023"/>
      <c r="E56" s="1023"/>
      <c r="F56" s="134"/>
      <c r="G56" s="134"/>
      <c r="H56" s="134"/>
      <c r="I56" s="134"/>
      <c r="J56" s="134"/>
      <c r="K56" s="134"/>
      <c r="L56" s="134"/>
      <c r="M56" s="134"/>
      <c r="N56" s="134"/>
      <c r="O56" s="134"/>
      <c r="P56" s="134"/>
      <c r="Q56" s="5612"/>
      <c r="R56" s="1634"/>
      <c r="S56" s="3389"/>
      <c r="T56" s="1602"/>
      <c r="U56" s="1602"/>
      <c r="V56" s="1602"/>
      <c r="W56" s="3796"/>
      <c r="AA56" s="2355" t="s">
        <v>3529</v>
      </c>
      <c r="AB56" s="1145"/>
      <c r="AC56" s="1145"/>
      <c r="AD56" s="2161"/>
    </row>
    <row r="57" spans="1:30" ht="15" customHeight="1" thickBot="1">
      <c r="A57" s="78"/>
      <c r="B57" s="1023"/>
      <c r="C57" s="326" t="s">
        <v>5315</v>
      </c>
      <c r="D57" s="1023"/>
      <c r="E57" s="1023"/>
      <c r="F57" s="134"/>
      <c r="G57" s="134"/>
      <c r="H57" s="134"/>
      <c r="I57" s="134"/>
      <c r="J57" s="134"/>
      <c r="K57" s="134"/>
      <c r="L57" s="161"/>
      <c r="M57" s="161"/>
      <c r="N57" s="161"/>
      <c r="O57" s="161"/>
      <c r="P57" s="161"/>
      <c r="Q57" s="332" t="s">
        <v>286</v>
      </c>
      <c r="R57" s="8378" t="str">
        <f>IF(OR(X19,AND(L25="",L27="")),"",IF(W57&lt;&gt;"",ROUND(W57,0),R234))</f>
        <v/>
      </c>
      <c r="S57" s="8387"/>
      <c r="T57" s="1602"/>
      <c r="U57" s="661"/>
      <c r="V57" s="661"/>
      <c r="W57" s="1836"/>
      <c r="AA57" s="2355" t="s">
        <v>3530</v>
      </c>
      <c r="AB57" s="1145"/>
      <c r="AC57" s="1145"/>
      <c r="AD57" s="2161"/>
    </row>
    <row r="58" spans="1:30" ht="15" customHeight="1">
      <c r="A58" s="78"/>
      <c r="B58" s="246">
        <v>10</v>
      </c>
      <c r="C58" s="1023" t="s">
        <v>5352</v>
      </c>
      <c r="D58" s="134"/>
      <c r="E58" s="134"/>
      <c r="F58" s="134"/>
      <c r="G58" s="134"/>
      <c r="H58" s="134"/>
      <c r="I58" s="134"/>
      <c r="J58" s="134"/>
      <c r="K58" s="134"/>
      <c r="L58" s="161"/>
      <c r="M58" s="161"/>
      <c r="N58" s="161"/>
      <c r="O58" s="161"/>
      <c r="P58" s="161"/>
      <c r="Q58" s="1629"/>
      <c r="R58" s="5613"/>
      <c r="S58" s="5614"/>
      <c r="T58" s="1602"/>
      <c r="U58" s="661"/>
      <c r="V58" s="661"/>
      <c r="W58" s="3796"/>
      <c r="X58" s="972"/>
      <c r="AA58" s="2355" t="s">
        <v>3531</v>
      </c>
      <c r="AB58" s="1145"/>
      <c r="AC58" s="1145"/>
      <c r="AD58" s="2161"/>
    </row>
    <row r="59" spans="1:30" ht="15" customHeight="1">
      <c r="A59" s="78"/>
      <c r="B59" s="246"/>
      <c r="C59" s="1023" t="s">
        <v>5353</v>
      </c>
      <c r="D59" s="134"/>
      <c r="E59" s="134"/>
      <c r="F59" s="134"/>
      <c r="G59" s="134"/>
      <c r="H59" s="134"/>
      <c r="I59" s="134"/>
      <c r="J59" s="134"/>
      <c r="K59" s="134"/>
      <c r="L59" s="161"/>
      <c r="M59" s="161"/>
      <c r="N59" s="161"/>
      <c r="O59" s="161"/>
      <c r="P59" s="161"/>
      <c r="Q59" s="1629"/>
      <c r="R59" s="5615"/>
      <c r="S59" s="5616"/>
      <c r="T59" s="1602"/>
      <c r="U59" s="661"/>
      <c r="V59" s="661"/>
      <c r="W59" s="3796"/>
      <c r="X59" s="972"/>
      <c r="AA59" s="2357" t="s">
        <v>3532</v>
      </c>
      <c r="AB59" s="1694"/>
      <c r="AC59" s="1694"/>
      <c r="AD59" s="2161"/>
    </row>
    <row r="60" spans="1:30" ht="15" customHeight="1" thickBot="1">
      <c r="A60" s="78"/>
      <c r="B60" s="246"/>
      <c r="C60" s="1023" t="s">
        <v>5354</v>
      </c>
      <c r="D60" s="134"/>
      <c r="E60" s="134"/>
      <c r="F60" s="134"/>
      <c r="G60" s="134"/>
      <c r="H60" s="134"/>
      <c r="I60" s="134"/>
      <c r="J60" s="134"/>
      <c r="K60" s="134"/>
      <c r="L60" s="161"/>
      <c r="M60" s="161"/>
      <c r="N60" s="161"/>
      <c r="O60" s="161"/>
      <c r="P60" s="161"/>
      <c r="Q60" s="1629"/>
      <c r="R60" s="5665" t="b">
        <f>S13&lt;&gt;""</f>
        <v>1</v>
      </c>
      <c r="S60" s="5616"/>
      <c r="T60" s="1602"/>
      <c r="U60" s="661"/>
      <c r="V60" s="661"/>
      <c r="W60" s="3796"/>
      <c r="X60" s="972"/>
      <c r="AA60" s="4251" t="s">
        <v>3533</v>
      </c>
      <c r="AB60" s="1687"/>
      <c r="AC60" s="1687"/>
      <c r="AD60" s="2161"/>
    </row>
    <row r="61" spans="1:30" ht="15" thickBot="1">
      <c r="A61" s="78"/>
      <c r="B61" s="246"/>
      <c r="C61" s="326" t="s">
        <v>5355</v>
      </c>
      <c r="D61" s="134"/>
      <c r="E61" s="134"/>
      <c r="F61" s="134"/>
      <c r="G61" s="134"/>
      <c r="H61" s="134"/>
      <c r="I61" s="134"/>
      <c r="J61" s="134"/>
      <c r="K61" s="1349"/>
      <c r="L61" s="161"/>
      <c r="M61" s="161"/>
      <c r="N61" s="161"/>
      <c r="O61" s="161"/>
      <c r="P61" s="1349" t="s">
        <v>536</v>
      </c>
      <c r="Q61" s="332">
        <v>10</v>
      </c>
      <c r="R61" s="8378" t="str">
        <f>IF(W65&lt;&gt;"",ROUND(W65,0),IF(OR(X19,AND(L25="",L27="")),"",SUM(R55,R57)))</f>
        <v/>
      </c>
      <c r="S61" s="8387"/>
      <c r="T61" s="1602"/>
      <c r="U61" s="661"/>
      <c r="V61" s="661"/>
      <c r="W61" s="1836"/>
      <c r="X61" s="1660"/>
      <c r="AA61" s="2355" t="s">
        <v>5688</v>
      </c>
      <c r="AB61" s="1145"/>
      <c r="AC61" s="1145"/>
      <c r="AD61" s="2161"/>
    </row>
    <row r="62" spans="1:30">
      <c r="A62" s="78"/>
      <c r="B62" s="246">
        <v>11</v>
      </c>
      <c r="C62" s="1906" t="s">
        <v>5356</v>
      </c>
      <c r="D62" s="22"/>
      <c r="E62" s="22"/>
      <c r="F62" s="134"/>
      <c r="G62" s="134"/>
      <c r="H62" s="134"/>
      <c r="I62" s="134"/>
      <c r="J62" s="134"/>
      <c r="K62" s="134"/>
      <c r="L62" s="134"/>
      <c r="M62" s="134"/>
      <c r="N62" s="1611"/>
      <c r="O62" s="134"/>
      <c r="P62" s="5605"/>
      <c r="Q62" s="1611"/>
      <c r="R62" s="2629"/>
      <c r="S62" s="3390"/>
      <c r="T62" s="1602"/>
      <c r="U62" s="661"/>
      <c r="V62" s="661"/>
      <c r="W62" s="3796"/>
      <c r="AA62" s="4252" t="s">
        <v>3534</v>
      </c>
      <c r="AB62" s="1694"/>
      <c r="AC62" s="1694"/>
      <c r="AD62" s="2161"/>
    </row>
    <row r="63" spans="1:30" ht="14.25">
      <c r="A63" s="78"/>
      <c r="B63" s="246"/>
      <c r="C63" s="610" t="s">
        <v>5357</v>
      </c>
      <c r="D63" s="22"/>
      <c r="E63" s="22"/>
      <c r="F63" s="134"/>
      <c r="G63" s="134"/>
      <c r="H63" s="134"/>
      <c r="I63" s="134"/>
      <c r="J63" s="134"/>
      <c r="K63" s="134"/>
      <c r="L63" s="134"/>
      <c r="M63" s="134"/>
      <c r="N63" s="134"/>
      <c r="O63" s="134"/>
      <c r="P63" s="134"/>
      <c r="Q63" s="1611"/>
      <c r="R63" s="2629"/>
      <c r="S63" s="3390"/>
      <c r="T63" s="1602"/>
      <c r="U63" s="661"/>
      <c r="V63" s="661"/>
      <c r="W63" s="3796"/>
      <c r="AA63" s="1686" t="s">
        <v>1217</v>
      </c>
      <c r="AB63" s="1687"/>
      <c r="AC63" s="1687"/>
      <c r="AD63" s="2161"/>
    </row>
    <row r="64" spans="1:30" ht="13.5" thickBot="1">
      <c r="A64" s="78"/>
      <c r="B64" s="246"/>
      <c r="C64" s="1906" t="s">
        <v>5358</v>
      </c>
      <c r="D64" s="22"/>
      <c r="E64" s="22"/>
      <c r="F64" s="134"/>
      <c r="G64" s="134"/>
      <c r="H64" s="134"/>
      <c r="I64" s="134"/>
      <c r="J64" s="134"/>
      <c r="K64" s="134"/>
      <c r="L64" s="134"/>
      <c r="M64" s="134"/>
      <c r="N64" s="134"/>
      <c r="O64" s="134"/>
      <c r="P64" s="134"/>
      <c r="Q64" s="1611"/>
      <c r="R64" s="2629"/>
      <c r="S64" s="3390"/>
      <c r="T64" s="1602"/>
      <c r="U64" s="661"/>
      <c r="V64" s="661"/>
      <c r="W64" s="3796"/>
      <c r="Y64" s="613"/>
      <c r="AA64" s="1689" t="s">
        <v>1218</v>
      </c>
      <c r="AB64" s="1145"/>
      <c r="AC64" s="1145"/>
      <c r="AD64" s="2161"/>
    </row>
    <row r="65" spans="1:48" ht="13.5" thickBot="1">
      <c r="A65" s="78"/>
      <c r="B65" s="3817"/>
      <c r="C65" s="3786" t="s">
        <v>4186</v>
      </c>
      <c r="D65" s="1494"/>
      <c r="E65" s="1494"/>
      <c r="F65" s="157"/>
      <c r="G65" s="157"/>
      <c r="H65" s="157"/>
      <c r="I65" s="157"/>
      <c r="J65" s="157"/>
      <c r="K65" s="157"/>
      <c r="L65" s="157"/>
      <c r="M65" s="157"/>
      <c r="N65" s="157"/>
      <c r="O65" s="157"/>
      <c r="P65" s="1349" t="s">
        <v>633</v>
      </c>
      <c r="Q65" s="1635">
        <f>B62</f>
        <v>11</v>
      </c>
      <c r="R65" s="8379" t="str">
        <f>IF(W65&lt;&gt;"",ROUND(W65,0),IF(OR(X19,AND(L25="",L27=""),R60),"",IF(OR(J28&lt;&gt;"",X19),0,R187)))</f>
        <v/>
      </c>
      <c r="S65" s="8401"/>
      <c r="T65" s="1602"/>
      <c r="U65" s="1602"/>
      <c r="V65" s="1602"/>
      <c r="W65" s="1836"/>
      <c r="AA65" s="1689" t="s">
        <v>1219</v>
      </c>
      <c r="AB65" s="1145"/>
      <c r="AC65" s="1145"/>
      <c r="AD65" s="2161"/>
      <c r="AF65" s="613"/>
      <c r="AG65" s="613"/>
    </row>
    <row r="66" spans="1:48" ht="14.25" customHeight="1">
      <c r="A66" s="78"/>
      <c r="B66" s="4247" t="s">
        <v>484</v>
      </c>
      <c r="C66" s="1636"/>
      <c r="D66" s="1636"/>
      <c r="E66" s="1636"/>
      <c r="F66" s="1636"/>
      <c r="G66" s="1636"/>
      <c r="H66" s="1636"/>
      <c r="I66" s="1636"/>
      <c r="J66" s="1636"/>
      <c r="K66" s="1636"/>
      <c r="L66" s="1636"/>
      <c r="M66" s="1637" t="s">
        <v>1177</v>
      </c>
      <c r="N66" s="1636"/>
      <c r="O66" s="1636"/>
      <c r="P66" s="1636"/>
      <c r="Q66" s="1636"/>
      <c r="R66" s="3391"/>
      <c r="S66" s="3391" t="str">
        <f>"Form 2441  ("&amp;TaxYear&amp;")"</f>
        <v>Form 2441  (2021)</v>
      </c>
      <c r="T66" s="1604"/>
      <c r="U66" s="1604"/>
      <c r="V66" s="1604"/>
      <c r="W66" s="3796"/>
      <c r="X66" s="613"/>
      <c r="AA66" s="1689" t="s">
        <v>1220</v>
      </c>
      <c r="AB66" s="1145"/>
      <c r="AC66" s="1145"/>
      <c r="AD66" s="2161"/>
    </row>
    <row r="67" spans="1:48" ht="16.5" customHeight="1" thickBot="1">
      <c r="A67" s="78"/>
      <c r="B67" s="1494" t="str">
        <f>"Form 2441 ("&amp;TaxYear&amp;")"</f>
        <v>Form 2441 (2021)</v>
      </c>
      <c r="C67" s="157"/>
      <c r="D67" s="157"/>
      <c r="E67" s="157"/>
      <c r="F67" s="157"/>
      <c r="G67" s="157"/>
      <c r="H67" s="157"/>
      <c r="I67" s="157"/>
      <c r="J67" s="157"/>
      <c r="K67" s="157"/>
      <c r="L67" s="157"/>
      <c r="M67" s="157"/>
      <c r="N67" s="157"/>
      <c r="O67" s="157"/>
      <c r="P67" s="157"/>
      <c r="Q67" s="157"/>
      <c r="R67" s="4248"/>
      <c r="S67" s="4248" t="s">
        <v>160</v>
      </c>
      <c r="T67" s="1602"/>
      <c r="U67" s="1602"/>
      <c r="V67" s="1602"/>
      <c r="W67" s="3796"/>
      <c r="Z67" s="613"/>
      <c r="AA67" s="1691" t="s">
        <v>1221</v>
      </c>
      <c r="AB67" s="1692"/>
      <c r="AC67" s="1692"/>
      <c r="AD67" s="3301"/>
      <c r="AE67" s="613"/>
    </row>
    <row r="68" spans="1:48" ht="14.25" customHeight="1">
      <c r="A68" s="78"/>
      <c r="B68" s="3787" t="s">
        <v>319</v>
      </c>
      <c r="C68" s="1638" t="s">
        <v>1178</v>
      </c>
      <c r="D68" s="1638"/>
      <c r="E68" s="1638"/>
      <c r="F68" s="138"/>
      <c r="G68" s="138"/>
      <c r="H68" s="138"/>
      <c r="I68" s="138"/>
      <c r="J68" s="138"/>
      <c r="K68" s="2279"/>
      <c r="L68" s="138"/>
      <c r="M68" s="138"/>
      <c r="N68" s="138"/>
      <c r="O68" s="138"/>
      <c r="P68" s="138"/>
      <c r="Q68" s="138"/>
      <c r="R68" s="138"/>
      <c r="S68" s="3395"/>
      <c r="T68" s="1604"/>
      <c r="U68" s="1604"/>
      <c r="V68" s="1604"/>
      <c r="W68" s="3796"/>
      <c r="AA68" s="1689" t="s">
        <v>1222</v>
      </c>
      <c r="AB68" s="1145"/>
      <c r="AC68" s="1145"/>
      <c r="AD68" s="2161"/>
    </row>
    <row r="69" spans="1:48" s="613" customFormat="1" ht="16.5" customHeight="1">
      <c r="A69" s="78"/>
      <c r="B69" s="3788">
        <v>12</v>
      </c>
      <c r="C69" s="1023" t="s">
        <v>5367</v>
      </c>
      <c r="D69" s="1023"/>
      <c r="E69" s="1023"/>
      <c r="F69" s="134"/>
      <c r="G69" s="134"/>
      <c r="H69" s="134"/>
      <c r="I69" s="134"/>
      <c r="J69" s="3791"/>
      <c r="K69" s="326"/>
      <c r="L69" s="3800" t="str">
        <f>"you received  for  "&amp;TaxYear&amp;".     "</f>
        <v xml:space="preserve">you received  for  2021.     </v>
      </c>
      <c r="M69" s="392" t="s">
        <v>5366</v>
      </c>
      <c r="N69" s="134"/>
      <c r="O69" s="134"/>
      <c r="P69" s="134"/>
      <c r="Q69" s="1629"/>
      <c r="R69" s="1639"/>
      <c r="S69" s="135"/>
      <c r="T69" s="1602"/>
      <c r="U69" s="1602"/>
      <c r="V69" s="1602"/>
      <c r="W69" s="3796"/>
      <c r="X69"/>
      <c r="Y69"/>
      <c r="Z69"/>
      <c r="AA69" s="1689" t="s">
        <v>1223</v>
      </c>
      <c r="AB69" s="1145"/>
      <c r="AC69" s="1145"/>
      <c r="AD69" s="2161"/>
      <c r="AE69"/>
      <c r="AF69"/>
      <c r="AG69"/>
      <c r="AH69" s="2595"/>
      <c r="AI69" s="2595"/>
      <c r="AJ69" s="2595"/>
      <c r="AK69" s="2595"/>
      <c r="AL69" s="2595"/>
      <c r="AM69" s="2595"/>
      <c r="AN69" s="2595"/>
      <c r="AO69" s="2595"/>
      <c r="AP69" s="2595"/>
      <c r="AR69"/>
      <c r="AS69"/>
      <c r="AT69" s="270"/>
      <c r="AU69" s="270"/>
      <c r="AV69"/>
    </row>
    <row r="70" spans="1:48" ht="15.75" customHeight="1">
      <c r="A70" s="655"/>
      <c r="B70" s="3789"/>
      <c r="C70" s="326" t="s">
        <v>5364</v>
      </c>
      <c r="D70" s="1023"/>
      <c r="E70" s="1023"/>
      <c r="F70" s="134"/>
      <c r="G70" s="134"/>
      <c r="H70" s="134"/>
      <c r="I70" s="134"/>
      <c r="J70" s="134"/>
      <c r="K70" s="134"/>
      <c r="L70" s="134"/>
      <c r="M70" s="134"/>
      <c r="N70" s="134"/>
      <c r="O70" s="134"/>
      <c r="P70" s="134"/>
      <c r="Q70" s="1629"/>
      <c r="R70" s="1060"/>
      <c r="S70" s="135"/>
      <c r="T70" s="1602"/>
      <c r="U70" s="1602"/>
      <c r="V70" s="1602"/>
      <c r="W70" s="3796"/>
      <c r="AA70" s="1689" t="s">
        <v>1224</v>
      </c>
      <c r="AB70" s="1145"/>
      <c r="AC70" s="1145"/>
      <c r="AD70" s="2161"/>
      <c r="AR70" s="613"/>
      <c r="AS70" s="613"/>
      <c r="AT70" s="2136"/>
      <c r="AU70" s="2136"/>
      <c r="AV70" s="613"/>
    </row>
    <row r="71" spans="1:48" ht="14.25">
      <c r="A71" s="78"/>
      <c r="B71" s="3789"/>
      <c r="C71" s="610" t="s">
        <v>5365</v>
      </c>
      <c r="D71" s="1023"/>
      <c r="E71" s="1023"/>
      <c r="F71" s="134"/>
      <c r="G71" s="134"/>
      <c r="H71" s="134"/>
      <c r="I71" s="134"/>
      <c r="J71" s="134"/>
      <c r="K71" s="134"/>
      <c r="L71" s="134"/>
      <c r="M71" s="134"/>
      <c r="N71" s="134"/>
      <c r="O71" s="134"/>
      <c r="P71" s="134"/>
      <c r="Q71" s="1629"/>
      <c r="R71" s="1060"/>
      <c r="S71" s="135"/>
      <c r="T71" s="1602"/>
      <c r="U71" s="1602"/>
      <c r="V71" s="1602"/>
      <c r="W71" s="3796"/>
      <c r="AA71" s="1689" t="s">
        <v>1225</v>
      </c>
      <c r="AB71" s="1145"/>
      <c r="AC71" s="1145"/>
      <c r="AD71" s="2161"/>
    </row>
    <row r="72" spans="1:48" ht="15" thickBot="1">
      <c r="A72" s="78"/>
      <c r="B72" s="3789"/>
      <c r="C72" s="610" t="s">
        <v>5368</v>
      </c>
      <c r="D72" s="1023"/>
      <c r="E72" s="1023"/>
      <c r="F72" s="134"/>
      <c r="G72" s="134"/>
      <c r="H72" s="134"/>
      <c r="I72" s="134"/>
      <c r="J72" s="134"/>
      <c r="K72" s="134"/>
      <c r="L72" s="134"/>
      <c r="M72" s="134"/>
      <c r="N72" s="134"/>
      <c r="O72" s="134"/>
      <c r="P72" s="134"/>
      <c r="Q72" s="1629"/>
      <c r="R72" s="1060"/>
      <c r="S72" s="135"/>
      <c r="T72" s="1602"/>
      <c r="U72" s="1602"/>
      <c r="V72" s="1602"/>
      <c r="W72" s="799" t="s">
        <v>91</v>
      </c>
      <c r="AA72" s="1689" t="s">
        <v>1226</v>
      </c>
      <c r="AB72" s="1145"/>
      <c r="AC72" s="1145"/>
      <c r="AD72" s="2161"/>
    </row>
    <row r="73" spans="1:48" ht="15" thickBot="1">
      <c r="A73" s="78"/>
      <c r="B73" s="3789"/>
      <c r="C73" s="326" t="s">
        <v>5369</v>
      </c>
      <c r="D73" s="1023"/>
      <c r="E73" s="1023"/>
      <c r="F73" s="134"/>
      <c r="G73" s="134"/>
      <c r="H73" s="134"/>
      <c r="I73" s="134"/>
      <c r="J73" s="134"/>
      <c r="K73" s="134"/>
      <c r="L73" s="134"/>
      <c r="M73" s="154" t="s">
        <v>2126</v>
      </c>
      <c r="N73" s="134"/>
      <c r="O73" s="134"/>
      <c r="P73" s="154" t="s">
        <v>2126</v>
      </c>
      <c r="Q73" s="1077">
        <f>B69</f>
        <v>12</v>
      </c>
      <c r="R73" s="8378" t="str">
        <f>IF(W73&lt;&gt;"",ROUND(W73,0),IF(OR(L25&lt;&gt;"",L27=""),"",ROUND(DependCareBenefits,0)))</f>
        <v/>
      </c>
      <c r="S73" s="8387"/>
      <c r="T73" s="1602"/>
      <c r="U73" s="1602"/>
      <c r="V73" s="1602"/>
      <c r="W73" s="1836"/>
      <c r="Y73" s="1357"/>
      <c r="AA73" s="1691" t="s">
        <v>1227</v>
      </c>
      <c r="AB73" s="1145"/>
      <c r="AC73" s="1145"/>
      <c r="AD73" s="2161"/>
    </row>
    <row r="74" spans="1:48" ht="18.75" customHeight="1">
      <c r="A74" s="78"/>
      <c r="B74" s="3788">
        <v>13</v>
      </c>
      <c r="C74" s="326" t="str">
        <f>"Enter the amount, if any, you carried over from "&amp;TaxYear-1&amp;" and used in "&amp;TaxYear&amp;". See instructions"</f>
        <v>Enter the amount, if any, you carried over from 2020 and used in 2021. See instructions</v>
      </c>
      <c r="D74" s="1023"/>
      <c r="E74" s="1023"/>
      <c r="F74" s="134"/>
      <c r="G74" s="134"/>
      <c r="H74" s="134"/>
      <c r="I74" s="134"/>
      <c r="J74" s="134"/>
      <c r="K74" s="134"/>
      <c r="L74" s="134"/>
      <c r="M74" s="134"/>
      <c r="N74" s="134"/>
      <c r="O74" s="134"/>
      <c r="P74" s="154" t="s">
        <v>1784</v>
      </c>
      <c r="Q74" s="5648" t="s">
        <v>658</v>
      </c>
      <c r="R74" s="8505"/>
      <c r="S74" s="8506"/>
      <c r="T74" s="1602"/>
      <c r="U74" s="1602"/>
      <c r="V74" s="1602"/>
      <c r="W74" s="3796"/>
      <c r="Y74" s="1357"/>
      <c r="AA74" s="1689" t="s">
        <v>1228</v>
      </c>
      <c r="AB74" s="1145"/>
      <c r="AC74" s="1145"/>
      <c r="AD74" s="2161"/>
    </row>
    <row r="75" spans="1:48" ht="15" thickBot="1">
      <c r="A75" s="78"/>
      <c r="B75" s="3788">
        <v>14</v>
      </c>
      <c r="C75" s="326" t="str">
        <f>"If you forfeited or carried over to "&amp;TaxYear+1&amp;" any of the amounts reported on line 12 or 13, enter"</f>
        <v>If you forfeited or carried over to 2022 any of the amounts reported on line 12 or 13, enter</v>
      </c>
      <c r="D75" s="1023"/>
      <c r="E75" s="1023"/>
      <c r="F75" s="134"/>
      <c r="G75" s="134"/>
      <c r="H75" s="134"/>
      <c r="I75" s="134"/>
      <c r="J75" s="134"/>
      <c r="K75" s="134"/>
      <c r="L75" s="134"/>
      <c r="M75" s="134"/>
      <c r="N75" s="134"/>
      <c r="O75" s="134"/>
      <c r="P75" s="154"/>
      <c r="Q75" s="1629"/>
      <c r="R75" s="8402"/>
      <c r="S75" s="8403"/>
      <c r="T75" s="1602"/>
      <c r="U75" s="1602"/>
      <c r="V75" s="1602"/>
      <c r="W75" s="5667"/>
      <c r="X75" s="1357"/>
      <c r="Y75" s="1357"/>
      <c r="AA75" s="4253" t="s">
        <v>1229</v>
      </c>
      <c r="AB75" s="1694"/>
      <c r="AC75" s="1694"/>
      <c r="AD75" s="2161"/>
    </row>
    <row r="76" spans="1:48" ht="13.5" customHeight="1" thickBot="1">
      <c r="A76" s="78"/>
      <c r="B76" s="3788"/>
      <c r="C76" s="326" t="s">
        <v>5370</v>
      </c>
      <c r="D76" s="134"/>
      <c r="E76" s="134"/>
      <c r="F76" s="134"/>
      <c r="G76" s="134"/>
      <c r="H76" s="134"/>
      <c r="I76" s="134"/>
      <c r="J76" s="134"/>
      <c r="K76" s="134"/>
      <c r="L76" s="134"/>
      <c r="M76" s="134"/>
      <c r="N76" s="134"/>
      <c r="O76" s="134"/>
      <c r="P76" s="154" t="s">
        <v>1075</v>
      </c>
      <c r="Q76" s="1079">
        <v>14</v>
      </c>
      <c r="R76" s="8404" t="str">
        <f>IF(OR(L25&lt;&gt;"",L27=""),"",IF(W76&lt;0,ROUND(W76,0),-ROUND(W76,0)))</f>
        <v/>
      </c>
      <c r="S76" s="6676"/>
      <c r="T76" s="1602"/>
      <c r="U76" s="1602"/>
      <c r="V76" s="1602"/>
      <c r="W76" s="1836"/>
      <c r="X76" s="1357"/>
      <c r="Y76" s="1357"/>
      <c r="AA76" s="1145"/>
      <c r="AB76" s="1145"/>
      <c r="AC76" s="1145"/>
      <c r="AD76" s="1145"/>
    </row>
    <row r="77" spans="1:48" ht="15.75">
      <c r="A77" s="78"/>
      <c r="B77" s="3788">
        <v>15</v>
      </c>
      <c r="C77" s="326" t="s">
        <v>3013</v>
      </c>
      <c r="D77" s="1023"/>
      <c r="E77" s="1023"/>
      <c r="F77" s="134"/>
      <c r="G77" s="134"/>
      <c r="H77" s="134"/>
      <c r="I77" s="134"/>
      <c r="J77" s="134"/>
      <c r="K77" s="134"/>
      <c r="L77" s="134"/>
      <c r="M77" s="134"/>
      <c r="N77" s="134"/>
      <c r="O77" s="134"/>
      <c r="P77" s="154" t="s">
        <v>374</v>
      </c>
      <c r="Q77" s="1079">
        <f>B77</f>
        <v>15</v>
      </c>
      <c r="R77" s="8378" t="str">
        <f>IF(OR(L25&lt;&gt;"",L27=""),"",SUM(R73,ROUND(R74,0),R76))</f>
        <v/>
      </c>
      <c r="S77" s="8387"/>
      <c r="T77" s="1602"/>
      <c r="U77" s="1602"/>
      <c r="V77" s="1602"/>
      <c r="W77" s="5667"/>
      <c r="X77" s="1357"/>
      <c r="Y77" s="2278"/>
      <c r="Z77" s="3298"/>
      <c r="AA77" s="3299"/>
      <c r="AB77" s="3299"/>
      <c r="AC77" s="3299"/>
      <c r="AD77" s="1357"/>
      <c r="AE77" s="1357"/>
    </row>
    <row r="78" spans="1:48" ht="12.75" customHeight="1">
      <c r="A78" s="78"/>
      <c r="B78" s="3788">
        <v>16</v>
      </c>
      <c r="C78" s="326" t="s">
        <v>3014</v>
      </c>
      <c r="D78" s="134"/>
      <c r="E78" s="134"/>
      <c r="F78" s="134"/>
      <c r="G78" s="134"/>
      <c r="H78" s="134"/>
      <c r="I78" s="134"/>
      <c r="J78" s="134"/>
      <c r="K78" s="134"/>
      <c r="L78" s="134"/>
      <c r="M78" s="134"/>
      <c r="N78" s="134"/>
      <c r="O78" s="134"/>
      <c r="P78" s="134"/>
      <c r="Q78" s="1629"/>
      <c r="R78" s="135"/>
      <c r="S78" s="135"/>
      <c r="T78" s="1602"/>
      <c r="U78" s="1602"/>
      <c r="V78" s="1602"/>
      <c r="W78" s="3796"/>
      <c r="X78" s="1357"/>
      <c r="Y78" s="2278"/>
      <c r="Z78" s="3298"/>
      <c r="AA78" s="3299"/>
      <c r="AB78" s="3299"/>
      <c r="AC78" s="3299"/>
      <c r="AD78" s="1357"/>
      <c r="AE78" s="1357"/>
    </row>
    <row r="79" spans="1:48" ht="16.5" customHeight="1" thickBot="1">
      <c r="A79" s="78"/>
      <c r="B79" s="3804"/>
      <c r="C79" s="610" t="str">
        <f>"in   "&amp;TaxYear&amp;"  for  care of the"</f>
        <v>in   2021  for  care of the</v>
      </c>
      <c r="D79" s="1652"/>
      <c r="E79" s="1652"/>
      <c r="F79" s="1652"/>
      <c r="G79" s="591" t="s">
        <v>3015</v>
      </c>
      <c r="H79" s="3187"/>
      <c r="I79" s="1652"/>
      <c r="J79" s="1652"/>
      <c r="K79" s="3391" t="s">
        <v>629</v>
      </c>
      <c r="L79" s="3784">
        <f>B78</f>
        <v>16</v>
      </c>
      <c r="M79" s="8507"/>
      <c r="N79" s="8508"/>
      <c r="O79" s="8508"/>
      <c r="P79" s="8509"/>
      <c r="Q79" s="1640"/>
      <c r="R79" s="135"/>
      <c r="S79" s="135"/>
      <c r="T79" s="1602"/>
      <c r="U79" s="1602"/>
      <c r="V79" s="1602"/>
      <c r="W79" s="799" t="s">
        <v>91</v>
      </c>
      <c r="X79" s="1357"/>
      <c r="Y79" s="2278"/>
      <c r="Z79" s="3298"/>
      <c r="AA79" s="3299"/>
      <c r="AB79" s="3299"/>
      <c r="AC79" s="3299"/>
      <c r="AD79" s="1357"/>
      <c r="AE79" s="1357"/>
    </row>
    <row r="80" spans="1:48" ht="16.5" customHeight="1" thickBot="1">
      <c r="A80" s="78"/>
      <c r="B80" s="3788">
        <v>17</v>
      </c>
      <c r="C80" s="3801" t="s">
        <v>3027</v>
      </c>
      <c r="D80" s="1023"/>
      <c r="E80" s="1023"/>
      <c r="F80" s="134"/>
      <c r="G80" s="134"/>
      <c r="H80" s="134"/>
      <c r="I80" s="134"/>
      <c r="J80" s="134"/>
      <c r="K80" s="154" t="s">
        <v>571</v>
      </c>
      <c r="L80" s="3784">
        <f>B80</f>
        <v>17</v>
      </c>
      <c r="M80" s="8378" t="str">
        <f>IF(W80&lt;&gt;"",ROUND(W80,0),IF(OR(L25&lt;&gt;"",L27=""),"",MIN(R77,ROUND(M79,0))))</f>
        <v/>
      </c>
      <c r="N80" s="8387"/>
      <c r="O80" s="8387"/>
      <c r="P80" s="8500"/>
      <c r="Q80" s="1629"/>
      <c r="R80" s="8391" t="s">
        <v>2038</v>
      </c>
      <c r="S80" s="8392"/>
      <c r="T80" s="1602"/>
      <c r="U80" s="1602"/>
      <c r="V80" s="1602"/>
      <c r="W80" s="1836"/>
      <c r="X80" s="1357"/>
      <c r="Y80" s="2278"/>
      <c r="Z80" s="3298"/>
      <c r="AA80" s="3299"/>
      <c r="AB80" s="3299"/>
      <c r="AC80" s="3299"/>
      <c r="AD80" s="1357"/>
      <c r="AE80" s="1357"/>
    </row>
    <row r="81" spans="1:48" ht="15.75" customHeight="1" thickBot="1">
      <c r="A81" s="78"/>
      <c r="B81" s="3788">
        <v>18</v>
      </c>
      <c r="C81" s="3801" t="s">
        <v>3028</v>
      </c>
      <c r="D81" s="134"/>
      <c r="E81" s="134"/>
      <c r="F81" s="134"/>
      <c r="G81" s="134"/>
      <c r="H81" s="134"/>
      <c r="I81" s="134"/>
      <c r="J81" s="134"/>
      <c r="K81" s="154" t="s">
        <v>529</v>
      </c>
      <c r="L81" s="3784">
        <f>B81</f>
        <v>18</v>
      </c>
      <c r="M81" s="8388" t="str">
        <f>IF(W81&lt;&gt;"",ROUND(W81,0),IF(OR(L25&lt;&gt;"",L27=""),"",SUM(W48,'W-2s'!I3)))</f>
        <v/>
      </c>
      <c r="N81" s="8510"/>
      <c r="O81" s="8510"/>
      <c r="P81" s="8511"/>
      <c r="Q81" s="1629"/>
      <c r="R81" s="8391" t="s">
        <v>2039</v>
      </c>
      <c r="S81" s="8392"/>
      <c r="T81" s="1602"/>
      <c r="U81" s="1602"/>
      <c r="V81" s="1602"/>
      <c r="W81" s="1836"/>
      <c r="X81" s="1357"/>
      <c r="Y81" s="2278"/>
      <c r="Z81" s="3298"/>
      <c r="AA81" s="3299"/>
      <c r="AB81" s="3299"/>
      <c r="AC81" s="3299"/>
      <c r="AD81" s="1357"/>
      <c r="AE81" s="1357"/>
    </row>
    <row r="82" spans="1:48" ht="14.25" customHeight="1">
      <c r="A82" s="78"/>
      <c r="B82" s="3788">
        <v>19</v>
      </c>
      <c r="C82" s="3801" t="s">
        <v>1179</v>
      </c>
      <c r="D82" s="134"/>
      <c r="E82" s="134"/>
      <c r="F82" s="134"/>
      <c r="G82" s="134"/>
      <c r="H82" s="134"/>
      <c r="I82" s="134"/>
      <c r="J82" s="134"/>
      <c r="K82" s="134"/>
      <c r="L82" s="3785"/>
      <c r="M82" s="1632"/>
      <c r="N82" s="1641"/>
      <c r="O82" s="1641"/>
      <c r="P82" s="5649"/>
      <c r="Q82" s="1629"/>
      <c r="R82" s="8391" t="s">
        <v>1199</v>
      </c>
      <c r="S82" s="8392"/>
      <c r="T82" s="1602"/>
      <c r="U82" s="1602"/>
      <c r="V82" s="1602"/>
      <c r="W82" s="3796"/>
      <c r="X82" s="1357"/>
      <c r="Y82" s="2278"/>
      <c r="Z82" s="3298"/>
      <c r="AA82" s="3299"/>
      <c r="AB82" s="3299"/>
      <c r="AC82" s="3299"/>
      <c r="AD82" s="1357"/>
      <c r="AE82" s="1357"/>
    </row>
    <row r="83" spans="1:48" ht="16.5" customHeight="1">
      <c r="A83" s="78"/>
      <c r="B83" s="3788"/>
      <c r="C83" s="3801" t="s">
        <v>1180</v>
      </c>
      <c r="D83" s="134"/>
      <c r="E83" s="134"/>
      <c r="F83" s="134"/>
      <c r="G83" s="134"/>
      <c r="H83" s="134"/>
      <c r="I83" s="134"/>
      <c r="J83" s="134"/>
      <c r="K83" s="134"/>
      <c r="L83" s="3785"/>
      <c r="M83" s="1632"/>
      <c r="N83" s="1641"/>
      <c r="O83" s="1641"/>
      <c r="P83" s="5649"/>
      <c r="Q83" s="1629"/>
      <c r="R83" s="8391" t="s">
        <v>1200</v>
      </c>
      <c r="S83" s="8392"/>
      <c r="T83" s="1602"/>
      <c r="U83" s="1602"/>
      <c r="V83" s="1602"/>
      <c r="W83" s="3796"/>
      <c r="X83" s="1357"/>
      <c r="Y83" s="2278"/>
      <c r="Z83" s="3298"/>
      <c r="AA83" s="3299"/>
      <c r="AB83" s="3299"/>
      <c r="AC83" s="3299"/>
      <c r="AD83" s="1357"/>
      <c r="AE83" s="1357"/>
      <c r="AG83" s="613"/>
    </row>
    <row r="84" spans="1:48" ht="15" customHeight="1">
      <c r="A84" s="78"/>
      <c r="B84" s="3805"/>
      <c r="C84" s="3802" t="s">
        <v>3029</v>
      </c>
      <c r="D84" s="3812"/>
      <c r="E84" s="3806"/>
      <c r="F84" s="3806"/>
      <c r="G84" s="1652"/>
      <c r="H84" s="1652"/>
      <c r="I84" s="1652"/>
      <c r="J84" s="1652"/>
      <c r="K84" s="1652"/>
      <c r="L84" s="3807"/>
      <c r="M84" s="5650"/>
      <c r="N84" s="5651"/>
      <c r="O84" s="5651"/>
      <c r="P84" s="5652"/>
      <c r="Q84" s="3808"/>
      <c r="R84" s="8399" t="s">
        <v>1194</v>
      </c>
      <c r="S84" s="8400"/>
      <c r="T84" s="1604"/>
      <c r="U84" s="1604"/>
      <c r="V84" s="1604"/>
      <c r="W84" s="3809"/>
      <c r="X84" s="3810"/>
      <c r="Y84" s="2278"/>
      <c r="Z84" s="3298"/>
      <c r="AA84" s="3299"/>
      <c r="AB84" s="3299"/>
      <c r="AC84" s="3299"/>
      <c r="AD84" s="1357"/>
      <c r="AE84" s="1357"/>
    </row>
    <row r="85" spans="1:48" ht="14.25" customHeight="1">
      <c r="A85" s="78"/>
      <c r="B85" s="3789"/>
      <c r="C85" s="3801" t="s">
        <v>1181</v>
      </c>
      <c r="D85" s="134"/>
      <c r="E85" s="134"/>
      <c r="F85" s="134"/>
      <c r="G85" s="134"/>
      <c r="H85" s="134"/>
      <c r="I85" s="134"/>
      <c r="J85" s="134"/>
      <c r="K85" s="134"/>
      <c r="L85" s="3785"/>
      <c r="M85" s="1632"/>
      <c r="N85" s="1641"/>
      <c r="O85" s="1641"/>
      <c r="P85" s="5649"/>
      <c r="Q85" s="1629"/>
      <c r="R85" s="8391" t="s">
        <v>1195</v>
      </c>
      <c r="S85" s="8392"/>
      <c r="T85" s="1602"/>
      <c r="U85" s="1602"/>
      <c r="V85" s="1602"/>
      <c r="W85" s="3796"/>
      <c r="X85" s="1357"/>
      <c r="Y85" s="2278"/>
      <c r="Z85" s="3298"/>
      <c r="AA85" s="3299"/>
      <c r="AB85" s="3299"/>
      <c r="AC85" s="3299"/>
      <c r="AD85" s="1357"/>
      <c r="AE85" s="1357"/>
    </row>
    <row r="86" spans="1:48" ht="16.5" thickBot="1">
      <c r="A86" s="78"/>
      <c r="B86" s="3789"/>
      <c r="C86" s="3801" t="s">
        <v>1182</v>
      </c>
      <c r="D86" s="134"/>
      <c r="E86" s="134"/>
      <c r="F86" s="134"/>
      <c r="G86" s="134"/>
      <c r="H86" s="134"/>
      <c r="I86" s="134"/>
      <c r="J86" s="134"/>
      <c r="K86" s="134"/>
      <c r="L86" s="3785"/>
      <c r="M86" s="5653" t="str">
        <f>IF(AND(File_Marr_Sep&lt;&gt;"",Z19&lt;&gt;""),ROUND(W2_Wages_Spouse,0),M81)</f>
        <v/>
      </c>
      <c r="N86" s="5654">
        <f>IF(AND(File_Marr_Sep&lt;&gt;"",AA19&lt;&gt;""),ROUND(W2_Wages_Spouse,0),N81)</f>
        <v>0</v>
      </c>
      <c r="O86" s="5654">
        <f>IF(AND(File_Marr_Sep&lt;&gt;"",AB19&lt;&gt;""),ROUND(W2_Wages_Spouse,0),O81)</f>
        <v>0</v>
      </c>
      <c r="P86" s="5655">
        <f>IF(AND(File_Marr_Sep&lt;&gt;"",AC19&lt;&gt;""),ROUND(W2_Wages_Spouse,0),P81)</f>
        <v>0</v>
      </c>
      <c r="Q86" s="1629"/>
      <c r="R86" s="8391" t="str">
        <f>"'unmarried' for"</f>
        <v>'unmarried' for</v>
      </c>
      <c r="S86" s="8392"/>
      <c r="T86" s="1602"/>
      <c r="U86" s="1602"/>
      <c r="V86" s="1602"/>
      <c r="W86" s="799" t="s">
        <v>91</v>
      </c>
      <c r="X86" s="1357"/>
      <c r="Y86" s="2278"/>
      <c r="Z86" s="3298"/>
      <c r="AA86" s="3299"/>
      <c r="AB86" s="3299"/>
      <c r="AC86" s="3299"/>
      <c r="AD86" s="1357"/>
      <c r="AE86" s="1357"/>
    </row>
    <row r="87" spans="1:48" s="613" customFormat="1" ht="16.5" thickBot="1">
      <c r="A87" s="78"/>
      <c r="B87" s="3789"/>
      <c r="C87" s="3801" t="s">
        <v>1183</v>
      </c>
      <c r="D87" s="134"/>
      <c r="E87" s="134"/>
      <c r="F87" s="134"/>
      <c r="G87" s="134"/>
      <c r="H87" s="134"/>
      <c r="I87" s="134"/>
      <c r="J87" s="22"/>
      <c r="K87" s="154" t="s">
        <v>529</v>
      </c>
      <c r="L87" s="3784">
        <f>B82</f>
        <v>19</v>
      </c>
      <c r="M87" s="8378" t="str">
        <f>IF(W87&lt;&gt;"",ROUND(W87,0),IF(OR(L25&lt;&gt;"",L27=""),"",IF(File_Marr_Joint&lt;&gt;"",SUM(R49,ROUND('W-2s'!I32,0)),IF(AND(File_Marr_Sep&lt;&gt;"",Z19&lt;&gt;""),M86,M81))))</f>
        <v/>
      </c>
      <c r="N87" s="8387"/>
      <c r="O87" s="8387"/>
      <c r="P87" s="8500"/>
      <c r="Q87" s="1629"/>
      <c r="R87" s="8391" t="s">
        <v>1196</v>
      </c>
      <c r="S87" s="8392"/>
      <c r="T87" s="1602"/>
      <c r="U87" s="1602"/>
      <c r="V87" s="1602"/>
      <c r="W87" s="1836"/>
      <c r="X87" s="1357"/>
      <c r="Y87" s="2278"/>
      <c r="Z87" s="3298"/>
      <c r="AA87" s="3299"/>
      <c r="AB87" s="3299"/>
      <c r="AC87" s="3299"/>
      <c r="AD87" s="1357"/>
      <c r="AE87" s="1357"/>
      <c r="AF87"/>
      <c r="AG87"/>
      <c r="AH87" s="2602"/>
      <c r="AI87" s="2602"/>
      <c r="AJ87" s="2602"/>
      <c r="AK87" s="2602"/>
      <c r="AL87" s="2602"/>
      <c r="AM87" s="2602"/>
      <c r="AN87" s="2602"/>
      <c r="AO87" s="2602"/>
      <c r="AP87" s="2602"/>
      <c r="AR87"/>
      <c r="AS87"/>
      <c r="AT87" s="270"/>
      <c r="AU87" s="270"/>
      <c r="AV87"/>
    </row>
    <row r="88" spans="1:48" ht="12.75" customHeight="1">
      <c r="A88" s="655"/>
      <c r="B88" s="3789"/>
      <c r="C88" s="3802" t="s">
        <v>3030</v>
      </c>
      <c r="D88" s="252"/>
      <c r="E88" s="252"/>
      <c r="F88" s="134"/>
      <c r="G88" s="134"/>
      <c r="H88" s="134"/>
      <c r="I88" s="134"/>
      <c r="J88" s="134"/>
      <c r="K88" s="134"/>
      <c r="L88" s="3785"/>
      <c r="M88" s="1632"/>
      <c r="N88" s="1641"/>
      <c r="O88" s="1641"/>
      <c r="P88" s="5649"/>
      <c r="Q88" s="1629"/>
      <c r="R88" s="8391" t="s">
        <v>1197</v>
      </c>
      <c r="S88" s="8392"/>
      <c r="T88" s="1602"/>
      <c r="U88" s="1602"/>
      <c r="V88" s="1602"/>
      <c r="W88" s="3796"/>
      <c r="X88" s="1357"/>
      <c r="Y88" s="2278"/>
      <c r="Z88" s="3299"/>
      <c r="AA88" s="3299"/>
      <c r="AB88" s="3299"/>
      <c r="AC88" s="3299"/>
      <c r="AD88" s="1357"/>
      <c r="AE88" s="1357"/>
      <c r="AR88" s="613"/>
      <c r="AS88" s="613"/>
      <c r="AT88" s="2136"/>
      <c r="AU88" s="2136"/>
      <c r="AV88" s="613"/>
    </row>
    <row r="89" spans="1:48" ht="12.75" customHeight="1">
      <c r="A89" s="78"/>
      <c r="B89" s="3789"/>
      <c r="C89" s="3801" t="s">
        <v>2595</v>
      </c>
      <c r="D89" s="134"/>
      <c r="E89" s="134"/>
      <c r="F89" s="134"/>
      <c r="G89" s="134"/>
      <c r="H89" s="134"/>
      <c r="I89" s="134"/>
      <c r="J89" s="134"/>
      <c r="K89" s="134"/>
      <c r="L89" s="3785"/>
      <c r="M89" s="1632"/>
      <c r="N89" s="1641"/>
      <c r="O89" s="1641"/>
      <c r="P89" s="5649"/>
      <c r="Q89" s="1629"/>
      <c r="R89" s="8391" t="s">
        <v>1198</v>
      </c>
      <c r="S89" s="8392"/>
      <c r="T89" s="1602"/>
      <c r="U89" s="1602"/>
      <c r="V89" s="1602"/>
      <c r="W89" s="3796"/>
      <c r="Y89" s="2278"/>
      <c r="Z89" s="3299"/>
      <c r="AA89" s="3299"/>
      <c r="AB89" s="3299"/>
      <c r="AC89" s="3299"/>
      <c r="AD89" s="1357"/>
      <c r="AE89" s="1357"/>
    </row>
    <row r="90" spans="1:48" ht="12.75" customHeight="1">
      <c r="A90" s="78"/>
      <c r="B90" s="3789"/>
      <c r="C90" s="3802" t="s">
        <v>3031</v>
      </c>
      <c r="D90" s="252"/>
      <c r="E90" s="252"/>
      <c r="F90" s="22"/>
      <c r="G90" s="134"/>
      <c r="H90" s="134"/>
      <c r="I90" s="134"/>
      <c r="J90" s="134"/>
      <c r="K90" s="134"/>
      <c r="L90" s="3785"/>
      <c r="M90" s="1628"/>
      <c r="N90" s="5656"/>
      <c r="O90" s="5656"/>
      <c r="P90" s="5657"/>
      <c r="Q90" s="1629"/>
      <c r="R90" s="1641"/>
      <c r="S90" s="1641"/>
      <c r="T90" s="1602"/>
      <c r="U90" s="1602"/>
      <c r="V90" s="1602"/>
      <c r="W90" s="3796"/>
      <c r="Y90" s="2278"/>
      <c r="Z90" s="3299"/>
      <c r="AA90" s="3299"/>
      <c r="AB90" s="3299"/>
      <c r="AC90" s="3299"/>
      <c r="AD90" s="1357"/>
      <c r="AE90" s="1357"/>
    </row>
    <row r="91" spans="1:48" ht="15.75">
      <c r="A91" s="78"/>
      <c r="B91" s="3788">
        <v>20</v>
      </c>
      <c r="C91" s="3801" t="s">
        <v>3032</v>
      </c>
      <c r="D91" s="1023"/>
      <c r="E91" s="1023"/>
      <c r="F91" s="134"/>
      <c r="G91" s="134"/>
      <c r="H91" s="134"/>
      <c r="I91" s="134"/>
      <c r="J91" s="134"/>
      <c r="K91" s="154" t="s">
        <v>560</v>
      </c>
      <c r="L91" s="3784">
        <f>B91</f>
        <v>20</v>
      </c>
      <c r="M91" s="8378" t="str">
        <f>IF(OR(L25&lt;&gt;"",L27=""),"",MIN(M80,M81,M87))</f>
        <v/>
      </c>
      <c r="N91" s="8387"/>
      <c r="O91" s="8387"/>
      <c r="P91" s="8500"/>
      <c r="Q91" s="1629"/>
      <c r="R91" s="1641"/>
      <c r="S91" s="1641"/>
      <c r="T91" s="1602"/>
      <c r="U91" s="1602"/>
      <c r="V91" s="1602"/>
      <c r="W91" s="3796"/>
      <c r="Y91" s="2278"/>
      <c r="Z91" s="2278"/>
      <c r="AA91" s="2278"/>
      <c r="AB91" s="2278"/>
      <c r="AC91" s="2278"/>
    </row>
    <row r="92" spans="1:48" ht="12.75" customHeight="1">
      <c r="A92" s="78"/>
      <c r="B92" s="3788">
        <v>21</v>
      </c>
      <c r="C92" s="3801" t="str">
        <f>"Enter "&amp;TEXT(R92,"$0,000")&amp;" ("&amp;TEXT(R93,"$0,000")&amp;" if married filing separately and you were"</f>
        <v>Enter $10,500 ($5,250 if married filing separately and you were</v>
      </c>
      <c r="D92" s="1023"/>
      <c r="E92" s="1023"/>
      <c r="F92" s="134"/>
      <c r="G92" s="134"/>
      <c r="H92" s="134"/>
      <c r="I92" s="134"/>
      <c r="J92" s="134"/>
      <c r="K92" s="134"/>
      <c r="L92" s="3785"/>
      <c r="M92" s="154"/>
      <c r="N92" s="154"/>
      <c r="O92" s="154"/>
      <c r="P92" s="154"/>
      <c r="Q92" s="1629"/>
      <c r="R92" s="1665">
        <v>10500</v>
      </c>
      <c r="S92" s="3392"/>
      <c r="T92" s="1602"/>
      <c r="U92" s="1602"/>
      <c r="V92" s="1602"/>
      <c r="W92" s="799" t="s">
        <v>91</v>
      </c>
      <c r="Y92" s="2278"/>
      <c r="Z92" s="2278"/>
      <c r="AA92" s="2278"/>
      <c r="AB92" s="2278"/>
      <c r="AC92" s="2278"/>
    </row>
    <row r="93" spans="1:48" ht="15">
      <c r="A93" s="78"/>
      <c r="B93" s="3788"/>
      <c r="C93" s="3801" t="s">
        <v>5371</v>
      </c>
      <c r="D93" s="1023"/>
      <c r="E93" s="1023"/>
      <c r="F93" s="134"/>
      <c r="G93" s="134"/>
      <c r="H93" s="134"/>
      <c r="I93" s="134"/>
      <c r="J93" s="134"/>
      <c r="K93" s="134"/>
      <c r="L93" s="3785"/>
      <c r="M93" s="154"/>
      <c r="N93" s="154"/>
      <c r="O93" s="154"/>
      <c r="P93" s="154"/>
      <c r="Q93" s="1629"/>
      <c r="R93" s="1665">
        <v>5250</v>
      </c>
      <c r="S93" s="3392"/>
      <c r="T93" s="1602"/>
      <c r="U93" s="1602"/>
      <c r="V93" s="1602"/>
      <c r="W93" s="799"/>
      <c r="Y93" s="2278"/>
      <c r="Z93" s="2278"/>
      <c r="AA93" s="2278"/>
      <c r="AB93" s="2278"/>
      <c r="AC93" s="2278"/>
    </row>
    <row r="94" spans="1:48" ht="16.5" customHeight="1">
      <c r="A94" s="78"/>
      <c r="B94" s="3788"/>
      <c r="C94" s="3801" t="str">
        <f>"entered an amount on line 13, add it to the "&amp;TEXT(R92,"$0,000")&amp;" or "&amp;TEXT(R93,"$0,000")</f>
        <v>entered an amount on line 13, add it to the $10,500 or $5,250</v>
      </c>
      <c r="D94" s="1023"/>
      <c r="E94" s="1023"/>
      <c r="F94" s="134"/>
      <c r="G94" s="134"/>
      <c r="H94" s="134"/>
      <c r="I94" s="134"/>
      <c r="J94" s="134"/>
      <c r="K94" s="134"/>
      <c r="L94" s="3785"/>
      <c r="M94" s="154"/>
      <c r="N94" s="154"/>
      <c r="O94" s="154"/>
      <c r="P94" s="154"/>
      <c r="Q94" s="1629"/>
      <c r="R94" s="1665"/>
      <c r="S94" s="3392"/>
      <c r="T94" s="1602"/>
      <c r="U94" s="1602"/>
      <c r="V94" s="1602"/>
      <c r="W94" s="799"/>
      <c r="Y94" s="2278"/>
      <c r="Z94" s="2278"/>
      <c r="AA94" s="2278"/>
      <c r="AB94" s="2278"/>
      <c r="AC94" s="2278"/>
    </row>
    <row r="95" spans="1:48" ht="15.75" customHeight="1">
      <c r="A95" s="78"/>
      <c r="B95" s="3788"/>
      <c r="C95" s="3801" t="s">
        <v>5372</v>
      </c>
      <c r="D95" s="1023"/>
      <c r="E95" s="1023"/>
      <c r="F95" s="134"/>
      <c r="G95" s="134"/>
      <c r="H95" s="134"/>
      <c r="I95" s="134"/>
      <c r="J95" s="134"/>
      <c r="K95" s="134"/>
      <c r="L95" s="3785"/>
      <c r="M95" s="154"/>
      <c r="N95" s="154"/>
      <c r="O95" s="154"/>
      <c r="P95" s="154"/>
      <c r="Q95" s="1629"/>
      <c r="R95" s="1665"/>
      <c r="S95" s="3392"/>
      <c r="T95" s="1602"/>
      <c r="U95" s="1602"/>
      <c r="V95" s="1602"/>
      <c r="W95" s="799"/>
      <c r="Y95" s="2278"/>
      <c r="Z95" s="2278"/>
      <c r="AA95" s="2278"/>
      <c r="AB95" s="2278"/>
      <c r="AC95" s="2278"/>
    </row>
    <row r="96" spans="1:48" ht="15.75" thickBot="1">
      <c r="A96" s="78"/>
      <c r="B96" s="3788"/>
      <c r="C96" s="3801" t="s">
        <v>5373</v>
      </c>
      <c r="D96" s="1023"/>
      <c r="E96" s="1023"/>
      <c r="F96" s="134"/>
      <c r="G96" s="134"/>
      <c r="H96" s="134"/>
      <c r="I96" s="134"/>
      <c r="J96" s="134"/>
      <c r="K96" s="134"/>
      <c r="L96" s="3785"/>
      <c r="M96" s="154"/>
      <c r="N96" s="154"/>
      <c r="O96" s="154"/>
      <c r="P96" s="154"/>
      <c r="Q96" s="1629"/>
      <c r="R96" s="1665"/>
      <c r="S96" s="3392"/>
      <c r="T96" s="1602"/>
      <c r="U96" s="1602"/>
      <c r="V96" s="1602"/>
      <c r="W96" s="799"/>
      <c r="Y96" s="2278"/>
      <c r="Z96" s="2278"/>
      <c r="AA96" s="2278"/>
      <c r="AB96" s="2278"/>
      <c r="AC96" s="2278"/>
    </row>
    <row r="97" spans="1:29" ht="15" thickBot="1">
      <c r="A97" s="78"/>
      <c r="B97" s="3788"/>
      <c r="C97" s="326" t="s">
        <v>2404</v>
      </c>
      <c r="D97" s="1023"/>
      <c r="E97" s="1023"/>
      <c r="F97" s="134"/>
      <c r="G97" s="134"/>
      <c r="H97" s="134"/>
      <c r="I97" s="134"/>
      <c r="J97" s="134"/>
      <c r="K97" s="154"/>
      <c r="L97" s="3784">
        <f>B92</f>
        <v>21</v>
      </c>
      <c r="M97" s="8497" t="str">
        <f>IF(W97&lt;&gt;"",ROUND(W97,0),IF(OR(L25&lt;&gt;"",L27=""),"",IF(AND(File_Marr_Sep&lt;&gt;"",Z19&lt;&gt;""),R93,R92)))</f>
        <v/>
      </c>
      <c r="N97" s="8498"/>
      <c r="O97" s="8498"/>
      <c r="P97" s="8499"/>
      <c r="Q97" s="1629"/>
      <c r="R97" s="1665"/>
      <c r="S97" s="3392"/>
      <c r="T97" s="1602"/>
      <c r="U97" s="1602"/>
      <c r="V97" s="1602"/>
      <c r="W97" s="1836"/>
      <c r="Y97" s="2278"/>
      <c r="Z97" s="2278"/>
      <c r="AA97" s="2278"/>
      <c r="AB97" s="2278"/>
      <c r="AC97" s="2278"/>
    </row>
    <row r="98" spans="1:29" ht="15.75" thickBot="1">
      <c r="A98" s="78"/>
      <c r="B98" s="3788">
        <v>22</v>
      </c>
      <c r="C98" s="3801" t="s">
        <v>1190</v>
      </c>
      <c r="D98" s="1023"/>
      <c r="E98" s="1023"/>
      <c r="F98" s="134"/>
      <c r="G98" s="134"/>
      <c r="H98" s="134"/>
      <c r="I98" s="134"/>
      <c r="J98" s="134"/>
      <c r="K98" s="134"/>
      <c r="L98" s="134"/>
      <c r="M98" s="134"/>
      <c r="N98" s="134"/>
      <c r="O98" s="134"/>
      <c r="P98" s="134"/>
      <c r="Q98" s="1629"/>
      <c r="R98" s="135"/>
      <c r="S98" s="135"/>
      <c r="T98" s="1602"/>
      <c r="U98" s="1602"/>
      <c r="V98" s="1602"/>
      <c r="W98" s="3797" t="str">
        <f>IF(AND($C$101&lt;&gt;"",File_Marr_Joint&lt;&gt;""),"Enter amount from","")</f>
        <v/>
      </c>
      <c r="Y98" s="2278"/>
      <c r="Z98" s="2278"/>
      <c r="AA98" s="2278"/>
      <c r="AB98" s="2278"/>
      <c r="AC98" s="2278"/>
    </row>
    <row r="99" spans="1:29" ht="16.5" thickBot="1">
      <c r="A99" s="78"/>
      <c r="B99" s="3788"/>
      <c r="C99" s="3813" t="str">
        <f>IF(C101="","X","")</f>
        <v>X</v>
      </c>
      <c r="D99" s="3803" t="s">
        <v>3033</v>
      </c>
      <c r="E99" s="1023"/>
      <c r="F99" s="1666"/>
      <c r="G99" s="1666"/>
      <c r="H99" s="134"/>
      <c r="I99" s="134"/>
      <c r="J99" s="134"/>
      <c r="K99" s="134"/>
      <c r="L99" s="134"/>
      <c r="M99" s="134"/>
      <c r="N99" s="134"/>
      <c r="O99" s="134"/>
      <c r="P99" s="134"/>
      <c r="Q99" s="1629"/>
      <c r="R99" s="1667"/>
      <c r="S99" s="3393"/>
      <c r="T99" s="1602"/>
      <c r="U99" s="1602"/>
      <c r="V99" s="1602"/>
      <c r="W99" s="3797" t="str">
        <f>IF(AND($C$101&lt;&gt;"",File_Marr_Joint&lt;&gt;""),"sole proprietorship.","")</f>
        <v/>
      </c>
      <c r="Y99" s="2278"/>
      <c r="Z99" s="2278"/>
      <c r="AA99" s="2278"/>
      <c r="AB99" s="2278"/>
      <c r="AC99" s="2278"/>
    </row>
    <row r="100" spans="1:29" ht="8.25" customHeight="1" thickBot="1">
      <c r="A100" s="78"/>
      <c r="B100" s="3788"/>
      <c r="C100" s="1023"/>
      <c r="D100" s="1023"/>
      <c r="E100" s="1023"/>
      <c r="F100" s="1666"/>
      <c r="G100" s="1666"/>
      <c r="H100" s="134"/>
      <c r="I100" s="134"/>
      <c r="J100" s="134"/>
      <c r="K100" s="134"/>
      <c r="L100" s="134"/>
      <c r="M100" s="134"/>
      <c r="N100" s="134"/>
      <c r="O100" s="134"/>
      <c r="P100" s="134"/>
      <c r="Q100" s="4737"/>
      <c r="R100" s="1667"/>
      <c r="S100" s="3393"/>
      <c r="T100" s="1602"/>
      <c r="U100" s="1602"/>
      <c r="V100" s="1602"/>
      <c r="W100" s="3797"/>
      <c r="Y100" s="2278"/>
      <c r="Z100" s="2278"/>
      <c r="AA100" s="2278"/>
      <c r="AB100" s="2278"/>
      <c r="AC100" s="2278"/>
    </row>
    <row r="101" spans="1:29" ht="15.75" customHeight="1" thickBot="1">
      <c r="A101" s="78"/>
      <c r="B101" s="3789"/>
      <c r="C101" s="1193"/>
      <c r="D101" s="3803" t="s">
        <v>3034</v>
      </c>
      <c r="E101" s="1023"/>
      <c r="F101" s="134"/>
      <c r="G101" s="134"/>
      <c r="H101" s="134"/>
      <c r="I101" s="134"/>
      <c r="J101" s="134"/>
      <c r="K101" s="134"/>
      <c r="L101" s="134"/>
      <c r="M101" s="134"/>
      <c r="N101" s="134"/>
      <c r="O101" s="134"/>
      <c r="P101" s="1349" t="s">
        <v>919</v>
      </c>
      <c r="Q101" s="1079">
        <f>B98</f>
        <v>22</v>
      </c>
      <c r="R101" s="8378" t="str">
        <f>IF(OR(L25&lt;&gt;"",L27=""),"",IF(C99&lt;&gt;"",0,ROUND(W101,0)))</f>
        <v/>
      </c>
      <c r="S101" s="7096"/>
      <c r="T101" s="1602"/>
      <c r="U101" s="1602"/>
      <c r="V101" s="1602"/>
      <c r="W101" s="3798"/>
      <c r="Y101" s="2278"/>
      <c r="Z101" s="2278"/>
      <c r="AA101" s="2278"/>
      <c r="AB101" s="2278"/>
      <c r="AC101" s="2278"/>
    </row>
    <row r="102" spans="1:29" ht="12.75" customHeight="1">
      <c r="A102" s="78"/>
      <c r="B102" s="3788">
        <v>23</v>
      </c>
      <c r="C102" s="3801" t="s">
        <v>1189</v>
      </c>
      <c r="D102" s="1023"/>
      <c r="E102" s="1023"/>
      <c r="F102" s="134"/>
      <c r="G102" s="134"/>
      <c r="H102" s="134"/>
      <c r="I102" s="134"/>
      <c r="J102" s="134"/>
      <c r="K102" s="154" t="s">
        <v>802</v>
      </c>
      <c r="L102" s="3784">
        <f>B102</f>
        <v>23</v>
      </c>
      <c r="M102" s="8497" t="str">
        <f>IF(OR(L25&lt;&gt;"",L27=""),"",SUM(R77,-R101))</f>
        <v/>
      </c>
      <c r="N102" s="8498"/>
      <c r="O102" s="8498"/>
      <c r="P102" s="8499"/>
      <c r="Q102" s="1629"/>
      <c r="R102" s="135"/>
      <c r="S102" s="135"/>
      <c r="T102" s="1602"/>
      <c r="U102" s="1602"/>
      <c r="V102" s="1602"/>
      <c r="W102" s="3796"/>
      <c r="Y102" s="2278"/>
      <c r="Z102" s="2278"/>
      <c r="AA102" s="2278"/>
      <c r="AB102" s="2278"/>
      <c r="AC102" s="2278"/>
    </row>
    <row r="103" spans="1:29" ht="13.5" customHeight="1">
      <c r="A103" s="78"/>
      <c r="B103" s="3788">
        <v>24</v>
      </c>
      <c r="C103" s="334" t="s">
        <v>3016</v>
      </c>
      <c r="D103" s="22"/>
      <c r="E103" s="22"/>
      <c r="F103" s="134"/>
      <c r="G103" s="134"/>
      <c r="H103" s="134"/>
      <c r="I103" s="134"/>
      <c r="J103" s="134"/>
      <c r="K103" s="134"/>
      <c r="L103" s="134"/>
      <c r="M103" s="134"/>
      <c r="N103" s="134"/>
      <c r="O103" s="134"/>
      <c r="P103" s="134"/>
      <c r="Q103" s="1629"/>
      <c r="R103" s="1642"/>
      <c r="S103" s="3394"/>
      <c r="T103" s="1602"/>
      <c r="U103" s="1602"/>
      <c r="V103" s="1602"/>
      <c r="W103" s="3796"/>
      <c r="Z103" s="2278"/>
    </row>
    <row r="104" spans="1:29" ht="13.5" customHeight="1">
      <c r="A104" s="78"/>
      <c r="B104" s="3789"/>
      <c r="C104" s="3801" t="s">
        <v>3017</v>
      </c>
      <c r="D104" s="1023"/>
      <c r="E104" s="1023"/>
      <c r="F104" s="134"/>
      <c r="G104" s="134"/>
      <c r="H104" s="134"/>
      <c r="I104" s="134"/>
      <c r="J104" s="134"/>
      <c r="K104" s="134"/>
      <c r="L104" s="134"/>
      <c r="M104" s="134"/>
      <c r="N104" s="134"/>
      <c r="O104" s="134"/>
      <c r="P104" s="154" t="s">
        <v>571</v>
      </c>
      <c r="Q104" s="1079">
        <f>B103</f>
        <v>24</v>
      </c>
      <c r="R104" s="8378" t="str">
        <f>IF(OR(L25&lt;&gt;"",L27=""),"",MIN(M91,M97,R101))</f>
        <v/>
      </c>
      <c r="S104" s="7096"/>
      <c r="T104" s="1602"/>
      <c r="U104" s="1602"/>
      <c r="V104" s="1602"/>
      <c r="W104" s="3796"/>
      <c r="Z104" s="2278"/>
    </row>
    <row r="105" spans="1:29" ht="15.75" thickBot="1">
      <c r="A105" s="78"/>
      <c r="B105" s="3788">
        <v>25</v>
      </c>
      <c r="C105" s="610" t="s">
        <v>3018</v>
      </c>
      <c r="D105" s="134"/>
      <c r="E105" s="134"/>
      <c r="F105" s="134"/>
      <c r="G105" s="134"/>
      <c r="H105" s="134"/>
      <c r="I105" s="134"/>
      <c r="J105" s="134"/>
      <c r="K105" s="154"/>
      <c r="L105" s="134"/>
      <c r="M105" s="134"/>
      <c r="N105" s="5617"/>
      <c r="O105" s="5618"/>
      <c r="P105" s="5619"/>
      <c r="Q105" s="3799"/>
      <c r="R105" s="135"/>
      <c r="S105" s="135"/>
      <c r="T105" s="1602"/>
      <c r="U105" s="1602"/>
      <c r="V105" s="1602"/>
      <c r="W105" s="799" t="s">
        <v>91</v>
      </c>
      <c r="Z105" s="2278"/>
    </row>
    <row r="106" spans="1:29" ht="13.5" customHeight="1" thickBot="1">
      <c r="A106" s="78"/>
      <c r="B106" s="3788"/>
      <c r="C106" s="610" t="s">
        <v>2596</v>
      </c>
      <c r="D106" s="22"/>
      <c r="E106" s="22"/>
      <c r="F106" s="134"/>
      <c r="G106" s="134"/>
      <c r="H106" s="134"/>
      <c r="I106" s="134"/>
      <c r="J106" s="134"/>
      <c r="K106" s="134"/>
      <c r="L106" s="134"/>
      <c r="M106" s="134"/>
      <c r="N106" s="134"/>
      <c r="O106" s="134"/>
      <c r="P106" s="134"/>
      <c r="Q106" s="1079">
        <f>B105</f>
        <v>25</v>
      </c>
      <c r="R106" s="8378" t="str">
        <f>IF(W106&lt;&gt;"",W106,IF(OR(L25&lt;&gt;"",L27=""),"",IF(AND(C99="",C101=""),"",IF(C99&lt;&gt;"",MIN(M91,M97),IF(SUM(MIN(M91,M97),-R104)&lt;0,0,SUM(MIN(M91,M97),-R104))))))</f>
        <v/>
      </c>
      <c r="S106" s="8387"/>
      <c r="T106" s="1602"/>
      <c r="U106" s="1602"/>
      <c r="V106" s="1602"/>
      <c r="W106" s="1836"/>
      <c r="Z106" s="2278"/>
    </row>
    <row r="107" spans="1:29" ht="15">
      <c r="A107" s="78"/>
      <c r="B107" s="3788">
        <v>26</v>
      </c>
      <c r="C107" s="3791" t="s">
        <v>3019</v>
      </c>
      <c r="D107" s="161"/>
      <c r="E107" s="161"/>
      <c r="F107" s="134"/>
      <c r="G107" s="134"/>
      <c r="H107" s="134"/>
      <c r="I107" s="134"/>
      <c r="J107" s="134"/>
      <c r="K107" s="134"/>
      <c r="L107" s="134"/>
      <c r="M107" s="134"/>
      <c r="N107" s="134"/>
      <c r="O107" s="134"/>
      <c r="P107" s="134"/>
      <c r="Q107" s="1629"/>
      <c r="R107" s="1641"/>
      <c r="S107" s="1641"/>
      <c r="T107" s="1602"/>
      <c r="U107" s="1602"/>
      <c r="V107" s="1602"/>
      <c r="W107" s="3796"/>
    </row>
    <row r="108" spans="1:29" ht="15" thickBot="1">
      <c r="A108" s="78"/>
      <c r="B108" s="1626"/>
      <c r="C108" s="326" t="s">
        <v>4187</v>
      </c>
      <c r="D108" s="161"/>
      <c r="E108" s="161"/>
      <c r="F108" s="134"/>
      <c r="G108" s="134"/>
      <c r="H108" s="134"/>
      <c r="I108" s="134"/>
      <c r="J108" s="134"/>
      <c r="K108" s="134"/>
      <c r="L108" s="134"/>
      <c r="M108" s="134"/>
      <c r="N108" s="134"/>
      <c r="O108" s="134"/>
      <c r="P108" s="134"/>
      <c r="Q108" s="1629"/>
      <c r="R108" s="1641"/>
      <c r="S108" s="1641"/>
      <c r="T108" s="1602"/>
      <c r="U108" s="1602"/>
      <c r="V108" s="1602"/>
      <c r="W108" s="799" t="s">
        <v>91</v>
      </c>
    </row>
    <row r="109" spans="1:29" ht="15" thickBot="1">
      <c r="A109" s="78"/>
      <c r="B109" s="1643"/>
      <c r="C109" s="327" t="s">
        <v>4188</v>
      </c>
      <c r="D109" s="1622"/>
      <c r="E109" s="1622"/>
      <c r="F109" s="17"/>
      <c r="G109" s="17"/>
      <c r="H109" s="17"/>
      <c r="I109" s="17"/>
      <c r="J109" s="17"/>
      <c r="K109" s="17"/>
      <c r="L109" s="17"/>
      <c r="M109" s="17"/>
      <c r="N109" s="17"/>
      <c r="O109" s="17"/>
      <c r="P109" s="1644" t="s">
        <v>2517</v>
      </c>
      <c r="Q109" s="3784">
        <f>B107</f>
        <v>26</v>
      </c>
      <c r="R109" s="8378" t="str">
        <f>IF(W109&lt;&gt;"",ROUND(W109,0),IF(OR(AND(File_Marr_Sep&lt;&gt;"",$Z$19&lt;&gt;""),AND(C99="",C101="")),"",IF(OR(L25&lt;&gt;"",L27=""),"",IF(SUM(M102,-R106)&lt;0,0,SUM(M102,-R106)))))</f>
        <v/>
      </c>
      <c r="S109" s="7096"/>
      <c r="T109" s="1602"/>
      <c r="U109" s="1602"/>
      <c r="V109" s="1602"/>
      <c r="W109" s="1836"/>
    </row>
    <row r="110" spans="1:29">
      <c r="A110" s="78"/>
      <c r="B110" s="134"/>
      <c r="C110" s="134"/>
      <c r="D110" s="134"/>
      <c r="E110" s="134"/>
      <c r="F110" s="134"/>
      <c r="G110" s="134"/>
      <c r="H110" s="134"/>
      <c r="I110" s="134"/>
      <c r="J110" s="134"/>
      <c r="K110" s="134"/>
      <c r="L110" s="134"/>
      <c r="M110" s="134"/>
      <c r="N110" s="134"/>
      <c r="O110" s="134"/>
      <c r="P110" s="134"/>
      <c r="Q110" s="134"/>
      <c r="R110" s="135"/>
      <c r="S110" s="135"/>
      <c r="T110" s="1602"/>
      <c r="U110" s="1602"/>
      <c r="V110" s="1602"/>
      <c r="W110" s="3796"/>
    </row>
    <row r="111" spans="1:29" ht="15">
      <c r="A111" s="78"/>
      <c r="B111" s="134" t="s">
        <v>388</v>
      </c>
      <c r="C111" s="134"/>
      <c r="D111" s="134"/>
      <c r="E111" s="134"/>
      <c r="F111" s="134"/>
      <c r="G111" s="134"/>
      <c r="H111" s="134"/>
      <c r="I111" s="3801" t="s">
        <v>1184</v>
      </c>
      <c r="J111" s="134"/>
      <c r="K111" s="134"/>
      <c r="L111" s="134"/>
      <c r="M111" s="134"/>
      <c r="N111" s="134"/>
      <c r="O111" s="134"/>
      <c r="P111" s="134"/>
      <c r="Q111" s="134"/>
      <c r="R111" s="135"/>
      <c r="S111" s="135"/>
      <c r="T111" s="1602"/>
      <c r="U111" s="1602"/>
      <c r="V111" s="1602"/>
      <c r="W111" s="3796"/>
    </row>
    <row r="112" spans="1:29" ht="15">
      <c r="A112" s="78"/>
      <c r="B112" s="1023"/>
      <c r="C112" s="134"/>
      <c r="D112" s="134"/>
      <c r="E112" s="134"/>
      <c r="F112" s="134"/>
      <c r="G112" s="134"/>
      <c r="H112" s="134"/>
      <c r="I112" s="3801" t="s">
        <v>2597</v>
      </c>
      <c r="J112" s="134"/>
      <c r="K112" s="134"/>
      <c r="L112" s="134"/>
      <c r="M112" s="134"/>
      <c r="N112" s="134"/>
      <c r="O112" s="134"/>
      <c r="P112" s="134"/>
      <c r="Q112" s="134"/>
      <c r="R112" s="135"/>
      <c r="S112" s="135"/>
      <c r="T112" s="1602"/>
      <c r="U112" s="1602"/>
      <c r="V112" s="1602"/>
      <c r="W112" s="3796"/>
    </row>
    <row r="113" spans="1:31" ht="12.75" customHeight="1" thickBot="1">
      <c r="A113" s="78"/>
      <c r="B113" s="17"/>
      <c r="C113" s="17"/>
      <c r="D113" s="17"/>
      <c r="E113" s="17"/>
      <c r="F113" s="17"/>
      <c r="G113" s="17"/>
      <c r="H113" s="17"/>
      <c r="I113" s="17"/>
      <c r="J113" s="17"/>
      <c r="K113" s="17"/>
      <c r="L113" s="17"/>
      <c r="M113" s="17"/>
      <c r="N113" s="17"/>
      <c r="O113" s="17"/>
      <c r="P113" s="17"/>
      <c r="Q113" s="17"/>
      <c r="R113" s="135"/>
      <c r="S113" s="135"/>
      <c r="T113" s="1602"/>
      <c r="U113" s="1602"/>
      <c r="V113" s="1602"/>
      <c r="W113" s="799" t="s">
        <v>91</v>
      </c>
    </row>
    <row r="114" spans="1:31" ht="16.5" customHeight="1" thickBot="1">
      <c r="A114" s="78"/>
      <c r="B114" s="3814">
        <v>27</v>
      </c>
      <c r="C114" s="326" t="str">
        <f>"Enter "&amp;TEXT(X42,"$0,000")&amp;" ("&amp;TEXT(X43,"$0,000")&amp;" if two or more qualifying persons)"</f>
        <v>Enter $8,000 ($16,000 if two or more qualifying persons)</v>
      </c>
      <c r="D114" s="134"/>
      <c r="E114" s="134"/>
      <c r="F114" s="134"/>
      <c r="G114" s="134"/>
      <c r="H114" s="134"/>
      <c r="I114" s="134"/>
      <c r="J114" s="134"/>
      <c r="K114" s="134"/>
      <c r="L114" s="134"/>
      <c r="M114" s="154"/>
      <c r="N114" s="5658"/>
      <c r="O114" s="5658"/>
      <c r="P114" s="154" t="s">
        <v>276</v>
      </c>
      <c r="Q114" s="3784">
        <f>B114</f>
        <v>27</v>
      </c>
      <c r="R114" s="8388" t="str">
        <f>IF(W114&lt;&gt;"",W114,IF(OR(L25&lt;&gt;"",L27=""),"",IF(T42&gt;1,X43,X42)))</f>
        <v/>
      </c>
      <c r="S114" s="8389"/>
      <c r="T114" s="1602"/>
      <c r="U114" s="1602"/>
      <c r="V114" s="1602"/>
      <c r="W114" s="1836"/>
    </row>
    <row r="115" spans="1:31" ht="15.75" customHeight="1">
      <c r="A115" s="78"/>
      <c r="B115" s="3814">
        <v>28</v>
      </c>
      <c r="C115" s="326" t="s">
        <v>3020</v>
      </c>
      <c r="D115" s="134"/>
      <c r="E115" s="134"/>
      <c r="F115" s="134"/>
      <c r="G115" s="134"/>
      <c r="H115" s="134"/>
      <c r="I115" s="134"/>
      <c r="J115" s="134"/>
      <c r="K115" s="134"/>
      <c r="L115" s="134"/>
      <c r="M115" s="154"/>
      <c r="N115" s="134"/>
      <c r="O115" s="134"/>
      <c r="P115" s="154" t="s">
        <v>1587</v>
      </c>
      <c r="Q115" s="3784">
        <f>B115</f>
        <v>28</v>
      </c>
      <c r="R115" s="8388" t="str">
        <f>IF(OR(L25&lt;&gt;"",L27=""),"",SUM(R104,R106))</f>
        <v/>
      </c>
      <c r="S115" s="8389"/>
      <c r="T115" s="1602"/>
      <c r="U115" s="1602"/>
      <c r="V115" s="1602"/>
      <c r="W115" s="3796"/>
      <c r="AA115" s="8444" t="s">
        <v>1201</v>
      </c>
      <c r="AB115" s="7723"/>
      <c r="AC115" s="7723"/>
      <c r="AD115" s="7723"/>
      <c r="AE115" s="8445"/>
    </row>
    <row r="116" spans="1:31" ht="15.75" thickBot="1">
      <c r="A116" s="78"/>
      <c r="B116" s="3814">
        <v>29</v>
      </c>
      <c r="C116" s="3792" t="s">
        <v>3021</v>
      </c>
      <c r="D116" s="134"/>
      <c r="E116" s="134"/>
      <c r="F116" s="134"/>
      <c r="G116" s="134"/>
      <c r="H116" s="610" t="s">
        <v>3026</v>
      </c>
      <c r="I116" s="610"/>
      <c r="J116" s="134"/>
      <c r="K116" s="134"/>
      <c r="L116" s="134"/>
      <c r="M116" s="134"/>
      <c r="N116" s="134"/>
      <c r="O116" s="134"/>
      <c r="P116" s="134"/>
      <c r="Q116" s="4738"/>
      <c r="R116" s="1641"/>
      <c r="S116" s="1641"/>
      <c r="T116" s="1602"/>
      <c r="U116" s="1602"/>
      <c r="V116" s="1602"/>
      <c r="W116" s="3796"/>
      <c r="AA116" s="8446"/>
      <c r="AB116" s="8170"/>
      <c r="AC116" s="8170"/>
      <c r="AD116" s="8170"/>
      <c r="AE116" s="8447"/>
    </row>
    <row r="117" spans="1:31" ht="15.75" thickBot="1">
      <c r="A117" s="78"/>
      <c r="B117" s="3391"/>
      <c r="C117" s="591" t="s">
        <v>3022</v>
      </c>
      <c r="D117" s="3793"/>
      <c r="E117" s="610" t="str">
        <f>" If you paid "&amp;TaxYear-1&amp;" expenses in "&amp;TaxYear&amp;", see the instruction for line 9b."</f>
        <v xml:space="preserve"> If you paid 2020 expenses in 2021, see the instruction for line 9b.</v>
      </c>
      <c r="F117" s="1652"/>
      <c r="G117" s="1652"/>
      <c r="H117" s="1652"/>
      <c r="I117" s="1652"/>
      <c r="J117" s="1652"/>
      <c r="K117" s="1652"/>
      <c r="L117" s="134"/>
      <c r="M117" s="154"/>
      <c r="N117" s="154"/>
      <c r="O117" s="154"/>
      <c r="P117" s="154"/>
      <c r="Q117" s="3784">
        <f>B116</f>
        <v>29</v>
      </c>
      <c r="R117" s="8378" t="str">
        <f>IF(W117&lt;&gt;"",ROUND(W117,0),IF(OR(L25&lt;&gt;"",L27=""),"",IF(SUM(R114,-R115)&gt;=0,SUM(R114,-R115),"STOP")))</f>
        <v/>
      </c>
      <c r="S117" s="7096"/>
      <c r="T117" s="1602"/>
      <c r="U117" s="1602"/>
      <c r="V117" s="1602"/>
      <c r="W117" s="1836"/>
      <c r="AA117" s="8446"/>
      <c r="AB117" s="8170"/>
      <c r="AC117" s="8170"/>
      <c r="AD117" s="8170"/>
      <c r="AE117" s="8447"/>
    </row>
    <row r="118" spans="1:31" ht="15.75" thickBot="1">
      <c r="A118" s="78"/>
      <c r="B118" s="3814">
        <v>30</v>
      </c>
      <c r="C118" s="610" t="s">
        <v>3023</v>
      </c>
      <c r="D118" s="164"/>
      <c r="E118" s="164"/>
      <c r="F118" s="134"/>
      <c r="G118" s="134"/>
      <c r="H118" s="134"/>
      <c r="I118" s="134"/>
      <c r="J118" s="134"/>
      <c r="K118" s="134"/>
      <c r="L118" s="134"/>
      <c r="M118" s="134"/>
      <c r="N118" s="5673"/>
      <c r="O118" s="5674"/>
      <c r="P118" s="5675"/>
      <c r="Q118" s="4738"/>
      <c r="R118" s="1641"/>
      <c r="S118" s="1641"/>
      <c r="T118" s="1602"/>
      <c r="U118" s="1602"/>
      <c r="V118" s="1602"/>
      <c r="W118" s="3796"/>
      <c r="AA118" s="8446"/>
      <c r="AB118" s="8170"/>
      <c r="AC118" s="8170"/>
      <c r="AD118" s="8170"/>
      <c r="AE118" s="8447"/>
    </row>
    <row r="119" spans="1:31" ht="15" thickBot="1">
      <c r="A119" s="78"/>
      <c r="B119" s="3814"/>
      <c r="C119" s="326" t="s">
        <v>3024</v>
      </c>
      <c r="D119" s="164"/>
      <c r="E119" s="164"/>
      <c r="F119" s="134"/>
      <c r="G119" s="134"/>
      <c r="H119" s="134"/>
      <c r="I119" s="134"/>
      <c r="J119" s="134"/>
      <c r="K119" s="134"/>
      <c r="L119" s="134"/>
      <c r="M119" s="134"/>
      <c r="N119" s="134"/>
      <c r="O119" s="134"/>
      <c r="P119" s="134"/>
      <c r="Q119" s="3784">
        <f>B118</f>
        <v>30</v>
      </c>
      <c r="R119" s="8378" t="str">
        <f>IF(W119&lt;&gt;"",W119,IF(OR(L25&lt;&gt;"",L27=""),"",R42))</f>
        <v/>
      </c>
      <c r="S119" s="7096"/>
      <c r="T119" s="1602"/>
      <c r="U119" s="1602"/>
      <c r="V119" s="1602"/>
      <c r="W119" s="1836"/>
      <c r="AA119" s="8448"/>
      <c r="AB119" s="8172"/>
      <c r="AC119" s="8172"/>
      <c r="AD119" s="8172"/>
      <c r="AE119" s="8449"/>
    </row>
    <row r="120" spans="1:31" ht="15.75" thickBot="1">
      <c r="A120" s="78"/>
      <c r="B120" s="3814">
        <v>31</v>
      </c>
      <c r="C120" s="326" t="s">
        <v>3025</v>
      </c>
      <c r="D120" s="134"/>
      <c r="E120" s="134"/>
      <c r="F120" s="134"/>
      <c r="G120" s="134"/>
      <c r="H120" s="134"/>
      <c r="I120" s="134"/>
      <c r="J120" s="134"/>
      <c r="K120" s="134"/>
      <c r="L120" s="134"/>
      <c r="M120" s="134"/>
      <c r="N120" s="5673"/>
      <c r="O120" s="5674"/>
      <c r="P120" s="5675"/>
      <c r="Q120" s="4738"/>
      <c r="R120" s="1641"/>
      <c r="S120" s="1641"/>
      <c r="T120" s="1602"/>
      <c r="U120" s="1602"/>
      <c r="V120" s="1602"/>
      <c r="W120" s="3796"/>
    </row>
    <row r="121" spans="1:31" ht="17.25" customHeight="1" thickBot="1">
      <c r="A121" s="78"/>
      <c r="B121" s="3815"/>
      <c r="C121" s="5659" t="str">
        <f>"form and complete lines "&amp;B44&amp;" through "&amp;B62</f>
        <v>form and complete lines 4 through 11</v>
      </c>
      <c r="D121" s="157"/>
      <c r="E121" s="157"/>
      <c r="F121" s="157"/>
      <c r="G121" s="157"/>
      <c r="H121" s="157"/>
      <c r="I121" s="157"/>
      <c r="J121" s="157"/>
      <c r="K121" s="157"/>
      <c r="L121" s="157"/>
      <c r="M121" s="1645"/>
      <c r="N121" s="4739"/>
      <c r="O121" s="4739"/>
      <c r="P121" s="5660" t="s">
        <v>1191</v>
      </c>
      <c r="Q121" s="4739">
        <f>B120</f>
        <v>31</v>
      </c>
      <c r="R121" s="8379" t="str">
        <f>IF(W121&lt;&gt;"",W121,IF(OR(L25&lt;&gt;"",L27="",Z19&lt;&gt;""),"",IF(R117="STOP",0,MIN(R117,R119))))</f>
        <v/>
      </c>
      <c r="S121" s="8380"/>
      <c r="T121" s="1602"/>
      <c r="U121" s="1602"/>
      <c r="V121" s="1602"/>
      <c r="W121" s="1836"/>
    </row>
    <row r="122" spans="1:31" ht="22.5" customHeight="1">
      <c r="A122" s="78"/>
      <c r="B122" s="1646"/>
      <c r="C122" s="244"/>
      <c r="D122" s="244"/>
      <c r="E122" s="244"/>
      <c r="F122" s="244"/>
      <c r="G122" s="244"/>
      <c r="H122" s="244"/>
      <c r="I122" s="244"/>
      <c r="J122" s="244"/>
      <c r="K122" s="244"/>
      <c r="L122" s="244"/>
      <c r="M122" s="325"/>
      <c r="N122" s="244"/>
      <c r="O122" s="244"/>
      <c r="P122" s="244"/>
      <c r="Q122" s="244"/>
      <c r="R122" s="154" t="str">
        <f>"Form 2441  ("&amp;TaxYear&amp;")"</f>
        <v>Form 2441  (2021)</v>
      </c>
      <c r="S122" s="154"/>
      <c r="T122" s="1602"/>
      <c r="U122" s="1602"/>
      <c r="V122" s="1602"/>
      <c r="W122" s="3796"/>
    </row>
    <row r="123" spans="1:31" ht="17.25" customHeight="1" thickBot="1">
      <c r="A123" s="78"/>
      <c r="B123" s="1605"/>
      <c r="C123" s="134"/>
      <c r="D123" s="134"/>
      <c r="E123" s="134"/>
      <c r="F123" s="134"/>
      <c r="G123" s="134"/>
      <c r="H123" s="134"/>
      <c r="I123" s="1605"/>
      <c r="J123" s="1605"/>
      <c r="K123" s="134"/>
      <c r="L123" s="1606"/>
      <c r="M123" s="134"/>
      <c r="N123" s="134"/>
      <c r="O123" s="134"/>
      <c r="P123" s="134"/>
      <c r="Q123" s="134"/>
      <c r="R123" s="1607"/>
      <c r="S123" s="1607"/>
      <c r="T123" s="1602"/>
      <c r="U123" s="1602"/>
      <c r="V123" s="1602"/>
    </row>
    <row r="124" spans="1:31" ht="21" customHeight="1">
      <c r="A124" s="78"/>
      <c r="B124" s="1647"/>
      <c r="C124" s="8414">
        <v>2441</v>
      </c>
      <c r="D124" s="8415"/>
      <c r="E124" s="8415"/>
      <c r="F124" s="245"/>
      <c r="G124" s="8368" t="s">
        <v>1185</v>
      </c>
      <c r="H124" s="8369"/>
      <c r="I124" s="8369"/>
      <c r="J124" s="8369"/>
      <c r="K124" s="8369"/>
      <c r="L124" s="8369"/>
      <c r="M124" s="8369"/>
      <c r="N124" s="8369"/>
      <c r="O124" s="8369"/>
      <c r="P124" s="8369"/>
      <c r="Q124" s="8370"/>
      <c r="R124" s="8381">
        <f>TaxYear</f>
        <v>2021</v>
      </c>
      <c r="S124" s="8382"/>
      <c r="T124" s="1602"/>
      <c r="U124" s="1602"/>
      <c r="V124" s="1602"/>
    </row>
    <row r="125" spans="1:31" ht="18.75" thickBot="1">
      <c r="A125" s="78"/>
      <c r="B125" s="1648" t="s">
        <v>291</v>
      </c>
      <c r="C125" s="8416"/>
      <c r="D125" s="8416"/>
      <c r="E125" s="8416"/>
      <c r="F125" s="1649"/>
      <c r="G125" s="8371" t="s">
        <v>1156</v>
      </c>
      <c r="H125" s="8372"/>
      <c r="I125" s="8372"/>
      <c r="J125" s="8372"/>
      <c r="K125" s="8372"/>
      <c r="L125" s="8372"/>
      <c r="M125" s="8372"/>
      <c r="N125" s="8372"/>
      <c r="O125" s="8372"/>
      <c r="P125" s="8372"/>
      <c r="Q125" s="8373"/>
      <c r="R125" s="8383"/>
      <c r="S125" s="8384"/>
      <c r="T125" s="1604"/>
      <c r="U125" s="1604"/>
      <c r="V125" s="1604"/>
      <c r="W125" s="613"/>
    </row>
    <row r="126" spans="1:31" ht="18" customHeight="1">
      <c r="A126" s="78"/>
      <c r="B126" s="1650"/>
      <c r="C126" s="1651"/>
      <c r="D126" s="1651"/>
      <c r="E126" s="1651"/>
      <c r="F126" s="1652"/>
      <c r="G126" s="1653"/>
      <c r="H126" s="1653"/>
      <c r="I126" s="1653"/>
      <c r="J126" s="1652"/>
      <c r="K126" s="1652"/>
      <c r="L126" s="1652"/>
      <c r="M126" s="1652"/>
      <c r="N126" s="1652"/>
      <c r="O126" s="1652"/>
      <c r="P126" s="1652"/>
      <c r="Q126" s="1652"/>
      <c r="R126" s="1654"/>
      <c r="S126" s="1654"/>
      <c r="T126" s="1604"/>
      <c r="U126" s="1604"/>
      <c r="V126" s="1604"/>
      <c r="W126" s="613"/>
      <c r="X126" s="613"/>
      <c r="Y126" s="613"/>
      <c r="Z126" s="613"/>
    </row>
    <row r="127" spans="1:31" ht="14.25" customHeight="1">
      <c r="A127" s="78"/>
      <c r="B127" s="1655" t="s">
        <v>55</v>
      </c>
      <c r="C127" s="1656"/>
      <c r="D127" s="1656"/>
      <c r="E127" s="1656"/>
      <c r="F127" s="1445"/>
      <c r="G127" s="153"/>
      <c r="H127" s="153"/>
      <c r="I127" s="153"/>
      <c r="J127" s="153"/>
      <c r="K127" s="1657"/>
      <c r="L127" s="1658"/>
      <c r="M127" s="1658"/>
      <c r="N127" s="1658"/>
      <c r="O127" s="1658"/>
      <c r="P127" s="1658"/>
      <c r="Q127" s="5603" t="s">
        <v>89</v>
      </c>
      <c r="R127" s="5604"/>
      <c r="S127" s="5604"/>
      <c r="T127" s="1603"/>
      <c r="U127" s="1603"/>
      <c r="V127" s="1603"/>
    </row>
    <row r="128" spans="1:31" ht="15">
      <c r="A128" s="78"/>
      <c r="B128" s="4740" t="str">
        <f>Names</f>
        <v/>
      </c>
      <c r="C128" s="1323"/>
      <c r="D128" s="1323"/>
      <c r="E128" s="1323"/>
      <c r="F128" s="1324"/>
      <c r="G128" s="1325"/>
      <c r="H128" s="1325"/>
      <c r="I128" s="1325"/>
      <c r="J128" s="1325"/>
      <c r="K128" s="3794"/>
      <c r="L128" s="3795"/>
      <c r="M128" s="3795"/>
      <c r="N128" s="3795"/>
      <c r="O128" s="3795"/>
      <c r="P128" s="3795"/>
      <c r="Q128" s="8503">
        <f>IF(NoSSN,"",SS_Yours)</f>
        <v>1010001</v>
      </c>
      <c r="R128" s="8504"/>
      <c r="S128" s="8504"/>
      <c r="T128" s="1603"/>
      <c r="U128" s="1603"/>
      <c r="V128" s="1603"/>
    </row>
    <row r="129" spans="1:33" ht="15" customHeight="1">
      <c r="A129" s="78"/>
      <c r="B129" s="1605"/>
      <c r="C129" s="134"/>
      <c r="D129" s="134"/>
      <c r="E129" s="134"/>
      <c r="F129" s="134"/>
      <c r="G129" s="134"/>
      <c r="H129" s="134"/>
      <c r="I129" s="1605"/>
      <c r="J129" s="1605"/>
      <c r="K129" s="134"/>
      <c r="L129" s="1606"/>
      <c r="M129" s="134"/>
      <c r="N129" s="134"/>
      <c r="O129" s="134"/>
      <c r="P129" s="134"/>
      <c r="Q129" s="134"/>
      <c r="R129" s="1607"/>
      <c r="S129" s="1607"/>
      <c r="T129" s="1602"/>
      <c r="U129" s="1602"/>
      <c r="V129" s="1602"/>
      <c r="AA129" s="613"/>
      <c r="AB129" s="613"/>
      <c r="AC129" s="613"/>
      <c r="AD129" s="613"/>
    </row>
    <row r="130" spans="1:33" ht="15" customHeight="1">
      <c r="A130" s="78"/>
      <c r="B130" s="1608" t="s">
        <v>51</v>
      </c>
      <c r="C130" s="1609" t="s">
        <v>5375</v>
      </c>
      <c r="D130" s="1609"/>
      <c r="E130" s="1609"/>
      <c r="F130" s="134"/>
      <c r="G130" s="134"/>
      <c r="H130" s="134"/>
      <c r="I130" s="134"/>
      <c r="J130" s="134"/>
      <c r="K130" s="134"/>
      <c r="L130" s="134"/>
      <c r="M130" s="134"/>
      <c r="N130" s="134"/>
      <c r="O130" s="134"/>
      <c r="P130" s="134"/>
      <c r="Q130" s="134"/>
      <c r="R130" s="3387"/>
      <c r="S130" s="3387"/>
      <c r="T130" s="1602"/>
      <c r="U130" s="1602"/>
      <c r="V130" s="1602"/>
      <c r="W130" s="1271"/>
      <c r="X130" s="1271"/>
      <c r="Y130" s="1271"/>
      <c r="Z130" s="1271"/>
      <c r="AF130" s="1271"/>
      <c r="AG130" s="1271"/>
    </row>
    <row r="131" spans="1:33">
      <c r="A131" s="78"/>
      <c r="B131" s="17"/>
      <c r="C131" s="1622"/>
      <c r="D131" s="17"/>
      <c r="E131" s="17"/>
      <c r="F131" s="17"/>
      <c r="G131" s="17"/>
      <c r="H131" s="17"/>
      <c r="I131" s="17"/>
      <c r="J131" s="17"/>
      <c r="K131" s="17"/>
      <c r="L131" s="17"/>
      <c r="M131" s="17"/>
      <c r="N131" s="17"/>
      <c r="O131" s="17"/>
      <c r="P131" s="17"/>
      <c r="Q131" s="17"/>
      <c r="R131" s="17"/>
      <c r="S131" s="17"/>
      <c r="T131" s="1602"/>
      <c r="U131" s="1602"/>
      <c r="V131" s="1602"/>
      <c r="W131" s="1271"/>
      <c r="X131" s="1271"/>
      <c r="Y131" s="1271"/>
      <c r="Z131" s="1271"/>
      <c r="AF131" s="1271"/>
      <c r="AG131" s="1271"/>
    </row>
    <row r="132" spans="1:33" ht="27" customHeight="1">
      <c r="A132" s="78"/>
      <c r="B132" s="1059" t="s">
        <v>3522</v>
      </c>
      <c r="C132" s="21" t="s">
        <v>1161</v>
      </c>
      <c r="D132" s="21"/>
      <c r="E132" s="21"/>
      <c r="F132" s="1610"/>
      <c r="G132" s="1611"/>
      <c r="H132" s="134"/>
      <c r="I132" s="1612" t="s">
        <v>1162</v>
      </c>
      <c r="J132" s="134"/>
      <c r="K132" s="134"/>
      <c r="L132" s="8478" t="s">
        <v>5305</v>
      </c>
      <c r="M132" s="8479"/>
      <c r="N132" s="8480"/>
      <c r="O132" s="7172" t="s">
        <v>5306</v>
      </c>
      <c r="P132" s="8473"/>
      <c r="Q132" s="8474"/>
      <c r="R132" s="8468" t="s">
        <v>5307</v>
      </c>
      <c r="S132" s="8469"/>
      <c r="T132" s="1602"/>
      <c r="U132" s="1602"/>
      <c r="V132" s="1602"/>
      <c r="W132" s="1271"/>
      <c r="X132" s="1271"/>
      <c r="Y132" s="1271"/>
      <c r="Z132" s="1271"/>
      <c r="AF132" s="1271"/>
      <c r="AG132" s="1271"/>
    </row>
    <row r="133" spans="1:33" ht="27" customHeight="1">
      <c r="A133" s="78"/>
      <c r="B133" s="1613"/>
      <c r="C133" s="3399" t="s">
        <v>1192</v>
      </c>
      <c r="D133" s="1614"/>
      <c r="E133" s="1614"/>
      <c r="F133" s="1615"/>
      <c r="G133" s="3398" t="s">
        <v>1163</v>
      </c>
      <c r="H133" s="143"/>
      <c r="I133" s="17"/>
      <c r="J133" s="17"/>
      <c r="K133" s="17"/>
      <c r="L133" s="8437" t="s">
        <v>5304</v>
      </c>
      <c r="M133" s="8438"/>
      <c r="N133" s="8439"/>
      <c r="O133" s="8475"/>
      <c r="P133" s="8476"/>
      <c r="Q133" s="8477"/>
      <c r="R133" s="3398" t="s">
        <v>1164</v>
      </c>
      <c r="S133" s="143"/>
      <c r="T133" s="1602"/>
      <c r="U133" s="1602"/>
      <c r="V133" s="1602"/>
      <c r="W133" s="1271"/>
      <c r="X133" s="1271"/>
      <c r="Y133" s="1271"/>
      <c r="Z133" s="1271"/>
      <c r="AA133" s="1271"/>
      <c r="AB133" s="1271"/>
      <c r="AC133" s="1271"/>
      <c r="AD133" s="1271"/>
      <c r="AE133" s="1271"/>
      <c r="AF133" s="1271"/>
      <c r="AG133" s="1271"/>
    </row>
    <row r="134" spans="1:33" ht="12" customHeight="1">
      <c r="A134" s="78"/>
      <c r="B134" s="8405"/>
      <c r="C134" s="8406"/>
      <c r="D134" s="8406"/>
      <c r="E134" s="8406"/>
      <c r="F134" s="8407"/>
      <c r="G134" s="8410"/>
      <c r="H134" s="8411"/>
      <c r="I134" s="8412"/>
      <c r="J134" s="8412"/>
      <c r="K134" s="8413"/>
      <c r="L134" s="5606"/>
      <c r="M134" s="5607"/>
      <c r="N134" s="5608"/>
      <c r="O134" s="5608"/>
      <c r="P134" s="8362"/>
      <c r="Q134" s="5608"/>
      <c r="R134" s="8364"/>
      <c r="S134" s="8365"/>
      <c r="T134" s="1602"/>
      <c r="U134" s="1602"/>
      <c r="V134" s="1602"/>
      <c r="AA134" s="1271"/>
      <c r="AB134" s="1271"/>
      <c r="AC134" s="1271"/>
      <c r="AD134" s="1271"/>
      <c r="AE134" s="1271"/>
    </row>
    <row r="135" spans="1:33" ht="12" customHeight="1">
      <c r="A135" s="78"/>
      <c r="B135" s="8408"/>
      <c r="C135" s="8408"/>
      <c r="D135" s="8408"/>
      <c r="E135" s="8408"/>
      <c r="F135" s="8409"/>
      <c r="G135" s="8374"/>
      <c r="H135" s="8375"/>
      <c r="I135" s="8376"/>
      <c r="J135" s="8376"/>
      <c r="K135" s="8377"/>
      <c r="L135" s="5600"/>
      <c r="M135" s="5601"/>
      <c r="N135" s="5602"/>
      <c r="O135" s="5609"/>
      <c r="P135" s="8363"/>
      <c r="Q135" s="5609"/>
      <c r="R135" s="8366"/>
      <c r="S135" s="8367"/>
      <c r="T135" s="1602"/>
      <c r="U135" s="1602"/>
      <c r="V135" s="1602"/>
      <c r="AA135" s="1271"/>
      <c r="AB135" s="1271"/>
      <c r="AC135" s="1271"/>
      <c r="AD135" s="1271"/>
      <c r="AE135" s="1271"/>
    </row>
    <row r="136" spans="1:33" ht="12" customHeight="1">
      <c r="A136" s="78"/>
      <c r="B136" s="8405"/>
      <c r="C136" s="8406"/>
      <c r="D136" s="8406"/>
      <c r="E136" s="8406"/>
      <c r="F136" s="8407"/>
      <c r="G136" s="8410"/>
      <c r="H136" s="8411"/>
      <c r="I136" s="8412"/>
      <c r="J136" s="8412"/>
      <c r="K136" s="8413"/>
      <c r="L136" s="5606"/>
      <c r="M136" s="5607"/>
      <c r="N136" s="5608"/>
      <c r="O136" s="5608"/>
      <c r="P136" s="8362"/>
      <c r="Q136" s="5608"/>
      <c r="R136" s="8364"/>
      <c r="S136" s="8365"/>
      <c r="T136" s="1602"/>
      <c r="U136" s="1602"/>
      <c r="V136" s="1602"/>
      <c r="AA136" s="1271"/>
      <c r="AB136" s="1271"/>
      <c r="AC136" s="1271"/>
      <c r="AD136" s="1271"/>
      <c r="AE136" s="1271"/>
    </row>
    <row r="137" spans="1:33" ht="12" customHeight="1">
      <c r="A137" s="78"/>
      <c r="B137" s="8408"/>
      <c r="C137" s="8408"/>
      <c r="D137" s="8408"/>
      <c r="E137" s="8408"/>
      <c r="F137" s="8409"/>
      <c r="G137" s="8374"/>
      <c r="H137" s="8375"/>
      <c r="I137" s="8376"/>
      <c r="J137" s="8376"/>
      <c r="K137" s="8377"/>
      <c r="L137" s="5600"/>
      <c r="M137" s="5601"/>
      <c r="N137" s="5602"/>
      <c r="O137" s="5609"/>
      <c r="P137" s="8363"/>
      <c r="Q137" s="5609"/>
      <c r="R137" s="8366"/>
      <c r="S137" s="8367"/>
      <c r="T137" s="1602"/>
      <c r="U137" s="1602"/>
      <c r="V137" s="1602"/>
    </row>
    <row r="138" spans="1:33" ht="12" customHeight="1">
      <c r="A138" s="78"/>
      <c r="B138" s="8405"/>
      <c r="C138" s="8406"/>
      <c r="D138" s="8406"/>
      <c r="E138" s="8406"/>
      <c r="F138" s="8407"/>
      <c r="G138" s="8410"/>
      <c r="H138" s="8411"/>
      <c r="I138" s="8412"/>
      <c r="J138" s="8412"/>
      <c r="K138" s="8413"/>
      <c r="L138" s="5606"/>
      <c r="M138" s="5607"/>
      <c r="N138" s="5608"/>
      <c r="O138" s="5608"/>
      <c r="P138" s="8362"/>
      <c r="Q138" s="5608"/>
      <c r="R138" s="8364"/>
      <c r="S138" s="8365"/>
      <c r="T138" s="1602"/>
      <c r="U138" s="1602"/>
      <c r="V138" s="1602"/>
    </row>
    <row r="139" spans="1:33" ht="12" customHeight="1">
      <c r="A139" s="78"/>
      <c r="B139" s="8408"/>
      <c r="C139" s="8408"/>
      <c r="D139" s="8408"/>
      <c r="E139" s="8408"/>
      <c r="F139" s="8409"/>
      <c r="G139" s="8374"/>
      <c r="H139" s="8375"/>
      <c r="I139" s="8376"/>
      <c r="J139" s="8376"/>
      <c r="K139" s="8377"/>
      <c r="L139" s="5600"/>
      <c r="M139" s="5601"/>
      <c r="N139" s="5602"/>
      <c r="O139" s="5609"/>
      <c r="P139" s="8363"/>
      <c r="Q139" s="5609"/>
      <c r="R139" s="8366"/>
      <c r="S139" s="8367"/>
      <c r="T139" s="1602"/>
      <c r="U139" s="1602"/>
      <c r="V139" s="1602"/>
    </row>
    <row r="140" spans="1:33" ht="12" customHeight="1">
      <c r="A140" s="78"/>
      <c r="B140" s="8405"/>
      <c r="C140" s="8406"/>
      <c r="D140" s="8406"/>
      <c r="E140" s="8406"/>
      <c r="F140" s="8407"/>
      <c r="G140" s="8410"/>
      <c r="H140" s="8411"/>
      <c r="I140" s="8412"/>
      <c r="J140" s="8412"/>
      <c r="K140" s="8413"/>
      <c r="L140" s="5606"/>
      <c r="M140" s="5607"/>
      <c r="N140" s="5608"/>
      <c r="O140" s="5608"/>
      <c r="P140" s="8362"/>
      <c r="Q140" s="5608"/>
      <c r="R140" s="8364"/>
      <c r="S140" s="8365"/>
      <c r="T140" s="1602"/>
      <c r="U140" s="1602"/>
      <c r="V140" s="1602"/>
    </row>
    <row r="141" spans="1:33" ht="12" customHeight="1">
      <c r="A141" s="78"/>
      <c r="B141" s="8408"/>
      <c r="C141" s="8408"/>
      <c r="D141" s="8408"/>
      <c r="E141" s="8408"/>
      <c r="F141" s="8409"/>
      <c r="G141" s="8374"/>
      <c r="H141" s="8375"/>
      <c r="I141" s="8376"/>
      <c r="J141" s="8376"/>
      <c r="K141" s="8377"/>
      <c r="L141" s="5600"/>
      <c r="M141" s="5601"/>
      <c r="N141" s="5602"/>
      <c r="O141" s="5609"/>
      <c r="P141" s="8363"/>
      <c r="Q141" s="5609"/>
      <c r="R141" s="8366"/>
      <c r="S141" s="8367"/>
      <c r="T141" s="1602"/>
      <c r="U141" s="1602"/>
      <c r="V141" s="1602"/>
    </row>
    <row r="142" spans="1:33" ht="12" customHeight="1">
      <c r="A142" s="78"/>
      <c r="B142" s="8405"/>
      <c r="C142" s="8406"/>
      <c r="D142" s="8406"/>
      <c r="E142" s="8406"/>
      <c r="F142" s="8407"/>
      <c r="G142" s="8410"/>
      <c r="H142" s="8411"/>
      <c r="I142" s="8412"/>
      <c r="J142" s="8412"/>
      <c r="K142" s="8413"/>
      <c r="L142" s="5606"/>
      <c r="M142" s="5607"/>
      <c r="N142" s="5608"/>
      <c r="O142" s="5608"/>
      <c r="P142" s="8362"/>
      <c r="Q142" s="5608"/>
      <c r="R142" s="8364"/>
      <c r="S142" s="8365"/>
      <c r="T142" s="1602"/>
      <c r="U142" s="1602"/>
      <c r="V142" s="1602"/>
    </row>
    <row r="143" spans="1:33" ht="12" customHeight="1">
      <c r="A143" s="78"/>
      <c r="B143" s="8408"/>
      <c r="C143" s="8408"/>
      <c r="D143" s="8408"/>
      <c r="E143" s="8408"/>
      <c r="F143" s="8409"/>
      <c r="G143" s="8374"/>
      <c r="H143" s="8375"/>
      <c r="I143" s="8376"/>
      <c r="J143" s="8376"/>
      <c r="K143" s="8377"/>
      <c r="L143" s="5600"/>
      <c r="M143" s="5601"/>
      <c r="N143" s="5602"/>
      <c r="O143" s="5609"/>
      <c r="P143" s="8363"/>
      <c r="Q143" s="5609"/>
      <c r="R143" s="8366"/>
      <c r="S143" s="8367"/>
      <c r="T143" s="1602"/>
      <c r="U143" s="1602"/>
      <c r="V143" s="1602"/>
    </row>
    <row r="144" spans="1:33" ht="12" customHeight="1">
      <c r="A144" s="78"/>
      <c r="B144" s="8405"/>
      <c r="C144" s="8406"/>
      <c r="D144" s="8406"/>
      <c r="E144" s="8406"/>
      <c r="F144" s="8407"/>
      <c r="G144" s="8410"/>
      <c r="H144" s="8411"/>
      <c r="I144" s="8412"/>
      <c r="J144" s="8412"/>
      <c r="K144" s="8413"/>
      <c r="L144" s="5606"/>
      <c r="M144" s="5607"/>
      <c r="N144" s="5608"/>
      <c r="O144" s="5608"/>
      <c r="P144" s="8362"/>
      <c r="Q144" s="5608"/>
      <c r="R144" s="8364"/>
      <c r="S144" s="8365"/>
      <c r="T144" s="1602"/>
      <c r="U144" s="1602"/>
      <c r="V144" s="1602"/>
    </row>
    <row r="145" spans="1:23" ht="12" customHeight="1">
      <c r="A145" s="78"/>
      <c r="B145" s="8408"/>
      <c r="C145" s="8408"/>
      <c r="D145" s="8408"/>
      <c r="E145" s="8408"/>
      <c r="F145" s="8409"/>
      <c r="G145" s="8374"/>
      <c r="H145" s="8375"/>
      <c r="I145" s="8376"/>
      <c r="J145" s="8376"/>
      <c r="K145" s="8377"/>
      <c r="L145" s="5600"/>
      <c r="M145" s="5601"/>
      <c r="N145" s="5602"/>
      <c r="O145" s="5609"/>
      <c r="P145" s="8363"/>
      <c r="Q145" s="5609"/>
      <c r="R145" s="8366"/>
      <c r="S145" s="8367"/>
      <c r="T145" s="1602"/>
      <c r="U145" s="1602"/>
      <c r="V145" s="1602"/>
    </row>
    <row r="146" spans="1:23" ht="12" customHeight="1">
      <c r="A146" s="78"/>
      <c r="B146" s="8405"/>
      <c r="C146" s="8406"/>
      <c r="D146" s="8406"/>
      <c r="E146" s="8406"/>
      <c r="F146" s="8407"/>
      <c r="G146" s="8410"/>
      <c r="H146" s="8411"/>
      <c r="I146" s="8412"/>
      <c r="J146" s="8412"/>
      <c r="K146" s="8413"/>
      <c r="L146" s="5606"/>
      <c r="M146" s="5607"/>
      <c r="N146" s="5608"/>
      <c r="O146" s="5608"/>
      <c r="P146" s="8362"/>
      <c r="Q146" s="5608"/>
      <c r="R146" s="8364"/>
      <c r="S146" s="8365"/>
      <c r="T146" s="1602"/>
      <c r="U146" s="1602"/>
      <c r="V146" s="1602"/>
    </row>
    <row r="147" spans="1:23" ht="12" customHeight="1">
      <c r="A147" s="78"/>
      <c r="B147" s="8408"/>
      <c r="C147" s="8408"/>
      <c r="D147" s="8408"/>
      <c r="E147" s="8408"/>
      <c r="F147" s="8409"/>
      <c r="G147" s="8374"/>
      <c r="H147" s="8375"/>
      <c r="I147" s="8376"/>
      <c r="J147" s="8376"/>
      <c r="K147" s="8377"/>
      <c r="L147" s="5600"/>
      <c r="M147" s="5601"/>
      <c r="N147" s="5602"/>
      <c r="O147" s="5609"/>
      <c r="P147" s="8363"/>
      <c r="Q147" s="5609"/>
      <c r="R147" s="8366"/>
      <c r="S147" s="8367"/>
      <c r="T147" s="1602"/>
      <c r="U147" s="1602"/>
      <c r="V147" s="1602"/>
    </row>
    <row r="148" spans="1:23" ht="12" customHeight="1">
      <c r="A148" s="78"/>
      <c r="B148" s="8405"/>
      <c r="C148" s="8406"/>
      <c r="D148" s="8406"/>
      <c r="E148" s="8406"/>
      <c r="F148" s="8407"/>
      <c r="G148" s="8410"/>
      <c r="H148" s="8411"/>
      <c r="I148" s="8412"/>
      <c r="J148" s="8412"/>
      <c r="K148" s="8413"/>
      <c r="L148" s="5606"/>
      <c r="M148" s="5607"/>
      <c r="N148" s="5608"/>
      <c r="O148" s="5608"/>
      <c r="P148" s="8362"/>
      <c r="Q148" s="5608"/>
      <c r="R148" s="8364"/>
      <c r="S148" s="8365"/>
      <c r="T148" s="1602"/>
      <c r="U148" s="1602"/>
      <c r="V148" s="1602"/>
    </row>
    <row r="149" spans="1:23" ht="12" customHeight="1">
      <c r="A149" s="78"/>
      <c r="B149" s="8408"/>
      <c r="C149" s="8408"/>
      <c r="D149" s="8408"/>
      <c r="E149" s="8408"/>
      <c r="F149" s="8409"/>
      <c r="G149" s="8374"/>
      <c r="H149" s="8375"/>
      <c r="I149" s="8376"/>
      <c r="J149" s="8376"/>
      <c r="K149" s="8377"/>
      <c r="L149" s="5600"/>
      <c r="M149" s="5601"/>
      <c r="N149" s="5602"/>
      <c r="O149" s="5609"/>
      <c r="P149" s="8363"/>
      <c r="Q149" s="5609"/>
      <c r="R149" s="8366"/>
      <c r="S149" s="8367"/>
      <c r="T149" s="1602"/>
      <c r="U149" s="1602"/>
      <c r="V149" s="1602"/>
    </row>
    <row r="150" spans="1:23" ht="12" customHeight="1">
      <c r="A150" s="78"/>
      <c r="B150" s="8405"/>
      <c r="C150" s="8406"/>
      <c r="D150" s="8406"/>
      <c r="E150" s="8406"/>
      <c r="F150" s="8407"/>
      <c r="G150" s="8410"/>
      <c r="H150" s="8411"/>
      <c r="I150" s="8412"/>
      <c r="J150" s="8412"/>
      <c r="K150" s="8413"/>
      <c r="L150" s="5606"/>
      <c r="M150" s="5607"/>
      <c r="N150" s="5608"/>
      <c r="O150" s="5608"/>
      <c r="P150" s="8362"/>
      <c r="Q150" s="5608"/>
      <c r="R150" s="8364"/>
      <c r="S150" s="8365"/>
      <c r="T150" s="1602"/>
      <c r="U150" s="1602"/>
      <c r="V150" s="1602"/>
    </row>
    <row r="151" spans="1:23" ht="12" customHeight="1">
      <c r="A151" s="78"/>
      <c r="B151" s="8408"/>
      <c r="C151" s="8408"/>
      <c r="D151" s="8408"/>
      <c r="E151" s="8408"/>
      <c r="F151" s="8409"/>
      <c r="G151" s="8374"/>
      <c r="H151" s="8375"/>
      <c r="I151" s="8376"/>
      <c r="J151" s="8376"/>
      <c r="K151" s="8377"/>
      <c r="L151" s="5600"/>
      <c r="M151" s="5601"/>
      <c r="N151" s="5602"/>
      <c r="O151" s="5609"/>
      <c r="P151" s="8363"/>
      <c r="Q151" s="5609"/>
      <c r="R151" s="8366"/>
      <c r="S151" s="8367"/>
      <c r="T151" s="1602"/>
      <c r="U151" s="1602"/>
      <c r="V151" s="1602"/>
    </row>
    <row r="152" spans="1:23" ht="12" customHeight="1">
      <c r="A152" s="78"/>
      <c r="B152" s="8405"/>
      <c r="C152" s="8406"/>
      <c r="D152" s="8406"/>
      <c r="E152" s="8406"/>
      <c r="F152" s="8407"/>
      <c r="G152" s="8410"/>
      <c r="H152" s="8411"/>
      <c r="I152" s="8412"/>
      <c r="J152" s="8412"/>
      <c r="K152" s="8413"/>
      <c r="L152" s="5606"/>
      <c r="M152" s="5607"/>
      <c r="N152" s="5608"/>
      <c r="O152" s="5608"/>
      <c r="P152" s="8362"/>
      <c r="Q152" s="5608"/>
      <c r="R152" s="8364"/>
      <c r="S152" s="8365"/>
      <c r="T152" s="1602"/>
      <c r="U152" s="1602"/>
      <c r="V152" s="1602"/>
    </row>
    <row r="153" spans="1:23" ht="12" customHeight="1">
      <c r="A153" s="78"/>
      <c r="B153" s="8408"/>
      <c r="C153" s="8408"/>
      <c r="D153" s="8408"/>
      <c r="E153" s="8408"/>
      <c r="F153" s="8409"/>
      <c r="G153" s="8374"/>
      <c r="H153" s="8375"/>
      <c r="I153" s="8376"/>
      <c r="J153" s="8376"/>
      <c r="K153" s="8377"/>
      <c r="L153" s="5600"/>
      <c r="M153" s="5601"/>
      <c r="N153" s="5602"/>
      <c r="O153" s="5609"/>
      <c r="P153" s="8363"/>
      <c r="Q153" s="5609"/>
      <c r="R153" s="8366"/>
      <c r="S153" s="8367"/>
      <c r="T153" s="1602"/>
      <c r="U153" s="1602"/>
      <c r="V153" s="1602"/>
    </row>
    <row r="154" spans="1:23" ht="15" customHeight="1">
      <c r="A154" s="78"/>
      <c r="B154" s="134"/>
      <c r="C154" s="134"/>
      <c r="D154" s="134"/>
      <c r="E154" s="134"/>
      <c r="F154" s="134"/>
      <c r="G154" s="134"/>
      <c r="H154" s="134"/>
      <c r="I154" s="134"/>
      <c r="J154" s="134"/>
      <c r="K154" s="134"/>
      <c r="L154" s="134"/>
      <c r="M154" s="134"/>
      <c r="N154" s="134"/>
      <c r="O154" s="134"/>
      <c r="P154" s="134"/>
      <c r="Q154" s="134"/>
      <c r="R154" s="134"/>
      <c r="S154" s="134"/>
      <c r="T154" s="1602"/>
      <c r="U154" s="1602"/>
      <c r="V154" s="1602"/>
    </row>
    <row r="155" spans="1:23" ht="17.25" customHeight="1">
      <c r="A155" s="78"/>
      <c r="B155" s="4736" t="s">
        <v>118</v>
      </c>
      <c r="C155" s="3571" t="s">
        <v>5374</v>
      </c>
      <c r="D155" s="1623"/>
      <c r="E155" s="1623"/>
      <c r="F155" s="1624"/>
      <c r="G155" s="1624"/>
      <c r="H155" s="1624"/>
      <c r="I155" s="1624"/>
      <c r="J155" s="1624"/>
      <c r="K155" s="2279"/>
      <c r="L155" s="1624"/>
      <c r="M155" s="1624"/>
      <c r="N155" s="1624"/>
      <c r="O155" s="1624"/>
      <c r="P155" s="1624"/>
      <c r="Q155" s="1624"/>
      <c r="R155" s="1624"/>
      <c r="S155" s="1624"/>
      <c r="T155" s="1602"/>
      <c r="U155" s="2930"/>
      <c r="V155" s="1602"/>
      <c r="W155" s="2929" t="str">
        <f>IF(AND(File_Marr_Sep&lt;&gt;"",$Z$19&lt;&gt;""),"Hide note.","")</f>
        <v/>
      </c>
    </row>
    <row r="156" spans="1:23">
      <c r="A156" s="78"/>
      <c r="B156" s="8430">
        <v>2</v>
      </c>
      <c r="C156" s="8432" t="s">
        <v>5376</v>
      </c>
      <c r="D156" s="8432"/>
      <c r="E156" s="8432"/>
      <c r="F156" s="8432"/>
      <c r="G156" s="8432"/>
      <c r="H156" s="8432"/>
      <c r="I156" s="8432"/>
      <c r="J156" s="8432"/>
      <c r="K156" s="8432"/>
      <c r="L156" s="134"/>
      <c r="M156" s="134"/>
      <c r="N156" s="134"/>
      <c r="O156" s="134"/>
      <c r="P156" s="134"/>
      <c r="Q156" s="134"/>
      <c r="R156" s="134"/>
      <c r="S156" s="134"/>
      <c r="T156" s="1602"/>
      <c r="U156" s="1602"/>
      <c r="V156" s="1602"/>
      <c r="W156" s="2929"/>
    </row>
    <row r="157" spans="1:23">
      <c r="A157" s="78"/>
      <c r="B157" s="8431"/>
      <c r="C157" s="8433"/>
      <c r="D157" s="8433"/>
      <c r="E157" s="8433"/>
      <c r="F157" s="8433"/>
      <c r="G157" s="8433"/>
      <c r="H157" s="8433"/>
      <c r="I157" s="8433"/>
      <c r="J157" s="8433"/>
      <c r="K157" s="8433"/>
      <c r="L157" s="17"/>
      <c r="M157" s="17"/>
      <c r="N157" s="17"/>
      <c r="O157" s="17"/>
      <c r="P157" s="17"/>
      <c r="Q157" s="17"/>
      <c r="R157" s="17"/>
      <c r="S157" s="17"/>
      <c r="T157" s="1602"/>
      <c r="U157" s="1602"/>
      <c r="V157" s="1602"/>
      <c r="W157" s="2929"/>
    </row>
    <row r="158" spans="1:23" ht="12.75" customHeight="1">
      <c r="A158" s="78"/>
      <c r="B158" s="134"/>
      <c r="C158" s="134"/>
      <c r="D158" s="134"/>
      <c r="E158" s="134"/>
      <c r="F158" s="140" t="s">
        <v>1171</v>
      </c>
      <c r="G158" s="134"/>
      <c r="H158" s="134"/>
      <c r="I158" s="134"/>
      <c r="J158" s="134"/>
      <c r="K158" s="134"/>
      <c r="L158" s="8481" t="s">
        <v>1193</v>
      </c>
      <c r="M158" s="8482"/>
      <c r="N158" s="8482"/>
      <c r="O158" s="8483"/>
      <c r="P158" s="8487" t="s">
        <v>1172</v>
      </c>
      <c r="Q158" s="8488"/>
      <c r="R158" s="8488"/>
      <c r="S158" s="8488"/>
      <c r="T158" s="1602"/>
      <c r="U158" s="1602"/>
      <c r="V158" s="1602"/>
    </row>
    <row r="159" spans="1:23" ht="9.75" customHeight="1">
      <c r="A159" s="78"/>
      <c r="B159" s="134"/>
      <c r="C159" s="1625"/>
      <c r="D159" s="1625"/>
      <c r="E159" s="1625"/>
      <c r="F159" s="140"/>
      <c r="G159" s="134"/>
      <c r="H159" s="134"/>
      <c r="I159" s="21"/>
      <c r="J159" s="21"/>
      <c r="K159" s="134"/>
      <c r="L159" s="8481"/>
      <c r="M159" s="8482"/>
      <c r="N159" s="8482"/>
      <c r="O159" s="8483"/>
      <c r="P159" s="8489" t="str">
        <f>"incurred and paid in "&amp;TaxYear&amp;" for"</f>
        <v>incurred and paid in 2021 for</v>
      </c>
      <c r="Q159" s="8490"/>
      <c r="R159" s="8490"/>
      <c r="S159" s="8490"/>
      <c r="T159" s="1602"/>
      <c r="U159" s="1602"/>
      <c r="V159" s="1602"/>
    </row>
    <row r="160" spans="1:23" ht="10.5" customHeight="1">
      <c r="A160" s="78"/>
      <c r="B160" s="17"/>
      <c r="C160" s="1614" t="s">
        <v>1173</v>
      </c>
      <c r="D160" s="1614"/>
      <c r="E160" s="1614"/>
      <c r="F160" s="17"/>
      <c r="G160" s="17"/>
      <c r="H160" s="17"/>
      <c r="I160" s="143" t="s">
        <v>1174</v>
      </c>
      <c r="J160" s="143"/>
      <c r="K160" s="17"/>
      <c r="L160" s="8484"/>
      <c r="M160" s="8485"/>
      <c r="N160" s="8485"/>
      <c r="O160" s="8486"/>
      <c r="P160" s="8491" t="s">
        <v>1175</v>
      </c>
      <c r="Q160" s="8492"/>
      <c r="R160" s="8492"/>
      <c r="S160" s="8492"/>
      <c r="T160" s="1602"/>
      <c r="U160" s="1602"/>
      <c r="V160" s="1602"/>
    </row>
    <row r="161" spans="1:23" ht="24" customHeight="1">
      <c r="A161" s="78"/>
      <c r="B161" s="8422"/>
      <c r="C161" s="8423"/>
      <c r="D161" s="8423"/>
      <c r="E161" s="8423"/>
      <c r="F161" s="8424"/>
      <c r="G161" s="8422"/>
      <c r="H161" s="8423"/>
      <c r="I161" s="8423"/>
      <c r="J161" s="8423"/>
      <c r="K161" s="8424"/>
      <c r="L161" s="8470"/>
      <c r="M161" s="8471"/>
      <c r="N161" s="8471"/>
      <c r="O161" s="8472"/>
      <c r="P161" s="8395"/>
      <c r="Q161" s="8396"/>
      <c r="R161" s="8396"/>
      <c r="S161" s="8396"/>
      <c r="T161" s="1602">
        <f>IF(P161&lt;&gt;"",1,0)</f>
        <v>0</v>
      </c>
      <c r="U161" s="1602"/>
      <c r="V161" s="1602"/>
      <c r="W161" s="2136"/>
    </row>
    <row r="162" spans="1:23" ht="24" customHeight="1">
      <c r="A162" s="78"/>
      <c r="B162" s="8422"/>
      <c r="C162" s="8423"/>
      <c r="D162" s="8423"/>
      <c r="E162" s="8423"/>
      <c r="F162" s="8424"/>
      <c r="G162" s="8422"/>
      <c r="H162" s="8423"/>
      <c r="I162" s="8423"/>
      <c r="J162" s="8423"/>
      <c r="K162" s="8424"/>
      <c r="L162" s="8470"/>
      <c r="M162" s="8471"/>
      <c r="N162" s="8471"/>
      <c r="O162" s="8472"/>
      <c r="P162" s="8395"/>
      <c r="Q162" s="8396"/>
      <c r="R162" s="8396"/>
      <c r="S162" s="8396"/>
      <c r="T162" s="1602">
        <f t="shared" ref="T162:T171" si="0">IF(P162&lt;&gt;"",1,0)</f>
        <v>0</v>
      </c>
      <c r="U162" s="1602"/>
      <c r="V162" s="1602"/>
      <c r="W162" s="799"/>
    </row>
    <row r="163" spans="1:23" ht="24" customHeight="1">
      <c r="A163" s="78"/>
      <c r="B163" s="8422"/>
      <c r="C163" s="8423"/>
      <c r="D163" s="8423"/>
      <c r="E163" s="8423"/>
      <c r="F163" s="8424"/>
      <c r="G163" s="8422"/>
      <c r="H163" s="8423"/>
      <c r="I163" s="8423"/>
      <c r="J163" s="8423"/>
      <c r="K163" s="8424"/>
      <c r="L163" s="8470"/>
      <c r="M163" s="8471"/>
      <c r="N163" s="8471"/>
      <c r="O163" s="8472"/>
      <c r="P163" s="8395"/>
      <c r="Q163" s="8396"/>
      <c r="R163" s="8396"/>
      <c r="S163" s="8396"/>
      <c r="T163" s="1602">
        <f t="shared" si="0"/>
        <v>0</v>
      </c>
      <c r="U163" s="1602"/>
      <c r="V163" s="1602"/>
      <c r="W163" s="799"/>
    </row>
    <row r="164" spans="1:23" ht="24" customHeight="1">
      <c r="A164" s="78"/>
      <c r="B164" s="8422"/>
      <c r="C164" s="8423"/>
      <c r="D164" s="8423"/>
      <c r="E164" s="8423"/>
      <c r="F164" s="8424"/>
      <c r="G164" s="8422"/>
      <c r="H164" s="8423"/>
      <c r="I164" s="8423"/>
      <c r="J164" s="8423"/>
      <c r="K164" s="8424"/>
      <c r="L164" s="8470"/>
      <c r="M164" s="8471"/>
      <c r="N164" s="8471"/>
      <c r="O164" s="8472"/>
      <c r="P164" s="8395"/>
      <c r="Q164" s="8396"/>
      <c r="R164" s="8396"/>
      <c r="S164" s="8396"/>
      <c r="T164" s="1602">
        <f t="shared" si="0"/>
        <v>0</v>
      </c>
      <c r="U164" s="1602"/>
      <c r="V164" s="1602"/>
      <c r="W164" s="799"/>
    </row>
    <row r="165" spans="1:23" ht="24" customHeight="1">
      <c r="A165" s="78"/>
      <c r="B165" s="8422"/>
      <c r="C165" s="8423"/>
      <c r="D165" s="8423"/>
      <c r="E165" s="8423"/>
      <c r="F165" s="8424"/>
      <c r="G165" s="8422"/>
      <c r="H165" s="8423"/>
      <c r="I165" s="8423"/>
      <c r="J165" s="8423"/>
      <c r="K165" s="8424"/>
      <c r="L165" s="8470"/>
      <c r="M165" s="8471"/>
      <c r="N165" s="8471"/>
      <c r="O165" s="8472"/>
      <c r="P165" s="8395"/>
      <c r="Q165" s="8396"/>
      <c r="R165" s="8396"/>
      <c r="S165" s="8396"/>
      <c r="T165" s="1602">
        <f t="shared" si="0"/>
        <v>0</v>
      </c>
      <c r="U165" s="1602"/>
      <c r="V165" s="1602"/>
      <c r="W165" s="799"/>
    </row>
    <row r="166" spans="1:23" ht="24" customHeight="1">
      <c r="A166" s="78"/>
      <c r="B166" s="8422"/>
      <c r="C166" s="8423"/>
      <c r="D166" s="8423"/>
      <c r="E166" s="8423"/>
      <c r="F166" s="8424"/>
      <c r="G166" s="8422"/>
      <c r="H166" s="8423"/>
      <c r="I166" s="8423"/>
      <c r="J166" s="8423"/>
      <c r="K166" s="8424"/>
      <c r="L166" s="8470"/>
      <c r="M166" s="8471"/>
      <c r="N166" s="8471"/>
      <c r="O166" s="8472"/>
      <c r="P166" s="8395"/>
      <c r="Q166" s="8396"/>
      <c r="R166" s="8396"/>
      <c r="S166" s="8396"/>
      <c r="T166" s="1602">
        <f t="shared" si="0"/>
        <v>0</v>
      </c>
      <c r="U166" s="1602"/>
      <c r="V166" s="1602"/>
      <c r="W166" s="799"/>
    </row>
    <row r="167" spans="1:23" ht="24" customHeight="1">
      <c r="A167" s="78"/>
      <c r="B167" s="8422"/>
      <c r="C167" s="8423"/>
      <c r="D167" s="8423"/>
      <c r="E167" s="8423"/>
      <c r="F167" s="8424"/>
      <c r="G167" s="8422"/>
      <c r="H167" s="8423"/>
      <c r="I167" s="8423"/>
      <c r="J167" s="8423"/>
      <c r="K167" s="8424"/>
      <c r="L167" s="8470"/>
      <c r="M167" s="8471"/>
      <c r="N167" s="8471"/>
      <c r="O167" s="8472"/>
      <c r="P167" s="8395"/>
      <c r="Q167" s="8396"/>
      <c r="R167" s="8396"/>
      <c r="S167" s="8396"/>
      <c r="T167" s="1602">
        <f t="shared" si="0"/>
        <v>0</v>
      </c>
      <c r="U167" s="1602"/>
      <c r="V167" s="1602"/>
      <c r="W167" s="799"/>
    </row>
    <row r="168" spans="1:23" ht="24" customHeight="1">
      <c r="A168" s="78"/>
      <c r="B168" s="8422"/>
      <c r="C168" s="8423"/>
      <c r="D168" s="8423"/>
      <c r="E168" s="8423"/>
      <c r="F168" s="8424"/>
      <c r="G168" s="8422"/>
      <c r="H168" s="8423"/>
      <c r="I168" s="8423"/>
      <c r="J168" s="8423"/>
      <c r="K168" s="8424"/>
      <c r="L168" s="8470"/>
      <c r="M168" s="8471"/>
      <c r="N168" s="8471"/>
      <c r="O168" s="8472"/>
      <c r="P168" s="8395"/>
      <c r="Q168" s="8396"/>
      <c r="R168" s="8396"/>
      <c r="S168" s="8396"/>
      <c r="T168" s="1602">
        <f t="shared" si="0"/>
        <v>0</v>
      </c>
      <c r="U168" s="1602"/>
      <c r="V168" s="1602"/>
      <c r="W168" s="799"/>
    </row>
    <row r="169" spans="1:23" ht="24" customHeight="1">
      <c r="A169" s="78"/>
      <c r="B169" s="8422"/>
      <c r="C169" s="8423"/>
      <c r="D169" s="8423"/>
      <c r="E169" s="8423"/>
      <c r="F169" s="8424"/>
      <c r="G169" s="8422"/>
      <c r="H169" s="8423"/>
      <c r="I169" s="8423"/>
      <c r="J169" s="8423"/>
      <c r="K169" s="8424"/>
      <c r="L169" s="8470"/>
      <c r="M169" s="8471"/>
      <c r="N169" s="8471"/>
      <c r="O169" s="8472"/>
      <c r="P169" s="8395"/>
      <c r="Q169" s="8396"/>
      <c r="R169" s="8396"/>
      <c r="S169" s="8396"/>
      <c r="T169" s="1602">
        <f t="shared" si="0"/>
        <v>0</v>
      </c>
      <c r="U169" s="1602"/>
      <c r="V169" s="1602"/>
      <c r="W169" s="799"/>
    </row>
    <row r="170" spans="1:23" ht="24" customHeight="1">
      <c r="A170" s="78"/>
      <c r="B170" s="8422"/>
      <c r="C170" s="8423"/>
      <c r="D170" s="8423"/>
      <c r="E170" s="8423"/>
      <c r="F170" s="8424"/>
      <c r="G170" s="8422"/>
      <c r="H170" s="8423"/>
      <c r="I170" s="8423"/>
      <c r="J170" s="8423"/>
      <c r="K170" s="8424"/>
      <c r="L170" s="8470"/>
      <c r="M170" s="8471"/>
      <c r="N170" s="8471"/>
      <c r="O170" s="8472"/>
      <c r="P170" s="8395"/>
      <c r="Q170" s="8396"/>
      <c r="R170" s="8396"/>
      <c r="S170" s="8396"/>
      <c r="T170" s="1602">
        <f t="shared" si="0"/>
        <v>0</v>
      </c>
      <c r="U170" s="1602"/>
      <c r="V170" s="1602"/>
      <c r="W170" s="799"/>
    </row>
    <row r="171" spans="1:23" ht="24" customHeight="1">
      <c r="A171" s="78"/>
      <c r="B171" s="8422"/>
      <c r="C171" s="8423"/>
      <c r="D171" s="8423"/>
      <c r="E171" s="8423"/>
      <c r="F171" s="8424"/>
      <c r="G171" s="8422"/>
      <c r="H171" s="8423"/>
      <c r="I171" s="8423"/>
      <c r="J171" s="8423"/>
      <c r="K171" s="8424"/>
      <c r="L171" s="8470"/>
      <c r="M171" s="8471"/>
      <c r="N171" s="8471"/>
      <c r="O171" s="8472"/>
      <c r="P171" s="8395"/>
      <c r="Q171" s="8396"/>
      <c r="R171" s="8396"/>
      <c r="S171" s="8396"/>
      <c r="T171" s="1602">
        <f t="shared" si="0"/>
        <v>0</v>
      </c>
      <c r="U171" s="1602"/>
      <c r="V171" s="1602"/>
      <c r="W171" s="799"/>
    </row>
    <row r="172" spans="1:23" ht="7.5" customHeight="1">
      <c r="A172" s="78"/>
      <c r="B172" s="660"/>
      <c r="C172" s="660"/>
      <c r="D172" s="660"/>
      <c r="E172" s="660"/>
      <c r="F172" s="660"/>
      <c r="G172" s="660"/>
      <c r="H172" s="660"/>
      <c r="I172" s="660"/>
      <c r="J172" s="660"/>
      <c r="K172" s="660"/>
      <c r="L172" s="660"/>
      <c r="M172" s="660"/>
      <c r="N172" s="660"/>
      <c r="O172" s="660"/>
      <c r="P172" s="660"/>
      <c r="Q172" s="660"/>
      <c r="R172" s="660"/>
      <c r="S172" s="660"/>
      <c r="T172" s="1602"/>
      <c r="U172" s="1602"/>
      <c r="V172" s="1602"/>
    </row>
    <row r="173" spans="1:23" ht="23.25" customHeight="1">
      <c r="A173" s="78"/>
      <c r="B173" s="5639"/>
      <c r="C173" s="5643" t="s">
        <v>5384</v>
      </c>
      <c r="D173" s="5639"/>
      <c r="E173" s="5639"/>
      <c r="F173" s="5639"/>
      <c r="G173" s="5639"/>
      <c r="H173" s="5639"/>
      <c r="I173" s="5639"/>
      <c r="J173" s="5639"/>
      <c r="K173" s="5639"/>
      <c r="L173" s="5639"/>
      <c r="M173" s="5639"/>
      <c r="N173" s="5639"/>
      <c r="O173" s="5639"/>
      <c r="P173" s="5639"/>
      <c r="Q173" s="5639"/>
      <c r="R173" s="5639"/>
      <c r="S173" s="5639"/>
      <c r="T173" s="1602"/>
      <c r="U173" s="1602"/>
      <c r="V173" s="1602"/>
    </row>
    <row r="174" spans="1:23" ht="13.5" customHeight="1">
      <c r="A174" s="78"/>
      <c r="B174" s="5639"/>
      <c r="C174" s="5642"/>
      <c r="D174" s="5639"/>
      <c r="E174" s="5639"/>
      <c r="F174" s="5639"/>
      <c r="G174" s="5639"/>
      <c r="H174" s="5639"/>
      <c r="I174" s="5639"/>
      <c r="J174" s="5639"/>
      <c r="K174" s="5639"/>
      <c r="L174" s="5639"/>
      <c r="M174" s="5639"/>
      <c r="N174" s="5639"/>
      <c r="O174" s="5639"/>
      <c r="P174" s="5639"/>
      <c r="Q174" s="5639"/>
      <c r="R174" s="5639"/>
      <c r="S174" s="5639"/>
      <c r="T174" s="1602"/>
      <c r="U174" s="1602"/>
      <c r="V174" s="1602"/>
    </row>
    <row r="175" spans="1:23" ht="13.5" customHeight="1">
      <c r="A175" s="78"/>
      <c r="B175" s="5639"/>
      <c r="C175" s="5642"/>
      <c r="D175" s="5664" t="s">
        <v>5379</v>
      </c>
      <c r="E175" s="5639"/>
      <c r="F175" s="5639"/>
      <c r="G175" s="5639"/>
      <c r="H175" s="5639"/>
      <c r="I175" s="5639"/>
      <c r="J175" s="5639"/>
      <c r="K175" s="5639"/>
      <c r="L175" s="5639"/>
      <c r="M175" s="5639"/>
      <c r="N175" s="5639"/>
      <c r="O175" s="5639"/>
      <c r="P175" s="5639"/>
      <c r="Q175" s="5639"/>
      <c r="R175" s="5639"/>
      <c r="S175" s="5639"/>
      <c r="T175" s="1602"/>
      <c r="U175" s="1602"/>
      <c r="V175" s="1602"/>
    </row>
    <row r="176" spans="1:23" ht="13.5" customHeight="1">
      <c r="A176" s="78"/>
      <c r="B176" s="5639"/>
      <c r="C176" s="5642"/>
      <c r="D176" s="5639"/>
      <c r="E176" s="5639"/>
      <c r="F176" s="5639"/>
      <c r="G176" s="5639"/>
      <c r="H176" s="5639"/>
      <c r="I176" s="5639"/>
      <c r="J176" s="5639"/>
      <c r="K176" s="5639"/>
      <c r="L176" s="5639"/>
      <c r="M176" s="5639"/>
      <c r="N176" s="5639"/>
      <c r="O176" s="5639"/>
      <c r="P176" s="5639"/>
      <c r="Q176" s="5639"/>
      <c r="R176" s="5639"/>
      <c r="S176" s="5639"/>
      <c r="T176" s="1602"/>
      <c r="U176" s="1602"/>
      <c r="V176" s="1602"/>
    </row>
    <row r="177" spans="1:22" ht="13.5" customHeight="1">
      <c r="A177" s="78"/>
      <c r="B177" s="5639"/>
      <c r="C177" s="5642"/>
      <c r="D177" s="5639"/>
      <c r="E177" s="5639"/>
      <c r="F177" s="5639"/>
      <c r="G177" s="5639"/>
      <c r="H177" s="5639"/>
      <c r="I177" s="5639"/>
      <c r="J177" s="5639"/>
      <c r="K177" s="5639"/>
      <c r="L177" s="5639"/>
      <c r="M177" s="5639"/>
      <c r="N177" s="5639"/>
      <c r="O177" s="5639"/>
      <c r="P177" s="5639"/>
      <c r="Q177" s="5639"/>
      <c r="R177" s="5639"/>
      <c r="S177" s="5639"/>
      <c r="T177" s="1602"/>
      <c r="U177" s="1602"/>
      <c r="V177" s="1602"/>
    </row>
    <row r="178" spans="1:22" ht="13.5" customHeight="1">
      <c r="A178" s="78"/>
      <c r="B178" s="5639"/>
      <c r="C178" s="5640" t="s">
        <v>294</v>
      </c>
      <c r="D178" s="5639" t="s">
        <v>5343</v>
      </c>
      <c r="E178" s="5639"/>
      <c r="F178" s="5639"/>
      <c r="G178" s="5639"/>
      <c r="H178" s="5639"/>
      <c r="I178" s="5639"/>
      <c r="J178" s="5639"/>
      <c r="K178" s="5639"/>
      <c r="L178" s="5639"/>
      <c r="M178" s="5639"/>
      <c r="N178" s="5639"/>
      <c r="O178" s="5639"/>
      <c r="P178" s="5639"/>
      <c r="Q178" s="1419" t="s">
        <v>294</v>
      </c>
      <c r="R178" s="5594" t="str">
        <f>IF(R60,"",F2441_Refundable)</f>
        <v/>
      </c>
      <c r="S178" s="5639"/>
      <c r="T178" s="1602"/>
      <c r="U178" s="1602"/>
      <c r="V178" s="1602"/>
    </row>
    <row r="179" spans="1:22" ht="13.5" customHeight="1">
      <c r="A179" s="78"/>
      <c r="B179" s="5639"/>
      <c r="C179" s="5640" t="s">
        <v>0</v>
      </c>
      <c r="D179" s="5639" t="s">
        <v>5344</v>
      </c>
      <c r="E179" s="5639"/>
      <c r="F179" s="5639"/>
      <c r="G179" s="5639"/>
      <c r="H179" s="5639"/>
      <c r="I179" s="5639"/>
      <c r="J179" s="5639"/>
      <c r="K179" s="5639"/>
      <c r="L179" s="5639"/>
      <c r="M179" s="5639"/>
      <c r="N179" s="5639"/>
      <c r="O179" s="5639"/>
      <c r="P179" s="5639"/>
      <c r="Q179" s="5639"/>
      <c r="R179" s="5639"/>
      <c r="S179" s="5639"/>
      <c r="T179" s="1602"/>
      <c r="U179" s="1602"/>
      <c r="V179" s="1602"/>
    </row>
    <row r="180" spans="1:22" ht="13.5" customHeight="1">
      <c r="A180" s="78"/>
      <c r="B180" s="5639"/>
      <c r="C180" s="5641"/>
      <c r="D180" s="5639" t="s">
        <v>5345</v>
      </c>
      <c r="E180" s="5639"/>
      <c r="F180" s="5639"/>
      <c r="G180" s="5639"/>
      <c r="H180" s="5639"/>
      <c r="I180" s="5639"/>
      <c r="J180" s="5639"/>
      <c r="K180" s="5639"/>
      <c r="L180" s="5639"/>
      <c r="M180" s="5639"/>
      <c r="N180" s="5639"/>
      <c r="O180" s="5639"/>
      <c r="P180" s="5639"/>
      <c r="Q180" s="1419" t="s">
        <v>0</v>
      </c>
      <c r="R180" s="5594" t="str">
        <f>IF(R60,"",Tax)</f>
        <v/>
      </c>
      <c r="S180" s="5639"/>
      <c r="T180" s="1602"/>
      <c r="U180" s="1602"/>
      <c r="V180" s="1602"/>
    </row>
    <row r="181" spans="1:22">
      <c r="A181" s="78"/>
      <c r="B181" s="5639"/>
      <c r="C181" s="5640" t="s">
        <v>1</v>
      </c>
      <c r="D181" s="5639" t="s">
        <v>5346</v>
      </c>
      <c r="E181" s="5639"/>
      <c r="F181" s="5639"/>
      <c r="G181" s="5639"/>
      <c r="H181" s="5639"/>
      <c r="I181" s="5639"/>
      <c r="J181" s="5639"/>
      <c r="K181" s="5639"/>
      <c r="L181" s="5639"/>
      <c r="M181" s="5639"/>
      <c r="N181" s="5639"/>
      <c r="O181" s="5639"/>
      <c r="P181" s="5639"/>
      <c r="Q181" s="5639"/>
      <c r="R181" s="5639"/>
      <c r="S181" s="5639"/>
      <c r="T181" s="1602"/>
      <c r="U181" s="1602"/>
      <c r="V181" s="1602"/>
    </row>
    <row r="182" spans="1:22">
      <c r="A182" s="78"/>
      <c r="B182" s="5639"/>
      <c r="C182" s="5641"/>
      <c r="D182" s="5639" t="s">
        <v>5347</v>
      </c>
      <c r="E182" s="5639"/>
      <c r="F182" s="5639"/>
      <c r="G182" s="5639"/>
      <c r="H182" s="5639"/>
      <c r="I182" s="5639"/>
      <c r="J182" s="5639"/>
      <c r="K182" s="5639"/>
      <c r="L182" s="5639"/>
      <c r="M182" s="5639"/>
      <c r="N182" s="5639"/>
      <c r="O182" s="5639"/>
      <c r="P182" s="5639"/>
      <c r="Q182" s="1419" t="s">
        <v>1</v>
      </c>
      <c r="R182" s="5594" t="str">
        <f>IF(R60,"",SUM(Foreign_Tax_Credit,'Sch. 3'!W29))</f>
        <v/>
      </c>
      <c r="S182" s="5639"/>
      <c r="T182" s="1602"/>
      <c r="U182" s="1602"/>
      <c r="V182" s="1602"/>
    </row>
    <row r="183" spans="1:22">
      <c r="A183" s="78"/>
      <c r="B183" s="5639"/>
      <c r="C183" s="5640" t="s">
        <v>399</v>
      </c>
      <c r="D183" s="5639" t="s">
        <v>5348</v>
      </c>
      <c r="E183" s="5639"/>
      <c r="F183" s="5639"/>
      <c r="G183" s="5639"/>
      <c r="H183" s="5639"/>
      <c r="I183" s="5639"/>
      <c r="J183" s="5639"/>
      <c r="K183" s="5639"/>
      <c r="L183" s="5639"/>
      <c r="M183" s="5639"/>
      <c r="N183" s="5639"/>
      <c r="O183" s="5639"/>
      <c r="P183" s="5639"/>
      <c r="Q183" s="5639"/>
      <c r="R183" s="5639"/>
      <c r="S183" s="5639"/>
      <c r="T183" s="1602"/>
      <c r="U183" s="1602"/>
      <c r="V183" s="1602"/>
    </row>
    <row r="184" spans="1:22">
      <c r="A184" s="78"/>
      <c r="B184" s="5639"/>
      <c r="C184" s="5641"/>
      <c r="D184" s="5639" t="s">
        <v>2486</v>
      </c>
      <c r="E184" s="5639"/>
      <c r="F184" s="5639"/>
      <c r="G184" s="5639"/>
      <c r="H184" s="5639"/>
      <c r="I184" s="5639"/>
      <c r="J184" s="5639"/>
      <c r="K184" s="5639"/>
      <c r="L184" s="5639"/>
      <c r="M184" s="5639"/>
      <c r="N184" s="5639"/>
      <c r="O184" s="5639"/>
      <c r="P184" s="5639"/>
      <c r="Q184" s="1419" t="s">
        <v>399</v>
      </c>
      <c r="R184" s="5594" t="str">
        <f>IF(R60,"",SUM(R180,-R182))</f>
        <v/>
      </c>
      <c r="S184" s="5639"/>
      <c r="T184" s="1602"/>
      <c r="U184" s="1602"/>
      <c r="V184" s="1602"/>
    </row>
    <row r="185" spans="1:22">
      <c r="A185" s="78"/>
      <c r="B185" s="5639"/>
      <c r="C185" s="5640" t="s">
        <v>31</v>
      </c>
      <c r="D185" s="5639" t="s">
        <v>5349</v>
      </c>
      <c r="E185" s="5639"/>
      <c r="F185" s="5639"/>
      <c r="G185" s="5639"/>
      <c r="H185" s="5639"/>
      <c r="I185" s="5639"/>
      <c r="J185" s="5639"/>
      <c r="K185" s="5639"/>
      <c r="L185" s="5639"/>
      <c r="M185" s="5639"/>
      <c r="N185" s="5639"/>
      <c r="O185" s="5639"/>
      <c r="P185" s="5639"/>
      <c r="Q185" s="5639"/>
      <c r="R185" s="5639"/>
      <c r="S185" s="5639"/>
      <c r="T185" s="1602"/>
      <c r="U185" s="1602"/>
      <c r="V185" s="1602"/>
    </row>
    <row r="186" spans="1:22">
      <c r="A186" s="78"/>
      <c r="B186" s="5639"/>
      <c r="C186" s="5639"/>
      <c r="D186" s="5639" t="s">
        <v>5350</v>
      </c>
      <c r="E186" s="5639"/>
      <c r="F186" s="5639"/>
      <c r="G186" s="5639"/>
      <c r="H186" s="5639"/>
      <c r="I186" s="5639"/>
      <c r="J186" s="5639"/>
      <c r="K186" s="5639"/>
      <c r="L186" s="5639"/>
      <c r="M186" s="5639"/>
      <c r="N186" s="5639"/>
      <c r="O186" s="5639"/>
      <c r="P186" s="5639"/>
      <c r="Q186" s="5639"/>
      <c r="R186" s="5639"/>
      <c r="S186" s="5639"/>
      <c r="T186" s="1602"/>
      <c r="U186" s="1602"/>
      <c r="V186" s="1602"/>
    </row>
    <row r="187" spans="1:22">
      <c r="A187" s="78"/>
      <c r="B187" s="5639"/>
      <c r="C187" s="5639"/>
      <c r="D187" s="5639" t="s">
        <v>5351</v>
      </c>
      <c r="E187" s="5639"/>
      <c r="F187" s="5639"/>
      <c r="G187" s="5639"/>
      <c r="H187" s="5639"/>
      <c r="I187" s="5639"/>
      <c r="J187" s="5639"/>
      <c r="K187" s="5639"/>
      <c r="L187" s="5639"/>
      <c r="M187" s="5639"/>
      <c r="N187" s="5639"/>
      <c r="O187" s="5639"/>
      <c r="P187" s="5639"/>
      <c r="Q187" s="1419" t="s">
        <v>31</v>
      </c>
      <c r="R187" s="5594" t="str">
        <f>IF(R60,"",MIN(R178,R184))</f>
        <v/>
      </c>
      <c r="S187" s="5639"/>
      <c r="T187" s="1602"/>
      <c r="U187" s="1602"/>
      <c r="V187" s="1602"/>
    </row>
    <row r="188" spans="1:22">
      <c r="A188" s="78"/>
      <c r="B188" s="5639"/>
      <c r="C188" s="5639"/>
      <c r="D188" s="5639"/>
      <c r="E188" s="5639"/>
      <c r="F188" s="5639"/>
      <c r="G188" s="5639"/>
      <c r="H188" s="5639"/>
      <c r="I188" s="5639"/>
      <c r="J188" s="5639"/>
      <c r="K188" s="5639"/>
      <c r="L188" s="5639"/>
      <c r="M188" s="5639"/>
      <c r="N188" s="5639"/>
      <c r="O188" s="5639"/>
      <c r="P188" s="5639"/>
      <c r="Q188" s="5639"/>
      <c r="R188" s="5639"/>
      <c r="S188" s="5639"/>
      <c r="T188" s="1602"/>
      <c r="U188" s="1602"/>
      <c r="V188" s="1602"/>
    </row>
    <row r="189" spans="1:22" ht="7.5" customHeight="1">
      <c r="A189" s="78"/>
      <c r="B189" s="660"/>
      <c r="C189" s="660"/>
      <c r="D189" s="660"/>
      <c r="E189" s="660"/>
      <c r="F189" s="660"/>
      <c r="G189" s="660"/>
      <c r="H189" s="660"/>
      <c r="I189" s="660"/>
      <c r="J189" s="660"/>
      <c r="K189" s="660"/>
      <c r="L189" s="660"/>
      <c r="M189" s="660"/>
      <c r="N189" s="660"/>
      <c r="O189" s="660"/>
      <c r="P189" s="660"/>
      <c r="Q189" s="660"/>
      <c r="R189" s="660"/>
      <c r="S189" s="660"/>
      <c r="T189" s="1602"/>
      <c r="U189" s="1602"/>
      <c r="V189" s="1602"/>
    </row>
    <row r="190" spans="1:22" ht="16.5" customHeight="1">
      <c r="A190" s="78"/>
      <c r="B190" s="5620"/>
      <c r="C190" s="5621"/>
      <c r="D190" s="5621"/>
      <c r="E190" s="5621"/>
      <c r="F190" s="5621"/>
      <c r="G190" s="5621"/>
      <c r="H190" s="5621"/>
      <c r="I190" s="5621"/>
      <c r="J190" s="5621"/>
      <c r="K190" s="5621"/>
      <c r="L190" s="5621"/>
      <c r="M190" s="5621"/>
      <c r="N190" s="5621"/>
      <c r="O190" s="5621"/>
      <c r="P190" s="5621"/>
      <c r="Q190" s="5621"/>
      <c r="R190" s="5621"/>
      <c r="S190" s="5622"/>
      <c r="T190" s="1602"/>
      <c r="U190" s="1602"/>
      <c r="V190" s="1602"/>
    </row>
    <row r="191" spans="1:22" ht="16.5" customHeight="1">
      <c r="A191" s="78"/>
      <c r="B191" s="4249"/>
      <c r="C191" s="2977"/>
      <c r="D191" s="4264" t="s">
        <v>5249</v>
      </c>
      <c r="E191" s="2977"/>
      <c r="F191" s="5623" t="s">
        <v>5317</v>
      </c>
      <c r="G191" s="2977"/>
      <c r="H191" s="2977"/>
      <c r="I191" s="2977"/>
      <c r="J191" s="2977"/>
      <c r="K191" s="2977"/>
      <c r="L191" s="2977"/>
      <c r="M191" s="2977"/>
      <c r="N191" s="2977"/>
      <c r="O191" s="2977"/>
      <c r="P191" s="2977"/>
      <c r="Q191" s="2977"/>
      <c r="R191" s="2977"/>
      <c r="S191" s="5624"/>
      <c r="T191" s="1602"/>
      <c r="U191" s="1602"/>
      <c r="V191" s="1602"/>
    </row>
    <row r="192" spans="1:22" ht="16.5" customHeight="1">
      <c r="A192" s="78"/>
      <c r="B192" s="4249"/>
      <c r="C192" s="2977"/>
      <c r="D192" s="2977"/>
      <c r="E192" s="2977"/>
      <c r="F192" s="2977"/>
      <c r="G192" s="2977"/>
      <c r="H192" s="2977"/>
      <c r="I192" s="2977"/>
      <c r="J192" s="2977"/>
      <c r="K192" s="2977"/>
      <c r="L192" s="2977"/>
      <c r="M192" s="2977"/>
      <c r="N192" s="2977"/>
      <c r="O192" s="2977"/>
      <c r="P192" s="2977"/>
      <c r="Q192" s="5668" t="s">
        <v>175</v>
      </c>
      <c r="R192" s="5625"/>
      <c r="S192" s="5624"/>
      <c r="T192" s="1602"/>
      <c r="U192" s="1602"/>
      <c r="V192" s="1602"/>
    </row>
    <row r="193" spans="1:23" ht="16.5" customHeight="1">
      <c r="A193" s="78"/>
      <c r="B193" s="4249"/>
      <c r="C193" s="2977"/>
      <c r="D193" s="2977"/>
      <c r="E193" s="2977"/>
      <c r="F193" s="2977"/>
      <c r="G193" s="2977"/>
      <c r="H193" s="2977"/>
      <c r="I193" s="2977"/>
      <c r="J193" s="2977"/>
      <c r="K193" s="2977"/>
      <c r="L193" s="2977"/>
      <c r="M193" s="2977"/>
      <c r="N193" s="2977"/>
      <c r="O193" s="2977"/>
      <c r="P193" s="2977"/>
      <c r="Q193" s="2977"/>
      <c r="R193" s="5625"/>
      <c r="S193" s="5624"/>
      <c r="T193" s="1602"/>
      <c r="U193" s="1602"/>
      <c r="V193" s="1602"/>
    </row>
    <row r="194" spans="1:23" ht="16.5" customHeight="1">
      <c r="A194" s="78"/>
      <c r="B194" s="4249"/>
      <c r="C194" s="2977"/>
      <c r="D194" s="2977"/>
      <c r="E194" s="2977"/>
      <c r="F194" s="5626" t="s">
        <v>5318</v>
      </c>
      <c r="G194" s="2977"/>
      <c r="H194" s="2977"/>
      <c r="I194" s="2977"/>
      <c r="J194" s="2977"/>
      <c r="K194" s="2977"/>
      <c r="L194" s="2977"/>
      <c r="M194" s="2977"/>
      <c r="N194" s="2977"/>
      <c r="O194" s="2977"/>
      <c r="P194" s="2977"/>
      <c r="Q194" s="2977"/>
      <c r="R194" s="2977"/>
      <c r="S194" s="5624"/>
      <c r="T194" s="1602"/>
      <c r="U194" s="1602"/>
      <c r="V194" s="1602"/>
    </row>
    <row r="195" spans="1:23" ht="16.5" customHeight="1">
      <c r="A195" s="78"/>
      <c r="B195" s="4249"/>
      <c r="C195" s="2977"/>
      <c r="D195" s="2977"/>
      <c r="E195" s="2977"/>
      <c r="F195" s="2977"/>
      <c r="G195" s="2977"/>
      <c r="H195" s="2977"/>
      <c r="I195" s="2977"/>
      <c r="J195" s="2977"/>
      <c r="K195" s="2977"/>
      <c r="L195" s="2977"/>
      <c r="M195" s="2977"/>
      <c r="N195" s="2977"/>
      <c r="O195" s="2977"/>
      <c r="P195" s="2977"/>
      <c r="Q195" s="2977"/>
      <c r="R195" s="2977"/>
      <c r="S195" s="5624"/>
      <c r="T195" s="1602"/>
      <c r="U195" s="1602"/>
      <c r="V195" s="1602"/>
    </row>
    <row r="196" spans="1:23" ht="16.5" customHeight="1">
      <c r="A196" s="78"/>
      <c r="B196" s="4249"/>
      <c r="C196" s="2977"/>
      <c r="D196" s="2977"/>
      <c r="E196" s="2977"/>
      <c r="F196" s="2977"/>
      <c r="G196" s="2977"/>
      <c r="H196" s="2977"/>
      <c r="I196" s="2977"/>
      <c r="J196" s="2977"/>
      <c r="K196" s="2977"/>
      <c r="L196" s="2977"/>
      <c r="M196" s="2977"/>
      <c r="N196" s="2977"/>
      <c r="O196" s="2977"/>
      <c r="P196" s="2977"/>
      <c r="Q196" s="2977"/>
      <c r="R196" s="2977"/>
      <c r="S196" s="5624"/>
      <c r="T196" s="1602"/>
      <c r="U196" s="1602"/>
      <c r="V196" s="1602"/>
    </row>
    <row r="197" spans="1:23" ht="16.5" customHeight="1">
      <c r="A197" s="78"/>
      <c r="B197" s="4249"/>
      <c r="C197" s="1419" t="s">
        <v>294</v>
      </c>
      <c r="D197" s="2977" t="str">
        <f>"Enter the amount reported on your "&amp;TaxYear-1&amp;" Form 2441, line 3"</f>
        <v>Enter the amount reported on your 2020 Form 2441, line 3</v>
      </c>
      <c r="E197" s="2977"/>
      <c r="F197" s="2977"/>
      <c r="G197" s="2977"/>
      <c r="H197" s="2977"/>
      <c r="I197" s="2977"/>
      <c r="J197" s="2977"/>
      <c r="K197" s="2977"/>
      <c r="L197" s="2977"/>
      <c r="M197" s="2977"/>
      <c r="N197" s="2977"/>
      <c r="O197" s="2977"/>
      <c r="P197" s="2977"/>
      <c r="Q197" s="1419" t="s">
        <v>294</v>
      </c>
      <c r="R197" s="5636"/>
      <c r="S197" s="5624"/>
      <c r="T197" s="1602"/>
      <c r="U197" s="1602"/>
      <c r="V197" s="1602"/>
    </row>
    <row r="198" spans="1:23" ht="16.5" customHeight="1">
      <c r="A198" s="78"/>
      <c r="B198" s="4249"/>
      <c r="C198" s="1419" t="s">
        <v>0</v>
      </c>
      <c r="D198" s="2977" t="str">
        <f>"Enter your "&amp;TaxYear-1&amp;" qualified expenses paid in "&amp;TaxYear</f>
        <v>Enter your 2020 qualified expenses paid in 2021</v>
      </c>
      <c r="E198" s="2977"/>
      <c r="F198" s="2977"/>
      <c r="G198" s="2977"/>
      <c r="H198" s="2977"/>
      <c r="I198" s="2977"/>
      <c r="J198" s="2977"/>
      <c r="K198" s="2977"/>
      <c r="L198" s="2977"/>
      <c r="M198" s="2977"/>
      <c r="N198" s="2977"/>
      <c r="O198" s="2977"/>
      <c r="P198" s="2977"/>
      <c r="Q198" s="1419" t="s">
        <v>0</v>
      </c>
      <c r="R198" s="5636"/>
      <c r="S198" s="5624"/>
      <c r="T198" s="1602"/>
      <c r="U198" s="1602"/>
      <c r="V198" s="1602"/>
    </row>
    <row r="199" spans="1:23" ht="16.5" customHeight="1">
      <c r="A199" s="78"/>
      <c r="B199" s="4249"/>
      <c r="C199" s="1419" t="s">
        <v>1</v>
      </c>
      <c r="D199" s="2977" t="s">
        <v>5319</v>
      </c>
      <c r="E199" s="2977"/>
      <c r="F199" s="2977"/>
      <c r="G199" s="2977"/>
      <c r="H199" s="2977"/>
      <c r="I199" s="2977"/>
      <c r="J199" s="2977"/>
      <c r="K199" s="2977"/>
      <c r="L199" s="2977"/>
      <c r="M199" s="2977"/>
      <c r="N199" s="2977"/>
      <c r="O199" s="2977"/>
      <c r="P199" s="2977"/>
      <c r="Q199" s="1419" t="s">
        <v>1</v>
      </c>
      <c r="R199" s="5594" t="str">
        <f>IF(R197="","",SUM(ROUND(R197,0),ROUND(R198,0)))</f>
        <v/>
      </c>
      <c r="S199" s="5624"/>
      <c r="T199" s="1602"/>
      <c r="U199" s="1602"/>
      <c r="V199" s="1602"/>
    </row>
    <row r="200" spans="1:23" ht="16.5" customHeight="1">
      <c r="A200" s="78"/>
      <c r="B200" s="4249"/>
      <c r="C200" s="1419" t="s">
        <v>399</v>
      </c>
      <c r="D200" s="2977" t="str">
        <f>"Enter "&amp;TEXT(N200,"$0,000")&amp;" if you had one qualifying person ("&amp;TEXT(N200*2,"$0,000")&amp;" if you had two or more)"</f>
        <v>Enter $3,000 if you had one qualifying person ($6,000 if you had two or more)</v>
      </c>
      <c r="E200" s="2977"/>
      <c r="F200" s="2977"/>
      <c r="G200" s="2977"/>
      <c r="H200" s="2977"/>
      <c r="I200" s="2977"/>
      <c r="J200" s="2977"/>
      <c r="K200" s="2977"/>
      <c r="L200" s="2977"/>
      <c r="M200" s="2977"/>
      <c r="N200" s="8502">
        <v>3000</v>
      </c>
      <c r="O200" s="8502"/>
      <c r="P200" s="2977"/>
      <c r="Q200" s="1419" t="s">
        <v>399</v>
      </c>
      <c r="R200" s="5594" t="str">
        <f>IF(U200="","",IF(U200&gt;=2,2*N200,IF(U200&gt;0,N200,0)))</f>
        <v/>
      </c>
      <c r="S200" s="5624"/>
      <c r="T200" s="1602"/>
      <c r="U200" s="5637"/>
      <c r="V200" s="1602"/>
      <c r="W200" s="5666" t="s">
        <v>5340</v>
      </c>
    </row>
    <row r="201" spans="1:23" ht="16.5" customHeight="1">
      <c r="A201" s="78"/>
      <c r="B201" s="4249"/>
      <c r="C201" s="1419" t="s">
        <v>31</v>
      </c>
      <c r="D201" s="2977" t="str">
        <f>"Enter any dependent care benefits received for "&amp;TaxYear-1&amp;" and deducted on your return and/or excluded"</f>
        <v>Enter any dependent care benefits received for 2020 and deducted on your return and/or excluded</v>
      </c>
      <c r="E201" s="2977"/>
      <c r="F201" s="2977"/>
      <c r="G201" s="2977"/>
      <c r="H201" s="2977"/>
      <c r="I201" s="2977"/>
      <c r="J201" s="2977"/>
      <c r="K201" s="2977"/>
      <c r="L201" s="2977"/>
      <c r="M201" s="2977"/>
      <c r="N201" s="2977"/>
      <c r="O201" s="2977"/>
      <c r="P201" s="2977"/>
      <c r="Q201" s="2977"/>
      <c r="R201" s="2977"/>
      <c r="S201" s="5624"/>
      <c r="T201" s="1602"/>
      <c r="U201" s="1602"/>
      <c r="V201" s="1602"/>
      <c r="W201" s="5596" t="str">
        <f>"persons in "&amp;TaxYear-1</f>
        <v>persons in 2020</v>
      </c>
    </row>
    <row r="202" spans="1:23" ht="16.5" customHeight="1">
      <c r="A202" s="78"/>
      <c r="B202" s="4249"/>
      <c r="C202" s="4264"/>
      <c r="D202" s="2977" t="str">
        <f>"from your income (from your "&amp;TaxYear-1&amp;" Form 2441, lines 24 and 25)"</f>
        <v>from your income (from your 2020 Form 2441, lines 24 and 25)</v>
      </c>
      <c r="E202" s="2977"/>
      <c r="F202" s="2977"/>
      <c r="G202" s="2977"/>
      <c r="H202" s="2977"/>
      <c r="I202" s="2977"/>
      <c r="J202" s="2977"/>
      <c r="K202" s="2977"/>
      <c r="L202" s="2977"/>
      <c r="M202" s="2977"/>
      <c r="N202" s="2977"/>
      <c r="O202" s="2977"/>
      <c r="P202" s="2977"/>
      <c r="Q202" s="1419" t="s">
        <v>31</v>
      </c>
      <c r="R202" s="5636"/>
      <c r="S202" s="5624"/>
      <c r="T202" s="1602"/>
      <c r="U202" s="1602"/>
      <c r="V202" s="1602"/>
    </row>
    <row r="203" spans="1:23" ht="16.5" customHeight="1">
      <c r="A203" s="78"/>
      <c r="B203" s="4249"/>
      <c r="C203" s="1419" t="s">
        <v>67</v>
      </c>
      <c r="D203" s="2977" t="s">
        <v>5320</v>
      </c>
      <c r="E203" s="2977"/>
      <c r="F203" s="2977"/>
      <c r="G203" s="2977"/>
      <c r="H203" s="2977"/>
      <c r="I203" s="2977"/>
      <c r="J203" s="2977"/>
      <c r="K203" s="2977"/>
      <c r="L203" s="2977"/>
      <c r="M203" s="2977"/>
      <c r="N203" s="2977"/>
      <c r="O203" s="2977"/>
      <c r="P203" s="2977"/>
      <c r="Q203" s="1419" t="s">
        <v>67</v>
      </c>
      <c r="R203" s="5594" t="str">
        <f>IF(R197="","",MAX(0,SUM(R200,-R202)))</f>
        <v/>
      </c>
      <c r="S203" s="5624"/>
      <c r="T203" s="1602"/>
      <c r="U203" s="1602"/>
      <c r="V203" s="1602"/>
    </row>
    <row r="204" spans="1:23" ht="16.5" customHeight="1">
      <c r="A204" s="78"/>
      <c r="B204" s="4249"/>
      <c r="C204" s="1419" t="s">
        <v>68</v>
      </c>
      <c r="D204" s="2977" t="s">
        <v>5321</v>
      </c>
      <c r="E204" s="2977"/>
      <c r="F204" s="2977"/>
      <c r="G204" s="2977"/>
      <c r="H204" s="2977"/>
      <c r="I204" s="2977"/>
      <c r="J204" s="2977"/>
      <c r="K204" s="2977"/>
      <c r="L204" s="2977"/>
      <c r="M204" s="2977"/>
      <c r="N204" s="2977"/>
      <c r="O204" s="2977"/>
      <c r="P204" s="2977"/>
      <c r="Q204" s="2977"/>
      <c r="R204" s="2977"/>
      <c r="S204" s="5624"/>
      <c r="T204" s="1602"/>
      <c r="U204" s="1602"/>
      <c r="V204" s="1602"/>
    </row>
    <row r="205" spans="1:23" ht="16.5" customHeight="1">
      <c r="A205" s="78"/>
      <c r="B205" s="4249"/>
      <c r="C205" s="4264"/>
      <c r="D205" s="2977" t="s">
        <v>5322</v>
      </c>
      <c r="E205" s="2977"/>
      <c r="F205" s="2977"/>
      <c r="G205" s="2977"/>
      <c r="H205" s="2977"/>
      <c r="I205" s="2977"/>
      <c r="J205" s="2977"/>
      <c r="K205" s="2977"/>
      <c r="L205" s="2977"/>
      <c r="M205" s="2977"/>
      <c r="N205" s="2977"/>
      <c r="O205" s="2977"/>
      <c r="P205" s="2977"/>
      <c r="Q205" s="1419" t="s">
        <v>68</v>
      </c>
      <c r="R205" s="5636"/>
      <c r="S205" s="5624"/>
      <c r="T205" s="1602"/>
      <c r="U205" s="1602"/>
      <c r="V205" s="1602"/>
    </row>
    <row r="206" spans="1:23">
      <c r="A206" s="78"/>
      <c r="B206" s="4249"/>
      <c r="C206" s="1419" t="s">
        <v>204</v>
      </c>
      <c r="D206" s="2977" t="s">
        <v>5323</v>
      </c>
      <c r="E206" s="2977"/>
      <c r="F206" s="2977"/>
      <c r="G206" s="2977"/>
      <c r="H206" s="2977"/>
      <c r="I206" s="2977"/>
      <c r="J206" s="2977"/>
      <c r="K206" s="2977"/>
      <c r="L206" s="2977"/>
      <c r="M206" s="2977"/>
      <c r="N206" s="2977"/>
      <c r="O206" s="2977"/>
      <c r="P206" s="2977"/>
      <c r="Q206" s="1419" t="s">
        <v>204</v>
      </c>
      <c r="R206" s="5594" t="str">
        <f>IF(R197="","",MIN(R199,R203,R205))</f>
        <v/>
      </c>
      <c r="S206" s="5624"/>
      <c r="T206" s="1602"/>
      <c r="U206" s="1602"/>
      <c r="V206" s="1602"/>
    </row>
    <row r="207" spans="1:23">
      <c r="A207" s="78"/>
      <c r="B207" s="4249"/>
      <c r="C207" s="1419" t="s">
        <v>205</v>
      </c>
      <c r="D207" s="2977" t="s">
        <v>5324</v>
      </c>
      <c r="E207" s="2977"/>
      <c r="F207" s="2977"/>
      <c r="G207" s="2977"/>
      <c r="H207" s="2977"/>
      <c r="I207" s="2977"/>
      <c r="J207" s="2977"/>
      <c r="K207" s="2977"/>
      <c r="L207" s="2977"/>
      <c r="M207" s="2977"/>
      <c r="N207" s="2977"/>
      <c r="O207" s="2977"/>
      <c r="P207" s="2977"/>
      <c r="Q207" s="1419" t="s">
        <v>205</v>
      </c>
      <c r="R207" s="5636"/>
      <c r="S207" s="5624"/>
      <c r="T207" s="1602"/>
      <c r="U207" s="1602"/>
      <c r="V207" s="1602"/>
    </row>
    <row r="208" spans="1:23">
      <c r="A208" s="78"/>
      <c r="B208" s="4249"/>
      <c r="C208" s="1419" t="s">
        <v>295</v>
      </c>
      <c r="D208" s="2977" t="s">
        <v>5341</v>
      </c>
      <c r="E208" s="2977"/>
      <c r="F208" s="2977"/>
      <c r="G208" s="2977"/>
      <c r="H208" s="2977"/>
      <c r="I208" s="2977"/>
      <c r="J208" s="2977"/>
      <c r="K208" s="2977"/>
      <c r="L208" s="2977"/>
      <c r="M208" s="2977" t="s">
        <v>5342</v>
      </c>
      <c r="N208" s="2977"/>
      <c r="O208" s="2977"/>
      <c r="P208" s="2977"/>
      <c r="Q208" s="2977"/>
      <c r="R208" s="2977"/>
      <c r="S208" s="5624"/>
      <c r="T208" s="1602"/>
      <c r="U208" s="1602"/>
      <c r="V208" s="1602"/>
    </row>
    <row r="209" spans="1:22">
      <c r="A209" s="78"/>
      <c r="B209" s="5638" t="b">
        <f>AND(R197&lt;&gt;"",R209&lt;=0)</f>
        <v>0</v>
      </c>
      <c r="C209" s="4264"/>
      <c r="D209" s="2977" t="s">
        <v>5325</v>
      </c>
      <c r="E209" s="2977"/>
      <c r="F209" s="2977"/>
      <c r="G209" s="2977"/>
      <c r="H209" s="2977"/>
      <c r="I209" s="2977"/>
      <c r="J209" s="2977"/>
      <c r="K209" s="2977"/>
      <c r="L209" s="2977"/>
      <c r="M209" s="2977"/>
      <c r="N209" s="2977"/>
      <c r="O209" s="2977"/>
      <c r="P209" s="2977"/>
      <c r="Q209" s="1419" t="s">
        <v>295</v>
      </c>
      <c r="R209" s="5594" t="str">
        <f>IF(R197="","",SUM(R206,-R207))</f>
        <v/>
      </c>
      <c r="S209" s="5624"/>
      <c r="T209" s="1602"/>
      <c r="U209" s="1602"/>
      <c r="V209" s="1602"/>
    </row>
    <row r="210" spans="1:22">
      <c r="A210" s="78"/>
      <c r="B210" s="4249"/>
      <c r="C210" s="1419" t="s">
        <v>296</v>
      </c>
      <c r="D210" s="2977" t="s">
        <v>5326</v>
      </c>
      <c r="E210" s="2977"/>
      <c r="F210" s="2977"/>
      <c r="G210" s="2977"/>
      <c r="H210" s="2977"/>
      <c r="I210" s="2977"/>
      <c r="J210" s="2977"/>
      <c r="K210" s="2977"/>
      <c r="L210" s="2977"/>
      <c r="M210" s="2977"/>
      <c r="N210" s="2977"/>
      <c r="O210" s="2977"/>
      <c r="P210" s="2977"/>
      <c r="Q210" s="2977"/>
      <c r="R210" s="2977"/>
      <c r="S210" s="5624"/>
      <c r="T210" s="1602"/>
      <c r="U210" s="1602"/>
      <c r="V210" s="1602"/>
    </row>
    <row r="211" spans="1:22">
      <c r="A211" s="78"/>
      <c r="B211" s="4249"/>
      <c r="C211" s="4264"/>
      <c r="D211" s="2977" t="s">
        <v>5327</v>
      </c>
      <c r="E211" s="2977"/>
      <c r="F211" s="2977"/>
      <c r="G211" s="2977"/>
      <c r="H211" s="2977"/>
      <c r="I211" s="2977"/>
      <c r="J211" s="2977"/>
      <c r="K211" s="2977"/>
      <c r="L211" s="2977"/>
      <c r="M211" s="2977"/>
      <c r="N211" s="2977"/>
      <c r="O211" s="2977"/>
      <c r="P211" s="2977"/>
      <c r="Q211" s="1419" t="s">
        <v>296</v>
      </c>
      <c r="R211" s="5636"/>
      <c r="S211" s="5624"/>
      <c r="T211" s="1602"/>
      <c r="U211" s="1602"/>
      <c r="V211" s="1602"/>
    </row>
    <row r="212" spans="1:22">
      <c r="A212" s="78"/>
      <c r="B212" s="4249"/>
      <c r="C212" s="1419" t="s">
        <v>297</v>
      </c>
      <c r="D212" s="2977" t="s">
        <v>5328</v>
      </c>
      <c r="E212" s="2977"/>
      <c r="F212" s="2977"/>
      <c r="G212" s="2977"/>
      <c r="H212" s="2977"/>
      <c r="I212" s="2977"/>
      <c r="J212" s="2977"/>
      <c r="K212" s="2977"/>
      <c r="L212" s="2977"/>
      <c r="M212" s="2977"/>
      <c r="N212" s="2977"/>
      <c r="O212" s="2977"/>
      <c r="P212" s="2977"/>
      <c r="Q212" s="2977"/>
      <c r="R212" s="2977"/>
      <c r="S212" s="5624"/>
      <c r="T212" s="1602"/>
      <c r="U212" s="1602"/>
      <c r="V212" s="1602"/>
    </row>
    <row r="213" spans="1:22">
      <c r="A213" s="78"/>
      <c r="B213" s="4249"/>
      <c r="C213" s="4264"/>
      <c r="D213" s="2977" t="s">
        <v>2436</v>
      </c>
      <c r="E213" s="2977"/>
      <c r="F213" s="2977"/>
      <c r="G213" s="2977"/>
      <c r="H213" s="2977"/>
      <c r="I213" s="2977"/>
      <c r="J213" s="2977"/>
      <c r="K213" s="2977"/>
      <c r="L213" s="2977"/>
      <c r="M213" s="2977"/>
      <c r="N213" s="2977"/>
      <c r="O213" s="2977"/>
      <c r="P213" s="2977"/>
      <c r="Q213" s="1419" t="s">
        <v>297</v>
      </c>
      <c r="R213" s="5594" t="str">
        <f>IF(OR(B209,R211="",R211&lt;1),"",LOOKUP(R211-1,D217:D232,K217:K232))</f>
        <v/>
      </c>
      <c r="S213" s="5624"/>
      <c r="T213" s="1602"/>
      <c r="U213" s="1602"/>
      <c r="V213" s="1602"/>
    </row>
    <row r="214" spans="1:22">
      <c r="A214" s="78"/>
      <c r="B214" s="4249"/>
      <c r="C214" s="2977"/>
      <c r="D214" s="2977"/>
      <c r="E214" s="2977"/>
      <c r="F214" s="2977"/>
      <c r="G214" s="2977"/>
      <c r="H214" s="2977"/>
      <c r="I214" s="2977"/>
      <c r="J214" s="2977"/>
      <c r="K214" s="2977"/>
      <c r="L214" s="2977"/>
      <c r="M214" s="2977"/>
      <c r="N214" s="2977"/>
      <c r="O214" s="2977"/>
      <c r="P214" s="2977"/>
      <c r="Q214" s="2977"/>
      <c r="R214" s="2977"/>
      <c r="S214" s="5624"/>
      <c r="T214" s="1602"/>
      <c r="U214" s="1602"/>
      <c r="V214" s="1602"/>
    </row>
    <row r="215" spans="1:22">
      <c r="A215" s="78"/>
      <c r="B215" s="4249"/>
      <c r="C215" s="2977" t="s">
        <v>5330</v>
      </c>
      <c r="D215" s="2977"/>
      <c r="E215" s="2977"/>
      <c r="F215" s="2977"/>
      <c r="G215" s="2977"/>
      <c r="H215" s="2977"/>
      <c r="I215" s="2977"/>
      <c r="J215" s="2977" t="s">
        <v>5331</v>
      </c>
      <c r="K215" s="2977"/>
      <c r="L215" s="2977"/>
      <c r="M215" s="2977"/>
      <c r="N215" s="2977"/>
      <c r="O215" s="2977"/>
      <c r="P215" s="2977"/>
      <c r="Q215" s="2977"/>
      <c r="R215" s="2977"/>
      <c r="S215" s="5624"/>
      <c r="T215" s="1602"/>
      <c r="U215" s="1602"/>
      <c r="V215" s="1602"/>
    </row>
    <row r="216" spans="1:22">
      <c r="A216" s="78"/>
      <c r="B216" s="4249"/>
      <c r="C216" s="2977"/>
      <c r="D216" s="5627" t="s">
        <v>793</v>
      </c>
      <c r="E216" s="2977"/>
      <c r="F216" s="5627" t="s">
        <v>5316</v>
      </c>
      <c r="G216" s="2977"/>
      <c r="H216" s="2977"/>
      <c r="I216" s="2977"/>
      <c r="J216" s="2977" t="s">
        <v>5332</v>
      </c>
      <c r="K216" s="2977"/>
      <c r="L216" s="2977"/>
      <c r="M216" s="2977"/>
      <c r="N216" s="2977"/>
      <c r="O216" s="2977"/>
      <c r="P216" s="2977"/>
      <c r="Q216" s="2977"/>
      <c r="R216" s="2977"/>
      <c r="S216" s="5624"/>
      <c r="T216" s="1602"/>
      <c r="U216" s="1602"/>
      <c r="V216" s="1602"/>
    </row>
    <row r="217" spans="1:22" ht="12.75" customHeight="1">
      <c r="A217" s="78"/>
      <c r="B217" s="4249"/>
      <c r="C217" s="2977"/>
      <c r="D217" s="5628">
        <v>0</v>
      </c>
      <c r="E217" s="4786" t="s">
        <v>709</v>
      </c>
      <c r="F217" s="5628">
        <f>D218</f>
        <v>15000</v>
      </c>
      <c r="G217" s="2977"/>
      <c r="H217" s="2977"/>
      <c r="I217" s="2977"/>
      <c r="J217" s="2977"/>
      <c r="K217" s="5629">
        <v>0.35</v>
      </c>
      <c r="L217" s="2977"/>
      <c r="M217" s="2977"/>
      <c r="N217" s="2977"/>
      <c r="O217" s="2977"/>
      <c r="P217" s="2977"/>
      <c r="Q217" s="2977"/>
      <c r="R217" s="2977"/>
      <c r="S217" s="5624"/>
      <c r="T217" s="1602"/>
      <c r="U217" s="1602"/>
      <c r="V217" s="1602"/>
    </row>
    <row r="218" spans="1:22" ht="12.75" customHeight="1">
      <c r="A218" s="78"/>
      <c r="B218" s="4249"/>
      <c r="C218" s="2977"/>
      <c r="D218" s="5628">
        <v>15000</v>
      </c>
      <c r="E218" s="4786" t="s">
        <v>709</v>
      </c>
      <c r="F218" s="5628">
        <f t="shared" ref="F218:F231" si="1">D219</f>
        <v>17000</v>
      </c>
      <c r="G218" s="2977"/>
      <c r="H218" s="2977"/>
      <c r="I218" s="2977"/>
      <c r="J218" s="2977"/>
      <c r="K218" s="5629">
        <v>0.34</v>
      </c>
      <c r="L218" s="2977"/>
      <c r="M218" s="2977"/>
      <c r="N218" s="2977"/>
      <c r="O218" s="2977"/>
      <c r="P218" s="2977"/>
      <c r="Q218" s="2977"/>
      <c r="R218" s="2977"/>
      <c r="S218" s="5624"/>
      <c r="T218" s="1602"/>
      <c r="U218" s="1602"/>
      <c r="V218" s="1602"/>
    </row>
    <row r="219" spans="1:22" ht="12.75" customHeight="1">
      <c r="A219" s="78"/>
      <c r="B219" s="4249"/>
      <c r="C219" s="2977"/>
      <c r="D219" s="5628">
        <v>17000</v>
      </c>
      <c r="E219" s="4786" t="s">
        <v>709</v>
      </c>
      <c r="F219" s="5628">
        <f t="shared" si="1"/>
        <v>19000</v>
      </c>
      <c r="G219" s="2977"/>
      <c r="H219" s="2977"/>
      <c r="I219" s="2977"/>
      <c r="J219" s="2977"/>
      <c r="K219" s="5629">
        <v>0.33</v>
      </c>
      <c r="L219" s="2977"/>
      <c r="M219" s="2977"/>
      <c r="N219" s="2977"/>
      <c r="O219" s="2977"/>
      <c r="P219" s="2977"/>
      <c r="Q219" s="2977"/>
      <c r="R219" s="2977"/>
      <c r="S219" s="5624"/>
      <c r="T219" s="1602"/>
      <c r="U219" s="1602"/>
      <c r="V219" s="1602"/>
    </row>
    <row r="220" spans="1:22" ht="12.75" customHeight="1">
      <c r="A220" s="78"/>
      <c r="B220" s="4249"/>
      <c r="C220" s="2977"/>
      <c r="D220" s="5628">
        <v>19000</v>
      </c>
      <c r="E220" s="4786" t="s">
        <v>709</v>
      </c>
      <c r="F220" s="5628">
        <f t="shared" si="1"/>
        <v>21000</v>
      </c>
      <c r="G220" s="2977"/>
      <c r="H220" s="2977"/>
      <c r="I220" s="2977"/>
      <c r="J220" s="2977"/>
      <c r="K220" s="5629">
        <v>0.32</v>
      </c>
      <c r="L220" s="2977"/>
      <c r="M220" s="2977"/>
      <c r="N220" s="2977"/>
      <c r="O220" s="2977"/>
      <c r="P220" s="2977"/>
      <c r="Q220" s="2977"/>
      <c r="R220" s="2977"/>
      <c r="S220" s="5624"/>
      <c r="T220" s="1602"/>
      <c r="U220" s="1602"/>
      <c r="V220" s="1602"/>
    </row>
    <row r="221" spans="1:22" ht="12.75" customHeight="1">
      <c r="A221" s="78"/>
      <c r="B221" s="4249"/>
      <c r="C221" s="2977"/>
      <c r="D221" s="5628">
        <v>21000</v>
      </c>
      <c r="E221" s="4786" t="s">
        <v>709</v>
      </c>
      <c r="F221" s="5628">
        <f t="shared" si="1"/>
        <v>23000</v>
      </c>
      <c r="G221" s="2977"/>
      <c r="H221" s="2977"/>
      <c r="I221" s="2977"/>
      <c r="J221" s="2977"/>
      <c r="K221" s="5629">
        <v>0.31</v>
      </c>
      <c r="L221" s="2977"/>
      <c r="M221" s="2977"/>
      <c r="N221" s="2977"/>
      <c r="O221" s="2977"/>
      <c r="P221" s="2977"/>
      <c r="Q221" s="2977"/>
      <c r="R221" s="2977"/>
      <c r="S221" s="5624"/>
      <c r="T221" s="1602"/>
      <c r="U221" s="1602"/>
      <c r="V221" s="1602"/>
    </row>
    <row r="222" spans="1:22" ht="12.75" customHeight="1">
      <c r="A222" s="78"/>
      <c r="B222" s="4249"/>
      <c r="C222" s="2977"/>
      <c r="D222" s="5628">
        <v>23000</v>
      </c>
      <c r="E222" s="4786" t="s">
        <v>709</v>
      </c>
      <c r="F222" s="5628">
        <f t="shared" si="1"/>
        <v>25000</v>
      </c>
      <c r="G222" s="2977"/>
      <c r="H222" s="2977"/>
      <c r="I222" s="2977"/>
      <c r="J222" s="2977"/>
      <c r="K222" s="5629">
        <v>0.3</v>
      </c>
      <c r="L222" s="2977"/>
      <c r="M222" s="2977"/>
      <c r="N222" s="2977"/>
      <c r="O222" s="2977"/>
      <c r="P222" s="2977"/>
      <c r="Q222" s="2977"/>
      <c r="R222" s="2977"/>
      <c r="S222" s="5624"/>
      <c r="T222" s="1602"/>
      <c r="U222" s="1602"/>
      <c r="V222" s="1602"/>
    </row>
    <row r="223" spans="1:22" ht="12.75" customHeight="1">
      <c r="A223" s="78"/>
      <c r="B223" s="4249"/>
      <c r="C223" s="2977"/>
      <c r="D223" s="5628">
        <v>25000</v>
      </c>
      <c r="E223" s="4786" t="s">
        <v>709</v>
      </c>
      <c r="F223" s="5628">
        <f t="shared" si="1"/>
        <v>27000</v>
      </c>
      <c r="G223" s="2977"/>
      <c r="H223" s="2977"/>
      <c r="I223" s="2977"/>
      <c r="J223" s="2977"/>
      <c r="K223" s="5629">
        <v>0.28999999999999998</v>
      </c>
      <c r="L223" s="2977"/>
      <c r="M223" s="2977"/>
      <c r="N223" s="2977"/>
      <c r="O223" s="2977"/>
      <c r="P223" s="2977"/>
      <c r="Q223" s="2977"/>
      <c r="R223" s="2977"/>
      <c r="S223" s="5624"/>
      <c r="T223" s="1602"/>
      <c r="U223" s="1602"/>
      <c r="V223" s="1602"/>
    </row>
    <row r="224" spans="1:22" ht="12.75" customHeight="1">
      <c r="A224" s="78"/>
      <c r="B224" s="4249"/>
      <c r="C224" s="2977"/>
      <c r="D224" s="5628">
        <v>27000</v>
      </c>
      <c r="E224" s="4786" t="s">
        <v>709</v>
      </c>
      <c r="F224" s="5628">
        <f t="shared" si="1"/>
        <v>29000</v>
      </c>
      <c r="G224" s="2977"/>
      <c r="H224" s="2977"/>
      <c r="I224" s="2977"/>
      <c r="J224" s="2977"/>
      <c r="K224" s="5629">
        <v>0.28000000000000003</v>
      </c>
      <c r="L224" s="2977"/>
      <c r="M224" s="2977"/>
      <c r="N224" s="2977"/>
      <c r="O224" s="2977"/>
      <c r="P224" s="2977"/>
      <c r="Q224" s="2977"/>
      <c r="R224" s="2977"/>
      <c r="S224" s="5624"/>
      <c r="T224" s="1602"/>
      <c r="U224" s="1602"/>
      <c r="V224" s="1602"/>
    </row>
    <row r="225" spans="1:22" ht="12.75" customHeight="1">
      <c r="A225" s="78"/>
      <c r="B225" s="4249"/>
      <c r="C225" s="2977"/>
      <c r="D225" s="5628">
        <v>29000</v>
      </c>
      <c r="E225" s="4786" t="s">
        <v>709</v>
      </c>
      <c r="F225" s="5628">
        <f t="shared" si="1"/>
        <v>31000</v>
      </c>
      <c r="G225" s="2977"/>
      <c r="H225" s="2977"/>
      <c r="I225" s="2977"/>
      <c r="J225" s="2977"/>
      <c r="K225" s="5629">
        <v>0.27</v>
      </c>
      <c r="L225" s="2977"/>
      <c r="M225" s="2977"/>
      <c r="N225" s="2977"/>
      <c r="O225" s="2977"/>
      <c r="P225" s="2977"/>
      <c r="Q225" s="2977"/>
      <c r="R225" s="2977"/>
      <c r="S225" s="5624"/>
      <c r="T225" s="1602"/>
      <c r="U225" s="1602"/>
      <c r="V225" s="1602"/>
    </row>
    <row r="226" spans="1:22" ht="12.75" customHeight="1">
      <c r="A226" s="78"/>
      <c r="B226" s="4249"/>
      <c r="C226" s="2977"/>
      <c r="D226" s="5628">
        <v>31000</v>
      </c>
      <c r="E226" s="4786" t="s">
        <v>709</v>
      </c>
      <c r="F226" s="5628">
        <f t="shared" si="1"/>
        <v>33000</v>
      </c>
      <c r="G226" s="2977"/>
      <c r="H226" s="2977"/>
      <c r="I226" s="2977"/>
      <c r="J226" s="2977"/>
      <c r="K226" s="5629">
        <v>0.26</v>
      </c>
      <c r="L226" s="2977"/>
      <c r="M226" s="2977"/>
      <c r="N226" s="2977"/>
      <c r="O226" s="2977"/>
      <c r="P226" s="2977"/>
      <c r="Q226" s="2977"/>
      <c r="R226" s="2977"/>
      <c r="S226" s="5624"/>
      <c r="T226" s="1602"/>
      <c r="U226" s="1602"/>
      <c r="V226" s="1602"/>
    </row>
    <row r="227" spans="1:22" ht="12.75" customHeight="1">
      <c r="A227" s="78"/>
      <c r="B227" s="4249"/>
      <c r="C227" s="2977"/>
      <c r="D227" s="5628">
        <v>33000</v>
      </c>
      <c r="E227" s="4786" t="s">
        <v>709</v>
      </c>
      <c r="F227" s="5628">
        <f t="shared" si="1"/>
        <v>35000</v>
      </c>
      <c r="G227" s="2977"/>
      <c r="H227" s="2977"/>
      <c r="I227" s="2977"/>
      <c r="J227" s="2977"/>
      <c r="K227" s="5629">
        <v>0.25</v>
      </c>
      <c r="L227" s="2977"/>
      <c r="M227" s="2977"/>
      <c r="N227" s="2977"/>
      <c r="O227" s="2977"/>
      <c r="P227" s="2977"/>
      <c r="Q227" s="2977"/>
      <c r="R227" s="2977"/>
      <c r="S227" s="5624"/>
      <c r="T227" s="1602"/>
      <c r="U227" s="1602"/>
      <c r="V227" s="1602"/>
    </row>
    <row r="228" spans="1:22" ht="12.75" customHeight="1">
      <c r="A228" s="78"/>
      <c r="B228" s="4249"/>
      <c r="C228" s="2977"/>
      <c r="D228" s="5628">
        <v>35000</v>
      </c>
      <c r="E228" s="4786" t="s">
        <v>709</v>
      </c>
      <c r="F228" s="5628">
        <f t="shared" si="1"/>
        <v>37000</v>
      </c>
      <c r="G228" s="2977"/>
      <c r="H228" s="2977"/>
      <c r="I228" s="2977"/>
      <c r="J228" s="2977"/>
      <c r="K228" s="5629">
        <v>0.24000000000000099</v>
      </c>
      <c r="L228" s="2977"/>
      <c r="M228" s="2977"/>
      <c r="N228" s="2977"/>
      <c r="O228" s="2977"/>
      <c r="P228" s="2977"/>
      <c r="Q228" s="2977"/>
      <c r="R228" s="2977"/>
      <c r="S228" s="5624"/>
      <c r="T228" s="1602"/>
      <c r="U228" s="1602"/>
      <c r="V228" s="1602"/>
    </row>
    <row r="229" spans="1:22" ht="12.75" customHeight="1">
      <c r="A229" s="78"/>
      <c r="B229" s="4249"/>
      <c r="C229" s="2977"/>
      <c r="D229" s="5628">
        <v>37000</v>
      </c>
      <c r="E229" s="4786" t="s">
        <v>709</v>
      </c>
      <c r="F229" s="5628">
        <f t="shared" si="1"/>
        <v>39000</v>
      </c>
      <c r="G229" s="2977"/>
      <c r="H229" s="2977"/>
      <c r="I229" s="2977"/>
      <c r="J229" s="2977"/>
      <c r="K229" s="5629">
        <v>0.23000000000000101</v>
      </c>
      <c r="L229" s="2977"/>
      <c r="M229" s="2977"/>
      <c r="N229" s="2977"/>
      <c r="O229" s="2977"/>
      <c r="P229" s="2977"/>
      <c r="Q229" s="2977"/>
      <c r="R229" s="2977"/>
      <c r="S229" s="5624"/>
      <c r="T229" s="1602"/>
      <c r="U229" s="1602"/>
      <c r="V229" s="1602"/>
    </row>
    <row r="230" spans="1:22" ht="12.75" customHeight="1">
      <c r="A230" s="78"/>
      <c r="B230" s="4249"/>
      <c r="C230" s="2977"/>
      <c r="D230" s="5628">
        <v>39000</v>
      </c>
      <c r="E230" s="4786" t="s">
        <v>709</v>
      </c>
      <c r="F230" s="5628">
        <f t="shared" si="1"/>
        <v>41000</v>
      </c>
      <c r="G230" s="2977"/>
      <c r="H230" s="2977"/>
      <c r="I230" s="2977"/>
      <c r="J230" s="2977"/>
      <c r="K230" s="5629">
        <v>0.220000000000001</v>
      </c>
      <c r="L230" s="2977"/>
      <c r="M230" s="2977"/>
      <c r="N230" s="2977"/>
      <c r="O230" s="2977"/>
      <c r="P230" s="2977"/>
      <c r="Q230" s="2977"/>
      <c r="R230" s="2977"/>
      <c r="S230" s="5624"/>
      <c r="T230" s="1602"/>
      <c r="U230" s="1602"/>
      <c r="V230" s="1602"/>
    </row>
    <row r="231" spans="1:22" ht="12.75" customHeight="1">
      <c r="A231" s="78"/>
      <c r="B231" s="4249"/>
      <c r="C231" s="2977"/>
      <c r="D231" s="5628">
        <v>41000</v>
      </c>
      <c r="E231" s="4786" t="s">
        <v>709</v>
      </c>
      <c r="F231" s="5628">
        <f t="shared" si="1"/>
        <v>43000</v>
      </c>
      <c r="G231" s="2977"/>
      <c r="H231" s="2977"/>
      <c r="I231" s="2977"/>
      <c r="J231" s="2977"/>
      <c r="K231" s="5629">
        <v>0.21000000000000099</v>
      </c>
      <c r="L231" s="2977"/>
      <c r="M231" s="2977"/>
      <c r="N231" s="2977"/>
      <c r="O231" s="2977"/>
      <c r="P231" s="2977"/>
      <c r="Q231" s="2977"/>
      <c r="R231" s="2977"/>
      <c r="S231" s="5624"/>
      <c r="T231" s="1602"/>
      <c r="U231" s="1602"/>
      <c r="V231" s="1602"/>
    </row>
    <row r="232" spans="1:22" ht="12.75" customHeight="1">
      <c r="A232" s="78"/>
      <c r="B232" s="4249"/>
      <c r="C232" s="2977"/>
      <c r="D232" s="5628">
        <v>43000</v>
      </c>
      <c r="E232" s="4786" t="s">
        <v>709</v>
      </c>
      <c r="F232" s="5628" t="s">
        <v>5329</v>
      </c>
      <c r="G232" s="2977"/>
      <c r="H232" s="2977"/>
      <c r="I232" s="2977"/>
      <c r="J232" s="2977"/>
      <c r="K232" s="5629">
        <v>0.20000000000000101</v>
      </c>
      <c r="L232" s="2977"/>
      <c r="M232" s="2977"/>
      <c r="N232" s="2977"/>
      <c r="O232" s="2977"/>
      <c r="P232" s="2977"/>
      <c r="Q232" s="2977"/>
      <c r="R232" s="2977"/>
      <c r="S232" s="5624"/>
      <c r="T232" s="1602"/>
      <c r="U232" s="1602"/>
      <c r="V232" s="1602"/>
    </row>
    <row r="233" spans="1:22" ht="9.75" customHeight="1">
      <c r="A233" s="78"/>
      <c r="B233" s="4249"/>
      <c r="C233" s="2977"/>
      <c r="D233" s="2977"/>
      <c r="E233" s="2977"/>
      <c r="F233" s="2977"/>
      <c r="G233" s="2977"/>
      <c r="H233" s="2977"/>
      <c r="I233" s="2977"/>
      <c r="J233" s="2977"/>
      <c r="K233" s="2977"/>
      <c r="L233" s="2977"/>
      <c r="M233" s="2977"/>
      <c r="N233" s="2977"/>
      <c r="O233" s="2977"/>
      <c r="P233" s="2977"/>
      <c r="Q233" s="2977"/>
      <c r="R233" s="2977"/>
      <c r="S233" s="5624"/>
      <c r="T233" s="1602"/>
      <c r="U233" s="1602"/>
      <c r="V233" s="1602"/>
    </row>
    <row r="234" spans="1:22">
      <c r="A234" s="78"/>
      <c r="B234" s="4249"/>
      <c r="C234" s="1419" t="s">
        <v>431</v>
      </c>
      <c r="D234" s="2977" t="s">
        <v>5333</v>
      </c>
      <c r="E234" s="2977"/>
      <c r="F234" s="2977"/>
      <c r="G234" s="2977"/>
      <c r="H234" s="2977"/>
      <c r="I234" s="2977"/>
      <c r="J234" s="2977"/>
      <c r="K234" s="2977"/>
      <c r="L234" s="2977"/>
      <c r="M234" s="2977"/>
      <c r="N234" s="2977"/>
      <c r="O234" s="2977"/>
      <c r="P234" s="2977"/>
      <c r="Q234" s="1419" t="s">
        <v>431</v>
      </c>
      <c r="R234" s="5594" t="str">
        <f>IF(OR(R197="",B209),"",ROUND(R209*R213,0))</f>
        <v/>
      </c>
      <c r="S234" s="5624"/>
      <c r="T234" s="1602"/>
      <c r="U234" s="1602"/>
      <c r="V234" s="1602"/>
    </row>
    <row r="235" spans="1:22">
      <c r="A235" s="78"/>
      <c r="B235" s="4249"/>
      <c r="C235" s="1419" t="s">
        <v>432</v>
      </c>
      <c r="D235" s="2977" t="s">
        <v>5334</v>
      </c>
      <c r="E235" s="2977"/>
      <c r="F235" s="2977"/>
      <c r="G235" s="2977"/>
      <c r="H235" s="2977"/>
      <c r="I235" s="2977"/>
      <c r="J235" s="2977"/>
      <c r="K235" s="2977"/>
      <c r="L235" s="2977"/>
      <c r="M235" s="2977"/>
      <c r="N235" s="2977"/>
      <c r="O235" s="2977"/>
      <c r="P235" s="2977"/>
      <c r="Q235" s="2977"/>
      <c r="R235" s="2977"/>
      <c r="S235" s="5624"/>
      <c r="T235" s="1602"/>
      <c r="U235" s="1602"/>
      <c r="V235" s="1602"/>
    </row>
    <row r="236" spans="1:22">
      <c r="A236" s="78"/>
      <c r="B236" s="4249"/>
      <c r="C236" s="1419"/>
      <c r="D236" s="2977"/>
      <c r="E236" s="2977"/>
      <c r="F236" s="2977"/>
      <c r="G236" s="2977"/>
      <c r="H236" s="2977"/>
      <c r="I236" s="2977"/>
      <c r="J236" s="2977"/>
      <c r="K236" s="2977"/>
      <c r="L236" s="2977"/>
      <c r="M236" s="2977"/>
      <c r="N236" s="2977"/>
      <c r="O236" s="2977"/>
      <c r="P236" s="2977"/>
      <c r="Q236" s="2977"/>
      <c r="R236" s="2977"/>
      <c r="S236" s="5624"/>
      <c r="T236" s="1602"/>
      <c r="U236" s="1602"/>
      <c r="V236" s="1602"/>
    </row>
    <row r="237" spans="1:22">
      <c r="A237" s="78"/>
      <c r="B237" s="5630"/>
      <c r="C237" s="5631"/>
      <c r="D237" s="8501"/>
      <c r="E237" s="8501"/>
      <c r="F237" s="8501"/>
      <c r="G237" s="8501"/>
      <c r="H237" s="8501"/>
      <c r="I237" s="8501"/>
      <c r="J237" s="8501"/>
      <c r="K237" s="8501"/>
      <c r="L237" s="8501"/>
      <c r="M237" s="8501"/>
      <c r="N237" s="8501"/>
      <c r="O237" s="8501"/>
      <c r="P237" s="8501"/>
      <c r="Q237" s="8501"/>
      <c r="R237" s="8501"/>
      <c r="S237" s="5632"/>
      <c r="T237" s="1602"/>
      <c r="U237" s="1602"/>
      <c r="V237" s="1602"/>
    </row>
    <row r="238" spans="1:22">
      <c r="A238" s="78"/>
      <c r="B238" s="4249"/>
      <c r="C238" s="2977"/>
      <c r="D238" s="2977"/>
      <c r="E238" s="2977"/>
      <c r="F238" s="2977"/>
      <c r="G238" s="2977"/>
      <c r="H238" s="2977"/>
      <c r="I238" s="2977"/>
      <c r="J238" s="2977"/>
      <c r="K238" s="2977"/>
      <c r="L238" s="2977"/>
      <c r="M238" s="2977"/>
      <c r="N238" s="2977"/>
      <c r="O238" s="2977"/>
      <c r="P238" s="2977"/>
      <c r="Q238" s="2977"/>
      <c r="R238" s="2977"/>
      <c r="S238" s="5624"/>
      <c r="T238" s="1602"/>
      <c r="U238" s="1602"/>
      <c r="V238" s="1602"/>
    </row>
    <row r="239" spans="1:22">
      <c r="A239" s="78"/>
      <c r="B239" s="4249"/>
      <c r="C239" s="1419" t="s">
        <v>433</v>
      </c>
      <c r="D239" s="2977" t="s">
        <v>5335</v>
      </c>
      <c r="E239" s="2977"/>
      <c r="F239" s="2977"/>
      <c r="G239" s="2977"/>
      <c r="H239" s="2977"/>
      <c r="I239" s="2977"/>
      <c r="J239" s="2977"/>
      <c r="K239" s="2977"/>
      <c r="L239" s="2977"/>
      <c r="M239" s="2977"/>
      <c r="N239" s="2977"/>
      <c r="O239" s="2977"/>
      <c r="P239" s="2977"/>
      <c r="Q239" s="2977"/>
      <c r="R239" s="2977"/>
      <c r="S239" s="5624"/>
      <c r="T239" s="1602"/>
      <c r="U239" s="1602"/>
      <c r="V239" s="1602"/>
    </row>
    <row r="240" spans="1:22">
      <c r="A240" s="78"/>
      <c r="B240" s="4249"/>
      <c r="C240" s="2977"/>
      <c r="D240" s="8501"/>
      <c r="E240" s="8501"/>
      <c r="F240" s="8501"/>
      <c r="G240" s="8501"/>
      <c r="H240" s="8501"/>
      <c r="I240" s="8501"/>
      <c r="J240" s="8501"/>
      <c r="K240" s="8501"/>
      <c r="L240" s="8501"/>
      <c r="M240" s="8501"/>
      <c r="N240" s="8501"/>
      <c r="O240" s="8501"/>
      <c r="P240" s="8501"/>
      <c r="Q240" s="8501"/>
      <c r="R240" s="8501"/>
      <c r="S240" s="5624"/>
      <c r="T240" s="1602"/>
      <c r="U240" s="1602"/>
      <c r="V240" s="1602"/>
    </row>
    <row r="241" spans="1:22">
      <c r="A241" s="78"/>
      <c r="B241" s="4249"/>
      <c r="C241" s="2977"/>
      <c r="D241" s="2977"/>
      <c r="E241" s="2977"/>
      <c r="F241" s="2977"/>
      <c r="G241" s="2977"/>
      <c r="H241" s="2977"/>
      <c r="I241" s="2977"/>
      <c r="J241" s="2977"/>
      <c r="K241" s="2977"/>
      <c r="L241" s="2977"/>
      <c r="M241" s="2977"/>
      <c r="N241" s="2977"/>
      <c r="O241" s="2977"/>
      <c r="P241" s="2977"/>
      <c r="Q241" s="2977"/>
      <c r="R241" s="2977"/>
      <c r="S241" s="5624"/>
      <c r="T241" s="1602"/>
      <c r="U241" s="1602"/>
      <c r="V241" s="1602"/>
    </row>
    <row r="242" spans="1:22" ht="25.5" customHeight="1">
      <c r="A242" s="78"/>
      <c r="B242" s="4249"/>
      <c r="C242" s="2977" t="s">
        <v>5336</v>
      </c>
      <c r="D242" s="2977"/>
      <c r="E242" s="2977"/>
      <c r="F242" s="2977"/>
      <c r="G242" s="2977"/>
      <c r="H242" s="2977"/>
      <c r="I242" s="2977"/>
      <c r="J242" s="2977"/>
      <c r="K242" s="2977"/>
      <c r="L242" s="2977"/>
      <c r="M242" s="2977"/>
      <c r="N242" s="2977"/>
      <c r="O242" s="2977"/>
      <c r="P242" s="2977"/>
      <c r="Q242" s="2977"/>
      <c r="R242" s="2977"/>
      <c r="S242" s="5624"/>
      <c r="T242" s="1602"/>
      <c r="U242" s="1602"/>
      <c r="V242" s="1602"/>
    </row>
    <row r="243" spans="1:22" ht="25.5" customHeight="1">
      <c r="A243" s="78"/>
      <c r="B243" s="4249"/>
      <c r="C243" s="2977" t="s">
        <v>5337</v>
      </c>
      <c r="D243" s="2977"/>
      <c r="E243" s="2977"/>
      <c r="F243" s="2977"/>
      <c r="G243" s="2977"/>
      <c r="H243" s="2977"/>
      <c r="I243" s="2977"/>
      <c r="J243" s="2977"/>
      <c r="K243" s="2977"/>
      <c r="L243" s="2977"/>
      <c r="M243" s="2977"/>
      <c r="N243" s="2977"/>
      <c r="O243" s="2977"/>
      <c r="P243" s="2977"/>
      <c r="Q243" s="2977"/>
      <c r="R243" s="2977"/>
      <c r="S243" s="5624"/>
      <c r="T243" s="1602"/>
      <c r="U243" s="1602"/>
      <c r="V243" s="1602"/>
    </row>
    <row r="244" spans="1:22" ht="12.75" customHeight="1">
      <c r="A244" s="78"/>
      <c r="B244" s="4249"/>
      <c r="C244" s="2977" t="s">
        <v>5338</v>
      </c>
      <c r="D244" s="2977"/>
      <c r="E244" s="2977"/>
      <c r="F244" s="2977"/>
      <c r="G244" s="2977"/>
      <c r="H244" s="2977"/>
      <c r="I244" s="2977"/>
      <c r="J244" s="2977"/>
      <c r="K244" s="2977"/>
      <c r="L244" s="2977"/>
      <c r="M244" s="2977"/>
      <c r="N244" s="2977"/>
      <c r="O244" s="2977"/>
      <c r="P244" s="2977"/>
      <c r="Q244" s="2977"/>
      <c r="R244" s="2977"/>
      <c r="S244" s="5624"/>
      <c r="T244" s="1602"/>
      <c r="U244" s="1602"/>
      <c r="V244" s="1602"/>
    </row>
    <row r="245" spans="1:22">
      <c r="A245" s="78"/>
      <c r="B245" s="4249"/>
      <c r="C245" s="2977" t="s">
        <v>5339</v>
      </c>
      <c r="D245" s="2977"/>
      <c r="E245" s="2977"/>
      <c r="F245" s="2977"/>
      <c r="G245" s="2977"/>
      <c r="H245" s="2977"/>
      <c r="I245" s="2977"/>
      <c r="J245" s="2977"/>
      <c r="K245" s="2977"/>
      <c r="L245" s="2977"/>
      <c r="M245" s="2977"/>
      <c r="N245" s="2977"/>
      <c r="O245" s="2977"/>
      <c r="P245" s="2977"/>
      <c r="Q245" s="2977"/>
      <c r="R245" s="2977"/>
      <c r="S245" s="5624"/>
      <c r="T245" s="1602"/>
      <c r="U245" s="1602"/>
      <c r="V245" s="1602"/>
    </row>
    <row r="246" spans="1:22">
      <c r="A246" s="78"/>
      <c r="B246" s="4249"/>
      <c r="C246" s="2977"/>
      <c r="D246" s="2977"/>
      <c r="E246" s="2977"/>
      <c r="F246" s="2977"/>
      <c r="G246" s="2977"/>
      <c r="H246" s="2977"/>
      <c r="I246" s="2977"/>
      <c r="J246" s="2977"/>
      <c r="K246" s="2977"/>
      <c r="L246" s="2977"/>
      <c r="M246" s="2977"/>
      <c r="N246" s="2977"/>
      <c r="O246" s="2977"/>
      <c r="P246" s="2977"/>
      <c r="Q246" s="2977"/>
      <c r="R246" s="2977"/>
      <c r="S246" s="5624"/>
      <c r="T246" s="1602"/>
      <c r="U246" s="1602"/>
      <c r="V246" s="1602"/>
    </row>
    <row r="247" spans="1:22">
      <c r="A247" s="78"/>
      <c r="B247" s="5633"/>
      <c r="C247" s="5634"/>
      <c r="D247" s="5634"/>
      <c r="E247" s="5634"/>
      <c r="F247" s="5634"/>
      <c r="G247" s="5634"/>
      <c r="H247" s="5634"/>
      <c r="I247" s="5634"/>
      <c r="J247" s="5634"/>
      <c r="K247" s="5634"/>
      <c r="L247" s="5634"/>
      <c r="M247" s="5634"/>
      <c r="N247" s="5634"/>
      <c r="O247" s="5634"/>
      <c r="P247" s="5634"/>
      <c r="Q247" s="5634"/>
      <c r="R247" s="5634"/>
      <c r="S247" s="5635"/>
      <c r="T247" s="1602"/>
      <c r="U247" s="1602"/>
      <c r="V247" s="1602"/>
    </row>
    <row r="248" spans="1:22">
      <c r="A248" s="78"/>
      <c r="B248" s="78"/>
      <c r="C248" s="78"/>
      <c r="D248" s="78"/>
      <c r="E248" s="78"/>
      <c r="F248" s="78"/>
      <c r="G248" s="78"/>
      <c r="H248" s="78"/>
      <c r="I248" s="78"/>
      <c r="J248" s="78"/>
      <c r="K248" s="78"/>
      <c r="L248" s="78"/>
      <c r="M248" s="78"/>
      <c r="N248" s="78"/>
      <c r="O248" s="78"/>
      <c r="P248" s="78"/>
      <c r="Q248" s="78"/>
      <c r="R248" s="78"/>
      <c r="S248" s="78"/>
      <c r="T248" s="78"/>
      <c r="U248" s="78"/>
      <c r="V248" s="1602"/>
    </row>
    <row r="249" spans="1:22" ht="13.5" thickBot="1">
      <c r="A249"/>
    </row>
    <row r="250" spans="1:22" ht="14.25" thickTop="1" thickBot="1">
      <c r="B250" s="1659"/>
      <c r="C250" s="8427" t="s">
        <v>1186</v>
      </c>
      <c r="D250" s="8428"/>
      <c r="E250" s="8428"/>
      <c r="F250" s="8428"/>
      <c r="G250" s="8428"/>
      <c r="H250" s="8428"/>
      <c r="I250" s="8429"/>
      <c r="J250" s="1659"/>
      <c r="K250" s="1659"/>
      <c r="L250" s="1659"/>
      <c r="M250" s="1659"/>
      <c r="N250" s="1659"/>
      <c r="O250" s="1659"/>
      <c r="P250" s="1659"/>
      <c r="Q250" s="1659"/>
      <c r="R250" s="1659"/>
      <c r="S250" s="1659"/>
    </row>
    <row r="251" spans="1:22" ht="14.25" thickTop="1" thickBot="1">
      <c r="B251" s="1659"/>
      <c r="C251" s="1659"/>
      <c r="D251" s="1659"/>
      <c r="E251" s="1659"/>
      <c r="F251" s="1659"/>
      <c r="G251" s="1659"/>
      <c r="H251" s="1659"/>
      <c r="I251" s="1659"/>
      <c r="J251" s="1659"/>
      <c r="K251" s="1659"/>
      <c r="L251" s="1659"/>
      <c r="M251" s="1659"/>
      <c r="N251" s="1659"/>
      <c r="O251" s="1659"/>
      <c r="P251" s="1659"/>
      <c r="Q251" s="1659"/>
      <c r="R251" s="1659"/>
      <c r="S251" s="1659"/>
    </row>
    <row r="252" spans="1:22" ht="14.25" thickTop="1" thickBot="1">
      <c r="B252" s="1659"/>
      <c r="C252" s="8427" t="s">
        <v>1187</v>
      </c>
      <c r="D252" s="8428"/>
      <c r="E252" s="8428"/>
      <c r="F252" s="8428"/>
      <c r="G252" s="8428"/>
      <c r="H252" s="8428"/>
      <c r="I252" s="8429"/>
      <c r="J252" s="1659"/>
      <c r="K252" s="1659"/>
      <c r="L252" s="1659"/>
      <c r="M252" s="1659"/>
      <c r="N252" s="1659"/>
      <c r="O252" s="1659"/>
      <c r="P252" s="1659"/>
      <c r="Q252" s="1659"/>
      <c r="R252" s="1659"/>
      <c r="S252" s="1659"/>
    </row>
    <row r="253" spans="1:22" ht="13.5" thickTop="1"/>
  </sheetData>
  <sheetProtection password="F7BE" sheet="1" objects="1" scenarios="1"/>
  <mergeCells count="227">
    <mergeCell ref="L171:O171"/>
    <mergeCell ref="P171:S171"/>
    <mergeCell ref="AA26:AC28"/>
    <mergeCell ref="AA29:AC31"/>
    <mergeCell ref="AA36:AC37"/>
    <mergeCell ref="P167:S167"/>
    <mergeCell ref="B162:F162"/>
    <mergeCell ref="G162:K162"/>
    <mergeCell ref="L162:O162"/>
    <mergeCell ref="P162:S162"/>
    <mergeCell ref="B163:F163"/>
    <mergeCell ref="G163:K163"/>
    <mergeCell ref="L163:O163"/>
    <mergeCell ref="P163:S163"/>
    <mergeCell ref="B164:F164"/>
    <mergeCell ref="G164:K164"/>
    <mergeCell ref="L164:O164"/>
    <mergeCell ref="P164:S164"/>
    <mergeCell ref="L158:O160"/>
    <mergeCell ref="P158:S158"/>
    <mergeCell ref="L132:N132"/>
    <mergeCell ref="O132:Q133"/>
    <mergeCell ref="R132:S132"/>
    <mergeCell ref="L133:N133"/>
    <mergeCell ref="L168:O168"/>
    <mergeCell ref="P168:S168"/>
    <mergeCell ref="B169:F169"/>
    <mergeCell ref="G169:K169"/>
    <mergeCell ref="L169:O169"/>
    <mergeCell ref="P169:S169"/>
    <mergeCell ref="B165:F165"/>
    <mergeCell ref="G165:K165"/>
    <mergeCell ref="L165:O165"/>
    <mergeCell ref="P165:S165"/>
    <mergeCell ref="B166:F166"/>
    <mergeCell ref="G166:K166"/>
    <mergeCell ref="L166:O166"/>
    <mergeCell ref="P166:S166"/>
    <mergeCell ref="B167:F167"/>
    <mergeCell ref="L40:O40"/>
    <mergeCell ref="P40:S40"/>
    <mergeCell ref="M48:P48"/>
    <mergeCell ref="R55:S55"/>
    <mergeCell ref="L41:O41"/>
    <mergeCell ref="R46:S46"/>
    <mergeCell ref="R47:S47"/>
    <mergeCell ref="G135:K135"/>
    <mergeCell ref="D240:R240"/>
    <mergeCell ref="D237:R237"/>
    <mergeCell ref="N200:O200"/>
    <mergeCell ref="Q128:S128"/>
    <mergeCell ref="R74:S74"/>
    <mergeCell ref="M79:P79"/>
    <mergeCell ref="M80:P80"/>
    <mergeCell ref="M81:P81"/>
    <mergeCell ref="M87:P87"/>
    <mergeCell ref="M91:P91"/>
    <mergeCell ref="M97:P97"/>
    <mergeCell ref="P136:P137"/>
    <mergeCell ref="P138:P139"/>
    <mergeCell ref="P140:P141"/>
    <mergeCell ref="P142:P143"/>
    <mergeCell ref="P144:P145"/>
    <mergeCell ref="M102:P102"/>
    <mergeCell ref="G149:K149"/>
    <mergeCell ref="B150:F151"/>
    <mergeCell ref="G150:K150"/>
    <mergeCell ref="P150:P151"/>
    <mergeCell ref="R150:S151"/>
    <mergeCell ref="B170:F170"/>
    <mergeCell ref="G170:K170"/>
    <mergeCell ref="L170:O170"/>
    <mergeCell ref="P170:S170"/>
    <mergeCell ref="P159:S159"/>
    <mergeCell ref="P160:S160"/>
    <mergeCell ref="B161:F161"/>
    <mergeCell ref="G161:K161"/>
    <mergeCell ref="L161:O161"/>
    <mergeCell ref="P161:S161"/>
    <mergeCell ref="L167:O167"/>
    <mergeCell ref="B136:F137"/>
    <mergeCell ref="G136:K136"/>
    <mergeCell ref="G137:K137"/>
    <mergeCell ref="B134:F135"/>
    <mergeCell ref="B140:F141"/>
    <mergeCell ref="G140:K140"/>
    <mergeCell ref="P146:P147"/>
    <mergeCell ref="O16:Q17"/>
    <mergeCell ref="L16:N16"/>
    <mergeCell ref="L17:N17"/>
    <mergeCell ref="L36:O38"/>
    <mergeCell ref="P36:S36"/>
    <mergeCell ref="P37:S37"/>
    <mergeCell ref="P38:S38"/>
    <mergeCell ref="O8:S8"/>
    <mergeCell ref="O9:S9"/>
    <mergeCell ref="P18:P19"/>
    <mergeCell ref="P20:P21"/>
    <mergeCell ref="P22:P23"/>
    <mergeCell ref="L19:N19"/>
    <mergeCell ref="L21:N21"/>
    <mergeCell ref="L23:N23"/>
    <mergeCell ref="G16:K16"/>
    <mergeCell ref="G17:K17"/>
    <mergeCell ref="AA34:AC35"/>
    <mergeCell ref="AA115:AE119"/>
    <mergeCell ref="F3:L4"/>
    <mergeCell ref="F5:L5"/>
    <mergeCell ref="F6:L6"/>
    <mergeCell ref="F7:L7"/>
    <mergeCell ref="J28:K29"/>
    <mergeCell ref="B22:F23"/>
    <mergeCell ref="G22:K22"/>
    <mergeCell ref="B41:F41"/>
    <mergeCell ref="G41:K41"/>
    <mergeCell ref="C4:E5"/>
    <mergeCell ref="R3:S3"/>
    <mergeCell ref="R4:S5"/>
    <mergeCell ref="R6:S6"/>
    <mergeCell ref="R7:S7"/>
    <mergeCell ref="B4:B5"/>
    <mergeCell ref="R16:S16"/>
    <mergeCell ref="R18:S19"/>
    <mergeCell ref="R20:S21"/>
    <mergeCell ref="P39:S39"/>
    <mergeCell ref="L39:O39"/>
    <mergeCell ref="C250:I250"/>
    <mergeCell ref="C252:I252"/>
    <mergeCell ref="B144:F145"/>
    <mergeCell ref="G144:K144"/>
    <mergeCell ref="G145:K145"/>
    <mergeCell ref="B142:F143"/>
    <mergeCell ref="G142:K142"/>
    <mergeCell ref="B146:F147"/>
    <mergeCell ref="G146:K146"/>
    <mergeCell ref="G147:K147"/>
    <mergeCell ref="G143:K143"/>
    <mergeCell ref="G151:K151"/>
    <mergeCell ref="B152:F153"/>
    <mergeCell ref="G152:K152"/>
    <mergeCell ref="G153:K153"/>
    <mergeCell ref="G167:K167"/>
    <mergeCell ref="B148:F149"/>
    <mergeCell ref="G148:K148"/>
    <mergeCell ref="B171:F171"/>
    <mergeCell ref="G171:K171"/>
    <mergeCell ref="B156:B157"/>
    <mergeCell ref="C156:K157"/>
    <mergeCell ref="B168:F168"/>
    <mergeCell ref="G168:K168"/>
    <mergeCell ref="B138:F139"/>
    <mergeCell ref="G138:K138"/>
    <mergeCell ref="G139:K139"/>
    <mergeCell ref="C124:E125"/>
    <mergeCell ref="F25:I26"/>
    <mergeCell ref="B18:F19"/>
    <mergeCell ref="G18:K18"/>
    <mergeCell ref="G19:K19"/>
    <mergeCell ref="G39:K39"/>
    <mergeCell ref="G23:K23"/>
    <mergeCell ref="F27:I27"/>
    <mergeCell ref="B39:F39"/>
    <mergeCell ref="B20:F21"/>
    <mergeCell ref="G20:K20"/>
    <mergeCell ref="G21:K21"/>
    <mergeCell ref="B40:F40"/>
    <mergeCell ref="G40:K40"/>
    <mergeCell ref="G134:K134"/>
    <mergeCell ref="R88:S88"/>
    <mergeCell ref="R57:S57"/>
    <mergeCell ref="R22:S23"/>
    <mergeCell ref="R43:S43"/>
    <mergeCell ref="R44:S44"/>
    <mergeCell ref="R49:S49"/>
    <mergeCell ref="P41:S41"/>
    <mergeCell ref="R42:S42"/>
    <mergeCell ref="R89:S89"/>
    <mergeCell ref="R80:S80"/>
    <mergeCell ref="R81:S81"/>
    <mergeCell ref="R82:S82"/>
    <mergeCell ref="R83:S83"/>
    <mergeCell ref="R84:S84"/>
    <mergeCell ref="R65:S65"/>
    <mergeCell ref="R73:S73"/>
    <mergeCell ref="R75:S75"/>
    <mergeCell ref="R76:S76"/>
    <mergeCell ref="R77:S77"/>
    <mergeCell ref="R61:S61"/>
    <mergeCell ref="R117:S117"/>
    <mergeCell ref="R119:S119"/>
    <mergeCell ref="R121:S121"/>
    <mergeCell ref="R124:S125"/>
    <mergeCell ref="W7:X7"/>
    <mergeCell ref="R106:S106"/>
    <mergeCell ref="R109:S109"/>
    <mergeCell ref="R114:S114"/>
    <mergeCell ref="R115:S115"/>
    <mergeCell ref="R101:S101"/>
    <mergeCell ref="W8:X8"/>
    <mergeCell ref="W9:X9"/>
    <mergeCell ref="W10:X10"/>
    <mergeCell ref="W11:X11"/>
    <mergeCell ref="W12:X12"/>
    <mergeCell ref="W13:X13"/>
    <mergeCell ref="W14:X14"/>
    <mergeCell ref="W15:X15"/>
    <mergeCell ref="W16:X16"/>
    <mergeCell ref="W17:X17"/>
    <mergeCell ref="R85:S85"/>
    <mergeCell ref="R86:S86"/>
    <mergeCell ref="R104:S104"/>
    <mergeCell ref="R87:S87"/>
    <mergeCell ref="P152:P153"/>
    <mergeCell ref="R152:S153"/>
    <mergeCell ref="G124:Q124"/>
    <mergeCell ref="G125:Q125"/>
    <mergeCell ref="R134:S135"/>
    <mergeCell ref="R136:S137"/>
    <mergeCell ref="R138:S139"/>
    <mergeCell ref="R140:S141"/>
    <mergeCell ref="R142:S143"/>
    <mergeCell ref="R144:S145"/>
    <mergeCell ref="G141:K141"/>
    <mergeCell ref="R146:S147"/>
    <mergeCell ref="P148:P149"/>
    <mergeCell ref="R148:S149"/>
    <mergeCell ref="P134:P135"/>
  </mergeCells>
  <conditionalFormatting sqref="B10:B11">
    <cfRule type="expression" dxfId="1294" priority="262">
      <formula>OR($X$18,$X$19)</formula>
    </cfRule>
  </conditionalFormatting>
  <conditionalFormatting sqref="B20:K23">
    <cfRule type="expression" dxfId="1293" priority="187">
      <formula>IF(NoColor,1,0)</formula>
    </cfRule>
  </conditionalFormatting>
  <conditionalFormatting sqref="B39:L41">
    <cfRule type="expression" dxfId="1292" priority="136">
      <formula>IF(NoColor,1,0)</formula>
    </cfRule>
  </conditionalFormatting>
  <conditionalFormatting sqref="B161:L171">
    <cfRule type="expression" dxfId="1291" priority="27">
      <formula>IF(NoColor,1,0)</formula>
    </cfRule>
  </conditionalFormatting>
  <conditionalFormatting sqref="B18:N18">
    <cfRule type="expression" dxfId="1290" priority="183">
      <formula>IF(NoColor,1,0)</formula>
    </cfRule>
  </conditionalFormatting>
  <conditionalFormatting sqref="B9:O9">
    <cfRule type="expression" dxfId="1289" priority="359">
      <formula>IF(NoColor,1,0)</formula>
    </cfRule>
  </conditionalFormatting>
  <conditionalFormatting sqref="B134:O153">
    <cfRule type="expression" dxfId="1288" priority="52">
      <formula>IF(NoColor,1,0)</formula>
    </cfRule>
  </conditionalFormatting>
  <conditionalFormatting sqref="B128:Q128">
    <cfRule type="expression" dxfId="1287" priority="193">
      <formula>NoColor</formula>
    </cfRule>
  </conditionalFormatting>
  <conditionalFormatting sqref="C99">
    <cfRule type="expression" dxfId="1286" priority="327">
      <formula>IF(NoColor,1,0)</formula>
    </cfRule>
  </conditionalFormatting>
  <conditionalFormatting sqref="C101">
    <cfRule type="expression" dxfId="1285" priority="326">
      <formula>IF(NoColor,1,0)</formula>
    </cfRule>
  </conditionalFormatting>
  <conditionalFormatting sqref="D175">
    <cfRule type="expression" dxfId="1284" priority="25">
      <formula>R60</formula>
    </cfRule>
  </conditionalFormatting>
  <conditionalFormatting sqref="D209">
    <cfRule type="expression" dxfId="1283" priority="130">
      <formula>$B$209</formula>
    </cfRule>
  </conditionalFormatting>
  <conditionalFormatting sqref="D237:R237">
    <cfRule type="expression" dxfId="1282" priority="11">
      <formula>NoColor</formula>
    </cfRule>
  </conditionalFormatting>
  <conditionalFormatting sqref="D240:R240">
    <cfRule type="expression" dxfId="1281" priority="10">
      <formula>NoColor</formula>
    </cfRule>
  </conditionalFormatting>
  <conditionalFormatting sqref="H116">
    <cfRule type="expression" dxfId="1280" priority="222">
      <formula>AND($R$117&lt;&gt;"",$R$117&lt;=0)</formula>
    </cfRule>
  </conditionalFormatting>
  <conditionalFormatting sqref="L21">
    <cfRule type="expression" dxfId="1279" priority="2">
      <formula>IF(NoColor,1,0)</formula>
    </cfRule>
  </conditionalFormatting>
  <conditionalFormatting sqref="L23">
    <cfRule type="expression" dxfId="1278" priority="1">
      <formula>IF(NoColor,1,0)</formula>
    </cfRule>
  </conditionalFormatting>
  <conditionalFormatting sqref="L25">
    <cfRule type="expression" dxfId="1277" priority="357">
      <formula>IF(NoColor,1,0)</formula>
    </cfRule>
  </conditionalFormatting>
  <conditionalFormatting sqref="L27">
    <cfRule type="expression" dxfId="1276" priority="343">
      <formula>IF(NoColor,1,0)</formula>
    </cfRule>
  </conditionalFormatting>
  <conditionalFormatting sqref="L20:N20">
    <cfRule type="expression" dxfId="1275" priority="146">
      <formula>IF(NoColor,1,0)</formula>
    </cfRule>
  </conditionalFormatting>
  <conditionalFormatting sqref="L22:N22">
    <cfRule type="expression" dxfId="1274" priority="144">
      <formula>IF(NoColor,1,0)</formula>
    </cfRule>
  </conditionalFormatting>
  <conditionalFormatting sqref="M48">
    <cfRule type="expression" dxfId="1273" priority="347">
      <formula>IF(NoColor,1,0)</formula>
    </cfRule>
  </conditionalFormatting>
  <conditionalFormatting sqref="M79:M81">
    <cfRule type="expression" dxfId="1272" priority="306">
      <formula>IF(NoColor,1,0)</formula>
    </cfRule>
  </conditionalFormatting>
  <conditionalFormatting sqref="M87">
    <cfRule type="expression" dxfId="1271" priority="333">
      <formula>IF(NoColor,1,0)</formula>
    </cfRule>
  </conditionalFormatting>
  <conditionalFormatting sqref="M91">
    <cfRule type="expression" dxfId="1270" priority="329">
      <formula>IF(NoColor,1,0)</formula>
    </cfRule>
  </conditionalFormatting>
  <conditionalFormatting sqref="M97">
    <cfRule type="expression" dxfId="1269" priority="328">
      <formula>IF(NoColor,1,0)</formula>
    </cfRule>
  </conditionalFormatting>
  <conditionalFormatting sqref="M102">
    <cfRule type="expression" dxfId="1268" priority="321">
      <formula>IF(NoColor,1,0)</formula>
    </cfRule>
  </conditionalFormatting>
  <conditionalFormatting sqref="M208">
    <cfRule type="expression" dxfId="1267" priority="129">
      <formula>$B$209</formula>
    </cfRule>
  </conditionalFormatting>
  <conditionalFormatting sqref="O18:O23">
    <cfRule type="expression" dxfId="1266" priority="142">
      <formula>IF(NoColor,1,0)</formula>
    </cfRule>
  </conditionalFormatting>
  <conditionalFormatting sqref="P18">
    <cfRule type="expression" dxfId="1265" priority="169">
      <formula>IF(NoColor,1,0)</formula>
    </cfRule>
  </conditionalFormatting>
  <conditionalFormatting sqref="P20">
    <cfRule type="expression" dxfId="1264" priority="139">
      <formula>IF(NoColor,1,0)</formula>
    </cfRule>
  </conditionalFormatting>
  <conditionalFormatting sqref="P22">
    <cfRule type="expression" dxfId="1263" priority="138">
      <formula>IF(NoColor,1,0)</formula>
    </cfRule>
  </conditionalFormatting>
  <conditionalFormatting sqref="P39:P41">
    <cfRule type="expression" dxfId="1262" priority="135">
      <formula>IF(NoColor,1,0)</formula>
    </cfRule>
  </conditionalFormatting>
  <conditionalFormatting sqref="P134">
    <cfRule type="expression" dxfId="1261" priority="108">
      <formula>IF(NoColor,1,0)</formula>
    </cfRule>
  </conditionalFormatting>
  <conditionalFormatting sqref="P136">
    <cfRule type="expression" dxfId="1260" priority="99">
      <formula>IF(NoColor,1,0)</formula>
    </cfRule>
  </conditionalFormatting>
  <conditionalFormatting sqref="P138">
    <cfRule type="expression" dxfId="1259" priority="98">
      <formula>IF(NoColor,1,0)</formula>
    </cfRule>
  </conditionalFormatting>
  <conditionalFormatting sqref="P140">
    <cfRule type="expression" dxfId="1258" priority="83">
      <formula>IF(NoColor,1,0)</formula>
    </cfRule>
  </conditionalFormatting>
  <conditionalFormatting sqref="P142">
    <cfRule type="expression" dxfId="1257" priority="82">
      <formula>IF(NoColor,1,0)</formula>
    </cfRule>
  </conditionalFormatting>
  <conditionalFormatting sqref="P144">
    <cfRule type="expression" dxfId="1256" priority="74">
      <formula>IF(NoColor,1,0)</formula>
    </cfRule>
  </conditionalFormatting>
  <conditionalFormatting sqref="P146">
    <cfRule type="expression" dxfId="1255" priority="65">
      <formula>IF(NoColor,1,0)</formula>
    </cfRule>
  </conditionalFormatting>
  <conditionalFormatting sqref="P148">
    <cfRule type="expression" dxfId="1254" priority="64">
      <formula>IF(NoColor,1,0)</formula>
    </cfRule>
  </conditionalFormatting>
  <conditionalFormatting sqref="P150">
    <cfRule type="expression" dxfId="1253" priority="49">
      <formula>IF(NoColor,1,0)</formula>
    </cfRule>
  </conditionalFormatting>
  <conditionalFormatting sqref="P152">
    <cfRule type="expression" dxfId="1252" priority="48">
      <formula>IF(NoColor,1,0)</formula>
    </cfRule>
  </conditionalFormatting>
  <conditionalFormatting sqref="P161:P171">
    <cfRule type="expression" dxfId="1251" priority="26">
      <formula>IF(NoColor,1,0)</formula>
    </cfRule>
  </conditionalFormatting>
  <conditionalFormatting sqref="Q18:Q23">
    <cfRule type="expression" dxfId="1250" priority="140">
      <formula>IF(NoColor,1,0)</formula>
    </cfRule>
  </conditionalFormatting>
  <conditionalFormatting sqref="Q134:Q153">
    <cfRule type="expression" dxfId="1249" priority="50">
      <formula>IF(NoColor,1,0)</formula>
    </cfRule>
  </conditionalFormatting>
  <conditionalFormatting sqref="R11">
    <cfRule type="expression" dxfId="1248" priority="261">
      <formula>OR($X$18,$X$19)</formula>
    </cfRule>
  </conditionalFormatting>
  <conditionalFormatting sqref="R18 B19:L19">
    <cfRule type="expression" dxfId="1247" priority="358">
      <formula>IF(NoColor,1,0)</formula>
    </cfRule>
  </conditionalFormatting>
  <conditionalFormatting sqref="R20">
    <cfRule type="expression" dxfId="1246" priority="185">
      <formula>IF(NoColor,1,0)</formula>
    </cfRule>
  </conditionalFormatting>
  <conditionalFormatting sqref="R22">
    <cfRule type="expression" dxfId="1245" priority="276">
      <formula>IF(NoColor,1,0)</formula>
    </cfRule>
  </conditionalFormatting>
  <conditionalFormatting sqref="R43:R44">
    <cfRule type="expression" dxfId="1244" priority="272">
      <formula>IF(NoColor,1,0)</formula>
    </cfRule>
  </conditionalFormatting>
  <conditionalFormatting sqref="R46:R47">
    <cfRule type="expression" dxfId="1243" priority="270">
      <formula>IF(NoColor,1,0)</formula>
    </cfRule>
  </conditionalFormatting>
  <conditionalFormatting sqref="R55">
    <cfRule type="expression" dxfId="1242" priority="134">
      <formula>IF(NoColor,1,0)</formula>
    </cfRule>
  </conditionalFormatting>
  <conditionalFormatting sqref="R57">
    <cfRule type="expression" dxfId="1241" priority="268">
      <formula>IF(NoColor,1,0)</formula>
    </cfRule>
  </conditionalFormatting>
  <conditionalFormatting sqref="R61">
    <cfRule type="expression" dxfId="1240" priority="133">
      <formula>IF(NoColor,1,0)</formula>
    </cfRule>
  </conditionalFormatting>
  <conditionalFormatting sqref="R65">
    <cfRule type="expression" dxfId="1239" priority="267">
      <formula>IF(NoColor,1,0)</formula>
    </cfRule>
  </conditionalFormatting>
  <conditionalFormatting sqref="R73:R77">
    <cfRule type="expression" dxfId="1238" priority="119">
      <formula>IF(NoColor,1,0)</formula>
    </cfRule>
  </conditionalFormatting>
  <conditionalFormatting sqref="R80:R89">
    <cfRule type="expression" dxfId="1237" priority="4495">
      <formula>IF(AND($L$25="",$L$27&lt;&gt;"",$Z$18="",$Z$19="",File_Marr_Sep&lt;&gt;""),1,0)</formula>
    </cfRule>
  </conditionalFormatting>
  <conditionalFormatting sqref="R101">
    <cfRule type="expression" dxfId="1236" priority="325">
      <formula>IF(NoColor,1,0)</formula>
    </cfRule>
  </conditionalFormatting>
  <conditionalFormatting sqref="R104">
    <cfRule type="expression" dxfId="1235" priority="320">
      <formula>IF(NoColor,1,0)</formula>
    </cfRule>
  </conditionalFormatting>
  <conditionalFormatting sqref="R106">
    <cfRule type="expression" dxfId="1234" priority="319">
      <formula>IF(NoColor,1,0)</formula>
    </cfRule>
  </conditionalFormatting>
  <conditionalFormatting sqref="R109">
    <cfRule type="expression" dxfId="1233" priority="318">
      <formula>IF(NoColor,1,0)</formula>
    </cfRule>
  </conditionalFormatting>
  <conditionalFormatting sqref="R114:R115">
    <cfRule type="expression" dxfId="1232" priority="259">
      <formula>IF(NoColor,1,0)</formula>
    </cfRule>
  </conditionalFormatting>
  <conditionalFormatting sqref="R117">
    <cfRule type="expression" dxfId="1231" priority="258">
      <formula>IF(NoColor,1,0)</formula>
    </cfRule>
  </conditionalFormatting>
  <conditionalFormatting sqref="R119">
    <cfRule type="expression" dxfId="1230" priority="257">
      <formula>IF(NoColor,1,0)</formula>
    </cfRule>
  </conditionalFormatting>
  <conditionalFormatting sqref="R121">
    <cfRule type="expression" dxfId="1229" priority="309">
      <formula>IF(NoColor,1,0)</formula>
    </cfRule>
  </conditionalFormatting>
  <conditionalFormatting sqref="R134">
    <cfRule type="expression" dxfId="1228" priority="118">
      <formula>IF(NoColor,1,0)</formula>
    </cfRule>
  </conditionalFormatting>
  <conditionalFormatting sqref="R136">
    <cfRule type="expression" dxfId="1227" priority="112">
      <formula>IF(NoColor,1,0)</formula>
    </cfRule>
  </conditionalFormatting>
  <conditionalFormatting sqref="R138">
    <cfRule type="expression" dxfId="1226" priority="115">
      <formula>IF(NoColor,1,0)</formula>
    </cfRule>
  </conditionalFormatting>
  <conditionalFormatting sqref="R140">
    <cfRule type="expression" dxfId="1225" priority="94">
      <formula>IF(NoColor,1,0)</formula>
    </cfRule>
  </conditionalFormatting>
  <conditionalFormatting sqref="R142">
    <cfRule type="expression" dxfId="1224" priority="96">
      <formula>IF(NoColor,1,0)</formula>
    </cfRule>
  </conditionalFormatting>
  <conditionalFormatting sqref="R144">
    <cfRule type="expression" dxfId="1223" priority="81">
      <formula>IF(NoColor,1,0)</formula>
    </cfRule>
  </conditionalFormatting>
  <conditionalFormatting sqref="R146">
    <cfRule type="expression" dxfId="1222" priority="78">
      <formula>IF(NoColor,1,0)</formula>
    </cfRule>
  </conditionalFormatting>
  <conditionalFormatting sqref="R148">
    <cfRule type="expression" dxfId="1221" priority="80">
      <formula>IF(NoColor,1,0)</formula>
    </cfRule>
  </conditionalFormatting>
  <conditionalFormatting sqref="R150">
    <cfRule type="expression" dxfId="1220" priority="60">
      <formula>IF(NoColor,1,0)</formula>
    </cfRule>
  </conditionalFormatting>
  <conditionalFormatting sqref="R152">
    <cfRule type="expression" dxfId="1219" priority="62">
      <formula>IF(NoColor,1,0)</formula>
    </cfRule>
  </conditionalFormatting>
  <conditionalFormatting sqref="R178">
    <cfRule type="expression" dxfId="1218" priority="8">
      <formula>NoColor</formula>
    </cfRule>
  </conditionalFormatting>
  <conditionalFormatting sqref="R180">
    <cfRule type="expression" dxfId="1217" priority="7">
      <formula>NoColor</formula>
    </cfRule>
  </conditionalFormatting>
  <conditionalFormatting sqref="R182">
    <cfRule type="expression" dxfId="1216" priority="6">
      <formula>NoColor</formula>
    </cfRule>
  </conditionalFormatting>
  <conditionalFormatting sqref="R184">
    <cfRule type="expression" dxfId="1215" priority="5">
      <formula>NoColor</formula>
    </cfRule>
  </conditionalFormatting>
  <conditionalFormatting sqref="R187">
    <cfRule type="expression" dxfId="1214" priority="4">
      <formula>NoColor</formula>
    </cfRule>
  </conditionalFormatting>
  <conditionalFormatting sqref="R197:R200">
    <cfRule type="expression" dxfId="1213" priority="17">
      <formula>NoColor</formula>
    </cfRule>
  </conditionalFormatting>
  <conditionalFormatting sqref="R202:R203">
    <cfRule type="expression" dxfId="1212" priority="16">
      <formula>NoColor</formula>
    </cfRule>
  </conditionalFormatting>
  <conditionalFormatting sqref="R205:R207">
    <cfRule type="expression" dxfId="1211" priority="15">
      <formula>NoColor</formula>
    </cfRule>
  </conditionalFormatting>
  <conditionalFormatting sqref="R209">
    <cfRule type="expression" dxfId="1210" priority="14">
      <formula>NoColor</formula>
    </cfRule>
  </conditionalFormatting>
  <conditionalFormatting sqref="R211">
    <cfRule type="expression" dxfId="1209" priority="19">
      <formula>NoColor</formula>
    </cfRule>
  </conditionalFormatting>
  <conditionalFormatting sqref="R213">
    <cfRule type="expression" dxfId="1208" priority="13">
      <formula>NoColor</formula>
    </cfRule>
  </conditionalFormatting>
  <conditionalFormatting sqref="R234">
    <cfRule type="expression" dxfId="1207" priority="12">
      <formula>NoColor</formula>
    </cfRule>
  </conditionalFormatting>
  <conditionalFormatting sqref="S11">
    <cfRule type="expression" dxfId="1206" priority="264">
      <formula>NoColor</formula>
    </cfRule>
  </conditionalFormatting>
  <conditionalFormatting sqref="S13">
    <cfRule type="expression" dxfId="1205" priority="124">
      <formula>NoColor</formula>
    </cfRule>
  </conditionalFormatting>
  <conditionalFormatting sqref="S15">
    <cfRule type="expression" dxfId="1204" priority="188">
      <formula>NoColor</formula>
    </cfRule>
  </conditionalFormatting>
  <conditionalFormatting sqref="S35">
    <cfRule type="expression" dxfId="1203" priority="137">
      <formula>NoColor</formula>
    </cfRule>
  </conditionalFormatting>
  <conditionalFormatting sqref="S54">
    <cfRule type="expression" dxfId="1202" priority="3">
      <formula>NoColor</formula>
    </cfRule>
  </conditionalFormatting>
  <conditionalFormatting sqref="U33">
    <cfRule type="expression" dxfId="1201" priority="279">
      <formula>AND(File_Marr_Sep&lt;&gt;"",$Z$19&lt;&gt;"")</formula>
    </cfRule>
  </conditionalFormatting>
  <conditionalFormatting sqref="U155">
    <cfRule type="expression" dxfId="1200" priority="46">
      <formula>AND(File_Marr_Sep&lt;&gt;"",$Z$19&lt;&gt;"")</formula>
    </cfRule>
  </conditionalFormatting>
  <conditionalFormatting sqref="U200">
    <cfRule type="expression" dxfId="1199" priority="9">
      <formula>NoColor</formula>
    </cfRule>
  </conditionalFormatting>
  <conditionalFormatting sqref="W7:W17">
    <cfRule type="expression" dxfId="1198" priority="260">
      <formula>AND($Z$18="",$Z$19="",File_Marr_Sep&lt;&gt;"")</formula>
    </cfRule>
  </conditionalFormatting>
  <conditionalFormatting sqref="W45">
    <cfRule type="expression" dxfId="1197" priority="348">
      <formula>IF(File_Marr_Joint&lt;&gt;"",1,0)</formula>
    </cfRule>
  </conditionalFormatting>
  <conditionalFormatting sqref="W49:W52">
    <cfRule type="expression" dxfId="1196" priority="219">
      <formula>IF(File_Marr_Joint&lt;&gt;"",1,0)</formula>
    </cfRule>
  </conditionalFormatting>
  <conditionalFormatting sqref="W55:W56">
    <cfRule type="expression" dxfId="1195" priority="131">
      <formula>IF(File_Marr_Joint&lt;&gt;"",1,0)</formula>
    </cfRule>
  </conditionalFormatting>
  <conditionalFormatting sqref="W58:W60">
    <cfRule type="expression" dxfId="1194" priority="127">
      <formula>IF(File_Marr_Joint&lt;&gt;"",1,0)</formula>
    </cfRule>
  </conditionalFormatting>
  <conditionalFormatting sqref="W62:W64">
    <cfRule type="expression" dxfId="1193" priority="216">
      <formula>IF(File_Marr_Joint&lt;&gt;"",1,0)</formula>
    </cfRule>
  </conditionalFormatting>
  <conditionalFormatting sqref="W66:W71">
    <cfRule type="expression" dxfId="1192" priority="214">
      <formula>IF(File_Marr_Joint&lt;&gt;"",1,0)</formula>
    </cfRule>
  </conditionalFormatting>
  <conditionalFormatting sqref="W78">
    <cfRule type="expression" dxfId="1191" priority="212">
      <formula>IF(File_Marr_Joint&lt;&gt;"",1,0)</formula>
    </cfRule>
  </conditionalFormatting>
  <conditionalFormatting sqref="W82:W85">
    <cfRule type="expression" dxfId="1190" priority="211">
      <formula>IF(File_Marr_Joint&lt;&gt;"",1,0)</formula>
    </cfRule>
  </conditionalFormatting>
  <conditionalFormatting sqref="W88:W91">
    <cfRule type="expression" dxfId="1189" priority="210">
      <formula>IF(File_Marr_Joint&lt;&gt;"",1,0)</formula>
    </cfRule>
  </conditionalFormatting>
  <conditionalFormatting sqref="W98:W100">
    <cfRule type="expression" dxfId="1188" priority="208">
      <formula>AND($C$101&lt;&gt;"",File_Marr_Joint&lt;&gt;"")</formula>
    </cfRule>
  </conditionalFormatting>
  <conditionalFormatting sqref="W101">
    <cfRule type="expression" dxfId="1187" priority="209">
      <formula>AND($C$101&lt;&gt;"",File_Marr_Joint&lt;&gt;"")</formula>
    </cfRule>
  </conditionalFormatting>
  <conditionalFormatting sqref="W102:W104">
    <cfRule type="expression" dxfId="1186" priority="207">
      <formula>IF(File_Marr_Joint&lt;&gt;"",1,0)</formula>
    </cfRule>
  </conditionalFormatting>
  <conditionalFormatting sqref="W107">
    <cfRule type="expression" dxfId="1185" priority="206">
      <formula>IF(File_Marr_Joint&lt;&gt;"",1,0)</formula>
    </cfRule>
  </conditionalFormatting>
  <conditionalFormatting sqref="W110:W112">
    <cfRule type="expression" dxfId="1184" priority="205">
      <formula>IF(File_Marr_Joint&lt;&gt;"",1,0)</formula>
    </cfRule>
  </conditionalFormatting>
  <conditionalFormatting sqref="W115:W116">
    <cfRule type="expression" dxfId="1183" priority="203">
      <formula>IF(File_Marr_Joint&lt;&gt;"",1,0)</formula>
    </cfRule>
  </conditionalFormatting>
  <conditionalFormatting sqref="W118">
    <cfRule type="expression" dxfId="1182" priority="202">
      <formula>IF(File_Marr_Joint&lt;&gt;"",1,0)</formula>
    </cfRule>
  </conditionalFormatting>
  <conditionalFormatting sqref="W120">
    <cfRule type="expression" dxfId="1181" priority="201">
      <formula>IF(File_Marr_Joint&lt;&gt;"",1,0)</formula>
    </cfRule>
  </conditionalFormatting>
  <conditionalFormatting sqref="W122">
    <cfRule type="expression" dxfId="1180" priority="200">
      <formula>IF(File_Marr_Joint&lt;&gt;"",1,0)</formula>
    </cfRule>
  </conditionalFormatting>
  <conditionalFormatting sqref="W130:Z133 AF130:AG133 AA133:AE136">
    <cfRule type="expression" dxfId="1179" priority="294">
      <formula>AND($Z$18="",$Z$19="",File_Marr_Sep&lt;&gt;"")</formula>
    </cfRule>
  </conditionalFormatting>
  <conditionalFormatting sqref="Y2:AG21">
    <cfRule type="expression" dxfId="1178" priority="284">
      <formula>IF(File_Marr_Sep="",1,0)</formula>
    </cfRule>
  </conditionalFormatting>
  <hyperlinks>
    <hyperlink ref="C250:I250" r:id="rId1" display="Download Form 2441" xr:uid="{00000000-0004-0000-2500-000000000000}"/>
    <hyperlink ref="C252:I252" r:id="rId2" display="Download Form 2441 Instructions" xr:uid="{00000000-0004-0000-2500-000001000000}"/>
  </hyperlinks>
  <pageMargins left="0.5" right="0.25" top="0.36" bottom="0.28999999999999998" header="0.36" footer="0.21"/>
  <pageSetup scale="81" fitToHeight="0" orientation="portrait" r:id="rId3"/>
  <headerFooter alignWithMargins="0"/>
  <rowBreaks count="4" manualBreakCount="4">
    <brk id="66" min="1" max="18" man="1"/>
    <brk id="122" min="1" max="18" man="1"/>
    <brk id="171" min="1" max="18" man="1"/>
    <brk id="188" min="1" max="18" man="1"/>
  </rowBreaks>
  <drawing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BW235"/>
  <sheetViews>
    <sheetView zoomScaleNormal="100" zoomScaleSheetLayoutView="100" workbookViewId="0"/>
  </sheetViews>
  <sheetFormatPr defaultColWidth="9.140625" defaultRowHeight="12.75"/>
  <cols>
    <col min="1" max="1" width="3.7109375" style="42" customWidth="1"/>
    <col min="2" max="3" width="5" style="42" customWidth="1"/>
    <col min="4" max="19" width="3.7109375" style="42" customWidth="1"/>
    <col min="20" max="20" width="5" style="42" customWidth="1"/>
    <col min="21" max="21" width="2.85546875" style="42" customWidth="1"/>
    <col min="22" max="27" width="3.7109375" style="42" customWidth="1"/>
    <col min="28" max="28" width="4.42578125" style="42" customWidth="1"/>
    <col min="29" max="36" width="3.7109375" style="42" customWidth="1"/>
    <col min="37" max="37" width="9.140625" style="42"/>
    <col min="38" max="38" width="4.42578125" style="1779" customWidth="1"/>
    <col min="39" max="39" width="12.5703125" style="1779" customWidth="1"/>
    <col min="40" max="40" width="3.28515625" style="1779" customWidth="1"/>
    <col min="41" max="41" width="12.5703125" style="1779" customWidth="1"/>
    <col min="42" max="42" width="3.5703125" style="1779" customWidth="1"/>
    <col min="43" max="51" width="10.7109375" style="2595" customWidth="1"/>
    <col min="52" max="53" width="9.140625" style="1779"/>
    <col min="54" max="54" width="10" style="1779" customWidth="1"/>
    <col min="55" max="59" width="9.140625" style="1779"/>
    <col min="60" max="60" width="3.42578125" style="1779" customWidth="1"/>
    <col min="61" max="62" width="9.140625" style="1779"/>
    <col min="63" max="66" width="11.7109375" style="1779" customWidth="1"/>
    <col min="67" max="67" width="9.140625" style="1779" customWidth="1"/>
    <col min="68" max="75" width="9.140625" style="1779"/>
    <col min="76" max="16384" width="9.140625" style="42"/>
  </cols>
  <sheetData>
    <row r="1" spans="1:62" ht="17.25" customHeight="1">
      <c r="A1" s="1127"/>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276"/>
      <c r="AM1" s="1276"/>
      <c r="AN1" s="1276"/>
      <c r="AO1" s="1276"/>
      <c r="AP1" s="1276"/>
      <c r="AQ1" s="2594" t="s">
        <v>2033</v>
      </c>
      <c r="AR1" s="2594"/>
      <c r="AS1" s="2594"/>
      <c r="AT1" s="2594"/>
      <c r="AU1" s="2594"/>
      <c r="AV1" s="2594"/>
      <c r="AW1" s="2594"/>
      <c r="AX1" s="2594"/>
      <c r="AY1" s="2594"/>
    </row>
    <row r="2" spans="1:62" ht="18" customHeight="1">
      <c r="A2" s="1127"/>
      <c r="B2" s="1179"/>
      <c r="C2" s="1179"/>
      <c r="D2" s="8623" t="s">
        <v>1429</v>
      </c>
      <c r="E2" s="8624"/>
      <c r="F2" s="8624"/>
      <c r="G2" s="8624"/>
      <c r="H2" s="1244"/>
      <c r="I2" s="8625" t="s">
        <v>1428</v>
      </c>
      <c r="J2" s="6788"/>
      <c r="K2" s="6788"/>
      <c r="L2" s="6788"/>
      <c r="M2" s="6788"/>
      <c r="N2" s="6788"/>
      <c r="O2" s="6788"/>
      <c r="P2" s="6788"/>
      <c r="Q2" s="6788"/>
      <c r="R2" s="6788"/>
      <c r="S2" s="6788"/>
      <c r="T2" s="6788"/>
      <c r="U2" s="6788"/>
      <c r="V2" s="6788"/>
      <c r="W2" s="6788"/>
      <c r="X2" s="6788"/>
      <c r="Y2" s="6788"/>
      <c r="Z2" s="6788"/>
      <c r="AA2" s="6788"/>
      <c r="AB2" s="6789"/>
      <c r="AC2" s="8627" t="s">
        <v>152</v>
      </c>
      <c r="AD2" s="8628"/>
      <c r="AE2" s="8628"/>
      <c r="AF2" s="8628"/>
      <c r="AG2" s="8628"/>
      <c r="AH2" s="8628"/>
      <c r="AI2" s="8628"/>
      <c r="AJ2" s="8628"/>
      <c r="AK2" s="1127"/>
      <c r="AL2" s="1276"/>
      <c r="AM2" s="1276"/>
      <c r="AN2" s="1276"/>
      <c r="AO2" s="1276"/>
      <c r="AP2" s="1276"/>
    </row>
    <row r="3" spans="1:62" ht="24" customHeight="1" thickBot="1">
      <c r="A3" s="1127"/>
      <c r="B3" s="8629" t="s">
        <v>291</v>
      </c>
      <c r="C3" s="6406"/>
      <c r="D3" s="8624"/>
      <c r="E3" s="8624"/>
      <c r="F3" s="8624"/>
      <c r="G3" s="8624"/>
      <c r="H3" s="1244"/>
      <c r="I3" s="8626"/>
      <c r="J3" s="6788"/>
      <c r="K3" s="6788"/>
      <c r="L3" s="6788"/>
      <c r="M3" s="6788"/>
      <c r="N3" s="6788"/>
      <c r="O3" s="6788"/>
      <c r="P3" s="6788"/>
      <c r="Q3" s="6788"/>
      <c r="R3" s="6788"/>
      <c r="S3" s="6788"/>
      <c r="T3" s="6788"/>
      <c r="U3" s="6788"/>
      <c r="V3" s="6788"/>
      <c r="W3" s="6788"/>
      <c r="X3" s="6788"/>
      <c r="Y3" s="6788"/>
      <c r="Z3" s="6788"/>
      <c r="AA3" s="6788"/>
      <c r="AB3" s="6789"/>
      <c r="AC3" s="8630">
        <f>TaxYear</f>
        <v>2021</v>
      </c>
      <c r="AD3" s="8631"/>
      <c r="AE3" s="8631"/>
      <c r="AF3" s="8631"/>
      <c r="AG3" s="8631"/>
      <c r="AH3" s="8631"/>
      <c r="AI3" s="8631"/>
      <c r="AJ3" s="8631"/>
      <c r="AK3" s="1127"/>
      <c r="AL3" s="1276" t="s">
        <v>3276</v>
      </c>
      <c r="AM3" s="1276"/>
      <c r="AN3" s="1276"/>
      <c r="AO3" s="1276"/>
      <c r="AP3" s="1276"/>
    </row>
    <row r="4" spans="1:62" ht="13.5" customHeight="1" thickBot="1">
      <c r="A4" s="1127"/>
      <c r="B4" s="1179"/>
      <c r="C4" s="1179"/>
      <c r="D4" s="1179"/>
      <c r="E4" s="1179"/>
      <c r="F4" s="1179"/>
      <c r="G4" s="1179"/>
      <c r="H4" s="1244"/>
      <c r="I4" s="8634"/>
      <c r="J4" s="6371"/>
      <c r="K4" s="6371"/>
      <c r="L4" s="6371"/>
      <c r="M4" s="6371"/>
      <c r="N4" s="6371"/>
      <c r="O4" s="6371"/>
      <c r="P4" s="6371"/>
      <c r="Q4" s="6371"/>
      <c r="R4" s="6371"/>
      <c r="S4" s="6371"/>
      <c r="T4" s="6371"/>
      <c r="U4" s="6371"/>
      <c r="V4" s="6371"/>
      <c r="W4" s="6371"/>
      <c r="X4" s="6371"/>
      <c r="Y4" s="6371"/>
      <c r="Z4" s="6371"/>
      <c r="AA4" s="6371"/>
      <c r="AB4" s="6793"/>
      <c r="AC4" s="8632"/>
      <c r="AD4" s="8633"/>
      <c r="AE4" s="8633"/>
      <c r="AF4" s="8633"/>
      <c r="AG4" s="8633"/>
      <c r="AH4" s="8633"/>
      <c r="AI4" s="8633"/>
      <c r="AJ4" s="8633"/>
      <c r="AK4" s="1127"/>
      <c r="AL4" s="1257" t="s">
        <v>1202</v>
      </c>
      <c r="AM4" s="1276" t="s">
        <v>1720</v>
      </c>
      <c r="AN4" s="1276"/>
      <c r="AO4" s="1276"/>
      <c r="AP4" s="1276"/>
    </row>
    <row r="5" spans="1:62" ht="14.25" customHeight="1" thickBot="1">
      <c r="A5" s="1127"/>
      <c r="B5" s="1179" t="s">
        <v>176</v>
      </c>
      <c r="C5" s="1179"/>
      <c r="D5" s="1179"/>
      <c r="E5" s="1179"/>
      <c r="F5" s="1179"/>
      <c r="G5" s="1179"/>
      <c r="H5" s="1244"/>
      <c r="I5" s="8634" t="s">
        <v>3345</v>
      </c>
      <c r="J5" s="6371"/>
      <c r="K5" s="6371"/>
      <c r="L5" s="6371"/>
      <c r="M5" s="6371"/>
      <c r="N5" s="6371"/>
      <c r="O5" s="6371"/>
      <c r="P5" s="6371"/>
      <c r="Q5" s="6371"/>
      <c r="R5" s="6371"/>
      <c r="S5" s="6371"/>
      <c r="T5" s="6371"/>
      <c r="U5" s="6371"/>
      <c r="V5" s="6371"/>
      <c r="W5" s="6371"/>
      <c r="X5" s="6371"/>
      <c r="Y5" s="6371"/>
      <c r="Z5" s="6371"/>
      <c r="AA5" s="6371"/>
      <c r="AB5" s="6793"/>
      <c r="AC5" s="1278"/>
      <c r="AD5" s="8635" t="s">
        <v>2951</v>
      </c>
      <c r="AE5" s="8636"/>
      <c r="AF5" s="8636"/>
      <c r="AG5" s="8636"/>
      <c r="AH5" s="8637">
        <v>34</v>
      </c>
      <c r="AI5" s="8637"/>
      <c r="AJ5" s="1179"/>
      <c r="AK5" s="1127"/>
      <c r="AL5" s="1257"/>
      <c r="AM5" s="1276" t="s">
        <v>3275</v>
      </c>
      <c r="AN5" s="1276"/>
      <c r="AO5" s="1276"/>
      <c r="AP5" s="1276"/>
    </row>
    <row r="6" spans="1:62" ht="13.5" customHeight="1" thickBot="1">
      <c r="A6" s="1127"/>
      <c r="B6" s="1280" t="s">
        <v>395</v>
      </c>
      <c r="C6" s="1280"/>
      <c r="D6" s="1280"/>
      <c r="E6" s="1280"/>
      <c r="F6" s="1280"/>
      <c r="G6" s="1280"/>
      <c r="H6" s="1281"/>
      <c r="I6" s="8639" t="s">
        <v>2062</v>
      </c>
      <c r="J6" s="8640"/>
      <c r="K6" s="8640"/>
      <c r="L6" s="8640"/>
      <c r="M6" s="8640"/>
      <c r="N6" s="8640"/>
      <c r="O6" s="8640"/>
      <c r="P6" s="8640"/>
      <c r="Q6" s="8640"/>
      <c r="R6" s="8640"/>
      <c r="S6" s="8640"/>
      <c r="T6" s="8640"/>
      <c r="U6" s="8640"/>
      <c r="V6" s="8640"/>
      <c r="W6" s="8640"/>
      <c r="X6" s="8640"/>
      <c r="Y6" s="8640"/>
      <c r="Z6" s="8640"/>
      <c r="AA6" s="8640"/>
      <c r="AB6" s="8641"/>
      <c r="AC6" s="1550"/>
      <c r="AD6" s="8655" t="s">
        <v>2950</v>
      </c>
      <c r="AE6" s="8656"/>
      <c r="AF6" s="8656"/>
      <c r="AG6" s="8656"/>
      <c r="AH6" s="8638"/>
      <c r="AI6" s="8638"/>
      <c r="AJ6" s="1280"/>
      <c r="AK6" s="1127"/>
      <c r="AL6" s="1276"/>
      <c r="AM6" s="1276"/>
      <c r="AN6" s="1276"/>
      <c r="AO6" s="1276"/>
      <c r="AP6" s="1276"/>
    </row>
    <row r="7" spans="1:62" ht="16.5" customHeight="1" thickBot="1">
      <c r="A7" s="1127"/>
      <c r="B7" s="1774"/>
      <c r="C7" s="1774"/>
      <c r="D7" s="1774"/>
      <c r="E7" s="1774"/>
      <c r="F7" s="1774"/>
      <c r="G7" s="1774"/>
      <c r="H7" s="1774"/>
      <c r="I7" s="1774"/>
      <c r="J7" s="1774"/>
      <c r="K7" s="1774"/>
      <c r="L7" s="1774"/>
      <c r="M7" s="1774"/>
      <c r="N7" s="1774"/>
      <c r="O7" s="1774"/>
      <c r="P7" s="1774"/>
      <c r="Q7" s="1775" t="s">
        <v>1430</v>
      </c>
      <c r="R7" s="1774"/>
      <c r="S7" s="1774"/>
      <c r="T7" s="1774"/>
      <c r="U7" s="1774"/>
      <c r="V7" s="1774"/>
      <c r="W7" s="1774"/>
      <c r="X7" s="1774"/>
      <c r="Y7" s="1774"/>
      <c r="Z7" s="1774"/>
      <c r="AA7" s="1774"/>
      <c r="AB7" s="1774"/>
      <c r="AC7" s="1774"/>
      <c r="AD7" s="1774"/>
      <c r="AE7" s="1774"/>
      <c r="AF7" s="1774"/>
      <c r="AG7" s="1774"/>
      <c r="AH7" s="1774"/>
      <c r="AI7" s="1774"/>
      <c r="AJ7" s="1774"/>
      <c r="AK7" s="1127"/>
      <c r="AL7" s="1276"/>
      <c r="AM7" s="1276"/>
      <c r="AN7" s="1276"/>
      <c r="AO7" s="1276"/>
      <c r="AP7" s="1276"/>
    </row>
    <row r="8" spans="1:62">
      <c r="A8" s="1127"/>
      <c r="B8" s="1276" t="s">
        <v>3535</v>
      </c>
      <c r="C8" s="1276"/>
      <c r="D8" s="1276"/>
      <c r="E8" s="1276"/>
      <c r="F8" s="1276"/>
      <c r="G8" s="1276"/>
      <c r="H8" s="1276"/>
      <c r="I8" s="1276"/>
      <c r="J8" s="1276"/>
      <c r="K8" s="1276"/>
      <c r="L8" s="1276"/>
      <c r="M8" s="1276"/>
      <c r="N8" s="1276"/>
      <c r="O8" s="1276"/>
      <c r="P8" s="1276"/>
      <c r="Q8" s="1276"/>
      <c r="R8" s="1276"/>
      <c r="S8" s="1276"/>
      <c r="T8" s="1276"/>
      <c r="U8" s="1276"/>
      <c r="V8" s="1276"/>
      <c r="W8" s="1276"/>
      <c r="X8" s="1276"/>
      <c r="Y8" s="3717" t="s">
        <v>89</v>
      </c>
      <c r="Z8" s="1179"/>
      <c r="AA8" s="1179"/>
      <c r="AB8" s="1179"/>
      <c r="AC8" s="1582"/>
      <c r="AD8" s="1702"/>
      <c r="AE8" s="1702"/>
      <c r="AF8" s="1702"/>
      <c r="AG8" s="1702"/>
      <c r="AH8" s="1702"/>
      <c r="AI8" s="1702"/>
      <c r="AJ8" s="1702"/>
      <c r="AK8" s="1127"/>
      <c r="AL8" s="1276"/>
      <c r="AM8" s="1276"/>
      <c r="AN8" s="1276"/>
      <c r="AO8" s="1276"/>
      <c r="AP8" s="1276"/>
    </row>
    <row r="9" spans="1:62" ht="13.5" customHeight="1">
      <c r="A9" s="1127"/>
      <c r="B9" s="8657" t="str">
        <f>IF(AND(AL4&lt;&gt;"",AL5&lt;&gt;""),Names,IF(AL4&lt;&gt;"",NameYours,IF(AL5&lt;&gt;"",NameSpouse,Names)))</f>
        <v xml:space="preserve"> </v>
      </c>
      <c r="C9" s="8658"/>
      <c r="D9" s="8658"/>
      <c r="E9" s="8658"/>
      <c r="F9" s="8658"/>
      <c r="G9" s="8658"/>
      <c r="H9" s="8658"/>
      <c r="I9" s="8658"/>
      <c r="J9" s="8658"/>
      <c r="K9" s="8658"/>
      <c r="L9" s="6939"/>
      <c r="M9" s="6939"/>
      <c r="N9" s="6939"/>
      <c r="O9" s="6939"/>
      <c r="P9" s="6939"/>
      <c r="Q9" s="6939"/>
      <c r="R9" s="6939"/>
      <c r="S9" s="6939"/>
      <c r="T9" s="7060"/>
      <c r="U9" s="7060"/>
      <c r="V9" s="7060"/>
      <c r="W9" s="7060"/>
      <c r="X9" s="8659"/>
      <c r="Y9" s="8662">
        <f>IF(NoSSN,"",IF(AND(AL4="",AL5&lt;&gt;""),SS_Spouse,SS_Yours))</f>
        <v>1010001</v>
      </c>
      <c r="Z9" s="6618"/>
      <c r="AA9" s="6618"/>
      <c r="AB9" s="6618"/>
      <c r="AC9" s="6618"/>
      <c r="AD9" s="6618"/>
      <c r="AE9" s="6618"/>
      <c r="AF9" s="6618"/>
      <c r="AG9" s="6618"/>
      <c r="AH9" s="6618"/>
      <c r="AI9" s="6618"/>
      <c r="AJ9" s="6618"/>
      <c r="AK9" s="1127"/>
      <c r="AL9" s="1276"/>
      <c r="AM9" s="1276"/>
      <c r="AN9" s="1276"/>
      <c r="AO9" s="1276"/>
      <c r="AP9" s="1276"/>
    </row>
    <row r="10" spans="1:62" ht="5.25" customHeight="1">
      <c r="A10" s="1127"/>
      <c r="B10" s="8660"/>
      <c r="C10" s="8660"/>
      <c r="D10" s="8660"/>
      <c r="E10" s="8660"/>
      <c r="F10" s="8660"/>
      <c r="G10" s="8660"/>
      <c r="H10" s="8660"/>
      <c r="I10" s="8660"/>
      <c r="J10" s="8660"/>
      <c r="K10" s="8660"/>
      <c r="L10" s="8660"/>
      <c r="M10" s="8660"/>
      <c r="N10" s="8660"/>
      <c r="O10" s="8660"/>
      <c r="P10" s="8660"/>
      <c r="Q10" s="8660"/>
      <c r="R10" s="8660"/>
      <c r="S10" s="8660"/>
      <c r="T10" s="8208"/>
      <c r="U10" s="8208"/>
      <c r="V10" s="8208"/>
      <c r="W10" s="8208"/>
      <c r="X10" s="8661"/>
      <c r="Y10" s="6619"/>
      <c r="Z10" s="6616"/>
      <c r="AA10" s="6616"/>
      <c r="AB10" s="6616"/>
      <c r="AC10" s="6616"/>
      <c r="AD10" s="6616"/>
      <c r="AE10" s="6616"/>
      <c r="AF10" s="6616"/>
      <c r="AG10" s="6616"/>
      <c r="AH10" s="6616"/>
      <c r="AI10" s="6616"/>
      <c r="AJ10" s="6616"/>
      <c r="AK10" s="1127"/>
      <c r="AL10" s="1276"/>
      <c r="AM10" s="1276"/>
      <c r="AN10" s="1276"/>
      <c r="AO10" s="1276"/>
      <c r="AP10" s="1276"/>
    </row>
    <row r="11" spans="1:62" ht="18.75" customHeight="1">
      <c r="A11" s="1127"/>
      <c r="B11" s="8524" t="s">
        <v>51</v>
      </c>
      <c r="C11" s="6206"/>
      <c r="D11" s="5704" t="s">
        <v>1431</v>
      </c>
      <c r="E11" s="5377"/>
      <c r="F11" s="5377"/>
      <c r="G11" s="5377"/>
      <c r="H11" s="5377"/>
      <c r="I11" s="5377"/>
      <c r="J11" s="5377"/>
      <c r="K11" s="5377"/>
      <c r="L11" s="5377"/>
      <c r="M11" s="5377"/>
      <c r="N11" s="5377"/>
      <c r="O11" s="5377"/>
      <c r="P11" s="5377"/>
      <c r="Q11" s="5377"/>
      <c r="R11" s="5377"/>
      <c r="S11" s="5377"/>
      <c r="T11" s="5377"/>
      <c r="U11" s="5377"/>
      <c r="V11" s="5377"/>
      <c r="W11" s="5377"/>
      <c r="X11" s="5377"/>
      <c r="Y11" s="5377"/>
      <c r="Z11" s="5377"/>
      <c r="AA11" s="5377"/>
      <c r="AB11" s="5377"/>
      <c r="AC11" s="5377"/>
      <c r="AD11" s="5377"/>
      <c r="AE11" s="5377"/>
      <c r="AF11" s="5377"/>
      <c r="AG11" s="5377"/>
      <c r="AH11" s="5377"/>
      <c r="AI11" s="5377"/>
      <c r="AJ11" s="5377"/>
      <c r="AK11" s="1127"/>
      <c r="AL11" s="1276"/>
      <c r="AM11" s="1276"/>
      <c r="AN11" s="1276"/>
      <c r="AO11" s="1276"/>
      <c r="AP11" s="1276"/>
    </row>
    <row r="12" spans="1:62" ht="15" customHeight="1">
      <c r="A12" s="1127"/>
      <c r="B12" s="1179"/>
      <c r="C12" s="1556" t="s">
        <v>148</v>
      </c>
      <c r="D12" s="1276" t="s">
        <v>1432</v>
      </c>
      <c r="E12" s="1179"/>
      <c r="F12" s="1179"/>
      <c r="G12" s="1179"/>
      <c r="H12" s="1179"/>
      <c r="I12" s="1179"/>
      <c r="J12" s="1179"/>
      <c r="K12" s="1179"/>
      <c r="L12" s="1179"/>
      <c r="M12" s="1179"/>
      <c r="N12" s="1179"/>
      <c r="O12" s="1179"/>
      <c r="P12" s="1179"/>
      <c r="Q12" s="1179"/>
      <c r="R12" s="1179"/>
      <c r="S12" s="1179"/>
      <c r="T12" s="1179"/>
      <c r="U12" s="1179"/>
      <c r="V12" s="1179"/>
      <c r="W12" s="1179"/>
      <c r="X12" s="1179"/>
      <c r="Y12" s="5703" t="s">
        <v>149</v>
      </c>
      <c r="Z12" s="1276" t="s">
        <v>112</v>
      </c>
      <c r="AA12" s="1179"/>
      <c r="AB12" s="1179"/>
      <c r="AC12" s="1179"/>
      <c r="AD12" s="1179"/>
      <c r="AE12" s="1179"/>
      <c r="AF12" s="1179"/>
      <c r="AG12" s="1179"/>
      <c r="AH12" s="1179"/>
      <c r="AI12" s="1179"/>
      <c r="AJ12" s="1179"/>
      <c r="AK12" s="1127"/>
      <c r="AL12" s="1276"/>
      <c r="AM12" s="1276"/>
      <c r="AN12" s="2201"/>
      <c r="AO12" s="4055"/>
      <c r="AP12" s="4055"/>
      <c r="AZ12" s="1781"/>
      <c r="BA12" s="1782"/>
      <c r="BB12" s="1782"/>
      <c r="BC12" s="1782"/>
      <c r="BD12" s="1782"/>
      <c r="BE12" s="1782"/>
      <c r="BF12" s="1782"/>
      <c r="BG12" s="1782"/>
      <c r="BH12" s="1782"/>
      <c r="BI12" s="1782"/>
      <c r="BJ12" s="1782"/>
    </row>
    <row r="13" spans="1:62" ht="16.5" customHeight="1">
      <c r="A13" s="1127"/>
      <c r="B13" s="8642"/>
      <c r="C13" s="8643"/>
      <c r="D13" s="8643"/>
      <c r="E13" s="8643"/>
      <c r="F13" s="8643"/>
      <c r="G13" s="8643"/>
      <c r="H13" s="8643"/>
      <c r="I13" s="8643"/>
      <c r="J13" s="8643"/>
      <c r="K13" s="8643"/>
      <c r="L13" s="8643"/>
      <c r="M13" s="8643"/>
      <c r="N13" s="8643"/>
      <c r="O13" s="8643"/>
      <c r="P13" s="8643"/>
      <c r="Q13" s="8643"/>
      <c r="R13" s="8643"/>
      <c r="S13" s="8643"/>
      <c r="T13" s="8643"/>
      <c r="U13" s="8643"/>
      <c r="V13" s="8643"/>
      <c r="W13" s="8643"/>
      <c r="X13" s="8644"/>
      <c r="Y13" s="8645"/>
      <c r="Z13" s="8646"/>
      <c r="AA13" s="8646"/>
      <c r="AB13" s="8646"/>
      <c r="AC13" s="8646"/>
      <c r="AD13" s="8646"/>
      <c r="AE13" s="8646"/>
      <c r="AF13" s="8646"/>
      <c r="AG13" s="8646"/>
      <c r="AH13" s="8646"/>
      <c r="AI13" s="8646"/>
      <c r="AJ13" s="8646"/>
      <c r="AK13" s="1127"/>
      <c r="AL13" s="1276"/>
      <c r="AM13" s="1276"/>
      <c r="AN13" s="4055"/>
      <c r="AO13" s="4055"/>
      <c r="AP13" s="4055"/>
      <c r="AZ13" s="1782"/>
      <c r="BA13" s="1782"/>
      <c r="BB13" s="1782"/>
      <c r="BC13" s="1782"/>
      <c r="BD13" s="1782"/>
      <c r="BE13" s="1782"/>
      <c r="BF13" s="1782"/>
      <c r="BG13" s="1782"/>
      <c r="BH13" s="1782"/>
      <c r="BI13" s="1782"/>
      <c r="BJ13" s="1782"/>
    </row>
    <row r="14" spans="1:62" ht="15" customHeight="1">
      <c r="A14" s="1127"/>
      <c r="B14" s="1179"/>
      <c r="C14" s="1556" t="s">
        <v>150</v>
      </c>
      <c r="D14" s="1276" t="s">
        <v>1433</v>
      </c>
      <c r="E14" s="1179"/>
      <c r="F14" s="1179"/>
      <c r="G14" s="1179"/>
      <c r="H14" s="1179"/>
      <c r="I14" s="8647"/>
      <c r="J14" s="8648"/>
      <c r="K14" s="8649"/>
      <c r="L14" s="8649"/>
      <c r="M14" s="8649"/>
      <c r="N14" s="8649"/>
      <c r="O14" s="8649"/>
      <c r="P14" s="8649"/>
      <c r="Q14" s="8649"/>
      <c r="R14" s="8649"/>
      <c r="S14" s="8649"/>
      <c r="T14" s="8649"/>
      <c r="U14" s="8649"/>
      <c r="V14" s="8649"/>
      <c r="W14" s="8649"/>
      <c r="X14" s="8649"/>
      <c r="Y14" s="8649"/>
      <c r="Z14" s="8649"/>
      <c r="AA14" s="8649"/>
      <c r="AB14" s="8649"/>
      <c r="AC14" s="8649"/>
      <c r="AD14" s="8649"/>
      <c r="AE14" s="8649"/>
      <c r="AF14" s="8650"/>
      <c r="AG14" s="8650"/>
      <c r="AH14" s="8650"/>
      <c r="AI14" s="8650"/>
      <c r="AJ14" s="8650"/>
      <c r="AK14" s="1127"/>
      <c r="AL14" s="1276"/>
      <c r="AM14" s="1276"/>
      <c r="AN14" s="4055"/>
      <c r="AO14" s="4055"/>
      <c r="AP14" s="4055"/>
      <c r="AZ14" s="1782"/>
      <c r="BA14" s="1782"/>
      <c r="BB14" s="1782"/>
      <c r="BC14" s="1782"/>
      <c r="BD14" s="1782"/>
      <c r="BE14" s="1782"/>
      <c r="BF14" s="1782"/>
      <c r="BG14" s="1782"/>
      <c r="BH14" s="1782"/>
      <c r="BI14" s="1782"/>
      <c r="BJ14" s="1782"/>
    </row>
    <row r="15" spans="1:62" ht="15" customHeight="1">
      <c r="A15" s="1127"/>
      <c r="B15" s="1179"/>
      <c r="C15" s="1810" t="s">
        <v>1438</v>
      </c>
      <c r="D15" s="1276" t="s">
        <v>1434</v>
      </c>
      <c r="E15" s="1179"/>
      <c r="F15" s="1179"/>
      <c r="G15" s="1179"/>
      <c r="H15" s="1179"/>
      <c r="I15" s="1179"/>
      <c r="J15" s="1179"/>
      <c r="K15" s="8612"/>
      <c r="L15" s="8651"/>
      <c r="M15" s="8651"/>
      <c r="N15" s="8651"/>
      <c r="O15" s="8651"/>
      <c r="P15" s="8651"/>
      <c r="Q15" s="8651"/>
      <c r="R15" s="8651"/>
      <c r="S15" s="8651"/>
      <c r="T15" s="8651"/>
      <c r="U15" s="8651"/>
      <c r="V15" s="8651"/>
      <c r="W15" s="8651"/>
      <c r="X15" s="8651"/>
      <c r="Y15" s="8651"/>
      <c r="Z15" s="8651"/>
      <c r="AA15" s="8651"/>
      <c r="AB15" s="8651"/>
      <c r="AC15" s="8651"/>
      <c r="AD15" s="8651"/>
      <c r="AE15" s="8651"/>
      <c r="AF15" s="8651"/>
      <c r="AG15" s="8651"/>
      <c r="AH15" s="8651"/>
      <c r="AI15" s="8651"/>
      <c r="AJ15" s="8651"/>
      <c r="AK15" s="1127"/>
      <c r="AL15" s="1276"/>
      <c r="AM15" s="1276"/>
      <c r="AN15" s="4055"/>
      <c r="AO15" s="4055"/>
      <c r="AP15" s="4055"/>
      <c r="AZ15" s="1782"/>
      <c r="BA15" s="1782"/>
      <c r="BB15" s="1782"/>
      <c r="BC15" s="1782"/>
      <c r="BD15" s="1782"/>
      <c r="BE15" s="1782"/>
      <c r="BF15" s="1782"/>
      <c r="BG15" s="1782"/>
      <c r="BH15" s="1782"/>
      <c r="BI15" s="1782"/>
      <c r="BJ15" s="1782"/>
    </row>
    <row r="16" spans="1:62" ht="15" customHeight="1">
      <c r="A16" s="1127"/>
      <c r="B16" s="1179"/>
      <c r="C16" s="1809" t="s">
        <v>1436</v>
      </c>
      <c r="D16" s="1276" t="s">
        <v>1435</v>
      </c>
      <c r="E16" s="1179"/>
      <c r="F16" s="1179"/>
      <c r="G16" s="1179"/>
      <c r="H16" s="1179"/>
      <c r="I16" s="1179"/>
      <c r="J16" s="1179"/>
      <c r="K16" s="8612"/>
      <c r="L16" s="8651"/>
      <c r="M16" s="8651"/>
      <c r="N16" s="8651"/>
      <c r="O16" s="8651"/>
      <c r="P16" s="8651"/>
      <c r="Q16" s="8651"/>
      <c r="R16" s="8651"/>
      <c r="S16" s="8651"/>
      <c r="T16" s="8651"/>
      <c r="U16" s="8651"/>
      <c r="V16" s="8651"/>
      <c r="W16" s="8651"/>
      <c r="X16" s="8651"/>
      <c r="Y16" s="8651"/>
      <c r="Z16" s="8651"/>
      <c r="AA16" s="8651"/>
      <c r="AB16" s="8651"/>
      <c r="AC16" s="8651"/>
      <c r="AD16" s="8651"/>
      <c r="AE16" s="8651"/>
      <c r="AF16" s="8651"/>
      <c r="AG16" s="8651"/>
      <c r="AH16" s="8651"/>
      <c r="AI16" s="8651"/>
      <c r="AJ16" s="8651"/>
      <c r="AK16" s="1127"/>
      <c r="AL16" s="1276"/>
      <c r="AM16" s="1276"/>
      <c r="AN16" s="1276"/>
      <c r="AO16" s="1276"/>
      <c r="AP16" s="1276"/>
    </row>
    <row r="17" spans="1:75" ht="5.25" customHeight="1" thickBot="1">
      <c r="A17" s="1127"/>
      <c r="B17" s="1179"/>
      <c r="C17" s="1179"/>
      <c r="D17" s="1179"/>
      <c r="E17" s="1179"/>
      <c r="F17" s="1179"/>
      <c r="G17" s="1179"/>
      <c r="H17" s="1179"/>
      <c r="I17" s="1179"/>
      <c r="J17" s="1179"/>
      <c r="K17" s="1179"/>
      <c r="L17" s="1179"/>
      <c r="M17" s="1179"/>
      <c r="N17" s="1179"/>
      <c r="O17" s="1179"/>
      <c r="P17" s="1179"/>
      <c r="Q17" s="1179"/>
      <c r="R17" s="1179"/>
      <c r="S17" s="1179"/>
      <c r="T17" s="1179"/>
      <c r="U17" s="1179"/>
      <c r="V17" s="1179"/>
      <c r="W17" s="1179"/>
      <c r="X17" s="1179"/>
      <c r="Y17" s="1179"/>
      <c r="Z17" s="1179"/>
      <c r="AA17" s="1179"/>
      <c r="AB17" s="1179"/>
      <c r="AC17" s="1179"/>
      <c r="AD17" s="1179"/>
      <c r="AE17" s="1179"/>
      <c r="AF17" s="1179"/>
      <c r="AG17" s="1179"/>
      <c r="AH17" s="1179"/>
      <c r="AI17" s="1179"/>
      <c r="AJ17" s="1179"/>
      <c r="AK17" s="1127"/>
      <c r="AL17" s="1276"/>
      <c r="AM17" s="1276"/>
      <c r="AN17" s="1276"/>
      <c r="AO17" s="1276"/>
      <c r="AP17" s="1276"/>
      <c r="BL17" s="1793"/>
      <c r="BM17" s="1793"/>
      <c r="BO17" s="1793"/>
      <c r="BP17" s="1793"/>
      <c r="BQ17" s="1793"/>
      <c r="BR17" s="1793"/>
      <c r="BS17" s="1793"/>
      <c r="BT17" s="1793"/>
      <c r="BU17" s="1793"/>
      <c r="BV17" s="1793"/>
    </row>
    <row r="18" spans="1:75" ht="13.5" customHeight="1" thickBot="1">
      <c r="A18" s="1127"/>
      <c r="B18" s="1179"/>
      <c r="C18" s="1810" t="s">
        <v>200</v>
      </c>
      <c r="D18" s="8608" t="s">
        <v>1437</v>
      </c>
      <c r="E18" s="7060"/>
      <c r="F18" s="7060"/>
      <c r="G18" s="7060"/>
      <c r="H18" s="7060"/>
      <c r="I18" s="1179"/>
      <c r="J18" s="1809" t="s">
        <v>1441</v>
      </c>
      <c r="K18" s="1181"/>
      <c r="L18" s="1276" t="s">
        <v>1439</v>
      </c>
      <c r="M18" s="1179"/>
      <c r="N18" s="1179"/>
      <c r="O18" s="1179"/>
      <c r="P18" s="1179"/>
      <c r="Q18" s="1179"/>
      <c r="R18" s="1179"/>
      <c r="S18" s="1179"/>
      <c r="T18" s="1179"/>
      <c r="U18" s="1809" t="s">
        <v>1436</v>
      </c>
      <c r="V18" s="1181"/>
      <c r="W18" s="1276" t="s">
        <v>1446</v>
      </c>
      <c r="X18" s="1179"/>
      <c r="Y18" s="1179"/>
      <c r="Z18" s="1179"/>
      <c r="AA18" s="1179"/>
      <c r="AB18" s="1179"/>
      <c r="AC18" s="1809" t="s">
        <v>1442</v>
      </c>
      <c r="AD18" s="1181"/>
      <c r="AE18" s="1276" t="s">
        <v>1445</v>
      </c>
      <c r="AF18" s="1179"/>
      <c r="AG18" s="1179"/>
      <c r="AH18" s="1179"/>
      <c r="AI18" s="1179"/>
      <c r="AJ18" s="1179"/>
      <c r="AK18" s="1127"/>
      <c r="AL18" s="1276"/>
      <c r="AM18" s="1276"/>
      <c r="AN18" s="1276"/>
      <c r="AO18" s="1276"/>
      <c r="AP18" s="1276"/>
    </row>
    <row r="19" spans="1:75" ht="6" customHeight="1" thickBot="1">
      <c r="A19" s="1127"/>
      <c r="B19" s="1179"/>
      <c r="C19" s="1179"/>
      <c r="D19" s="7060"/>
      <c r="E19" s="7060"/>
      <c r="F19" s="7060"/>
      <c r="G19" s="7060"/>
      <c r="H19" s="7060"/>
      <c r="I19" s="1179"/>
      <c r="J19" s="1179"/>
      <c r="K19" s="1774"/>
      <c r="L19" s="1179"/>
      <c r="M19" s="1179"/>
      <c r="N19" s="1179"/>
      <c r="O19" s="1179"/>
      <c r="P19" s="1179"/>
      <c r="Q19" s="1179"/>
      <c r="R19" s="1179"/>
      <c r="S19" s="1179"/>
      <c r="T19" s="1179"/>
      <c r="U19" s="1683"/>
      <c r="V19" s="1179"/>
      <c r="W19" s="1179"/>
      <c r="X19" s="1179"/>
      <c r="Y19" s="1179"/>
      <c r="Z19" s="1179"/>
      <c r="AA19" s="1179"/>
      <c r="AB19" s="1179"/>
      <c r="AC19" s="1179"/>
      <c r="AD19" s="1179"/>
      <c r="AE19" s="1179"/>
      <c r="AF19" s="1179"/>
      <c r="AG19" s="1179"/>
      <c r="AH19" s="1179"/>
      <c r="AI19" s="1179"/>
      <c r="AJ19" s="1179"/>
      <c r="AK19" s="1127"/>
      <c r="AL19" s="1276"/>
      <c r="AM19" s="1276"/>
      <c r="AN19" s="1276"/>
      <c r="AO19" s="1276"/>
      <c r="AP19" s="1276"/>
    </row>
    <row r="20" spans="1:75" ht="13.5" customHeight="1" thickBot="1">
      <c r="A20" s="1127"/>
      <c r="B20" s="1179"/>
      <c r="C20" s="1179"/>
      <c r="D20" s="7060"/>
      <c r="E20" s="7060"/>
      <c r="F20" s="7060"/>
      <c r="G20" s="7060"/>
      <c r="H20" s="7060"/>
      <c r="I20" s="1179"/>
      <c r="J20" s="1809" t="s">
        <v>1443</v>
      </c>
      <c r="K20" s="1181"/>
      <c r="L20" s="1276" t="s">
        <v>1440</v>
      </c>
      <c r="M20" s="1179"/>
      <c r="N20" s="1179"/>
      <c r="O20" s="1179"/>
      <c r="P20" s="1179"/>
      <c r="Q20" s="1179"/>
      <c r="R20" s="1179"/>
      <c r="S20" s="1179"/>
      <c r="T20" s="1179"/>
      <c r="U20" s="1809" t="s">
        <v>1444</v>
      </c>
      <c r="V20" s="1181"/>
      <c r="W20" s="1276" t="s">
        <v>1447</v>
      </c>
      <c r="X20" s="1179"/>
      <c r="Y20" s="1179"/>
      <c r="Z20" s="1179"/>
      <c r="AA20" s="1179"/>
      <c r="AB20" s="8525"/>
      <c r="AC20" s="8526"/>
      <c r="AD20" s="8526"/>
      <c r="AE20" s="8526"/>
      <c r="AF20" s="8526"/>
      <c r="AG20" s="8526"/>
      <c r="AH20" s="8526"/>
      <c r="AI20" s="8526"/>
      <c r="AJ20" s="8526"/>
      <c r="AK20" s="1127"/>
    </row>
    <row r="21" spans="1:75" ht="15.75" thickBot="1">
      <c r="A21" s="1127"/>
      <c r="B21" s="1179"/>
      <c r="C21" s="1810" t="s">
        <v>1449</v>
      </c>
      <c r="D21" s="1276" t="s">
        <v>1448</v>
      </c>
      <c r="E21" s="1179"/>
      <c r="F21" s="1179"/>
      <c r="G21" s="1179"/>
      <c r="H21" s="1179"/>
      <c r="I21" s="1179"/>
      <c r="J21" s="1179"/>
      <c r="K21" s="1179"/>
      <c r="L21" s="1179"/>
      <c r="M21" s="1179"/>
      <c r="N21" s="1179"/>
      <c r="O21" s="1179"/>
      <c r="P21" s="1179"/>
      <c r="Q21" s="1179"/>
      <c r="R21" s="1179"/>
      <c r="S21" s="1179"/>
      <c r="T21" s="1179"/>
      <c r="U21" s="1179"/>
      <c r="V21" s="1179"/>
      <c r="W21" s="1179"/>
      <c r="X21" s="1179"/>
      <c r="Y21" s="8525"/>
      <c r="Z21" s="8539"/>
      <c r="AA21" s="8526"/>
      <c r="AB21" s="8526"/>
      <c r="AC21" s="8526"/>
      <c r="AD21" s="8526"/>
      <c r="AE21" s="8526"/>
      <c r="AF21" s="8526"/>
      <c r="AG21" s="8526"/>
      <c r="AH21" s="8526"/>
      <c r="AI21" s="8526"/>
      <c r="AJ21" s="8526"/>
      <c r="AK21" s="1127"/>
      <c r="AN21" s="1785"/>
      <c r="AO21" s="1786"/>
      <c r="AZ21" s="1785"/>
      <c r="BA21" s="1786"/>
    </row>
    <row r="22" spans="1:75" ht="15.75" thickBot="1">
      <c r="A22" s="1127"/>
      <c r="B22" s="1179"/>
      <c r="C22" s="1809" t="s">
        <v>1436</v>
      </c>
      <c r="D22" s="1276" t="s">
        <v>1672</v>
      </c>
      <c r="E22" s="1179"/>
      <c r="F22" s="1179"/>
      <c r="G22" s="1179"/>
      <c r="H22" s="1179"/>
      <c r="I22" s="1179"/>
      <c r="J22" s="1179"/>
      <c r="K22" s="1179"/>
      <c r="L22" s="1179"/>
      <c r="M22" s="1179"/>
      <c r="N22" s="1179"/>
      <c r="O22" s="1179"/>
      <c r="P22" s="1179"/>
      <c r="Q22" s="1179"/>
      <c r="R22" s="1179"/>
      <c r="S22" s="1179"/>
      <c r="T22" s="1179"/>
      <c r="U22" s="1179"/>
      <c r="V22" s="1179"/>
      <c r="W22" s="1179"/>
      <c r="X22" s="1179"/>
      <c r="Y22" s="1179"/>
      <c r="Z22" s="5705"/>
      <c r="AA22" s="1181"/>
      <c r="AB22" s="1276" t="s">
        <v>1450</v>
      </c>
      <c r="AC22" s="1276"/>
      <c r="AD22" s="1179"/>
      <c r="AE22" s="1179"/>
      <c r="AF22" s="1179"/>
      <c r="AG22" s="1179"/>
      <c r="AH22" s="1179"/>
      <c r="AI22" s="1179"/>
      <c r="AJ22" s="1179"/>
      <c r="AK22" s="1127"/>
      <c r="AO22" s="1786"/>
      <c r="BA22" s="1786"/>
      <c r="BF22" s="1785"/>
    </row>
    <row r="23" spans="1:75" ht="13.5" customHeight="1" thickBot="1">
      <c r="A23" s="1127"/>
      <c r="B23" s="1179"/>
      <c r="C23" s="1809" t="s">
        <v>1442</v>
      </c>
      <c r="D23" s="1179" t="s">
        <v>1451</v>
      </c>
      <c r="E23" s="1179"/>
      <c r="F23" s="1179"/>
      <c r="G23" s="1179"/>
      <c r="H23" s="1179"/>
      <c r="I23" s="1179"/>
      <c r="J23" s="1179"/>
      <c r="K23" s="1179"/>
      <c r="L23" s="1179"/>
      <c r="M23" s="1179"/>
      <c r="N23" s="1179"/>
      <c r="O23" s="1179"/>
      <c r="P23" s="1179"/>
      <c r="Q23" s="1179"/>
      <c r="R23" s="1179"/>
      <c r="S23" s="1179"/>
      <c r="T23" s="1179"/>
      <c r="U23" s="1179"/>
      <c r="V23" s="1179"/>
      <c r="W23" s="1179"/>
      <c r="X23" s="1179"/>
      <c r="Y23" s="1179"/>
      <c r="Z23" s="1179"/>
      <c r="AA23" s="1179"/>
      <c r="AB23" s="1179"/>
      <c r="AC23" s="1179"/>
      <c r="AD23" s="1243" t="s">
        <v>633</v>
      </c>
      <c r="AE23" s="1181"/>
      <c r="AF23" s="1283" t="s">
        <v>271</v>
      </c>
      <c r="AG23" s="1179"/>
      <c r="AH23" s="1181"/>
      <c r="AI23" s="1283" t="s">
        <v>272</v>
      </c>
      <c r="AJ23" s="1179"/>
      <c r="AK23" s="1127"/>
      <c r="AO23" s="1786"/>
      <c r="BA23" s="1786"/>
      <c r="BF23" s="1785"/>
      <c r="BG23" s="1783"/>
    </row>
    <row r="24" spans="1:75" ht="12.75" customHeight="1">
      <c r="A24" s="1127"/>
      <c r="B24" s="1179"/>
      <c r="C24" s="1809" t="s">
        <v>1443</v>
      </c>
      <c r="D24" s="1276" t="s">
        <v>1452</v>
      </c>
      <c r="E24" s="1179"/>
      <c r="F24" s="1179"/>
      <c r="G24" s="1179"/>
      <c r="H24" s="1179"/>
      <c r="I24" s="1179"/>
      <c r="J24" s="1179"/>
      <c r="K24" s="1179"/>
      <c r="L24" s="1179"/>
      <c r="M24" s="1179"/>
      <c r="N24" s="1179"/>
      <c r="O24" s="1179"/>
      <c r="P24" s="1179"/>
      <c r="Q24" s="1179"/>
      <c r="R24" s="1179"/>
      <c r="S24" s="1179"/>
      <c r="T24" s="1179"/>
      <c r="U24" s="1179"/>
      <c r="V24" s="1179"/>
      <c r="W24" s="1179"/>
      <c r="X24" s="1179"/>
      <c r="Y24" s="1179"/>
      <c r="Z24" s="1179"/>
      <c r="AA24" s="1179"/>
      <c r="AB24" s="1179"/>
      <c r="AC24" s="8525"/>
      <c r="AD24" s="8540"/>
      <c r="AE24" s="8540"/>
      <c r="AF24" s="8540"/>
      <c r="AG24" s="8540"/>
      <c r="AH24" s="8540"/>
      <c r="AI24" s="8540"/>
      <c r="AJ24" s="8540"/>
      <c r="AK24" s="1127"/>
      <c r="AO24" s="1786"/>
      <c r="BA24" s="1786"/>
    </row>
    <row r="25" spans="1:75" ht="15">
      <c r="A25" s="1127"/>
      <c r="B25" s="1179"/>
      <c r="C25" s="1556" t="s">
        <v>102</v>
      </c>
      <c r="D25" s="1179" t="s">
        <v>1453</v>
      </c>
      <c r="E25" s="1179"/>
      <c r="F25" s="1179"/>
      <c r="G25" s="1179"/>
      <c r="H25" s="1179"/>
      <c r="I25" s="1179"/>
      <c r="J25" s="1179"/>
      <c r="K25" s="1179"/>
      <c r="L25" s="1179"/>
      <c r="M25" s="1179"/>
      <c r="N25" s="1179"/>
      <c r="O25" s="8525"/>
      <c r="P25" s="8526"/>
      <c r="Q25" s="8526"/>
      <c r="R25" s="8526"/>
      <c r="S25" s="8526"/>
      <c r="T25" s="8526"/>
      <c r="U25" s="8526"/>
      <c r="V25" s="8526"/>
      <c r="W25" s="8526"/>
      <c r="X25" s="8526"/>
      <c r="Y25" s="8526"/>
      <c r="Z25" s="8526"/>
      <c r="AA25" s="8526"/>
      <c r="AB25" s="8526"/>
      <c r="AC25" s="8526"/>
      <c r="AD25" s="8526"/>
      <c r="AE25" s="8526"/>
      <c r="AF25" s="8526"/>
      <c r="AG25" s="8526"/>
      <c r="AH25" s="8526"/>
      <c r="AI25" s="8526"/>
      <c r="AJ25" s="8526"/>
      <c r="AK25" s="1127"/>
      <c r="AN25" s="1785"/>
      <c r="AO25" s="1786"/>
      <c r="AZ25" s="1785"/>
      <c r="BA25" s="1786"/>
    </row>
    <row r="26" spans="1:75" ht="15" customHeight="1" thickBot="1">
      <c r="A26" s="1127"/>
      <c r="B26" s="1179"/>
      <c r="C26" s="1810" t="s">
        <v>1455</v>
      </c>
      <c r="D26" s="1179" t="s">
        <v>1454</v>
      </c>
      <c r="E26" s="1179"/>
      <c r="F26" s="1179"/>
      <c r="G26" s="1179"/>
      <c r="H26" s="1179"/>
      <c r="I26" s="1179"/>
      <c r="J26" s="1179"/>
      <c r="K26" s="1179"/>
      <c r="L26" s="1179"/>
      <c r="M26" s="1179"/>
      <c r="N26" s="1179"/>
      <c r="O26" s="1179"/>
      <c r="P26" s="1179"/>
      <c r="Q26" s="1179"/>
      <c r="R26" s="1179"/>
      <c r="S26" s="1179"/>
      <c r="T26" s="1179"/>
      <c r="U26" s="1179"/>
      <c r="V26" s="1179"/>
      <c r="W26" s="1179"/>
      <c r="X26" s="1179"/>
      <c r="Y26" s="1179"/>
      <c r="Z26" s="1179"/>
      <c r="AA26" s="1179"/>
      <c r="AB26" s="1179"/>
      <c r="AC26" s="1179"/>
      <c r="AD26" s="1179"/>
      <c r="AE26" s="1179"/>
      <c r="AF26" s="1179"/>
      <c r="AG26" s="1179"/>
      <c r="AH26" s="1179"/>
      <c r="AI26" s="1179"/>
      <c r="AJ26" s="1179"/>
      <c r="AK26" s="1127"/>
      <c r="AM26" s="1783"/>
      <c r="AO26" s="1786"/>
      <c r="BA26" s="1786"/>
    </row>
    <row r="27" spans="1:75" ht="13.5" customHeight="1" thickBot="1">
      <c r="A27" s="1127"/>
      <c r="B27" s="1179"/>
      <c r="C27" s="1179"/>
      <c r="D27" s="1276" t="s">
        <v>2952</v>
      </c>
      <c r="E27" s="1179"/>
      <c r="F27" s="1179"/>
      <c r="G27" s="1179"/>
      <c r="H27" s="1179"/>
      <c r="I27" s="1179"/>
      <c r="J27" s="1179"/>
      <c r="K27" s="1179"/>
      <c r="L27" s="1179"/>
      <c r="M27" s="1179"/>
      <c r="N27" s="1179"/>
      <c r="O27" s="1179"/>
      <c r="P27" s="1179"/>
      <c r="Q27" s="1179"/>
      <c r="R27" s="1179"/>
      <c r="S27" s="1179"/>
      <c r="T27" s="1179"/>
      <c r="U27" s="1179"/>
      <c r="V27" s="1179"/>
      <c r="W27" s="1179"/>
      <c r="X27" s="1179"/>
      <c r="Y27" s="1179"/>
      <c r="Z27" s="1179"/>
      <c r="AA27" s="1179"/>
      <c r="AB27" s="1179"/>
      <c r="AC27" s="1179"/>
      <c r="AD27" s="1243" t="s">
        <v>919</v>
      </c>
      <c r="AE27" s="1181"/>
      <c r="AF27" s="1283" t="s">
        <v>271</v>
      </c>
      <c r="AG27" s="1179"/>
      <c r="AH27" s="1181"/>
      <c r="AI27" s="1283" t="s">
        <v>272</v>
      </c>
      <c r="AJ27" s="1179"/>
      <c r="AK27" s="1127"/>
      <c r="AO27" s="1786"/>
      <c r="BA27" s="1786"/>
    </row>
    <row r="28" spans="1:75" ht="14.25" customHeight="1">
      <c r="A28" s="1127"/>
      <c r="B28" s="1179"/>
      <c r="C28" s="1809" t="s">
        <v>1436</v>
      </c>
      <c r="D28" s="2686" t="s">
        <v>1456</v>
      </c>
      <c r="E28" s="1179"/>
      <c r="F28" s="1179"/>
      <c r="G28" s="1179"/>
      <c r="H28" s="1179"/>
      <c r="I28" s="1179"/>
      <c r="J28" s="1179"/>
      <c r="K28" s="1179"/>
      <c r="L28" s="1179"/>
      <c r="M28" s="1179"/>
      <c r="N28" s="1179"/>
      <c r="O28" s="1179"/>
      <c r="P28" s="1179"/>
      <c r="Q28" s="1179"/>
      <c r="R28" s="1179"/>
      <c r="S28" s="1179"/>
      <c r="T28" s="1179"/>
      <c r="U28" s="1179"/>
      <c r="V28" s="1179"/>
      <c r="W28" s="1179"/>
      <c r="X28" s="1179"/>
      <c r="Y28" s="1179"/>
      <c r="Z28" s="1179"/>
      <c r="AA28" s="1179"/>
      <c r="AB28" s="1179"/>
      <c r="AC28" s="1179"/>
      <c r="AD28" s="1179"/>
      <c r="AE28" s="1179"/>
      <c r="AF28" s="1179"/>
      <c r="AG28" s="1179"/>
      <c r="AH28" s="1179"/>
      <c r="AI28" s="1179"/>
      <c r="AJ28" s="1179"/>
      <c r="AK28" s="1127"/>
      <c r="AO28" s="1786"/>
      <c r="BA28" s="1786"/>
      <c r="BE28" s="1785"/>
      <c r="BF28" s="1783"/>
    </row>
    <row r="29" spans="1:75" s="1715" customFormat="1" ht="13.5" customHeight="1">
      <c r="A29" s="1127"/>
      <c r="B29" s="1179"/>
      <c r="C29" s="1179"/>
      <c r="D29" s="1276" t="s">
        <v>1457</v>
      </c>
      <c r="E29" s="1179"/>
      <c r="F29" s="1179"/>
      <c r="G29" s="1179"/>
      <c r="H29" s="1179"/>
      <c r="I29" s="1179"/>
      <c r="J29" s="1179"/>
      <c r="K29" s="1179"/>
      <c r="L29" s="1179"/>
      <c r="M29" s="1179"/>
      <c r="N29" s="1179"/>
      <c r="O29" s="1179"/>
      <c r="P29" s="8525"/>
      <c r="Q29" s="8526"/>
      <c r="R29" s="8526"/>
      <c r="S29" s="8526"/>
      <c r="T29" s="8526"/>
      <c r="U29" s="8526"/>
      <c r="V29" s="8526"/>
      <c r="W29" s="8526"/>
      <c r="X29" s="8526"/>
      <c r="Y29" s="8526"/>
      <c r="Z29" s="8526"/>
      <c r="AA29" s="8526"/>
      <c r="AB29" s="8526"/>
      <c r="AC29" s="8526"/>
      <c r="AD29" s="8526"/>
      <c r="AE29" s="8526"/>
      <c r="AF29" s="8526"/>
      <c r="AG29" s="8526"/>
      <c r="AH29" s="8526"/>
      <c r="AI29" s="8526"/>
      <c r="AJ29" s="8526"/>
      <c r="AK29" s="1127"/>
      <c r="AL29" s="1779"/>
      <c r="AM29" s="1779"/>
      <c r="AN29" s="1785"/>
      <c r="AO29" s="1786"/>
      <c r="AP29" s="1779"/>
      <c r="AQ29" s="2595"/>
      <c r="AR29" s="2595"/>
      <c r="AS29" s="2595"/>
      <c r="AT29" s="2595"/>
      <c r="AU29" s="2595"/>
      <c r="AV29" s="2595"/>
      <c r="AW29" s="2595"/>
      <c r="AX29" s="2595"/>
      <c r="AY29" s="2595"/>
      <c r="AZ29" s="1785"/>
      <c r="BA29" s="1786"/>
      <c r="BB29" s="1779"/>
      <c r="BC29" s="1779"/>
      <c r="BD29" s="1779"/>
      <c r="BE29" s="1779"/>
      <c r="BF29" s="1779"/>
      <c r="BG29" s="1779"/>
      <c r="BH29" s="1779"/>
      <c r="BI29" s="1779"/>
      <c r="BJ29" s="1779"/>
      <c r="BK29" s="1779"/>
      <c r="BL29" s="1779"/>
      <c r="BM29" s="1779"/>
      <c r="BN29" s="1779"/>
      <c r="BO29" s="1779"/>
      <c r="BP29" s="1779"/>
      <c r="BQ29" s="1779"/>
      <c r="BR29" s="1779"/>
      <c r="BS29" s="1779"/>
      <c r="BT29" s="1779"/>
      <c r="BU29" s="1779"/>
      <c r="BV29" s="1779"/>
      <c r="BW29" s="1779"/>
    </row>
    <row r="30" spans="1:75" s="1715" customFormat="1" ht="15">
      <c r="A30" s="1127"/>
      <c r="B30" s="1179"/>
      <c r="C30" s="1556" t="s">
        <v>104</v>
      </c>
      <c r="D30" s="1179" t="s">
        <v>1458</v>
      </c>
      <c r="E30" s="1179"/>
      <c r="F30" s="1179"/>
      <c r="G30" s="1179"/>
      <c r="H30" s="1179"/>
      <c r="I30" s="1179"/>
      <c r="J30" s="1179"/>
      <c r="K30" s="1179"/>
      <c r="L30" s="1179"/>
      <c r="M30" s="1179"/>
      <c r="N30" s="1179"/>
      <c r="O30" s="1179"/>
      <c r="P30" s="1179"/>
      <c r="Q30" s="1179"/>
      <c r="R30" s="1179"/>
      <c r="S30" s="1179"/>
      <c r="T30" s="8612"/>
      <c r="U30" s="8613"/>
      <c r="V30" s="8613"/>
      <c r="W30" s="8613"/>
      <c r="X30" s="8613"/>
      <c r="Y30" s="8613"/>
      <c r="Z30" s="8613"/>
      <c r="AA30" s="8613"/>
      <c r="AB30" s="8613"/>
      <c r="AC30" s="8613"/>
      <c r="AD30" s="8613"/>
      <c r="AE30" s="8613"/>
      <c r="AF30" s="8613"/>
      <c r="AG30" s="8613"/>
      <c r="AH30" s="8613"/>
      <c r="AI30" s="8613"/>
      <c r="AJ30" s="8613"/>
      <c r="AK30" s="1127"/>
      <c r="AL30" s="1779"/>
      <c r="AM30" s="1779"/>
      <c r="AN30" s="1779"/>
      <c r="AO30" s="1786"/>
      <c r="AP30" s="1779"/>
      <c r="AQ30" s="2595"/>
      <c r="AR30" s="2595"/>
      <c r="AS30" s="2595"/>
      <c r="AT30" s="2595"/>
      <c r="AU30" s="2595"/>
      <c r="AV30" s="2595"/>
      <c r="AW30" s="2595"/>
      <c r="AX30" s="2595"/>
      <c r="AY30" s="2595"/>
      <c r="AZ30" s="1779"/>
      <c r="BA30" s="1786"/>
      <c r="BB30" s="1779"/>
      <c r="BC30" s="1779"/>
      <c r="BD30" s="1779"/>
      <c r="BE30" s="1785"/>
      <c r="BF30" s="1785"/>
      <c r="BG30" s="1779"/>
      <c r="BH30" s="1779"/>
      <c r="BI30" s="1779"/>
      <c r="BJ30" s="1779"/>
      <c r="BK30" s="1779"/>
      <c r="BL30" s="1779"/>
      <c r="BM30" s="1779"/>
      <c r="BN30" s="1779"/>
      <c r="BO30" s="1779"/>
      <c r="BP30" s="1779"/>
      <c r="BQ30" s="1779"/>
      <c r="BR30" s="1779"/>
      <c r="BS30" s="1779"/>
      <c r="BT30" s="1779"/>
      <c r="BU30" s="1779"/>
      <c r="BV30" s="1779"/>
      <c r="BW30" s="1779"/>
    </row>
    <row r="31" spans="1:75" s="1715" customFormat="1">
      <c r="A31" s="1127"/>
      <c r="B31" s="1553"/>
      <c r="C31" s="1553"/>
      <c r="D31" s="8614"/>
      <c r="E31" s="8615"/>
      <c r="F31" s="8615"/>
      <c r="G31" s="8615"/>
      <c r="H31" s="8615"/>
      <c r="I31" s="8615"/>
      <c r="J31" s="8615"/>
      <c r="K31" s="8615"/>
      <c r="L31" s="8615"/>
      <c r="M31" s="8615"/>
      <c r="N31" s="8615"/>
      <c r="O31" s="8615"/>
      <c r="P31" s="8615"/>
      <c r="Q31" s="8615"/>
      <c r="R31" s="8615"/>
      <c r="S31" s="8615"/>
      <c r="T31" s="8615"/>
      <c r="U31" s="8615"/>
      <c r="V31" s="8615"/>
      <c r="W31" s="8615"/>
      <c r="X31" s="8615"/>
      <c r="Y31" s="8615"/>
      <c r="Z31" s="8615"/>
      <c r="AA31" s="8615"/>
      <c r="AB31" s="8615"/>
      <c r="AC31" s="8615"/>
      <c r="AD31" s="8615"/>
      <c r="AE31" s="8615"/>
      <c r="AF31" s="8615"/>
      <c r="AG31" s="8615"/>
      <c r="AH31" s="8615"/>
      <c r="AI31" s="8615"/>
      <c r="AJ31" s="8615"/>
      <c r="AK31" s="1127"/>
      <c r="AL31" s="1779"/>
      <c r="AM31" s="1787"/>
      <c r="AN31" s="1779"/>
      <c r="AO31" s="1786"/>
      <c r="AP31" s="1779"/>
      <c r="AQ31" s="2595"/>
      <c r="AR31" s="2595"/>
      <c r="AS31" s="2595"/>
      <c r="AT31" s="2595"/>
      <c r="AU31" s="2595"/>
      <c r="AV31" s="2595"/>
      <c r="AW31" s="2595"/>
      <c r="AX31" s="2595"/>
      <c r="AY31" s="2595"/>
      <c r="AZ31" s="1779"/>
      <c r="BA31" s="1786"/>
      <c r="BB31" s="1779"/>
      <c r="BC31" s="1779"/>
      <c r="BD31" s="1779"/>
      <c r="BE31" s="1785"/>
      <c r="BF31" s="1783"/>
      <c r="BG31" s="1779"/>
      <c r="BH31" s="1779"/>
      <c r="BI31" s="1779"/>
      <c r="BJ31" s="1779"/>
      <c r="BK31" s="1779"/>
      <c r="BL31" s="1779"/>
      <c r="BM31" s="1779"/>
      <c r="BN31" s="1779"/>
      <c r="BO31" s="1779"/>
      <c r="BP31" s="1779"/>
      <c r="BQ31" s="1779"/>
      <c r="BR31" s="1779"/>
      <c r="BS31" s="1779"/>
      <c r="BT31" s="1779"/>
      <c r="BU31" s="1779"/>
      <c r="BV31" s="1779"/>
      <c r="BW31" s="1779"/>
    </row>
    <row r="32" spans="1:75" s="1715" customFormat="1" ht="6" customHeight="1">
      <c r="A32" s="1127"/>
      <c r="B32" s="5707"/>
      <c r="C32" s="5707"/>
      <c r="D32" s="5707"/>
      <c r="E32" s="5707"/>
      <c r="F32" s="5707"/>
      <c r="G32" s="5707"/>
      <c r="H32" s="5707"/>
      <c r="I32" s="5707"/>
      <c r="J32" s="5707"/>
      <c r="K32" s="5707"/>
      <c r="L32" s="5707"/>
      <c r="M32" s="5707"/>
      <c r="N32" s="5707"/>
      <c r="O32" s="5707"/>
      <c r="P32" s="5707"/>
      <c r="Q32" s="5707"/>
      <c r="R32" s="5707"/>
      <c r="S32" s="5707"/>
      <c r="T32" s="5707"/>
      <c r="U32" s="5707"/>
      <c r="V32" s="5707"/>
      <c r="W32" s="5707"/>
      <c r="X32" s="5707"/>
      <c r="Y32" s="5707"/>
      <c r="Z32" s="5707"/>
      <c r="AA32" s="5707"/>
      <c r="AB32" s="5707"/>
      <c r="AC32" s="5707"/>
      <c r="AD32" s="5707"/>
      <c r="AE32" s="5707"/>
      <c r="AF32" s="5707"/>
      <c r="AG32" s="5707"/>
      <c r="AH32" s="5707"/>
      <c r="AI32" s="5707"/>
      <c r="AJ32" s="5707"/>
      <c r="AK32" s="1127"/>
      <c r="AL32" s="1779"/>
      <c r="AM32" s="1788"/>
      <c r="AN32" s="1779"/>
      <c r="AO32" s="1786"/>
      <c r="AP32" s="1779"/>
      <c r="AQ32" s="2595"/>
      <c r="AR32" s="2595"/>
      <c r="AS32" s="2595"/>
      <c r="AT32" s="2595"/>
      <c r="AU32" s="2595"/>
      <c r="AV32" s="2595"/>
      <c r="AW32" s="2595"/>
      <c r="AX32" s="2595"/>
      <c r="AY32" s="2595"/>
      <c r="AZ32" s="1779"/>
      <c r="BA32" s="1786"/>
      <c r="BB32" s="1779"/>
      <c r="BC32" s="1779"/>
      <c r="BD32" s="1779"/>
      <c r="BE32" s="1779"/>
      <c r="BF32" s="1779"/>
      <c r="BG32" s="1779"/>
      <c r="BH32" s="1779"/>
      <c r="BI32" s="1779"/>
      <c r="BJ32" s="1779"/>
      <c r="BK32" s="1779"/>
      <c r="BL32" s="1779"/>
      <c r="BM32" s="1779"/>
      <c r="BN32" s="1779"/>
      <c r="BO32" s="1779"/>
      <c r="BP32" s="1779"/>
      <c r="BQ32" s="1779"/>
      <c r="BR32" s="1779"/>
      <c r="BS32" s="1779"/>
      <c r="BT32" s="1779"/>
      <c r="BU32" s="1779"/>
      <c r="BV32" s="1779"/>
      <c r="BW32" s="1779"/>
    </row>
    <row r="33" spans="1:75" s="1715" customFormat="1" ht="15.75" customHeight="1">
      <c r="A33" s="1127"/>
      <c r="B33" s="8622" t="s">
        <v>1674</v>
      </c>
      <c r="C33" s="8622"/>
      <c r="D33" s="8622"/>
      <c r="E33" s="8622"/>
      <c r="F33" s="8622"/>
      <c r="G33" s="8622"/>
      <c r="H33" s="8622"/>
      <c r="I33" s="8622"/>
      <c r="J33" s="8622"/>
      <c r="K33" s="8622"/>
      <c r="L33" s="8622"/>
      <c r="M33" s="8622"/>
      <c r="N33" s="8622"/>
      <c r="O33" s="8622"/>
      <c r="P33" s="8622"/>
      <c r="Q33" s="8622"/>
      <c r="R33" s="8622"/>
      <c r="S33" s="8622"/>
      <c r="T33" s="8622"/>
      <c r="U33" s="8622"/>
      <c r="V33" s="8622"/>
      <c r="W33" s="8622"/>
      <c r="X33" s="8622"/>
      <c r="Y33" s="8622"/>
      <c r="Z33" s="8622"/>
      <c r="AA33" s="8622"/>
      <c r="AB33" s="8622"/>
      <c r="AC33" s="8622"/>
      <c r="AD33" s="8622"/>
      <c r="AE33" s="8622"/>
      <c r="AF33" s="8622"/>
      <c r="AG33" s="8622"/>
      <c r="AH33" s="8622"/>
      <c r="AI33" s="8622"/>
      <c r="AJ33" s="8622"/>
      <c r="AK33" s="1127"/>
      <c r="AL33" s="1779"/>
      <c r="AM33" s="1787"/>
      <c r="AN33" s="1785"/>
      <c r="AO33" s="1786"/>
      <c r="AP33" s="1779"/>
      <c r="AQ33" s="2595"/>
      <c r="AR33" s="2595"/>
      <c r="AS33" s="2595"/>
      <c r="AT33" s="2595"/>
      <c r="AU33" s="2595"/>
      <c r="AV33" s="2595"/>
      <c r="AW33" s="2595"/>
      <c r="AX33" s="2595"/>
      <c r="AY33" s="2595"/>
      <c r="AZ33" s="1785"/>
      <c r="BA33" s="1786"/>
      <c r="BB33" s="1779"/>
      <c r="BC33" s="1779"/>
      <c r="BD33" s="1779"/>
      <c r="BE33" s="1779"/>
      <c r="BF33" s="1779"/>
      <c r="BG33" s="1779"/>
      <c r="BH33" s="1779"/>
      <c r="BI33" s="1779"/>
      <c r="BJ33" s="1779"/>
      <c r="BK33" s="1779"/>
      <c r="BL33" s="1779"/>
      <c r="BM33" s="1779"/>
      <c r="BN33" s="1779"/>
      <c r="BO33" s="1779"/>
      <c r="BP33" s="1779"/>
      <c r="BQ33" s="1779"/>
      <c r="BR33" s="1779"/>
      <c r="BS33" s="1779"/>
      <c r="BT33" s="1779"/>
      <c r="BU33" s="1779"/>
      <c r="BV33" s="1779"/>
      <c r="BW33" s="1779"/>
    </row>
    <row r="34" spans="1:75" s="1715" customFormat="1" ht="15.75" customHeight="1">
      <c r="A34" s="1127"/>
      <c r="B34" s="8622" t="s">
        <v>1459</v>
      </c>
      <c r="C34" s="8622"/>
      <c r="D34" s="8622"/>
      <c r="E34" s="8622"/>
      <c r="F34" s="8622"/>
      <c r="G34" s="8622"/>
      <c r="H34" s="8622"/>
      <c r="I34" s="8622"/>
      <c r="J34" s="8622"/>
      <c r="K34" s="8622"/>
      <c r="L34" s="8622"/>
      <c r="M34" s="8622"/>
      <c r="N34" s="8622"/>
      <c r="O34" s="8622"/>
      <c r="P34" s="8622"/>
      <c r="Q34" s="8622"/>
      <c r="R34" s="8622"/>
      <c r="S34" s="8622"/>
      <c r="T34" s="8622"/>
      <c r="U34" s="8622"/>
      <c r="V34" s="8622"/>
      <c r="W34" s="8622"/>
      <c r="X34" s="8622"/>
      <c r="Y34" s="8622"/>
      <c r="Z34" s="8622"/>
      <c r="AA34" s="8622"/>
      <c r="AB34" s="8622"/>
      <c r="AC34" s="8622"/>
      <c r="AD34" s="8622"/>
      <c r="AE34" s="8622"/>
      <c r="AF34" s="8622"/>
      <c r="AG34" s="8622"/>
      <c r="AH34" s="8622"/>
      <c r="AI34" s="8622"/>
      <c r="AJ34" s="8622"/>
      <c r="AK34" s="1127"/>
      <c r="AL34" s="1779"/>
      <c r="AM34" s="1787"/>
      <c r="AN34" s="1785"/>
      <c r="AO34" s="1786"/>
      <c r="AP34" s="1779"/>
      <c r="AQ34" s="2595"/>
      <c r="AR34" s="2595"/>
      <c r="AS34" s="2595"/>
      <c r="AT34" s="2595"/>
      <c r="AU34" s="2595"/>
      <c r="AV34" s="2595"/>
      <c r="AW34" s="2595"/>
      <c r="AX34" s="2595"/>
      <c r="AY34" s="2595"/>
      <c r="AZ34" s="1785"/>
      <c r="BA34" s="1786"/>
      <c r="BB34" s="1779"/>
      <c r="BC34" s="1779"/>
      <c r="BD34" s="1779"/>
      <c r="BE34" s="1779"/>
      <c r="BF34" s="1779"/>
      <c r="BG34" s="1779"/>
      <c r="BH34" s="1779"/>
      <c r="BI34" s="1779"/>
      <c r="BJ34" s="1779"/>
      <c r="BK34" s="1779"/>
      <c r="BL34" s="1779"/>
      <c r="BM34" s="1779"/>
      <c r="BN34" s="1779"/>
      <c r="BO34" s="1779"/>
      <c r="BP34" s="1779"/>
      <c r="BQ34" s="1779"/>
      <c r="BR34" s="1779"/>
      <c r="BS34" s="1779"/>
      <c r="BT34" s="1779"/>
      <c r="BU34" s="1779"/>
      <c r="BV34" s="1779"/>
      <c r="BW34" s="1779"/>
    </row>
    <row r="35" spans="1:75" s="1715" customFormat="1" ht="6" customHeight="1">
      <c r="A35" s="1127"/>
      <c r="B35" s="1179"/>
      <c r="C35" s="1179"/>
      <c r="D35" s="1179"/>
      <c r="E35" s="1179"/>
      <c r="F35" s="1179"/>
      <c r="G35" s="1179"/>
      <c r="H35" s="1179"/>
      <c r="I35" s="1179"/>
      <c r="J35" s="1179"/>
      <c r="K35" s="1179"/>
      <c r="L35" s="1179"/>
      <c r="M35" s="1179"/>
      <c r="N35" s="1179"/>
      <c r="O35" s="1179"/>
      <c r="P35" s="1179"/>
      <c r="Q35" s="1179"/>
      <c r="R35" s="1179"/>
      <c r="S35" s="1179"/>
      <c r="T35" s="1179"/>
      <c r="U35" s="1179"/>
      <c r="V35" s="1179"/>
      <c r="W35" s="1179"/>
      <c r="X35" s="1179"/>
      <c r="Y35" s="1179"/>
      <c r="Z35" s="1179"/>
      <c r="AA35" s="1179"/>
      <c r="AB35" s="1179"/>
      <c r="AC35" s="1179"/>
      <c r="AD35" s="1179"/>
      <c r="AE35" s="1179"/>
      <c r="AF35" s="1179"/>
      <c r="AG35" s="1179"/>
      <c r="AH35" s="1179"/>
      <c r="AI35" s="1179"/>
      <c r="AJ35" s="1179"/>
      <c r="AK35" s="1127"/>
      <c r="AL35" s="1779"/>
      <c r="AM35" s="1779"/>
      <c r="AN35" s="1779"/>
      <c r="AO35" s="1789"/>
      <c r="AP35" s="1779"/>
      <c r="AQ35" s="2595"/>
      <c r="AR35" s="2595"/>
      <c r="AS35" s="2595"/>
      <c r="AT35" s="2595"/>
      <c r="AU35" s="2595"/>
      <c r="AV35" s="2595"/>
      <c r="AW35" s="2595"/>
      <c r="AX35" s="2595"/>
      <c r="AY35" s="2595"/>
      <c r="AZ35" s="1779"/>
      <c r="BA35" s="1789"/>
      <c r="BB35" s="1779"/>
      <c r="BC35" s="1779"/>
      <c r="BD35" s="1779"/>
      <c r="BE35" s="1785"/>
      <c r="BF35" s="1783"/>
      <c r="BG35" s="1779"/>
      <c r="BH35" s="1779"/>
      <c r="BI35" s="1779"/>
      <c r="BJ35" s="1779"/>
      <c r="BK35" s="1779"/>
      <c r="BL35" s="1779"/>
      <c r="BM35" s="1779"/>
      <c r="BN35" s="1779"/>
      <c r="BO35" s="1779"/>
      <c r="BP35" s="1779"/>
      <c r="BQ35" s="1779"/>
      <c r="BR35" s="1779"/>
      <c r="BS35" s="1779"/>
      <c r="BT35" s="1779"/>
      <c r="BU35" s="1779"/>
      <c r="BV35" s="1779"/>
      <c r="BW35" s="1779"/>
    </row>
    <row r="36" spans="1:75" ht="5.25" customHeight="1">
      <c r="A36" s="1127"/>
      <c r="B36" s="1772"/>
      <c r="C36" s="1772"/>
      <c r="D36" s="1772"/>
      <c r="E36" s="1772"/>
      <c r="F36" s="1772"/>
      <c r="G36" s="1772"/>
      <c r="H36" s="1772"/>
      <c r="I36" s="1772"/>
      <c r="J36" s="1772"/>
      <c r="K36" s="1772"/>
      <c r="L36" s="1772"/>
      <c r="M36" s="1772"/>
      <c r="N36" s="1772"/>
      <c r="O36" s="1772"/>
      <c r="P36" s="1772"/>
      <c r="Q36" s="1772"/>
      <c r="R36" s="1772"/>
      <c r="S36" s="1772"/>
      <c r="T36" s="1772"/>
      <c r="U36" s="1772"/>
      <c r="V36" s="1772"/>
      <c r="W36" s="1772"/>
      <c r="X36" s="1772"/>
      <c r="Y36" s="1772"/>
      <c r="Z36" s="1772"/>
      <c r="AA36" s="1772"/>
      <c r="AB36" s="1772"/>
      <c r="AC36" s="1772"/>
      <c r="AD36" s="1772"/>
      <c r="AE36" s="1772"/>
      <c r="AF36" s="1772"/>
      <c r="AG36" s="1772"/>
      <c r="AH36" s="1772"/>
      <c r="AI36" s="1772"/>
      <c r="AJ36" s="1772"/>
      <c r="AK36" s="1127"/>
    </row>
    <row r="37" spans="1:75" ht="15" customHeight="1">
      <c r="A37" s="1127"/>
      <c r="B37" s="8524" t="s">
        <v>118</v>
      </c>
      <c r="C37" s="6206"/>
      <c r="D37" s="5706" t="s">
        <v>5417</v>
      </c>
      <c r="E37" s="1776"/>
      <c r="F37" s="1776"/>
      <c r="G37" s="1776"/>
      <c r="H37" s="1776"/>
      <c r="I37" s="1776"/>
      <c r="J37" s="1776"/>
      <c r="K37" s="1776"/>
      <c r="L37" s="1776"/>
      <c r="M37" s="1776"/>
      <c r="N37" s="1776"/>
      <c r="O37" s="1776"/>
      <c r="P37" s="1776"/>
      <c r="Q37" s="1776"/>
      <c r="R37" s="1776"/>
      <c r="S37" s="1776"/>
      <c r="T37" s="1776"/>
      <c r="U37" s="1776"/>
      <c r="V37" s="1776"/>
      <c r="W37" s="1776"/>
      <c r="X37" s="1776"/>
      <c r="Y37" s="1776"/>
      <c r="Z37" s="1776"/>
      <c r="AA37" s="1776"/>
      <c r="AB37" s="1776"/>
      <c r="AC37" s="1776"/>
      <c r="AD37" s="1776"/>
      <c r="AE37" s="1776"/>
      <c r="AF37" s="1776"/>
      <c r="AG37" s="1776"/>
      <c r="AH37" s="1776"/>
      <c r="AI37" s="1776"/>
      <c r="AJ37" s="1776"/>
      <c r="AK37" s="1127"/>
    </row>
    <row r="38" spans="1:75" ht="15.75" customHeight="1">
      <c r="A38" s="1127"/>
      <c r="B38" s="1776"/>
      <c r="C38" s="1776"/>
      <c r="D38" s="1776"/>
      <c r="E38" s="8621" t="s">
        <v>5415</v>
      </c>
      <c r="F38" s="8621"/>
      <c r="G38" s="8621"/>
      <c r="H38" s="8621"/>
      <c r="I38" s="8621"/>
      <c r="J38" s="8621"/>
      <c r="K38" s="8621"/>
      <c r="L38" s="8621"/>
      <c r="M38" s="8621"/>
      <c r="N38" s="8621"/>
      <c r="O38" s="8621"/>
      <c r="P38" s="8621"/>
      <c r="Q38" s="8621"/>
      <c r="R38" s="8621"/>
      <c r="S38" s="8621"/>
      <c r="T38" s="8621"/>
      <c r="U38" s="8621"/>
      <c r="V38" s="8621"/>
      <c r="W38" s="8621"/>
      <c r="X38" s="8621"/>
      <c r="Y38" s="8621"/>
      <c r="Z38" s="8621"/>
      <c r="AA38" s="8621"/>
      <c r="AB38" s="8621"/>
      <c r="AC38" s="8621"/>
      <c r="AD38" s="8621"/>
      <c r="AE38" s="8621"/>
      <c r="AF38" s="8621"/>
      <c r="AG38" s="8621"/>
      <c r="AH38" s="8621"/>
      <c r="AI38" s="8621"/>
      <c r="AJ38" s="8621"/>
      <c r="AK38" s="1127"/>
    </row>
    <row r="39" spans="1:75" ht="15.75" customHeight="1">
      <c r="A39" s="1127"/>
      <c r="B39" s="1777"/>
      <c r="C39" s="1777"/>
      <c r="D39" s="1777"/>
      <c r="E39" s="3086" t="s">
        <v>5416</v>
      </c>
      <c r="F39" s="4980"/>
      <c r="G39" s="4980"/>
      <c r="H39" s="4980"/>
      <c r="I39" s="4980"/>
      <c r="J39" s="4980"/>
      <c r="K39" s="4980"/>
      <c r="L39" s="4980"/>
      <c r="M39" s="4980"/>
      <c r="N39" s="4980"/>
      <c r="O39" s="4980"/>
      <c r="P39" s="4980"/>
      <c r="Q39" s="4980"/>
      <c r="R39" s="4980"/>
      <c r="S39" s="4980"/>
      <c r="T39" s="4980"/>
      <c r="U39" s="4980"/>
      <c r="V39" s="4980"/>
      <c r="W39" s="4980"/>
      <c r="X39" s="4980"/>
      <c r="Y39" s="4980"/>
      <c r="Z39" s="4980"/>
      <c r="AA39" s="4980"/>
      <c r="AB39" s="4980"/>
      <c r="AC39" s="4980"/>
      <c r="AD39" s="4980"/>
      <c r="AE39" s="4980"/>
      <c r="AF39" s="4980"/>
      <c r="AG39" s="4980"/>
      <c r="AH39" s="4980"/>
      <c r="AI39" s="4980"/>
      <c r="AJ39" s="4980"/>
      <c r="AK39" s="1127"/>
    </row>
    <row r="40" spans="1:75" s="1715" customFormat="1" ht="13.5" customHeight="1">
      <c r="A40" s="1127"/>
      <c r="B40" s="1179"/>
      <c r="C40" s="1556" t="s">
        <v>105</v>
      </c>
      <c r="D40" s="1276" t="s">
        <v>1460</v>
      </c>
      <c r="E40" s="1179"/>
      <c r="F40" s="1179"/>
      <c r="G40" s="1179"/>
      <c r="H40" s="1179"/>
      <c r="I40" s="1179"/>
      <c r="J40" s="1179"/>
      <c r="K40" s="1179"/>
      <c r="L40" s="8609"/>
      <c r="M40" s="8610"/>
      <c r="N40" s="8610"/>
      <c r="O40" s="8610"/>
      <c r="P40" s="8610"/>
      <c r="Q40" s="8610"/>
      <c r="R40" s="8610"/>
      <c r="S40" s="8610"/>
      <c r="T40" s="8610"/>
      <c r="U40" s="1276" t="s">
        <v>1461</v>
      </c>
      <c r="V40" s="1179"/>
      <c r="W40" s="1179"/>
      <c r="X40" s="1179"/>
      <c r="Y40" s="8609"/>
      <c r="Z40" s="8610"/>
      <c r="AA40" s="8610"/>
      <c r="AB40" s="8610"/>
      <c r="AC40" s="8610"/>
      <c r="AD40" s="8610"/>
      <c r="AE40" s="8610"/>
      <c r="AF40" s="8610"/>
      <c r="AG40" s="8610"/>
      <c r="AH40" s="8611"/>
      <c r="AI40" s="8611"/>
      <c r="AJ40" s="8611"/>
      <c r="AK40" s="1127"/>
      <c r="AL40" s="1779"/>
      <c r="AM40" s="1779"/>
      <c r="AN40" s="1779"/>
      <c r="AO40" s="1786"/>
      <c r="AP40" s="1779"/>
      <c r="AQ40" s="2595"/>
      <c r="AR40" s="2595"/>
      <c r="AS40" s="2595"/>
      <c r="AT40" s="2595"/>
      <c r="AU40" s="2595"/>
      <c r="AV40" s="2595"/>
      <c r="AW40" s="2595"/>
      <c r="AX40" s="2595"/>
      <c r="AY40" s="2595"/>
      <c r="AZ40" s="1779"/>
      <c r="BA40" s="1786"/>
      <c r="BB40" s="1779"/>
      <c r="BC40" s="1779"/>
      <c r="BD40" s="1779"/>
      <c r="BE40" s="1779"/>
      <c r="BF40" s="1779"/>
      <c r="BG40" s="1779"/>
      <c r="BH40" s="1779"/>
      <c r="BI40" s="1779"/>
      <c r="BJ40" s="1779"/>
      <c r="BK40" s="1779"/>
      <c r="BL40" s="1779"/>
      <c r="BM40" s="1779"/>
      <c r="BN40" s="1779"/>
      <c r="BO40" s="1779"/>
      <c r="BP40" s="1779"/>
      <c r="BQ40" s="1779"/>
      <c r="BR40" s="1779"/>
      <c r="BS40" s="1779"/>
      <c r="BT40" s="1779"/>
      <c r="BU40" s="1779"/>
      <c r="BV40" s="1779"/>
      <c r="BW40" s="1779"/>
    </row>
    <row r="41" spans="1:75" ht="5.25" customHeight="1" thickBot="1">
      <c r="A41" s="1127"/>
      <c r="B41" s="1179"/>
      <c r="C41" s="1179"/>
      <c r="D41" s="1179"/>
      <c r="E41" s="1179"/>
      <c r="F41" s="1179"/>
      <c r="G41" s="1179"/>
      <c r="H41" s="1179"/>
      <c r="I41" s="1179"/>
      <c r="J41" s="1179"/>
      <c r="K41" s="1179"/>
      <c r="L41" s="1179"/>
      <c r="M41" s="1179"/>
      <c r="N41" s="1179"/>
      <c r="O41" s="1179"/>
      <c r="P41" s="1179"/>
      <c r="Q41" s="1179"/>
      <c r="R41" s="1179"/>
      <c r="S41" s="1179"/>
      <c r="T41" s="1179"/>
      <c r="U41" s="1179"/>
      <c r="V41" s="1179"/>
      <c r="W41" s="1179"/>
      <c r="X41" s="1179"/>
      <c r="Y41" s="1179"/>
      <c r="Z41" s="1179"/>
      <c r="AA41" s="1179"/>
      <c r="AB41" s="1179"/>
      <c r="AC41" s="1179"/>
      <c r="AD41" s="1179"/>
      <c r="AE41" s="1179"/>
      <c r="AF41" s="1179"/>
      <c r="AG41" s="1179"/>
      <c r="AH41" s="1179"/>
      <c r="AI41" s="1179"/>
      <c r="AJ41" s="1179"/>
      <c r="AK41" s="1127"/>
      <c r="BL41" s="1793"/>
      <c r="BM41" s="1793"/>
      <c r="BO41" s="1793"/>
      <c r="BP41" s="1793"/>
      <c r="BQ41" s="1793"/>
      <c r="BR41" s="1793"/>
      <c r="BS41" s="1793"/>
      <c r="BT41" s="1793"/>
      <c r="BU41" s="1793"/>
      <c r="BV41" s="1793"/>
    </row>
    <row r="42" spans="1:75" s="1715" customFormat="1" ht="13.5" customHeight="1" thickBot="1">
      <c r="A42" s="1127"/>
      <c r="B42" s="1179"/>
      <c r="C42" s="1556" t="s">
        <v>657</v>
      </c>
      <c r="D42" s="1276" t="s">
        <v>1462</v>
      </c>
      <c r="E42" s="1179"/>
      <c r="F42" s="1179"/>
      <c r="G42" s="1179"/>
      <c r="H42" s="1179"/>
      <c r="I42" s="1179"/>
      <c r="J42" s="1179"/>
      <c r="K42" s="1179"/>
      <c r="L42" s="1179"/>
      <c r="M42" s="1179"/>
      <c r="N42" s="1813" t="s">
        <v>33</v>
      </c>
      <c r="O42" s="1181"/>
      <c r="P42" s="1276" t="s">
        <v>1463</v>
      </c>
      <c r="Q42" s="1179"/>
      <c r="R42" s="1179"/>
      <c r="S42" s="1179"/>
      <c r="T42" s="1179"/>
      <c r="U42" s="1813" t="s">
        <v>47</v>
      </c>
      <c r="V42" s="1181"/>
      <c r="W42" s="1276" t="s">
        <v>1464</v>
      </c>
      <c r="X42" s="1179"/>
      <c r="Y42" s="1179"/>
      <c r="Z42" s="1179"/>
      <c r="AA42" s="1179"/>
      <c r="AB42" s="1179"/>
      <c r="AC42" s="1179"/>
      <c r="AD42" s="1813" t="s">
        <v>48</v>
      </c>
      <c r="AE42" s="1181"/>
      <c r="AF42" s="1276" t="s">
        <v>1465</v>
      </c>
      <c r="AG42" s="1179"/>
      <c r="AH42" s="1179"/>
      <c r="AI42" s="1179"/>
      <c r="AJ42" s="1179"/>
      <c r="AK42" s="1127"/>
      <c r="AL42" s="1779"/>
      <c r="AM42" s="1779"/>
      <c r="AN42" s="1785"/>
      <c r="AO42" s="1786"/>
      <c r="AP42" s="1779"/>
      <c r="AQ42" s="2595"/>
      <c r="AR42" s="2595"/>
      <c r="AS42" s="2595"/>
      <c r="AT42" s="2595"/>
      <c r="AU42" s="2595"/>
      <c r="AV42" s="2595"/>
      <c r="AW42" s="2595"/>
      <c r="AX42" s="2595"/>
      <c r="AY42" s="2595"/>
      <c r="AZ42" s="1785"/>
      <c r="BA42" s="1786"/>
      <c r="BB42" s="1779"/>
      <c r="BC42" s="1779"/>
      <c r="BD42" s="1779"/>
      <c r="BE42" s="1779"/>
      <c r="BF42" s="1785"/>
      <c r="BG42" s="1784"/>
      <c r="BH42" s="1779"/>
      <c r="BI42" s="1779"/>
      <c r="BJ42" s="1779"/>
      <c r="BK42" s="1779"/>
      <c r="BL42" s="1779"/>
      <c r="BM42" s="1779"/>
      <c r="BN42" s="1779"/>
      <c r="BO42" s="1779"/>
      <c r="BP42" s="1779"/>
      <c r="BQ42" s="1779"/>
      <c r="BR42" s="1779"/>
      <c r="BS42" s="1779"/>
      <c r="BT42" s="1779"/>
      <c r="BU42" s="1779"/>
      <c r="BV42" s="1779"/>
      <c r="BW42" s="1779"/>
    </row>
    <row r="43" spans="1:75" s="1715" customFormat="1" ht="5.25" customHeight="1" thickBot="1">
      <c r="A43" s="1127"/>
      <c r="B43" s="1179"/>
      <c r="C43" s="1179"/>
      <c r="D43" s="1179"/>
      <c r="E43" s="1179"/>
      <c r="F43" s="1179"/>
      <c r="G43" s="1179"/>
      <c r="H43" s="1179"/>
      <c r="I43" s="1179"/>
      <c r="J43" s="1179"/>
      <c r="K43" s="1179"/>
      <c r="L43" s="1179"/>
      <c r="M43" s="1179"/>
      <c r="N43" s="1179"/>
      <c r="O43" s="1179"/>
      <c r="P43" s="1179"/>
      <c r="Q43" s="1179"/>
      <c r="R43" s="1179"/>
      <c r="S43" s="1179"/>
      <c r="T43" s="1179"/>
      <c r="U43" s="1179"/>
      <c r="V43" s="1179"/>
      <c r="W43" s="1179"/>
      <c r="X43" s="1179"/>
      <c r="Y43" s="1179"/>
      <c r="Z43" s="1179"/>
      <c r="AA43" s="1179"/>
      <c r="AB43" s="1179"/>
      <c r="AC43" s="1179"/>
      <c r="AD43" s="1179"/>
      <c r="AE43" s="1179"/>
      <c r="AF43" s="1179"/>
      <c r="AG43" s="1179"/>
      <c r="AH43" s="1179"/>
      <c r="AI43" s="1179"/>
      <c r="AJ43" s="1179"/>
      <c r="AK43" s="1127"/>
      <c r="AL43" s="1779"/>
      <c r="AM43" s="1779"/>
      <c r="AN43" s="1779"/>
      <c r="AO43" s="1786"/>
      <c r="AP43" s="1779"/>
      <c r="AQ43" s="2595"/>
      <c r="AR43" s="2595"/>
      <c r="AS43" s="2595"/>
      <c r="AT43" s="2595"/>
      <c r="AU43" s="2595"/>
      <c r="AV43" s="2595"/>
      <c r="AW43" s="2595"/>
      <c r="AX43" s="2595"/>
      <c r="AY43" s="2595"/>
      <c r="AZ43" s="1779"/>
      <c r="BA43" s="1786"/>
      <c r="BB43" s="1779"/>
      <c r="BC43" s="1779"/>
      <c r="BD43" s="1779"/>
      <c r="BE43" s="1779"/>
      <c r="BF43" s="1779"/>
      <c r="BG43" s="1779"/>
      <c r="BH43" s="1779"/>
      <c r="BI43" s="1779"/>
      <c r="BJ43" s="1779"/>
      <c r="BK43" s="1779"/>
      <c r="BL43" s="1779"/>
      <c r="BM43" s="1779"/>
      <c r="BN43" s="1779"/>
      <c r="BO43" s="1779"/>
      <c r="BP43" s="1779"/>
      <c r="BQ43" s="1779"/>
      <c r="BR43" s="1779"/>
      <c r="BS43" s="1779"/>
      <c r="BT43" s="1779"/>
      <c r="BU43" s="1779"/>
      <c r="BV43" s="1779"/>
      <c r="BW43" s="1779"/>
    </row>
    <row r="44" spans="1:75" s="1715" customFormat="1" ht="13.5" customHeight="1" thickBot="1">
      <c r="A44" s="1127"/>
      <c r="B44" s="1179"/>
      <c r="C44" s="1179"/>
      <c r="D44" s="1179"/>
      <c r="E44" s="1179"/>
      <c r="F44" s="1179"/>
      <c r="G44" s="1179"/>
      <c r="H44" s="1179"/>
      <c r="I44" s="1179"/>
      <c r="J44" s="1179"/>
      <c r="K44" s="1179"/>
      <c r="L44" s="1179"/>
      <c r="M44" s="1179"/>
      <c r="N44" s="1813" t="s">
        <v>92</v>
      </c>
      <c r="O44" s="1181"/>
      <c r="P44" s="1276" t="s">
        <v>1466</v>
      </c>
      <c r="Q44" s="1179"/>
      <c r="R44" s="1179"/>
      <c r="S44" s="1179"/>
      <c r="T44" s="1179"/>
      <c r="U44" s="1179"/>
      <c r="V44" s="1179"/>
      <c r="W44" s="1179"/>
      <c r="X44" s="1179"/>
      <c r="Y44" s="1179"/>
      <c r="Z44" s="1179"/>
      <c r="AA44" s="1179"/>
      <c r="AB44" s="1179"/>
      <c r="AC44" s="1179"/>
      <c r="AD44" s="1179"/>
      <c r="AE44" s="1179"/>
      <c r="AF44" s="1179"/>
      <c r="AG44" s="1179"/>
      <c r="AH44" s="1179"/>
      <c r="AI44" s="1179"/>
      <c r="AJ44" s="1179"/>
      <c r="AK44" s="1127"/>
      <c r="AL44" s="1779"/>
      <c r="AM44" s="1779"/>
      <c r="AN44" s="1785"/>
      <c r="AO44" s="1786"/>
      <c r="AP44" s="1779"/>
      <c r="AQ44" s="2595"/>
      <c r="AR44" s="2595"/>
      <c r="AS44" s="2595"/>
      <c r="AT44" s="2595"/>
      <c r="AU44" s="2595"/>
      <c r="AV44" s="2595"/>
      <c r="AW44" s="2595"/>
      <c r="AX44" s="2595"/>
      <c r="AY44" s="2595"/>
      <c r="AZ44" s="1785"/>
      <c r="BA44" s="1786"/>
      <c r="BB44" s="1779"/>
      <c r="BC44" s="1779"/>
      <c r="BD44" s="1779"/>
      <c r="BE44" s="1779"/>
      <c r="BF44" s="1785"/>
      <c r="BG44" s="1784"/>
      <c r="BH44" s="1779"/>
      <c r="BI44" s="1790"/>
      <c r="BJ44" s="1790"/>
      <c r="BK44" s="1779"/>
      <c r="BL44" s="1779"/>
      <c r="BM44" s="1779"/>
      <c r="BN44" s="1779"/>
      <c r="BO44" s="1779"/>
      <c r="BP44" s="1779"/>
      <c r="BQ44" s="1779"/>
      <c r="BR44" s="1779"/>
      <c r="BS44" s="1779"/>
      <c r="BT44" s="1779"/>
      <c r="BU44" s="1779"/>
      <c r="BV44" s="1779"/>
      <c r="BW44" s="1779"/>
    </row>
    <row r="45" spans="1:75" s="1715" customFormat="1" ht="15.75" thickBot="1">
      <c r="A45" s="1127"/>
      <c r="B45" s="1179"/>
      <c r="C45" s="1809" t="s">
        <v>1468</v>
      </c>
      <c r="D45" s="1179" t="s">
        <v>1467</v>
      </c>
      <c r="E45" s="1179"/>
      <c r="F45" s="1179"/>
      <c r="G45" s="1179"/>
      <c r="H45" s="1179"/>
      <c r="I45" s="1179"/>
      <c r="J45" s="1179"/>
      <c r="K45" s="1179"/>
      <c r="L45" s="1179"/>
      <c r="M45" s="1179"/>
      <c r="N45" s="1179"/>
      <c r="O45" s="1179"/>
      <c r="P45" s="1179"/>
      <c r="Q45" s="1179"/>
      <c r="R45" s="1179"/>
      <c r="S45" s="1179"/>
      <c r="T45" s="1179"/>
      <c r="U45" s="1179"/>
      <c r="V45" s="1179"/>
      <c r="W45" s="1179"/>
      <c r="X45" s="1179"/>
      <c r="Y45" s="1179"/>
      <c r="Z45" s="1179"/>
      <c r="AA45" s="1179"/>
      <c r="AB45" s="1179"/>
      <c r="AC45" s="1179"/>
      <c r="AD45" s="1243" t="s">
        <v>568</v>
      </c>
      <c r="AE45" s="1181"/>
      <c r="AF45" s="1283" t="s">
        <v>271</v>
      </c>
      <c r="AG45" s="1179"/>
      <c r="AH45" s="1181"/>
      <c r="AI45" s="1283" t="s">
        <v>272</v>
      </c>
      <c r="AJ45" s="1179"/>
      <c r="AK45" s="1127"/>
      <c r="AL45" s="1779"/>
      <c r="AM45" s="1779"/>
      <c r="AN45" s="1779"/>
      <c r="AO45" s="1786"/>
      <c r="AP45" s="1779"/>
      <c r="AQ45" s="2595"/>
      <c r="AR45" s="2595"/>
      <c r="AS45" s="2595"/>
      <c r="AT45" s="2595"/>
      <c r="AU45" s="2595"/>
      <c r="AV45" s="2595"/>
      <c r="AW45" s="2595"/>
      <c r="AX45" s="2595"/>
      <c r="AY45" s="2595"/>
      <c r="AZ45" s="1779"/>
      <c r="BA45" s="1786"/>
      <c r="BB45" s="1779"/>
      <c r="BC45" s="1779"/>
      <c r="BD45" s="1779"/>
      <c r="BE45" s="1779"/>
      <c r="BF45" s="1779"/>
      <c r="BG45" s="1779"/>
      <c r="BH45" s="1779"/>
      <c r="BI45" s="1779"/>
      <c r="BJ45" s="1779"/>
      <c r="BK45" s="1779"/>
      <c r="BL45" s="1779"/>
      <c r="BM45" s="1779"/>
      <c r="BN45" s="1779"/>
      <c r="BO45" s="1779"/>
      <c r="BP45" s="1779"/>
      <c r="BQ45" s="1779"/>
      <c r="BR45" s="1779"/>
      <c r="BS45" s="1779"/>
      <c r="BT45" s="1779"/>
      <c r="BU45" s="1779"/>
      <c r="BV45" s="1779"/>
      <c r="BW45" s="1779"/>
    </row>
    <row r="46" spans="1:75" s="1715" customFormat="1" ht="12.75" customHeight="1">
      <c r="A46" s="1127"/>
      <c r="B46" s="1179"/>
      <c r="C46" s="1809" t="s">
        <v>1436</v>
      </c>
      <c r="D46" s="1276" t="s">
        <v>1469</v>
      </c>
      <c r="E46" s="1179"/>
      <c r="F46" s="1179"/>
      <c r="G46" s="1179"/>
      <c r="H46" s="1179"/>
      <c r="I46" s="1179"/>
      <c r="J46" s="1179"/>
      <c r="K46" s="1179"/>
      <c r="L46" s="1179"/>
      <c r="M46" s="8525"/>
      <c r="N46" s="8526"/>
      <c r="O46" s="8526"/>
      <c r="P46" s="8526"/>
      <c r="Q46" s="8526"/>
      <c r="R46" s="8526"/>
      <c r="S46" s="8526"/>
      <c r="T46" s="8526"/>
      <c r="U46" s="8526"/>
      <c r="V46" s="8526"/>
      <c r="W46" s="8526"/>
      <c r="X46" s="8526"/>
      <c r="Y46" s="8526"/>
      <c r="Z46" s="8526"/>
      <c r="AA46" s="8526"/>
      <c r="AB46" s="8526"/>
      <c r="AC46" s="8526"/>
      <c r="AD46" s="8526"/>
      <c r="AE46" s="8526"/>
      <c r="AF46" s="8526"/>
      <c r="AG46" s="8526"/>
      <c r="AH46" s="8526"/>
      <c r="AI46" s="8526"/>
      <c r="AJ46" s="8526"/>
      <c r="AK46" s="1127"/>
      <c r="AL46" s="1779"/>
      <c r="AM46" s="1779"/>
      <c r="AN46" s="1791"/>
      <c r="AO46" s="1782"/>
      <c r="AP46" s="1782"/>
      <c r="AQ46" s="2595"/>
      <c r="AR46" s="2595"/>
      <c r="AS46" s="2595"/>
      <c r="AT46" s="2595"/>
      <c r="AU46" s="2595"/>
      <c r="AV46" s="2595"/>
      <c r="AW46" s="2595"/>
      <c r="AX46" s="2595"/>
      <c r="AY46" s="2595"/>
      <c r="AZ46" s="1791"/>
      <c r="BA46" s="1782"/>
      <c r="BB46" s="1782"/>
      <c r="BC46" s="1782"/>
      <c r="BD46" s="1782"/>
      <c r="BE46" s="1782"/>
      <c r="BF46" s="1782"/>
      <c r="BG46" s="1782"/>
      <c r="BH46" s="1782"/>
      <c r="BI46" s="1782"/>
      <c r="BJ46" s="1782"/>
      <c r="BK46" s="1779"/>
      <c r="BL46" s="1779"/>
      <c r="BM46" s="1779"/>
      <c r="BN46" s="1779"/>
      <c r="BO46" s="1779"/>
      <c r="BP46" s="1779"/>
      <c r="BQ46" s="1779"/>
      <c r="BR46" s="1779"/>
      <c r="BS46" s="1779"/>
      <c r="BT46" s="1779"/>
      <c r="BU46" s="1779"/>
      <c r="BV46" s="1779"/>
      <c r="BW46" s="1779"/>
    </row>
    <row r="47" spans="1:75" s="1715" customFormat="1" ht="5.25" customHeight="1">
      <c r="A47" s="1127"/>
      <c r="B47" s="1179"/>
      <c r="C47" s="1179"/>
      <c r="D47" s="1179"/>
      <c r="E47" s="1179"/>
      <c r="F47" s="1179"/>
      <c r="G47" s="1179"/>
      <c r="H47" s="1179"/>
      <c r="I47" s="1179"/>
      <c r="J47" s="1179"/>
      <c r="K47" s="1179"/>
      <c r="L47" s="1179"/>
      <c r="M47" s="1179"/>
      <c r="N47" s="1179"/>
      <c r="O47" s="1179"/>
      <c r="P47" s="1179"/>
      <c r="Q47" s="1179"/>
      <c r="R47" s="1179"/>
      <c r="S47" s="1179"/>
      <c r="T47" s="1179"/>
      <c r="U47" s="1179"/>
      <c r="V47" s="1179"/>
      <c r="W47" s="1179"/>
      <c r="X47" s="1179"/>
      <c r="Y47" s="1179"/>
      <c r="Z47" s="1179"/>
      <c r="AA47" s="1179"/>
      <c r="AB47" s="1179"/>
      <c r="AC47" s="1179"/>
      <c r="AD47" s="1179"/>
      <c r="AE47" s="1179"/>
      <c r="AF47" s="1179"/>
      <c r="AG47" s="1179"/>
      <c r="AH47" s="1179"/>
      <c r="AI47" s="1179"/>
      <c r="AJ47" s="1179"/>
      <c r="AK47" s="1127"/>
      <c r="AL47" s="1779"/>
      <c r="AM47" s="1779"/>
      <c r="AN47" s="1782"/>
      <c r="AO47" s="1782"/>
      <c r="AP47" s="1782"/>
      <c r="AQ47" s="2595"/>
      <c r="AR47" s="2595"/>
      <c r="AS47" s="2595"/>
      <c r="AT47" s="2595"/>
      <c r="AU47" s="2595"/>
      <c r="AV47" s="2595"/>
      <c r="AW47" s="2595"/>
      <c r="AX47" s="2595"/>
      <c r="AY47" s="2595"/>
      <c r="AZ47" s="1782"/>
      <c r="BA47" s="1782"/>
      <c r="BB47" s="1782"/>
      <c r="BC47" s="1782"/>
      <c r="BD47" s="1782"/>
      <c r="BE47" s="1782"/>
      <c r="BF47" s="1782"/>
      <c r="BG47" s="1782"/>
      <c r="BH47" s="1782"/>
      <c r="BI47" s="1782"/>
      <c r="BJ47" s="1782"/>
      <c r="BK47" s="1779"/>
      <c r="BL47" s="1779"/>
      <c r="BM47" s="1779"/>
      <c r="BN47" s="1779"/>
      <c r="BO47" s="1779"/>
      <c r="BP47" s="1779"/>
      <c r="BQ47" s="1779"/>
      <c r="BR47" s="1779"/>
      <c r="BS47" s="1779"/>
      <c r="BT47" s="1779"/>
      <c r="BU47" s="1779"/>
      <c r="BV47" s="1779"/>
      <c r="BW47" s="1779"/>
    </row>
    <row r="48" spans="1:75" s="1715" customFormat="1" ht="12.75" customHeight="1" thickBot="1">
      <c r="A48" s="1127"/>
      <c r="B48" s="1179"/>
      <c r="C48" s="1809" t="s">
        <v>1471</v>
      </c>
      <c r="D48" s="2686" t="s">
        <v>1470</v>
      </c>
      <c r="E48" s="1179"/>
      <c r="F48" s="1179"/>
      <c r="G48" s="1179"/>
      <c r="H48" s="1179"/>
      <c r="I48" s="1179"/>
      <c r="J48" s="1179"/>
      <c r="K48" s="1179"/>
      <c r="L48" s="1179"/>
      <c r="M48" s="1179"/>
      <c r="N48" s="1179"/>
      <c r="O48" s="1179"/>
      <c r="P48" s="1179"/>
      <c r="Q48" s="1179"/>
      <c r="R48" s="1179"/>
      <c r="S48" s="1179"/>
      <c r="T48" s="1179"/>
      <c r="U48" s="1179"/>
      <c r="V48" s="1179"/>
      <c r="W48" s="1179"/>
      <c r="X48" s="1179"/>
      <c r="Y48" s="1179"/>
      <c r="Z48" s="1179"/>
      <c r="AA48" s="1179"/>
      <c r="AB48" s="1179"/>
      <c r="AC48" s="1179"/>
      <c r="AD48" s="1179"/>
      <c r="AE48" s="1179"/>
      <c r="AF48" s="1179"/>
      <c r="AG48" s="1179"/>
      <c r="AH48" s="1179"/>
      <c r="AI48" s="1179"/>
      <c r="AJ48" s="1179"/>
      <c r="AK48" s="1127"/>
      <c r="AL48" s="1779"/>
      <c r="AM48" s="1792"/>
      <c r="AN48" s="1782"/>
      <c r="AO48" s="1782"/>
      <c r="AP48" s="1782"/>
      <c r="AQ48" s="2595"/>
      <c r="AR48" s="2595"/>
      <c r="AS48" s="2595"/>
      <c r="AT48" s="2595"/>
      <c r="AU48" s="2595"/>
      <c r="AV48" s="2595"/>
      <c r="AW48" s="2595"/>
      <c r="AX48" s="2595"/>
      <c r="AY48" s="2595"/>
      <c r="AZ48" s="1782"/>
      <c r="BA48" s="1782"/>
      <c r="BB48" s="1782"/>
      <c r="BC48" s="1782"/>
      <c r="BD48" s="1782"/>
      <c r="BE48" s="1782"/>
      <c r="BF48" s="1782"/>
      <c r="BG48" s="1782"/>
      <c r="BH48" s="1782"/>
      <c r="BI48" s="1782"/>
      <c r="BJ48" s="1782"/>
      <c r="BK48" s="1779"/>
      <c r="BL48" s="1779"/>
      <c r="BM48" s="1779"/>
      <c r="BN48" s="1779"/>
      <c r="BO48" s="1779"/>
      <c r="BP48" s="1779"/>
      <c r="BQ48" s="1779"/>
      <c r="BR48" s="1779"/>
      <c r="BS48" s="1779"/>
      <c r="BT48" s="1779"/>
      <c r="BU48" s="1779"/>
      <c r="BV48" s="1779"/>
      <c r="BW48" s="1779"/>
    </row>
    <row r="49" spans="1:74" ht="15" customHeight="1" thickBot="1">
      <c r="A49" s="1127"/>
      <c r="B49" s="1179"/>
      <c r="C49" s="1179"/>
      <c r="D49" s="2686" t="s">
        <v>1673</v>
      </c>
      <c r="E49" s="1179"/>
      <c r="F49" s="1179"/>
      <c r="G49" s="1179"/>
      <c r="H49" s="1179"/>
      <c r="I49" s="1179"/>
      <c r="J49" s="1179"/>
      <c r="K49" s="1179"/>
      <c r="L49" s="1179"/>
      <c r="M49" s="1179"/>
      <c r="N49" s="1179"/>
      <c r="O49" s="1179"/>
      <c r="P49" s="1179"/>
      <c r="Q49" s="1179"/>
      <c r="R49" s="1179"/>
      <c r="S49" s="1179"/>
      <c r="T49" s="1179"/>
      <c r="U49" s="1179"/>
      <c r="V49" s="1179"/>
      <c r="W49" s="1179"/>
      <c r="X49" s="1179"/>
      <c r="Y49" s="1179"/>
      <c r="Z49" s="1179"/>
      <c r="AA49" s="1179"/>
      <c r="AB49" s="1179"/>
      <c r="AC49" s="1179"/>
      <c r="AD49" s="1243" t="s">
        <v>374</v>
      </c>
      <c r="AE49" s="1181"/>
      <c r="AF49" s="1283" t="s">
        <v>271</v>
      </c>
      <c r="AG49" s="1179"/>
      <c r="AH49" s="1181"/>
      <c r="AI49" s="1283" t="s">
        <v>272</v>
      </c>
      <c r="AJ49" s="1179"/>
      <c r="AK49" s="1127"/>
      <c r="AM49" s="1792"/>
      <c r="AN49" s="1782"/>
      <c r="AO49" s="1782"/>
      <c r="AP49" s="1782"/>
      <c r="AZ49" s="1782"/>
      <c r="BA49" s="1782"/>
      <c r="BB49" s="1782"/>
      <c r="BC49" s="1782"/>
      <c r="BD49" s="1782"/>
      <c r="BE49" s="1782"/>
      <c r="BF49" s="1782"/>
      <c r="BG49" s="1782"/>
      <c r="BH49" s="1782"/>
      <c r="BI49" s="1782"/>
      <c r="BJ49" s="1782"/>
    </row>
    <row r="50" spans="1:74" ht="5.25" customHeight="1" thickBot="1">
      <c r="A50" s="1127"/>
      <c r="B50" s="1179"/>
      <c r="C50" s="1179"/>
      <c r="D50" s="1179"/>
      <c r="E50" s="1179"/>
      <c r="F50" s="1179"/>
      <c r="G50" s="1179"/>
      <c r="H50" s="1179"/>
      <c r="I50" s="1179"/>
      <c r="J50" s="1179"/>
      <c r="K50" s="1179"/>
      <c r="L50" s="1179"/>
      <c r="M50" s="1179"/>
      <c r="N50" s="1179"/>
      <c r="O50" s="1179"/>
      <c r="P50" s="1179"/>
      <c r="Q50" s="1179"/>
      <c r="R50" s="1179"/>
      <c r="S50" s="1179"/>
      <c r="T50" s="1179"/>
      <c r="U50" s="1179"/>
      <c r="V50" s="1179"/>
      <c r="W50" s="1179"/>
      <c r="X50" s="1179"/>
      <c r="Y50" s="1179"/>
      <c r="Z50" s="1179"/>
      <c r="AA50" s="1179"/>
      <c r="AB50" s="1179"/>
      <c r="AC50" s="1179"/>
      <c r="AD50" s="1179"/>
      <c r="AE50" s="1179"/>
      <c r="AF50" s="1179"/>
      <c r="AG50" s="1179"/>
      <c r="AH50" s="1179"/>
      <c r="AI50" s="1179"/>
      <c r="AJ50" s="1179"/>
      <c r="AK50" s="1127"/>
      <c r="BL50" s="1793"/>
      <c r="BM50" s="1793"/>
      <c r="BO50" s="1793"/>
      <c r="BP50" s="1793"/>
      <c r="BQ50" s="1793"/>
      <c r="BR50" s="1793"/>
      <c r="BS50" s="1793"/>
      <c r="BT50" s="1793"/>
      <c r="BU50" s="1793"/>
      <c r="BV50" s="1793"/>
    </row>
    <row r="51" spans="1:74" ht="13.5" customHeight="1" thickBot="1">
      <c r="A51" s="1127"/>
      <c r="B51" s="1179"/>
      <c r="C51" s="1809" t="s">
        <v>1436</v>
      </c>
      <c r="D51" s="1276" t="s">
        <v>1472</v>
      </c>
      <c r="E51" s="1179"/>
      <c r="F51" s="1179"/>
      <c r="G51" s="1179"/>
      <c r="H51" s="1179"/>
      <c r="I51" s="1179"/>
      <c r="J51" s="1179"/>
      <c r="K51" s="1179"/>
      <c r="L51" s="1179"/>
      <c r="M51" s="1179"/>
      <c r="N51" s="1179"/>
      <c r="O51" s="1179"/>
      <c r="P51" s="1179"/>
      <c r="Q51" s="1179"/>
      <c r="R51" s="1179"/>
      <c r="S51" s="1179"/>
      <c r="T51" s="1179"/>
      <c r="U51" s="1179"/>
      <c r="V51" s="1179"/>
      <c r="W51" s="1179"/>
      <c r="X51" s="1179"/>
      <c r="Y51" s="1179"/>
      <c r="Z51" s="1179"/>
      <c r="AA51" s="1179"/>
      <c r="AB51" s="1179"/>
      <c r="AC51" s="1179"/>
      <c r="AD51" s="1243" t="s">
        <v>717</v>
      </c>
      <c r="AE51" s="1181"/>
      <c r="AF51" s="1283" t="s">
        <v>271</v>
      </c>
      <c r="AG51" s="1179"/>
      <c r="AH51" s="1181"/>
      <c r="AI51" s="1283" t="s">
        <v>272</v>
      </c>
      <c r="AJ51" s="1179"/>
      <c r="AK51" s="1127"/>
      <c r="AM51" s="1794"/>
      <c r="BL51" s="1793"/>
      <c r="BM51" s="1793"/>
      <c r="BO51" s="1793"/>
      <c r="BP51" s="1793"/>
      <c r="BQ51" s="1793"/>
      <c r="BR51" s="1793"/>
      <c r="BS51" s="1793"/>
      <c r="BT51" s="1793"/>
      <c r="BU51" s="1793"/>
      <c r="BV51" s="1793"/>
    </row>
    <row r="52" spans="1:74" ht="16.5" customHeight="1">
      <c r="A52" s="1127"/>
      <c r="B52" s="1179"/>
      <c r="C52" s="1179"/>
      <c r="D52" s="1577" t="s">
        <v>1675</v>
      </c>
      <c r="E52" s="1179"/>
      <c r="F52" s="1179"/>
      <c r="G52" s="1179"/>
      <c r="H52" s="1179"/>
      <c r="I52" s="1179"/>
      <c r="J52" s="1179"/>
      <c r="K52" s="1179"/>
      <c r="L52" s="1179"/>
      <c r="M52" s="1179"/>
      <c r="N52" s="1179"/>
      <c r="O52" s="1179"/>
      <c r="P52" s="1179"/>
      <c r="Q52" s="1179"/>
      <c r="R52" s="1179"/>
      <c r="S52" s="1179"/>
      <c r="T52" s="1179"/>
      <c r="U52" s="1179"/>
      <c r="V52" s="1179"/>
      <c r="W52" s="1179"/>
      <c r="X52" s="1179"/>
      <c r="Y52" s="1179"/>
      <c r="Z52" s="1179"/>
      <c r="AA52" s="1179"/>
      <c r="AB52" s="1179"/>
      <c r="AC52" s="1179"/>
      <c r="AD52" s="1179"/>
      <c r="AE52" s="1179"/>
      <c r="AF52" s="1179"/>
      <c r="AG52" s="1179"/>
      <c r="AH52" s="1179"/>
      <c r="AI52" s="1179"/>
      <c r="AJ52" s="1179"/>
      <c r="AK52" s="1127"/>
      <c r="AM52" s="1794"/>
      <c r="BL52" s="1793"/>
      <c r="BM52" s="1793"/>
      <c r="BO52" s="1793"/>
      <c r="BP52" s="1793"/>
      <c r="BQ52" s="1793"/>
      <c r="BR52" s="1793"/>
      <c r="BS52" s="1793"/>
      <c r="BT52" s="1793"/>
      <c r="BU52" s="1793"/>
      <c r="BV52" s="1793"/>
    </row>
    <row r="53" spans="1:74" ht="16.5" customHeight="1">
      <c r="A53" s="1127"/>
      <c r="B53" s="1179"/>
      <c r="C53" s="1179"/>
      <c r="D53" s="3718" t="s">
        <v>1473</v>
      </c>
      <c r="E53" s="1179"/>
      <c r="F53" s="1179"/>
      <c r="G53" s="1179"/>
      <c r="H53" s="1179"/>
      <c r="I53" s="1179"/>
      <c r="J53" s="1179"/>
      <c r="K53" s="1179"/>
      <c r="L53" s="1179"/>
      <c r="M53" s="1179"/>
      <c r="N53" s="1179"/>
      <c r="O53" s="1179"/>
      <c r="P53" s="1179"/>
      <c r="Q53" s="1179"/>
      <c r="R53" s="1179"/>
      <c r="S53" s="1179"/>
      <c r="T53" s="1179"/>
      <c r="U53" s="1179"/>
      <c r="V53" s="1179"/>
      <c r="W53" s="1179"/>
      <c r="X53" s="1179"/>
      <c r="Y53" s="1179"/>
      <c r="Z53" s="1179"/>
      <c r="AA53" s="1179"/>
      <c r="AB53" s="1179"/>
      <c r="AC53" s="1179"/>
      <c r="AD53" s="1179"/>
      <c r="AE53" s="1179"/>
      <c r="AF53" s="1179"/>
      <c r="AG53" s="1179"/>
      <c r="AH53" s="1179"/>
      <c r="AI53" s="1179"/>
      <c r="AJ53" s="1179"/>
      <c r="AK53" s="1127"/>
      <c r="AM53" s="1794"/>
      <c r="AO53" s="1795"/>
      <c r="AP53" s="1792"/>
      <c r="BL53" s="1793"/>
      <c r="BM53" s="1793"/>
      <c r="BO53" s="1793"/>
      <c r="BP53" s="1793"/>
      <c r="BQ53" s="1793"/>
      <c r="BR53" s="1793"/>
      <c r="BS53" s="1793"/>
      <c r="BT53" s="1793"/>
      <c r="BU53" s="1793"/>
      <c r="BV53" s="1793"/>
    </row>
    <row r="54" spans="1:74" ht="16.5" customHeight="1">
      <c r="A54" s="1127"/>
      <c r="B54" s="1179"/>
      <c r="C54" s="1556" t="s">
        <v>661</v>
      </c>
      <c r="D54" s="2686" t="s">
        <v>2953</v>
      </c>
      <c r="E54" s="1179"/>
      <c r="F54" s="1179"/>
      <c r="G54" s="1179"/>
      <c r="H54" s="1179"/>
      <c r="I54" s="1179"/>
      <c r="J54" s="1179"/>
      <c r="K54" s="1179"/>
      <c r="L54" s="1179"/>
      <c r="M54" s="1179"/>
      <c r="N54" s="1179"/>
      <c r="O54" s="1179"/>
      <c r="P54" s="1179"/>
      <c r="Q54" s="1179"/>
      <c r="R54" s="1179"/>
      <c r="S54" s="1179"/>
      <c r="T54" s="1179"/>
      <c r="U54" s="1179"/>
      <c r="V54" s="1179"/>
      <c r="W54" s="1179"/>
      <c r="X54" s="1179"/>
      <c r="Y54" s="1179"/>
      <c r="Z54" s="1179"/>
      <c r="AA54" s="1179"/>
      <c r="AB54" s="1179"/>
      <c r="AC54" s="1179"/>
      <c r="AD54" s="1179"/>
      <c r="AE54" s="1179"/>
      <c r="AF54" s="1179"/>
      <c r="AG54" s="1179"/>
      <c r="AH54" s="1179"/>
      <c r="AI54" s="1179"/>
      <c r="AJ54" s="1179"/>
      <c r="AK54" s="1127"/>
      <c r="AO54" s="1795"/>
      <c r="AP54" s="1792"/>
      <c r="BL54" s="1793"/>
      <c r="BM54" s="1793"/>
      <c r="BO54" s="1793"/>
      <c r="BP54" s="1793"/>
      <c r="BQ54" s="1793"/>
      <c r="BR54" s="1793"/>
      <c r="BS54" s="1793"/>
      <c r="BT54" s="1793"/>
      <c r="BU54" s="1793"/>
      <c r="BV54" s="1793"/>
    </row>
    <row r="55" spans="1:74" ht="16.5" customHeight="1">
      <c r="A55" s="1127"/>
      <c r="B55" s="1179"/>
      <c r="C55" s="1179"/>
      <c r="D55" s="3719" t="s">
        <v>3536</v>
      </c>
      <c r="E55" s="1179"/>
      <c r="F55" s="1179"/>
      <c r="G55" s="1179"/>
      <c r="H55" s="1179"/>
      <c r="I55" s="1179"/>
      <c r="J55" s="1179"/>
      <c r="K55" s="1179"/>
      <c r="L55" s="1179"/>
      <c r="M55" s="1179"/>
      <c r="N55" s="1179"/>
      <c r="O55" s="1179"/>
      <c r="P55" s="1179"/>
      <c r="Q55" s="1179"/>
      <c r="R55" s="1179"/>
      <c r="S55" s="1179"/>
      <c r="T55" s="1179"/>
      <c r="U55" s="1179"/>
      <c r="V55" s="1179"/>
      <c r="W55" s="1179"/>
      <c r="X55" s="1179"/>
      <c r="Y55" s="1179"/>
      <c r="Z55" s="1179"/>
      <c r="AA55" s="1179"/>
      <c r="AB55" s="1179"/>
      <c r="AC55" s="1179"/>
      <c r="AD55" s="1179"/>
      <c r="AE55" s="1179"/>
      <c r="AF55" s="1179"/>
      <c r="AG55" s="1179"/>
      <c r="AH55" s="1179"/>
      <c r="AI55" s="1179"/>
      <c r="AJ55" s="1179"/>
      <c r="AK55" s="1127"/>
      <c r="AO55" s="1792"/>
      <c r="AP55" s="1780"/>
      <c r="BL55" s="1793"/>
      <c r="BM55" s="1793"/>
      <c r="BO55" s="1793"/>
      <c r="BP55" s="1793"/>
      <c r="BQ55" s="1793"/>
      <c r="BR55" s="1793"/>
      <c r="BS55" s="1793"/>
      <c r="BT55" s="1793"/>
      <c r="BU55" s="1793"/>
      <c r="BV55" s="1793"/>
    </row>
    <row r="56" spans="1:74" ht="35.25" customHeight="1" thickBot="1">
      <c r="A56" s="1127"/>
      <c r="B56" s="8616" t="s">
        <v>1474</v>
      </c>
      <c r="C56" s="8607"/>
      <c r="D56" s="8607"/>
      <c r="E56" s="8617"/>
      <c r="F56" s="8616" t="s">
        <v>1475</v>
      </c>
      <c r="G56" s="8607"/>
      <c r="H56" s="8607"/>
      <c r="I56" s="8617"/>
      <c r="J56" s="8616" t="s">
        <v>1476</v>
      </c>
      <c r="K56" s="8607"/>
      <c r="L56" s="8607"/>
      <c r="M56" s="8617"/>
      <c r="N56" s="8606" t="s">
        <v>1477</v>
      </c>
      <c r="O56" s="8607"/>
      <c r="P56" s="8607"/>
      <c r="Q56" s="8607"/>
      <c r="R56" s="8618"/>
      <c r="S56" s="8598" t="s">
        <v>1478</v>
      </c>
      <c r="T56" s="8619"/>
      <c r="U56" s="8619"/>
      <c r="V56" s="8620"/>
      <c r="W56" s="8616" t="s">
        <v>1475</v>
      </c>
      <c r="X56" s="8607"/>
      <c r="Y56" s="8607"/>
      <c r="Z56" s="8617"/>
      <c r="AA56" s="8616" t="s">
        <v>1476</v>
      </c>
      <c r="AB56" s="8607"/>
      <c r="AC56" s="8607"/>
      <c r="AD56" s="8617"/>
      <c r="AE56" s="8606" t="s">
        <v>1477</v>
      </c>
      <c r="AF56" s="8607"/>
      <c r="AG56" s="8607"/>
      <c r="AH56" s="8607"/>
      <c r="AI56" s="8607"/>
      <c r="AJ56" s="8607"/>
      <c r="AK56" s="1127"/>
      <c r="AM56" s="1824" t="s">
        <v>91</v>
      </c>
      <c r="AO56" s="1824" t="s">
        <v>91</v>
      </c>
      <c r="AP56" s="1796"/>
      <c r="BL56" s="1793"/>
      <c r="BM56" s="1793"/>
      <c r="BO56" s="1793"/>
      <c r="BP56" s="1793"/>
      <c r="BQ56" s="1793"/>
      <c r="BR56" s="1793"/>
      <c r="BS56" s="1793"/>
      <c r="BT56" s="1793"/>
      <c r="BU56" s="1793"/>
      <c r="BV56" s="1793"/>
    </row>
    <row r="57" spans="1:74" ht="14.25" customHeight="1" thickBot="1">
      <c r="A57" s="1127"/>
      <c r="B57" s="8600"/>
      <c r="C57" s="8586"/>
      <c r="D57" s="8586"/>
      <c r="E57" s="8586"/>
      <c r="F57" s="8585"/>
      <c r="G57" s="8586"/>
      <c r="H57" s="8586"/>
      <c r="I57" s="8601"/>
      <c r="J57" s="8588" t="str">
        <f>IF(AM57&lt;&gt;"",ROUND(AM57,0),IF(OR(B57="",F57=""),"",F57-B57))</f>
        <v/>
      </c>
      <c r="K57" s="8589"/>
      <c r="L57" s="8589"/>
      <c r="M57" s="8590"/>
      <c r="N57" s="8594"/>
      <c r="O57" s="8599"/>
      <c r="P57" s="8599"/>
      <c r="Q57" s="8599"/>
      <c r="R57" s="8602"/>
      <c r="S57" s="8603"/>
      <c r="T57" s="8604"/>
      <c r="U57" s="8604"/>
      <c r="V57" s="8605"/>
      <c r="W57" s="8585"/>
      <c r="X57" s="8586"/>
      <c r="Y57" s="8586"/>
      <c r="Z57" s="8601"/>
      <c r="AA57" s="8588" t="str">
        <f>IF(AO57&lt;&gt;"",ROUND(AO57,0),IF(OR(S57="",W57=""),"",W57-S57))</f>
        <v/>
      </c>
      <c r="AB57" s="8589"/>
      <c r="AC57" s="8589"/>
      <c r="AD57" s="8590"/>
      <c r="AE57" s="8594"/>
      <c r="AF57" s="8599"/>
      <c r="AG57" s="8599"/>
      <c r="AH57" s="8599"/>
      <c r="AI57" s="8599"/>
      <c r="AJ57" s="8595"/>
      <c r="AK57" s="1127"/>
      <c r="AM57" s="1894"/>
      <c r="AO57" s="1894"/>
      <c r="AP57" s="1796"/>
      <c r="BL57" s="1793"/>
      <c r="BM57" s="1793"/>
      <c r="BO57" s="1793"/>
      <c r="BP57" s="1793"/>
      <c r="BQ57" s="1793"/>
      <c r="BR57" s="1793"/>
      <c r="BS57" s="1793"/>
      <c r="BT57" s="1793"/>
      <c r="BU57" s="1793"/>
      <c r="BV57" s="1793"/>
    </row>
    <row r="58" spans="1:74" ht="14.25" customHeight="1" thickBot="1">
      <c r="A58" s="1127"/>
      <c r="B58" s="8600"/>
      <c r="C58" s="8586"/>
      <c r="D58" s="8586"/>
      <c r="E58" s="8586"/>
      <c r="F58" s="8585"/>
      <c r="G58" s="8586"/>
      <c r="H58" s="8586"/>
      <c r="I58" s="8601"/>
      <c r="J58" s="8588" t="str">
        <f>IF(AM58&lt;&gt;"",ROUND(AM58,0),IF(OR(B58="",F58=""),"",F58-B58))</f>
        <v/>
      </c>
      <c r="K58" s="8589"/>
      <c r="L58" s="8589"/>
      <c r="M58" s="8590"/>
      <c r="N58" s="8594"/>
      <c r="O58" s="8599"/>
      <c r="P58" s="8599"/>
      <c r="Q58" s="8599"/>
      <c r="R58" s="8602"/>
      <c r="S58" s="8603"/>
      <c r="T58" s="8604"/>
      <c r="U58" s="8604"/>
      <c r="V58" s="8605"/>
      <c r="W58" s="8585"/>
      <c r="X58" s="8586"/>
      <c r="Y58" s="8586"/>
      <c r="Z58" s="8601"/>
      <c r="AA58" s="8588" t="str">
        <f>IF(AO58&lt;&gt;"",ROUND(AO58,0),IF(OR(S58="",W58=""),"",W58-S58))</f>
        <v/>
      </c>
      <c r="AB58" s="8589"/>
      <c r="AC58" s="8589"/>
      <c r="AD58" s="8590"/>
      <c r="AE58" s="8594"/>
      <c r="AF58" s="8599"/>
      <c r="AG58" s="8599"/>
      <c r="AH58" s="8599"/>
      <c r="AI58" s="8599"/>
      <c r="AJ58" s="8595"/>
      <c r="AK58" s="1127"/>
      <c r="AM58" s="1894"/>
      <c r="AO58" s="1894"/>
      <c r="AP58" s="1796"/>
      <c r="BL58" s="1793"/>
      <c r="BM58" s="1793"/>
      <c r="BO58" s="1793"/>
      <c r="BP58" s="1793"/>
      <c r="BQ58" s="1793"/>
      <c r="BR58" s="1793"/>
      <c r="BS58" s="1793"/>
      <c r="BT58" s="1793"/>
      <c r="BU58" s="1793"/>
      <c r="BV58" s="1793"/>
    </row>
    <row r="59" spans="1:74" ht="14.25" customHeight="1" thickBot="1">
      <c r="A59" s="1127"/>
      <c r="B59" s="8600"/>
      <c r="C59" s="8586"/>
      <c r="D59" s="8586"/>
      <c r="E59" s="8586"/>
      <c r="F59" s="8585"/>
      <c r="G59" s="8586"/>
      <c r="H59" s="8586"/>
      <c r="I59" s="8601"/>
      <c r="J59" s="8588" t="str">
        <f>IF(AM59&lt;&gt;"",ROUND(AM59,0),IF(OR(B59="",F59=""),"",F59-B59))</f>
        <v/>
      </c>
      <c r="K59" s="8589"/>
      <c r="L59" s="8589"/>
      <c r="M59" s="8590"/>
      <c r="N59" s="8594"/>
      <c r="O59" s="8599"/>
      <c r="P59" s="8599"/>
      <c r="Q59" s="8599"/>
      <c r="R59" s="8602"/>
      <c r="S59" s="8603"/>
      <c r="T59" s="8604"/>
      <c r="U59" s="8604"/>
      <c r="V59" s="8605"/>
      <c r="W59" s="8585"/>
      <c r="X59" s="8586"/>
      <c r="Y59" s="8586"/>
      <c r="Z59" s="8601"/>
      <c r="AA59" s="8588" t="str">
        <f>IF(AO59&lt;&gt;"",ROUND(AO59,0),IF(OR(S59="",W59=""),"",W59-S59))</f>
        <v/>
      </c>
      <c r="AB59" s="8589"/>
      <c r="AC59" s="8589"/>
      <c r="AD59" s="8590"/>
      <c r="AE59" s="8594"/>
      <c r="AF59" s="8599"/>
      <c r="AG59" s="8599"/>
      <c r="AH59" s="8599"/>
      <c r="AI59" s="8599"/>
      <c r="AJ59" s="8595"/>
      <c r="AK59" s="1127"/>
      <c r="AM59" s="1894"/>
      <c r="AO59" s="1894"/>
      <c r="AP59" s="1796"/>
      <c r="BL59" s="1793"/>
      <c r="BM59" s="1793"/>
      <c r="BO59" s="1793"/>
      <c r="BP59" s="1793"/>
      <c r="BQ59" s="1793"/>
      <c r="BR59" s="1793"/>
      <c r="BS59" s="1793"/>
      <c r="BT59" s="1793"/>
      <c r="BU59" s="1793"/>
      <c r="BV59" s="1793"/>
    </row>
    <row r="60" spans="1:74" ht="14.25" customHeight="1" thickBot="1">
      <c r="A60" s="1127"/>
      <c r="B60" s="8600"/>
      <c r="C60" s="8586"/>
      <c r="D60" s="8586"/>
      <c r="E60" s="8586"/>
      <c r="F60" s="8585"/>
      <c r="G60" s="8586"/>
      <c r="H60" s="8586"/>
      <c r="I60" s="8601"/>
      <c r="J60" s="8588" t="str">
        <f>IF(AM60&lt;&gt;"",ROUND(AM60,0),IF(OR(B60="",F60=""),"",F60-B60))</f>
        <v/>
      </c>
      <c r="K60" s="8589"/>
      <c r="L60" s="8589"/>
      <c r="M60" s="8590"/>
      <c r="N60" s="8594"/>
      <c r="O60" s="8599"/>
      <c r="P60" s="8599"/>
      <c r="Q60" s="8599"/>
      <c r="R60" s="8602"/>
      <c r="S60" s="8603"/>
      <c r="T60" s="8604"/>
      <c r="U60" s="8604"/>
      <c r="V60" s="8605"/>
      <c r="W60" s="8585"/>
      <c r="X60" s="8586"/>
      <c r="Y60" s="8586"/>
      <c r="Z60" s="8601"/>
      <c r="AA60" s="8588" t="str">
        <f>IF(AO60&lt;&gt;"",ROUND(AO60,0),IF(OR(S60="",W60=""),"",W60-S60))</f>
        <v/>
      </c>
      <c r="AB60" s="8589"/>
      <c r="AC60" s="8589"/>
      <c r="AD60" s="8590"/>
      <c r="AE60" s="8594"/>
      <c r="AF60" s="8599"/>
      <c r="AG60" s="8599"/>
      <c r="AH60" s="8599"/>
      <c r="AI60" s="8599"/>
      <c r="AJ60" s="8595"/>
      <c r="AK60" s="1127"/>
      <c r="AM60" s="1894"/>
      <c r="AO60" s="1894"/>
      <c r="AP60" s="1796"/>
      <c r="BL60" s="1793"/>
      <c r="BM60" s="1793"/>
      <c r="BO60" s="1793"/>
      <c r="BP60" s="1793"/>
      <c r="BQ60" s="1793"/>
      <c r="BR60" s="1793"/>
      <c r="BS60" s="1793"/>
      <c r="BT60" s="1793"/>
      <c r="BU60" s="1793"/>
      <c r="BV60" s="1793"/>
    </row>
    <row r="61" spans="1:74" ht="14.25" customHeight="1">
      <c r="A61" s="1127"/>
      <c r="B61" s="1179"/>
      <c r="C61" s="1809" t="s">
        <v>1480</v>
      </c>
      <c r="D61" s="1276" t="s">
        <v>1479</v>
      </c>
      <c r="E61" s="1179"/>
      <c r="F61" s="1179"/>
      <c r="G61" s="1179"/>
      <c r="H61" s="1179"/>
      <c r="I61" s="1179"/>
      <c r="J61" s="1179"/>
      <c r="K61" s="1179"/>
      <c r="L61" s="1179"/>
      <c r="M61" s="1179"/>
      <c r="N61" s="1179"/>
      <c r="O61" s="1179"/>
      <c r="P61" s="1179"/>
      <c r="Q61" s="1179"/>
      <c r="R61" s="1179"/>
      <c r="S61" s="1179"/>
      <c r="T61" s="1179"/>
      <c r="U61" s="1179"/>
      <c r="V61" s="1179"/>
      <c r="W61" s="1179"/>
      <c r="X61" s="1179"/>
      <c r="Y61" s="1179"/>
      <c r="Z61" s="1179"/>
      <c r="AA61" s="8665"/>
      <c r="AB61" s="8665"/>
      <c r="AC61" s="8665"/>
      <c r="AD61" s="8665"/>
      <c r="AE61" s="8665"/>
      <c r="AF61" s="8665"/>
      <c r="AG61" s="8665"/>
      <c r="AH61" s="8665"/>
      <c r="AI61" s="8665"/>
      <c r="AJ61" s="8665"/>
      <c r="AK61" s="1127"/>
      <c r="AO61" s="1792"/>
      <c r="AP61" s="1796"/>
      <c r="BL61" s="1793"/>
      <c r="BM61" s="1793"/>
      <c r="BO61" s="1793"/>
      <c r="BP61" s="1793"/>
      <c r="BQ61" s="1793"/>
      <c r="BR61" s="1793"/>
      <c r="BS61" s="1793"/>
      <c r="BT61" s="1793"/>
      <c r="BU61" s="1793"/>
      <c r="BV61" s="1793"/>
    </row>
    <row r="62" spans="1:74" ht="14.25" customHeight="1">
      <c r="A62" s="1127"/>
      <c r="B62" s="1179"/>
      <c r="C62" s="1179"/>
      <c r="D62" s="8525"/>
      <c r="E62" s="8526"/>
      <c r="F62" s="8526"/>
      <c r="G62" s="8526"/>
      <c r="H62" s="8526"/>
      <c r="I62" s="8526"/>
      <c r="J62" s="8526"/>
      <c r="K62" s="8526"/>
      <c r="L62" s="8526"/>
      <c r="M62" s="8526"/>
      <c r="N62" s="8526"/>
      <c r="O62" s="8526"/>
      <c r="P62" s="8526"/>
      <c r="Q62" s="8526"/>
      <c r="R62" s="8526"/>
      <c r="S62" s="8526"/>
      <c r="T62" s="8526"/>
      <c r="U62" s="8526"/>
      <c r="V62" s="8526"/>
      <c r="W62" s="8526"/>
      <c r="X62" s="8526"/>
      <c r="Y62" s="8526"/>
      <c r="Z62" s="8526"/>
      <c r="AA62" s="8526"/>
      <c r="AB62" s="8526"/>
      <c r="AC62" s="8526"/>
      <c r="AD62" s="8526"/>
      <c r="AE62" s="8526"/>
      <c r="AF62" s="8526"/>
      <c r="AG62" s="8526"/>
      <c r="AH62" s="8526"/>
      <c r="AI62" s="8526"/>
      <c r="AJ62" s="8526"/>
      <c r="AK62" s="1127"/>
      <c r="AO62" s="1792"/>
      <c r="AP62" s="1796"/>
      <c r="BL62" s="1793"/>
      <c r="BM62" s="1793"/>
      <c r="BO62" s="1793"/>
      <c r="BP62" s="1793"/>
      <c r="BQ62" s="1793"/>
      <c r="BR62" s="1793"/>
      <c r="BS62" s="1793"/>
      <c r="BT62" s="1793"/>
      <c r="BU62" s="1793"/>
      <c r="BV62" s="1793"/>
    </row>
    <row r="63" spans="1:74" ht="14.25" customHeight="1">
      <c r="A63" s="1127"/>
      <c r="B63" s="1179"/>
      <c r="C63" s="1809" t="s">
        <v>1436</v>
      </c>
      <c r="D63" s="1276" t="s">
        <v>1481</v>
      </c>
      <c r="E63" s="1179"/>
      <c r="F63" s="1179"/>
      <c r="G63" s="1179"/>
      <c r="H63" s="1179"/>
      <c r="I63" s="1179"/>
      <c r="J63" s="1179"/>
      <c r="K63" s="1179"/>
      <c r="L63" s="1179"/>
      <c r="M63" s="1179"/>
      <c r="N63" s="1179"/>
      <c r="O63" s="1179"/>
      <c r="P63" s="1179"/>
      <c r="Q63" s="1179"/>
      <c r="R63" s="1179"/>
      <c r="S63" s="1179"/>
      <c r="T63" s="8612"/>
      <c r="U63" s="8613"/>
      <c r="V63" s="8613"/>
      <c r="W63" s="8613"/>
      <c r="X63" s="8613"/>
      <c r="Y63" s="8613"/>
      <c r="Z63" s="8613"/>
      <c r="AA63" s="8613"/>
      <c r="AB63" s="8613"/>
      <c r="AC63" s="8613"/>
      <c r="AD63" s="8613"/>
      <c r="AE63" s="8613"/>
      <c r="AF63" s="8613"/>
      <c r="AG63" s="8613"/>
      <c r="AH63" s="8613"/>
      <c r="AI63" s="8613"/>
      <c r="AJ63" s="8613"/>
      <c r="AK63" s="1127"/>
      <c r="AO63" s="1792"/>
      <c r="AP63" s="1796"/>
      <c r="BL63" s="1793"/>
      <c r="BM63" s="1793"/>
      <c r="BO63" s="1793"/>
      <c r="BP63" s="1793"/>
      <c r="BQ63" s="1793"/>
      <c r="BR63" s="1793"/>
      <c r="BS63" s="1793"/>
      <c r="BT63" s="1793"/>
      <c r="BU63" s="1793"/>
      <c r="BV63" s="1793"/>
    </row>
    <row r="64" spans="1:74" ht="5.25" customHeight="1" thickBot="1">
      <c r="A64" s="1127"/>
      <c r="B64" s="1179"/>
      <c r="C64" s="1179"/>
      <c r="D64" s="1179"/>
      <c r="E64" s="1179"/>
      <c r="F64" s="1179"/>
      <c r="G64" s="1179"/>
      <c r="H64" s="1179"/>
      <c r="I64" s="1179"/>
      <c r="J64" s="1179"/>
      <c r="K64" s="1179"/>
      <c r="L64" s="1179"/>
      <c r="M64" s="1179"/>
      <c r="N64" s="1179"/>
      <c r="O64" s="1179"/>
      <c r="P64" s="1179"/>
      <c r="Q64" s="1179"/>
      <c r="R64" s="1179"/>
      <c r="S64" s="1179"/>
      <c r="T64" s="1179"/>
      <c r="U64" s="1179"/>
      <c r="V64" s="1179"/>
      <c r="W64" s="1179"/>
      <c r="X64" s="1179"/>
      <c r="Y64" s="1179"/>
      <c r="Z64" s="1179"/>
      <c r="AA64" s="1179"/>
      <c r="AB64" s="1179"/>
      <c r="AC64" s="1179"/>
      <c r="AD64" s="1179"/>
      <c r="AE64" s="1179"/>
      <c r="AF64" s="1179"/>
      <c r="AG64" s="1179"/>
      <c r="AH64" s="1179"/>
      <c r="AI64" s="1179"/>
      <c r="AJ64" s="1179"/>
      <c r="AK64" s="1127"/>
      <c r="BL64" s="1793"/>
      <c r="BM64" s="1793"/>
      <c r="BO64" s="1793"/>
      <c r="BP64" s="1793"/>
      <c r="BQ64" s="1793"/>
      <c r="BR64" s="1793"/>
      <c r="BS64" s="1793"/>
      <c r="BT64" s="1793"/>
      <c r="BU64" s="1793"/>
      <c r="BV64" s="1793"/>
    </row>
    <row r="65" spans="1:74" ht="13.5" customHeight="1" thickBot="1">
      <c r="A65" s="1127"/>
      <c r="B65" s="1179"/>
      <c r="C65" s="1809" t="s">
        <v>1442</v>
      </c>
      <c r="D65" s="2686" t="s">
        <v>1482</v>
      </c>
      <c r="E65" s="1179"/>
      <c r="F65" s="1179"/>
      <c r="G65" s="1179"/>
      <c r="H65" s="1179"/>
      <c r="I65" s="1179"/>
      <c r="J65" s="1179"/>
      <c r="K65" s="1179"/>
      <c r="L65" s="1179"/>
      <c r="M65" s="1179"/>
      <c r="N65" s="1179"/>
      <c r="O65" s="1179"/>
      <c r="P65" s="1179"/>
      <c r="Q65" s="1179"/>
      <c r="R65" s="1179"/>
      <c r="S65" s="1179"/>
      <c r="T65" s="1179"/>
      <c r="U65" s="1179"/>
      <c r="V65" s="1179"/>
      <c r="W65" s="1179"/>
      <c r="X65" s="1179"/>
      <c r="Y65" s="1179"/>
      <c r="Z65" s="1179"/>
      <c r="AA65" s="1179"/>
      <c r="AB65" s="1179"/>
      <c r="AC65" s="1179"/>
      <c r="AD65" s="1243" t="s">
        <v>1037</v>
      </c>
      <c r="AE65" s="1181"/>
      <c r="AF65" s="1276" t="s">
        <v>271</v>
      </c>
      <c r="AG65" s="1179"/>
      <c r="AH65" s="1181"/>
      <c r="AI65" s="1276" t="s">
        <v>272</v>
      </c>
      <c r="AJ65" s="1179"/>
      <c r="AK65" s="1127"/>
      <c r="AO65" s="1792"/>
      <c r="AP65" s="1796"/>
      <c r="BL65" s="1793"/>
      <c r="BM65" s="1793"/>
      <c r="BO65" s="1793"/>
      <c r="BP65" s="1793"/>
      <c r="BQ65" s="1793"/>
      <c r="BR65" s="1793"/>
      <c r="BS65" s="1793"/>
      <c r="BT65" s="1793"/>
      <c r="BU65" s="1793"/>
      <c r="BV65" s="1793"/>
    </row>
    <row r="66" spans="1:74" ht="3.75" customHeight="1" thickBot="1">
      <c r="A66" s="1127"/>
      <c r="B66" s="1179"/>
      <c r="C66" s="1809"/>
      <c r="D66" s="1179"/>
      <c r="E66" s="1179"/>
      <c r="F66" s="1179"/>
      <c r="G66" s="1179"/>
      <c r="H66" s="1179"/>
      <c r="I66" s="1179"/>
      <c r="J66" s="1179"/>
      <c r="K66" s="1179"/>
      <c r="L66" s="1179"/>
      <c r="M66" s="1179"/>
      <c r="N66" s="1179"/>
      <c r="O66" s="1179"/>
      <c r="P66" s="1179"/>
      <c r="Q66" s="1179"/>
      <c r="R66" s="1179"/>
      <c r="S66" s="1179"/>
      <c r="T66" s="1179"/>
      <c r="U66" s="1179"/>
      <c r="V66" s="1179"/>
      <c r="W66" s="1179"/>
      <c r="X66" s="1179"/>
      <c r="Y66" s="1179"/>
      <c r="Z66" s="1179"/>
      <c r="AA66" s="1179"/>
      <c r="AB66" s="1179"/>
      <c r="AC66" s="1179"/>
      <c r="AD66" s="1179"/>
      <c r="AE66" s="1814"/>
      <c r="AF66" s="1276"/>
      <c r="AG66" s="1179"/>
      <c r="AH66" s="1814"/>
      <c r="AI66" s="1276"/>
      <c r="AJ66" s="1179"/>
      <c r="AK66" s="1127"/>
      <c r="AO66" s="1792"/>
      <c r="AP66" s="1796"/>
      <c r="BL66" s="1793"/>
      <c r="BM66" s="1793"/>
      <c r="BO66" s="1793"/>
      <c r="BP66" s="1793"/>
      <c r="BQ66" s="1793"/>
      <c r="BR66" s="1793"/>
      <c r="BS66" s="1793"/>
      <c r="BT66" s="1793"/>
      <c r="BU66" s="1793"/>
      <c r="BV66" s="1793"/>
    </row>
    <row r="67" spans="1:74" ht="13.5" customHeight="1" thickBot="1">
      <c r="A67" s="1127"/>
      <c r="B67" s="1179"/>
      <c r="C67" s="1809" t="s">
        <v>92</v>
      </c>
      <c r="D67" s="2686" t="s">
        <v>1483</v>
      </c>
      <c r="E67" s="1179"/>
      <c r="F67" s="1179"/>
      <c r="G67" s="1179"/>
      <c r="H67" s="1179"/>
      <c r="I67" s="1179"/>
      <c r="J67" s="1179"/>
      <c r="K67" s="1179"/>
      <c r="L67" s="1179"/>
      <c r="M67" s="1179"/>
      <c r="N67" s="1179"/>
      <c r="O67" s="1179"/>
      <c r="P67" s="1179"/>
      <c r="Q67" s="1179"/>
      <c r="R67" s="1179"/>
      <c r="S67" s="1179"/>
      <c r="T67" s="1179"/>
      <c r="U67" s="1179"/>
      <c r="V67" s="1179"/>
      <c r="W67" s="1179"/>
      <c r="X67" s="1179"/>
      <c r="Y67" s="1179"/>
      <c r="Z67" s="1179"/>
      <c r="AA67" s="1179"/>
      <c r="AB67" s="1179"/>
      <c r="AC67" s="1179"/>
      <c r="AD67" s="1243" t="s">
        <v>567</v>
      </c>
      <c r="AE67" s="1181"/>
      <c r="AF67" s="1276" t="s">
        <v>271</v>
      </c>
      <c r="AG67" s="1179"/>
      <c r="AH67" s="1181"/>
      <c r="AI67" s="1276" t="s">
        <v>272</v>
      </c>
      <c r="AJ67" s="1179"/>
      <c r="AK67" s="1127"/>
      <c r="AO67" s="1793"/>
      <c r="AP67" s="1793"/>
      <c r="BL67" s="1793"/>
      <c r="BM67" s="1793"/>
      <c r="BO67" s="1793"/>
      <c r="BP67" s="1793"/>
      <c r="BQ67" s="1793"/>
      <c r="BR67" s="1793"/>
      <c r="BS67" s="1793"/>
      <c r="BT67" s="1793"/>
      <c r="BU67" s="1793"/>
      <c r="BV67" s="1793"/>
    </row>
    <row r="68" spans="1:74" ht="14.25" customHeight="1">
      <c r="A68" s="1127"/>
      <c r="B68" s="1179"/>
      <c r="C68" s="1809" t="s">
        <v>964</v>
      </c>
      <c r="D68" s="2686" t="s">
        <v>1484</v>
      </c>
      <c r="E68" s="1179"/>
      <c r="F68" s="1179"/>
      <c r="G68" s="1179"/>
      <c r="H68" s="1179"/>
      <c r="I68" s="1179"/>
      <c r="J68" s="1179"/>
      <c r="K68" s="1179"/>
      <c r="L68" s="1179"/>
      <c r="M68" s="1179"/>
      <c r="N68" s="1179"/>
      <c r="O68" s="1179"/>
      <c r="P68" s="1179"/>
      <c r="Q68" s="1179"/>
      <c r="R68" s="1179"/>
      <c r="S68" s="1179"/>
      <c r="T68" s="1179"/>
      <c r="U68" s="1179"/>
      <c r="V68" s="1179"/>
      <c r="W68" s="1179"/>
      <c r="X68" s="1179"/>
      <c r="Y68" s="1179"/>
      <c r="Z68" s="1179"/>
      <c r="AA68" s="1179"/>
      <c r="AB68" s="1179"/>
      <c r="AC68" s="1179"/>
      <c r="AD68" s="1179"/>
      <c r="AE68" s="1179"/>
      <c r="AF68" s="1179"/>
      <c r="AG68" s="1179"/>
      <c r="AH68" s="1179"/>
      <c r="AI68" s="1179"/>
      <c r="AJ68" s="1179"/>
      <c r="AK68" s="1127"/>
      <c r="AO68" s="1793"/>
      <c r="AP68" s="1793"/>
      <c r="BL68" s="1793"/>
      <c r="BM68" s="1793"/>
      <c r="BO68" s="1793"/>
      <c r="BP68" s="1793"/>
      <c r="BQ68" s="1793"/>
      <c r="BR68" s="1793"/>
      <c r="BS68" s="1793"/>
      <c r="BT68" s="1793"/>
      <c r="BU68" s="1793"/>
      <c r="BV68" s="1793"/>
    </row>
    <row r="69" spans="1:74" ht="14.25" customHeight="1">
      <c r="A69" s="1127"/>
      <c r="B69" s="1179"/>
      <c r="C69" s="1809"/>
      <c r="D69" s="2686" t="s">
        <v>1180</v>
      </c>
      <c r="E69" s="1179"/>
      <c r="F69" s="1179"/>
      <c r="G69" s="8537"/>
      <c r="H69" s="8538"/>
      <c r="I69" s="8538"/>
      <c r="J69" s="8538"/>
      <c r="K69" s="8538"/>
      <c r="L69" s="8538"/>
      <c r="M69" s="8538"/>
      <c r="N69" s="8538"/>
      <c r="O69" s="8538"/>
      <c r="P69" s="8538"/>
      <c r="Q69" s="8538"/>
      <c r="R69" s="8538"/>
      <c r="S69" s="8538"/>
      <c r="T69" s="8538"/>
      <c r="U69" s="8538"/>
      <c r="V69" s="8538"/>
      <c r="W69" s="8538"/>
      <c r="X69" s="8538"/>
      <c r="Y69" s="8538"/>
      <c r="Z69" s="8538"/>
      <c r="AA69" s="8538"/>
      <c r="AB69" s="8538"/>
      <c r="AC69" s="8538"/>
      <c r="AD69" s="8538"/>
      <c r="AE69" s="8538"/>
      <c r="AF69" s="8538"/>
      <c r="AG69" s="8538"/>
      <c r="AH69" s="8538"/>
      <c r="AI69" s="8538"/>
      <c r="AJ69" s="8538"/>
      <c r="AK69" s="1127"/>
      <c r="AO69" s="1797"/>
      <c r="AP69" s="1797"/>
      <c r="BL69" s="1793"/>
      <c r="BM69" s="1793"/>
      <c r="BO69" s="1793"/>
      <c r="BP69" s="1793"/>
      <c r="BQ69" s="1793"/>
      <c r="BR69" s="1793"/>
      <c r="BS69" s="1793"/>
      <c r="BT69" s="1793"/>
      <c r="BU69" s="1793"/>
      <c r="BV69" s="1793"/>
    </row>
    <row r="70" spans="1:74" ht="15">
      <c r="A70" s="1127"/>
      <c r="B70" s="1179"/>
      <c r="C70" s="1179"/>
      <c r="D70" s="8537"/>
      <c r="E70" s="8538"/>
      <c r="F70" s="8538"/>
      <c r="G70" s="8538"/>
      <c r="H70" s="8538"/>
      <c r="I70" s="8538"/>
      <c r="J70" s="8538"/>
      <c r="K70" s="8538"/>
      <c r="L70" s="8538"/>
      <c r="M70" s="8538"/>
      <c r="N70" s="8538"/>
      <c r="O70" s="8538"/>
      <c r="P70" s="8538"/>
      <c r="Q70" s="8538"/>
      <c r="R70" s="8538"/>
      <c r="S70" s="8538"/>
      <c r="T70" s="8538"/>
      <c r="U70" s="8538"/>
      <c r="V70" s="8538"/>
      <c r="W70" s="8538"/>
      <c r="X70" s="8538"/>
      <c r="Y70" s="8538"/>
      <c r="Z70" s="8538"/>
      <c r="AA70" s="8538"/>
      <c r="AB70" s="8538"/>
      <c r="AC70" s="8538"/>
      <c r="AD70" s="8538"/>
      <c r="AE70" s="8538"/>
      <c r="AF70" s="8538"/>
      <c r="AG70" s="8538"/>
      <c r="AH70" s="8538"/>
      <c r="AI70" s="8538"/>
      <c r="AJ70" s="8538"/>
      <c r="AK70" s="1127"/>
      <c r="AM70" s="1783"/>
      <c r="AN70" s="1783"/>
      <c r="AO70" s="1799"/>
      <c r="AP70" s="1800"/>
      <c r="BL70" s="1793"/>
      <c r="BM70" s="1793"/>
      <c r="BO70" s="1793"/>
      <c r="BP70" s="1793"/>
      <c r="BQ70" s="1793"/>
      <c r="BR70" s="1793"/>
      <c r="BS70" s="1793"/>
      <c r="BT70" s="1793"/>
      <c r="BU70" s="1793"/>
      <c r="BV70" s="1793"/>
    </row>
    <row r="71" spans="1:74" ht="18.75" customHeight="1">
      <c r="A71" s="1127"/>
      <c r="B71" s="24" t="s">
        <v>1658</v>
      </c>
      <c r="C71" s="70"/>
      <c r="D71" s="70"/>
      <c r="E71" s="70"/>
      <c r="F71" s="70"/>
      <c r="G71" s="70"/>
      <c r="H71" s="70"/>
      <c r="I71" s="70"/>
      <c r="J71" s="70"/>
      <c r="K71" s="70"/>
      <c r="L71" s="70"/>
      <c r="M71" s="70"/>
      <c r="N71" s="70"/>
      <c r="O71" s="70"/>
      <c r="P71" s="70"/>
      <c r="Q71" s="23"/>
      <c r="R71" s="23"/>
      <c r="S71" s="23"/>
      <c r="T71" s="23"/>
      <c r="U71" s="30"/>
      <c r="V71" s="23"/>
      <c r="W71" s="30" t="s">
        <v>1485</v>
      </c>
      <c r="X71" s="23"/>
      <c r="Y71" s="23"/>
      <c r="Z71" s="23"/>
      <c r="AA71" s="23"/>
      <c r="AB71" s="23"/>
      <c r="AC71" s="23"/>
      <c r="AD71" s="23"/>
      <c r="AE71" s="23"/>
      <c r="AF71" s="23"/>
      <c r="AG71" s="23"/>
      <c r="AH71" s="1035" t="s">
        <v>5418</v>
      </c>
      <c r="AI71" s="23"/>
      <c r="AJ71" s="1035" t="str">
        <f>"("&amp;TaxYear&amp;")"</f>
        <v>(2021)</v>
      </c>
      <c r="AK71" s="1127"/>
      <c r="AM71" s="1783"/>
      <c r="AN71" s="1783"/>
      <c r="AO71" s="1799"/>
      <c r="AP71" s="1800"/>
      <c r="BL71" s="1793"/>
      <c r="BM71" s="1793"/>
      <c r="BO71" s="1793"/>
      <c r="BP71" s="1793"/>
      <c r="BQ71" s="1793"/>
      <c r="BR71" s="1793"/>
      <c r="BS71" s="1793"/>
      <c r="BT71" s="1793"/>
      <c r="BU71" s="1793"/>
      <c r="BV71" s="1793"/>
    </row>
    <row r="72" spans="1:74" ht="18.75" thickBot="1">
      <c r="A72" s="1127"/>
      <c r="B72" s="1359" t="str">
        <f>"Form 2555 ("&amp;TaxYear&amp;")"</f>
        <v>Form 2555 (2021)</v>
      </c>
      <c r="C72" s="1359"/>
      <c r="D72" s="1359"/>
      <c r="E72" s="1359"/>
      <c r="F72" s="1359"/>
      <c r="G72" s="1359"/>
      <c r="H72" s="1359"/>
      <c r="I72" s="1359"/>
      <c r="J72" s="1359"/>
      <c r="K72" s="1359"/>
      <c r="L72" s="1359"/>
      <c r="M72" s="1359"/>
      <c r="N72" s="1359"/>
      <c r="O72" s="1359"/>
      <c r="P72" s="1359"/>
      <c r="Q72" s="1359"/>
      <c r="R72" s="1359"/>
      <c r="S72" s="1359"/>
      <c r="T72" s="1359"/>
      <c r="U72" s="1359"/>
      <c r="V72" s="1359"/>
      <c r="W72" s="1359"/>
      <c r="X72" s="1359"/>
      <c r="Y72" s="1359"/>
      <c r="Z72" s="1359"/>
      <c r="AA72" s="1359"/>
      <c r="AB72" s="1359"/>
      <c r="AC72" s="1359"/>
      <c r="AD72" s="1359"/>
      <c r="AE72" s="1359"/>
      <c r="AF72" s="1359"/>
      <c r="AG72" s="1359"/>
      <c r="AH72" s="1359"/>
      <c r="AI72" s="1815" t="s">
        <v>197</v>
      </c>
      <c r="AJ72" s="1816">
        <v>2</v>
      </c>
      <c r="AK72" s="1127"/>
      <c r="AO72" s="1799"/>
      <c r="AP72" s="1800"/>
      <c r="BL72" s="1793"/>
      <c r="BM72" s="1793"/>
      <c r="BO72" s="1793"/>
      <c r="BP72" s="1793"/>
      <c r="BQ72" s="1793"/>
      <c r="BR72" s="1793"/>
      <c r="BS72" s="1793"/>
      <c r="BT72" s="1793"/>
      <c r="BU72" s="1793"/>
      <c r="BV72" s="1793"/>
    </row>
    <row r="73" spans="1:74" ht="5.25" customHeight="1" thickTop="1">
      <c r="A73" s="1127"/>
      <c r="B73" s="1772"/>
      <c r="C73" s="1772"/>
      <c r="D73" s="1772"/>
      <c r="E73" s="1772"/>
      <c r="F73" s="1772"/>
      <c r="G73" s="1772"/>
      <c r="H73" s="1772"/>
      <c r="I73" s="1772"/>
      <c r="J73" s="1772"/>
      <c r="K73" s="1772"/>
      <c r="L73" s="1772"/>
      <c r="M73" s="1772"/>
      <c r="N73" s="1772"/>
      <c r="O73" s="1772"/>
      <c r="P73" s="1772"/>
      <c r="Q73" s="1772"/>
      <c r="R73" s="1772"/>
      <c r="S73" s="1772"/>
      <c r="T73" s="1772"/>
      <c r="U73" s="1772"/>
      <c r="V73" s="1772"/>
      <c r="W73" s="1772"/>
      <c r="X73" s="1772"/>
      <c r="Y73" s="1772"/>
      <c r="Z73" s="1772"/>
      <c r="AA73" s="1772"/>
      <c r="AB73" s="1772"/>
      <c r="AC73" s="1772"/>
      <c r="AD73" s="1772"/>
      <c r="AE73" s="1772"/>
      <c r="AF73" s="1772"/>
      <c r="AG73" s="1772"/>
      <c r="AH73" s="1772"/>
      <c r="AI73" s="1772"/>
      <c r="AJ73" s="1772"/>
      <c r="AK73" s="1127"/>
    </row>
    <row r="74" spans="1:74" ht="15" customHeight="1">
      <c r="A74" s="1127"/>
      <c r="B74" s="6769" t="s">
        <v>319</v>
      </c>
      <c r="C74" s="8668"/>
      <c r="D74" s="1778" t="s">
        <v>1486</v>
      </c>
      <c r="E74" s="1776"/>
      <c r="F74" s="1776"/>
      <c r="G74" s="1776"/>
      <c r="H74" s="1776"/>
      <c r="I74" s="1776"/>
      <c r="J74" s="1776"/>
      <c r="K74" s="1776"/>
      <c r="L74" s="1776"/>
      <c r="M74" s="1776"/>
      <c r="N74" s="1776"/>
      <c r="O74" s="1776"/>
      <c r="P74" s="1776"/>
      <c r="Q74" s="1776"/>
      <c r="R74" s="1776"/>
      <c r="S74" s="1776"/>
      <c r="T74" s="1776"/>
      <c r="U74" s="1776"/>
      <c r="V74" s="1776"/>
      <c r="W74" s="1776"/>
      <c r="X74" s="1776"/>
      <c r="Y74" s="1776"/>
      <c r="Z74" s="1776"/>
      <c r="AA74" s="1776"/>
      <c r="AB74" s="1776"/>
      <c r="AC74" s="1776"/>
      <c r="AD74" s="1776"/>
      <c r="AE74" s="1776"/>
      <c r="AF74" s="1776"/>
      <c r="AG74" s="1776"/>
      <c r="AH74" s="1776"/>
      <c r="AI74" s="1776"/>
      <c r="AJ74" s="1776"/>
      <c r="AK74" s="1127"/>
    </row>
    <row r="75" spans="1:74" ht="18.75" customHeight="1">
      <c r="A75" s="1127"/>
      <c r="B75" s="1777"/>
      <c r="C75" s="1777"/>
      <c r="D75" s="4358" t="s">
        <v>4189</v>
      </c>
      <c r="E75" s="1777"/>
      <c r="F75" s="1777"/>
      <c r="G75" s="1777"/>
      <c r="H75" s="1777"/>
      <c r="I75" s="1777"/>
      <c r="J75" s="1777"/>
      <c r="K75" s="1777"/>
      <c r="L75" s="1777"/>
      <c r="M75" s="1777"/>
      <c r="N75" s="1777"/>
      <c r="O75" s="1777"/>
      <c r="P75" s="1777"/>
      <c r="Q75" s="1777"/>
      <c r="R75" s="1777"/>
      <c r="S75" s="1777"/>
      <c r="T75" s="1777"/>
      <c r="U75" s="1777"/>
      <c r="V75" s="1777"/>
      <c r="W75" s="1777"/>
      <c r="X75" s="1777"/>
      <c r="Y75" s="1777"/>
      <c r="Z75" s="1777"/>
      <c r="AA75" s="1777"/>
      <c r="AB75" s="1777"/>
      <c r="AC75" s="1777"/>
      <c r="AD75" s="1777"/>
      <c r="AE75" s="1777"/>
      <c r="AF75" s="1777"/>
      <c r="AG75" s="1777"/>
      <c r="AH75" s="1777"/>
      <c r="AI75" s="1777"/>
      <c r="AJ75" s="1777"/>
      <c r="AK75" s="1127"/>
    </row>
    <row r="76" spans="1:74" ht="12.75" customHeight="1">
      <c r="A76" s="1127"/>
      <c r="B76" s="8666" t="s">
        <v>1105</v>
      </c>
      <c r="C76" s="8666"/>
      <c r="D76" s="1276" t="s">
        <v>1487</v>
      </c>
      <c r="E76" s="1179"/>
      <c r="F76" s="1179"/>
      <c r="G76" s="1179"/>
      <c r="H76" s="1179"/>
      <c r="I76" s="1179"/>
      <c r="J76" s="1179"/>
      <c r="K76" s="1179"/>
      <c r="L76" s="1179"/>
      <c r="M76" s="1179"/>
      <c r="N76" s="1179"/>
      <c r="O76" s="1179"/>
      <c r="P76" s="1179"/>
      <c r="Q76" s="1179"/>
      <c r="R76" s="1179"/>
      <c r="S76" s="1179"/>
      <c r="T76" s="8652"/>
      <c r="U76" s="8653"/>
      <c r="V76" s="8653"/>
      <c r="W76" s="8653"/>
      <c r="X76" s="8654"/>
      <c r="Y76" s="8654"/>
      <c r="Z76" s="8654"/>
      <c r="AA76" s="1179"/>
      <c r="AB76" s="1927" t="s">
        <v>1488</v>
      </c>
      <c r="AC76" s="1179"/>
      <c r="AD76" s="8652"/>
      <c r="AE76" s="8653"/>
      <c r="AF76" s="8653"/>
      <c r="AG76" s="8653"/>
      <c r="AH76" s="8654"/>
      <c r="AI76" s="8654"/>
      <c r="AJ76" s="8654"/>
      <c r="AK76" s="1127"/>
      <c r="AO76" s="1799"/>
      <c r="AP76" s="1800"/>
      <c r="BL76" s="1793"/>
      <c r="BM76" s="1793"/>
      <c r="BO76" s="1793"/>
      <c r="BP76" s="1793"/>
      <c r="BQ76" s="1793"/>
      <c r="BR76" s="1793"/>
      <c r="BS76" s="1793"/>
      <c r="BT76" s="1793"/>
      <c r="BU76" s="1793"/>
      <c r="BV76" s="1793"/>
    </row>
    <row r="77" spans="1:74" ht="15" customHeight="1">
      <c r="A77" s="1127"/>
      <c r="B77" s="8667" t="s">
        <v>1107</v>
      </c>
      <c r="C77" s="8667"/>
      <c r="D77" s="1276" t="s">
        <v>1489</v>
      </c>
      <c r="E77" s="1179"/>
      <c r="F77" s="1179"/>
      <c r="G77" s="1179"/>
      <c r="H77" s="1179"/>
      <c r="I77" s="1179"/>
      <c r="J77" s="1179"/>
      <c r="K77" s="1179"/>
      <c r="L77" s="1179"/>
      <c r="M77" s="1179"/>
      <c r="N77" s="1179"/>
      <c r="O77" s="1179"/>
      <c r="P77" s="1179"/>
      <c r="Q77" s="1179"/>
      <c r="R77" s="1179"/>
      <c r="S77" s="8525"/>
      <c r="T77" s="8540"/>
      <c r="U77" s="8540"/>
      <c r="V77" s="8540"/>
      <c r="W77" s="8540"/>
      <c r="X77" s="8540"/>
      <c r="Y77" s="8540"/>
      <c r="Z77" s="8540"/>
      <c r="AA77" s="8540"/>
      <c r="AB77" s="8540"/>
      <c r="AC77" s="8540"/>
      <c r="AD77" s="8540"/>
      <c r="AE77" s="8540"/>
      <c r="AF77" s="8540"/>
      <c r="AG77" s="8540"/>
      <c r="AH77" s="8540"/>
      <c r="AI77" s="8540"/>
      <c r="AJ77" s="8540"/>
      <c r="AK77" s="1127"/>
      <c r="AM77" s="1783"/>
      <c r="AN77" s="1783"/>
      <c r="AO77" s="1799"/>
      <c r="AP77" s="1800"/>
      <c r="BL77" s="1793"/>
      <c r="BM77" s="1793"/>
      <c r="BO77" s="1793"/>
      <c r="BP77" s="1793"/>
      <c r="BQ77" s="1793"/>
      <c r="BR77" s="1793"/>
      <c r="BS77" s="1793"/>
      <c r="BT77" s="1793"/>
      <c r="BU77" s="1793"/>
      <c r="BV77" s="1793"/>
    </row>
    <row r="78" spans="1:74" ht="18" customHeight="1">
      <c r="A78" s="1127"/>
      <c r="B78" s="8667" t="s">
        <v>1109</v>
      </c>
      <c r="C78" s="8667"/>
      <c r="D78" s="2686" t="s">
        <v>2063</v>
      </c>
      <c r="E78" s="1179"/>
      <c r="F78" s="1179"/>
      <c r="G78" s="1179"/>
      <c r="H78" s="1179"/>
      <c r="I78" s="1179"/>
      <c r="J78" s="1179"/>
      <c r="K78" s="1179"/>
      <c r="L78" s="1179"/>
      <c r="M78" s="1179"/>
      <c r="N78" s="1179"/>
      <c r="O78" s="1179"/>
      <c r="P78" s="1179"/>
      <c r="Q78" s="1179"/>
      <c r="R78" s="1179"/>
      <c r="S78" s="1179"/>
      <c r="T78" s="1179"/>
      <c r="U78" s="1179"/>
      <c r="V78" s="1179"/>
      <c r="W78" s="1179"/>
      <c r="X78" s="1179"/>
      <c r="Y78" s="1179"/>
      <c r="Z78" s="1179"/>
      <c r="AA78" s="1179"/>
      <c r="AB78" s="1179"/>
      <c r="AC78" s="1179"/>
      <c r="AD78" s="1179"/>
      <c r="AE78" s="1179"/>
      <c r="AF78" s="1179"/>
      <c r="AG78" s="1179"/>
      <c r="AH78" s="1179"/>
      <c r="AI78" s="1179"/>
      <c r="AJ78" s="1179"/>
      <c r="AK78" s="1127"/>
      <c r="AO78" s="1799"/>
      <c r="AP78" s="1801"/>
      <c r="BL78" s="1793"/>
      <c r="BM78" s="1793"/>
      <c r="BO78" s="1793"/>
      <c r="BP78" s="1793"/>
      <c r="BQ78" s="1793"/>
      <c r="BR78" s="1793"/>
      <c r="BS78" s="1793"/>
      <c r="BT78" s="1793"/>
      <c r="BU78" s="1793"/>
      <c r="BV78" s="1793"/>
    </row>
    <row r="79" spans="1:74" ht="15.75" customHeight="1">
      <c r="A79" s="1127"/>
      <c r="B79" s="1179"/>
      <c r="C79" s="1179"/>
      <c r="D79" s="2686" t="s">
        <v>1676</v>
      </c>
      <c r="E79" s="1179"/>
      <c r="F79" s="1179"/>
      <c r="G79" s="1179"/>
      <c r="H79" s="1179"/>
      <c r="I79" s="1179"/>
      <c r="J79" s="1179"/>
      <c r="K79" s="1179"/>
      <c r="L79" s="1179"/>
      <c r="M79" s="1179"/>
      <c r="N79" s="1179"/>
      <c r="O79" s="1179"/>
      <c r="P79" s="1179"/>
      <c r="Q79" s="1179"/>
      <c r="R79" s="1179"/>
      <c r="S79" s="1179"/>
      <c r="T79" s="1179"/>
      <c r="U79" s="1179"/>
      <c r="V79" s="1179"/>
      <c r="W79" s="1179"/>
      <c r="X79" s="1179"/>
      <c r="Y79" s="1179"/>
      <c r="Z79" s="1179"/>
      <c r="AA79" s="1179"/>
      <c r="AB79" s="1179"/>
      <c r="AC79" s="1179"/>
      <c r="AD79" s="1179"/>
      <c r="AE79" s="1179"/>
      <c r="AF79" s="1179"/>
      <c r="AG79" s="1179"/>
      <c r="AH79" s="1179"/>
      <c r="AI79" s="1179"/>
      <c r="AJ79" s="1179"/>
      <c r="AK79" s="1127"/>
      <c r="AM79" s="1783"/>
      <c r="AN79" s="1783"/>
      <c r="AO79" s="1802"/>
      <c r="AP79" s="1803"/>
      <c r="BL79" s="1793"/>
      <c r="BM79" s="1793"/>
      <c r="BO79" s="1793"/>
      <c r="BP79" s="1793"/>
      <c r="BQ79" s="1793"/>
      <c r="BR79" s="1793"/>
      <c r="BS79" s="1793"/>
      <c r="BT79" s="1793"/>
      <c r="BU79" s="1793"/>
      <c r="BV79" s="1793"/>
    </row>
    <row r="80" spans="1:74" ht="14.25">
      <c r="A80" s="1127"/>
      <c r="B80" s="1179"/>
      <c r="C80" s="1179"/>
      <c r="D80" s="2686" t="s">
        <v>3538</v>
      </c>
      <c r="E80" s="1179"/>
      <c r="F80" s="1179"/>
      <c r="G80" s="1179"/>
      <c r="H80" s="1179"/>
      <c r="I80" s="1179"/>
      <c r="J80" s="1179"/>
      <c r="K80" s="1179"/>
      <c r="L80" s="1179"/>
      <c r="M80" s="1179"/>
      <c r="N80" s="1179"/>
      <c r="O80" s="1179"/>
      <c r="P80" s="1179"/>
      <c r="Q80" s="1179"/>
      <c r="R80" s="1179"/>
      <c r="S80" s="1179"/>
      <c r="T80" s="1179"/>
      <c r="U80" s="1179"/>
      <c r="V80" s="1179"/>
      <c r="W80" s="1179"/>
      <c r="X80" s="1179"/>
      <c r="Y80" s="1179"/>
      <c r="Z80" s="1179"/>
      <c r="AA80" s="1179"/>
      <c r="AB80" s="1179"/>
      <c r="AC80" s="1179"/>
      <c r="AD80" s="1179"/>
      <c r="AE80" s="1179"/>
      <c r="AF80" s="1179"/>
      <c r="AG80" s="1179"/>
      <c r="AH80" s="1179"/>
      <c r="AI80" s="1179"/>
      <c r="AJ80" s="1179"/>
      <c r="AK80" s="1127"/>
      <c r="AM80" s="1783"/>
      <c r="AN80" s="1783"/>
      <c r="AO80" s="1804"/>
      <c r="AP80" s="1805"/>
      <c r="BL80" s="1793"/>
      <c r="BM80" s="1793"/>
      <c r="BO80" s="1793"/>
      <c r="BP80" s="1793"/>
      <c r="BQ80" s="1793"/>
      <c r="BR80" s="1793"/>
      <c r="BS80" s="1793"/>
      <c r="BT80" s="1793"/>
      <c r="BU80" s="1793"/>
      <c r="BV80" s="1793"/>
    </row>
    <row r="81" spans="1:75" ht="15">
      <c r="A81" s="1127"/>
      <c r="B81" s="1179"/>
      <c r="C81" s="1179"/>
      <c r="D81" s="2686" t="s">
        <v>3537</v>
      </c>
      <c r="E81" s="1179"/>
      <c r="F81" s="1179"/>
      <c r="G81" s="1179"/>
      <c r="H81" s="1179"/>
      <c r="I81" s="1179"/>
      <c r="J81" s="1179"/>
      <c r="K81" s="1179"/>
      <c r="L81" s="1179"/>
      <c r="M81" s="1179"/>
      <c r="N81" s="1179"/>
      <c r="O81" s="1179"/>
      <c r="P81" s="1179"/>
      <c r="Q81" s="1179"/>
      <c r="R81" s="1179"/>
      <c r="S81" s="1179"/>
      <c r="T81" s="1179"/>
      <c r="U81" s="1179"/>
      <c r="V81" s="1179"/>
      <c r="W81" s="1179"/>
      <c r="X81" s="1179"/>
      <c r="Y81" s="1179"/>
      <c r="Z81" s="1179"/>
      <c r="AA81" s="1179"/>
      <c r="AB81" s="1179"/>
      <c r="AC81" s="1179"/>
      <c r="AD81" s="1179"/>
      <c r="AE81" s="1179"/>
      <c r="AF81" s="1179"/>
      <c r="AG81" s="1179"/>
      <c r="AH81" s="1179"/>
      <c r="AI81" s="1179"/>
      <c r="AJ81" s="1179"/>
      <c r="AK81" s="1127"/>
      <c r="AL81" s="1792"/>
      <c r="AM81" s="1792"/>
      <c r="AN81" s="1792"/>
      <c r="AO81" s="1799"/>
      <c r="AP81" s="1793"/>
      <c r="BL81" s="1793"/>
      <c r="BM81" s="1793"/>
      <c r="BO81" s="1793"/>
      <c r="BP81" s="1793"/>
      <c r="BQ81" s="1793"/>
      <c r="BR81" s="1793"/>
      <c r="BS81" s="1793"/>
      <c r="BT81" s="1793"/>
      <c r="BU81" s="1793"/>
      <c r="BV81" s="1793"/>
    </row>
    <row r="82" spans="1:75" ht="35.25" customHeight="1" thickBot="1">
      <c r="A82" s="1127"/>
      <c r="B82" s="8598" t="s">
        <v>1490</v>
      </c>
      <c r="C82" s="7374"/>
      <c r="D82" s="7374"/>
      <c r="E82" s="7374"/>
      <c r="F82" s="7374"/>
      <c r="G82" s="7374"/>
      <c r="H82" s="7374"/>
      <c r="I82" s="7374"/>
      <c r="J82" s="7374"/>
      <c r="K82" s="7374"/>
      <c r="L82" s="7374"/>
      <c r="M82" s="8597"/>
      <c r="N82" s="8596" t="s">
        <v>1491</v>
      </c>
      <c r="O82" s="7374"/>
      <c r="P82" s="7374"/>
      <c r="Q82" s="7374"/>
      <c r="R82" s="8597"/>
      <c r="S82" s="8596" t="s">
        <v>1492</v>
      </c>
      <c r="T82" s="7374"/>
      <c r="U82" s="7374"/>
      <c r="V82" s="7374"/>
      <c r="W82" s="8597"/>
      <c r="X82" s="8596" t="s">
        <v>1493</v>
      </c>
      <c r="Y82" s="7374"/>
      <c r="Z82" s="7374"/>
      <c r="AA82" s="8597"/>
      <c r="AB82" s="8596" t="s">
        <v>1494</v>
      </c>
      <c r="AC82" s="7374"/>
      <c r="AD82" s="7374"/>
      <c r="AE82" s="8597"/>
      <c r="AF82" s="8596" t="s">
        <v>1495</v>
      </c>
      <c r="AG82" s="7374"/>
      <c r="AH82" s="7374"/>
      <c r="AI82" s="7374"/>
      <c r="AJ82" s="7374"/>
      <c r="AK82" s="1127"/>
      <c r="AM82" s="1824" t="s">
        <v>91</v>
      </c>
      <c r="AO82" s="1792"/>
      <c r="AP82" s="1796"/>
      <c r="BL82" s="1793"/>
      <c r="BM82" s="1793"/>
      <c r="BO82" s="1793"/>
      <c r="BP82" s="1793"/>
      <c r="BQ82" s="1793"/>
      <c r="BR82" s="1793"/>
      <c r="BS82" s="1793"/>
      <c r="BT82" s="1793"/>
      <c r="BU82" s="1793"/>
      <c r="BV82" s="1793"/>
    </row>
    <row r="83" spans="1:75" ht="14.25" customHeight="1" thickBot="1">
      <c r="A83" s="1127"/>
      <c r="B83" s="8582"/>
      <c r="C83" s="8583"/>
      <c r="D83" s="8583"/>
      <c r="E83" s="8583"/>
      <c r="F83" s="8583"/>
      <c r="G83" s="8583"/>
      <c r="H83" s="8583"/>
      <c r="I83" s="8583"/>
      <c r="J83" s="8583"/>
      <c r="K83" s="8583"/>
      <c r="L83" s="8583"/>
      <c r="M83" s="8584"/>
      <c r="N83" s="8585"/>
      <c r="O83" s="8586"/>
      <c r="P83" s="8586"/>
      <c r="Q83" s="8586"/>
      <c r="R83" s="8587"/>
      <c r="S83" s="8585"/>
      <c r="T83" s="8586"/>
      <c r="U83" s="8586"/>
      <c r="V83" s="8586"/>
      <c r="W83" s="8587"/>
      <c r="X83" s="8588" t="str">
        <f>IF(AM83&lt;&gt;"",ROUND(AM83,0),IF(OR(N83="",S83=""),"",S83-N83-2))</f>
        <v/>
      </c>
      <c r="Y83" s="8589"/>
      <c r="Z83" s="8589"/>
      <c r="AA83" s="8590"/>
      <c r="AB83" s="8591"/>
      <c r="AC83" s="8592"/>
      <c r="AD83" s="8592"/>
      <c r="AE83" s="8593"/>
      <c r="AF83" s="8594"/>
      <c r="AG83" s="8595"/>
      <c r="AH83" s="8595"/>
      <c r="AI83" s="8595"/>
      <c r="AJ83" s="8595"/>
      <c r="AK83" s="1127"/>
      <c r="AM83" s="1894"/>
      <c r="AO83" s="1792"/>
      <c r="AP83" s="1796"/>
      <c r="BL83" s="1793"/>
      <c r="BM83" s="1793"/>
      <c r="BO83" s="1793"/>
      <c r="BP83" s="1793"/>
      <c r="BQ83" s="1793"/>
      <c r="BR83" s="1793"/>
      <c r="BS83" s="1793"/>
      <c r="BT83" s="1793"/>
      <c r="BU83" s="1793"/>
      <c r="BV83" s="1793"/>
    </row>
    <row r="84" spans="1:75" ht="14.25" customHeight="1" thickBot="1">
      <c r="A84" s="1127"/>
      <c r="B84" s="8582"/>
      <c r="C84" s="8583"/>
      <c r="D84" s="8583"/>
      <c r="E84" s="8583"/>
      <c r="F84" s="8583"/>
      <c r="G84" s="8583"/>
      <c r="H84" s="8583"/>
      <c r="I84" s="8583"/>
      <c r="J84" s="8583"/>
      <c r="K84" s="8583"/>
      <c r="L84" s="8583"/>
      <c r="M84" s="8584"/>
      <c r="N84" s="8585"/>
      <c r="O84" s="8586"/>
      <c r="P84" s="8586"/>
      <c r="Q84" s="8586"/>
      <c r="R84" s="8587"/>
      <c r="S84" s="8585"/>
      <c r="T84" s="8586"/>
      <c r="U84" s="8586"/>
      <c r="V84" s="8586"/>
      <c r="W84" s="8587"/>
      <c r="X84" s="8588" t="str">
        <f>IF(AM84&lt;&gt;"",ROUND(AM84,0),IF(OR(N84="",S84=""),"",S84-N84-2))</f>
        <v/>
      </c>
      <c r="Y84" s="8589"/>
      <c r="Z84" s="8589"/>
      <c r="AA84" s="8590"/>
      <c r="AB84" s="8591"/>
      <c r="AC84" s="8592"/>
      <c r="AD84" s="8592"/>
      <c r="AE84" s="8593"/>
      <c r="AF84" s="8594"/>
      <c r="AG84" s="8595"/>
      <c r="AH84" s="8595"/>
      <c r="AI84" s="8595"/>
      <c r="AJ84" s="8595"/>
      <c r="AK84" s="1127"/>
      <c r="AM84" s="1894"/>
      <c r="AO84" s="1792"/>
      <c r="AP84" s="1796"/>
      <c r="BL84" s="1793"/>
      <c r="BM84" s="1793"/>
      <c r="BO84" s="1793"/>
      <c r="BP84" s="1793"/>
      <c r="BQ84" s="1793"/>
      <c r="BR84" s="1793"/>
      <c r="BS84" s="1793"/>
      <c r="BT84" s="1793"/>
      <c r="BU84" s="1793"/>
      <c r="BV84" s="1793"/>
    </row>
    <row r="85" spans="1:75" ht="14.25" customHeight="1" thickBot="1">
      <c r="A85" s="1127"/>
      <c r="B85" s="8582"/>
      <c r="C85" s="8583"/>
      <c r="D85" s="8583"/>
      <c r="E85" s="8583"/>
      <c r="F85" s="8583"/>
      <c r="G85" s="8583"/>
      <c r="H85" s="8583"/>
      <c r="I85" s="8583"/>
      <c r="J85" s="8583"/>
      <c r="K85" s="8583"/>
      <c r="L85" s="8583"/>
      <c r="M85" s="8584"/>
      <c r="N85" s="8585"/>
      <c r="O85" s="8586"/>
      <c r="P85" s="8586"/>
      <c r="Q85" s="8586"/>
      <c r="R85" s="8587"/>
      <c r="S85" s="8585"/>
      <c r="T85" s="8586"/>
      <c r="U85" s="8586"/>
      <c r="V85" s="8586"/>
      <c r="W85" s="8587"/>
      <c r="X85" s="8588" t="str">
        <f>IF(AM85&lt;&gt;"",ROUND(AM85,0),IF(OR(N85="",S85=""),"",S85-N85-2))</f>
        <v/>
      </c>
      <c r="Y85" s="8589"/>
      <c r="Z85" s="8589"/>
      <c r="AA85" s="8590"/>
      <c r="AB85" s="8591"/>
      <c r="AC85" s="8592"/>
      <c r="AD85" s="8592"/>
      <c r="AE85" s="8593"/>
      <c r="AF85" s="8594"/>
      <c r="AG85" s="8595"/>
      <c r="AH85" s="8595"/>
      <c r="AI85" s="8595"/>
      <c r="AJ85" s="8595"/>
      <c r="AK85" s="1127"/>
      <c r="AM85" s="1894"/>
      <c r="AO85" s="1792"/>
      <c r="AP85" s="1796"/>
      <c r="BL85" s="1793"/>
      <c r="BM85" s="1793"/>
      <c r="BO85" s="1793"/>
      <c r="BP85" s="1793"/>
      <c r="BQ85" s="1793"/>
      <c r="BR85" s="1793"/>
      <c r="BS85" s="1793"/>
      <c r="BT85" s="1793"/>
      <c r="BU85" s="1793"/>
      <c r="BV85" s="1793"/>
    </row>
    <row r="86" spans="1:75" ht="14.25" customHeight="1" thickBot="1">
      <c r="A86" s="1127"/>
      <c r="B86" s="8582"/>
      <c r="C86" s="8583"/>
      <c r="D86" s="8583"/>
      <c r="E86" s="8583"/>
      <c r="F86" s="8583"/>
      <c r="G86" s="8583"/>
      <c r="H86" s="8583"/>
      <c r="I86" s="8583"/>
      <c r="J86" s="8583"/>
      <c r="K86" s="8583"/>
      <c r="L86" s="8583"/>
      <c r="M86" s="8584"/>
      <c r="N86" s="8585"/>
      <c r="O86" s="8586"/>
      <c r="P86" s="8586"/>
      <c r="Q86" s="8586"/>
      <c r="R86" s="8587"/>
      <c r="S86" s="8585"/>
      <c r="T86" s="8586"/>
      <c r="U86" s="8586"/>
      <c r="V86" s="8586"/>
      <c r="W86" s="8587"/>
      <c r="X86" s="8588" t="str">
        <f>IF(AM86&lt;&gt;"",ROUND(AM86,0),IF(OR(N86="",S86=""),"",S86-N86-2))</f>
        <v/>
      </c>
      <c r="Y86" s="8589"/>
      <c r="Z86" s="8589"/>
      <c r="AA86" s="8590"/>
      <c r="AB86" s="8591"/>
      <c r="AC86" s="8592"/>
      <c r="AD86" s="8592"/>
      <c r="AE86" s="8593"/>
      <c r="AF86" s="8594"/>
      <c r="AG86" s="8595"/>
      <c r="AH86" s="8595"/>
      <c r="AI86" s="8595"/>
      <c r="AJ86" s="8595"/>
      <c r="AK86" s="1127"/>
      <c r="AM86" s="1894"/>
      <c r="AO86" s="1792"/>
      <c r="AP86" s="1796"/>
      <c r="BL86" s="1793"/>
      <c r="BM86" s="1793"/>
      <c r="BO86" s="1793"/>
      <c r="BP86" s="1793"/>
      <c r="BQ86" s="1793"/>
      <c r="BR86" s="1793"/>
      <c r="BS86" s="1793"/>
      <c r="BT86" s="1793"/>
      <c r="BU86" s="1793"/>
      <c r="BV86" s="1793"/>
    </row>
    <row r="87" spans="1:75" ht="4.5" customHeight="1">
      <c r="A87" s="1127"/>
      <c r="B87" s="6710" t="s">
        <v>470</v>
      </c>
      <c r="C87" s="6720"/>
      <c r="D87" s="1772"/>
      <c r="E87" s="1772"/>
      <c r="F87" s="1772"/>
      <c r="G87" s="1772"/>
      <c r="H87" s="1772"/>
      <c r="I87" s="1772"/>
      <c r="J87" s="1772"/>
      <c r="K87" s="1772"/>
      <c r="L87" s="1772"/>
      <c r="M87" s="1772"/>
      <c r="N87" s="1772"/>
      <c r="O87" s="1772"/>
      <c r="P87" s="1772"/>
      <c r="Q87" s="1772"/>
      <c r="R87" s="1772"/>
      <c r="S87" s="1772"/>
      <c r="T87" s="1772"/>
      <c r="U87" s="1772"/>
      <c r="V87" s="1772"/>
      <c r="W87" s="1772"/>
      <c r="X87" s="1772"/>
      <c r="Y87" s="1772"/>
      <c r="Z87" s="1772"/>
      <c r="AA87" s="1772"/>
      <c r="AB87" s="1772"/>
      <c r="AC87" s="1772"/>
      <c r="AD87" s="1772"/>
      <c r="AE87" s="1772"/>
      <c r="AF87" s="1772"/>
      <c r="AG87" s="1772"/>
      <c r="AH87" s="1772"/>
      <c r="AI87" s="1772"/>
      <c r="AJ87" s="1772"/>
      <c r="AK87" s="1127"/>
    </row>
    <row r="88" spans="1:75" ht="13.5" customHeight="1">
      <c r="A88" s="1127"/>
      <c r="B88" s="6618"/>
      <c r="C88" s="6618"/>
      <c r="D88" s="1778" t="s">
        <v>1496</v>
      </c>
      <c r="E88" s="1776"/>
      <c r="F88" s="1776"/>
      <c r="G88" s="1776"/>
      <c r="H88" s="1776"/>
      <c r="I88" s="1776"/>
      <c r="J88" s="1776"/>
      <c r="K88" s="1776"/>
      <c r="L88" s="1776"/>
      <c r="M88" s="1776"/>
      <c r="N88" s="1776"/>
      <c r="O88" s="1776"/>
      <c r="P88" s="1776"/>
      <c r="Q88" s="1776"/>
      <c r="R88" s="1776"/>
      <c r="S88" s="1776"/>
      <c r="T88" s="1776"/>
      <c r="U88" s="1776"/>
      <c r="V88" s="1776"/>
      <c r="W88" s="1776"/>
      <c r="X88" s="1776"/>
      <c r="Y88" s="1776"/>
      <c r="Z88" s="1776"/>
      <c r="AA88" s="1776"/>
      <c r="AB88" s="1776"/>
      <c r="AC88" s="1776"/>
      <c r="AD88" s="1776"/>
      <c r="AE88" s="1776"/>
      <c r="AF88" s="1776"/>
      <c r="AG88" s="1776"/>
      <c r="AH88" s="1776"/>
      <c r="AI88" s="1776"/>
      <c r="AJ88" s="1776"/>
      <c r="AK88" s="1127"/>
    </row>
    <row r="89" spans="1:75" ht="4.5" customHeight="1">
      <c r="A89" s="1127"/>
      <c r="B89" s="6616"/>
      <c r="C89" s="6616"/>
      <c r="D89" s="1777"/>
      <c r="E89" s="1777"/>
      <c r="F89" s="1777"/>
      <c r="G89" s="1777"/>
      <c r="H89" s="1777"/>
      <c r="I89" s="1777"/>
      <c r="J89" s="1777"/>
      <c r="K89" s="1777"/>
      <c r="L89" s="1777"/>
      <c r="M89" s="1777"/>
      <c r="N89" s="1777"/>
      <c r="O89" s="1777"/>
      <c r="P89" s="1777"/>
      <c r="Q89" s="1777"/>
      <c r="R89" s="1777"/>
      <c r="S89" s="1777"/>
      <c r="T89" s="1777"/>
      <c r="U89" s="1777"/>
      <c r="V89" s="1777"/>
      <c r="W89" s="1777"/>
      <c r="X89" s="1777"/>
      <c r="Y89" s="1777"/>
      <c r="Z89" s="1777"/>
      <c r="AA89" s="1777"/>
      <c r="AB89" s="1777"/>
      <c r="AC89" s="1777"/>
      <c r="AD89" s="1777"/>
      <c r="AE89" s="1777"/>
      <c r="AF89" s="1777"/>
      <c r="AG89" s="1777"/>
      <c r="AH89" s="1777"/>
      <c r="AI89" s="1777"/>
      <c r="AJ89" s="1777"/>
      <c r="AK89" s="1127"/>
    </row>
    <row r="90" spans="1:75" ht="16.5" customHeight="1">
      <c r="A90" s="1127"/>
      <c r="B90" s="3720" t="s">
        <v>2954</v>
      </c>
      <c r="C90" s="1179"/>
      <c r="D90" s="1179"/>
      <c r="E90" s="1179"/>
      <c r="F90" s="1179"/>
      <c r="G90" s="1179"/>
      <c r="H90" s="1179"/>
      <c r="I90" s="1179"/>
      <c r="J90" s="1179"/>
      <c r="K90" s="1179"/>
      <c r="L90" s="1179"/>
      <c r="M90" s="1179"/>
      <c r="N90" s="1179"/>
      <c r="O90" s="1179"/>
      <c r="P90" s="1179"/>
      <c r="Q90" s="1179"/>
      <c r="R90" s="1179"/>
      <c r="S90" s="1179"/>
      <c r="T90" s="1179"/>
      <c r="U90" s="1179"/>
      <c r="V90" s="1179"/>
      <c r="W90" s="1179"/>
      <c r="X90" s="1179"/>
      <c r="Y90" s="1179"/>
      <c r="Z90" s="1179"/>
      <c r="AA90" s="1179"/>
      <c r="AB90" s="1179"/>
      <c r="AC90" s="1179"/>
      <c r="AD90" s="1179"/>
      <c r="AE90" s="1179"/>
      <c r="AF90" s="1179"/>
      <c r="AG90" s="1179"/>
      <c r="AH90" s="1179"/>
      <c r="AI90" s="1179"/>
      <c r="AJ90" s="1179"/>
      <c r="AK90" s="1127"/>
      <c r="AO90" s="1806"/>
      <c r="AP90" s="1808"/>
      <c r="BL90" s="1793"/>
      <c r="BM90" s="1793"/>
      <c r="BO90" s="1793"/>
      <c r="BP90" s="1793"/>
      <c r="BQ90" s="1793"/>
      <c r="BR90" s="1793"/>
      <c r="BS90" s="1793"/>
      <c r="BT90" s="1793"/>
      <c r="BU90" s="1793"/>
      <c r="BV90" s="1793"/>
    </row>
    <row r="91" spans="1:75" ht="14.25">
      <c r="A91" s="1127"/>
      <c r="B91" s="3720" t="str">
        <f>"your "&amp;TaxYear&amp;" tax year for services you performed in a foreign country. If any of the foreign earned income received this tax year was"</f>
        <v>your 2021 tax year for services you performed in a foreign country. If any of the foreign earned income received this tax year was</v>
      </c>
      <c r="C91" s="1179"/>
      <c r="D91" s="1179"/>
      <c r="E91" s="1179"/>
      <c r="F91" s="1179"/>
      <c r="G91" s="1179"/>
      <c r="H91" s="1179"/>
      <c r="I91" s="1179"/>
      <c r="J91" s="1179"/>
      <c r="K91" s="1179"/>
      <c r="L91" s="1179"/>
      <c r="M91" s="1179"/>
      <c r="N91" s="1179"/>
      <c r="O91" s="1179"/>
      <c r="P91" s="1179"/>
      <c r="Q91" s="1179"/>
      <c r="R91" s="1179"/>
      <c r="S91" s="1179"/>
      <c r="T91" s="1179"/>
      <c r="U91" s="1179"/>
      <c r="V91" s="1179"/>
      <c r="W91" s="1179"/>
      <c r="X91" s="1179"/>
      <c r="Y91" s="1179"/>
      <c r="Z91" s="1179"/>
      <c r="AA91" s="1179"/>
      <c r="AB91" s="1179"/>
      <c r="AC91" s="1179"/>
      <c r="AD91" s="1179"/>
      <c r="AE91" s="1179"/>
      <c r="AF91" s="1179"/>
      <c r="AG91" s="1179"/>
      <c r="AH91" s="1179"/>
      <c r="AI91" s="1179"/>
      <c r="AJ91" s="1179"/>
      <c r="AK91" s="1127"/>
      <c r="AO91" s="1793"/>
      <c r="AP91" s="1807"/>
      <c r="BL91" s="1793"/>
      <c r="BM91" s="1793"/>
      <c r="BO91" s="1793"/>
      <c r="BP91" s="1793"/>
      <c r="BQ91" s="1793"/>
      <c r="BR91" s="1793"/>
      <c r="BS91" s="1793"/>
      <c r="BT91" s="1793"/>
      <c r="BU91" s="1793"/>
      <c r="BV91" s="1793"/>
    </row>
    <row r="92" spans="1:75" ht="15">
      <c r="A92" s="1127"/>
      <c r="B92" s="3720" t="s">
        <v>2955</v>
      </c>
      <c r="C92" s="1179"/>
      <c r="D92" s="1179"/>
      <c r="E92" s="1179"/>
      <c r="F92" s="1179"/>
      <c r="G92" s="1179"/>
      <c r="H92" s="1179"/>
      <c r="I92" s="1179"/>
      <c r="J92" s="1179"/>
      <c r="K92" s="1179"/>
      <c r="L92" s="1179"/>
      <c r="M92" s="1179"/>
      <c r="N92" s="1179"/>
      <c r="O92" s="1179"/>
      <c r="P92" s="1179"/>
      <c r="Q92" s="1179"/>
      <c r="R92" s="1179"/>
      <c r="S92" s="1179"/>
      <c r="T92" s="1179"/>
      <c r="U92" s="1179"/>
      <c r="V92" s="1179"/>
      <c r="W92" s="1179"/>
      <c r="X92" s="1179"/>
      <c r="Y92" s="1179"/>
      <c r="Z92" s="1179"/>
      <c r="AA92" s="1179"/>
      <c r="AB92" s="1179"/>
      <c r="AC92" s="1179"/>
      <c r="AD92" s="1179"/>
      <c r="AE92" s="1179"/>
      <c r="AF92" s="1179"/>
      <c r="AG92" s="1179"/>
      <c r="AH92" s="1179"/>
      <c r="AI92" s="1179"/>
      <c r="AJ92" s="1179"/>
      <c r="AK92" s="1127"/>
      <c r="AO92" s="1793"/>
      <c r="AP92" s="1793"/>
      <c r="BL92" s="1793"/>
      <c r="BM92" s="1793"/>
      <c r="BO92" s="1793"/>
      <c r="BP92" s="1793"/>
      <c r="BQ92" s="1793"/>
      <c r="BR92" s="1793"/>
      <c r="BS92" s="1793"/>
      <c r="BT92" s="1793"/>
      <c r="BU92" s="1793"/>
      <c r="BV92" s="1793"/>
    </row>
    <row r="93" spans="1:75" ht="12.75" customHeight="1">
      <c r="A93" s="1127"/>
      <c r="B93" s="3720" t="s">
        <v>2956</v>
      </c>
      <c r="C93" s="1179"/>
      <c r="D93" s="1179"/>
      <c r="E93" s="1179"/>
      <c r="F93" s="1179"/>
      <c r="G93" s="1179"/>
      <c r="H93" s="1179"/>
      <c r="I93" s="1179"/>
      <c r="J93" s="1179"/>
      <c r="K93" s="1179"/>
      <c r="L93" s="1179"/>
      <c r="M93" s="1179"/>
      <c r="N93" s="1179"/>
      <c r="O93" s="1179"/>
      <c r="P93" s="1179"/>
      <c r="Q93" s="1179"/>
      <c r="R93" s="1179"/>
      <c r="S93" s="1179"/>
      <c r="T93" s="1179"/>
      <c r="U93" s="1179"/>
      <c r="V93" s="1179"/>
      <c r="W93" s="1179"/>
      <c r="X93" s="1179"/>
      <c r="Y93" s="1179"/>
      <c r="Z93" s="1179"/>
      <c r="AA93" s="1179"/>
      <c r="AB93" s="1179"/>
      <c r="AC93" s="1179"/>
      <c r="AD93" s="1179"/>
      <c r="AE93" s="1179"/>
      <c r="AF93" s="1179"/>
      <c r="AG93" s="1179"/>
      <c r="AH93" s="1179"/>
      <c r="AI93" s="1179"/>
      <c r="AJ93" s="1179"/>
      <c r="AK93" s="1127"/>
      <c r="AO93" s="1793"/>
      <c r="AP93" s="1793"/>
      <c r="BL93" s="1793"/>
      <c r="BM93" s="1793"/>
      <c r="BO93" s="1793"/>
      <c r="BP93" s="1793"/>
      <c r="BQ93" s="1793"/>
      <c r="BR93" s="1793"/>
      <c r="BS93" s="1793"/>
      <c r="BT93" s="1793"/>
      <c r="BU93" s="1793"/>
      <c r="BV93" s="1793"/>
    </row>
    <row r="94" spans="1:75" ht="14.25">
      <c r="A94" s="1127"/>
      <c r="B94" s="3720" t="s">
        <v>1497</v>
      </c>
      <c r="C94" s="1179"/>
      <c r="D94" s="1179"/>
      <c r="E94" s="1179"/>
      <c r="F94" s="1179"/>
      <c r="G94" s="1179"/>
      <c r="H94" s="1179"/>
      <c r="I94" s="1179"/>
      <c r="J94" s="1179"/>
      <c r="K94" s="1179"/>
      <c r="L94" s="1179"/>
      <c r="M94" s="1179"/>
      <c r="N94" s="1179"/>
      <c r="O94" s="1179"/>
      <c r="P94" s="1179"/>
      <c r="Q94" s="1179"/>
      <c r="R94" s="1179"/>
      <c r="S94" s="1179"/>
      <c r="T94" s="1179"/>
      <c r="U94" s="1179"/>
      <c r="V94" s="1179"/>
      <c r="W94" s="1179"/>
      <c r="X94" s="1179"/>
      <c r="Y94" s="1179"/>
      <c r="Z94" s="1179"/>
      <c r="AA94" s="1179"/>
      <c r="AB94" s="1179"/>
      <c r="AC94" s="1179"/>
      <c r="AD94" s="1179"/>
      <c r="AE94" s="1179"/>
      <c r="AF94" s="1179"/>
      <c r="AG94" s="1179"/>
      <c r="AH94" s="1179"/>
      <c r="AI94" s="1179"/>
      <c r="AJ94" s="1179"/>
      <c r="AK94" s="1127"/>
      <c r="AO94" s="1793"/>
      <c r="AP94" s="1793"/>
      <c r="BL94" s="1793"/>
      <c r="BM94" s="1793"/>
      <c r="BO94" s="1793"/>
      <c r="BP94" s="1793"/>
      <c r="BQ94" s="1793"/>
      <c r="BR94" s="1793"/>
      <c r="BS94" s="1793"/>
      <c r="BT94" s="1793"/>
      <c r="BU94" s="1793"/>
      <c r="BV94" s="1793"/>
    </row>
    <row r="95" spans="1:75" ht="18" customHeight="1">
      <c r="A95" s="1127"/>
      <c r="B95" s="1179"/>
      <c r="C95" s="1577" t="str">
        <f>"If you are a cash basis taxpayer, report on Form 1040 or 1040-SR all income you received in "&amp;TaxYear&amp;", no matter when you"</f>
        <v>If you are a cash basis taxpayer, report on Form 1040 or 1040-SR all income you received in 2021, no matter when you</v>
      </c>
      <c r="D95" s="1577"/>
      <c r="E95" s="1283"/>
      <c r="F95" s="1179"/>
      <c r="G95" s="1179"/>
      <c r="H95" s="1179"/>
      <c r="I95" s="1179"/>
      <c r="J95" s="1179"/>
      <c r="K95" s="1179"/>
      <c r="L95" s="1179"/>
      <c r="M95" s="1179"/>
      <c r="N95" s="1179"/>
      <c r="O95" s="1179"/>
      <c r="P95" s="1179"/>
      <c r="Q95" s="1179"/>
      <c r="R95" s="1179"/>
      <c r="S95" s="1179"/>
      <c r="T95" s="1179"/>
      <c r="U95" s="1179"/>
      <c r="V95" s="1179"/>
      <c r="W95" s="1179"/>
      <c r="X95" s="1179"/>
      <c r="Y95" s="1179"/>
      <c r="Z95" s="1179"/>
      <c r="AA95" s="1179"/>
      <c r="AB95" s="1179"/>
      <c r="AC95" s="1179"/>
      <c r="AD95" s="1179"/>
      <c r="AE95" s="1179"/>
      <c r="AF95" s="1179"/>
      <c r="AG95" s="1179"/>
      <c r="AH95" s="1179"/>
      <c r="AI95" s="1179"/>
      <c r="AJ95" s="1179"/>
      <c r="AK95" s="1127"/>
      <c r="AO95" s="1793"/>
      <c r="AP95" s="1793"/>
      <c r="BL95" s="1793"/>
      <c r="BM95" s="1793"/>
      <c r="BO95" s="1793"/>
      <c r="BP95" s="1793"/>
      <c r="BQ95" s="1793"/>
      <c r="BR95" s="1793"/>
      <c r="BS95" s="1793"/>
      <c r="BT95" s="1793"/>
      <c r="BU95" s="1793"/>
      <c r="BV95" s="1793"/>
    </row>
    <row r="96" spans="1:75" s="946" customFormat="1" ht="18" customHeight="1">
      <c r="A96" s="1819"/>
      <c r="B96" s="1820"/>
      <c r="C96" s="3721" t="s">
        <v>3539</v>
      </c>
      <c r="D96" s="3721"/>
      <c r="E96" s="1823"/>
      <c r="F96" s="1820"/>
      <c r="G96" s="1820"/>
      <c r="H96" s="1820"/>
      <c r="I96" s="1820"/>
      <c r="J96" s="1820"/>
      <c r="K96" s="1820"/>
      <c r="L96" s="1820"/>
      <c r="M96" s="1820"/>
      <c r="N96" s="1820"/>
      <c r="O96" s="1820"/>
      <c r="P96" s="1820"/>
      <c r="Q96" s="1820"/>
      <c r="R96" s="1820"/>
      <c r="S96" s="1820"/>
      <c r="T96" s="1820"/>
      <c r="U96" s="1820"/>
      <c r="V96" s="1820"/>
      <c r="W96" s="1820"/>
      <c r="X96" s="1820"/>
      <c r="Y96" s="1820"/>
      <c r="Z96" s="1820"/>
      <c r="AA96" s="1820"/>
      <c r="AB96" s="1820"/>
      <c r="AC96" s="1820"/>
      <c r="AD96" s="1820"/>
      <c r="AE96" s="1820"/>
      <c r="AF96" s="1820"/>
      <c r="AG96" s="1820"/>
      <c r="AH96" s="1820"/>
      <c r="AI96" s="1820"/>
      <c r="AJ96" s="1820"/>
      <c r="AK96" s="1819"/>
      <c r="AL96" s="1821"/>
      <c r="AM96" s="1821"/>
      <c r="AN96" s="1821"/>
      <c r="AO96" s="1822"/>
      <c r="AP96" s="1822"/>
      <c r="AQ96" s="2595"/>
      <c r="AR96" s="2595"/>
      <c r="AS96" s="2595"/>
      <c r="AT96" s="2595"/>
      <c r="AU96" s="2595"/>
      <c r="AV96" s="2595"/>
      <c r="AW96" s="2595"/>
      <c r="AX96" s="2595"/>
      <c r="AY96" s="2595"/>
      <c r="AZ96" s="1821"/>
      <c r="BA96" s="1821"/>
      <c r="BB96" s="1821"/>
      <c r="BC96" s="1821"/>
      <c r="BD96" s="1821"/>
      <c r="BE96" s="1821"/>
      <c r="BF96" s="1821"/>
      <c r="BG96" s="1821"/>
      <c r="BH96" s="1821"/>
      <c r="BI96" s="1821"/>
      <c r="BJ96" s="1821"/>
      <c r="BK96" s="1821"/>
      <c r="BL96" s="1822"/>
      <c r="BM96" s="1822"/>
      <c r="BN96" s="1821"/>
      <c r="BO96" s="1822"/>
      <c r="BP96" s="1822"/>
      <c r="BQ96" s="1822"/>
      <c r="BR96" s="1822"/>
      <c r="BS96" s="1822"/>
      <c r="BT96" s="1822"/>
      <c r="BU96" s="1822"/>
      <c r="BV96" s="1822"/>
      <c r="BW96" s="1821"/>
    </row>
    <row r="97" spans="1:74" ht="28.5" customHeight="1">
      <c r="A97" s="1127"/>
      <c r="B97" s="8576" t="str">
        <f>TaxYear&amp;" Foreign Earned Income"</f>
        <v>2021 Foreign Earned Income</v>
      </c>
      <c r="C97" s="8577"/>
      <c r="D97" s="8577"/>
      <c r="E97" s="8577"/>
      <c r="F97" s="8577"/>
      <c r="G97" s="8577"/>
      <c r="H97" s="8577"/>
      <c r="I97" s="8577"/>
      <c r="J97" s="8577"/>
      <c r="K97" s="8577"/>
      <c r="L97" s="8577"/>
      <c r="M97" s="8577"/>
      <c r="N97" s="8577"/>
      <c r="O97" s="8577"/>
      <c r="P97" s="8577"/>
      <c r="Q97" s="8577"/>
      <c r="R97" s="8577"/>
      <c r="S97" s="8577"/>
      <c r="T97" s="8577"/>
      <c r="U97" s="8577"/>
      <c r="V97" s="8577"/>
      <c r="W97" s="8577"/>
      <c r="X97" s="8577"/>
      <c r="Y97" s="8577"/>
      <c r="Z97" s="8577"/>
      <c r="AA97" s="8578"/>
      <c r="AB97" s="8579"/>
      <c r="AC97" s="7800" t="s">
        <v>1498</v>
      </c>
      <c r="AD97" s="7374"/>
      <c r="AE97" s="7374"/>
      <c r="AF97" s="7374"/>
      <c r="AG97" s="7374"/>
      <c r="AH97" s="7374"/>
      <c r="AI97" s="7374"/>
      <c r="AJ97" s="7374"/>
      <c r="AK97" s="1127"/>
      <c r="AO97" s="1793"/>
      <c r="AP97" s="1793"/>
      <c r="BL97" s="1793"/>
      <c r="BM97" s="1793"/>
      <c r="BO97" s="1793"/>
      <c r="BP97" s="1793"/>
      <c r="BQ97" s="1793"/>
      <c r="BR97" s="1793"/>
      <c r="BS97" s="1793"/>
      <c r="BT97" s="1793"/>
      <c r="BU97" s="1793"/>
      <c r="BV97" s="1793"/>
    </row>
    <row r="98" spans="1:74" ht="16.5" customHeight="1">
      <c r="A98" s="1127"/>
      <c r="B98" s="1179"/>
      <c r="C98" s="1809" t="s">
        <v>1504</v>
      </c>
      <c r="D98" s="2686" t="s">
        <v>1499</v>
      </c>
      <c r="E98" s="1179"/>
      <c r="F98" s="1179"/>
      <c r="G98" s="1179"/>
      <c r="H98" s="1179"/>
      <c r="I98" s="1179"/>
      <c r="J98" s="1179"/>
      <c r="K98" s="1179"/>
      <c r="L98" s="1179"/>
      <c r="M98" s="1179"/>
      <c r="N98" s="1179"/>
      <c r="O98" s="1179"/>
      <c r="P98" s="1179"/>
      <c r="Q98" s="1179"/>
      <c r="R98" s="1179"/>
      <c r="S98" s="1179"/>
      <c r="T98" s="1179"/>
      <c r="U98" s="1179"/>
      <c r="V98" s="1179"/>
      <c r="W98" s="1179"/>
      <c r="X98" s="1179"/>
      <c r="Y98" s="1179"/>
      <c r="Z98" s="1179"/>
      <c r="AA98" s="1179"/>
      <c r="AB98" s="1243" t="s">
        <v>1903</v>
      </c>
      <c r="AC98" s="8568" t="s">
        <v>1111</v>
      </c>
      <c r="AD98" s="8580"/>
      <c r="AE98" s="8581"/>
      <c r="AF98" s="8581"/>
      <c r="AG98" s="8581"/>
      <c r="AH98" s="8581"/>
      <c r="AI98" s="8581"/>
      <c r="AJ98" s="8581"/>
      <c r="AK98" s="1127"/>
      <c r="AO98" s="1793"/>
      <c r="AP98" s="1793"/>
      <c r="BL98" s="1793"/>
      <c r="BM98" s="1793"/>
      <c r="BO98" s="1793"/>
      <c r="BP98" s="1793"/>
      <c r="BQ98" s="1793"/>
      <c r="BR98" s="1793"/>
      <c r="BS98" s="1793"/>
      <c r="BT98" s="1793"/>
      <c r="BU98" s="1793"/>
      <c r="BV98" s="1793"/>
    </row>
    <row r="99" spans="1:74" ht="13.5" customHeight="1">
      <c r="A99" s="1127"/>
      <c r="B99" s="1179"/>
      <c r="C99" s="1809" t="s">
        <v>1503</v>
      </c>
      <c r="D99" s="2686" t="s">
        <v>1500</v>
      </c>
      <c r="E99" s="1179"/>
      <c r="F99" s="1179"/>
      <c r="G99" s="1179"/>
      <c r="H99" s="1179"/>
      <c r="I99" s="1179"/>
      <c r="J99" s="1179"/>
      <c r="K99" s="1179"/>
      <c r="L99" s="1179"/>
      <c r="M99" s="1179"/>
      <c r="N99" s="1179"/>
      <c r="O99" s="1179"/>
      <c r="P99" s="1179"/>
      <c r="Q99" s="1179"/>
      <c r="R99" s="1179"/>
      <c r="S99" s="1179"/>
      <c r="T99" s="1179"/>
      <c r="U99" s="1179"/>
      <c r="V99" s="1179"/>
      <c r="W99" s="1179"/>
      <c r="X99" s="1179"/>
      <c r="Y99" s="1179"/>
      <c r="Z99" s="1179"/>
      <c r="AA99" s="1179"/>
      <c r="AB99" s="1179"/>
      <c r="AC99" s="7872"/>
      <c r="AD99" s="7498"/>
      <c r="AE99" s="8533"/>
      <c r="AF99" s="7455"/>
      <c r="AG99" s="8533"/>
      <c r="AH99" s="7455"/>
      <c r="AI99" s="8533"/>
      <c r="AJ99" s="7455"/>
      <c r="AK99" s="1127"/>
      <c r="AO99" s="1793"/>
      <c r="AP99" s="1793"/>
      <c r="BL99" s="1793"/>
      <c r="BM99" s="1793"/>
    </row>
    <row r="100" spans="1:74" ht="13.5" customHeight="1">
      <c r="A100" s="1127"/>
      <c r="B100" s="1179"/>
      <c r="C100" s="1809" t="s">
        <v>1441</v>
      </c>
      <c r="D100" s="2686" t="s">
        <v>1501</v>
      </c>
      <c r="E100" s="1179"/>
      <c r="F100" s="1179"/>
      <c r="G100" s="1179"/>
      <c r="H100" s="1179"/>
      <c r="I100" s="1179"/>
      <c r="J100" s="1179"/>
      <c r="K100" s="1179"/>
      <c r="L100" s="1179"/>
      <c r="M100" s="1179"/>
      <c r="N100" s="1179"/>
      <c r="O100" s="1179"/>
      <c r="P100" s="1179"/>
      <c r="Q100" s="1179"/>
      <c r="R100" s="1179"/>
      <c r="S100" s="1179"/>
      <c r="T100" s="1179"/>
      <c r="U100" s="1179"/>
      <c r="V100" s="1179"/>
      <c r="W100" s="1179"/>
      <c r="X100" s="1179"/>
      <c r="Y100" s="1179"/>
      <c r="Z100" s="1179"/>
      <c r="AA100" s="1179"/>
      <c r="AB100" s="1243" t="s">
        <v>919</v>
      </c>
      <c r="AC100" s="8528" t="s">
        <v>218</v>
      </c>
      <c r="AD100" s="8529"/>
      <c r="AE100" s="8530"/>
      <c r="AF100" s="8530"/>
      <c r="AG100" s="8530"/>
      <c r="AH100" s="8530"/>
      <c r="AI100" s="8530"/>
      <c r="AJ100" s="8530"/>
      <c r="AK100" s="1127"/>
      <c r="AO100" s="1793"/>
      <c r="AP100" s="1793"/>
      <c r="BL100" s="1793"/>
      <c r="BM100" s="1793"/>
    </row>
    <row r="101" spans="1:74" ht="13.5" customHeight="1">
      <c r="A101" s="1127"/>
      <c r="B101" s="1179"/>
      <c r="C101" s="1809" t="s">
        <v>1436</v>
      </c>
      <c r="D101" s="1276" t="s">
        <v>1502</v>
      </c>
      <c r="E101" s="1179"/>
      <c r="F101" s="1179"/>
      <c r="G101" s="1179"/>
      <c r="H101" s="1179"/>
      <c r="I101" s="1179"/>
      <c r="J101" s="1179"/>
      <c r="K101" s="1179"/>
      <c r="L101" s="1179"/>
      <c r="M101" s="1179"/>
      <c r="N101" s="1179"/>
      <c r="O101" s="1179"/>
      <c r="P101" s="1179"/>
      <c r="Q101" s="1179"/>
      <c r="R101" s="1179"/>
      <c r="S101" s="1179"/>
      <c r="T101" s="1179"/>
      <c r="U101" s="1179"/>
      <c r="V101" s="8525"/>
      <c r="W101" s="8538"/>
      <c r="X101" s="8538"/>
      <c r="Y101" s="8538"/>
      <c r="Z101" s="8538"/>
      <c r="AA101" s="8538"/>
      <c r="AB101" s="1179"/>
      <c r="AC101" s="7872"/>
      <c r="AD101" s="8544"/>
      <c r="AE101" s="7872"/>
      <c r="AF101" s="8533"/>
      <c r="AG101" s="8533"/>
      <c r="AH101" s="8533"/>
      <c r="AI101" s="8533"/>
      <c r="AJ101" s="8533"/>
      <c r="AK101" s="1127"/>
      <c r="AO101" s="1793"/>
      <c r="AP101" s="1793"/>
      <c r="BL101" s="1793"/>
      <c r="BM101" s="1793"/>
    </row>
    <row r="102" spans="1:74" ht="13.5" customHeight="1">
      <c r="A102" s="1127"/>
      <c r="B102" s="1179"/>
      <c r="C102" s="1809"/>
      <c r="D102" s="8525"/>
      <c r="E102" s="8538"/>
      <c r="F102" s="8538"/>
      <c r="G102" s="8538"/>
      <c r="H102" s="8538"/>
      <c r="I102" s="8538"/>
      <c r="J102" s="8538"/>
      <c r="K102" s="8538"/>
      <c r="L102" s="8538"/>
      <c r="M102" s="8538"/>
      <c r="N102" s="8538"/>
      <c r="O102" s="8538"/>
      <c r="P102" s="8538"/>
      <c r="Q102" s="8538"/>
      <c r="R102" s="8538"/>
      <c r="S102" s="8538"/>
      <c r="T102" s="8538"/>
      <c r="U102" s="8538"/>
      <c r="V102" s="8538"/>
      <c r="W102" s="8538"/>
      <c r="X102" s="8538"/>
      <c r="Y102" s="8538"/>
      <c r="Z102" s="8538"/>
      <c r="AA102" s="8538"/>
      <c r="AB102" s="1179"/>
      <c r="AC102" s="8528" t="s">
        <v>219</v>
      </c>
      <c r="AD102" s="8529"/>
      <c r="AE102" s="8530"/>
      <c r="AF102" s="8530"/>
      <c r="AG102" s="8530"/>
      <c r="AH102" s="8530"/>
      <c r="AI102" s="8530"/>
      <c r="AJ102" s="8530"/>
      <c r="AK102" s="1127"/>
      <c r="AO102" s="1793"/>
      <c r="AP102" s="1793"/>
      <c r="BL102" s="1793"/>
      <c r="BM102" s="1793"/>
    </row>
    <row r="103" spans="1:74" ht="13.5" customHeight="1">
      <c r="A103" s="1127"/>
      <c r="B103" s="1179"/>
      <c r="C103" s="1809" t="s">
        <v>1505</v>
      </c>
      <c r="D103" s="2686" t="s">
        <v>1506</v>
      </c>
      <c r="E103" s="1179"/>
      <c r="F103" s="1179"/>
      <c r="G103" s="1179"/>
      <c r="H103" s="1179"/>
      <c r="I103" s="1179"/>
      <c r="J103" s="1179"/>
      <c r="K103" s="1179"/>
      <c r="L103" s="1179"/>
      <c r="M103" s="1179"/>
      <c r="N103" s="1179"/>
      <c r="O103" s="1179"/>
      <c r="P103" s="1179"/>
      <c r="Q103" s="1179"/>
      <c r="R103" s="1179"/>
      <c r="S103" s="1179"/>
      <c r="T103" s="1179"/>
      <c r="U103" s="1179"/>
      <c r="V103" s="1179"/>
      <c r="W103" s="1179"/>
      <c r="X103" s="1179"/>
      <c r="Y103" s="1179"/>
      <c r="Z103" s="1179"/>
      <c r="AA103" s="1179"/>
      <c r="AB103" s="1179"/>
      <c r="AC103" s="8572"/>
      <c r="AD103" s="8573"/>
      <c r="AE103" s="8533"/>
      <c r="AF103" s="7455"/>
      <c r="AG103" s="8533"/>
      <c r="AH103" s="7455"/>
      <c r="AI103" s="8533"/>
      <c r="AJ103" s="7455"/>
      <c r="AK103" s="1127"/>
      <c r="AO103" s="1793"/>
      <c r="AP103" s="1793"/>
      <c r="BL103" s="1793"/>
      <c r="BM103" s="1793"/>
    </row>
    <row r="104" spans="1:74" ht="13.5" customHeight="1">
      <c r="A104" s="1127"/>
      <c r="B104" s="1179"/>
      <c r="C104" s="1179"/>
      <c r="D104" s="2686" t="s">
        <v>1507</v>
      </c>
      <c r="E104" s="1179"/>
      <c r="F104" s="1179"/>
      <c r="G104" s="1179"/>
      <c r="H104" s="1179"/>
      <c r="I104" s="1179"/>
      <c r="J104" s="1179"/>
      <c r="K104" s="1179"/>
      <c r="L104" s="1179"/>
      <c r="M104" s="1179"/>
      <c r="N104" s="1179"/>
      <c r="O104" s="1179"/>
      <c r="P104" s="1179"/>
      <c r="Q104" s="1179"/>
      <c r="R104" s="1179"/>
      <c r="S104" s="1179"/>
      <c r="T104" s="1179"/>
      <c r="U104" s="1179"/>
      <c r="V104" s="1179"/>
      <c r="W104" s="1179"/>
      <c r="X104" s="1179"/>
      <c r="Y104" s="1179"/>
      <c r="Z104" s="1179"/>
      <c r="AA104" s="1179"/>
      <c r="AB104" s="1179"/>
      <c r="AC104" s="8574"/>
      <c r="AD104" s="8575"/>
      <c r="AE104" s="7804"/>
      <c r="AF104" s="8534"/>
      <c r="AG104" s="8534"/>
      <c r="AH104" s="8534"/>
      <c r="AI104" s="8534"/>
      <c r="AJ104" s="8534"/>
      <c r="AK104" s="1127"/>
      <c r="AO104" s="1793"/>
      <c r="AP104" s="1793"/>
      <c r="BL104" s="1793"/>
      <c r="BM104" s="1793"/>
    </row>
    <row r="105" spans="1:74" ht="13.5" customHeight="1">
      <c r="A105" s="1127"/>
      <c r="B105" s="1179"/>
      <c r="C105" s="1809" t="s">
        <v>1441</v>
      </c>
      <c r="D105" s="2686" t="s">
        <v>1508</v>
      </c>
      <c r="E105" s="1179"/>
      <c r="F105" s="1179"/>
      <c r="G105" s="1179"/>
      <c r="H105" s="1179"/>
      <c r="I105" s="1179"/>
      <c r="J105" s="1179"/>
      <c r="K105" s="1179"/>
      <c r="L105" s="1179"/>
      <c r="M105" s="1179"/>
      <c r="N105" s="1179"/>
      <c r="O105" s="1179"/>
      <c r="P105" s="1179"/>
      <c r="Q105" s="1179"/>
      <c r="R105" s="1179"/>
      <c r="S105" s="1179"/>
      <c r="T105" s="1179"/>
      <c r="U105" s="1179"/>
      <c r="V105" s="1179"/>
      <c r="W105" s="1179"/>
      <c r="X105" s="1179"/>
      <c r="Y105" s="1179"/>
      <c r="Z105" s="1179"/>
      <c r="AA105" s="1179"/>
      <c r="AB105" s="1243" t="s">
        <v>1584</v>
      </c>
      <c r="AC105" s="8528" t="s">
        <v>954</v>
      </c>
      <c r="AD105" s="8529"/>
      <c r="AE105" s="8530"/>
      <c r="AF105" s="8530"/>
      <c r="AG105" s="8530"/>
      <c r="AH105" s="8530"/>
      <c r="AI105" s="8530"/>
      <c r="AJ105" s="8530"/>
      <c r="AK105" s="1127"/>
      <c r="AO105" s="1793"/>
      <c r="AP105" s="1793"/>
      <c r="BL105" s="1793"/>
      <c r="BM105" s="1793"/>
    </row>
    <row r="106" spans="1:74" ht="13.5" customHeight="1">
      <c r="A106" s="1127"/>
      <c r="B106" s="1179"/>
      <c r="C106" s="1179"/>
      <c r="D106" s="1179"/>
      <c r="E106" s="1179"/>
      <c r="F106" s="1179"/>
      <c r="G106" s="1179"/>
      <c r="H106" s="1179"/>
      <c r="I106" s="1179"/>
      <c r="J106" s="1179"/>
      <c r="K106" s="1179"/>
      <c r="L106" s="1179"/>
      <c r="M106" s="1179"/>
      <c r="N106" s="1179"/>
      <c r="O106" s="1179"/>
      <c r="P106" s="1179"/>
      <c r="Q106" s="1179"/>
      <c r="R106" s="1179"/>
      <c r="S106" s="1179"/>
      <c r="T106" s="1179"/>
      <c r="U106" s="1179"/>
      <c r="V106" s="1179"/>
      <c r="W106" s="1179"/>
      <c r="X106" s="1179"/>
      <c r="Y106" s="1179"/>
      <c r="Z106" s="1179"/>
      <c r="AA106" s="1179"/>
      <c r="AB106" s="1179"/>
      <c r="AC106" s="7872"/>
      <c r="AD106" s="8544"/>
      <c r="AE106" s="7872"/>
      <c r="AF106" s="8533"/>
      <c r="AG106" s="8533"/>
      <c r="AH106" s="8533"/>
      <c r="AI106" s="8533"/>
      <c r="AJ106" s="8533"/>
      <c r="AK106" s="1127"/>
      <c r="AO106" s="1793"/>
      <c r="AP106" s="1793"/>
      <c r="BL106" s="1793"/>
      <c r="BM106" s="1793"/>
    </row>
    <row r="107" spans="1:74" ht="13.5" customHeight="1">
      <c r="A107" s="1127"/>
      <c r="B107" s="1179"/>
      <c r="C107" s="1809" t="s">
        <v>1436</v>
      </c>
      <c r="D107" s="2686" t="s">
        <v>1509</v>
      </c>
      <c r="E107" s="1179"/>
      <c r="F107" s="1179"/>
      <c r="G107" s="1179"/>
      <c r="H107" s="1179"/>
      <c r="I107" s="1179"/>
      <c r="J107" s="1179"/>
      <c r="K107" s="1179"/>
      <c r="L107" s="1179"/>
      <c r="M107" s="1179"/>
      <c r="N107" s="1179"/>
      <c r="O107" s="1179"/>
      <c r="P107" s="1179"/>
      <c r="Q107" s="1179"/>
      <c r="R107" s="1179"/>
      <c r="S107" s="1179"/>
      <c r="T107" s="1179"/>
      <c r="U107" s="1179"/>
      <c r="V107" s="1179"/>
      <c r="W107" s="1179"/>
      <c r="X107" s="1179"/>
      <c r="Y107" s="1179"/>
      <c r="Z107" s="1179"/>
      <c r="AA107" s="1179"/>
      <c r="AB107" s="1243" t="s">
        <v>1585</v>
      </c>
      <c r="AC107" s="8528" t="s">
        <v>955</v>
      </c>
      <c r="AD107" s="8529"/>
      <c r="AE107" s="8530"/>
      <c r="AF107" s="8530"/>
      <c r="AG107" s="8530"/>
      <c r="AH107" s="8530"/>
      <c r="AI107" s="8530"/>
      <c r="AJ107" s="8530"/>
      <c r="AK107" s="1127"/>
      <c r="AO107" s="1793"/>
      <c r="AP107" s="1793"/>
      <c r="BL107" s="1793"/>
      <c r="BM107" s="1793"/>
    </row>
    <row r="108" spans="1:74" ht="13.5" customHeight="1">
      <c r="A108" s="1127"/>
      <c r="B108" s="1179"/>
      <c r="C108" s="1179"/>
      <c r="D108" s="1179"/>
      <c r="E108" s="1179"/>
      <c r="F108" s="1179"/>
      <c r="G108" s="1179"/>
      <c r="H108" s="1179"/>
      <c r="I108" s="1179"/>
      <c r="J108" s="1179"/>
      <c r="K108" s="1179"/>
      <c r="L108" s="1179"/>
      <c r="M108" s="1179"/>
      <c r="N108" s="1179"/>
      <c r="O108" s="1179"/>
      <c r="P108" s="1179"/>
      <c r="Q108" s="1179"/>
      <c r="R108" s="1179"/>
      <c r="S108" s="1179"/>
      <c r="T108" s="1179"/>
      <c r="U108" s="1179"/>
      <c r="V108" s="1179"/>
      <c r="W108" s="1179"/>
      <c r="X108" s="1179"/>
      <c r="Y108" s="1179"/>
      <c r="Z108" s="1179"/>
      <c r="AA108" s="1179"/>
      <c r="AB108" s="1179"/>
      <c r="AC108" s="7872"/>
      <c r="AD108" s="8544"/>
      <c r="AE108" s="7872"/>
      <c r="AF108" s="8533"/>
      <c r="AG108" s="8533"/>
      <c r="AH108" s="8533"/>
      <c r="AI108" s="8533"/>
      <c r="AJ108" s="8533"/>
      <c r="AK108" s="1127"/>
      <c r="AO108" s="1793"/>
      <c r="AP108" s="1793"/>
      <c r="BL108" s="1793"/>
      <c r="BM108" s="1793"/>
    </row>
    <row r="109" spans="1:74" ht="13.5" customHeight="1">
      <c r="A109" s="1127"/>
      <c r="B109" s="1179"/>
      <c r="C109" s="1809" t="s">
        <v>1442</v>
      </c>
      <c r="D109" s="2686" t="s">
        <v>1510</v>
      </c>
      <c r="E109" s="1179"/>
      <c r="F109" s="1179"/>
      <c r="G109" s="1179"/>
      <c r="H109" s="1179"/>
      <c r="I109" s="1179"/>
      <c r="J109" s="1179"/>
      <c r="K109" s="1179"/>
      <c r="L109" s="1179"/>
      <c r="M109" s="1179"/>
      <c r="N109" s="1179"/>
      <c r="O109" s="1179"/>
      <c r="P109" s="1179"/>
      <c r="Q109" s="1179"/>
      <c r="R109" s="1179"/>
      <c r="S109" s="1179"/>
      <c r="T109" s="1179"/>
      <c r="U109" s="1179"/>
      <c r="V109" s="1179"/>
      <c r="W109" s="1179"/>
      <c r="X109" s="1179"/>
      <c r="Y109" s="1179"/>
      <c r="Z109" s="1179"/>
      <c r="AA109" s="1179"/>
      <c r="AB109" s="1243" t="s">
        <v>1586</v>
      </c>
      <c r="AC109" s="8528" t="s">
        <v>1511</v>
      </c>
      <c r="AD109" s="8529"/>
      <c r="AE109" s="8530"/>
      <c r="AF109" s="8530"/>
      <c r="AG109" s="8530"/>
      <c r="AH109" s="8530"/>
      <c r="AI109" s="8530"/>
      <c r="AJ109" s="8530"/>
      <c r="AK109" s="1127"/>
      <c r="AO109" s="1793"/>
      <c r="AP109" s="1793"/>
      <c r="BL109" s="1793"/>
      <c r="BM109" s="1793"/>
    </row>
    <row r="110" spans="1:74" ht="13.5" customHeight="1">
      <c r="A110" s="1127"/>
      <c r="B110" s="1179"/>
      <c r="C110" s="1809" t="s">
        <v>1443</v>
      </c>
      <c r="D110" s="1276" t="s">
        <v>1512</v>
      </c>
      <c r="E110" s="1179"/>
      <c r="F110" s="1179"/>
      <c r="G110" s="1179"/>
      <c r="H110" s="1179"/>
      <c r="I110" s="1179"/>
      <c r="J110" s="1179"/>
      <c r="K110" s="1179"/>
      <c r="L110" s="1179"/>
      <c r="M110" s="1179"/>
      <c r="N110" s="1179"/>
      <c r="O110" s="1179"/>
      <c r="P110" s="8525"/>
      <c r="Q110" s="8538"/>
      <c r="R110" s="8538"/>
      <c r="S110" s="8538"/>
      <c r="T110" s="8538"/>
      <c r="U110" s="8538"/>
      <c r="V110" s="8538"/>
      <c r="W110" s="8538"/>
      <c r="X110" s="8538"/>
      <c r="Y110" s="8538"/>
      <c r="Z110" s="8538"/>
      <c r="AA110" s="8538"/>
      <c r="AB110" s="1179"/>
      <c r="AC110" s="7872"/>
      <c r="AD110" s="8544"/>
      <c r="AE110" s="7872"/>
      <c r="AF110" s="8533"/>
      <c r="AG110" s="8533"/>
      <c r="AH110" s="8533"/>
      <c r="AI110" s="8533"/>
      <c r="AJ110" s="8533"/>
      <c r="AK110" s="1127"/>
      <c r="AO110" s="1793"/>
      <c r="AP110" s="1793"/>
      <c r="BL110" s="1793"/>
      <c r="BM110" s="1793"/>
    </row>
    <row r="111" spans="1:74" ht="13.5" customHeight="1">
      <c r="A111" s="1127"/>
      <c r="B111" s="1179"/>
      <c r="C111" s="1179"/>
      <c r="D111" s="8525"/>
      <c r="E111" s="8526"/>
      <c r="F111" s="8526"/>
      <c r="G111" s="8526"/>
      <c r="H111" s="8526"/>
      <c r="I111" s="8526"/>
      <c r="J111" s="8526"/>
      <c r="K111" s="8526"/>
      <c r="L111" s="8526"/>
      <c r="M111" s="8526"/>
      <c r="N111" s="8526"/>
      <c r="O111" s="8526"/>
      <c r="P111" s="8526"/>
      <c r="Q111" s="8526"/>
      <c r="R111" s="8526"/>
      <c r="S111" s="8526"/>
      <c r="T111" s="8526"/>
      <c r="U111" s="8526"/>
      <c r="V111" s="8526"/>
      <c r="W111" s="8526"/>
      <c r="X111" s="8526"/>
      <c r="Y111" s="8526"/>
      <c r="Z111" s="8526"/>
      <c r="AA111" s="8526"/>
      <c r="AB111" s="1179"/>
      <c r="AC111" s="8528" t="s">
        <v>1513</v>
      </c>
      <c r="AD111" s="8529"/>
      <c r="AE111" s="8530"/>
      <c r="AF111" s="8530"/>
      <c r="AG111" s="8530"/>
      <c r="AH111" s="8530"/>
      <c r="AI111" s="8530"/>
      <c r="AJ111" s="8530"/>
      <c r="AK111" s="1127"/>
      <c r="AO111" s="1793"/>
      <c r="AP111" s="1793"/>
      <c r="BL111" s="1793"/>
      <c r="BM111" s="1793"/>
    </row>
    <row r="112" spans="1:74" ht="13.5" customHeight="1">
      <c r="A112" s="1127"/>
      <c r="B112" s="1179"/>
      <c r="C112" s="1809" t="s">
        <v>1520</v>
      </c>
      <c r="D112" s="1179" t="s">
        <v>1519</v>
      </c>
      <c r="E112" s="1179"/>
      <c r="F112" s="1179"/>
      <c r="G112" s="1179"/>
      <c r="H112" s="1179"/>
      <c r="I112" s="1179"/>
      <c r="J112" s="1179"/>
      <c r="K112" s="1179"/>
      <c r="L112" s="1179"/>
      <c r="M112" s="1179"/>
      <c r="N112" s="1179"/>
      <c r="O112" s="1179"/>
      <c r="P112" s="1179"/>
      <c r="Q112" s="1179"/>
      <c r="R112" s="1179"/>
      <c r="S112" s="1179"/>
      <c r="T112" s="1179"/>
      <c r="U112" s="1179"/>
      <c r="V112" s="1179"/>
      <c r="W112" s="1179"/>
      <c r="X112" s="1179"/>
      <c r="Y112" s="1179"/>
      <c r="Z112" s="1179"/>
      <c r="AA112" s="1179"/>
      <c r="AB112" s="1179"/>
      <c r="AC112" s="1827"/>
      <c r="AD112" s="1828"/>
      <c r="AE112" s="1179"/>
      <c r="AF112" s="1179"/>
      <c r="AG112" s="1179"/>
      <c r="AH112" s="1179"/>
      <c r="AI112" s="1179"/>
      <c r="AJ112" s="1179"/>
      <c r="AK112" s="1127"/>
      <c r="AO112" s="1793"/>
      <c r="AP112" s="1793"/>
      <c r="BL112" s="1793"/>
      <c r="BM112" s="1793"/>
    </row>
    <row r="113" spans="1:65" ht="13.5" customHeight="1">
      <c r="A113" s="1127"/>
      <c r="B113" s="1179"/>
      <c r="C113" s="1809" t="s">
        <v>1441</v>
      </c>
      <c r="D113" s="1179" t="s">
        <v>1518</v>
      </c>
      <c r="E113" s="1179"/>
      <c r="F113" s="1179"/>
      <c r="G113" s="1179"/>
      <c r="H113" s="1179"/>
      <c r="I113" s="1179"/>
      <c r="J113" s="1179"/>
      <c r="K113" s="1179"/>
      <c r="L113" s="1179"/>
      <c r="M113" s="1179"/>
      <c r="N113" s="1179"/>
      <c r="O113" s="1179"/>
      <c r="P113" s="1179"/>
      <c r="Q113" s="1179"/>
      <c r="R113" s="1179"/>
      <c r="S113" s="1179"/>
      <c r="T113" s="1179"/>
      <c r="U113" s="8528" t="s">
        <v>1514</v>
      </c>
      <c r="V113" s="8529"/>
      <c r="W113" s="8530"/>
      <c r="X113" s="8530"/>
      <c r="Y113" s="8530"/>
      <c r="Z113" s="8530"/>
      <c r="AA113" s="8530"/>
      <c r="AB113" s="8530"/>
      <c r="AC113" s="1827"/>
      <c r="AD113" s="1828"/>
      <c r="AE113" s="1179"/>
      <c r="AF113" s="1179"/>
      <c r="AG113" s="1179"/>
      <c r="AH113" s="1179"/>
      <c r="AI113" s="1179"/>
      <c r="AJ113" s="1179"/>
      <c r="AK113" s="1127"/>
      <c r="AO113" s="1793"/>
      <c r="AP113" s="1793"/>
      <c r="BL113" s="1793"/>
      <c r="BM113" s="1793"/>
    </row>
    <row r="114" spans="1:65" ht="13.5" customHeight="1">
      <c r="A114" s="1127"/>
      <c r="B114" s="1179"/>
      <c r="C114" s="1809" t="s">
        <v>1436</v>
      </c>
      <c r="D114" s="1179" t="s">
        <v>1522</v>
      </c>
      <c r="E114" s="1179"/>
      <c r="F114" s="1179"/>
      <c r="G114" s="1179"/>
      <c r="H114" s="1179"/>
      <c r="I114" s="1179"/>
      <c r="J114" s="1179"/>
      <c r="K114" s="1179"/>
      <c r="L114" s="1179"/>
      <c r="M114" s="1179"/>
      <c r="N114" s="1179"/>
      <c r="O114" s="1179"/>
      <c r="P114" s="1179"/>
      <c r="Q114" s="1179"/>
      <c r="R114" s="1179"/>
      <c r="S114" s="1179"/>
      <c r="T114" s="1243" t="s">
        <v>1054</v>
      </c>
      <c r="U114" s="8528" t="s">
        <v>1515</v>
      </c>
      <c r="V114" s="8529"/>
      <c r="W114" s="8530"/>
      <c r="X114" s="8530"/>
      <c r="Y114" s="8530"/>
      <c r="Z114" s="8530"/>
      <c r="AA114" s="8530"/>
      <c r="AB114" s="8530"/>
      <c r="AC114" s="1827"/>
      <c r="AD114" s="1828"/>
      <c r="AE114" s="1179"/>
      <c r="AF114" s="1179"/>
      <c r="AG114" s="1179"/>
      <c r="AH114" s="1179"/>
      <c r="AI114" s="1179"/>
      <c r="AJ114" s="1179"/>
      <c r="AK114" s="1127"/>
      <c r="BL114" s="1793"/>
      <c r="BM114" s="1793"/>
    </row>
    <row r="115" spans="1:65" ht="13.5" customHeight="1">
      <c r="A115" s="1127"/>
      <c r="B115" s="1179"/>
      <c r="C115" s="1809" t="s">
        <v>1442</v>
      </c>
      <c r="D115" s="1179" t="s">
        <v>1523</v>
      </c>
      <c r="E115" s="1179"/>
      <c r="F115" s="1179"/>
      <c r="G115" s="1179"/>
      <c r="H115" s="1179"/>
      <c r="I115" s="1179"/>
      <c r="J115" s="1179"/>
      <c r="K115" s="1179"/>
      <c r="L115" s="1179"/>
      <c r="M115" s="1179"/>
      <c r="N115" s="1179"/>
      <c r="O115" s="1179"/>
      <c r="P115" s="1179"/>
      <c r="Q115" s="1179"/>
      <c r="R115" s="1179"/>
      <c r="S115" s="1179"/>
      <c r="T115" s="1243" t="s">
        <v>428</v>
      </c>
      <c r="U115" s="8528" t="s">
        <v>1516</v>
      </c>
      <c r="V115" s="8529"/>
      <c r="W115" s="8530"/>
      <c r="X115" s="8530"/>
      <c r="Y115" s="8530"/>
      <c r="Z115" s="8530"/>
      <c r="AA115" s="8530"/>
      <c r="AB115" s="8530"/>
      <c r="AC115" s="1827"/>
      <c r="AD115" s="1828"/>
      <c r="AE115" s="1179"/>
      <c r="AF115" s="1179"/>
      <c r="AG115" s="1179"/>
      <c r="AH115" s="1179"/>
      <c r="AI115" s="1179"/>
      <c r="AJ115" s="1179"/>
      <c r="AK115" s="1127"/>
      <c r="BL115" s="1793"/>
      <c r="BM115" s="1793"/>
    </row>
    <row r="116" spans="1:65" ht="13.5" customHeight="1">
      <c r="A116" s="1127"/>
      <c r="B116" s="1179"/>
      <c r="C116" s="1809" t="s">
        <v>1443</v>
      </c>
      <c r="D116" s="1179" t="s">
        <v>1524</v>
      </c>
      <c r="E116" s="1179"/>
      <c r="F116" s="1179"/>
      <c r="G116" s="1179"/>
      <c r="H116" s="1179"/>
      <c r="I116" s="1179"/>
      <c r="J116" s="1179"/>
      <c r="K116" s="1179"/>
      <c r="L116" s="1179"/>
      <c r="M116" s="1179"/>
      <c r="N116" s="1179"/>
      <c r="O116" s="1179"/>
      <c r="P116" s="1179"/>
      <c r="Q116" s="1179"/>
      <c r="R116" s="1179"/>
      <c r="S116" s="1179"/>
      <c r="T116" s="1243" t="s">
        <v>94</v>
      </c>
      <c r="U116" s="8528" t="s">
        <v>1517</v>
      </c>
      <c r="V116" s="8529"/>
      <c r="W116" s="8530"/>
      <c r="X116" s="8530"/>
      <c r="Y116" s="8530"/>
      <c r="Z116" s="8530"/>
      <c r="AA116" s="8530"/>
      <c r="AB116" s="8530"/>
      <c r="AC116" s="1827"/>
      <c r="AD116" s="1828"/>
      <c r="AE116" s="1179"/>
      <c r="AF116" s="1179"/>
      <c r="AG116" s="1179"/>
      <c r="AH116" s="1179"/>
      <c r="AI116" s="1179"/>
      <c r="AJ116" s="1179"/>
      <c r="AK116" s="1127"/>
      <c r="BL116" s="1793"/>
      <c r="BM116" s="1793"/>
    </row>
    <row r="117" spans="1:65" ht="13.5" customHeight="1">
      <c r="A117" s="1127"/>
      <c r="B117" s="1179"/>
      <c r="C117" s="1809" t="s">
        <v>1444</v>
      </c>
      <c r="D117" s="1179" t="s">
        <v>1525</v>
      </c>
      <c r="E117" s="1179"/>
      <c r="F117" s="1179"/>
      <c r="G117" s="1179"/>
      <c r="H117" s="1179"/>
      <c r="I117" s="1179"/>
      <c r="J117" s="1179"/>
      <c r="K117" s="1179"/>
      <c r="L117" s="1179"/>
      <c r="M117" s="1179"/>
      <c r="N117" s="1179"/>
      <c r="O117" s="1179"/>
      <c r="P117" s="1179"/>
      <c r="Q117" s="1179"/>
      <c r="R117" s="1179"/>
      <c r="S117" s="1179"/>
      <c r="T117" s="1243" t="s">
        <v>428</v>
      </c>
      <c r="U117" s="8528" t="s">
        <v>1521</v>
      </c>
      <c r="V117" s="8529"/>
      <c r="W117" s="8530"/>
      <c r="X117" s="8530"/>
      <c r="Y117" s="8530"/>
      <c r="Z117" s="8530"/>
      <c r="AA117" s="8530"/>
      <c r="AB117" s="8530"/>
      <c r="AC117" s="1827"/>
      <c r="AD117" s="1828"/>
      <c r="AE117" s="1179"/>
      <c r="AF117" s="1179"/>
      <c r="AG117" s="1179"/>
      <c r="AH117" s="1179"/>
      <c r="AI117" s="1179"/>
      <c r="AJ117" s="1179"/>
      <c r="AK117" s="1127"/>
      <c r="BL117" s="1793"/>
      <c r="BM117" s="1793"/>
    </row>
    <row r="118" spans="1:65" ht="13.5" customHeight="1">
      <c r="A118" s="1127"/>
      <c r="B118" s="1179"/>
      <c r="C118" s="1809" t="s">
        <v>1527</v>
      </c>
      <c r="D118" s="1179" t="s">
        <v>1526</v>
      </c>
      <c r="E118" s="1179"/>
      <c r="F118" s="1179"/>
      <c r="G118" s="1179"/>
      <c r="H118" s="1179"/>
      <c r="I118" s="1179"/>
      <c r="J118" s="1179"/>
      <c r="K118" s="1179"/>
      <c r="L118" s="1179"/>
      <c r="M118" s="1179"/>
      <c r="N118" s="1179"/>
      <c r="O118" s="8525"/>
      <c r="P118" s="8526"/>
      <c r="Q118" s="8526"/>
      <c r="R118" s="8526"/>
      <c r="S118" s="8526"/>
      <c r="T118" s="1179"/>
      <c r="U118" s="8568"/>
      <c r="V118" s="8569"/>
      <c r="W118" s="7872"/>
      <c r="X118" s="8533"/>
      <c r="Y118" s="8533"/>
      <c r="Z118" s="8533"/>
      <c r="AA118" s="8533"/>
      <c r="AB118" s="8544"/>
      <c r="AC118" s="1827"/>
      <c r="AD118" s="1828"/>
      <c r="AE118" s="1179"/>
      <c r="AF118" s="1179"/>
      <c r="AG118" s="1179"/>
      <c r="AH118" s="1179"/>
      <c r="AI118" s="1179"/>
      <c r="AJ118" s="1179"/>
      <c r="AK118" s="1127"/>
      <c r="BL118" s="1793"/>
      <c r="BM118" s="1793"/>
    </row>
    <row r="119" spans="1:65" ht="13.5" customHeight="1">
      <c r="A119" s="1127"/>
      <c r="B119" s="1179"/>
      <c r="C119" s="1179"/>
      <c r="D119" s="8525"/>
      <c r="E119" s="8526"/>
      <c r="F119" s="8526"/>
      <c r="G119" s="8526"/>
      <c r="H119" s="8526"/>
      <c r="I119" s="8526"/>
      <c r="J119" s="8526"/>
      <c r="K119" s="8526"/>
      <c r="L119" s="8526"/>
      <c r="M119" s="8526"/>
      <c r="N119" s="8526"/>
      <c r="O119" s="8526"/>
      <c r="P119" s="8526"/>
      <c r="Q119" s="8526"/>
      <c r="R119" s="8526"/>
      <c r="S119" s="8526"/>
      <c r="T119" s="1179"/>
      <c r="U119" s="8528" t="s">
        <v>1528</v>
      </c>
      <c r="V119" s="8529"/>
      <c r="W119" s="8570"/>
      <c r="X119" s="8530"/>
      <c r="Y119" s="8530"/>
      <c r="Z119" s="8530"/>
      <c r="AA119" s="8530"/>
      <c r="AB119" s="8571"/>
      <c r="AC119" s="1827"/>
      <c r="AD119" s="1828"/>
      <c r="AE119" s="1179"/>
      <c r="AF119" s="1179"/>
      <c r="AG119" s="1179"/>
      <c r="AH119" s="1179"/>
      <c r="AI119" s="1179"/>
      <c r="AJ119" s="1179"/>
      <c r="AK119" s="1127"/>
      <c r="BL119" s="1793"/>
      <c r="BM119" s="1793"/>
    </row>
    <row r="120" spans="1:65" ht="13.5" customHeight="1">
      <c r="A120" s="1127"/>
      <c r="B120" s="1179"/>
      <c r="C120" s="1179"/>
      <c r="D120" s="1179"/>
      <c r="E120" s="1179"/>
      <c r="F120" s="1179"/>
      <c r="G120" s="1179"/>
      <c r="H120" s="1179"/>
      <c r="I120" s="1179"/>
      <c r="J120" s="1179"/>
      <c r="K120" s="1179"/>
      <c r="L120" s="1179"/>
      <c r="M120" s="1179"/>
      <c r="N120" s="1179"/>
      <c r="O120" s="1179"/>
      <c r="P120" s="1179"/>
      <c r="Q120" s="1179"/>
      <c r="R120" s="1179"/>
      <c r="S120" s="1179"/>
      <c r="T120" s="1179"/>
      <c r="U120" s="1179"/>
      <c r="V120" s="1179"/>
      <c r="W120" s="1179"/>
      <c r="X120" s="1179"/>
      <c r="Y120" s="1179"/>
      <c r="Z120" s="1179"/>
      <c r="AA120" s="1179"/>
      <c r="AB120" s="1179"/>
      <c r="AC120" s="7872"/>
      <c r="AD120" s="8544"/>
      <c r="AE120" s="7872"/>
      <c r="AF120" s="8533"/>
      <c r="AG120" s="8533"/>
      <c r="AH120" s="8533"/>
      <c r="AI120" s="8533"/>
      <c r="AJ120" s="8533"/>
      <c r="AK120" s="1127"/>
      <c r="BL120" s="1793"/>
      <c r="BM120" s="1793"/>
    </row>
    <row r="121" spans="1:65" ht="15" customHeight="1">
      <c r="A121" s="1127"/>
      <c r="B121" s="1179"/>
      <c r="C121" s="1809" t="s">
        <v>1530</v>
      </c>
      <c r="D121" s="2686" t="s">
        <v>1529</v>
      </c>
      <c r="E121" s="1179"/>
      <c r="F121" s="1179"/>
      <c r="G121" s="1179"/>
      <c r="H121" s="1179"/>
      <c r="I121" s="1179"/>
      <c r="J121" s="1179"/>
      <c r="K121" s="1179"/>
      <c r="L121" s="1179"/>
      <c r="M121" s="1179"/>
      <c r="N121" s="1179"/>
      <c r="O121" s="1179"/>
      <c r="P121" s="1179"/>
      <c r="Q121" s="1179"/>
      <c r="R121" s="1179"/>
      <c r="S121" s="1179"/>
      <c r="T121" s="1179"/>
      <c r="U121" s="1179"/>
      <c r="V121" s="1179"/>
      <c r="W121" s="1179"/>
      <c r="X121" s="1179"/>
      <c r="Y121" s="1179"/>
      <c r="Z121" s="1179"/>
      <c r="AA121" s="1179"/>
      <c r="AB121" s="1243" t="s">
        <v>921</v>
      </c>
      <c r="AC121" s="8528" t="s">
        <v>1531</v>
      </c>
      <c r="AD121" s="8529"/>
      <c r="AE121" s="8527">
        <f>IF(ISERROR(SUM(W113:W119)),"",SUM(W113:W119))</f>
        <v>0</v>
      </c>
      <c r="AF121" s="8527"/>
      <c r="AG121" s="8527"/>
      <c r="AH121" s="8527"/>
      <c r="AI121" s="8527"/>
      <c r="AJ121" s="8527"/>
      <c r="AK121" s="1127"/>
      <c r="BL121" s="1793"/>
      <c r="BM121" s="1793"/>
    </row>
    <row r="122" spans="1:65" ht="15" customHeight="1">
      <c r="A122" s="1127"/>
      <c r="B122" s="1179"/>
      <c r="C122" s="1809" t="s">
        <v>1532</v>
      </c>
      <c r="D122" s="2686" t="s">
        <v>1533</v>
      </c>
      <c r="E122" s="1179"/>
      <c r="F122" s="1179"/>
      <c r="G122" s="1179"/>
      <c r="H122" s="1179"/>
      <c r="I122" s="1179"/>
      <c r="J122" s="1179"/>
      <c r="K122" s="1179"/>
      <c r="L122" s="1179"/>
      <c r="M122" s="1179"/>
      <c r="N122" s="1179"/>
      <c r="O122" s="1179"/>
      <c r="P122" s="1179"/>
      <c r="Q122" s="613"/>
      <c r="R122" s="8663"/>
      <c r="S122" s="8663"/>
      <c r="T122" s="8663"/>
      <c r="U122" s="8663"/>
      <c r="V122" s="8663"/>
      <c r="W122" s="8663"/>
      <c r="X122" s="8663"/>
      <c r="Y122" s="8663"/>
      <c r="Z122" s="8663"/>
      <c r="AA122" s="8663"/>
      <c r="AB122" s="1179"/>
      <c r="AC122" s="7872"/>
      <c r="AD122" s="8544"/>
      <c r="AE122" s="7872"/>
      <c r="AF122" s="8533"/>
      <c r="AG122" s="8533"/>
      <c r="AH122" s="8533"/>
      <c r="AI122" s="8533"/>
      <c r="AJ122" s="8533"/>
      <c r="AK122" s="1127"/>
      <c r="BL122" s="1793"/>
      <c r="BM122" s="1793"/>
    </row>
    <row r="123" spans="1:65" ht="15" customHeight="1">
      <c r="A123" s="1127"/>
      <c r="B123" s="1179"/>
      <c r="C123" s="1179"/>
      <c r="D123" s="8525"/>
      <c r="E123" s="8538"/>
      <c r="F123" s="8538"/>
      <c r="G123" s="8538"/>
      <c r="H123" s="8538"/>
      <c r="I123" s="8538"/>
      <c r="J123" s="8538"/>
      <c r="K123" s="8538"/>
      <c r="L123" s="8538"/>
      <c r="M123" s="8538"/>
      <c r="N123" s="8538"/>
      <c r="O123" s="8538"/>
      <c r="P123" s="8538"/>
      <c r="Q123" s="8538"/>
      <c r="R123" s="8538"/>
      <c r="S123" s="8538"/>
      <c r="T123" s="8538"/>
      <c r="U123" s="8538"/>
      <c r="V123" s="8538"/>
      <c r="W123" s="8538"/>
      <c r="X123" s="8538"/>
      <c r="Y123" s="8538"/>
      <c r="Z123" s="8538"/>
      <c r="AA123" s="8538"/>
      <c r="AB123" s="1179"/>
      <c r="AC123" s="8528">
        <v>23</v>
      </c>
      <c r="AD123" s="8529"/>
      <c r="AE123" s="8530"/>
      <c r="AF123" s="8530"/>
      <c r="AG123" s="8530"/>
      <c r="AH123" s="8530"/>
      <c r="AI123" s="8530"/>
      <c r="AJ123" s="8530"/>
      <c r="AK123" s="1127"/>
      <c r="BL123" s="1793"/>
      <c r="BM123" s="1793"/>
    </row>
    <row r="124" spans="1:65" ht="15" customHeight="1">
      <c r="A124" s="1127"/>
      <c r="B124" s="1179"/>
      <c r="C124" s="1179"/>
      <c r="D124" s="1179"/>
      <c r="E124" s="1179"/>
      <c r="F124" s="1179"/>
      <c r="G124" s="1179"/>
      <c r="H124" s="1179"/>
      <c r="I124" s="1179"/>
      <c r="J124" s="1179"/>
      <c r="K124" s="1179"/>
      <c r="L124" s="1179"/>
      <c r="M124" s="1179"/>
      <c r="N124" s="1179"/>
      <c r="O124" s="1179"/>
      <c r="P124" s="1179"/>
      <c r="Q124" s="1179"/>
      <c r="R124" s="1179"/>
      <c r="S124" s="1179"/>
      <c r="T124" s="1179"/>
      <c r="U124" s="1179"/>
      <c r="V124" s="1179"/>
      <c r="W124" s="1179"/>
      <c r="X124" s="1179"/>
      <c r="Y124" s="1179"/>
      <c r="Z124" s="1179"/>
      <c r="AA124" s="1179"/>
      <c r="AB124" s="1179"/>
      <c r="AC124" s="8568"/>
      <c r="AD124" s="8569"/>
      <c r="AE124" s="7872"/>
      <c r="AF124" s="8533"/>
      <c r="AG124" s="8533"/>
      <c r="AH124" s="8533"/>
      <c r="AI124" s="8533"/>
      <c r="AJ124" s="8533"/>
      <c r="AK124" s="1127"/>
      <c r="BL124" s="1793"/>
      <c r="BM124" s="1793"/>
    </row>
    <row r="125" spans="1:65" ht="15" customHeight="1">
      <c r="A125" s="1127"/>
      <c r="B125" s="1179"/>
      <c r="C125" s="1809" t="s">
        <v>1535</v>
      </c>
      <c r="D125" s="1179" t="s">
        <v>1534</v>
      </c>
      <c r="E125" s="1179"/>
      <c r="F125" s="1179"/>
      <c r="G125" s="1179"/>
      <c r="H125" s="1179"/>
      <c r="I125" s="1179"/>
      <c r="J125" s="1179"/>
      <c r="K125" s="1179"/>
      <c r="L125" s="1179"/>
      <c r="M125" s="1179"/>
      <c r="N125" s="1179"/>
      <c r="O125" s="1179"/>
      <c r="P125" s="1179"/>
      <c r="Q125" s="1179"/>
      <c r="R125" s="1179"/>
      <c r="S125" s="1179"/>
      <c r="T125" s="1179"/>
      <c r="U125" s="1179"/>
      <c r="V125" s="1179"/>
      <c r="W125" s="1179"/>
      <c r="X125" s="1179"/>
      <c r="Y125" s="1179"/>
      <c r="Z125" s="1179"/>
      <c r="AA125" s="1179"/>
      <c r="AB125" s="1243" t="s">
        <v>428</v>
      </c>
      <c r="AC125" s="8528">
        <v>24</v>
      </c>
      <c r="AD125" s="8529"/>
      <c r="AE125" s="8527">
        <f>IF(ISERROR(SUM(AE98,AE100,AE102,AE105,AE107,AE109,AE111,AE121,AE123)),"",SUM(AE98,AE100,AE102,AE105,AE107,AE109,AE111,AE121,AE123))</f>
        <v>0</v>
      </c>
      <c r="AF125" s="8527"/>
      <c r="AG125" s="8527"/>
      <c r="AH125" s="8527"/>
      <c r="AI125" s="8527"/>
      <c r="AJ125" s="8527"/>
      <c r="AK125" s="1127"/>
      <c r="BL125" s="1793"/>
      <c r="BM125" s="1793"/>
    </row>
    <row r="126" spans="1:65" ht="15" customHeight="1">
      <c r="A126" s="1127"/>
      <c r="B126" s="1179"/>
      <c r="C126" s="1179"/>
      <c r="D126" s="1179"/>
      <c r="E126" s="1179"/>
      <c r="F126" s="1179"/>
      <c r="G126" s="1179"/>
      <c r="H126" s="1179"/>
      <c r="I126" s="1179"/>
      <c r="J126" s="1179"/>
      <c r="K126" s="1179"/>
      <c r="L126" s="1179"/>
      <c r="M126" s="1179"/>
      <c r="N126" s="1179"/>
      <c r="O126" s="1179"/>
      <c r="P126" s="1179"/>
      <c r="Q126" s="1179"/>
      <c r="R126" s="1179"/>
      <c r="S126" s="1179"/>
      <c r="T126" s="1179"/>
      <c r="U126" s="1179"/>
      <c r="V126" s="1179"/>
      <c r="W126" s="1179"/>
      <c r="X126" s="1179"/>
      <c r="Y126" s="1179"/>
      <c r="Z126" s="1179"/>
      <c r="AA126" s="1179"/>
      <c r="AB126" s="1179"/>
      <c r="AC126" s="8568"/>
      <c r="AD126" s="8569"/>
      <c r="AE126" s="7872"/>
      <c r="AF126" s="8533"/>
      <c r="AG126" s="8533"/>
      <c r="AH126" s="8533"/>
      <c r="AI126" s="8533"/>
      <c r="AJ126" s="8533"/>
      <c r="AK126" s="1127"/>
      <c r="BL126" s="1793"/>
      <c r="BM126" s="1793"/>
    </row>
    <row r="127" spans="1:65" ht="15" customHeight="1">
      <c r="A127" s="1127"/>
      <c r="B127" s="1179"/>
      <c r="C127" s="1809" t="s">
        <v>1537</v>
      </c>
      <c r="D127" s="2686" t="s">
        <v>1536</v>
      </c>
      <c r="E127" s="1179"/>
      <c r="F127" s="1179"/>
      <c r="G127" s="1179"/>
      <c r="H127" s="1179"/>
      <c r="I127" s="1179"/>
      <c r="J127" s="1179"/>
      <c r="K127" s="1179"/>
      <c r="L127" s="1179"/>
      <c r="M127" s="1179"/>
      <c r="N127" s="1179"/>
      <c r="O127" s="1179"/>
      <c r="P127" s="1179"/>
      <c r="Q127" s="1179"/>
      <c r="R127" s="1179"/>
      <c r="S127" s="1179"/>
      <c r="T127" s="1179"/>
      <c r="U127" s="1179"/>
      <c r="V127" s="1179"/>
      <c r="W127" s="1179"/>
      <c r="X127" s="1179"/>
      <c r="Y127" s="1179"/>
      <c r="Z127" s="1179"/>
      <c r="AA127" s="1179"/>
      <c r="AB127" s="1179"/>
      <c r="AC127" s="8528">
        <v>25</v>
      </c>
      <c r="AD127" s="8529"/>
      <c r="AE127" s="8530"/>
      <c r="AF127" s="8530"/>
      <c r="AG127" s="8530"/>
      <c r="AH127" s="8530"/>
      <c r="AI127" s="8530"/>
      <c r="AJ127" s="8530"/>
      <c r="AK127" s="1127"/>
      <c r="BL127" s="1793"/>
      <c r="BM127" s="1793"/>
    </row>
    <row r="128" spans="1:65" ht="15" customHeight="1" thickBot="1">
      <c r="A128" s="1127"/>
      <c r="B128" s="1179"/>
      <c r="C128" s="1809" t="s">
        <v>1538</v>
      </c>
      <c r="D128" s="2686" t="s">
        <v>1539</v>
      </c>
      <c r="E128" s="1179"/>
      <c r="F128" s="1179"/>
      <c r="G128" s="1179"/>
      <c r="H128" s="1179"/>
      <c r="I128" s="1179"/>
      <c r="J128" s="1179"/>
      <c r="K128" s="1179"/>
      <c r="L128" s="1179"/>
      <c r="M128" s="1179"/>
      <c r="N128" s="1179"/>
      <c r="O128" s="1179"/>
      <c r="P128" s="1179"/>
      <c r="Q128" s="1179"/>
      <c r="R128" s="1179"/>
      <c r="S128" s="1179"/>
      <c r="T128" s="1179"/>
      <c r="U128" s="1283"/>
      <c r="V128" s="1283"/>
      <c r="W128" s="1577" t="str">
        <f>"This is your "&amp;TaxYear</f>
        <v>This is your 2021</v>
      </c>
      <c r="X128" s="1179"/>
      <c r="Y128" s="1179"/>
      <c r="Z128" s="1179"/>
      <c r="AA128" s="1179"/>
      <c r="AB128" s="1179"/>
      <c r="AC128" s="8568"/>
      <c r="AD128" s="8569"/>
      <c r="AE128" s="7872"/>
      <c r="AF128" s="8533"/>
      <c r="AG128" s="8533"/>
      <c r="AH128" s="8533"/>
      <c r="AI128" s="8533"/>
      <c r="AJ128" s="8533"/>
      <c r="AK128" s="1127"/>
      <c r="AM128" s="1824" t="s">
        <v>91</v>
      </c>
      <c r="BL128" s="1793"/>
      <c r="BM128" s="1793"/>
    </row>
    <row r="129" spans="1:74" ht="15" customHeight="1" thickBot="1">
      <c r="A129" s="1127"/>
      <c r="B129" s="1179"/>
      <c r="C129" s="1809"/>
      <c r="D129" s="1577" t="s">
        <v>1540</v>
      </c>
      <c r="E129" s="1179"/>
      <c r="F129" s="1179"/>
      <c r="G129" s="1179"/>
      <c r="H129" s="1179"/>
      <c r="I129" s="1179"/>
      <c r="J129" s="1179"/>
      <c r="K129" s="1179"/>
      <c r="L129" s="1179"/>
      <c r="M129" s="1179"/>
      <c r="N129" s="1179"/>
      <c r="O129" s="1179"/>
      <c r="P129" s="1179"/>
      <c r="Q129" s="1179"/>
      <c r="R129" s="1179"/>
      <c r="S129" s="1179"/>
      <c r="T129" s="1179"/>
      <c r="U129" s="1179"/>
      <c r="V129" s="1179"/>
      <c r="W129" s="1179"/>
      <c r="X129" s="1179"/>
      <c r="Y129" s="1179"/>
      <c r="Z129" s="1179"/>
      <c r="AA129" s="1349" t="s">
        <v>634</v>
      </c>
      <c r="AB129" s="1835"/>
      <c r="AC129" s="8535">
        <v>26</v>
      </c>
      <c r="AD129" s="8536"/>
      <c r="AE129" s="8527">
        <f>IF(AM129&lt;&gt;"",ROUND(AM129,0),ROUND(SUM(AE125,-AE127),0))</f>
        <v>0</v>
      </c>
      <c r="AF129" s="8527"/>
      <c r="AG129" s="8527"/>
      <c r="AH129" s="8527"/>
      <c r="AI129" s="8527"/>
      <c r="AJ129" s="8527"/>
      <c r="AK129" s="1127"/>
      <c r="AM129" s="1854"/>
      <c r="BL129" s="1793"/>
      <c r="BM129" s="1793"/>
    </row>
    <row r="130" spans="1:74" ht="18.75" thickTop="1">
      <c r="A130" s="1127"/>
      <c r="B130" s="1358"/>
      <c r="C130" s="1358"/>
      <c r="D130" s="1358"/>
      <c r="E130" s="1358"/>
      <c r="F130" s="1358"/>
      <c r="G130" s="1358"/>
      <c r="H130" s="1358"/>
      <c r="I130" s="1358"/>
      <c r="J130" s="1358"/>
      <c r="K130" s="1358"/>
      <c r="L130" s="1358"/>
      <c r="M130" s="1358"/>
      <c r="N130" s="1358"/>
      <c r="O130" s="1358"/>
      <c r="P130" s="1358"/>
      <c r="Q130" s="1358"/>
      <c r="R130" s="1358"/>
      <c r="S130" s="1358"/>
      <c r="T130" s="1358"/>
      <c r="U130" s="1358"/>
      <c r="V130" s="1358"/>
      <c r="W130" s="1358"/>
      <c r="X130" s="1358"/>
      <c r="Y130" s="1358"/>
      <c r="Z130" s="1358"/>
      <c r="AA130" s="1358"/>
      <c r="AB130" s="1358"/>
      <c r="AC130" s="1358"/>
      <c r="AD130" s="1358"/>
      <c r="AE130" s="1358"/>
      <c r="AF130" s="1358"/>
      <c r="AG130" s="1358"/>
      <c r="AH130" s="3722" t="s">
        <v>5419</v>
      </c>
      <c r="AI130" s="3723" t="str">
        <f>" ("&amp;TaxYear&amp;")"</f>
        <v xml:space="preserve"> (2021)</v>
      </c>
      <c r="AJ130" s="1829"/>
      <c r="AK130" s="1127"/>
      <c r="AO130" s="1799"/>
      <c r="AP130" s="1800"/>
      <c r="BL130" s="1793"/>
      <c r="BM130" s="1793"/>
      <c r="BO130" s="1793"/>
      <c r="BP130" s="1793"/>
      <c r="BQ130" s="1793"/>
      <c r="BR130" s="1793"/>
      <c r="BS130" s="1793"/>
      <c r="BT130" s="1793"/>
      <c r="BU130" s="1793"/>
      <c r="BV130" s="1793"/>
    </row>
    <row r="131" spans="1:74" ht="18.75" thickBot="1">
      <c r="A131" s="1127"/>
      <c r="B131" s="3724" t="str">
        <f>"Form 2555 ("&amp;TaxYear&amp;")"</f>
        <v>Form 2555 (2021)</v>
      </c>
      <c r="C131" s="1359"/>
      <c r="D131" s="1359"/>
      <c r="E131" s="1359"/>
      <c r="F131" s="1359"/>
      <c r="G131" s="1359"/>
      <c r="H131" s="1359"/>
      <c r="I131" s="1359"/>
      <c r="J131" s="1359"/>
      <c r="K131" s="1359"/>
      <c r="L131" s="1359"/>
      <c r="M131" s="1359"/>
      <c r="N131" s="1359"/>
      <c r="O131" s="1359"/>
      <c r="P131" s="1359"/>
      <c r="Q131" s="1359"/>
      <c r="R131" s="1359"/>
      <c r="S131" s="1359"/>
      <c r="T131" s="1359"/>
      <c r="U131" s="1359"/>
      <c r="V131" s="1359"/>
      <c r="W131" s="1359"/>
      <c r="X131" s="1359"/>
      <c r="Y131" s="1359"/>
      <c r="Z131" s="1359"/>
      <c r="AA131" s="1359"/>
      <c r="AB131" s="1359"/>
      <c r="AC131" s="1359"/>
      <c r="AD131" s="1359"/>
      <c r="AE131" s="1359"/>
      <c r="AF131" s="1359"/>
      <c r="AG131" s="1359"/>
      <c r="AH131" s="1359"/>
      <c r="AI131" s="1815" t="s">
        <v>197</v>
      </c>
      <c r="AJ131" s="1816">
        <v>3</v>
      </c>
      <c r="AK131" s="1127"/>
      <c r="AO131" s="1799"/>
      <c r="AP131" s="1800"/>
      <c r="BL131" s="1793"/>
      <c r="BM131" s="1793"/>
      <c r="BO131" s="1793"/>
      <c r="BP131" s="1793"/>
      <c r="BQ131" s="1793"/>
      <c r="BR131" s="1793"/>
      <c r="BS131" s="1793"/>
      <c r="BT131" s="1793"/>
      <c r="BU131" s="1793"/>
      <c r="BV131" s="1793"/>
    </row>
    <row r="132" spans="1:74" ht="20.25" customHeight="1" thickTop="1">
      <c r="A132" s="1127"/>
      <c r="B132" s="8524" t="s">
        <v>123</v>
      </c>
      <c r="C132" s="6206"/>
      <c r="D132" s="5708" t="s">
        <v>1496</v>
      </c>
      <c r="E132" s="5709"/>
      <c r="F132" s="5709"/>
      <c r="G132" s="5709"/>
      <c r="H132" s="5709"/>
      <c r="I132" s="5709"/>
      <c r="J132" s="5709"/>
      <c r="K132" s="5709"/>
      <c r="L132" s="5709"/>
      <c r="M132" s="5709"/>
      <c r="N132" s="5709"/>
      <c r="O132" s="5709"/>
      <c r="P132" s="5709"/>
      <c r="Q132" s="5709"/>
      <c r="R132" s="5709"/>
      <c r="S132" s="5709"/>
      <c r="T132" s="5709"/>
      <c r="U132" s="5709"/>
      <c r="V132" s="5709"/>
      <c r="W132" s="5709"/>
      <c r="X132" s="5709"/>
      <c r="Y132" s="5709"/>
      <c r="Z132" s="5709"/>
      <c r="AA132" s="5709"/>
      <c r="AB132" s="5709"/>
      <c r="AC132" s="5709"/>
      <c r="AD132" s="5709"/>
      <c r="AE132" s="5709"/>
      <c r="AF132" s="5709"/>
      <c r="AG132" s="5709"/>
      <c r="AH132" s="5709"/>
      <c r="AI132" s="5709"/>
      <c r="AJ132" s="5709"/>
      <c r="AK132" s="1127"/>
    </row>
    <row r="133" spans="1:74" ht="15" customHeight="1">
      <c r="A133" s="1127"/>
      <c r="B133" s="1179"/>
      <c r="C133" s="1179"/>
      <c r="D133" s="1179"/>
      <c r="E133" s="1179"/>
      <c r="F133" s="1179"/>
      <c r="G133" s="1179"/>
      <c r="H133" s="1179"/>
      <c r="I133" s="1179"/>
      <c r="J133" s="1179"/>
      <c r="K133" s="1179"/>
      <c r="L133" s="1179"/>
      <c r="M133" s="1179"/>
      <c r="N133" s="1179"/>
      <c r="O133" s="1179"/>
      <c r="P133" s="1179"/>
      <c r="Q133" s="1179"/>
      <c r="R133" s="1179"/>
      <c r="S133" s="1179"/>
      <c r="T133" s="1179"/>
      <c r="U133" s="1179"/>
      <c r="V133" s="1179"/>
      <c r="W133" s="1179"/>
      <c r="X133" s="1179"/>
      <c r="Y133" s="1179"/>
      <c r="Z133" s="1179"/>
      <c r="AA133" s="1179"/>
      <c r="AB133" s="1179"/>
      <c r="AC133" s="7804"/>
      <c r="AD133" s="7831"/>
      <c r="AE133" s="7804"/>
      <c r="AF133" s="8534"/>
      <c r="AG133" s="8534"/>
      <c r="AH133" s="8534"/>
      <c r="AI133" s="8534"/>
      <c r="AJ133" s="8534"/>
      <c r="AK133" s="1127"/>
      <c r="BL133" s="1793"/>
      <c r="BM133" s="1793"/>
    </row>
    <row r="134" spans="1:74" ht="15" customHeight="1">
      <c r="A134" s="1127"/>
      <c r="B134" s="1179"/>
      <c r="C134" s="1809" t="s">
        <v>1541</v>
      </c>
      <c r="D134" s="2686" t="s">
        <v>1542</v>
      </c>
      <c r="E134" s="1179"/>
      <c r="F134" s="1179"/>
      <c r="G134" s="1179"/>
      <c r="H134" s="1179"/>
      <c r="I134" s="1179"/>
      <c r="J134" s="1179"/>
      <c r="K134" s="1179"/>
      <c r="L134" s="1179"/>
      <c r="M134" s="1179"/>
      <c r="N134" s="1179"/>
      <c r="O134" s="1179"/>
      <c r="P134" s="1179"/>
      <c r="Q134" s="1179"/>
      <c r="R134" s="1179"/>
      <c r="S134" s="1179"/>
      <c r="T134" s="1179"/>
      <c r="U134" s="1179"/>
      <c r="V134" s="1179"/>
      <c r="W134" s="1179"/>
      <c r="X134" s="1179"/>
      <c r="Y134" s="1179"/>
      <c r="Z134" s="1179"/>
      <c r="AA134" s="1179"/>
      <c r="AB134" s="1243" t="s">
        <v>634</v>
      </c>
      <c r="AC134" s="8528">
        <v>27</v>
      </c>
      <c r="AD134" s="8529"/>
      <c r="AE134" s="8527">
        <f>ForeignEarnedIncome</f>
        <v>0</v>
      </c>
      <c r="AF134" s="8527"/>
      <c r="AG134" s="8527"/>
      <c r="AH134" s="8527"/>
      <c r="AI134" s="8527"/>
      <c r="AJ134" s="8527"/>
      <c r="AK134" s="1127"/>
      <c r="AO134" s="5860">
        <f>IF(AE134="",0,AE134)</f>
        <v>0</v>
      </c>
      <c r="BL134" s="1793"/>
      <c r="BM134" s="1793"/>
    </row>
    <row r="135" spans="1:74" ht="16.5" customHeight="1" thickBot="1">
      <c r="A135" s="1127"/>
      <c r="B135" s="1179"/>
      <c r="C135" s="1179"/>
      <c r="D135" s="3355" t="s">
        <v>1543</v>
      </c>
      <c r="E135" s="1179"/>
      <c r="F135" s="1179"/>
      <c r="G135" s="1179"/>
      <c r="H135" s="1179"/>
      <c r="I135" s="1179"/>
      <c r="J135" s="1179"/>
      <c r="K135" s="1179"/>
      <c r="L135" s="1179"/>
      <c r="M135" s="1179"/>
      <c r="N135" s="1179"/>
      <c r="O135" s="1179"/>
      <c r="P135" s="1179"/>
      <c r="Q135" s="1179"/>
      <c r="R135" s="1179"/>
      <c r="S135" s="1179"/>
      <c r="T135" s="1179"/>
      <c r="U135" s="1179"/>
      <c r="V135" s="1179"/>
      <c r="W135" s="1179"/>
      <c r="X135" s="1179"/>
      <c r="Y135" s="1179"/>
      <c r="Z135" s="1179"/>
      <c r="AA135" s="1179"/>
      <c r="AB135" s="1179"/>
      <c r="AC135" s="1179"/>
      <c r="AD135" s="1179"/>
      <c r="AE135" s="1179"/>
      <c r="AF135" s="1179"/>
      <c r="AG135" s="1179"/>
      <c r="AH135" s="1179"/>
      <c r="AI135" s="1179"/>
      <c r="AJ135" s="1179"/>
      <c r="AK135" s="1127"/>
      <c r="BL135" s="1793"/>
      <c r="BM135" s="1793"/>
    </row>
    <row r="136" spans="1:74" ht="15" customHeight="1" thickBot="1">
      <c r="A136" s="1127"/>
      <c r="B136" s="1284"/>
      <c r="C136" s="1179"/>
      <c r="D136" s="1181"/>
      <c r="E136" s="2686" t="s">
        <v>2957</v>
      </c>
      <c r="F136" s="1179"/>
      <c r="G136" s="1179"/>
      <c r="H136" s="1179"/>
      <c r="I136" s="1179"/>
      <c r="J136" s="1179"/>
      <c r="K136" s="1285"/>
      <c r="L136" s="1179"/>
      <c r="M136" s="1179"/>
      <c r="N136" s="1179"/>
      <c r="O136" s="1179"/>
      <c r="P136" s="1179"/>
      <c r="Q136" s="1179"/>
      <c r="R136" s="1179"/>
      <c r="S136" s="1179"/>
      <c r="T136" s="1179"/>
      <c r="U136" s="1179"/>
      <c r="V136" s="1179"/>
      <c r="W136" s="1179"/>
      <c r="X136" s="1179"/>
      <c r="Y136" s="1179"/>
      <c r="Z136" s="1179"/>
      <c r="AA136" s="1179"/>
      <c r="AB136" s="1179"/>
      <c r="AC136" s="1179"/>
      <c r="AD136" s="1179"/>
      <c r="AE136" s="1179"/>
      <c r="AF136" s="1179"/>
      <c r="AG136" s="1179"/>
      <c r="AH136" s="1179"/>
      <c r="AI136" s="1179"/>
      <c r="AJ136" s="1179"/>
      <c r="AK136" s="1127"/>
      <c r="AM136" s="5845" t="b">
        <f>(D136&lt;&gt;"")</f>
        <v>0</v>
      </c>
      <c r="BL136" s="1793"/>
      <c r="BM136" s="1793"/>
    </row>
    <row r="137" spans="1:74" ht="4.5" customHeight="1" thickBot="1">
      <c r="A137" s="1127"/>
      <c r="B137" s="1179"/>
      <c r="C137" s="1179"/>
      <c r="D137" s="1179"/>
      <c r="E137" s="1179"/>
      <c r="F137" s="1179"/>
      <c r="G137" s="1179"/>
      <c r="H137" s="1179"/>
      <c r="I137" s="1179"/>
      <c r="J137" s="1179"/>
      <c r="K137" s="1179"/>
      <c r="L137" s="1179"/>
      <c r="M137" s="1179"/>
      <c r="N137" s="1179"/>
      <c r="O137" s="1179"/>
      <c r="P137" s="1179"/>
      <c r="Q137" s="1179"/>
      <c r="R137" s="1179"/>
      <c r="S137" s="1179"/>
      <c r="T137" s="1179"/>
      <c r="U137" s="1179"/>
      <c r="V137" s="1179"/>
      <c r="W137" s="1179"/>
      <c r="X137" s="1179"/>
      <c r="Y137" s="1179"/>
      <c r="Z137" s="1179"/>
      <c r="AA137" s="1179"/>
      <c r="AB137" s="1179"/>
      <c r="AC137" s="1179"/>
      <c r="AD137" s="1179"/>
      <c r="AE137" s="1179"/>
      <c r="AF137" s="1179"/>
      <c r="AG137" s="1179"/>
      <c r="AH137" s="1179"/>
      <c r="AI137" s="1179"/>
      <c r="AJ137" s="1179"/>
      <c r="AK137" s="1127"/>
      <c r="BL137" s="1793"/>
      <c r="BM137" s="1793"/>
    </row>
    <row r="138" spans="1:74" ht="15" customHeight="1" thickBot="1">
      <c r="A138" s="1127"/>
      <c r="B138" s="1284"/>
      <c r="C138" s="1179"/>
      <c r="D138" s="1860" t="str">
        <f>IF(D136="","X","")</f>
        <v>X</v>
      </c>
      <c r="E138" s="2686" t="s">
        <v>2958</v>
      </c>
      <c r="F138" s="1179"/>
      <c r="G138" s="1179"/>
      <c r="H138" s="1179"/>
      <c r="I138" s="1179"/>
      <c r="J138" s="1179"/>
      <c r="K138" s="1179"/>
      <c r="L138" s="1179"/>
      <c r="M138" s="1179"/>
      <c r="N138" s="1179"/>
      <c r="O138" s="1179"/>
      <c r="P138" s="1179"/>
      <c r="Q138" s="1179"/>
      <c r="R138" s="1179"/>
      <c r="S138" s="1179"/>
      <c r="T138" s="1179"/>
      <c r="U138" s="1179"/>
      <c r="V138" s="1179"/>
      <c r="W138" s="1179"/>
      <c r="X138" s="1179"/>
      <c r="Y138" s="1179"/>
      <c r="Z138" s="1179"/>
      <c r="AA138" s="1179"/>
      <c r="AB138" s="1179"/>
      <c r="AC138" s="1179"/>
      <c r="AD138" s="1179"/>
      <c r="AE138" s="1179"/>
      <c r="AF138" s="1179"/>
      <c r="AG138" s="1179"/>
      <c r="AH138" s="1179"/>
      <c r="AI138" s="1179"/>
      <c r="AJ138" s="1179"/>
      <c r="AK138" s="1127"/>
      <c r="AM138" s="5845" t="b">
        <f>(D138&lt;&gt;"")</f>
        <v>1</v>
      </c>
      <c r="BL138" s="1793"/>
      <c r="BM138" s="1793"/>
    </row>
    <row r="139" spans="1:74" ht="6.75" customHeight="1">
      <c r="A139" s="1127"/>
      <c r="B139" s="1777"/>
      <c r="C139" s="1777"/>
      <c r="D139" s="1777"/>
      <c r="E139" s="1777"/>
      <c r="F139" s="1777"/>
      <c r="G139" s="1777"/>
      <c r="H139" s="1777"/>
      <c r="I139" s="1777"/>
      <c r="J139" s="1777"/>
      <c r="K139" s="1777"/>
      <c r="L139" s="1777"/>
      <c r="M139" s="1777"/>
      <c r="N139" s="1777"/>
      <c r="O139" s="1777"/>
      <c r="P139" s="1777"/>
      <c r="Q139" s="1777"/>
      <c r="R139" s="1777"/>
      <c r="S139" s="1777"/>
      <c r="T139" s="1777"/>
      <c r="U139" s="1777"/>
      <c r="V139" s="1777"/>
      <c r="W139" s="1777"/>
      <c r="X139" s="1777"/>
      <c r="Y139" s="1777"/>
      <c r="Z139" s="1777"/>
      <c r="AA139" s="1777"/>
      <c r="AB139" s="1777"/>
      <c r="AC139" s="1777"/>
      <c r="AD139" s="1777"/>
      <c r="AE139" s="1777"/>
      <c r="AF139" s="1777"/>
      <c r="AG139" s="1777"/>
      <c r="AH139" s="1777"/>
      <c r="AI139" s="1777"/>
      <c r="AJ139" s="1777"/>
      <c r="AK139" s="1127"/>
    </row>
    <row r="140" spans="1:74" ht="18.75" customHeight="1">
      <c r="A140" s="1127"/>
      <c r="B140" s="8524" t="s">
        <v>1628</v>
      </c>
      <c r="C140" s="6206"/>
      <c r="D140" s="1705" t="s">
        <v>1544</v>
      </c>
      <c r="E140" s="5377"/>
      <c r="F140" s="5377"/>
      <c r="G140" s="5377"/>
      <c r="H140" s="5377"/>
      <c r="I140" s="5377"/>
      <c r="J140" s="5377"/>
      <c r="K140" s="5377"/>
      <c r="L140" s="5377"/>
      <c r="M140" s="5377"/>
      <c r="N140" s="5377"/>
      <c r="O140" s="5377"/>
      <c r="P140" s="5377"/>
      <c r="Q140" s="5377"/>
      <c r="R140" s="5377"/>
      <c r="S140" s="5377"/>
      <c r="T140" s="5377"/>
      <c r="U140" s="5377"/>
      <c r="V140" s="5377"/>
      <c r="W140" s="5377"/>
      <c r="X140" s="5377"/>
      <c r="Y140" s="5377"/>
      <c r="Z140" s="5377"/>
      <c r="AA140" s="5377"/>
      <c r="AB140" s="5377"/>
      <c r="AC140" s="5377"/>
      <c r="AD140" s="5377"/>
      <c r="AE140" s="5377"/>
      <c r="AF140" s="5377"/>
      <c r="AG140" s="5377"/>
      <c r="AH140" s="5377"/>
      <c r="AI140" s="5377"/>
      <c r="AJ140" s="5377"/>
      <c r="AK140" s="1127"/>
    </row>
    <row r="141" spans="1:74" ht="15" customHeight="1">
      <c r="A141" s="1127"/>
      <c r="B141" s="1179"/>
      <c r="C141" s="1179"/>
      <c r="D141" s="1179"/>
      <c r="E141" s="1179"/>
      <c r="F141" s="1179"/>
      <c r="G141" s="1179"/>
      <c r="H141" s="1179"/>
      <c r="I141" s="1179"/>
      <c r="J141" s="1179"/>
      <c r="K141" s="1179"/>
      <c r="L141" s="1179"/>
      <c r="M141" s="1179"/>
      <c r="N141" s="1179"/>
      <c r="O141" s="1179"/>
      <c r="P141" s="1179"/>
      <c r="Q141" s="1179"/>
      <c r="R141" s="1179"/>
      <c r="S141" s="1179"/>
      <c r="T141" s="1179"/>
      <c r="U141" s="1179"/>
      <c r="V141" s="1179"/>
      <c r="W141" s="1179"/>
      <c r="X141" s="1179"/>
      <c r="Y141" s="1179"/>
      <c r="Z141" s="1179"/>
      <c r="AA141" s="1179"/>
      <c r="AB141" s="1179"/>
      <c r="AC141" s="7804"/>
      <c r="AD141" s="7831"/>
      <c r="AE141" s="7804"/>
      <c r="AF141" s="8534"/>
      <c r="AG141" s="8534"/>
      <c r="AH141" s="8534"/>
      <c r="AI141" s="8534"/>
      <c r="AJ141" s="8534"/>
      <c r="AK141" s="1127"/>
      <c r="BL141" s="1793"/>
      <c r="BM141" s="1793"/>
    </row>
    <row r="142" spans="1:74" ht="15" customHeight="1">
      <c r="A142" s="1127"/>
      <c r="B142" s="1179"/>
      <c r="C142" s="1809" t="s">
        <v>1124</v>
      </c>
      <c r="D142" s="2686" t="s">
        <v>1545</v>
      </c>
      <c r="E142" s="1179"/>
      <c r="F142" s="1179"/>
      <c r="G142" s="1179"/>
      <c r="H142" s="1179"/>
      <c r="I142" s="1179"/>
      <c r="J142" s="1179"/>
      <c r="K142" s="1179"/>
      <c r="L142" s="1179"/>
      <c r="M142" s="1179"/>
      <c r="N142" s="1179"/>
      <c r="O142" s="1179"/>
      <c r="P142" s="1179"/>
      <c r="Q142" s="1179"/>
      <c r="R142" s="1179"/>
      <c r="S142" s="1179"/>
      <c r="T142" s="1179"/>
      <c r="U142" s="1179"/>
      <c r="V142" s="1179"/>
      <c r="W142" s="1179"/>
      <c r="X142" s="1179"/>
      <c r="Y142" s="1179"/>
      <c r="Z142" s="1179"/>
      <c r="AA142" s="1179"/>
      <c r="AB142" s="1243" t="s">
        <v>374</v>
      </c>
      <c r="AC142" s="8528">
        <v>28</v>
      </c>
      <c r="AD142" s="8529"/>
      <c r="AE142" s="8530"/>
      <c r="AF142" s="8530"/>
      <c r="AG142" s="8530"/>
      <c r="AH142" s="8530"/>
      <c r="AI142" s="8530"/>
      <c r="AJ142" s="8530"/>
      <c r="AK142" s="1127"/>
      <c r="BL142" s="1793"/>
      <c r="BM142" s="1793"/>
    </row>
    <row r="143" spans="1:74" ht="15" customHeight="1">
      <c r="A143" s="1127"/>
      <c r="B143" s="1179"/>
      <c r="C143" s="1809" t="s">
        <v>1547</v>
      </c>
      <c r="D143" s="1276" t="s">
        <v>1546</v>
      </c>
      <c r="E143" s="1179"/>
      <c r="F143" s="1179"/>
      <c r="G143" s="1179"/>
      <c r="H143" s="1179"/>
      <c r="I143" s="1179"/>
      <c r="J143" s="1179"/>
      <c r="K143" s="1179"/>
      <c r="L143" s="1179"/>
      <c r="M143" s="1179"/>
      <c r="N143" s="1179"/>
      <c r="O143" s="1179"/>
      <c r="P143" s="1179"/>
      <c r="Q143" s="1179"/>
      <c r="R143" s="1179"/>
      <c r="S143" s="1179"/>
      <c r="T143" s="8545"/>
      <c r="U143" s="8546"/>
      <c r="V143" s="8546"/>
      <c r="W143" s="8546"/>
      <c r="X143" s="8546"/>
      <c r="Y143" s="8546"/>
      <c r="Z143" s="8546"/>
      <c r="AA143" s="8546"/>
      <c r="AB143" s="1179"/>
      <c r="AC143" s="8531"/>
      <c r="AD143" s="8532"/>
      <c r="AE143" s="7872"/>
      <c r="AF143" s="8533"/>
      <c r="AG143" s="8533"/>
      <c r="AH143" s="8533"/>
      <c r="AI143" s="8533"/>
      <c r="AJ143" s="8533"/>
      <c r="AK143" s="1127"/>
      <c r="BL143" s="1793"/>
      <c r="BM143" s="1793"/>
    </row>
    <row r="144" spans="1:74" ht="15" customHeight="1" thickBot="1">
      <c r="A144" s="1127"/>
      <c r="B144" s="1179"/>
      <c r="C144" s="1809" t="s">
        <v>1436</v>
      </c>
      <c r="D144" s="2686" t="s">
        <v>1548</v>
      </c>
      <c r="E144" s="1179"/>
      <c r="F144" s="1179"/>
      <c r="G144" s="1179"/>
      <c r="H144" s="1179"/>
      <c r="I144" s="1179"/>
      <c r="J144" s="1179"/>
      <c r="K144" s="1179"/>
      <c r="L144" s="1179"/>
      <c r="M144" s="1179"/>
      <c r="N144" s="1179"/>
      <c r="O144" s="1179"/>
      <c r="P144" s="1179"/>
      <c r="Q144" s="1179"/>
      <c r="R144" s="1179"/>
      <c r="S144" s="1179"/>
      <c r="T144" s="1179"/>
      <c r="U144" s="1179"/>
      <c r="V144" s="1179"/>
      <c r="W144" s="1179"/>
      <c r="X144" s="1179"/>
      <c r="Y144" s="1179"/>
      <c r="Z144" s="1179"/>
      <c r="AA144" s="1179"/>
      <c r="AB144" s="1243" t="s">
        <v>919</v>
      </c>
      <c r="AC144" s="8528" t="s">
        <v>1549</v>
      </c>
      <c r="AD144" s="8529"/>
      <c r="AE144" s="8530"/>
      <c r="AF144" s="8530"/>
      <c r="AG144" s="8530"/>
      <c r="AH144" s="8530"/>
      <c r="AI144" s="8530"/>
      <c r="AJ144" s="8530"/>
      <c r="AK144" s="1127"/>
      <c r="AM144" s="1824" t="s">
        <v>91</v>
      </c>
      <c r="BL144" s="1793"/>
      <c r="BM144" s="1793"/>
    </row>
    <row r="145" spans="1:65" ht="15" customHeight="1" thickBot="1">
      <c r="A145" s="1127"/>
      <c r="B145" s="1179"/>
      <c r="C145" s="1809" t="s">
        <v>1130</v>
      </c>
      <c r="D145" s="2686" t="s">
        <v>2959</v>
      </c>
      <c r="E145" s="1179"/>
      <c r="F145" s="1179"/>
      <c r="G145" s="1179"/>
      <c r="H145" s="1179"/>
      <c r="I145" s="1179"/>
      <c r="J145" s="1179"/>
      <c r="K145" s="1179"/>
      <c r="L145" s="1179"/>
      <c r="M145" s="1179"/>
      <c r="N145" s="1179"/>
      <c r="O145" s="1179"/>
      <c r="P145" s="1179"/>
      <c r="Q145" s="1179"/>
      <c r="R145" s="1179"/>
      <c r="S145" s="1179"/>
      <c r="T145" s="1179"/>
      <c r="U145" s="1179"/>
      <c r="V145" s="1179"/>
      <c r="W145" s="1179"/>
      <c r="X145" s="1179"/>
      <c r="Y145" s="1179"/>
      <c r="Z145" s="1179"/>
      <c r="AA145" s="1179"/>
      <c r="AB145" s="1243" t="s">
        <v>633</v>
      </c>
      <c r="AC145" s="8528">
        <v>30</v>
      </c>
      <c r="AD145" s="8529"/>
      <c r="AE145" s="8527" t="str">
        <f>IF(AM145&lt;&gt;"",AM145,IF(AM138,"",IF(AE142&lt;&gt;"",MIN(AE144,AE142),0)))</f>
        <v/>
      </c>
      <c r="AF145" s="8527"/>
      <c r="AG145" s="8527"/>
      <c r="AH145" s="8527"/>
      <c r="AI145" s="8527"/>
      <c r="AJ145" s="8527"/>
      <c r="AK145" s="1127"/>
      <c r="AM145" s="1854"/>
      <c r="BL145" s="1793"/>
      <c r="BM145" s="1793"/>
    </row>
    <row r="146" spans="1:65" ht="15" customHeight="1" thickBot="1">
      <c r="A146" s="1127"/>
      <c r="B146" s="1179"/>
      <c r="C146" s="1809" t="s">
        <v>1135</v>
      </c>
      <c r="D146" s="2686" t="str">
        <f>"Number of days in your qualifying period that fall within your "&amp;TaxYear&amp;" tax"</f>
        <v>Number of days in your qualifying period that fall within your 2021 tax</v>
      </c>
      <c r="E146" s="1179"/>
      <c r="F146" s="1179"/>
      <c r="G146" s="1179"/>
      <c r="H146" s="1179"/>
      <c r="I146" s="1179"/>
      <c r="J146" s="1179"/>
      <c r="K146" s="1179"/>
      <c r="L146" s="1179"/>
      <c r="M146" s="1179"/>
      <c r="N146" s="1179"/>
      <c r="O146" s="1179"/>
      <c r="P146" s="1179"/>
      <c r="Q146" s="1179"/>
      <c r="R146" s="1179"/>
      <c r="S146" s="1179"/>
      <c r="T146" s="1179"/>
      <c r="U146" s="7804"/>
      <c r="V146" s="7831"/>
      <c r="W146" s="1928"/>
      <c r="X146" s="1927"/>
      <c r="Y146" s="1927"/>
      <c r="Z146" s="1927"/>
      <c r="AA146" s="8534"/>
      <c r="AB146" s="7831"/>
      <c r="AC146" s="1179"/>
      <c r="AD146" s="1179"/>
      <c r="AE146" s="7811">
        <f>ROUND(AE147/DaysInTaxYear,2)</f>
        <v>47.65</v>
      </c>
      <c r="AF146" s="7467"/>
      <c r="AG146" s="7467"/>
      <c r="AH146" s="7467"/>
      <c r="AI146" s="7467"/>
      <c r="AJ146" s="7467"/>
      <c r="AK146" s="1127"/>
      <c r="AO146" s="1779" t="s">
        <v>5699</v>
      </c>
      <c r="BL146" s="1793"/>
      <c r="BM146" s="1793"/>
    </row>
    <row r="147" spans="1:65" ht="15" customHeight="1" thickBot="1">
      <c r="A147" s="1127"/>
      <c r="B147" s="1179"/>
      <c r="C147" s="1179"/>
      <c r="D147" s="2686" t="s">
        <v>1550</v>
      </c>
      <c r="E147" s="1179"/>
      <c r="F147" s="1179"/>
      <c r="G147" s="1179"/>
      <c r="H147" s="1179"/>
      <c r="I147" s="1179"/>
      <c r="J147" s="1179"/>
      <c r="K147" s="1179"/>
      <c r="L147" s="1179"/>
      <c r="M147" s="1179"/>
      <c r="N147" s="1179"/>
      <c r="O147" s="1179"/>
      <c r="P147" s="1179"/>
      <c r="Q147" s="1179"/>
      <c r="R147" s="1179"/>
      <c r="S147" s="1179"/>
      <c r="T147" s="1243" t="s">
        <v>453</v>
      </c>
      <c r="U147" s="8528">
        <v>31</v>
      </c>
      <c r="V147" s="8529"/>
      <c r="W147" s="8566" t="str">
        <f>IF(AM147&lt;&gt;"",ROUND(AM147,0),IF(AM138,"",DaysInTaxYear))</f>
        <v/>
      </c>
      <c r="X147" s="8567"/>
      <c r="Y147" s="8567"/>
      <c r="Z147" s="8567"/>
      <c r="AA147" s="8543" t="s">
        <v>1551</v>
      </c>
      <c r="AB147" s="7740"/>
      <c r="AC147" s="1179"/>
      <c r="AD147" s="1179"/>
      <c r="AE147" s="8547">
        <f>ROUND(AE160*0.16,0)</f>
        <v>17392</v>
      </c>
      <c r="AF147" s="8548"/>
      <c r="AG147" s="8548"/>
      <c r="AH147" s="8548"/>
      <c r="AI147" s="8548"/>
      <c r="AJ147" s="8548"/>
      <c r="AK147" s="1127"/>
      <c r="AL147" s="5859" t="s">
        <v>1135</v>
      </c>
      <c r="AM147" s="5711"/>
      <c r="AN147" s="5859" t="s">
        <v>5701</v>
      </c>
      <c r="AO147" s="1779" t="s">
        <v>5700</v>
      </c>
      <c r="BL147" s="1793"/>
      <c r="BM147" s="1793"/>
    </row>
    <row r="148" spans="1:65" ht="15" customHeight="1" thickBot="1">
      <c r="A148" s="1127"/>
      <c r="B148" s="1179"/>
      <c r="C148" s="1809" t="s">
        <v>1136</v>
      </c>
      <c r="D148" s="2686" t="str">
        <f>"Multiply "&amp;TEXT(AE146,"$0.00")&amp;" by the number of days on line 31. If "&amp;TEXT(DaysInTaxYear,"0")&amp;" is entered on line 31, enter "&amp;TEXT(AE147,"$0,000")&amp;" here"</f>
        <v>Multiply $47.65 by the number of days on line 31. If 365 is entered on line 31, enter $17,392 here</v>
      </c>
      <c r="E148" s="1179"/>
      <c r="F148" s="1179"/>
      <c r="G148" s="1179"/>
      <c r="H148" s="1179"/>
      <c r="I148" s="1179"/>
      <c r="J148" s="1179"/>
      <c r="K148" s="1179"/>
      <c r="L148" s="1179"/>
      <c r="M148" s="1179"/>
      <c r="N148" s="1179"/>
      <c r="O148" s="1179"/>
      <c r="P148" s="1179"/>
      <c r="Q148" s="1179"/>
      <c r="R148" s="1179"/>
      <c r="S148" s="1179"/>
      <c r="T148" s="1179"/>
      <c r="U148" s="1179"/>
      <c r="V148" s="1179"/>
      <c r="W148" s="1179"/>
      <c r="X148" s="1179"/>
      <c r="Y148" s="1179"/>
      <c r="Z148" s="1179"/>
      <c r="AA148" s="1179"/>
      <c r="AB148" s="1179"/>
      <c r="AC148" s="8528">
        <v>32</v>
      </c>
      <c r="AD148" s="8529"/>
      <c r="AE148" s="8527" t="str">
        <f>IF(AM148&lt;&gt;"",ROUND(AM148,0),IF(OR(AM138,AE142=""),"",IF(W147=DaysInTaxYear,AE147,W147*AE146)))</f>
        <v/>
      </c>
      <c r="AF148" s="8527"/>
      <c r="AG148" s="8527"/>
      <c r="AH148" s="8527"/>
      <c r="AI148" s="8527"/>
      <c r="AJ148" s="8527"/>
      <c r="AK148" s="1127"/>
      <c r="AL148" s="5859" t="s">
        <v>1136</v>
      </c>
      <c r="AM148" s="1854"/>
      <c r="BL148" s="1793"/>
      <c r="BM148" s="1793"/>
    </row>
    <row r="149" spans="1:65" ht="15" customHeight="1">
      <c r="A149" s="1127"/>
      <c r="B149" s="1179"/>
      <c r="C149" s="1809" t="s">
        <v>1137</v>
      </c>
      <c r="D149" s="2686" t="s">
        <v>1588</v>
      </c>
      <c r="E149" s="1179"/>
      <c r="F149" s="1179"/>
      <c r="G149" s="1179"/>
      <c r="H149" s="1179"/>
      <c r="I149" s="1179"/>
      <c r="J149" s="1179"/>
      <c r="K149" s="1276"/>
      <c r="L149" s="2686" t="s">
        <v>1677</v>
      </c>
      <c r="M149" s="1179"/>
      <c r="N149" s="1179"/>
      <c r="O149" s="1179"/>
      <c r="P149" s="1179"/>
      <c r="Q149" s="1179"/>
      <c r="R149" s="1179"/>
      <c r="S149" s="1179"/>
      <c r="T149" s="1179"/>
      <c r="U149" s="1179"/>
      <c r="V149" s="1179"/>
      <c r="W149" s="1179"/>
      <c r="X149" s="1179"/>
      <c r="Y149" s="1179"/>
      <c r="Z149" s="1179"/>
      <c r="AA149" s="1179"/>
      <c r="AB149" s="1179"/>
      <c r="AC149" s="7872"/>
      <c r="AD149" s="8544"/>
      <c r="AE149" s="7872"/>
      <c r="AF149" s="8533"/>
      <c r="AG149" s="8533"/>
      <c r="AH149" s="8533"/>
      <c r="AI149" s="8533"/>
      <c r="AJ149" s="8533"/>
      <c r="AK149" s="1127"/>
      <c r="BL149" s="1793"/>
      <c r="BM149" s="1793"/>
    </row>
    <row r="150" spans="1:65" ht="15" customHeight="1">
      <c r="A150" s="1127"/>
      <c r="B150" s="1179"/>
      <c r="C150" s="1179"/>
      <c r="D150" s="2686" t="s">
        <v>1552</v>
      </c>
      <c r="E150" s="1179"/>
      <c r="F150" s="1179"/>
      <c r="G150" s="1179"/>
      <c r="H150" s="1179"/>
      <c r="I150" s="1179"/>
      <c r="J150" s="1179"/>
      <c r="K150" s="1179"/>
      <c r="L150" s="1179"/>
      <c r="M150" s="1179"/>
      <c r="N150" s="1179"/>
      <c r="O150" s="1179"/>
      <c r="P150" s="1179"/>
      <c r="Q150" s="1179"/>
      <c r="R150" s="1179"/>
      <c r="S150" s="1179"/>
      <c r="T150" s="1179"/>
      <c r="U150" s="1179"/>
      <c r="V150" s="1179"/>
      <c r="W150" s="1179"/>
      <c r="X150" s="1179"/>
      <c r="Y150" s="1179"/>
      <c r="Z150" s="1179"/>
      <c r="AA150" s="1179"/>
      <c r="AB150" s="1243" t="s">
        <v>575</v>
      </c>
      <c r="AC150" s="8528">
        <v>33</v>
      </c>
      <c r="AD150" s="8529"/>
      <c r="AE150" s="8565" t="str">
        <f>IF(AM138,"",IF(AE148="",AE145,SUM(AE145,-AE148)))</f>
        <v/>
      </c>
      <c r="AF150" s="8565"/>
      <c r="AG150" s="8565"/>
      <c r="AH150" s="8565"/>
      <c r="AI150" s="8565"/>
      <c r="AJ150" s="8565"/>
      <c r="AK150" s="1127"/>
      <c r="AM150" s="5845" t="b">
        <f>AE150&lt;=0</f>
        <v>0</v>
      </c>
      <c r="AO150" s="5860">
        <f>IF(AE150="",0,AE150)</f>
        <v>0</v>
      </c>
      <c r="BL150" s="1793"/>
      <c r="BM150" s="1793"/>
    </row>
    <row r="151" spans="1:65" ht="15" customHeight="1">
      <c r="A151" s="1127"/>
      <c r="B151" s="1179"/>
      <c r="C151" s="1809" t="s">
        <v>1138</v>
      </c>
      <c r="D151" s="2686" t="s">
        <v>1553</v>
      </c>
      <c r="E151" s="1179"/>
      <c r="F151" s="1179"/>
      <c r="G151" s="1179"/>
      <c r="H151" s="1179"/>
      <c r="I151" s="1179"/>
      <c r="J151" s="1179"/>
      <c r="K151" s="1179"/>
      <c r="L151" s="1179"/>
      <c r="M151" s="1179"/>
      <c r="N151" s="1179"/>
      <c r="O151" s="1179"/>
      <c r="P151" s="1179"/>
      <c r="Q151" s="1179"/>
      <c r="R151" s="1179"/>
      <c r="S151" s="1179"/>
      <c r="T151" s="1179"/>
      <c r="U151" s="8528">
        <v>34</v>
      </c>
      <c r="V151" s="8529"/>
      <c r="W151" s="8530"/>
      <c r="X151" s="8530"/>
      <c r="Y151" s="8530"/>
      <c r="Z151" s="8530"/>
      <c r="AA151" s="8530"/>
      <c r="AB151" s="8530"/>
      <c r="AC151" s="8531"/>
      <c r="AD151" s="8532"/>
      <c r="AE151" s="7872"/>
      <c r="AF151" s="8533"/>
      <c r="AG151" s="8533"/>
      <c r="AH151" s="8533"/>
      <c r="AI151" s="8533"/>
      <c r="AJ151" s="8533"/>
      <c r="AK151" s="1127"/>
      <c r="AM151" s="5858"/>
      <c r="BL151" s="1793"/>
      <c r="BM151" s="1793"/>
    </row>
    <row r="152" spans="1:65" ht="15" customHeight="1" thickBot="1">
      <c r="A152" s="1127"/>
      <c r="B152" s="1179"/>
      <c r="C152" s="1809" t="s">
        <v>1144</v>
      </c>
      <c r="D152" s="2686" t="s">
        <v>1679</v>
      </c>
      <c r="E152" s="1179"/>
      <c r="F152" s="1179"/>
      <c r="G152" s="1179"/>
      <c r="H152" s="1179"/>
      <c r="I152" s="1179"/>
      <c r="J152" s="1179"/>
      <c r="K152" s="1179"/>
      <c r="L152" s="1179"/>
      <c r="M152" s="1179"/>
      <c r="N152" s="1179"/>
      <c r="O152" s="1179"/>
      <c r="P152" s="1179"/>
      <c r="Q152" s="1179"/>
      <c r="R152" s="1179"/>
      <c r="S152" s="1179"/>
      <c r="T152" s="1179"/>
      <c r="U152" s="1179"/>
      <c r="V152" s="1179"/>
      <c r="W152" s="1179"/>
      <c r="X152" s="1179"/>
      <c r="Y152" s="1179"/>
      <c r="Z152" s="1179"/>
      <c r="AA152" s="1179"/>
      <c r="AB152" s="1179"/>
      <c r="AC152" s="7804"/>
      <c r="AD152" s="7831"/>
      <c r="AE152" s="7804"/>
      <c r="AF152" s="8534"/>
      <c r="AG152" s="8534"/>
      <c r="AH152" s="8534"/>
      <c r="AI152" s="8534"/>
      <c r="AJ152" s="8534"/>
      <c r="AK152" s="1127"/>
      <c r="AM152" s="1824" t="s">
        <v>91</v>
      </c>
      <c r="BL152" s="1793"/>
      <c r="BM152" s="1793"/>
    </row>
    <row r="153" spans="1:65" ht="15" customHeight="1" thickBot="1">
      <c r="A153" s="1127"/>
      <c r="B153" s="1179"/>
      <c r="C153" s="1179"/>
      <c r="D153" s="2686" t="s">
        <v>1678</v>
      </c>
      <c r="E153" s="1179"/>
      <c r="F153" s="1179"/>
      <c r="G153" s="1179"/>
      <c r="H153" s="1179"/>
      <c r="I153" s="1179"/>
      <c r="J153" s="1179"/>
      <c r="K153" s="1179"/>
      <c r="L153" s="1179"/>
      <c r="M153" s="1179"/>
      <c r="N153" s="1179"/>
      <c r="O153" s="1179"/>
      <c r="P153" s="1179"/>
      <c r="Q153" s="1179"/>
      <c r="R153" s="1179"/>
      <c r="S153" s="1179"/>
      <c r="T153" s="1179"/>
      <c r="U153" s="1179"/>
      <c r="V153" s="1179"/>
      <c r="W153" s="1179"/>
      <c r="X153" s="1179"/>
      <c r="Y153" s="1179"/>
      <c r="Z153" s="1179"/>
      <c r="AA153" s="1179"/>
      <c r="AB153" s="1243" t="s">
        <v>921</v>
      </c>
      <c r="AC153" s="8528">
        <v>35</v>
      </c>
      <c r="AD153" s="8529"/>
      <c r="AE153" s="1832"/>
      <c r="AF153" s="1832"/>
      <c r="AG153" s="1833" t="s">
        <v>1262</v>
      </c>
      <c r="AH153" s="8541" t="str">
        <f>IF(AM153&lt;&gt;"",ROUND(AM153,3),IF(OR(AM138,AM150),"",IF(ISERROR(W151/AE134),"---",IF(AE134&gt;0,ROUND(W151/AE134,3),""))))</f>
        <v/>
      </c>
      <c r="AI153" s="8542"/>
      <c r="AJ153" s="8542"/>
      <c r="AK153" s="1127"/>
      <c r="AM153" s="1837"/>
      <c r="BL153" s="1793"/>
      <c r="BM153" s="1793"/>
    </row>
    <row r="154" spans="1:65" ht="15" customHeight="1" thickBot="1">
      <c r="A154" s="1127"/>
      <c r="B154" s="1179"/>
      <c r="C154" s="1809" t="s">
        <v>1145</v>
      </c>
      <c r="D154" s="2686" t="s">
        <v>2960</v>
      </c>
      <c r="E154" s="1179"/>
      <c r="F154" s="1179"/>
      <c r="G154" s="1179"/>
      <c r="H154" s="1179"/>
      <c r="I154" s="1179"/>
      <c r="J154" s="1179"/>
      <c r="K154" s="1179"/>
      <c r="L154" s="1179"/>
      <c r="M154" s="1179"/>
      <c r="N154" s="1179"/>
      <c r="O154" s="1179"/>
      <c r="P154" s="1179"/>
      <c r="Q154" s="1179"/>
      <c r="R154" s="1179"/>
      <c r="S154" s="1179"/>
      <c r="T154" s="1179"/>
      <c r="U154" s="1179"/>
      <c r="V154" s="1179"/>
      <c r="W154" s="1179"/>
      <c r="X154" s="1179"/>
      <c r="Y154" s="1179"/>
      <c r="Z154" s="1179"/>
      <c r="AA154" s="1179"/>
      <c r="AB154" s="1179"/>
      <c r="AC154" s="7872"/>
      <c r="AD154" s="8544"/>
      <c r="AE154" s="7872"/>
      <c r="AF154" s="8533"/>
      <c r="AG154" s="8533"/>
      <c r="AH154" s="8533"/>
      <c r="AI154" s="8533"/>
      <c r="AJ154" s="8533"/>
      <c r="AK154" s="1127"/>
      <c r="BL154" s="1793"/>
      <c r="BM154" s="1793"/>
    </row>
    <row r="155" spans="1:65" ht="15" customHeight="1" thickBot="1">
      <c r="A155" s="1127"/>
      <c r="B155" s="1179"/>
      <c r="C155" s="1179"/>
      <c r="D155" s="2686" t="s">
        <v>1554</v>
      </c>
      <c r="E155" s="1179"/>
      <c r="F155" s="1179"/>
      <c r="G155" s="1179"/>
      <c r="H155" s="1179"/>
      <c r="I155" s="1179"/>
      <c r="J155" s="1179"/>
      <c r="K155" s="1179"/>
      <c r="L155" s="1179"/>
      <c r="M155" s="1179"/>
      <c r="N155" s="1179"/>
      <c r="O155" s="1179"/>
      <c r="P155" s="1179"/>
      <c r="Q155" s="1179"/>
      <c r="R155" s="1179"/>
      <c r="S155" s="1179"/>
      <c r="T155" s="1179"/>
      <c r="U155" s="1179"/>
      <c r="V155" s="1179"/>
      <c r="W155" s="1179"/>
      <c r="X155" s="1179"/>
      <c r="Y155" s="1179"/>
      <c r="Z155" s="1179"/>
      <c r="AA155" s="1179"/>
      <c r="AB155" s="1243" t="s">
        <v>1054</v>
      </c>
      <c r="AC155" s="8528">
        <v>36</v>
      </c>
      <c r="AD155" s="8529"/>
      <c r="AE155" s="8527" t="str">
        <f>IF(AM155&lt;&gt;"",ROUND(AM155,0),IF(OR(AM138,AM150),"",IF(ISERROR(W151/AE134),"---",IF(W151="",0,MIN(W151,ROUND(AE150*AH153,0))))))</f>
        <v/>
      </c>
      <c r="AF155" s="8527"/>
      <c r="AG155" s="8527"/>
      <c r="AH155" s="8527"/>
      <c r="AI155" s="8527"/>
      <c r="AJ155" s="8527"/>
      <c r="AK155" s="1127"/>
      <c r="AM155" s="1854"/>
      <c r="AO155" s="5860">
        <f>IF(OR(AE155="",AE155="---"),0,AE155)</f>
        <v>0</v>
      </c>
      <c r="BL155" s="1793"/>
      <c r="BM155" s="1793"/>
    </row>
    <row r="156" spans="1:65" ht="15" customHeight="1">
      <c r="A156" s="1127"/>
      <c r="B156" s="1179"/>
      <c r="C156" s="1179"/>
      <c r="D156" s="2686" t="s">
        <v>4190</v>
      </c>
      <c r="E156" s="1179"/>
      <c r="F156" s="1179"/>
      <c r="G156" s="1179"/>
      <c r="H156" s="1179"/>
      <c r="I156" s="1179"/>
      <c r="J156" s="1179"/>
      <c r="K156" s="1179"/>
      <c r="L156" s="1179"/>
      <c r="M156" s="1179"/>
      <c r="N156" s="1179"/>
      <c r="O156" s="1179"/>
      <c r="P156" s="1179"/>
      <c r="Q156" s="1179"/>
      <c r="R156" s="1179"/>
      <c r="S156" s="1179"/>
      <c r="T156" s="1179"/>
      <c r="U156" s="1179"/>
      <c r="V156" s="1179"/>
      <c r="W156" s="1179"/>
      <c r="X156" s="1179"/>
      <c r="Y156" s="1179"/>
      <c r="Z156" s="1179"/>
      <c r="AA156" s="1179"/>
      <c r="AB156" s="1179"/>
      <c r="AC156" s="1179"/>
      <c r="AD156" s="1179"/>
      <c r="AE156" s="8562">
        <f>IF(OR(AE155="",AE155="---"),0,AE155)</f>
        <v>0</v>
      </c>
      <c r="AF156" s="7467"/>
      <c r="AG156" s="7467"/>
      <c r="AH156" s="7467"/>
      <c r="AI156" s="7467"/>
      <c r="AJ156" s="7467"/>
      <c r="AK156" s="1127"/>
      <c r="BL156" s="1793"/>
      <c r="BM156" s="1793"/>
    </row>
    <row r="157" spans="1:65" ht="15" customHeight="1" thickBot="1">
      <c r="A157" s="1127"/>
      <c r="B157" s="1179"/>
      <c r="C157" s="1179"/>
      <c r="D157" s="2686" t="s">
        <v>4191</v>
      </c>
      <c r="E157" s="1179"/>
      <c r="F157" s="1179"/>
      <c r="G157" s="1179"/>
      <c r="H157" s="1179"/>
      <c r="I157" s="1179"/>
      <c r="J157" s="1179"/>
      <c r="K157" s="1179"/>
      <c r="L157" s="1179"/>
      <c r="M157" s="1179"/>
      <c r="N157" s="1179"/>
      <c r="O157" s="1179"/>
      <c r="P157" s="1179"/>
      <c r="Q157" s="1179"/>
      <c r="R157" s="1179"/>
      <c r="S157" s="1179"/>
      <c r="T157" s="1179"/>
      <c r="U157" s="1179"/>
      <c r="V157" s="1179"/>
      <c r="W157" s="1179"/>
      <c r="X157" s="1179"/>
      <c r="Y157" s="1179"/>
      <c r="Z157" s="1179"/>
      <c r="AA157" s="1179"/>
      <c r="AB157" s="1179"/>
      <c r="AC157" s="1179"/>
      <c r="AD157" s="1179"/>
      <c r="AE157" s="1179"/>
      <c r="AF157" s="1179"/>
      <c r="AG157" s="1179"/>
      <c r="AH157" s="1179"/>
      <c r="AI157" s="1179"/>
      <c r="AJ157" s="1179"/>
      <c r="AK157" s="1127"/>
      <c r="BL157" s="1793"/>
      <c r="BM157" s="1793"/>
    </row>
    <row r="158" spans="1:65" ht="18.75" customHeight="1" thickBot="1">
      <c r="A158" s="1127"/>
      <c r="B158" s="8524" t="s">
        <v>1556</v>
      </c>
      <c r="C158" s="6206"/>
      <c r="D158" s="4745" t="s">
        <v>1555</v>
      </c>
      <c r="E158" s="4746"/>
      <c r="F158" s="4746"/>
      <c r="G158" s="4746"/>
      <c r="H158" s="4746"/>
      <c r="I158" s="4746"/>
      <c r="J158" s="4746"/>
      <c r="K158" s="4746"/>
      <c r="L158" s="4746"/>
      <c r="M158" s="4746"/>
      <c r="N158" s="4746"/>
      <c r="O158" s="4746"/>
      <c r="P158" s="4746"/>
      <c r="Q158" s="4746"/>
      <c r="R158" s="4746"/>
      <c r="S158" s="4746"/>
      <c r="T158" s="4746"/>
      <c r="U158" s="4746"/>
      <c r="V158" s="4746"/>
      <c r="W158" s="4746"/>
      <c r="X158" s="4746"/>
      <c r="Y158" s="4746"/>
      <c r="Z158" s="4746"/>
      <c r="AA158" s="4746"/>
      <c r="AB158" s="4746"/>
      <c r="AC158" s="4746"/>
      <c r="AD158" s="4746"/>
      <c r="AE158" s="8560"/>
      <c r="AF158" s="8561"/>
      <c r="AG158" s="8561"/>
      <c r="AH158" s="8561"/>
      <c r="AI158" s="8561"/>
      <c r="AJ158" s="8561"/>
      <c r="AK158" s="1127"/>
      <c r="AM158" s="1824" t="s">
        <v>91</v>
      </c>
    </row>
    <row r="159" spans="1:65" ht="15" customHeight="1" thickBot="1">
      <c r="A159" s="1127"/>
      <c r="B159" s="1179"/>
      <c r="C159" s="1809" t="s">
        <v>1557</v>
      </c>
      <c r="D159" s="2686" t="str">
        <f>"Maximum foreign earned income exclusion."</f>
        <v>Maximum foreign earned income exclusion.</v>
      </c>
      <c r="E159" s="1179"/>
      <c r="F159" s="1179"/>
      <c r="G159" s="1179"/>
      <c r="H159" s="1179"/>
      <c r="I159" s="1179"/>
      <c r="J159" s="1179"/>
      <c r="K159" s="1179"/>
      <c r="L159" s="1179"/>
      <c r="M159" s="1179"/>
      <c r="N159" s="1179"/>
      <c r="O159" s="1179"/>
      <c r="P159" s="1179" t="str">
        <f>"Enter "&amp;TEXT(AE160,"$0,000")</f>
        <v>Enter $108,700</v>
      </c>
      <c r="Q159" s="1179"/>
      <c r="R159" s="1179"/>
      <c r="S159" s="1179"/>
      <c r="T159" s="1179"/>
      <c r="U159" s="1179"/>
      <c r="V159" s="1179"/>
      <c r="W159" s="1179"/>
      <c r="X159" s="1179"/>
      <c r="Y159" s="1179"/>
      <c r="Z159" s="1179"/>
      <c r="AA159" s="1179"/>
      <c r="AB159" s="1243" t="s">
        <v>568</v>
      </c>
      <c r="AC159" s="8528">
        <v>37</v>
      </c>
      <c r="AD159" s="8529"/>
      <c r="AE159" s="8558">
        <f>IF(AM159&lt;&gt;"",ROUND(AM159,0),AE160)</f>
        <v>108700</v>
      </c>
      <c r="AF159" s="8558"/>
      <c r="AG159" s="8558"/>
      <c r="AH159" s="8558"/>
      <c r="AI159" s="8558"/>
      <c r="AJ159" s="8558"/>
      <c r="AK159" s="1127"/>
      <c r="AM159" s="1838"/>
      <c r="BL159" s="1793"/>
      <c r="BM159" s="1793"/>
    </row>
    <row r="160" spans="1:65" ht="15" customHeight="1" thickBot="1">
      <c r="A160" s="1127"/>
      <c r="B160" s="1179"/>
      <c r="C160" s="1809" t="s">
        <v>1559</v>
      </c>
      <c r="D160" s="1834" t="s">
        <v>120</v>
      </c>
      <c r="E160" s="2686" t="s">
        <v>1558</v>
      </c>
      <c r="F160" s="1179"/>
      <c r="G160" s="1179"/>
      <c r="H160" s="1179"/>
      <c r="I160" s="1179"/>
      <c r="J160" s="1179"/>
      <c r="K160" s="1179"/>
      <c r="L160" s="1179"/>
      <c r="M160" s="1179"/>
      <c r="N160" s="1179"/>
      <c r="O160" s="1179"/>
      <c r="P160" s="1179"/>
      <c r="Q160" s="1179"/>
      <c r="R160" s="1179"/>
      <c r="S160" s="1179"/>
      <c r="T160" s="1179"/>
      <c r="U160" s="1179"/>
      <c r="V160" s="1179"/>
      <c r="W160" s="1927"/>
      <c r="X160" s="1927"/>
      <c r="Y160" s="1927"/>
      <c r="Z160" s="1927"/>
      <c r="AA160" s="1179"/>
      <c r="AB160" s="1831"/>
      <c r="AC160" s="1825"/>
      <c r="AD160" s="1826"/>
      <c r="AE160" s="8563">
        <v>108700</v>
      </c>
      <c r="AF160" s="8564"/>
      <c r="AG160" s="8564"/>
      <c r="AH160" s="8564"/>
      <c r="AI160" s="8564"/>
      <c r="AJ160" s="8564"/>
      <c r="AK160" s="1127"/>
      <c r="AM160" s="1824"/>
      <c r="AO160" s="5845" t="b">
        <f>AND(AE155&lt;&gt;0,AE155&lt;&gt;"")</f>
        <v>0</v>
      </c>
      <c r="BL160" s="1793"/>
      <c r="BM160" s="1793"/>
    </row>
    <row r="161" spans="1:65" ht="15" customHeight="1" thickBot="1">
      <c r="A161" s="1127"/>
      <c r="B161" s="1179"/>
      <c r="C161" s="1179"/>
      <c r="D161" s="1834" t="s">
        <v>120</v>
      </c>
      <c r="E161" s="2686" t="s">
        <v>1560</v>
      </c>
      <c r="F161" s="1179"/>
      <c r="G161" s="1179"/>
      <c r="H161" s="1179"/>
      <c r="I161" s="1179"/>
      <c r="J161" s="1179"/>
      <c r="K161" s="1179"/>
      <c r="L161" s="1179"/>
      <c r="M161" s="1179"/>
      <c r="N161" s="1179"/>
      <c r="O161" s="1179"/>
      <c r="P161" s="1179"/>
      <c r="Q161" s="1179"/>
      <c r="R161" s="1179"/>
      <c r="S161" s="1179"/>
      <c r="T161" s="1179"/>
      <c r="U161" s="5710"/>
      <c r="V161" s="8528">
        <v>38</v>
      </c>
      <c r="W161" s="7217"/>
      <c r="X161" s="8664">
        <f>IF(AO160,W147,IF(AM161&lt;&gt;"",AM161,DaysInTaxYear))</f>
        <v>365</v>
      </c>
      <c r="Y161" s="8664"/>
      <c r="Z161" s="8664"/>
      <c r="AA161" s="8543" t="s">
        <v>1551</v>
      </c>
      <c r="AB161" s="8543"/>
      <c r="AC161" s="1827"/>
      <c r="AD161" s="1828"/>
      <c r="AE161" s="1179"/>
      <c r="AF161" s="1179"/>
      <c r="AG161" s="1179"/>
      <c r="AH161" s="1179"/>
      <c r="AI161" s="1179"/>
      <c r="AJ161" s="1179"/>
      <c r="AK161" s="1127"/>
      <c r="AM161" s="5711"/>
      <c r="AN161" s="1779" t="s">
        <v>5730</v>
      </c>
      <c r="BL161" s="1793"/>
      <c r="BM161" s="1793"/>
    </row>
    <row r="162" spans="1:65" ht="15" customHeight="1">
      <c r="A162" s="1127"/>
      <c r="B162" s="1179"/>
      <c r="C162" s="1179"/>
      <c r="D162" s="1179"/>
      <c r="E162" s="2686" t="str">
        <f>"fall within your "&amp;TaxYear&amp;" tax year (see the instructions for line 31)."</f>
        <v>fall within your 2021 tax year (see the instructions for line 31).</v>
      </c>
      <c r="F162" s="1179"/>
      <c r="G162" s="1179"/>
      <c r="H162" s="1179"/>
      <c r="I162" s="1179"/>
      <c r="J162" s="1179"/>
      <c r="K162" s="1179"/>
      <c r="L162" s="1179"/>
      <c r="M162" s="1179"/>
      <c r="N162" s="1179"/>
      <c r="O162" s="1179"/>
      <c r="P162" s="1179"/>
      <c r="Q162" s="1179"/>
      <c r="R162" s="1179"/>
      <c r="S162" s="1179"/>
      <c r="T162" s="1179"/>
      <c r="U162" s="1179"/>
      <c r="V162" s="1179"/>
      <c r="W162" s="1179"/>
      <c r="X162" s="1179"/>
      <c r="Y162" s="1179"/>
      <c r="Z162" s="1179"/>
      <c r="AA162" s="1179"/>
      <c r="AB162" s="1179"/>
      <c r="AC162" s="1582"/>
      <c r="AD162" s="1583"/>
      <c r="AE162" s="1179"/>
      <c r="AF162" s="1179"/>
      <c r="AG162" s="1179"/>
      <c r="AH162" s="1179"/>
      <c r="AI162" s="1179"/>
      <c r="AJ162" s="1179"/>
      <c r="AK162" s="1127"/>
      <c r="AL162" s="1779" t="s">
        <v>5729</v>
      </c>
      <c r="BL162" s="1793"/>
      <c r="BM162" s="1793"/>
    </row>
    <row r="163" spans="1:65" ht="15" customHeight="1" thickBot="1">
      <c r="A163" s="1127"/>
      <c r="B163" s="1179"/>
      <c r="C163" s="1809" t="s">
        <v>1563</v>
      </c>
      <c r="D163" s="1834" t="s">
        <v>120</v>
      </c>
      <c r="E163" s="1276" t="str">
        <f>"If line 38 and the number of days in your "&amp;TaxYear&amp;" tax year (usually "&amp;TEXT(DaysInTaxYear,"0")&amp;") are the same, enter “1.000.”"</f>
        <v>If line 38 and the number of days in your 2021 tax year (usually 365) are the same, enter “1.000.”</v>
      </c>
      <c r="F163" s="1179"/>
      <c r="G163" s="1179"/>
      <c r="H163" s="1179"/>
      <c r="I163" s="1179"/>
      <c r="J163" s="1179"/>
      <c r="K163" s="1179"/>
      <c r="L163" s="1179"/>
      <c r="M163" s="1179"/>
      <c r="N163" s="1179"/>
      <c r="O163" s="1179"/>
      <c r="P163" s="1179"/>
      <c r="Q163" s="1179"/>
      <c r="R163" s="1179"/>
      <c r="S163" s="1179"/>
      <c r="T163" s="1179"/>
      <c r="U163" s="1179"/>
      <c r="V163" s="1179"/>
      <c r="W163" s="1179"/>
      <c r="X163" s="1179"/>
      <c r="Y163" s="1179"/>
      <c r="Z163" s="1179"/>
      <c r="AA163" s="1179"/>
      <c r="AB163" s="1179"/>
      <c r="AC163" s="1582"/>
      <c r="AD163" s="1583"/>
      <c r="AE163" s="1179"/>
      <c r="AF163" s="1179"/>
      <c r="AG163" s="1179"/>
      <c r="AH163" s="1179"/>
      <c r="AI163" s="1179"/>
      <c r="AJ163" s="1179"/>
      <c r="AK163" s="1127"/>
      <c r="AL163" s="1779" t="str">
        <f>TaxYear&amp;" tax year."</f>
        <v>2021 tax year.</v>
      </c>
      <c r="BL163" s="1793"/>
      <c r="BM163" s="1793"/>
    </row>
    <row r="164" spans="1:65" ht="15" customHeight="1" thickBot="1">
      <c r="A164" s="1127"/>
      <c r="B164" s="1179"/>
      <c r="C164" s="1179"/>
      <c r="D164" s="1834" t="s">
        <v>120</v>
      </c>
      <c r="E164" s="1276" t="str">
        <f>"Otherwise, divide line 38 by the number of days in your "&amp;TaxYear&amp;" tax year and enter the result as"</f>
        <v>Otherwise, divide line 38 by the number of days in your 2021 tax year and enter the result as</v>
      </c>
      <c r="F164" s="1179"/>
      <c r="G164" s="1179"/>
      <c r="H164" s="1179"/>
      <c r="I164" s="1179"/>
      <c r="J164" s="1179"/>
      <c r="K164" s="1179"/>
      <c r="L164" s="1179"/>
      <c r="M164" s="1179"/>
      <c r="N164" s="1179"/>
      <c r="O164" s="1179"/>
      <c r="P164" s="1179"/>
      <c r="Q164" s="1179"/>
      <c r="R164" s="1179"/>
      <c r="S164" s="1179"/>
      <c r="T164" s="1179"/>
      <c r="U164" s="1179"/>
      <c r="V164" s="1179"/>
      <c r="W164" s="1179"/>
      <c r="X164" s="1179"/>
      <c r="Y164" s="1179"/>
      <c r="Z164" s="1179"/>
      <c r="AA164" s="1179"/>
      <c r="AB164" s="1179"/>
      <c r="AC164" s="8528">
        <v>39</v>
      </c>
      <c r="AD164" s="8529"/>
      <c r="AE164" s="1832"/>
      <c r="AF164" s="1832"/>
      <c r="AG164" s="1833" t="s">
        <v>1262</v>
      </c>
      <c r="AH164" s="8541">
        <f>IF(AND(AM161="",AM164=""),1,IF(ISERROR(X161/AM164),"",ROUND(X161/AM164,3)))</f>
        <v>1</v>
      </c>
      <c r="AI164" s="8542"/>
      <c r="AJ164" s="8542"/>
      <c r="AK164" s="1127"/>
      <c r="AM164" s="5711"/>
      <c r="AN164" s="1779" t="str">
        <f>"No. of days in your "</f>
        <v xml:space="preserve">No. of days in your </v>
      </c>
      <c r="BL164" s="1793"/>
      <c r="BM164" s="1793"/>
    </row>
    <row r="165" spans="1:65" ht="15" customHeight="1">
      <c r="A165" s="1127"/>
      <c r="B165" s="1179"/>
      <c r="C165" s="1179"/>
      <c r="D165" s="1179"/>
      <c r="E165" s="1276" t="s">
        <v>1561</v>
      </c>
      <c r="F165" s="1179"/>
      <c r="G165" s="1179"/>
      <c r="H165" s="1179"/>
      <c r="I165" s="1179"/>
      <c r="J165" s="1179"/>
      <c r="K165" s="1179"/>
      <c r="L165" s="1179"/>
      <c r="M165" s="1179"/>
      <c r="N165" s="1179"/>
      <c r="O165" s="1179"/>
      <c r="P165" s="1179"/>
      <c r="Q165" s="1179"/>
      <c r="R165" s="1179"/>
      <c r="S165" s="1179"/>
      <c r="T165" s="1179"/>
      <c r="U165" s="1179"/>
      <c r="V165" s="1179"/>
      <c r="W165" s="1179"/>
      <c r="X165" s="1179"/>
      <c r="Y165" s="1179"/>
      <c r="Z165" s="1179"/>
      <c r="AA165" s="1179"/>
      <c r="AB165" s="1179"/>
      <c r="AC165" s="7872"/>
      <c r="AD165" s="8544"/>
      <c r="AE165" s="7872"/>
      <c r="AF165" s="8533"/>
      <c r="AG165" s="8533"/>
      <c r="AH165" s="8533"/>
      <c r="AI165" s="8533"/>
      <c r="AJ165" s="8533"/>
      <c r="AK165" s="1127"/>
      <c r="AN165" s="1779" t="str">
        <f>TaxYear&amp;" tax year."</f>
        <v>2021 tax year.</v>
      </c>
      <c r="BL165" s="1793"/>
      <c r="BM165" s="1793"/>
    </row>
    <row r="166" spans="1:65" ht="15" customHeight="1">
      <c r="A166" s="1127"/>
      <c r="B166" s="1179"/>
      <c r="C166" s="1809" t="s">
        <v>1564</v>
      </c>
      <c r="D166" s="2686" t="s">
        <v>1562</v>
      </c>
      <c r="E166" s="1179"/>
      <c r="F166" s="1179"/>
      <c r="G166" s="1179"/>
      <c r="H166" s="1179"/>
      <c r="I166" s="1179"/>
      <c r="J166" s="1179"/>
      <c r="K166" s="1179"/>
      <c r="L166" s="1179"/>
      <c r="M166" s="1179"/>
      <c r="N166" s="1179"/>
      <c r="O166" s="1179"/>
      <c r="P166" s="1179"/>
      <c r="Q166" s="1179"/>
      <c r="R166" s="1179"/>
      <c r="S166" s="1179"/>
      <c r="T166" s="1179"/>
      <c r="U166" s="1179"/>
      <c r="V166" s="1179"/>
      <c r="W166" s="1179"/>
      <c r="X166" s="1179"/>
      <c r="Y166" s="1179"/>
      <c r="Z166" s="1179"/>
      <c r="AA166" s="1179"/>
      <c r="AB166" s="1243" t="s">
        <v>536</v>
      </c>
      <c r="AC166" s="8528">
        <v>40</v>
      </c>
      <c r="AD166" s="8529"/>
      <c r="AE166" s="8527" t="str">
        <f>IF(OR(AE134=0,AH164=""),"",ROUND(AE159*AH164,0))</f>
        <v/>
      </c>
      <c r="AF166" s="8527"/>
      <c r="AG166" s="8527"/>
      <c r="AH166" s="8527"/>
      <c r="AI166" s="8527"/>
      <c r="AJ166" s="8527"/>
      <c r="AK166" s="1127"/>
      <c r="BL166" s="1793"/>
      <c r="BM166" s="1793"/>
    </row>
    <row r="167" spans="1:65" ht="15" customHeight="1" thickBot="1">
      <c r="A167" s="1127"/>
      <c r="B167" s="1179"/>
      <c r="C167" s="1809" t="s">
        <v>1566</v>
      </c>
      <c r="D167" s="2686" t="s">
        <v>1565</v>
      </c>
      <c r="E167" s="1179"/>
      <c r="F167" s="1179"/>
      <c r="G167" s="1179"/>
      <c r="H167" s="1179"/>
      <c r="I167" s="1179"/>
      <c r="J167" s="1179"/>
      <c r="K167" s="1179"/>
      <c r="L167" s="1179"/>
      <c r="M167" s="1179"/>
      <c r="N167" s="1179"/>
      <c r="O167" s="1179"/>
      <c r="P167" s="1179"/>
      <c r="Q167" s="1179"/>
      <c r="R167" s="1179"/>
      <c r="S167" s="1179"/>
      <c r="T167" s="1179"/>
      <c r="U167" s="1179"/>
      <c r="V167" s="1179"/>
      <c r="W167" s="1179"/>
      <c r="X167" s="1179"/>
      <c r="Y167" s="1179"/>
      <c r="Z167" s="1179"/>
      <c r="AA167" s="1179"/>
      <c r="AB167" s="1243" t="s">
        <v>921</v>
      </c>
      <c r="AC167" s="8528">
        <v>41</v>
      </c>
      <c r="AD167" s="8529"/>
      <c r="AE167" s="8527" t="str">
        <f>IF(OR(AE134=0,AH164=""),"",SUM(AE134,-AE156))</f>
        <v/>
      </c>
      <c r="AF167" s="8527"/>
      <c r="AG167" s="8527"/>
      <c r="AH167" s="8527"/>
      <c r="AI167" s="8527"/>
      <c r="AJ167" s="8527"/>
      <c r="AK167" s="1127"/>
      <c r="AM167" s="1824" t="s">
        <v>91</v>
      </c>
      <c r="BL167" s="1793"/>
      <c r="BM167" s="1793"/>
    </row>
    <row r="168" spans="1:65" ht="15" customHeight="1" thickBot="1">
      <c r="A168" s="1127"/>
      <c r="B168" s="1179"/>
      <c r="C168" s="1809" t="s">
        <v>1567</v>
      </c>
      <c r="D168" s="1276" t="s">
        <v>5420</v>
      </c>
      <c r="E168" s="1179"/>
      <c r="F168" s="1179"/>
      <c r="G168" s="1179"/>
      <c r="H168" s="1179"/>
      <c r="I168" s="1179"/>
      <c r="J168" s="1179"/>
      <c r="K168" s="1179"/>
      <c r="L168" s="1179"/>
      <c r="M168" s="1179"/>
      <c r="N168" s="1179"/>
      <c r="O168" s="1179"/>
      <c r="P168" s="1179"/>
      <c r="Q168" s="1179"/>
      <c r="R168" s="1179"/>
      <c r="S168" s="1179"/>
      <c r="T168" s="1179"/>
      <c r="U168" s="1179"/>
      <c r="V168" s="1179"/>
      <c r="W168" s="1179"/>
      <c r="X168" s="1179"/>
      <c r="Y168" s="1179"/>
      <c r="Z168" s="1179"/>
      <c r="AA168" s="1179"/>
      <c r="AB168" s="1243" t="s">
        <v>2435</v>
      </c>
      <c r="AC168" s="8535">
        <v>42</v>
      </c>
      <c r="AD168" s="8536"/>
      <c r="AE168" s="8559">
        <f>IF(AM168&lt;&gt;"",ROUND(AM168,0),IF(AH164="","",IF(AE167="",0,MIN(AE166,AE167))))</f>
        <v>0</v>
      </c>
      <c r="AF168" s="8559"/>
      <c r="AG168" s="8559"/>
      <c r="AH168" s="8559"/>
      <c r="AI168" s="8559"/>
      <c r="AJ168" s="8559"/>
      <c r="AK168" s="1127"/>
      <c r="AM168" s="1838"/>
      <c r="BL168" s="1793"/>
      <c r="BM168" s="1793"/>
    </row>
    <row r="169" spans="1:65" ht="21.75" customHeight="1">
      <c r="A169" s="1127"/>
      <c r="B169" s="4743" t="s">
        <v>1568</v>
      </c>
      <c r="C169" s="4744"/>
      <c r="D169" s="4745" t="s">
        <v>1569</v>
      </c>
      <c r="E169" s="4746"/>
      <c r="F169" s="4746"/>
      <c r="G169" s="4746"/>
      <c r="H169" s="4746"/>
      <c r="I169" s="4746"/>
      <c r="J169" s="4746"/>
      <c r="K169" s="4746"/>
      <c r="L169" s="4746"/>
      <c r="M169" s="4746"/>
      <c r="N169" s="4746"/>
      <c r="O169" s="4746"/>
      <c r="P169" s="4746"/>
      <c r="Q169" s="4746"/>
      <c r="R169" s="4746"/>
      <c r="S169" s="4746"/>
      <c r="T169" s="4746"/>
      <c r="U169" s="4746"/>
      <c r="V169" s="4746"/>
      <c r="W169" s="4746"/>
      <c r="X169" s="4746"/>
      <c r="Y169" s="4746"/>
      <c r="Z169" s="4746"/>
      <c r="AA169" s="4746"/>
      <c r="AB169" s="4746"/>
      <c r="AC169" s="4746"/>
      <c r="AD169" s="4746"/>
      <c r="AE169" s="4746"/>
      <c r="AF169" s="4746"/>
      <c r="AG169" s="4746"/>
      <c r="AH169" s="4746"/>
      <c r="AI169" s="4746"/>
      <c r="AJ169" s="4746"/>
      <c r="AK169" s="1127"/>
    </row>
    <row r="170" spans="1:65" ht="15" customHeight="1">
      <c r="A170" s="1127"/>
      <c r="B170" s="1179"/>
      <c r="C170" s="1809" t="s">
        <v>1571</v>
      </c>
      <c r="D170" s="2686" t="s">
        <v>1570</v>
      </c>
      <c r="E170" s="1179"/>
      <c r="F170" s="1179"/>
      <c r="G170" s="1179"/>
      <c r="H170" s="1179"/>
      <c r="I170" s="1179"/>
      <c r="J170" s="1179"/>
      <c r="K170" s="1179"/>
      <c r="L170" s="1179"/>
      <c r="M170" s="1179"/>
      <c r="N170" s="1179"/>
      <c r="O170" s="1179"/>
      <c r="P170" s="1179"/>
      <c r="Q170" s="1179"/>
      <c r="R170" s="1179"/>
      <c r="S170" s="1179"/>
      <c r="T170" s="1179"/>
      <c r="U170" s="1179"/>
      <c r="V170" s="1179"/>
      <c r="W170" s="1179"/>
      <c r="X170" s="1179"/>
      <c r="Y170" s="1179"/>
      <c r="Z170" s="1179"/>
      <c r="AA170" s="1179"/>
      <c r="AB170" s="1243" t="s">
        <v>1587</v>
      </c>
      <c r="AC170" s="8528">
        <v>43</v>
      </c>
      <c r="AD170" s="8529"/>
      <c r="AE170" s="8527">
        <f>SUM(AO155,AE168)</f>
        <v>0</v>
      </c>
      <c r="AF170" s="8527"/>
      <c r="AG170" s="8527"/>
      <c r="AH170" s="8527"/>
      <c r="AI170" s="8527"/>
      <c r="AJ170" s="8527"/>
      <c r="AK170" s="1127"/>
      <c r="AO170" s="5860">
        <f>IF(AE170="",0,AE170)</f>
        <v>0</v>
      </c>
      <c r="BL170" s="1793"/>
      <c r="BM170" s="1793"/>
    </row>
    <row r="171" spans="1:65" ht="15" customHeight="1">
      <c r="A171" s="1127"/>
      <c r="B171" s="1179"/>
      <c r="C171" s="1809" t="s">
        <v>1572</v>
      </c>
      <c r="D171" s="1276" t="s">
        <v>4192</v>
      </c>
      <c r="E171" s="1179"/>
      <c r="F171" s="1179"/>
      <c r="G171" s="1179"/>
      <c r="H171" s="1179"/>
      <c r="I171" s="1179"/>
      <c r="J171" s="1179"/>
      <c r="K171" s="1179"/>
      <c r="L171" s="1179"/>
      <c r="M171" s="1179"/>
      <c r="N171" s="1179"/>
      <c r="O171" s="1179"/>
      <c r="P171" s="1179"/>
      <c r="Q171" s="1179"/>
      <c r="R171" s="1179"/>
      <c r="S171" s="1179"/>
      <c r="T171" s="1179"/>
      <c r="U171" s="1179"/>
      <c r="V171" s="1179"/>
      <c r="W171" s="1179"/>
      <c r="X171" s="1179"/>
      <c r="Y171" s="1179"/>
      <c r="Z171" s="1179"/>
      <c r="AA171" s="1179"/>
      <c r="AB171" s="1179"/>
      <c r="AC171" s="7872"/>
      <c r="AD171" s="8544"/>
      <c r="AE171" s="7872"/>
      <c r="AF171" s="8533"/>
      <c r="AG171" s="8533"/>
      <c r="AH171" s="8533"/>
      <c r="AI171" s="8533"/>
      <c r="AJ171" s="8533"/>
      <c r="AK171" s="1127"/>
      <c r="BL171" s="1793"/>
      <c r="BM171" s="1793"/>
    </row>
    <row r="172" spans="1:65" ht="15" customHeight="1">
      <c r="A172" s="1127"/>
      <c r="B172" s="1179"/>
      <c r="C172" s="1179"/>
      <c r="D172" s="2686" t="s">
        <v>3540</v>
      </c>
      <c r="E172" s="1179"/>
      <c r="F172" s="1179"/>
      <c r="G172" s="1179"/>
      <c r="H172" s="1179"/>
      <c r="I172" s="1179"/>
      <c r="J172" s="1179"/>
      <c r="K172" s="1179"/>
      <c r="L172" s="1179"/>
      <c r="M172" s="1179"/>
      <c r="N172" s="1179"/>
      <c r="O172" s="1179"/>
      <c r="P172" s="1179"/>
      <c r="Q172" s="1179"/>
      <c r="R172" s="1179"/>
      <c r="S172" s="1179"/>
      <c r="T172" s="1179"/>
      <c r="U172" s="1179"/>
      <c r="V172" s="1179"/>
      <c r="W172" s="1179"/>
      <c r="X172" s="1179"/>
      <c r="Y172" s="1179"/>
      <c r="Z172" s="1179"/>
      <c r="AA172" s="1179"/>
      <c r="AB172" s="1243" t="s">
        <v>698</v>
      </c>
      <c r="AC172" s="8528">
        <v>44</v>
      </c>
      <c r="AD172" s="8529"/>
      <c r="AE172" s="8530"/>
      <c r="AF172" s="8530"/>
      <c r="AG172" s="8530"/>
      <c r="AH172" s="8530"/>
      <c r="AI172" s="8530"/>
      <c r="AJ172" s="8530"/>
      <c r="AK172" s="1127"/>
      <c r="BL172" s="1793"/>
      <c r="BM172" s="1793"/>
    </row>
    <row r="173" spans="1:65" ht="15" customHeight="1">
      <c r="A173" s="1127"/>
      <c r="B173" s="1179"/>
      <c r="C173" s="1809" t="s">
        <v>1573</v>
      </c>
      <c r="D173" s="2686" t="s">
        <v>5754</v>
      </c>
      <c r="E173" s="1179"/>
      <c r="F173" s="1179"/>
      <c r="G173" s="1179"/>
      <c r="H173" s="1179"/>
      <c r="I173" s="1179"/>
      <c r="J173" s="1179"/>
      <c r="K173" s="1179"/>
      <c r="L173" s="1179"/>
      <c r="M173" s="1179"/>
      <c r="N173" s="1179"/>
      <c r="O173" s="1179"/>
      <c r="P173" s="1179"/>
      <c r="Q173" s="1179"/>
      <c r="R173" s="1179"/>
      <c r="S173" s="1179"/>
      <c r="T173" s="1179"/>
      <c r="U173" s="1179"/>
      <c r="V173" s="1179"/>
      <c r="W173" s="1179"/>
      <c r="X173" s="1179"/>
      <c r="Y173" s="1179"/>
      <c r="Z173" s="1179"/>
      <c r="AA173" s="1179"/>
      <c r="AB173" s="1179"/>
      <c r="AC173" s="7872"/>
      <c r="AD173" s="8544"/>
      <c r="AE173" s="7872"/>
      <c r="AF173" s="8533"/>
      <c r="AG173" s="8533"/>
      <c r="AH173" s="8533"/>
      <c r="AI173" s="8533"/>
      <c r="AJ173" s="8533"/>
      <c r="AK173" s="1127"/>
      <c r="BL173" s="1793"/>
      <c r="BM173" s="1793"/>
    </row>
    <row r="174" spans="1:65" ht="15" customHeight="1" thickBot="1">
      <c r="A174" s="1127"/>
      <c r="B174" s="1179"/>
      <c r="C174" s="1179"/>
      <c r="D174" s="2686" t="s">
        <v>5753</v>
      </c>
      <c r="E174" s="1179"/>
      <c r="F174" s="1179"/>
      <c r="G174" s="1179"/>
      <c r="H174" s="1179"/>
      <c r="I174" s="1179"/>
      <c r="J174" s="1179"/>
      <c r="K174" s="1179"/>
      <c r="L174" s="1179"/>
      <c r="M174" s="1179"/>
      <c r="N174" s="1179"/>
      <c r="O174" s="1179"/>
      <c r="P174" s="1179"/>
      <c r="Q174" s="1179"/>
      <c r="R174" s="1179"/>
      <c r="S174" s="1179"/>
      <c r="T174" s="1179"/>
      <c r="U174" s="1179"/>
      <c r="V174" s="1179"/>
      <c r="W174" s="1179"/>
      <c r="X174" s="1179"/>
      <c r="Y174" s="1179"/>
      <c r="Z174" s="1179"/>
      <c r="AA174" s="1179"/>
      <c r="AB174" s="1179"/>
      <c r="AC174" s="7804"/>
      <c r="AD174" s="7831"/>
      <c r="AE174" s="8551"/>
      <c r="AF174" s="8552"/>
      <c r="AG174" s="8553"/>
      <c r="AH174" s="8553"/>
      <c r="AI174" s="8553"/>
      <c r="AJ174" s="8553"/>
      <c r="AK174" s="1127"/>
      <c r="AM174" s="1824" t="s">
        <v>91</v>
      </c>
      <c r="BL174" s="1793"/>
      <c r="BM174" s="1793"/>
    </row>
    <row r="175" spans="1:65" ht="15" customHeight="1" thickBot="1">
      <c r="A175" s="1127"/>
      <c r="B175" s="1179"/>
      <c r="C175" s="1179"/>
      <c r="D175" s="2686" t="s">
        <v>5752</v>
      </c>
      <c r="E175" s="1179"/>
      <c r="F175" s="1179"/>
      <c r="G175" s="1179"/>
      <c r="H175" s="1179"/>
      <c r="I175" s="1179"/>
      <c r="J175" s="1179"/>
      <c r="K175" s="1179"/>
      <c r="L175" s="1179"/>
      <c r="M175" s="1179"/>
      <c r="N175" s="1179"/>
      <c r="O175" s="1179"/>
      <c r="P175" s="1179"/>
      <c r="Q175" s="1179"/>
      <c r="R175" s="1179"/>
      <c r="S175" s="1179"/>
      <c r="T175" s="1179"/>
      <c r="U175" s="1179"/>
      <c r="V175" s="1179"/>
      <c r="W175" s="1179"/>
      <c r="X175" s="1179"/>
      <c r="Y175" s="1179"/>
      <c r="Z175" s="1179"/>
      <c r="AA175" s="1179"/>
      <c r="AB175" s="1243" t="s">
        <v>2126</v>
      </c>
      <c r="AC175" s="8528">
        <v>45</v>
      </c>
      <c r="AD175" s="8529"/>
      <c r="AE175" s="8527">
        <f>IF(AM175&lt;&gt;"",ROUND(AM175,0),IF(AE170=0,0,SUM(AE170,-AE172)))</f>
        <v>0</v>
      </c>
      <c r="AF175" s="8527"/>
      <c r="AG175" s="8527"/>
      <c r="AH175" s="8527"/>
      <c r="AI175" s="8527"/>
      <c r="AJ175" s="8527"/>
      <c r="AK175" s="1127"/>
      <c r="AM175" s="1854"/>
      <c r="AO175" s="5860">
        <f>IF(F2555_Line45="",0,F2555_Line45)</f>
        <v>0</v>
      </c>
      <c r="BL175" s="1793"/>
      <c r="BM175" s="1793"/>
    </row>
    <row r="176" spans="1:65" ht="7.5" customHeight="1">
      <c r="A176" s="1127"/>
      <c r="B176" s="1772"/>
      <c r="C176" s="1772"/>
      <c r="D176" s="8554" t="s">
        <v>4193</v>
      </c>
      <c r="E176" s="8555"/>
      <c r="F176" s="8555"/>
      <c r="G176" s="8555"/>
      <c r="H176" s="8555"/>
      <c r="I176" s="8555"/>
      <c r="J176" s="8555"/>
      <c r="K176" s="8555"/>
      <c r="L176" s="8555"/>
      <c r="M176" s="8555"/>
      <c r="N176" s="8555"/>
      <c r="O176" s="8555"/>
      <c r="P176" s="8555"/>
      <c r="Q176" s="8555"/>
      <c r="R176" s="8555"/>
      <c r="S176" s="8555"/>
      <c r="T176" s="8555"/>
      <c r="U176" s="8555"/>
      <c r="V176" s="8555"/>
      <c r="W176" s="8555"/>
      <c r="X176" s="8555"/>
      <c r="Y176" s="8555"/>
      <c r="Z176" s="8555"/>
      <c r="AA176" s="8555"/>
      <c r="AB176" s="8555"/>
      <c r="AC176" s="8555"/>
      <c r="AD176" s="8555"/>
      <c r="AE176" s="8555"/>
      <c r="AF176" s="8555"/>
      <c r="AG176" s="8555"/>
      <c r="AH176" s="8555"/>
      <c r="AI176" s="8555"/>
      <c r="AJ176" s="8555"/>
      <c r="AK176" s="1127"/>
    </row>
    <row r="177" spans="1:74" ht="15" customHeight="1">
      <c r="A177" s="1127"/>
      <c r="B177" s="8524" t="s">
        <v>1574</v>
      </c>
      <c r="C177" s="6206"/>
      <c r="D177" s="8556"/>
      <c r="E177" s="8556"/>
      <c r="F177" s="8556"/>
      <c r="G177" s="8556"/>
      <c r="H177" s="8556"/>
      <c r="I177" s="8556"/>
      <c r="J177" s="8556"/>
      <c r="K177" s="8556"/>
      <c r="L177" s="8556"/>
      <c r="M177" s="8556"/>
      <c r="N177" s="8556"/>
      <c r="O177" s="8556"/>
      <c r="P177" s="8556"/>
      <c r="Q177" s="8556"/>
      <c r="R177" s="8556"/>
      <c r="S177" s="8556"/>
      <c r="T177" s="8556"/>
      <c r="U177" s="8556"/>
      <c r="V177" s="8556"/>
      <c r="W177" s="8556"/>
      <c r="X177" s="8556"/>
      <c r="Y177" s="8556"/>
      <c r="Z177" s="8556"/>
      <c r="AA177" s="8556"/>
      <c r="AB177" s="8556"/>
      <c r="AC177" s="8556"/>
      <c r="AD177" s="8556"/>
      <c r="AE177" s="8556"/>
      <c r="AF177" s="8556"/>
      <c r="AG177" s="8556"/>
      <c r="AH177" s="8556"/>
      <c r="AI177" s="8556"/>
      <c r="AJ177" s="8556"/>
      <c r="AK177" s="1127"/>
      <c r="AM177" s="5861" t="b">
        <f>AND(AO150&gt;AO155,AO134&gt;AO170)</f>
        <v>0</v>
      </c>
    </row>
    <row r="178" spans="1:74" ht="7.5" customHeight="1">
      <c r="A178" s="1127"/>
      <c r="B178" s="1777"/>
      <c r="C178" s="1777"/>
      <c r="D178" s="8557"/>
      <c r="E178" s="8557"/>
      <c r="F178" s="8557"/>
      <c r="G178" s="8557"/>
      <c r="H178" s="8557"/>
      <c r="I178" s="8557"/>
      <c r="J178" s="8557"/>
      <c r="K178" s="8557"/>
      <c r="L178" s="8557"/>
      <c r="M178" s="8557"/>
      <c r="N178" s="8557"/>
      <c r="O178" s="8557"/>
      <c r="P178" s="8557"/>
      <c r="Q178" s="8557"/>
      <c r="R178" s="8557"/>
      <c r="S178" s="8557"/>
      <c r="T178" s="8557"/>
      <c r="U178" s="8557"/>
      <c r="V178" s="8557"/>
      <c r="W178" s="8557"/>
      <c r="X178" s="8557"/>
      <c r="Y178" s="8557"/>
      <c r="Z178" s="8557"/>
      <c r="AA178" s="8557"/>
      <c r="AB178" s="8557"/>
      <c r="AC178" s="8557"/>
      <c r="AD178" s="8557"/>
      <c r="AE178" s="8557"/>
      <c r="AF178" s="8557"/>
      <c r="AG178" s="8557"/>
      <c r="AH178" s="8557"/>
      <c r="AI178" s="8557"/>
      <c r="AJ178" s="8557"/>
      <c r="AK178" s="1127"/>
    </row>
    <row r="179" spans="1:74" ht="15" customHeight="1">
      <c r="A179" s="1127"/>
      <c r="B179" s="1179"/>
      <c r="C179" s="1809" t="s">
        <v>1577</v>
      </c>
      <c r="D179" s="2686" t="s">
        <v>1575</v>
      </c>
      <c r="E179" s="1179"/>
      <c r="F179" s="1179"/>
      <c r="G179" s="1179"/>
      <c r="H179" s="1179"/>
      <c r="I179" s="1179"/>
      <c r="J179" s="1179"/>
      <c r="K179" s="1179"/>
      <c r="L179" s="1179"/>
      <c r="M179" s="1179"/>
      <c r="N179" s="1179"/>
      <c r="O179" s="1179"/>
      <c r="P179" s="1179"/>
      <c r="Q179" s="1179"/>
      <c r="R179" s="1179"/>
      <c r="S179" s="1179"/>
      <c r="T179" s="1179"/>
      <c r="U179" s="1179"/>
      <c r="V179" s="1179"/>
      <c r="W179" s="1179"/>
      <c r="X179" s="1179"/>
      <c r="Y179" s="1179"/>
      <c r="Z179" s="1179"/>
      <c r="AA179" s="1179"/>
      <c r="AB179" s="1243" t="s">
        <v>634</v>
      </c>
      <c r="AC179" s="8528">
        <v>46</v>
      </c>
      <c r="AD179" s="8529"/>
      <c r="AE179" s="8527" t="str">
        <f>IF(OR(AM150,NOT(AM177)),"",SUM(AO150,-AO155))</f>
        <v/>
      </c>
      <c r="AF179" s="8527"/>
      <c r="AG179" s="8527"/>
      <c r="AH179" s="8527"/>
      <c r="AI179" s="8527"/>
      <c r="AJ179" s="8527"/>
      <c r="AK179" s="1127"/>
      <c r="BL179" s="1793"/>
      <c r="BM179" s="1793"/>
    </row>
    <row r="180" spans="1:74" ht="15" customHeight="1">
      <c r="A180" s="1127"/>
      <c r="B180" s="1179"/>
      <c r="C180" s="1809" t="s">
        <v>1578</v>
      </c>
      <c r="D180" s="2686" t="s">
        <v>1576</v>
      </c>
      <c r="E180" s="1179"/>
      <c r="F180" s="1179"/>
      <c r="G180" s="1179"/>
      <c r="H180" s="1179"/>
      <c r="I180" s="1179"/>
      <c r="J180" s="1179"/>
      <c r="K180" s="1179"/>
      <c r="L180" s="1179"/>
      <c r="M180" s="1179"/>
      <c r="N180" s="1179"/>
      <c r="O180" s="1179"/>
      <c r="P180" s="1179"/>
      <c r="Q180" s="1179"/>
      <c r="R180" s="1179"/>
      <c r="S180" s="1179"/>
      <c r="T180" s="1179"/>
      <c r="U180" s="1179"/>
      <c r="V180" s="1179"/>
      <c r="W180" s="1179"/>
      <c r="X180" s="1179"/>
      <c r="Y180" s="1179"/>
      <c r="Z180" s="1179"/>
      <c r="AA180" s="1179"/>
      <c r="AB180" s="1243" t="s">
        <v>634</v>
      </c>
      <c r="AC180" s="8528">
        <v>47</v>
      </c>
      <c r="AD180" s="8529"/>
      <c r="AE180" s="8527" t="str">
        <f>IF(OR(AM150,NOT(AM177)),"",SUM(AE134,-AE170))</f>
        <v/>
      </c>
      <c r="AF180" s="8527"/>
      <c r="AG180" s="8527"/>
      <c r="AH180" s="8527"/>
      <c r="AI180" s="8527"/>
      <c r="AJ180" s="8527"/>
      <c r="AK180" s="1127"/>
      <c r="BL180" s="1793"/>
      <c r="BM180" s="1793"/>
    </row>
    <row r="181" spans="1:74" ht="15" customHeight="1">
      <c r="A181" s="1127"/>
      <c r="B181" s="1179"/>
      <c r="C181" s="1809" t="s">
        <v>1579</v>
      </c>
      <c r="D181" s="2686" t="s">
        <v>2961</v>
      </c>
      <c r="E181" s="1179"/>
      <c r="F181" s="1179"/>
      <c r="G181" s="1179"/>
      <c r="H181" s="1179"/>
      <c r="I181" s="1179"/>
      <c r="J181" s="1179"/>
      <c r="K181" s="1179"/>
      <c r="L181" s="1179"/>
      <c r="M181" s="1179"/>
      <c r="N181" s="1179"/>
      <c r="O181" s="1179"/>
      <c r="P181" s="1179"/>
      <c r="Q181" s="1179"/>
      <c r="R181" s="1179"/>
      <c r="S181" s="1179"/>
      <c r="T181" s="1179"/>
      <c r="U181" s="1179"/>
      <c r="V181" s="1179"/>
      <c r="W181" s="1179"/>
      <c r="X181" s="1179"/>
      <c r="Y181" s="1179"/>
      <c r="Z181" s="1179"/>
      <c r="AA181" s="1179"/>
      <c r="AB181" s="1243" t="s">
        <v>633</v>
      </c>
      <c r="AC181" s="8528">
        <v>48</v>
      </c>
      <c r="AD181" s="8529"/>
      <c r="AE181" s="8527" t="str">
        <f>IF(OR(AM150,NOT(AM177)),"",MIN(AE179,AE180))</f>
        <v/>
      </c>
      <c r="AF181" s="8527"/>
      <c r="AG181" s="8527"/>
      <c r="AH181" s="8527"/>
      <c r="AI181" s="8527"/>
      <c r="AJ181" s="8527"/>
      <c r="AK181" s="1127"/>
      <c r="BL181" s="1793"/>
      <c r="BM181" s="1793"/>
    </row>
    <row r="182" spans="1:74" ht="15" customHeight="1">
      <c r="A182" s="1127"/>
      <c r="B182" s="1179"/>
      <c r="C182" s="1179"/>
      <c r="D182" s="2686" t="s">
        <v>4194</v>
      </c>
      <c r="E182" s="1179"/>
      <c r="F182" s="1548"/>
      <c r="G182" s="1179"/>
      <c r="H182" s="1179"/>
      <c r="I182" s="1179"/>
      <c r="J182" s="1179"/>
      <c r="K182" s="1179"/>
      <c r="L182" s="1179"/>
      <c r="M182" s="1179"/>
      <c r="N182" s="1179"/>
      <c r="O182" s="1179"/>
      <c r="P182" s="1179"/>
      <c r="Q182" s="1179"/>
      <c r="R182" s="1179"/>
      <c r="S182" s="2686"/>
      <c r="T182" s="2686"/>
      <c r="U182" s="1179"/>
      <c r="V182" s="1179"/>
      <c r="W182" s="1179"/>
      <c r="X182" s="1179"/>
      <c r="Y182" s="1179"/>
      <c r="Z182" s="1179"/>
      <c r="AA182" s="1179"/>
      <c r="AB182" s="3490" t="str">
        <f>"all of your "&amp;TaxYear-1&amp;" housing deduction "</f>
        <v xml:space="preserve">all of your 2020 housing deduction </v>
      </c>
      <c r="AC182" s="8531"/>
      <c r="AD182" s="8532"/>
      <c r="AE182" s="7872"/>
      <c r="AF182" s="8533"/>
      <c r="AG182" s="8533"/>
      <c r="AH182" s="8533"/>
      <c r="AI182" s="8533"/>
      <c r="AJ182" s="8533"/>
      <c r="AK182" s="1127"/>
      <c r="BL182" s="1793"/>
      <c r="BM182" s="1793"/>
    </row>
    <row r="183" spans="1:74" ht="15" customHeight="1">
      <c r="A183" s="1127"/>
      <c r="B183" s="1179"/>
      <c r="C183" s="1179"/>
      <c r="D183" s="2686" t="str">
        <f>"because of the "&amp;TaxYear-1&amp;" limit, use the Housing Deduction Carryover Worksheet in the instructions to"</f>
        <v>because of the 2020 limit, use the Housing Deduction Carryover Worksheet in the instructions to</v>
      </c>
      <c r="E183" s="1179"/>
      <c r="F183" s="1179"/>
      <c r="G183" s="1179"/>
      <c r="H183" s="1179"/>
      <c r="I183" s="1179"/>
      <c r="J183" s="1179"/>
      <c r="K183" s="1179"/>
      <c r="L183" s="1179"/>
      <c r="M183" s="1179"/>
      <c r="N183" s="1179"/>
      <c r="O183" s="1179"/>
      <c r="P183" s="1179"/>
      <c r="Q183" s="1179"/>
      <c r="R183" s="1179"/>
      <c r="S183" s="1179"/>
      <c r="T183" s="1179"/>
      <c r="U183" s="1179"/>
      <c r="V183" s="1179"/>
      <c r="W183" s="1179"/>
      <c r="X183" s="1179"/>
      <c r="Y183" s="1179"/>
      <c r="Z183" s="1179"/>
      <c r="AA183" s="1179"/>
      <c r="AB183" s="1179"/>
      <c r="AC183" s="8549"/>
      <c r="AD183" s="8550"/>
      <c r="AE183" s="7804"/>
      <c r="AF183" s="8534"/>
      <c r="AG183" s="8534"/>
      <c r="AH183" s="8534"/>
      <c r="AI183" s="8534"/>
      <c r="AJ183" s="8534"/>
      <c r="AK183" s="1127"/>
      <c r="BL183" s="1793"/>
      <c r="BM183" s="1793"/>
    </row>
    <row r="184" spans="1:74" ht="15" customHeight="1">
      <c r="A184" s="1127"/>
      <c r="B184" s="1179"/>
      <c r="C184" s="1179"/>
      <c r="D184" s="2686" t="s">
        <v>1580</v>
      </c>
      <c r="E184" s="1179"/>
      <c r="F184" s="1179"/>
      <c r="G184" s="1179"/>
      <c r="H184" s="1179"/>
      <c r="I184" s="1179"/>
      <c r="J184" s="1179"/>
      <c r="K184" s="1179"/>
      <c r="L184" s="1179"/>
      <c r="M184" s="1179"/>
      <c r="N184" s="1179"/>
      <c r="O184" s="1179"/>
      <c r="P184" s="1179"/>
      <c r="Q184" s="1179"/>
      <c r="R184" s="1179"/>
      <c r="S184" s="1179"/>
      <c r="T184" s="1179"/>
      <c r="U184" s="1179"/>
      <c r="V184" s="1179"/>
      <c r="W184" s="1179"/>
      <c r="X184" s="1179"/>
      <c r="Y184" s="1179"/>
      <c r="Z184" s="1179"/>
      <c r="AA184" s="1179"/>
      <c r="AB184" s="1179"/>
      <c r="AC184" s="8549"/>
      <c r="AD184" s="8550"/>
      <c r="AE184" s="7804"/>
      <c r="AF184" s="8534"/>
      <c r="AG184" s="8534"/>
      <c r="AH184" s="8534"/>
      <c r="AI184" s="8534"/>
      <c r="AJ184" s="8534"/>
      <c r="AK184" s="1127"/>
      <c r="BL184" s="1793"/>
      <c r="BM184" s="1793"/>
    </row>
    <row r="185" spans="1:74" ht="15" customHeight="1">
      <c r="A185" s="1127"/>
      <c r="B185" s="1179"/>
      <c r="C185" s="1809" t="s">
        <v>1581</v>
      </c>
      <c r="D185" s="2686" t="str">
        <f>"Housing deduction carryover from "&amp;TaxYear-1&amp;" (from the Housing Deduction Carryover Worksheet in"</f>
        <v>Housing deduction carryover from 2020 (from the Housing Deduction Carryover Worksheet in</v>
      </c>
      <c r="E185" s="1179"/>
      <c r="F185" s="1179"/>
      <c r="G185" s="1179"/>
      <c r="H185" s="1179"/>
      <c r="I185" s="1179"/>
      <c r="J185" s="1179"/>
      <c r="K185" s="1179"/>
      <c r="L185" s="1179"/>
      <c r="M185" s="1179"/>
      <c r="N185" s="1179"/>
      <c r="O185" s="1179"/>
      <c r="P185" s="1179"/>
      <c r="Q185" s="1179"/>
      <c r="R185" s="1179"/>
      <c r="S185" s="1179"/>
      <c r="T185" s="1179"/>
      <c r="U185" s="1179"/>
      <c r="V185" s="1179"/>
      <c r="W185" s="1179"/>
      <c r="X185" s="1179"/>
      <c r="Y185" s="1179"/>
      <c r="Z185" s="1179"/>
      <c r="AA185" s="1179"/>
      <c r="AB185" s="1179"/>
      <c r="AC185" s="8549"/>
      <c r="AD185" s="8550"/>
      <c r="AE185" s="7804"/>
      <c r="AF185" s="8534"/>
      <c r="AG185" s="8534"/>
      <c r="AH185" s="8534"/>
      <c r="AI185" s="8534"/>
      <c r="AJ185" s="8534"/>
      <c r="AK185" s="1127"/>
      <c r="BL185" s="1793"/>
      <c r="BM185" s="1793"/>
    </row>
    <row r="186" spans="1:74" ht="15" customHeight="1">
      <c r="A186" s="1127"/>
      <c r="B186" s="1179"/>
      <c r="C186" s="1179"/>
      <c r="D186" s="2686" t="s">
        <v>2962</v>
      </c>
      <c r="E186" s="1179"/>
      <c r="F186" s="1179"/>
      <c r="G186" s="1179"/>
      <c r="H186" s="1179"/>
      <c r="I186" s="1179"/>
      <c r="J186" s="1179"/>
      <c r="K186" s="1179"/>
      <c r="L186" s="1179"/>
      <c r="M186" s="1179"/>
      <c r="N186" s="1179"/>
      <c r="O186" s="1179"/>
      <c r="P186" s="1179"/>
      <c r="Q186" s="1179"/>
      <c r="R186" s="1179"/>
      <c r="S186" s="1179"/>
      <c r="T186" s="1179"/>
      <c r="U186" s="1179"/>
      <c r="V186" s="1179"/>
      <c r="W186" s="1179"/>
      <c r="X186" s="1179"/>
      <c r="Y186" s="1179"/>
      <c r="Z186" s="1179"/>
      <c r="AA186" s="1179"/>
      <c r="AB186" s="1243" t="s">
        <v>1587</v>
      </c>
      <c r="AC186" s="8528">
        <v>49</v>
      </c>
      <c r="AD186" s="8529"/>
      <c r="AE186" s="8530"/>
      <c r="AF186" s="8530"/>
      <c r="AG186" s="8530"/>
      <c r="AH186" s="8530"/>
      <c r="AI186" s="8530"/>
      <c r="AJ186" s="8530"/>
      <c r="AK186" s="1127"/>
      <c r="BL186" s="1793"/>
      <c r="BM186" s="1793"/>
    </row>
    <row r="187" spans="1:74" ht="15" customHeight="1">
      <c r="A187" s="1127"/>
      <c r="B187" s="1179"/>
      <c r="C187" s="1809" t="s">
        <v>1582</v>
      </c>
      <c r="D187" s="2686" t="s">
        <v>5423</v>
      </c>
      <c r="E187" s="1179"/>
      <c r="F187" s="1179"/>
      <c r="G187" s="1179"/>
      <c r="H187" s="1179"/>
      <c r="I187" s="1179"/>
      <c r="J187" s="1179"/>
      <c r="K187" s="1179"/>
      <c r="L187" s="1179"/>
      <c r="M187" s="1179"/>
      <c r="N187" s="1179"/>
      <c r="O187" s="1179"/>
      <c r="P187" s="1179"/>
      <c r="Q187" s="1179"/>
      <c r="R187" s="1179"/>
      <c r="S187" s="1179"/>
      <c r="T187" s="1179"/>
      <c r="U187" s="1179"/>
      <c r="V187" s="1179"/>
      <c r="W187" s="1179"/>
      <c r="X187" s="1179"/>
      <c r="Y187" s="1179"/>
      <c r="Z187" s="1179"/>
      <c r="AA187" s="1179"/>
      <c r="AB187" s="1179"/>
      <c r="AC187" s="7872"/>
      <c r="AD187" s="8544"/>
      <c r="AE187" s="7872"/>
      <c r="AF187" s="8533"/>
      <c r="AG187" s="8533"/>
      <c r="AH187" s="8533"/>
      <c r="AI187" s="8533"/>
      <c r="AJ187" s="8533"/>
      <c r="AK187" s="1127"/>
      <c r="BL187" s="1793"/>
      <c r="BM187" s="1793"/>
    </row>
    <row r="188" spans="1:74" ht="15" customHeight="1" thickBot="1">
      <c r="A188" s="1127"/>
      <c r="B188" s="1179"/>
      <c r="C188" s="1179"/>
      <c r="D188" s="2686" t="s">
        <v>5422</v>
      </c>
      <c r="E188" s="1179"/>
      <c r="F188" s="1179"/>
      <c r="G188" s="1179"/>
      <c r="H188" s="1179"/>
      <c r="I188" s="1179"/>
      <c r="J188" s="1179"/>
      <c r="K188" s="1179"/>
      <c r="L188" s="1179"/>
      <c r="M188" s="1179"/>
      <c r="N188" s="1179"/>
      <c r="O188" s="1179"/>
      <c r="P188" s="1179"/>
      <c r="Q188" s="1179"/>
      <c r="R188" s="1179"/>
      <c r="S188" s="1179"/>
      <c r="T188" s="1179"/>
      <c r="U188" s="1179"/>
      <c r="V188" s="1179"/>
      <c r="W188" s="1179"/>
      <c r="X188" s="1179"/>
      <c r="Y188" s="1179"/>
      <c r="Z188" s="1179"/>
      <c r="AA188" s="1179"/>
      <c r="AB188" s="1179"/>
      <c r="AC188" s="7804"/>
      <c r="AD188" s="7831"/>
      <c r="AE188" s="7804"/>
      <c r="AF188" s="8534"/>
      <c r="AG188" s="8534"/>
      <c r="AH188" s="8534"/>
      <c r="AI188" s="8534"/>
      <c r="AJ188" s="8534"/>
      <c r="AK188" s="1127"/>
      <c r="AM188" s="1824" t="s">
        <v>91</v>
      </c>
      <c r="BL188" s="1793"/>
      <c r="BM188" s="1793"/>
    </row>
    <row r="189" spans="1:74" ht="15" customHeight="1" thickBot="1">
      <c r="A189" s="1127"/>
      <c r="B189" s="1179"/>
      <c r="C189" s="1179"/>
      <c r="D189" s="2686" t="s">
        <v>5421</v>
      </c>
      <c r="E189" s="1179"/>
      <c r="F189" s="1179"/>
      <c r="G189" s="1179"/>
      <c r="H189" s="1179"/>
      <c r="I189" s="1179"/>
      <c r="J189" s="1179"/>
      <c r="K189" s="1179"/>
      <c r="L189" s="1179"/>
      <c r="M189" s="1179"/>
      <c r="N189" s="1179"/>
      <c r="O189" s="1179"/>
      <c r="P189" s="1179"/>
      <c r="Q189" s="1179"/>
      <c r="R189" s="1179"/>
      <c r="S189" s="1179"/>
      <c r="T189" s="1179"/>
      <c r="U189" s="1179"/>
      <c r="V189" s="1179"/>
      <c r="W189" s="1179"/>
      <c r="X189" s="1179"/>
      <c r="Y189" s="1179"/>
      <c r="Z189" s="1179"/>
      <c r="AA189" s="1179"/>
      <c r="AB189" s="1243" t="s">
        <v>1075</v>
      </c>
      <c r="AC189" s="8528">
        <v>50</v>
      </c>
      <c r="AD189" s="8529"/>
      <c r="AE189" s="8527" t="str">
        <f>IF(AM189&lt;&gt;"",ROUND(AM189,0),IF(OR(AM150,NOT(AM177)),"",SUM(AE181,AE186)))</f>
        <v/>
      </c>
      <c r="AF189" s="8527"/>
      <c r="AG189" s="8527"/>
      <c r="AH189" s="8527"/>
      <c r="AI189" s="8527"/>
      <c r="AJ189" s="8527"/>
      <c r="AK189" s="1127"/>
      <c r="AM189" s="1854"/>
      <c r="AO189" s="5845">
        <f>IF(AE189="",0,AE189)</f>
        <v>0</v>
      </c>
      <c r="BL189" s="1793"/>
      <c r="BM189" s="1793"/>
    </row>
    <row r="190" spans="1:74" ht="18.75" thickTop="1">
      <c r="A190" s="1127"/>
      <c r="B190" s="1358"/>
      <c r="C190" s="1358"/>
      <c r="D190" s="1358"/>
      <c r="E190" s="1358"/>
      <c r="F190" s="1358"/>
      <c r="G190" s="1358"/>
      <c r="H190" s="1358"/>
      <c r="I190" s="1358"/>
      <c r="J190" s="1358"/>
      <c r="K190" s="1358"/>
      <c r="L190" s="1358"/>
      <c r="M190" s="1358"/>
      <c r="N190" s="1358"/>
      <c r="O190" s="1358"/>
      <c r="P190" s="1358"/>
      <c r="Q190" s="1358"/>
      <c r="R190" s="1358"/>
      <c r="S190" s="1358"/>
      <c r="T190" s="1358"/>
      <c r="U190" s="1358"/>
      <c r="V190" s="1358"/>
      <c r="W190" s="1358"/>
      <c r="X190" s="1358"/>
      <c r="Y190" s="1358"/>
      <c r="Z190" s="1358"/>
      <c r="AA190" s="1358"/>
      <c r="AB190" s="1358"/>
      <c r="AC190" s="1358"/>
      <c r="AD190" s="1358"/>
      <c r="AE190" s="1358"/>
      <c r="AF190" s="1358"/>
      <c r="AG190" s="1358"/>
      <c r="AH190" s="4255" t="s">
        <v>3541</v>
      </c>
      <c r="AI190" s="1829"/>
      <c r="AJ190" s="4254" t="str">
        <f>"("&amp;TaxYear&amp;")"</f>
        <v>(2021)</v>
      </c>
      <c r="AK190" s="1127"/>
      <c r="AM190" s="5844" t="b">
        <f>OR(AO155&gt;0,AND(ForeignIncExclusion&lt;&gt;"",ForeignIncExclusion&gt;0),AND(ForeignHousingExclusion&lt;&gt;"",ForeignHousingExclusion&gt;0),AND(ForeignHousingDeduction&lt;&gt;"",ForeignHousingDeduction&gt;0))</f>
        <v>0</v>
      </c>
      <c r="AO190" s="1799"/>
      <c r="AP190" s="1800"/>
      <c r="BL190" s="1793"/>
      <c r="BM190" s="1793"/>
      <c r="BO190" s="1793"/>
      <c r="BP190" s="1793"/>
      <c r="BQ190" s="1793"/>
      <c r="BR190" s="1793"/>
      <c r="BS190" s="1793"/>
      <c r="BT190" s="1793"/>
      <c r="BU190" s="1793"/>
      <c r="BV190" s="1793"/>
    </row>
    <row r="191" spans="1:74">
      <c r="A191" s="1127"/>
      <c r="B191" s="1127"/>
      <c r="C191" s="1127"/>
      <c r="D191" s="1127"/>
      <c r="E191" s="1127"/>
      <c r="F191" s="1127"/>
      <c r="G191" s="1127"/>
      <c r="H191" s="1127"/>
      <c r="I191" s="1127"/>
      <c r="J191" s="1127"/>
      <c r="K191" s="1127"/>
      <c r="L191" s="1127"/>
      <c r="M191" s="1127"/>
      <c r="N191" s="1127"/>
      <c r="O191" s="1127"/>
      <c r="P191" s="1127"/>
      <c r="Q191" s="1127"/>
      <c r="R191" s="1127"/>
      <c r="S191" s="1127"/>
      <c r="T191" s="1127"/>
      <c r="U191" s="1127"/>
      <c r="V191" s="1127"/>
      <c r="W191" s="1127"/>
      <c r="X191" s="1127"/>
      <c r="Y191" s="1127"/>
      <c r="Z191" s="1127"/>
      <c r="AA191" s="1127"/>
      <c r="AB191" s="1127"/>
      <c r="AC191" s="1127"/>
      <c r="AD191" s="1127"/>
      <c r="AE191" s="1127"/>
      <c r="AF191" s="1127"/>
      <c r="AG191" s="1127"/>
      <c r="AH191" s="1127"/>
      <c r="AI191" s="1127"/>
      <c r="AJ191" s="1127"/>
      <c r="AK191" s="1127"/>
      <c r="BL191" s="1793"/>
      <c r="BM191" s="1793"/>
    </row>
    <row r="192" spans="1:74">
      <c r="BL192" s="1793"/>
      <c r="BM192" s="1793"/>
    </row>
    <row r="193" spans="64:65">
      <c r="BL193" s="1793"/>
      <c r="BM193" s="1793"/>
    </row>
    <row r="194" spans="64:65">
      <c r="BL194" s="1793"/>
      <c r="BM194" s="1793"/>
    </row>
    <row r="195" spans="64:65">
      <c r="BL195" s="1793"/>
      <c r="BM195" s="1793"/>
    </row>
    <row r="196" spans="64:65">
      <c r="BL196" s="1793"/>
      <c r="BM196" s="1793"/>
    </row>
    <row r="197" spans="64:65">
      <c r="BL197" s="1793"/>
      <c r="BM197" s="1793"/>
    </row>
    <row r="198" spans="64:65">
      <c r="BL198" s="1793"/>
      <c r="BM198" s="1793"/>
    </row>
    <row r="199" spans="64:65">
      <c r="BL199" s="1793"/>
      <c r="BM199" s="1793"/>
    </row>
    <row r="200" spans="64:65">
      <c r="BL200" s="1793"/>
      <c r="BM200" s="1793"/>
    </row>
    <row r="201" spans="64:65">
      <c r="BL201" s="1793"/>
      <c r="BM201" s="1793"/>
    </row>
    <row r="202" spans="64:65">
      <c r="BL202" s="1793"/>
      <c r="BM202" s="1793"/>
    </row>
    <row r="203" spans="64:65">
      <c r="BL203" s="1793"/>
      <c r="BM203" s="1793"/>
    </row>
    <row r="204" spans="64:65">
      <c r="BL204" s="1793"/>
      <c r="BM204" s="1793"/>
    </row>
    <row r="205" spans="64:65">
      <c r="BL205" s="1793"/>
      <c r="BM205" s="1793"/>
    </row>
    <row r="206" spans="64:65">
      <c r="BL206" s="1793"/>
      <c r="BM206" s="1793"/>
    </row>
    <row r="207" spans="64:65">
      <c r="BL207" s="1793"/>
      <c r="BM207" s="1793"/>
    </row>
    <row r="208" spans="64:65">
      <c r="BL208" s="1793"/>
      <c r="BM208" s="1793"/>
    </row>
    <row r="209" spans="64:65">
      <c r="BL209" s="1793"/>
      <c r="BM209" s="1793"/>
    </row>
    <row r="210" spans="64:65">
      <c r="BL210" s="1793"/>
      <c r="BM210" s="1793"/>
    </row>
    <row r="211" spans="64:65">
      <c r="BL211" s="1793"/>
      <c r="BM211" s="1793"/>
    </row>
    <row r="212" spans="64:65">
      <c r="BL212" s="1793"/>
      <c r="BM212" s="1793"/>
    </row>
    <row r="213" spans="64:65">
      <c r="BL213" s="1793"/>
      <c r="BM213" s="1793"/>
    </row>
    <row r="214" spans="64:65">
      <c r="BL214" s="1793"/>
      <c r="BM214" s="1793"/>
    </row>
    <row r="215" spans="64:65">
      <c r="BL215" s="1793"/>
      <c r="BM215" s="1793"/>
    </row>
    <row r="216" spans="64:65">
      <c r="BL216" s="1793"/>
      <c r="BM216" s="1793"/>
    </row>
    <row r="217" spans="64:65">
      <c r="BL217" s="1793"/>
      <c r="BM217" s="1793"/>
    </row>
    <row r="218" spans="64:65">
      <c r="BL218" s="1793"/>
      <c r="BM218" s="1793"/>
    </row>
    <row r="219" spans="64:65">
      <c r="BL219" s="1793"/>
      <c r="BM219" s="1793"/>
    </row>
    <row r="220" spans="64:65">
      <c r="BL220" s="1793"/>
      <c r="BM220" s="1793"/>
    </row>
    <row r="221" spans="64:65">
      <c r="BL221" s="1793"/>
      <c r="BM221" s="1793"/>
    </row>
    <row r="222" spans="64:65">
      <c r="BL222" s="1793"/>
      <c r="BM222" s="1793"/>
    </row>
    <row r="223" spans="64:65">
      <c r="BL223" s="1793"/>
      <c r="BM223" s="1793"/>
    </row>
    <row r="224" spans="64:65">
      <c r="BL224" s="1793"/>
      <c r="BM224" s="1793"/>
    </row>
    <row r="225" spans="64:65">
      <c r="BL225" s="1793"/>
      <c r="BM225" s="1793"/>
    </row>
    <row r="226" spans="64:65">
      <c r="BL226" s="1793"/>
      <c r="BM226" s="1793"/>
    </row>
    <row r="227" spans="64:65">
      <c r="BL227" s="1793"/>
      <c r="BM227" s="1793"/>
    </row>
    <row r="228" spans="64:65">
      <c r="BL228" s="1793"/>
      <c r="BM228" s="1793"/>
    </row>
    <row r="229" spans="64:65">
      <c r="BL229" s="1793"/>
      <c r="BM229" s="1793"/>
    </row>
    <row r="230" spans="64:65">
      <c r="BL230" s="1793"/>
      <c r="BM230" s="1793"/>
    </row>
    <row r="231" spans="64:65">
      <c r="BL231" s="1793"/>
      <c r="BM231" s="1793"/>
    </row>
    <row r="232" spans="64:65">
      <c r="BL232" s="1793"/>
      <c r="BM232" s="1793"/>
    </row>
    <row r="233" spans="64:65">
      <c r="BL233" s="1793"/>
      <c r="BM233" s="1793"/>
    </row>
    <row r="234" spans="64:65">
      <c r="BM234" s="1793"/>
    </row>
    <row r="235" spans="64:65">
      <c r="BM235" s="1793"/>
    </row>
  </sheetData>
  <sheetProtection algorithmName="SHA-512" hashValue="1Q4dh/0gs4McgCZ3ehGGl7mcyEfZ4/nvKXhrjKBCYOq5Oj6rco7XCHaECzndyVpYKr2SwMKJM0Pow5ouGmCGHw==" saltValue="GCQzGVNso9goBR2uKXK5GA==" spinCount="100000" sheet="1" objects="1" scenarios="1"/>
  <mergeCells count="344">
    <mergeCell ref="X161:Z161"/>
    <mergeCell ref="V161:W161"/>
    <mergeCell ref="AA61:AJ61"/>
    <mergeCell ref="B76:C76"/>
    <mergeCell ref="B77:C77"/>
    <mergeCell ref="B78:C78"/>
    <mergeCell ref="B87:C89"/>
    <mergeCell ref="B11:C11"/>
    <mergeCell ref="B37:C37"/>
    <mergeCell ref="B74:C74"/>
    <mergeCell ref="B132:C132"/>
    <mergeCell ref="F60:I60"/>
    <mergeCell ref="B57:E57"/>
    <mergeCell ref="F57:I57"/>
    <mergeCell ref="J57:M57"/>
    <mergeCell ref="N57:R57"/>
    <mergeCell ref="S57:V57"/>
    <mergeCell ref="AA57:AD57"/>
    <mergeCell ref="AE57:AJ57"/>
    <mergeCell ref="B58:E58"/>
    <mergeCell ref="F58:I58"/>
    <mergeCell ref="J58:M58"/>
    <mergeCell ref="N58:R58"/>
    <mergeCell ref="B140:C140"/>
    <mergeCell ref="B158:C158"/>
    <mergeCell ref="I6:AB6"/>
    <mergeCell ref="B13:X13"/>
    <mergeCell ref="Y13:AJ13"/>
    <mergeCell ref="I14:AJ14"/>
    <mergeCell ref="K15:AJ15"/>
    <mergeCell ref="K16:AJ16"/>
    <mergeCell ref="AC105:AD105"/>
    <mergeCell ref="AE105:AJ105"/>
    <mergeCell ref="AC106:AD106"/>
    <mergeCell ref="AE106:AF106"/>
    <mergeCell ref="B84:M84"/>
    <mergeCell ref="N84:R84"/>
    <mergeCell ref="S84:W84"/>
    <mergeCell ref="T76:Z76"/>
    <mergeCell ref="AD76:AJ76"/>
    <mergeCell ref="T63:AJ63"/>
    <mergeCell ref="AD6:AG6"/>
    <mergeCell ref="B9:X10"/>
    <mergeCell ref="Y9:AJ10"/>
    <mergeCell ref="R122:AA122"/>
    <mergeCell ref="D62:AJ62"/>
    <mergeCell ref="B60:E60"/>
    <mergeCell ref="W57:Z57"/>
    <mergeCell ref="D2:G3"/>
    <mergeCell ref="I2:AB3"/>
    <mergeCell ref="AC2:AJ2"/>
    <mergeCell ref="B3:C3"/>
    <mergeCell ref="AC3:AJ4"/>
    <mergeCell ref="I5:AB5"/>
    <mergeCell ref="AD5:AG5"/>
    <mergeCell ref="AH5:AI6"/>
    <mergeCell ref="I4:AB4"/>
    <mergeCell ref="AE56:AJ56"/>
    <mergeCell ref="D18:H20"/>
    <mergeCell ref="L40:T40"/>
    <mergeCell ref="Y40:AJ40"/>
    <mergeCell ref="T30:AJ30"/>
    <mergeCell ref="D31:AJ31"/>
    <mergeCell ref="B56:E56"/>
    <mergeCell ref="F56:I56"/>
    <mergeCell ref="M46:AJ46"/>
    <mergeCell ref="J56:M56"/>
    <mergeCell ref="N56:R56"/>
    <mergeCell ref="S56:V56"/>
    <mergeCell ref="W56:Z56"/>
    <mergeCell ref="AA56:AD56"/>
    <mergeCell ref="E38:AJ38"/>
    <mergeCell ref="B33:AJ33"/>
    <mergeCell ref="B34:AJ34"/>
    <mergeCell ref="AE60:AJ60"/>
    <mergeCell ref="AE58:AJ58"/>
    <mergeCell ref="B59:E59"/>
    <mergeCell ref="F59:I59"/>
    <mergeCell ref="J59:M59"/>
    <mergeCell ref="N59:R59"/>
    <mergeCell ref="S59:V59"/>
    <mergeCell ref="W59:Z59"/>
    <mergeCell ref="AA59:AD59"/>
    <mergeCell ref="AE59:AJ59"/>
    <mergeCell ref="J60:M60"/>
    <mergeCell ref="N60:R60"/>
    <mergeCell ref="S60:V60"/>
    <mergeCell ref="W60:Z60"/>
    <mergeCell ref="AA60:AD60"/>
    <mergeCell ref="S58:V58"/>
    <mergeCell ref="W58:Z58"/>
    <mergeCell ref="AA58:AD58"/>
    <mergeCell ref="AB83:AE83"/>
    <mergeCell ref="X83:AA83"/>
    <mergeCell ref="X82:AA82"/>
    <mergeCell ref="AB82:AE82"/>
    <mergeCell ref="AF82:AJ82"/>
    <mergeCell ref="N83:R83"/>
    <mergeCell ref="N82:R82"/>
    <mergeCell ref="B82:M82"/>
    <mergeCell ref="S82:W82"/>
    <mergeCell ref="B97:AB97"/>
    <mergeCell ref="AC97:AJ97"/>
    <mergeCell ref="AC98:AD98"/>
    <mergeCell ref="AC99:AD99"/>
    <mergeCell ref="S77:AJ77"/>
    <mergeCell ref="AE98:AJ98"/>
    <mergeCell ref="B86:M86"/>
    <mergeCell ref="N86:R86"/>
    <mergeCell ref="S86:W86"/>
    <mergeCell ref="X86:AA86"/>
    <mergeCell ref="AB86:AE86"/>
    <mergeCell ref="AF86:AJ86"/>
    <mergeCell ref="X84:AA84"/>
    <mergeCell ref="AB84:AE84"/>
    <mergeCell ref="AF84:AJ84"/>
    <mergeCell ref="B85:M85"/>
    <mergeCell ref="N85:R85"/>
    <mergeCell ref="S85:W85"/>
    <mergeCell ref="X85:AA85"/>
    <mergeCell ref="AB85:AE85"/>
    <mergeCell ref="AF85:AJ85"/>
    <mergeCell ref="S83:W83"/>
    <mergeCell ref="B83:M83"/>
    <mergeCell ref="AF83:AJ83"/>
    <mergeCell ref="AC101:AD101"/>
    <mergeCell ref="AE101:AF101"/>
    <mergeCell ref="AG101:AH101"/>
    <mergeCell ref="AI101:AJ101"/>
    <mergeCell ref="AC102:AD102"/>
    <mergeCell ref="AE102:AJ102"/>
    <mergeCell ref="AC100:AD100"/>
    <mergeCell ref="AE100:AJ100"/>
    <mergeCell ref="AE99:AF99"/>
    <mergeCell ref="AG99:AH99"/>
    <mergeCell ref="AI99:AJ99"/>
    <mergeCell ref="AG106:AH106"/>
    <mergeCell ref="AI106:AJ106"/>
    <mergeCell ref="AC107:AD107"/>
    <mergeCell ref="AE107:AJ107"/>
    <mergeCell ref="AC108:AD108"/>
    <mergeCell ref="AE108:AF108"/>
    <mergeCell ref="AG108:AH108"/>
    <mergeCell ref="AI108:AJ108"/>
    <mergeCell ref="AC103:AD103"/>
    <mergeCell ref="AE103:AF103"/>
    <mergeCell ref="AG103:AH103"/>
    <mergeCell ref="AI103:AJ103"/>
    <mergeCell ref="AC104:AD104"/>
    <mergeCell ref="AE104:AF104"/>
    <mergeCell ref="AG104:AH104"/>
    <mergeCell ref="AI104:AJ104"/>
    <mergeCell ref="U115:V115"/>
    <mergeCell ref="W115:AB115"/>
    <mergeCell ref="U114:V114"/>
    <mergeCell ref="W114:AB114"/>
    <mergeCell ref="U113:V113"/>
    <mergeCell ref="W113:AB113"/>
    <mergeCell ref="AC111:AD111"/>
    <mergeCell ref="AE111:AJ111"/>
    <mergeCell ref="AC109:AD109"/>
    <mergeCell ref="AE109:AJ109"/>
    <mergeCell ref="AC110:AD110"/>
    <mergeCell ref="AE110:AF110"/>
    <mergeCell ref="AG110:AH110"/>
    <mergeCell ref="AI110:AJ110"/>
    <mergeCell ref="P110:AA110"/>
    <mergeCell ref="D111:AA111"/>
    <mergeCell ref="U119:V119"/>
    <mergeCell ref="W119:AB119"/>
    <mergeCell ref="AC120:AD120"/>
    <mergeCell ref="AE120:AF120"/>
    <mergeCell ref="AG120:AH120"/>
    <mergeCell ref="AI120:AJ120"/>
    <mergeCell ref="U116:V116"/>
    <mergeCell ref="W116:AB116"/>
    <mergeCell ref="U117:V117"/>
    <mergeCell ref="W117:AB117"/>
    <mergeCell ref="U118:V118"/>
    <mergeCell ref="W118:X118"/>
    <mergeCell ref="Y118:Z118"/>
    <mergeCell ref="AA118:AB118"/>
    <mergeCell ref="AC123:AD123"/>
    <mergeCell ref="AE123:AJ123"/>
    <mergeCell ref="AC124:AD124"/>
    <mergeCell ref="AE124:AF124"/>
    <mergeCell ref="AG124:AH124"/>
    <mergeCell ref="AI124:AJ124"/>
    <mergeCell ref="AC121:AD121"/>
    <mergeCell ref="AE121:AJ121"/>
    <mergeCell ref="AC122:AD122"/>
    <mergeCell ref="AE122:AF122"/>
    <mergeCell ref="AG122:AH122"/>
    <mergeCell ref="AI122:AJ122"/>
    <mergeCell ref="AC127:AD127"/>
    <mergeCell ref="AE127:AJ127"/>
    <mergeCell ref="AC128:AD128"/>
    <mergeCell ref="AE128:AF128"/>
    <mergeCell ref="AG128:AH128"/>
    <mergeCell ref="AI128:AJ128"/>
    <mergeCell ref="AC125:AD125"/>
    <mergeCell ref="AE125:AJ125"/>
    <mergeCell ref="AC126:AD126"/>
    <mergeCell ref="AE126:AF126"/>
    <mergeCell ref="AG126:AH126"/>
    <mergeCell ref="AI126:AJ126"/>
    <mergeCell ref="AC149:AD149"/>
    <mergeCell ref="AE149:AF149"/>
    <mergeCell ref="AG149:AH149"/>
    <mergeCell ref="AI149:AJ149"/>
    <mergeCell ref="AC150:AD150"/>
    <mergeCell ref="AE150:AJ150"/>
    <mergeCell ref="AC148:AD148"/>
    <mergeCell ref="AE148:AJ148"/>
    <mergeCell ref="U146:V146"/>
    <mergeCell ref="AA146:AB146"/>
    <mergeCell ref="U147:V147"/>
    <mergeCell ref="AA147:AB147"/>
    <mergeCell ref="W147:Z147"/>
    <mergeCell ref="AE146:AJ146"/>
    <mergeCell ref="AG152:AH152"/>
    <mergeCell ref="AI152:AJ152"/>
    <mergeCell ref="AC153:AD153"/>
    <mergeCell ref="AH153:AJ153"/>
    <mergeCell ref="U151:V151"/>
    <mergeCell ref="W151:AB151"/>
    <mergeCell ref="AC151:AD151"/>
    <mergeCell ref="AE151:AF151"/>
    <mergeCell ref="AG151:AH151"/>
    <mergeCell ref="AI151:AJ151"/>
    <mergeCell ref="AC170:AD170"/>
    <mergeCell ref="AE170:AJ170"/>
    <mergeCell ref="AC171:AD171"/>
    <mergeCell ref="AE171:AF171"/>
    <mergeCell ref="AG171:AH171"/>
    <mergeCell ref="AI171:AJ171"/>
    <mergeCell ref="AC165:AD165"/>
    <mergeCell ref="AE165:AF165"/>
    <mergeCell ref="AC155:AD155"/>
    <mergeCell ref="AE155:AJ155"/>
    <mergeCell ref="AC159:AD159"/>
    <mergeCell ref="AE159:AJ159"/>
    <mergeCell ref="AC168:AD168"/>
    <mergeCell ref="AE168:AJ168"/>
    <mergeCell ref="AC166:AD166"/>
    <mergeCell ref="AE166:AJ166"/>
    <mergeCell ref="AC167:AD167"/>
    <mergeCell ref="AE167:AJ167"/>
    <mergeCell ref="AE158:AJ158"/>
    <mergeCell ref="AE156:AJ156"/>
    <mergeCell ref="AE160:AJ160"/>
    <mergeCell ref="AC173:AD173"/>
    <mergeCell ref="AE173:AF173"/>
    <mergeCell ref="AG173:AH173"/>
    <mergeCell ref="AI173:AJ173"/>
    <mergeCell ref="AC172:AD172"/>
    <mergeCell ref="AE172:AJ172"/>
    <mergeCell ref="AC174:AD174"/>
    <mergeCell ref="AE174:AJ174"/>
    <mergeCell ref="D176:AJ178"/>
    <mergeCell ref="AC179:AD179"/>
    <mergeCell ref="AE179:AJ179"/>
    <mergeCell ref="AC180:AD180"/>
    <mergeCell ref="AE180:AJ180"/>
    <mergeCell ref="AC181:AD181"/>
    <mergeCell ref="AE181:AJ181"/>
    <mergeCell ref="AC175:AD175"/>
    <mergeCell ref="AE175:AJ175"/>
    <mergeCell ref="AC182:AD182"/>
    <mergeCell ref="AE182:AF182"/>
    <mergeCell ref="AG182:AH182"/>
    <mergeCell ref="AI182:AJ182"/>
    <mergeCell ref="AC189:AD189"/>
    <mergeCell ref="AE189:AJ189"/>
    <mergeCell ref="AE183:AF183"/>
    <mergeCell ref="AG183:AH183"/>
    <mergeCell ref="AI183:AJ183"/>
    <mergeCell ref="AC184:AD184"/>
    <mergeCell ref="AE184:AF184"/>
    <mergeCell ref="AG184:AH184"/>
    <mergeCell ref="AI184:AJ184"/>
    <mergeCell ref="AC185:AD185"/>
    <mergeCell ref="AE185:AF185"/>
    <mergeCell ref="AG185:AH185"/>
    <mergeCell ref="AI185:AJ185"/>
    <mergeCell ref="AE186:AJ186"/>
    <mergeCell ref="AC183:AD183"/>
    <mergeCell ref="AC186:AD186"/>
    <mergeCell ref="AC187:AD187"/>
    <mergeCell ref="AE187:AF187"/>
    <mergeCell ref="AG187:AH187"/>
    <mergeCell ref="AI187:AJ187"/>
    <mergeCell ref="AC188:AD188"/>
    <mergeCell ref="AE188:AF188"/>
    <mergeCell ref="AG188:AH188"/>
    <mergeCell ref="AI188:AJ188"/>
    <mergeCell ref="AI133:AJ133"/>
    <mergeCell ref="G69:AJ69"/>
    <mergeCell ref="D70:AJ70"/>
    <mergeCell ref="AB20:AJ20"/>
    <mergeCell ref="Y21:AJ21"/>
    <mergeCell ref="AC24:AJ24"/>
    <mergeCell ref="O25:AJ25"/>
    <mergeCell ref="P29:AJ29"/>
    <mergeCell ref="AG165:AH165"/>
    <mergeCell ref="AI165:AJ165"/>
    <mergeCell ref="AC164:AD164"/>
    <mergeCell ref="AH164:AJ164"/>
    <mergeCell ref="AA161:AB161"/>
    <mergeCell ref="AC154:AD154"/>
    <mergeCell ref="AE154:AF154"/>
    <mergeCell ref="AG154:AH154"/>
    <mergeCell ref="AI154:AJ154"/>
    <mergeCell ref="D123:AA123"/>
    <mergeCell ref="T143:AA143"/>
    <mergeCell ref="AE147:AJ147"/>
    <mergeCell ref="V101:AA101"/>
    <mergeCell ref="D102:AA102"/>
    <mergeCell ref="AC152:AD152"/>
    <mergeCell ref="AE152:AF152"/>
    <mergeCell ref="B177:C177"/>
    <mergeCell ref="O118:S118"/>
    <mergeCell ref="D119:S119"/>
    <mergeCell ref="AE145:AJ145"/>
    <mergeCell ref="AC144:AD144"/>
    <mergeCell ref="AE144:AJ144"/>
    <mergeCell ref="AC145:AD145"/>
    <mergeCell ref="AC142:AD142"/>
    <mergeCell ref="AE142:AJ142"/>
    <mergeCell ref="AC143:AD143"/>
    <mergeCell ref="AE143:AF143"/>
    <mergeCell ref="AG143:AH143"/>
    <mergeCell ref="AI143:AJ143"/>
    <mergeCell ref="AC134:AD134"/>
    <mergeCell ref="AE134:AJ134"/>
    <mergeCell ref="AC141:AD141"/>
    <mergeCell ref="AE141:AF141"/>
    <mergeCell ref="AG141:AH141"/>
    <mergeCell ref="AI141:AJ141"/>
    <mergeCell ref="AC129:AD129"/>
    <mergeCell ref="AE129:AJ129"/>
    <mergeCell ref="AC133:AD133"/>
    <mergeCell ref="AE133:AF133"/>
    <mergeCell ref="AG133:AH133"/>
  </mergeCells>
  <conditionalFormatting sqref="B13">
    <cfRule type="expression" dxfId="1177" priority="171">
      <formula>IF(NoColor,1,0)</formula>
    </cfRule>
  </conditionalFormatting>
  <conditionalFormatting sqref="B57:B60 F57:F60 N57:N60">
    <cfRule type="expression" dxfId="1176" priority="146">
      <formula>IF(NoColor,1,0)</formula>
    </cfRule>
  </conditionalFormatting>
  <conditionalFormatting sqref="B83:B86">
    <cfRule type="expression" dxfId="1175" priority="109">
      <formula>IF(NoColor,1,0)</formula>
    </cfRule>
  </conditionalFormatting>
  <conditionalFormatting sqref="B9:X10">
    <cfRule type="expression" dxfId="1174" priority="156">
      <formula>IF(NoColor,1,0)</formula>
    </cfRule>
  </conditionalFormatting>
  <conditionalFormatting sqref="D31">
    <cfRule type="expression" dxfId="1173" priority="161">
      <formula>IF(NoColor,1,0)</formula>
    </cfRule>
  </conditionalFormatting>
  <conditionalFormatting sqref="D52:D53">
    <cfRule type="expression" dxfId="1172" priority="75">
      <formula>IF(AND($AE$49&lt;&gt;"",$AH$51&lt;&gt;""),1,0)</formula>
    </cfRule>
  </conditionalFormatting>
  <conditionalFormatting sqref="D62">
    <cfRule type="expression" dxfId="1171" priority="135">
      <formula>IF(NoColor,1,0)</formula>
    </cfRule>
  </conditionalFormatting>
  <conditionalFormatting sqref="D70">
    <cfRule type="expression" dxfId="1170" priority="76">
      <formula>IF(NoColor,1,0)</formula>
    </cfRule>
  </conditionalFormatting>
  <conditionalFormatting sqref="D102">
    <cfRule type="expression" dxfId="1169" priority="87">
      <formula>IF(NoColor,1,0)</formula>
    </cfRule>
  </conditionalFormatting>
  <conditionalFormatting sqref="D111">
    <cfRule type="expression" dxfId="1168" priority="85">
      <formula>IF(NoColor,1,0)</formula>
    </cfRule>
  </conditionalFormatting>
  <conditionalFormatting sqref="D119">
    <cfRule type="expression" dxfId="1167" priority="82">
      <formula>IF(NoColor,1,0)</formula>
    </cfRule>
  </conditionalFormatting>
  <conditionalFormatting sqref="D123">
    <cfRule type="expression" dxfId="1166" priority="80">
      <formula>IF(NoColor,1,0)</formula>
    </cfRule>
  </conditionalFormatting>
  <conditionalFormatting sqref="D136">
    <cfRule type="expression" dxfId="1165" priority="11">
      <formula>IF(NoColor,1,0)</formula>
    </cfRule>
  </conditionalFormatting>
  <conditionalFormatting sqref="D138">
    <cfRule type="expression" dxfId="1164" priority="10">
      <formula>IF(NoColor,1,0)</formula>
    </cfRule>
  </conditionalFormatting>
  <conditionalFormatting sqref="G69">
    <cfRule type="expression" dxfId="1163" priority="133">
      <formula>IF(NoColor,1,0)</formula>
    </cfRule>
  </conditionalFormatting>
  <conditionalFormatting sqref="I14">
    <cfRule type="expression" dxfId="1162" priority="170">
      <formula>IF(NoColor,1,0)</formula>
    </cfRule>
  </conditionalFormatting>
  <conditionalFormatting sqref="J57:J60">
    <cfRule type="expression" dxfId="1161" priority="155">
      <formula>IF(NoColor,1,0)</formula>
    </cfRule>
  </conditionalFormatting>
  <conditionalFormatting sqref="K15:K16">
    <cfRule type="expression" dxfId="1160" priority="168">
      <formula>IF(NoColor,1,0)</formula>
    </cfRule>
  </conditionalFormatting>
  <conditionalFormatting sqref="K18">
    <cfRule type="expression" dxfId="1159" priority="35">
      <formula>IF(NoColor,1,0)</formula>
    </cfRule>
  </conditionalFormatting>
  <conditionalFormatting sqref="K20">
    <cfRule type="expression" dxfId="1158" priority="32">
      <formula>IF(NoColor,1,0)</formula>
    </cfRule>
  </conditionalFormatting>
  <conditionalFormatting sqref="L40">
    <cfRule type="expression" dxfId="1157" priority="160">
      <formula>IF(NoColor,1,0)</formula>
    </cfRule>
  </conditionalFormatting>
  <conditionalFormatting sqref="M46">
    <cfRule type="expression" dxfId="1156" priority="157">
      <formula>IF(NoColor,1,0)</formula>
    </cfRule>
  </conditionalFormatting>
  <conditionalFormatting sqref="N83:N86">
    <cfRule type="expression" dxfId="1155" priority="99">
      <formula>IF(NoColor,1,0)</formula>
    </cfRule>
  </conditionalFormatting>
  <conditionalFormatting sqref="O25">
    <cfRule type="expression" dxfId="1154" priority="164">
      <formula>IF(NoColor,1,0)</formula>
    </cfRule>
  </conditionalFormatting>
  <conditionalFormatting sqref="O42">
    <cfRule type="expression" dxfId="1153" priority="25">
      <formula>IF(NoColor,1,0)</formula>
    </cfRule>
  </conditionalFormatting>
  <conditionalFormatting sqref="O44">
    <cfRule type="expression" dxfId="1152" priority="22">
      <formula>IF(NoColor,1,0)</formula>
    </cfRule>
  </conditionalFormatting>
  <conditionalFormatting sqref="O118">
    <cfRule type="expression" dxfId="1151" priority="83">
      <formula>IF(NoColor,1,0)</formula>
    </cfRule>
  </conditionalFormatting>
  <conditionalFormatting sqref="O159">
    <cfRule type="expression" dxfId="1150" priority="6">
      <formula>AND(NOT(NoColor),$AE$159&lt;&gt;$AE$160)</formula>
    </cfRule>
  </conditionalFormatting>
  <conditionalFormatting sqref="P29">
    <cfRule type="expression" dxfId="1149" priority="163">
      <formula>IF(NoColor,1,0)</formula>
    </cfRule>
  </conditionalFormatting>
  <conditionalFormatting sqref="P110">
    <cfRule type="expression" dxfId="1148" priority="84">
      <formula>IF(NoColor,1,0)</formula>
    </cfRule>
  </conditionalFormatting>
  <conditionalFormatting sqref="R122">
    <cfRule type="expression" dxfId="1147" priority="1">
      <formula>IF(NoColor,1,0)</formula>
    </cfRule>
  </conditionalFormatting>
  <conditionalFormatting sqref="S57:S60 W57:W60">
    <cfRule type="expression" dxfId="1146" priority="145">
      <formula>IF(NoColor,1,0)</formula>
    </cfRule>
  </conditionalFormatting>
  <conditionalFormatting sqref="S77">
    <cfRule type="expression" dxfId="1145" priority="127">
      <formula>IF(NoColor,1,0)</formula>
    </cfRule>
  </conditionalFormatting>
  <conditionalFormatting sqref="S83:S86">
    <cfRule type="expression" dxfId="1144" priority="97">
      <formula>IF(NoColor,1,0)</formula>
    </cfRule>
  </conditionalFormatting>
  <conditionalFormatting sqref="T30">
    <cfRule type="expression" dxfId="1143" priority="162">
      <formula>IF(NoColor,1,0)</formula>
    </cfRule>
  </conditionalFormatting>
  <conditionalFormatting sqref="T63">
    <cfRule type="expression" dxfId="1142" priority="134">
      <formula>IF(NoColor,1,0)</formula>
    </cfRule>
  </conditionalFormatting>
  <conditionalFormatting sqref="T76">
    <cfRule type="expression" dxfId="1141" priority="90">
      <formula>IF(NoColor,1,0)</formula>
    </cfRule>
  </conditionalFormatting>
  <conditionalFormatting sqref="T143">
    <cfRule type="expression" dxfId="1140" priority="77">
      <formula>IF(NoColor,1,0)</formula>
    </cfRule>
  </conditionalFormatting>
  <conditionalFormatting sqref="V18">
    <cfRule type="expression" dxfId="1139" priority="34">
      <formula>IF(NoColor,1,0)</formula>
    </cfRule>
  </conditionalFormatting>
  <conditionalFormatting sqref="V20">
    <cfRule type="expression" dxfId="1138" priority="31">
      <formula>IF(NoColor,1,0)</formula>
    </cfRule>
  </conditionalFormatting>
  <conditionalFormatting sqref="V42">
    <cfRule type="expression" dxfId="1137" priority="24">
      <formula>IF(NoColor,1,0)</formula>
    </cfRule>
  </conditionalFormatting>
  <conditionalFormatting sqref="V101">
    <cfRule type="expression" dxfId="1136" priority="86">
      <formula>IF(NoColor,1,0)</formula>
    </cfRule>
  </conditionalFormatting>
  <conditionalFormatting sqref="W147:Z147">
    <cfRule type="expression" dxfId="1135" priority="8">
      <formula>IF(NoColor,1,0)</formula>
    </cfRule>
  </conditionalFormatting>
  <conditionalFormatting sqref="W113:AB117">
    <cfRule type="expression" dxfId="1134" priority="74">
      <formula>IF(NoColor,1,0)</formula>
    </cfRule>
  </conditionalFormatting>
  <conditionalFormatting sqref="W119:AB119">
    <cfRule type="expression" dxfId="1133" priority="73">
      <formula>IF(NoColor,1,0)</formula>
    </cfRule>
  </conditionalFormatting>
  <conditionalFormatting sqref="W151:AB151">
    <cfRule type="expression" dxfId="1132" priority="52">
      <formula>IF(NoColor,1,0)</formula>
    </cfRule>
  </conditionalFormatting>
  <conditionalFormatting sqref="X83:X86">
    <cfRule type="expression" dxfId="1131" priority="104">
      <formula>IF(NoColor,1,0)</formula>
    </cfRule>
  </conditionalFormatting>
  <conditionalFormatting sqref="X161">
    <cfRule type="expression" dxfId="1130" priority="7">
      <formula>IF(NoColor,1,0)</formula>
    </cfRule>
  </conditionalFormatting>
  <conditionalFormatting sqref="Y9">
    <cfRule type="expression" dxfId="1129" priority="181">
      <formula>IF(NoColor,1,0)</formula>
    </cfRule>
  </conditionalFormatting>
  <conditionalFormatting sqref="Y13">
    <cfRule type="expression" dxfId="1128" priority="281">
      <formula>IF(NoColor,1,0)</formula>
    </cfRule>
  </conditionalFormatting>
  <conditionalFormatting sqref="Y21">
    <cfRule type="expression" dxfId="1127" priority="166">
      <formula>IF(NoColor,1,0)</formula>
    </cfRule>
  </conditionalFormatting>
  <conditionalFormatting sqref="Y40">
    <cfRule type="expression" dxfId="1126" priority="158">
      <formula>IF(NoColor,1,0)</formula>
    </cfRule>
  </conditionalFormatting>
  <conditionalFormatting sqref="AA22">
    <cfRule type="expression" dxfId="1125" priority="2">
      <formula>IF(NoColor,1,0)</formula>
    </cfRule>
  </conditionalFormatting>
  <conditionalFormatting sqref="AA57:AA61">
    <cfRule type="expression" dxfId="1124" priority="5">
      <formula>IF(NoColor,1,0)</formula>
    </cfRule>
  </conditionalFormatting>
  <conditionalFormatting sqref="AB20">
    <cfRule type="expression" dxfId="1123" priority="167">
      <formula>IF(NoColor,1,0)</formula>
    </cfRule>
  </conditionalFormatting>
  <conditionalFormatting sqref="AB83:AB86">
    <cfRule type="expression" dxfId="1122" priority="106">
      <formula>IF(NoColor,1,0)</formula>
    </cfRule>
  </conditionalFormatting>
  <conditionalFormatting sqref="AC24">
    <cfRule type="expression" dxfId="1121" priority="165">
      <formula>IF(NoColor,1,0)</formula>
    </cfRule>
  </conditionalFormatting>
  <conditionalFormatting sqref="AD18">
    <cfRule type="expression" dxfId="1120" priority="33">
      <formula>IF(NoColor,1,0)</formula>
    </cfRule>
  </conditionalFormatting>
  <conditionalFormatting sqref="AD76">
    <cfRule type="expression" dxfId="1119" priority="89">
      <formula>IF(NoColor,1,0)</formula>
    </cfRule>
  </conditionalFormatting>
  <conditionalFormatting sqref="AE23">
    <cfRule type="expression" dxfId="1118" priority="29">
      <formula>IF(NoColor,1,0)</formula>
    </cfRule>
  </conditionalFormatting>
  <conditionalFormatting sqref="AE27">
    <cfRule type="expression" dxfId="1117" priority="27">
      <formula>IF(NoColor,1,0)</formula>
    </cfRule>
  </conditionalFormatting>
  <conditionalFormatting sqref="AE42">
    <cfRule type="expression" dxfId="1116" priority="23">
      <formula>IF(NoColor,1,0)</formula>
    </cfRule>
  </conditionalFormatting>
  <conditionalFormatting sqref="AE45">
    <cfRule type="expression" dxfId="1115" priority="21">
      <formula>IF(NoColor,1,0)</formula>
    </cfRule>
  </conditionalFormatting>
  <conditionalFormatting sqref="AE49">
    <cfRule type="expression" dxfId="1114" priority="19">
      <formula>IF(NoColor,1,0)</formula>
    </cfRule>
  </conditionalFormatting>
  <conditionalFormatting sqref="AE51">
    <cfRule type="expression" dxfId="1113" priority="17">
      <formula>IF(NoColor,1,0)</formula>
    </cfRule>
  </conditionalFormatting>
  <conditionalFormatting sqref="AE57:AE60">
    <cfRule type="expression" dxfId="1112" priority="144">
      <formula>IF(NoColor,1,0)</formula>
    </cfRule>
  </conditionalFormatting>
  <conditionalFormatting sqref="AE65">
    <cfRule type="expression" dxfId="1111" priority="15">
      <formula>IF(NoColor,1,0)</formula>
    </cfRule>
  </conditionalFormatting>
  <conditionalFormatting sqref="AE67">
    <cfRule type="expression" dxfId="1110" priority="13">
      <formula>IF(NoColor,1,0)</formula>
    </cfRule>
  </conditionalFormatting>
  <conditionalFormatting sqref="AE98:AJ98">
    <cfRule type="expression" dxfId="1109" priority="72">
      <formula>IF(NoColor,1,0)</formula>
    </cfRule>
  </conditionalFormatting>
  <conditionalFormatting sqref="AE100:AJ100">
    <cfRule type="expression" dxfId="1108" priority="71">
      <formula>IF(NoColor,1,0)</formula>
    </cfRule>
  </conditionalFormatting>
  <conditionalFormatting sqref="AE102:AJ102">
    <cfRule type="expression" dxfId="1107" priority="70">
      <formula>IF(NoColor,1,0)</formula>
    </cfRule>
  </conditionalFormatting>
  <conditionalFormatting sqref="AE105:AJ105">
    <cfRule type="expression" dxfId="1106" priority="69">
      <formula>IF(NoColor,1,0)</formula>
    </cfRule>
  </conditionalFormatting>
  <conditionalFormatting sqref="AE107:AJ107">
    <cfRule type="expression" dxfId="1105" priority="68">
      <formula>IF(NoColor,1,0)</formula>
    </cfRule>
  </conditionalFormatting>
  <conditionalFormatting sqref="AE109:AJ109">
    <cfRule type="expression" dxfId="1104" priority="67">
      <formula>IF(NoColor,1,0)</formula>
    </cfRule>
  </conditionalFormatting>
  <conditionalFormatting sqref="AE111:AJ111">
    <cfRule type="expression" dxfId="1103" priority="66">
      <formula>IF(NoColor,1,0)</formula>
    </cfRule>
  </conditionalFormatting>
  <conditionalFormatting sqref="AE121:AJ121">
    <cfRule type="expression" dxfId="1102" priority="65">
      <formula>IF(NoColor,1,0)</formula>
    </cfRule>
  </conditionalFormatting>
  <conditionalFormatting sqref="AE123:AJ123">
    <cfRule type="expression" dxfId="1101" priority="64">
      <formula>IF(NoColor,1,0)</formula>
    </cfRule>
  </conditionalFormatting>
  <conditionalFormatting sqref="AE125:AJ125">
    <cfRule type="expression" dxfId="1100" priority="63">
      <formula>IF(NoColor,1,0)</formula>
    </cfRule>
  </conditionalFormatting>
  <conditionalFormatting sqref="AE127:AJ127">
    <cfRule type="expression" dxfId="1099" priority="62">
      <formula>IF(NoColor,1,0)</formula>
    </cfRule>
  </conditionalFormatting>
  <conditionalFormatting sqref="AE129:AJ129">
    <cfRule type="expression" dxfId="1098" priority="61">
      <formula>IF(NoColor,1,0)</formula>
    </cfRule>
  </conditionalFormatting>
  <conditionalFormatting sqref="AE134:AJ134">
    <cfRule type="expression" dxfId="1097" priority="57">
      <formula>IF(NoColor,1,0)</formula>
    </cfRule>
  </conditionalFormatting>
  <conditionalFormatting sqref="AE142:AJ142">
    <cfRule type="expression" dxfId="1096" priority="59">
      <formula>IF(NoColor,1,0)</formula>
    </cfRule>
  </conditionalFormatting>
  <conditionalFormatting sqref="AE144:AJ145">
    <cfRule type="expression" dxfId="1095" priority="56">
      <formula>IF(NoColor,1,0)</formula>
    </cfRule>
  </conditionalFormatting>
  <conditionalFormatting sqref="AE148:AJ148">
    <cfRule type="expression" dxfId="1094" priority="54">
      <formula>IF(NoColor,1,0)</formula>
    </cfRule>
  </conditionalFormatting>
  <conditionalFormatting sqref="AE150:AJ150">
    <cfRule type="expression" dxfId="1093" priority="53">
      <formula>IF(NoColor,1,0)</formula>
    </cfRule>
  </conditionalFormatting>
  <conditionalFormatting sqref="AE155:AJ155">
    <cfRule type="expression" dxfId="1092" priority="50">
      <formula>IF(NoColor,1,0)</formula>
    </cfRule>
  </conditionalFormatting>
  <conditionalFormatting sqref="AE159:AJ159">
    <cfRule type="expression" dxfId="1091" priority="49">
      <formula>IF(NoColor,1,0)</formula>
    </cfRule>
  </conditionalFormatting>
  <conditionalFormatting sqref="AE166:AJ168">
    <cfRule type="expression" dxfId="1090" priority="44">
      <formula>IF(NoColor,1,0)</formula>
    </cfRule>
  </conditionalFormatting>
  <conditionalFormatting sqref="AE170:AJ170">
    <cfRule type="expression" dxfId="1089" priority="43">
      <formula>IF(NoColor,1,0)</formula>
    </cfRule>
  </conditionalFormatting>
  <conditionalFormatting sqref="AE172:AJ172">
    <cfRule type="expression" dxfId="1088" priority="42">
      <formula>IF(NoColor,1,0)</formula>
    </cfRule>
  </conditionalFormatting>
  <conditionalFormatting sqref="AE175:AJ175">
    <cfRule type="expression" dxfId="1087" priority="41">
      <formula>IF(NoColor,1,0)</formula>
    </cfRule>
  </conditionalFormatting>
  <conditionalFormatting sqref="AE179:AJ181">
    <cfRule type="expression" dxfId="1086" priority="38">
      <formula>IF(NoColor,1,0)</formula>
    </cfRule>
  </conditionalFormatting>
  <conditionalFormatting sqref="AE186:AJ186">
    <cfRule type="expression" dxfId="1085" priority="37">
      <formula>IF(NoColor,1,0)</formula>
    </cfRule>
  </conditionalFormatting>
  <conditionalFormatting sqref="AE189:AJ189">
    <cfRule type="expression" dxfId="1084" priority="36">
      <formula>IF(NoColor,1,0)</formula>
    </cfRule>
  </conditionalFormatting>
  <conditionalFormatting sqref="AF83:AF86">
    <cfRule type="expression" dxfId="1083" priority="91">
      <formula>IF(NoColor,1,0)</formula>
    </cfRule>
  </conditionalFormatting>
  <conditionalFormatting sqref="AH23">
    <cfRule type="expression" dxfId="1082" priority="28">
      <formula>IF(NoColor,1,0)</formula>
    </cfRule>
  </conditionalFormatting>
  <conditionalFormatting sqref="AH27">
    <cfRule type="expression" dxfId="1081" priority="26">
      <formula>IF(NoColor,1,0)</formula>
    </cfRule>
  </conditionalFormatting>
  <conditionalFormatting sqref="AH45">
    <cfRule type="expression" dxfId="1080" priority="20">
      <formula>IF(NoColor,1,0)</formula>
    </cfRule>
  </conditionalFormatting>
  <conditionalFormatting sqref="AH49">
    <cfRule type="expression" dxfId="1079" priority="18">
      <formula>IF(NoColor,1,0)</formula>
    </cfRule>
  </conditionalFormatting>
  <conditionalFormatting sqref="AH51">
    <cfRule type="expression" dxfId="1078" priority="16">
      <formula>IF(NoColor,1,0)</formula>
    </cfRule>
  </conditionalFormatting>
  <conditionalFormatting sqref="AH65">
    <cfRule type="expression" dxfId="1077" priority="14">
      <formula>IF(NoColor,1,0)</formula>
    </cfRule>
  </conditionalFormatting>
  <conditionalFormatting sqref="AH67">
    <cfRule type="expression" dxfId="1076" priority="12">
      <formula>IF(NoColor,1,0)</formula>
    </cfRule>
  </conditionalFormatting>
  <conditionalFormatting sqref="AH153:AJ153">
    <cfRule type="expression" dxfId="1075" priority="51">
      <formula>IF(NoColor,1,0)</formula>
    </cfRule>
  </conditionalFormatting>
  <conditionalFormatting sqref="AH164:AJ164">
    <cfRule type="expression" dxfId="1074" priority="48">
      <formula>IF(NoColor,1,0)</formula>
    </cfRule>
  </conditionalFormatting>
  <conditionalFormatting sqref="BF28">
    <cfRule type="expression" dxfId="1073" priority="195">
      <formula>IF(NoColor,1,0)</formula>
    </cfRule>
  </conditionalFormatting>
  <conditionalFormatting sqref="BF31">
    <cfRule type="expression" dxfId="1072" priority="194">
      <formula>IF(NoColor,1,0)</formula>
    </cfRule>
  </conditionalFormatting>
  <conditionalFormatting sqref="BF35">
    <cfRule type="expression" dxfId="1071" priority="193">
      <formula>IF(NoColor,1,0)</formula>
    </cfRule>
  </conditionalFormatting>
  <conditionalFormatting sqref="BG23">
    <cfRule type="expression" dxfId="1070" priority="197">
      <formula>IF(NoColor,1,0)</formula>
    </cfRule>
  </conditionalFormatting>
  <conditionalFormatting sqref="BG42">
    <cfRule type="expression" dxfId="1069" priority="198">
      <formula>IF(NoColor,1,0)</formula>
    </cfRule>
  </conditionalFormatting>
  <conditionalFormatting sqref="BG44">
    <cfRule type="expression" dxfId="1068" priority="203">
      <formula>IF(NoColor,1,0)</formula>
    </cfRule>
  </conditionalFormatting>
  <pageMargins left="0.5" right="0.2" top="0.5" bottom="0.25" header="0" footer="0"/>
  <pageSetup scale="75" fitToHeight="0" orientation="portrait" r:id="rId1"/>
  <rowBreaks count="2" manualBreakCount="2">
    <brk id="71" min="1" max="35" man="1"/>
    <brk id="130" min="1" max="35"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K156"/>
  <sheetViews>
    <sheetView zoomScaleNormal="100" zoomScaleSheetLayoutView="100" workbookViewId="0"/>
  </sheetViews>
  <sheetFormatPr defaultColWidth="9.140625" defaultRowHeight="12.75"/>
  <cols>
    <col min="1" max="1" width="2.7109375" style="42" customWidth="1"/>
    <col min="2" max="2" width="5.140625" style="42" customWidth="1"/>
    <col min="3" max="3" width="3.28515625" style="42" customWidth="1"/>
    <col min="4" max="4" width="5.140625" style="42" customWidth="1"/>
    <col min="5" max="8" width="3.85546875" style="42" customWidth="1"/>
    <col min="9" max="15" width="4" style="42" customWidth="1"/>
    <col min="16" max="18" width="3.85546875" style="42" customWidth="1"/>
    <col min="19" max="19" width="5.42578125" style="42" customWidth="1"/>
    <col min="20" max="20" width="3.85546875" style="42" customWidth="1"/>
    <col min="21" max="21" width="5.42578125" style="42" customWidth="1"/>
    <col min="22" max="22" width="4.28515625" style="42" customWidth="1"/>
    <col min="23" max="24" width="4.7109375" style="42" customWidth="1"/>
    <col min="25" max="27" width="3.85546875" style="42" customWidth="1"/>
    <col min="28" max="28" width="4" style="42" customWidth="1"/>
    <col min="29" max="29" width="4.7109375" style="42" customWidth="1"/>
    <col min="30" max="31" width="4" style="42" customWidth="1"/>
    <col min="32" max="32" width="3.85546875" style="42" customWidth="1"/>
    <col min="33" max="33" width="6.5703125" style="42" customWidth="1"/>
    <col min="34" max="34" width="3.140625" style="42" customWidth="1"/>
    <col min="35" max="35" width="4" style="42" customWidth="1"/>
    <col min="36" max="36" width="2.7109375" style="42" customWidth="1"/>
    <col min="37" max="37" width="9.140625" style="42"/>
    <col min="38" max="38" width="2.85546875" style="42" customWidth="1"/>
    <col min="39" max="39" width="14.42578125" style="42" customWidth="1"/>
    <col min="40" max="40" width="3.28515625" style="42" customWidth="1"/>
    <col min="41" max="41" width="25.7109375" style="42" customWidth="1"/>
    <col min="42" max="43" width="9.140625" style="42"/>
    <col min="44" max="44" width="10.7109375" style="42" customWidth="1"/>
    <col min="45" max="45" width="12" style="42" customWidth="1"/>
    <col min="46" max="46" width="11.5703125" style="42" customWidth="1"/>
    <col min="47" max="47" width="11.42578125" style="42" customWidth="1"/>
    <col min="48" max="48" width="10.85546875" style="42" customWidth="1"/>
    <col min="49" max="50" width="9.140625" style="42"/>
    <col min="51" max="51" width="12" style="42" customWidth="1"/>
    <col min="52" max="52" width="4.140625" style="42" customWidth="1"/>
    <col min="53" max="61" width="10.7109375" style="2595" customWidth="1"/>
    <col min="62" max="62" width="4.140625" style="2595" customWidth="1"/>
    <col min="63" max="16384" width="9.140625" style="42"/>
  </cols>
  <sheetData>
    <row r="1" spans="1:63" s="3402" customFormat="1" ht="12" customHeight="1">
      <c r="A1" s="681"/>
      <c r="B1" s="681"/>
      <c r="C1" s="681"/>
      <c r="D1" s="681"/>
      <c r="E1" s="681"/>
      <c r="F1" s="681"/>
      <c r="G1" s="681"/>
      <c r="H1" s="681"/>
      <c r="I1" s="681"/>
      <c r="J1" s="681"/>
      <c r="K1" s="681"/>
      <c r="L1" s="681"/>
      <c r="M1" s="681"/>
      <c r="N1" s="681"/>
      <c r="O1" s="681"/>
      <c r="P1" s="681"/>
      <c r="Q1" s="681"/>
      <c r="R1" s="681"/>
      <c r="S1" s="681"/>
      <c r="T1" s="681"/>
      <c r="U1" s="681"/>
      <c r="V1" s="681"/>
      <c r="W1" s="681"/>
      <c r="X1" s="681"/>
      <c r="Y1" s="681"/>
      <c r="Z1" s="681"/>
      <c r="AA1" s="681"/>
      <c r="AB1" s="681"/>
      <c r="AC1" s="681"/>
      <c r="AD1" s="681"/>
      <c r="AE1" s="681"/>
      <c r="AF1" s="681"/>
      <c r="AG1" s="681"/>
      <c r="AH1" s="681"/>
      <c r="AI1" s="681"/>
      <c r="AJ1" s="681"/>
      <c r="AK1" s="681"/>
      <c r="AL1" s="1179"/>
      <c r="AM1" s="1179"/>
      <c r="AN1" s="1179"/>
      <c r="AO1" s="42"/>
      <c r="BA1" s="2595"/>
      <c r="BB1" s="2595"/>
      <c r="BC1" s="2595"/>
      <c r="BD1" s="2595"/>
      <c r="BE1" s="2595"/>
      <c r="BF1" s="2595"/>
      <c r="BG1" s="2595"/>
      <c r="BH1" s="2595"/>
      <c r="BI1" s="2595"/>
      <c r="BJ1" s="2595"/>
      <c r="BK1" s="42"/>
    </row>
    <row r="2" spans="1:63" s="3402" customFormat="1" ht="24" customHeight="1">
      <c r="A2" s="681"/>
      <c r="B2" s="1179"/>
      <c r="C2" s="1179"/>
      <c r="D2" s="8888" t="s">
        <v>4479</v>
      </c>
      <c r="E2" s="8889"/>
      <c r="F2" s="8889"/>
      <c r="G2" s="8889"/>
      <c r="H2" s="1244"/>
      <c r="I2" s="8890" t="s">
        <v>4480</v>
      </c>
      <c r="J2" s="6788"/>
      <c r="K2" s="6788"/>
      <c r="L2" s="6788"/>
      <c r="M2" s="6788"/>
      <c r="N2" s="6788"/>
      <c r="O2" s="6788"/>
      <c r="P2" s="6788"/>
      <c r="Q2" s="6788"/>
      <c r="R2" s="6788"/>
      <c r="S2" s="6788"/>
      <c r="T2" s="6788"/>
      <c r="U2" s="6788"/>
      <c r="V2" s="6788"/>
      <c r="W2" s="6788"/>
      <c r="X2" s="6788"/>
      <c r="Y2" s="6788"/>
      <c r="Z2" s="6788"/>
      <c r="AA2" s="6788"/>
      <c r="AB2" s="6789"/>
      <c r="AC2" s="8627" t="s">
        <v>4481</v>
      </c>
      <c r="AD2" s="8628"/>
      <c r="AE2" s="8628"/>
      <c r="AF2" s="8628"/>
      <c r="AG2" s="8628"/>
      <c r="AH2" s="8628"/>
      <c r="AI2" s="8628"/>
      <c r="AJ2" s="8628"/>
      <c r="AK2" s="681"/>
      <c r="AL2" s="1179"/>
      <c r="AM2" s="1179"/>
      <c r="AN2" s="1179"/>
      <c r="AO2" s="42"/>
      <c r="BA2" s="2595"/>
      <c r="BB2" s="2595"/>
      <c r="BC2" s="2595"/>
      <c r="BD2" s="2595"/>
      <c r="BE2" s="2595"/>
      <c r="BF2" s="2595"/>
      <c r="BG2" s="2595"/>
      <c r="BH2" s="2595"/>
      <c r="BI2" s="2595"/>
      <c r="BJ2" s="2595"/>
      <c r="BK2" s="42"/>
    </row>
    <row r="3" spans="1:63" s="3402" customFormat="1" ht="24" customHeight="1">
      <c r="A3" s="681"/>
      <c r="B3" s="8629" t="s">
        <v>291</v>
      </c>
      <c r="C3" s="6406"/>
      <c r="D3" s="8889"/>
      <c r="E3" s="8889"/>
      <c r="F3" s="8889"/>
      <c r="G3" s="8889"/>
      <c r="H3" s="1244"/>
      <c r="I3" s="8626"/>
      <c r="J3" s="6788"/>
      <c r="K3" s="6788"/>
      <c r="L3" s="6788"/>
      <c r="M3" s="6788"/>
      <c r="N3" s="6788"/>
      <c r="O3" s="6788"/>
      <c r="P3" s="6788"/>
      <c r="Q3" s="6788"/>
      <c r="R3" s="6788"/>
      <c r="S3" s="6788"/>
      <c r="T3" s="6788"/>
      <c r="U3" s="6788"/>
      <c r="V3" s="6788"/>
      <c r="W3" s="6788"/>
      <c r="X3" s="6788"/>
      <c r="Y3" s="6788"/>
      <c r="Z3" s="6788"/>
      <c r="AA3" s="6788"/>
      <c r="AB3" s="6789"/>
      <c r="AC3" s="8630">
        <f>TaxYear</f>
        <v>2021</v>
      </c>
      <c r="AD3" s="8631"/>
      <c r="AE3" s="8631"/>
      <c r="AF3" s="8631"/>
      <c r="AG3" s="8631"/>
      <c r="AH3" s="8631"/>
      <c r="AI3" s="8631"/>
      <c r="AJ3" s="8631"/>
      <c r="AK3" s="681"/>
      <c r="AL3" s="1179"/>
      <c r="AM3" s="1179"/>
      <c r="AN3" s="1179"/>
      <c r="AO3" s="1812" t="s">
        <v>4482</v>
      </c>
      <c r="AP3" s="4928"/>
      <c r="AQ3" s="4928"/>
      <c r="AR3" s="4928"/>
      <c r="AS3" s="4928"/>
      <c r="AT3" s="4928"/>
      <c r="AU3" s="4928"/>
      <c r="AV3" s="4928"/>
      <c r="AW3" s="4928"/>
      <c r="AX3" s="4928"/>
      <c r="AY3" s="4928"/>
      <c r="BA3" s="2595"/>
      <c r="BB3" s="2595"/>
      <c r="BC3" s="2595"/>
      <c r="BD3" s="2595"/>
      <c r="BE3" s="2595"/>
      <c r="BF3" s="2595"/>
      <c r="BG3" s="2595"/>
      <c r="BH3" s="2595"/>
      <c r="BI3" s="2595"/>
      <c r="BJ3" s="2595"/>
      <c r="BK3" s="42"/>
    </row>
    <row r="4" spans="1:63" s="3402" customFormat="1" ht="6.75" customHeight="1" thickBot="1">
      <c r="A4" s="681"/>
      <c r="B4" s="1179"/>
      <c r="C4" s="1179"/>
      <c r="D4" s="1179"/>
      <c r="E4" s="1179"/>
      <c r="F4" s="1179"/>
      <c r="G4" s="1179"/>
      <c r="H4" s="1244"/>
      <c r="I4" s="1547"/>
      <c r="J4" s="1548"/>
      <c r="K4" s="1548"/>
      <c r="L4" s="1548"/>
      <c r="M4" s="1548"/>
      <c r="N4" s="1548"/>
      <c r="O4" s="1548"/>
      <c r="P4" s="1548"/>
      <c r="Q4" s="1548"/>
      <c r="R4" s="1548"/>
      <c r="S4" s="1548"/>
      <c r="T4" s="1548"/>
      <c r="U4" s="1548"/>
      <c r="V4" s="1548"/>
      <c r="W4" s="1548"/>
      <c r="X4" s="1548"/>
      <c r="Y4" s="1548"/>
      <c r="Z4" s="1548"/>
      <c r="AA4" s="1548"/>
      <c r="AB4" s="1549"/>
      <c r="AC4" s="8632"/>
      <c r="AD4" s="8633"/>
      <c r="AE4" s="8633"/>
      <c r="AF4" s="8633"/>
      <c r="AG4" s="8633"/>
      <c r="AH4" s="8633"/>
      <c r="AI4" s="8633"/>
      <c r="AJ4" s="8633"/>
      <c r="AK4" s="681"/>
      <c r="AL4" s="1179"/>
      <c r="AM4" s="1179"/>
      <c r="AN4" s="1179"/>
      <c r="AO4" s="1179"/>
      <c r="AP4" s="3684"/>
      <c r="AQ4" s="3684"/>
      <c r="AR4" s="3684"/>
      <c r="AS4" s="3684"/>
      <c r="AT4" s="3684"/>
      <c r="AU4" s="3684"/>
      <c r="AV4" s="3684"/>
      <c r="AW4" s="3684"/>
      <c r="AX4" s="3684"/>
      <c r="AY4" s="3684"/>
      <c r="BA4" s="2595"/>
      <c r="BB4" s="2595"/>
      <c r="BC4" s="2595"/>
      <c r="BD4" s="2595"/>
      <c r="BE4" s="2595"/>
      <c r="BF4" s="2595"/>
      <c r="BG4" s="2595"/>
      <c r="BH4" s="2595"/>
      <c r="BI4" s="2595"/>
      <c r="BJ4" s="2595"/>
      <c r="BK4" s="42"/>
    </row>
    <row r="5" spans="1:63" s="3402" customFormat="1" ht="12.75" customHeight="1">
      <c r="A5" s="681"/>
      <c r="B5" s="1179" t="s">
        <v>176</v>
      </c>
      <c r="C5" s="1179"/>
      <c r="D5" s="1179"/>
      <c r="E5" s="1179"/>
      <c r="F5" s="1179"/>
      <c r="G5" s="1179"/>
      <c r="H5" s="1244"/>
      <c r="I5" s="8891" t="s">
        <v>3432</v>
      </c>
      <c r="J5" s="8892"/>
      <c r="K5" s="8892"/>
      <c r="L5" s="8892"/>
      <c r="M5" s="8892"/>
      <c r="N5" s="8892"/>
      <c r="O5" s="8892"/>
      <c r="P5" s="8892"/>
      <c r="Q5" s="8892"/>
      <c r="R5" s="8892"/>
      <c r="S5" s="8892"/>
      <c r="T5" s="8892"/>
      <c r="U5" s="8892"/>
      <c r="V5" s="8892"/>
      <c r="W5" s="8892"/>
      <c r="X5" s="8892"/>
      <c r="Y5" s="8892"/>
      <c r="Z5" s="8892"/>
      <c r="AA5" s="8892"/>
      <c r="AB5" s="8893"/>
      <c r="AC5" s="1278"/>
      <c r="AD5" s="8894" t="s">
        <v>781</v>
      </c>
      <c r="AE5" s="6665"/>
      <c r="AF5" s="6665"/>
      <c r="AG5" s="6665"/>
      <c r="AH5" s="7744">
        <v>179</v>
      </c>
      <c r="AI5" s="7744"/>
      <c r="AJ5" s="1179"/>
      <c r="AK5" s="681"/>
      <c r="AL5" s="1179"/>
      <c r="AM5" s="1179"/>
      <c r="AN5" s="1179"/>
      <c r="AO5" s="8885" t="s">
        <v>4483</v>
      </c>
      <c r="AP5" s="8868" t="s">
        <v>4484</v>
      </c>
      <c r="AQ5" s="8868" t="s">
        <v>4485</v>
      </c>
      <c r="AR5" s="8868" t="s">
        <v>4486</v>
      </c>
      <c r="AS5" s="8886" t="s">
        <v>4487</v>
      </c>
      <c r="AT5" s="8868" t="s">
        <v>4488</v>
      </c>
      <c r="AU5" s="8868" t="s">
        <v>4489</v>
      </c>
      <c r="AV5" s="8868" t="s">
        <v>4490</v>
      </c>
      <c r="AW5" s="8868" t="s">
        <v>4491</v>
      </c>
      <c r="AX5" s="8868" t="s">
        <v>4492</v>
      </c>
      <c r="AY5" s="8871" t="s">
        <v>4493</v>
      </c>
      <c r="BA5" s="2595"/>
      <c r="BB5" s="2595"/>
      <c r="BC5" s="2595"/>
      <c r="BD5" s="2595"/>
      <c r="BE5" s="2595"/>
      <c r="BF5" s="2595"/>
      <c r="BG5" s="2595"/>
      <c r="BH5" s="2595"/>
      <c r="BI5" s="2595"/>
      <c r="BJ5" s="2595"/>
      <c r="BK5" s="42"/>
    </row>
    <row r="6" spans="1:63" s="3402" customFormat="1" ht="13.5" customHeight="1" thickBot="1">
      <c r="A6" s="681"/>
      <c r="B6" s="1704" t="s">
        <v>4494</v>
      </c>
      <c r="C6" s="1280"/>
      <c r="D6" s="1280"/>
      <c r="E6" s="1280"/>
      <c r="F6" s="1280"/>
      <c r="G6" s="1280"/>
      <c r="H6" s="1281"/>
      <c r="I6" s="8873" t="s">
        <v>4495</v>
      </c>
      <c r="J6" s="8874"/>
      <c r="K6" s="8874"/>
      <c r="L6" s="8874"/>
      <c r="M6" s="8874"/>
      <c r="N6" s="8874"/>
      <c r="O6" s="8874"/>
      <c r="P6" s="8874"/>
      <c r="Q6" s="8874"/>
      <c r="R6" s="8874"/>
      <c r="S6" s="8874"/>
      <c r="T6" s="8874"/>
      <c r="U6" s="8874"/>
      <c r="V6" s="8874"/>
      <c r="W6" s="8874"/>
      <c r="X6" s="8874"/>
      <c r="Y6" s="8874"/>
      <c r="Z6" s="8874"/>
      <c r="AA6" s="8874"/>
      <c r="AB6" s="8875"/>
      <c r="AC6" s="1550"/>
      <c r="AD6" s="8876" t="s">
        <v>1128</v>
      </c>
      <c r="AE6" s="8877"/>
      <c r="AF6" s="8877"/>
      <c r="AG6" s="8877"/>
      <c r="AH6" s="8895"/>
      <c r="AI6" s="8895"/>
      <c r="AJ6" s="1280"/>
      <c r="AK6" s="681"/>
      <c r="AL6" s="1179"/>
      <c r="AM6" s="1179"/>
      <c r="AN6" s="1179"/>
      <c r="AO6" s="7130"/>
      <c r="AP6" s="8869"/>
      <c r="AQ6" s="8869"/>
      <c r="AR6" s="8869"/>
      <c r="AS6" s="7235"/>
      <c r="AT6" s="8869"/>
      <c r="AU6" s="8869"/>
      <c r="AV6" s="8869"/>
      <c r="AW6" s="8869"/>
      <c r="AX6" s="8869"/>
      <c r="AY6" s="7262"/>
      <c r="BA6" s="2595"/>
      <c r="BB6" s="2595"/>
      <c r="BC6" s="2595"/>
      <c r="BD6" s="2595"/>
      <c r="BE6" s="2595"/>
      <c r="BF6" s="2595"/>
      <c r="BG6" s="2595"/>
      <c r="BH6" s="2595"/>
      <c r="BI6" s="2595"/>
      <c r="BJ6" s="2595"/>
      <c r="BK6" s="42"/>
    </row>
    <row r="7" spans="1:63" s="3402" customFormat="1">
      <c r="A7" s="681"/>
      <c r="B7" s="1551" t="s">
        <v>1092</v>
      </c>
      <c r="C7" s="1551"/>
      <c r="D7" s="1551"/>
      <c r="E7" s="1551"/>
      <c r="F7" s="1551"/>
      <c r="G7" s="1551"/>
      <c r="H7" s="1551"/>
      <c r="I7" s="1551"/>
      <c r="J7" s="1551"/>
      <c r="K7" s="1551"/>
      <c r="L7" s="1551"/>
      <c r="M7" s="1551"/>
      <c r="N7" s="1551"/>
      <c r="O7" s="4929"/>
      <c r="P7" s="4930" t="s">
        <v>4496</v>
      </c>
      <c r="Q7" s="1551"/>
      <c r="R7" s="1551"/>
      <c r="S7" s="1551"/>
      <c r="T7" s="1551"/>
      <c r="U7" s="1551"/>
      <c r="V7" s="1551"/>
      <c r="W7" s="1551"/>
      <c r="X7" s="1551"/>
      <c r="Y7" s="1274"/>
      <c r="Z7" s="1274"/>
      <c r="AA7" s="1274"/>
      <c r="AB7" s="4931" t="s">
        <v>4497</v>
      </c>
      <c r="AC7" s="1274"/>
      <c r="AD7" s="4932"/>
      <c r="AE7" s="4932"/>
      <c r="AF7" s="4932"/>
      <c r="AG7" s="4932"/>
      <c r="AH7" s="4932"/>
      <c r="AI7" s="4932"/>
      <c r="AJ7" s="4932"/>
      <c r="AK7" s="681"/>
      <c r="AL7" s="1179"/>
      <c r="AM7" s="1179"/>
      <c r="AN7" s="1179"/>
      <c r="AO7" s="7130"/>
      <c r="AP7" s="8869"/>
      <c r="AQ7" s="8869"/>
      <c r="AR7" s="8869"/>
      <c r="AS7" s="7235"/>
      <c r="AT7" s="8869"/>
      <c r="AU7" s="8869"/>
      <c r="AV7" s="8869"/>
      <c r="AW7" s="8869"/>
      <c r="AX7" s="8869"/>
      <c r="AY7" s="7262"/>
      <c r="BA7" s="2595"/>
      <c r="BB7" s="2595"/>
      <c r="BC7" s="2595"/>
      <c r="BD7" s="2595"/>
      <c r="BE7" s="2595"/>
      <c r="BF7" s="2595"/>
      <c r="BG7" s="2595"/>
      <c r="BH7" s="2595"/>
      <c r="BI7" s="2595"/>
      <c r="BJ7" s="2595"/>
      <c r="BK7" s="42"/>
    </row>
    <row r="8" spans="1:63" s="3402" customFormat="1" ht="17.25" customHeight="1">
      <c r="A8" s="681"/>
      <c r="B8" s="8878" t="str">
        <f>Names</f>
        <v/>
      </c>
      <c r="C8" s="8878"/>
      <c r="D8" s="8878"/>
      <c r="E8" s="8878"/>
      <c r="F8" s="8878"/>
      <c r="G8" s="8878"/>
      <c r="H8" s="8878"/>
      <c r="I8" s="8878"/>
      <c r="J8" s="8878"/>
      <c r="K8" s="8878"/>
      <c r="L8" s="8878"/>
      <c r="M8" s="8878"/>
      <c r="N8" s="8878"/>
      <c r="O8" s="8879"/>
      <c r="P8" s="8880"/>
      <c r="Q8" s="8881"/>
      <c r="R8" s="8881"/>
      <c r="S8" s="8881"/>
      <c r="T8" s="8881"/>
      <c r="U8" s="8881"/>
      <c r="V8" s="8881"/>
      <c r="W8" s="8881"/>
      <c r="X8" s="8881"/>
      <c r="Y8" s="8881"/>
      <c r="Z8" s="8881"/>
      <c r="AA8" s="8882"/>
      <c r="AB8" s="8883"/>
      <c r="AC8" s="8884"/>
      <c r="AD8" s="8884"/>
      <c r="AE8" s="8884"/>
      <c r="AF8" s="8884"/>
      <c r="AG8" s="8884"/>
      <c r="AH8" s="8884"/>
      <c r="AI8" s="8884"/>
      <c r="AJ8" s="8884"/>
      <c r="AK8" s="681"/>
      <c r="AL8" s="1179"/>
      <c r="AM8" s="1179"/>
      <c r="AN8" s="1179"/>
      <c r="AO8" s="7130"/>
      <c r="AP8" s="8869"/>
      <c r="AQ8" s="8869"/>
      <c r="AR8" s="8869"/>
      <c r="AS8" s="7235"/>
      <c r="AT8" s="8869"/>
      <c r="AU8" s="8869"/>
      <c r="AV8" s="8869"/>
      <c r="AW8" s="8869"/>
      <c r="AX8" s="8869"/>
      <c r="AY8" s="7262"/>
      <c r="BA8" s="2595"/>
      <c r="BB8" s="2595"/>
      <c r="BC8" s="2595"/>
      <c r="BD8" s="2595"/>
      <c r="BE8" s="2595"/>
      <c r="BF8" s="2595"/>
      <c r="BG8" s="2595"/>
      <c r="BH8" s="2595"/>
      <c r="BI8" s="2595"/>
      <c r="BJ8" s="2595"/>
      <c r="BK8" s="42"/>
    </row>
    <row r="9" spans="1:63" s="4381" customFormat="1" ht="15.75" customHeight="1">
      <c r="A9" s="4353"/>
      <c r="B9" s="6586" t="s">
        <v>51</v>
      </c>
      <c r="C9" s="8867"/>
      <c r="D9" s="4933"/>
      <c r="E9" s="4934" t="s">
        <v>4498</v>
      </c>
      <c r="F9" s="4935"/>
      <c r="G9" s="4935"/>
      <c r="H9" s="4935"/>
      <c r="I9" s="4935"/>
      <c r="J9" s="4935"/>
      <c r="K9" s="4935"/>
      <c r="L9" s="4935"/>
      <c r="M9" s="4935"/>
      <c r="N9" s="4935"/>
      <c r="O9" s="4935"/>
      <c r="P9" s="4935"/>
      <c r="Q9" s="4935"/>
      <c r="R9" s="4935"/>
      <c r="S9" s="4935"/>
      <c r="T9" s="4935"/>
      <c r="U9" s="4935"/>
      <c r="V9" s="4935"/>
      <c r="W9" s="4935"/>
      <c r="X9" s="4935"/>
      <c r="Y9" s="4935"/>
      <c r="Z9" s="4935"/>
      <c r="AA9" s="4935"/>
      <c r="AB9" s="4935"/>
      <c r="AC9" s="4935"/>
      <c r="AD9" s="4935"/>
      <c r="AE9" s="4935"/>
      <c r="AF9" s="4935"/>
      <c r="AG9" s="4935"/>
      <c r="AH9" s="4935"/>
      <c r="AI9" s="4936"/>
      <c r="AJ9" s="4936"/>
      <c r="AK9" s="4353"/>
      <c r="AL9" s="1179"/>
      <c r="AM9" s="1179"/>
      <c r="AN9" s="1179"/>
      <c r="AO9" s="7089"/>
      <c r="AP9" s="8870"/>
      <c r="AQ9" s="8870"/>
      <c r="AR9" s="8870"/>
      <c r="AS9" s="8887"/>
      <c r="AT9" s="8870"/>
      <c r="AU9" s="8870"/>
      <c r="AV9" s="8870"/>
      <c r="AW9" s="8870"/>
      <c r="AX9" s="8870"/>
      <c r="AY9" s="8872"/>
      <c r="BA9" s="2595"/>
      <c r="BB9" s="2595"/>
      <c r="BC9" s="2595"/>
      <c r="BD9" s="2595"/>
      <c r="BE9" s="2595"/>
      <c r="BF9" s="2595"/>
      <c r="BG9" s="2595"/>
      <c r="BH9" s="2595"/>
      <c r="BI9" s="2595"/>
      <c r="BJ9" s="2595"/>
      <c r="BK9" s="4355"/>
    </row>
    <row r="10" spans="1:63" s="4381" customFormat="1" ht="15.75" customHeight="1">
      <c r="A10" s="4353"/>
      <c r="B10" s="4937"/>
      <c r="C10" s="4937"/>
      <c r="D10" s="4938"/>
      <c r="E10" s="4939" t="s">
        <v>4499</v>
      </c>
      <c r="F10" s="4937"/>
      <c r="G10" s="4937"/>
      <c r="H10" s="4937"/>
      <c r="I10" s="4937"/>
      <c r="J10" s="4937"/>
      <c r="K10" s="4937"/>
      <c r="L10" s="4937"/>
      <c r="M10" s="4937"/>
      <c r="N10" s="4937"/>
      <c r="O10" s="4937"/>
      <c r="P10" s="4937"/>
      <c r="Q10" s="4937"/>
      <c r="R10" s="4937"/>
      <c r="S10" s="4937"/>
      <c r="T10" s="4937"/>
      <c r="U10" s="4937"/>
      <c r="V10" s="4937"/>
      <c r="W10" s="4937"/>
      <c r="X10" s="4937"/>
      <c r="Y10" s="4937"/>
      <c r="Z10" s="4937"/>
      <c r="AA10" s="4937"/>
      <c r="AB10" s="4937"/>
      <c r="AC10" s="4937"/>
      <c r="AD10" s="4937"/>
      <c r="AE10" s="4937"/>
      <c r="AF10" s="4937"/>
      <c r="AG10" s="4937"/>
      <c r="AH10" s="4937"/>
      <c r="AI10" s="4940"/>
      <c r="AJ10" s="4940"/>
      <c r="AK10" s="4353"/>
      <c r="AL10" s="1179"/>
      <c r="AM10" s="1179"/>
      <c r="AN10" s="1179"/>
      <c r="AO10" s="4941"/>
      <c r="AP10" s="4942"/>
      <c r="AQ10" s="4942"/>
      <c r="AR10" s="4942"/>
      <c r="AS10" s="4942"/>
      <c r="AT10" s="4942"/>
      <c r="AU10" s="4942"/>
      <c r="AV10" s="4942"/>
      <c r="AW10" s="4942"/>
      <c r="AX10" s="4942"/>
      <c r="AY10" s="4943"/>
      <c r="BA10" s="2595"/>
      <c r="BB10" s="2595"/>
      <c r="BC10" s="2595"/>
      <c r="BD10" s="2595"/>
      <c r="BE10" s="2595"/>
      <c r="BF10" s="2595"/>
      <c r="BG10" s="2595"/>
      <c r="BH10" s="2595"/>
      <c r="BI10" s="2595"/>
      <c r="BJ10" s="2595"/>
      <c r="BK10" s="4355"/>
    </row>
    <row r="11" spans="1:63" s="3402" customFormat="1" ht="15.75" customHeight="1">
      <c r="A11" s="681"/>
      <c r="B11" s="2974">
        <v>1</v>
      </c>
      <c r="C11" s="3084" t="s">
        <v>4500</v>
      </c>
      <c r="D11" s="3084"/>
      <c r="E11" s="1276"/>
      <c r="F11" s="1276"/>
      <c r="G11" s="1276"/>
      <c r="H11" s="1276"/>
      <c r="I11" s="1276"/>
      <c r="J11" s="1276"/>
      <c r="K11" s="1276"/>
      <c r="L11" s="1276"/>
      <c r="M11" s="1276"/>
      <c r="N11" s="1276"/>
      <c r="O11" s="1276"/>
      <c r="P11" s="1276"/>
      <c r="Q11" s="1276"/>
      <c r="R11" s="1276"/>
      <c r="S11" s="1276"/>
      <c r="T11" s="1276"/>
      <c r="U11" s="1276"/>
      <c r="V11" s="1276"/>
      <c r="W11" s="1276"/>
      <c r="X11" s="1276"/>
      <c r="Y11" s="1276"/>
      <c r="Z11" s="1276"/>
      <c r="AA11" s="1560" t="s">
        <v>2422</v>
      </c>
      <c r="AB11" s="8778">
        <v>1</v>
      </c>
      <c r="AC11" s="8797"/>
      <c r="AD11" s="6575"/>
      <c r="AE11" s="6576"/>
      <c r="AF11" s="6576"/>
      <c r="AG11" s="6576"/>
      <c r="AH11" s="6576"/>
      <c r="AI11" s="6576"/>
      <c r="AJ11" s="6576"/>
      <c r="AK11" s="681"/>
      <c r="AL11" s="1179"/>
      <c r="AM11" s="1179"/>
      <c r="AN11" s="1179"/>
      <c r="AO11" s="4941"/>
      <c r="AP11" s="4942"/>
      <c r="AQ11" s="4942"/>
      <c r="AR11" s="4942"/>
      <c r="AS11" s="4942"/>
      <c r="AT11" s="4942"/>
      <c r="AU11" s="4942"/>
      <c r="AV11" s="4942"/>
      <c r="AW11" s="4942"/>
      <c r="AX11" s="4942"/>
      <c r="AY11" s="4943"/>
      <c r="BA11" s="2595"/>
      <c r="BB11" s="2595"/>
      <c r="BC11" s="2595"/>
      <c r="BD11" s="2595"/>
      <c r="BE11" s="2595"/>
      <c r="BF11" s="2595"/>
      <c r="BG11" s="2595"/>
      <c r="BH11" s="2595"/>
      <c r="BI11" s="2595"/>
      <c r="BJ11" s="2595"/>
      <c r="BK11" s="42"/>
    </row>
    <row r="12" spans="1:63" s="3402" customFormat="1" ht="15.75" customHeight="1">
      <c r="A12" s="681"/>
      <c r="B12" s="2974">
        <v>2</v>
      </c>
      <c r="C12" s="3080" t="s">
        <v>4501</v>
      </c>
      <c r="D12" s="1276"/>
      <c r="E12" s="1276"/>
      <c r="F12" s="1276"/>
      <c r="G12" s="1276"/>
      <c r="H12" s="1276"/>
      <c r="I12" s="1276"/>
      <c r="J12" s="1276"/>
      <c r="K12" s="1276"/>
      <c r="L12" s="1276"/>
      <c r="M12" s="1276"/>
      <c r="N12" s="1276"/>
      <c r="O12" s="1276"/>
      <c r="P12" s="1276"/>
      <c r="Q12" s="1276"/>
      <c r="R12" s="1276"/>
      <c r="S12" s="1276"/>
      <c r="T12" s="1276"/>
      <c r="U12" s="1276"/>
      <c r="V12" s="1276"/>
      <c r="W12" s="1276"/>
      <c r="X12" s="1276"/>
      <c r="Y12" s="1276"/>
      <c r="Z12" s="1276"/>
      <c r="AA12" s="1560" t="s">
        <v>1625</v>
      </c>
      <c r="AB12" s="8778">
        <v>2</v>
      </c>
      <c r="AC12" s="8797"/>
      <c r="AD12" s="6575"/>
      <c r="AE12" s="6576"/>
      <c r="AF12" s="6576"/>
      <c r="AG12" s="6576"/>
      <c r="AH12" s="6576"/>
      <c r="AI12" s="6576"/>
      <c r="AJ12" s="6576"/>
      <c r="AK12" s="681"/>
      <c r="AL12" s="1179"/>
      <c r="AM12" s="1179"/>
      <c r="AN12" s="1179"/>
      <c r="AO12" s="4941"/>
      <c r="AP12" s="4942"/>
      <c r="AQ12" s="4942"/>
      <c r="AR12" s="4942"/>
      <c r="AS12" s="4942"/>
      <c r="AT12" s="4942"/>
      <c r="AU12" s="4942"/>
      <c r="AV12" s="4942"/>
      <c r="AW12" s="4942"/>
      <c r="AX12" s="4942"/>
      <c r="AY12" s="4943"/>
      <c r="BA12" s="2595"/>
      <c r="BB12" s="2595"/>
      <c r="BC12" s="2595"/>
      <c r="BD12" s="2595"/>
      <c r="BE12" s="2595"/>
      <c r="BF12" s="2595"/>
      <c r="BG12" s="2595"/>
      <c r="BH12" s="2595"/>
      <c r="BI12" s="2595"/>
      <c r="BJ12" s="2595"/>
      <c r="BK12" s="42"/>
    </row>
    <row r="13" spans="1:63" s="3402" customFormat="1" ht="15.75" customHeight="1">
      <c r="A13" s="681"/>
      <c r="B13" s="2974">
        <v>3</v>
      </c>
      <c r="C13" s="4944" t="s">
        <v>4502</v>
      </c>
      <c r="D13" s="2686"/>
      <c r="E13" s="1276"/>
      <c r="F13" s="1276"/>
      <c r="G13" s="1276"/>
      <c r="H13" s="1276"/>
      <c r="I13" s="1276"/>
      <c r="J13" s="1276"/>
      <c r="K13" s="1276"/>
      <c r="L13" s="1276"/>
      <c r="M13" s="1276"/>
      <c r="N13" s="1276"/>
      <c r="O13" s="1276"/>
      <c r="P13" s="1276"/>
      <c r="Q13" s="1276"/>
      <c r="R13" s="1276"/>
      <c r="S13" s="1276"/>
      <c r="T13" s="1276"/>
      <c r="U13" s="1276"/>
      <c r="V13" s="1276"/>
      <c r="W13" s="1276"/>
      <c r="X13" s="1276"/>
      <c r="Y13" s="1276"/>
      <c r="Z13" s="1276"/>
      <c r="AA13" s="1560" t="s">
        <v>1978</v>
      </c>
      <c r="AB13" s="8778">
        <v>3</v>
      </c>
      <c r="AC13" s="8797"/>
      <c r="AD13" s="6575"/>
      <c r="AE13" s="6576"/>
      <c r="AF13" s="6576"/>
      <c r="AG13" s="6576"/>
      <c r="AH13" s="6576"/>
      <c r="AI13" s="6576"/>
      <c r="AJ13" s="6576"/>
      <c r="AK13" s="681"/>
      <c r="AL13" s="1179"/>
      <c r="AM13" s="1179"/>
      <c r="AN13" s="1179"/>
      <c r="AO13" s="4941"/>
      <c r="AP13" s="4942"/>
      <c r="AQ13" s="4942"/>
      <c r="AR13" s="4942"/>
      <c r="AS13" s="4942"/>
      <c r="AT13" s="4942"/>
      <c r="AU13" s="4942"/>
      <c r="AV13" s="4942"/>
      <c r="AW13" s="4942"/>
      <c r="AX13" s="4942"/>
      <c r="AY13" s="4943"/>
      <c r="BA13" s="2595"/>
      <c r="BB13" s="2595"/>
      <c r="BC13" s="2595"/>
      <c r="BD13" s="2595"/>
      <c r="BE13" s="2595"/>
      <c r="BF13" s="2595"/>
      <c r="BG13" s="2595"/>
      <c r="BH13" s="2595"/>
      <c r="BI13" s="2595"/>
      <c r="BJ13" s="2595"/>
      <c r="BK13" s="42"/>
    </row>
    <row r="14" spans="1:63" s="3402" customFormat="1" ht="15.75" customHeight="1">
      <c r="A14" s="681"/>
      <c r="B14" s="2974">
        <v>4</v>
      </c>
      <c r="C14" s="4944" t="s">
        <v>4503</v>
      </c>
      <c r="D14" s="2686"/>
      <c r="E14" s="1276"/>
      <c r="F14" s="1276"/>
      <c r="G14" s="1276"/>
      <c r="H14" s="1276"/>
      <c r="I14" s="1276"/>
      <c r="J14" s="1276"/>
      <c r="K14" s="1276"/>
      <c r="L14" s="1276"/>
      <c r="M14" s="1276"/>
      <c r="N14" s="1276"/>
      <c r="O14" s="1276"/>
      <c r="P14" s="1276"/>
      <c r="Q14" s="1276"/>
      <c r="R14" s="1276"/>
      <c r="S14" s="4945"/>
      <c r="T14" s="1276"/>
      <c r="U14" s="1276"/>
      <c r="V14" s="1276"/>
      <c r="W14" s="4485"/>
      <c r="X14" s="4946"/>
      <c r="Y14" s="4946"/>
      <c r="Z14" s="4946"/>
      <c r="AA14" s="1560" t="s">
        <v>2401</v>
      </c>
      <c r="AB14" s="8778">
        <v>4</v>
      </c>
      <c r="AC14" s="8797"/>
      <c r="AD14" s="6626" t="str">
        <f>IF(AND(AD12="",AD13=""),"",MAX(0,SUM(AD12,-AD13)))</f>
        <v/>
      </c>
      <c r="AE14" s="6627"/>
      <c r="AF14" s="6627"/>
      <c r="AG14" s="6627"/>
      <c r="AH14" s="6627"/>
      <c r="AI14" s="6627"/>
      <c r="AJ14" s="6627"/>
      <c r="AK14" s="681"/>
      <c r="AL14" s="1179"/>
      <c r="AM14" s="24" t="s">
        <v>90</v>
      </c>
      <c r="AN14" s="1179"/>
      <c r="AO14" s="4941"/>
      <c r="AP14" s="4942"/>
      <c r="AQ14" s="4942"/>
      <c r="AR14" s="4942"/>
      <c r="AS14" s="4942"/>
      <c r="AT14" s="4942"/>
      <c r="AU14" s="4942"/>
      <c r="AV14" s="4942"/>
      <c r="AW14" s="4942"/>
      <c r="AX14" s="4942"/>
      <c r="AY14" s="4943"/>
      <c r="BA14" s="2595"/>
      <c r="BB14" s="2595"/>
      <c r="BC14" s="2595"/>
      <c r="BD14" s="2595"/>
      <c r="BE14" s="2595"/>
      <c r="BF14" s="2595"/>
      <c r="BG14" s="2595"/>
      <c r="BH14" s="2595"/>
      <c r="BI14" s="2595"/>
      <c r="BJ14" s="2595"/>
      <c r="BK14" s="42"/>
    </row>
    <row r="15" spans="1:63" s="3402" customFormat="1" ht="15.75" customHeight="1" thickBot="1">
      <c r="A15" s="681"/>
      <c r="B15" s="2974">
        <v>5</v>
      </c>
      <c r="C15" s="4944" t="s">
        <v>4504</v>
      </c>
      <c r="D15" s="2686"/>
      <c r="E15" s="1276"/>
      <c r="F15" s="1276"/>
      <c r="G15" s="1276"/>
      <c r="H15" s="1276"/>
      <c r="I15" s="1276"/>
      <c r="J15" s="1276"/>
      <c r="K15" s="2065"/>
      <c r="L15" s="4945"/>
      <c r="M15" s="4947"/>
      <c r="N15" s="2065"/>
      <c r="O15" s="2065"/>
      <c r="P15" s="2065"/>
      <c r="Q15" s="2065"/>
      <c r="R15" s="2065"/>
      <c r="S15" s="1276"/>
      <c r="T15" s="1276"/>
      <c r="U15" s="1276"/>
      <c r="V15" s="2065"/>
      <c r="W15" s="4485"/>
      <c r="X15" s="4948"/>
      <c r="Y15" s="4949"/>
      <c r="Z15" s="4949"/>
      <c r="AA15" s="4949"/>
      <c r="AB15" s="8778"/>
      <c r="AC15" s="8797"/>
      <c r="AD15" s="2822"/>
      <c r="AE15" s="4946"/>
      <c r="AF15" s="4946"/>
      <c r="AG15" s="4946"/>
      <c r="AH15" s="4946"/>
      <c r="AI15" s="4946"/>
      <c r="AJ15" s="4946"/>
      <c r="AK15" s="681"/>
      <c r="AL15" s="1179"/>
      <c r="AM15" s="24" t="s">
        <v>411</v>
      </c>
      <c r="AN15" s="1179"/>
      <c r="AO15" s="4941"/>
      <c r="AP15" s="4942"/>
      <c r="AQ15" s="4942"/>
      <c r="AR15" s="4942"/>
      <c r="AS15" s="4942"/>
      <c r="AT15" s="4942"/>
      <c r="AU15" s="4942"/>
      <c r="AV15" s="4942"/>
      <c r="AW15" s="4942"/>
      <c r="AX15" s="4942"/>
      <c r="AY15" s="4943"/>
      <c r="BA15" s="2595"/>
      <c r="BB15" s="2595"/>
      <c r="BC15" s="2595"/>
      <c r="BD15" s="2595"/>
      <c r="BE15" s="2595"/>
      <c r="BF15" s="2595"/>
      <c r="BG15" s="2595"/>
      <c r="BH15" s="2595"/>
      <c r="BI15" s="2595"/>
      <c r="BJ15" s="2595"/>
      <c r="BK15" s="42"/>
    </row>
    <row r="16" spans="1:63" s="3402" customFormat="1" ht="15.75" customHeight="1" thickBot="1">
      <c r="A16" s="681"/>
      <c r="B16" s="4926"/>
      <c r="C16" s="4950" t="s">
        <v>4505</v>
      </c>
      <c r="D16" s="2791"/>
      <c r="E16" s="1707"/>
      <c r="F16" s="1707"/>
      <c r="G16" s="1707"/>
      <c r="H16" s="1707"/>
      <c r="I16" s="1707"/>
      <c r="J16" s="1707"/>
      <c r="K16" s="1707"/>
      <c r="L16" s="1707"/>
      <c r="M16" s="1707"/>
      <c r="N16" s="1707"/>
      <c r="O16" s="1707"/>
      <c r="P16" s="1707"/>
      <c r="Q16" s="1707"/>
      <c r="R16" s="1707"/>
      <c r="S16" s="1707"/>
      <c r="T16" s="1707"/>
      <c r="U16" s="1707"/>
      <c r="V16" s="1707"/>
      <c r="W16" s="4951"/>
      <c r="X16" s="1707"/>
      <c r="Y16" s="1707"/>
      <c r="Z16" s="1707"/>
      <c r="AA16" s="1560" t="s">
        <v>2908</v>
      </c>
      <c r="AB16" s="8798">
        <v>5</v>
      </c>
      <c r="AC16" s="8799"/>
      <c r="AD16" s="6690" t="str">
        <f>IF(AM16&lt;&gt;"",ROUND(AM16,0),IF(AND(AD11="",AD12="",AD13=""),"",IF(AND(AD12="",AD13=""),AD11,MAX(0,SUM(AD11,-AD14)))))</f>
        <v/>
      </c>
      <c r="AE16" s="6557"/>
      <c r="AF16" s="6557"/>
      <c r="AG16" s="6557"/>
      <c r="AH16" s="6557"/>
      <c r="AI16" s="6557"/>
      <c r="AJ16" s="6557"/>
      <c r="AK16" s="681"/>
      <c r="AL16" s="1179"/>
      <c r="AM16" s="4952"/>
      <c r="AN16" s="1179"/>
      <c r="AO16" s="4941"/>
      <c r="AP16" s="4942"/>
      <c r="AQ16" s="4942"/>
      <c r="AR16" s="4942"/>
      <c r="AS16" s="4942"/>
      <c r="AT16" s="4942"/>
      <c r="AU16" s="4942"/>
      <c r="AV16" s="4942"/>
      <c r="AW16" s="4942"/>
      <c r="AX16" s="4942"/>
      <c r="AY16" s="4943"/>
      <c r="BA16" s="2595"/>
      <c r="BB16" s="2595"/>
      <c r="BC16" s="2595"/>
      <c r="BD16" s="2595"/>
      <c r="BE16" s="2595"/>
      <c r="BF16" s="2595"/>
      <c r="BG16" s="2595"/>
      <c r="BH16" s="2595"/>
      <c r="BI16" s="2595"/>
      <c r="BJ16" s="2595"/>
      <c r="BK16" s="42"/>
    </row>
    <row r="17" spans="1:63" s="3402" customFormat="1" ht="15.75" customHeight="1">
      <c r="A17" s="681"/>
      <c r="B17" s="4953">
        <v>6</v>
      </c>
      <c r="C17" s="8859" t="s">
        <v>4506</v>
      </c>
      <c r="D17" s="8860"/>
      <c r="E17" s="8860"/>
      <c r="F17" s="8860"/>
      <c r="G17" s="8860"/>
      <c r="H17" s="8860"/>
      <c r="I17" s="8860"/>
      <c r="J17" s="8860"/>
      <c r="K17" s="8860"/>
      <c r="L17" s="8860"/>
      <c r="M17" s="8860"/>
      <c r="N17" s="8860"/>
      <c r="O17" s="8861"/>
      <c r="P17" s="8862" t="s">
        <v>4507</v>
      </c>
      <c r="Q17" s="8863"/>
      <c r="R17" s="8863"/>
      <c r="S17" s="8863"/>
      <c r="T17" s="8863"/>
      <c r="U17" s="8864"/>
      <c r="V17" s="8865" t="s">
        <v>4508</v>
      </c>
      <c r="W17" s="8866"/>
      <c r="X17" s="8866"/>
      <c r="Y17" s="8866"/>
      <c r="Z17" s="8866"/>
      <c r="AA17" s="8866"/>
      <c r="AB17" s="8866"/>
      <c r="AC17" s="7222"/>
      <c r="AD17" s="2820"/>
      <c r="AE17" s="2820"/>
      <c r="AF17" s="2820"/>
      <c r="AG17" s="2820"/>
      <c r="AH17" s="2820"/>
      <c r="AI17" s="2820"/>
      <c r="AJ17" s="2820"/>
      <c r="AK17" s="681"/>
      <c r="AL17" s="1179"/>
      <c r="AM17" s="1179"/>
      <c r="AN17" s="1179"/>
      <c r="AO17" s="4941"/>
      <c r="AP17" s="4942"/>
      <c r="AQ17" s="4942"/>
      <c r="AR17" s="4942"/>
      <c r="AS17" s="4942"/>
      <c r="AT17" s="4942"/>
      <c r="AU17" s="4942"/>
      <c r="AV17" s="4942"/>
      <c r="AW17" s="4942"/>
      <c r="AX17" s="4942"/>
      <c r="AY17" s="4943"/>
      <c r="BA17" s="2595"/>
      <c r="BB17" s="2595"/>
      <c r="BC17" s="2595"/>
      <c r="BD17" s="2595"/>
      <c r="BE17" s="2595"/>
      <c r="BF17" s="2595"/>
      <c r="BG17" s="2595"/>
      <c r="BH17" s="2595"/>
      <c r="BI17" s="2595"/>
      <c r="BJ17" s="2595"/>
      <c r="BK17" s="42"/>
    </row>
    <row r="18" spans="1:63" s="3402" customFormat="1" ht="15.75" customHeight="1">
      <c r="A18" s="681"/>
      <c r="B18" s="7208"/>
      <c r="C18" s="7208"/>
      <c r="D18" s="7208"/>
      <c r="E18" s="7208"/>
      <c r="F18" s="7208"/>
      <c r="G18" s="7208"/>
      <c r="H18" s="7208"/>
      <c r="I18" s="7208"/>
      <c r="J18" s="7208"/>
      <c r="K18" s="7208"/>
      <c r="L18" s="7208"/>
      <c r="M18" s="7208"/>
      <c r="N18" s="7208"/>
      <c r="O18" s="7209"/>
      <c r="P18" s="6575"/>
      <c r="Q18" s="6576"/>
      <c r="R18" s="6576"/>
      <c r="S18" s="6576"/>
      <c r="T18" s="6576"/>
      <c r="U18" s="8857"/>
      <c r="V18" s="8858"/>
      <c r="W18" s="6576"/>
      <c r="X18" s="6576"/>
      <c r="Y18" s="6576"/>
      <c r="Z18" s="6576"/>
      <c r="AA18" s="6576"/>
      <c r="AB18" s="6576"/>
      <c r="AC18" s="8857"/>
      <c r="AD18" s="2820"/>
      <c r="AE18" s="2820"/>
      <c r="AF18" s="2820"/>
      <c r="AG18" s="2820"/>
      <c r="AH18" s="2820"/>
      <c r="AI18" s="2820"/>
      <c r="AJ18" s="2820"/>
      <c r="AK18" s="681"/>
      <c r="AL18" s="1179"/>
      <c r="AM18" s="24" t="s">
        <v>90</v>
      </c>
      <c r="AN18" s="1179"/>
      <c r="AO18" s="4941"/>
      <c r="AP18" s="4942"/>
      <c r="AQ18" s="4942"/>
      <c r="AR18" s="4942"/>
      <c r="AS18" s="4942"/>
      <c r="AT18" s="4942"/>
      <c r="AU18" s="4942"/>
      <c r="AV18" s="4942"/>
      <c r="AW18" s="4942"/>
      <c r="AX18" s="4942"/>
      <c r="AY18" s="4943"/>
      <c r="BA18" s="2595"/>
      <c r="BB18" s="2595"/>
      <c r="BC18" s="2595"/>
      <c r="BD18" s="2595"/>
      <c r="BE18" s="2595"/>
      <c r="BF18" s="2595"/>
      <c r="BG18" s="2595"/>
      <c r="BH18" s="2595"/>
      <c r="BI18" s="2595"/>
      <c r="BJ18" s="2595"/>
      <c r="BK18" s="42"/>
    </row>
    <row r="19" spans="1:63" s="3402" customFormat="1" ht="15.75" customHeight="1" thickBot="1">
      <c r="A19" s="681"/>
      <c r="B19" s="7208"/>
      <c r="C19" s="7208"/>
      <c r="D19" s="7208"/>
      <c r="E19" s="7208"/>
      <c r="F19" s="7208"/>
      <c r="G19" s="7208"/>
      <c r="H19" s="7208"/>
      <c r="I19" s="7208"/>
      <c r="J19" s="7208"/>
      <c r="K19" s="7208"/>
      <c r="L19" s="7208"/>
      <c r="M19" s="7208"/>
      <c r="N19" s="7208"/>
      <c r="O19" s="7209"/>
      <c r="P19" s="6575"/>
      <c r="Q19" s="6576"/>
      <c r="R19" s="6576"/>
      <c r="S19" s="6576"/>
      <c r="T19" s="6576"/>
      <c r="U19" s="8857"/>
      <c r="V19" s="8858"/>
      <c r="W19" s="6576"/>
      <c r="X19" s="6576"/>
      <c r="Y19" s="6576"/>
      <c r="Z19" s="6576"/>
      <c r="AA19" s="6576"/>
      <c r="AB19" s="6576"/>
      <c r="AC19" s="8857"/>
      <c r="AD19" s="2820"/>
      <c r="AE19" s="4954"/>
      <c r="AF19" s="4954"/>
      <c r="AG19" s="4954"/>
      <c r="AH19" s="4954"/>
      <c r="AI19" s="4954"/>
      <c r="AJ19" s="4954"/>
      <c r="AK19" s="681"/>
      <c r="AL19" s="1179"/>
      <c r="AM19" s="24" t="s">
        <v>411</v>
      </c>
      <c r="AN19" s="1179"/>
      <c r="AO19" s="4941"/>
      <c r="AP19" s="4942"/>
      <c r="AQ19" s="4942"/>
      <c r="AR19" s="4942"/>
      <c r="AS19" s="4942"/>
      <c r="AT19" s="4942"/>
      <c r="AU19" s="4942"/>
      <c r="AV19" s="4942"/>
      <c r="AW19" s="4942"/>
      <c r="AX19" s="4942"/>
      <c r="AY19" s="4943"/>
      <c r="BA19" s="2595"/>
      <c r="BB19" s="2595"/>
      <c r="BC19" s="2595"/>
      <c r="BD19" s="2595"/>
      <c r="BE19" s="2595"/>
      <c r="BF19" s="2595"/>
      <c r="BG19" s="2595"/>
      <c r="BH19" s="2595"/>
      <c r="BI19" s="2595"/>
      <c r="BJ19" s="2595"/>
      <c r="BK19" s="42"/>
    </row>
    <row r="20" spans="1:63" s="3402" customFormat="1" ht="15.75" customHeight="1" thickBot="1">
      <c r="A20" s="681"/>
      <c r="B20" s="2974">
        <v>7</v>
      </c>
      <c r="C20" s="4944" t="s">
        <v>4509</v>
      </c>
      <c r="D20" s="1276"/>
      <c r="E20" s="1276"/>
      <c r="F20" s="1276"/>
      <c r="G20" s="1276"/>
      <c r="H20" s="1276"/>
      <c r="I20" s="1276"/>
      <c r="J20" s="1276"/>
      <c r="K20" s="1276"/>
      <c r="L20" s="1276"/>
      <c r="M20" s="1276"/>
      <c r="N20" s="1276"/>
      <c r="O20" s="1276"/>
      <c r="P20" s="1276"/>
      <c r="Q20" s="1276"/>
      <c r="R20" s="1276"/>
      <c r="S20" s="1276"/>
      <c r="T20" s="1560" t="s">
        <v>1930</v>
      </c>
      <c r="U20" s="4603">
        <v>7</v>
      </c>
      <c r="V20" s="6747">
        <f>IF(AM20&lt;&gt;"",ROUND(AM20,0),AF85)</f>
        <v>0</v>
      </c>
      <c r="W20" s="6627"/>
      <c r="X20" s="6627"/>
      <c r="Y20" s="6627"/>
      <c r="Z20" s="6627"/>
      <c r="AA20" s="6627"/>
      <c r="AB20" s="6627"/>
      <c r="AC20" s="8856"/>
      <c r="AD20" s="2819"/>
      <c r="AE20" s="4954"/>
      <c r="AF20" s="4954"/>
      <c r="AG20" s="4954"/>
      <c r="AH20" s="4954"/>
      <c r="AI20" s="4954"/>
      <c r="AJ20" s="4954"/>
      <c r="AK20" s="681"/>
      <c r="AL20" s="1179"/>
      <c r="AM20" s="4952"/>
      <c r="AN20" s="1179"/>
      <c r="AO20" s="4941"/>
      <c r="AP20" s="4942"/>
      <c r="AQ20" s="4942"/>
      <c r="AR20" s="4942"/>
      <c r="AS20" s="4942"/>
      <c r="AT20" s="4942"/>
      <c r="AU20" s="4942"/>
      <c r="AV20" s="4942"/>
      <c r="AW20" s="4942"/>
      <c r="AX20" s="4942"/>
      <c r="AY20" s="4943"/>
      <c r="BA20" s="2595"/>
      <c r="BB20" s="2595"/>
      <c r="BC20" s="2595"/>
      <c r="BD20" s="2595"/>
      <c r="BE20" s="2595"/>
      <c r="BF20" s="2595"/>
      <c r="BG20" s="2595"/>
      <c r="BH20" s="2595"/>
      <c r="BI20" s="2595"/>
      <c r="BJ20" s="2595"/>
      <c r="BK20" s="42"/>
    </row>
    <row r="21" spans="1:63" s="3402" customFormat="1" ht="15.75" customHeight="1">
      <c r="A21" s="681"/>
      <c r="B21" s="2974">
        <v>8</v>
      </c>
      <c r="C21" s="4944" t="s">
        <v>4510</v>
      </c>
      <c r="D21" s="2686"/>
      <c r="E21" s="1276"/>
      <c r="F21" s="1276"/>
      <c r="G21" s="1276"/>
      <c r="H21" s="1276"/>
      <c r="I21" s="1276"/>
      <c r="J21" s="1276"/>
      <c r="K21" s="1276"/>
      <c r="L21" s="1276"/>
      <c r="M21" s="1276"/>
      <c r="N21" s="1276"/>
      <c r="O21" s="1276"/>
      <c r="P21" s="1276"/>
      <c r="Q21" s="1276"/>
      <c r="R21" s="1276"/>
      <c r="S21" s="4945"/>
      <c r="T21" s="1276"/>
      <c r="U21" s="1276"/>
      <c r="V21" s="1276"/>
      <c r="W21" s="4485"/>
      <c r="X21" s="4946"/>
      <c r="Y21" s="4946"/>
      <c r="Z21" s="4946"/>
      <c r="AA21" s="1560" t="s">
        <v>2517</v>
      </c>
      <c r="AB21" s="8688">
        <v>8</v>
      </c>
      <c r="AC21" s="8689"/>
      <c r="AD21" s="6690">
        <f>SUM(ROUND(V18,0),ROUND(V19,0),V20)</f>
        <v>0</v>
      </c>
      <c r="AE21" s="6557"/>
      <c r="AF21" s="6557"/>
      <c r="AG21" s="6557"/>
      <c r="AH21" s="6557"/>
      <c r="AI21" s="6557"/>
      <c r="AJ21" s="6557"/>
      <c r="AK21" s="681"/>
      <c r="AL21" s="1179"/>
      <c r="AM21" s="1179"/>
      <c r="AN21" s="1179"/>
      <c r="AO21" s="4941"/>
      <c r="AP21" s="4942"/>
      <c r="AQ21" s="4942"/>
      <c r="AR21" s="4942"/>
      <c r="AS21" s="4942"/>
      <c r="AT21" s="4942"/>
      <c r="AU21" s="4942"/>
      <c r="AV21" s="4942"/>
      <c r="AW21" s="4942"/>
      <c r="AX21" s="4942"/>
      <c r="AY21" s="4943"/>
      <c r="BA21" s="2595"/>
      <c r="BB21" s="2595"/>
      <c r="BC21" s="2595"/>
      <c r="BD21" s="2595"/>
      <c r="BE21" s="2595"/>
      <c r="BF21" s="2595"/>
      <c r="BG21" s="2595"/>
      <c r="BH21" s="2595"/>
      <c r="BI21" s="2595"/>
      <c r="BJ21" s="2595"/>
      <c r="BK21" s="42"/>
    </row>
    <row r="22" spans="1:63" s="3402" customFormat="1" ht="15.75" customHeight="1">
      <c r="A22" s="681"/>
      <c r="B22" s="2974">
        <v>9</v>
      </c>
      <c r="C22" s="4944" t="s">
        <v>4645</v>
      </c>
      <c r="D22" s="2686"/>
      <c r="E22" s="1276"/>
      <c r="F22" s="1276"/>
      <c r="G22" s="1276"/>
      <c r="H22" s="1276"/>
      <c r="I22" s="1276"/>
      <c r="J22" s="1276"/>
      <c r="K22" s="1276"/>
      <c r="L22" s="1276"/>
      <c r="M22" s="1276"/>
      <c r="N22" s="1276"/>
      <c r="O22" s="1276"/>
      <c r="P22" s="1276"/>
      <c r="Q22" s="1276"/>
      <c r="R22" s="1276"/>
      <c r="S22" s="4945"/>
      <c r="T22" s="1276"/>
      <c r="U22" s="1276"/>
      <c r="V22" s="1276"/>
      <c r="W22" s="4485"/>
      <c r="X22" s="4946"/>
      <c r="Y22" s="4946"/>
      <c r="Z22" s="4946"/>
      <c r="AA22" s="1560" t="s">
        <v>2027</v>
      </c>
      <c r="AB22" s="8688">
        <v>9</v>
      </c>
      <c r="AC22" s="8689"/>
      <c r="AD22" s="8796">
        <f>MIN(AD16,AD21)</f>
        <v>0</v>
      </c>
      <c r="AE22" s="8851"/>
      <c r="AF22" s="8851"/>
      <c r="AG22" s="8851"/>
      <c r="AH22" s="8851"/>
      <c r="AI22" s="8851"/>
      <c r="AJ22" s="8852"/>
      <c r="AK22" s="681"/>
      <c r="AL22" s="1179"/>
      <c r="AM22" s="1179"/>
      <c r="AN22" s="1179"/>
      <c r="AO22" s="4941"/>
      <c r="AP22" s="4942"/>
      <c r="AQ22" s="4942"/>
      <c r="AR22" s="4942"/>
      <c r="AS22" s="4942"/>
      <c r="AT22" s="4942"/>
      <c r="AU22" s="4942"/>
      <c r="AV22" s="4942"/>
      <c r="AW22" s="4942"/>
      <c r="AX22" s="4942"/>
      <c r="AY22" s="4943"/>
      <c r="BA22" s="2595"/>
      <c r="BB22" s="2595"/>
      <c r="BC22" s="2595"/>
      <c r="BD22" s="2595"/>
      <c r="BE22" s="2595"/>
      <c r="BF22" s="2595"/>
      <c r="BG22" s="2595"/>
      <c r="BH22" s="2595"/>
      <c r="BI22" s="2595"/>
      <c r="BJ22" s="2595"/>
      <c r="BK22" s="42"/>
    </row>
    <row r="23" spans="1:63" s="3402" customFormat="1" ht="15.75" customHeight="1" thickBot="1">
      <c r="A23" s="681"/>
      <c r="B23" s="2974">
        <v>10</v>
      </c>
      <c r="C23" s="4944" t="str">
        <f>"Carryover of disallowed deduction from line 13 of your "&amp;TaxYear-1&amp;" Form 4562"</f>
        <v>Carryover of disallowed deduction from line 13 of your 2020 Form 4562</v>
      </c>
      <c r="D23" s="2686"/>
      <c r="E23" s="1276"/>
      <c r="F23" s="1276"/>
      <c r="G23" s="1276"/>
      <c r="H23" s="1276"/>
      <c r="I23" s="1276"/>
      <c r="J23" s="1276"/>
      <c r="K23" s="1276"/>
      <c r="L23" s="1276"/>
      <c r="M23" s="1276"/>
      <c r="N23" s="1276"/>
      <c r="O23" s="1276"/>
      <c r="P23" s="1276"/>
      <c r="Q23" s="1276"/>
      <c r="R23" s="1276"/>
      <c r="S23" s="4945"/>
      <c r="T23" s="1276"/>
      <c r="U23" s="1276"/>
      <c r="V23" s="1276"/>
      <c r="W23" s="4485"/>
      <c r="X23" s="4946"/>
      <c r="Y23" s="4946"/>
      <c r="Z23" s="4946"/>
      <c r="AA23" s="1560" t="s">
        <v>2401</v>
      </c>
      <c r="AB23" s="8688">
        <v>10</v>
      </c>
      <c r="AC23" s="8689"/>
      <c r="AD23" s="8845"/>
      <c r="AE23" s="8845"/>
      <c r="AF23" s="8845"/>
      <c r="AG23" s="8845"/>
      <c r="AH23" s="8845"/>
      <c r="AI23" s="8845"/>
      <c r="AJ23" s="6575"/>
      <c r="AK23" s="681"/>
      <c r="AL23" s="1179"/>
      <c r="AM23" s="1824" t="s">
        <v>4511</v>
      </c>
      <c r="AN23" s="1179"/>
      <c r="AO23" s="4941"/>
      <c r="AP23" s="4942"/>
      <c r="AQ23" s="4942"/>
      <c r="AR23" s="4942"/>
      <c r="AS23" s="4942"/>
      <c r="AT23" s="4942"/>
      <c r="AU23" s="4942"/>
      <c r="AV23" s="4942"/>
      <c r="AW23" s="4942"/>
      <c r="AX23" s="4942"/>
      <c r="AY23" s="4943"/>
      <c r="BA23" s="2595"/>
      <c r="BB23" s="2595"/>
      <c r="BC23" s="2595"/>
      <c r="BD23" s="2595"/>
      <c r="BE23" s="2595"/>
      <c r="BF23" s="2595"/>
      <c r="BG23" s="2595"/>
      <c r="BH23" s="2595"/>
      <c r="BI23" s="2595"/>
      <c r="BJ23" s="2595"/>
      <c r="BK23" s="42"/>
    </row>
    <row r="24" spans="1:63" s="3402" customFormat="1" ht="15.75" customHeight="1" thickBot="1">
      <c r="A24" s="681"/>
      <c r="B24" s="2408">
        <v>11</v>
      </c>
      <c r="C24" s="3081" t="s">
        <v>4512</v>
      </c>
      <c r="D24" s="2944"/>
      <c r="E24" s="2686"/>
      <c r="F24" s="1276"/>
      <c r="G24" s="1276"/>
      <c r="H24" s="1276"/>
      <c r="I24" s="1276"/>
      <c r="J24" s="1276"/>
      <c r="K24" s="1276"/>
      <c r="L24" s="1276"/>
      <c r="M24" s="1276"/>
      <c r="N24" s="1276"/>
      <c r="O24" s="1276"/>
      <c r="P24" s="1276"/>
      <c r="Q24" s="1276"/>
      <c r="R24" s="1276"/>
      <c r="S24" s="1276"/>
      <c r="T24" s="1276"/>
      <c r="U24" s="1276"/>
      <c r="V24" s="1276"/>
      <c r="W24" s="2065"/>
      <c r="X24" s="1276"/>
      <c r="Y24" s="1276"/>
      <c r="Z24" s="1276"/>
      <c r="AA24" s="1276"/>
      <c r="AB24" s="8688">
        <v>11</v>
      </c>
      <c r="AC24" s="8689"/>
      <c r="AD24" s="8796">
        <f>MIN(MAX(0,ROUND(AM24,0)),AD16)</f>
        <v>0</v>
      </c>
      <c r="AE24" s="8851"/>
      <c r="AF24" s="8851"/>
      <c r="AG24" s="8851"/>
      <c r="AH24" s="8851"/>
      <c r="AI24" s="8851"/>
      <c r="AJ24" s="8852"/>
      <c r="AK24" s="681"/>
      <c r="AL24" s="1179"/>
      <c r="AM24" s="4952"/>
      <c r="AN24" s="1179"/>
      <c r="AO24" s="4941"/>
      <c r="AP24" s="4942"/>
      <c r="AQ24" s="4942"/>
      <c r="AR24" s="4942"/>
      <c r="AS24" s="4942"/>
      <c r="AT24" s="4942"/>
      <c r="AU24" s="4942"/>
      <c r="AV24" s="4942"/>
      <c r="AW24" s="4942"/>
      <c r="AX24" s="4942"/>
      <c r="AY24" s="4943"/>
      <c r="BA24" s="2595"/>
      <c r="BB24" s="2595"/>
      <c r="BC24" s="2595"/>
      <c r="BD24" s="2595"/>
      <c r="BE24" s="2595"/>
      <c r="BF24" s="2595"/>
      <c r="BG24" s="2595"/>
      <c r="BH24" s="2595"/>
      <c r="BI24" s="2595"/>
      <c r="BJ24" s="2595"/>
      <c r="BK24" s="42"/>
    </row>
    <row r="25" spans="1:63" s="3402" customFormat="1" ht="15.75" customHeight="1" thickBot="1">
      <c r="A25" s="681"/>
      <c r="B25" s="2974">
        <v>12</v>
      </c>
      <c r="C25" s="3080" t="s">
        <v>4513</v>
      </c>
      <c r="D25" s="2944"/>
      <c r="E25" s="2686"/>
      <c r="F25" s="1276"/>
      <c r="G25" s="1276"/>
      <c r="H25" s="1276"/>
      <c r="I25" s="1276"/>
      <c r="J25" s="1276"/>
      <c r="K25" s="1276"/>
      <c r="L25" s="1276"/>
      <c r="M25" s="1276"/>
      <c r="N25" s="1276"/>
      <c r="O25" s="1276"/>
      <c r="P25" s="1276"/>
      <c r="Q25" s="1276"/>
      <c r="R25" s="1276"/>
      <c r="S25" s="1276"/>
      <c r="T25" s="1276"/>
      <c r="U25" s="1276"/>
      <c r="V25" s="1276"/>
      <c r="W25" s="1276"/>
      <c r="X25" s="1276"/>
      <c r="Y25" s="1276"/>
      <c r="Z25" s="1276"/>
      <c r="AA25" s="1560" t="s">
        <v>1978</v>
      </c>
      <c r="AB25" s="8688">
        <v>12</v>
      </c>
      <c r="AC25" s="8689"/>
      <c r="AD25" s="8796">
        <f>MIN(SUM(AD22,ROUND(AD23,0)),AD24)</f>
        <v>0</v>
      </c>
      <c r="AE25" s="8851"/>
      <c r="AF25" s="8851"/>
      <c r="AG25" s="8851"/>
      <c r="AH25" s="8851"/>
      <c r="AI25" s="8851"/>
      <c r="AJ25" s="8852"/>
      <c r="AK25" s="681"/>
      <c r="AL25" s="1179"/>
      <c r="AM25" s="4566" t="s">
        <v>411</v>
      </c>
      <c r="AN25" s="1179"/>
      <c r="AO25" s="4941"/>
      <c r="AP25" s="4942"/>
      <c r="AQ25" s="4942"/>
      <c r="AR25" s="4942"/>
      <c r="AS25" s="4942"/>
      <c r="AT25" s="4942"/>
      <c r="AU25" s="4942"/>
      <c r="AV25" s="4942"/>
      <c r="AW25" s="4942"/>
      <c r="AX25" s="4942"/>
      <c r="AY25" s="4943"/>
      <c r="BA25" s="2595"/>
      <c r="BB25" s="2595"/>
      <c r="BC25" s="2595"/>
      <c r="BD25" s="2595"/>
      <c r="BE25" s="2595"/>
      <c r="BF25" s="2595"/>
      <c r="BG25" s="2595"/>
      <c r="BH25" s="2595"/>
      <c r="BI25" s="2595"/>
      <c r="BJ25" s="2595"/>
      <c r="BK25" s="42"/>
    </row>
    <row r="26" spans="1:63" s="3402" customFormat="1" ht="15.75" customHeight="1" thickBot="1">
      <c r="A26" s="681"/>
      <c r="B26" s="2974">
        <v>13</v>
      </c>
      <c r="C26" s="3080" t="str">
        <f>"Carryover of disallowed deduction to "&amp;TaxYear+1&amp;". Add lines 9 and 10, less line 12"</f>
        <v>Carryover of disallowed deduction to 2022. Add lines 9 and 10, less line 12</v>
      </c>
      <c r="D26" s="2686"/>
      <c r="E26" s="2686"/>
      <c r="F26" s="1276"/>
      <c r="G26" s="1276"/>
      <c r="H26" s="1276"/>
      <c r="I26" s="1276"/>
      <c r="J26" s="1276"/>
      <c r="K26" s="1276"/>
      <c r="L26" s="1276"/>
      <c r="M26" s="1276"/>
      <c r="N26" s="1276"/>
      <c r="O26" s="1276"/>
      <c r="P26" s="1276"/>
      <c r="Q26" s="1276"/>
      <c r="R26" s="1276"/>
      <c r="S26" s="1276"/>
      <c r="T26" s="1276"/>
      <c r="U26" s="1276"/>
      <c r="V26" s="4606">
        <v>13</v>
      </c>
      <c r="W26" s="8853">
        <f>IF(AM26&lt;&gt;"",ROUND(AM26,0),SUM(AD22,ROUND(AD23,0),-AD25))</f>
        <v>0</v>
      </c>
      <c r="X26" s="8854"/>
      <c r="Y26" s="8854"/>
      <c r="Z26" s="8854"/>
      <c r="AA26" s="8854"/>
      <c r="AB26" s="8854"/>
      <c r="AC26" s="8855"/>
      <c r="AD26" s="4955"/>
      <c r="AE26" s="4956"/>
      <c r="AF26" s="4956"/>
      <c r="AG26" s="4956"/>
      <c r="AH26" s="4956"/>
      <c r="AI26" s="4956"/>
      <c r="AJ26" s="4956"/>
      <c r="AK26" s="681"/>
      <c r="AL26" s="1179"/>
      <c r="AM26" s="4952"/>
      <c r="AN26" s="1179"/>
      <c r="AO26" s="4941"/>
      <c r="AP26" s="4942"/>
      <c r="AQ26" s="4942"/>
      <c r="AR26" s="4942"/>
      <c r="AS26" s="4942"/>
      <c r="AT26" s="4942"/>
      <c r="AU26" s="4942"/>
      <c r="AV26" s="4942"/>
      <c r="AW26" s="4942"/>
      <c r="AX26" s="4942"/>
      <c r="AY26" s="4943"/>
      <c r="BA26" s="2595"/>
      <c r="BB26" s="2595"/>
      <c r="BC26" s="2595"/>
      <c r="BD26" s="2595"/>
      <c r="BE26" s="2595"/>
      <c r="BF26" s="2595"/>
      <c r="BG26" s="2595"/>
      <c r="BH26" s="2595"/>
      <c r="BI26" s="2595"/>
      <c r="BJ26" s="2595"/>
      <c r="BK26" s="42"/>
    </row>
    <row r="27" spans="1:63" s="3402" customFormat="1" ht="15.75" customHeight="1">
      <c r="A27" s="681"/>
      <c r="B27" s="3092" t="s">
        <v>4514</v>
      </c>
      <c r="C27" s="4957"/>
      <c r="D27" s="2688"/>
      <c r="E27" s="2789"/>
      <c r="F27" s="2789"/>
      <c r="G27" s="2789"/>
      <c r="H27" s="2789"/>
      <c r="I27" s="2789"/>
      <c r="J27" s="2789"/>
      <c r="K27" s="2789"/>
      <c r="L27" s="2789"/>
      <c r="M27" s="2789"/>
      <c r="N27" s="2789"/>
      <c r="O27" s="2789"/>
      <c r="P27" s="2789"/>
      <c r="Q27" s="2789"/>
      <c r="R27" s="2789"/>
      <c r="S27" s="2789"/>
      <c r="T27" s="2789"/>
      <c r="U27" s="2789"/>
      <c r="V27" s="2789"/>
      <c r="W27" s="2789"/>
      <c r="X27" s="2789"/>
      <c r="Y27" s="2789"/>
      <c r="Z27" s="2789"/>
      <c r="AA27" s="2789"/>
      <c r="AB27" s="2789"/>
      <c r="AC27" s="2789"/>
      <c r="AD27" s="2789"/>
      <c r="AE27" s="2789"/>
      <c r="AF27" s="2789"/>
      <c r="AG27" s="2789"/>
      <c r="AH27" s="2789"/>
      <c r="AI27" s="2789"/>
      <c r="AJ27" s="2789"/>
      <c r="AK27" s="681"/>
      <c r="AL27" s="1179"/>
      <c r="AM27" s="1179"/>
      <c r="AN27" s="1179"/>
      <c r="AO27" s="4941"/>
      <c r="AP27" s="4942"/>
      <c r="AQ27" s="4942"/>
      <c r="AR27" s="4942"/>
      <c r="AS27" s="4942"/>
      <c r="AT27" s="4942"/>
      <c r="AU27" s="4942"/>
      <c r="AV27" s="4942"/>
      <c r="AW27" s="4942"/>
      <c r="AX27" s="4942"/>
      <c r="AY27" s="4943"/>
      <c r="BA27" s="2595"/>
      <c r="BB27" s="2595"/>
      <c r="BC27" s="2595"/>
      <c r="BD27" s="2595"/>
      <c r="BE27" s="2595"/>
      <c r="BF27" s="2595"/>
      <c r="BG27" s="2595"/>
      <c r="BH27" s="2595"/>
      <c r="BI27" s="2595"/>
      <c r="BJ27" s="2595"/>
      <c r="BK27" s="42"/>
    </row>
    <row r="28" spans="1:63" s="4381" customFormat="1" ht="15.75" customHeight="1">
      <c r="A28" s="4353"/>
      <c r="B28" s="8524" t="s">
        <v>118</v>
      </c>
      <c r="C28" s="8728"/>
      <c r="D28" s="4958" t="s">
        <v>4515</v>
      </c>
      <c r="E28" s="4959"/>
      <c r="F28" s="4960"/>
      <c r="G28" s="4960"/>
      <c r="H28" s="4960"/>
      <c r="I28" s="4960"/>
      <c r="J28" s="4960"/>
      <c r="K28" s="4960"/>
      <c r="L28" s="4960"/>
      <c r="M28" s="4960"/>
      <c r="N28" s="4960"/>
      <c r="O28" s="4960"/>
      <c r="P28" s="4960"/>
      <c r="Q28" s="4960"/>
      <c r="R28" s="4960"/>
      <c r="S28" s="4960"/>
      <c r="T28" s="4960"/>
      <c r="U28" s="4960"/>
      <c r="V28" s="4960"/>
      <c r="W28" s="4960"/>
      <c r="X28" s="4960"/>
      <c r="Y28" s="4960"/>
      <c r="Z28" s="4960"/>
      <c r="AA28" s="4960"/>
      <c r="AB28" s="4960"/>
      <c r="AC28" s="4960"/>
      <c r="AD28" s="4960"/>
      <c r="AE28" s="4960"/>
      <c r="AF28" s="4960"/>
      <c r="AG28" s="4960"/>
      <c r="AH28" s="4960"/>
      <c r="AI28" s="4961"/>
      <c r="AJ28" s="4961"/>
      <c r="AK28" s="4353"/>
      <c r="AL28" s="1179"/>
      <c r="AM28" s="1179"/>
      <c r="AN28" s="1179"/>
      <c r="AO28" s="4941"/>
      <c r="AP28" s="4942"/>
      <c r="AQ28" s="4942"/>
      <c r="AR28" s="4942"/>
      <c r="AS28" s="4942"/>
      <c r="AT28" s="4942"/>
      <c r="AU28" s="4942"/>
      <c r="AV28" s="4942"/>
      <c r="AW28" s="4942"/>
      <c r="AX28" s="4942"/>
      <c r="AY28" s="4943"/>
      <c r="BA28" s="2595"/>
      <c r="BB28" s="2595"/>
      <c r="BC28" s="2595"/>
      <c r="BD28" s="2595"/>
      <c r="BE28" s="2595"/>
      <c r="BF28" s="2595"/>
      <c r="BG28" s="2595"/>
      <c r="BH28" s="2595"/>
      <c r="BI28" s="2595"/>
      <c r="BJ28" s="2595"/>
      <c r="BK28" s="4355"/>
    </row>
    <row r="29" spans="1:63" s="3402" customFormat="1" ht="15.75" customHeight="1">
      <c r="A29" s="681"/>
      <c r="B29" s="2974">
        <v>14</v>
      </c>
      <c r="C29" s="4944" t="s">
        <v>4516</v>
      </c>
      <c r="D29" s="2686"/>
      <c r="E29" s="1276"/>
      <c r="F29" s="1276"/>
      <c r="G29" s="1276"/>
      <c r="H29" s="1276"/>
      <c r="I29" s="1276"/>
      <c r="J29" s="1276"/>
      <c r="K29" s="2065"/>
      <c r="L29" s="4945"/>
      <c r="M29" s="4947"/>
      <c r="N29" s="2065"/>
      <c r="O29" s="2065"/>
      <c r="P29" s="2065"/>
      <c r="Q29" s="2065"/>
      <c r="R29" s="2065"/>
      <c r="S29" s="1276"/>
      <c r="T29" s="1276"/>
      <c r="U29" s="1276"/>
      <c r="V29" s="2065"/>
      <c r="W29" s="4485"/>
      <c r="X29" s="4948"/>
      <c r="Y29" s="4949"/>
      <c r="Z29" s="4949"/>
      <c r="AA29" s="4949"/>
      <c r="AB29" s="8778"/>
      <c r="AC29" s="8797"/>
      <c r="AD29" s="2822"/>
      <c r="AE29" s="4946"/>
      <c r="AF29" s="4946"/>
      <c r="AG29" s="4946"/>
      <c r="AH29" s="4946"/>
      <c r="AI29" s="4946"/>
      <c r="AJ29" s="4946"/>
      <c r="AK29" s="681"/>
      <c r="AL29" s="1179"/>
      <c r="AM29" s="24"/>
      <c r="AN29" s="1179"/>
      <c r="AO29" s="4941"/>
      <c r="AP29" s="4942"/>
      <c r="AQ29" s="4942"/>
      <c r="AR29" s="4942"/>
      <c r="AS29" s="4942"/>
      <c r="AT29" s="4942"/>
      <c r="AU29" s="4942"/>
      <c r="AV29" s="4942"/>
      <c r="AW29" s="4942"/>
      <c r="AX29" s="4942"/>
      <c r="AY29" s="4943"/>
      <c r="BA29" s="2595"/>
      <c r="BB29" s="2595"/>
      <c r="BC29" s="2595"/>
      <c r="BD29" s="2595"/>
      <c r="BE29" s="2595"/>
      <c r="BF29" s="2595"/>
      <c r="BG29" s="2595"/>
      <c r="BH29" s="2595"/>
      <c r="BI29" s="2595"/>
      <c r="BJ29" s="2595"/>
      <c r="BK29" s="42"/>
    </row>
    <row r="30" spans="1:63" s="3402" customFormat="1" ht="15.75" customHeight="1">
      <c r="A30" s="681"/>
      <c r="B30" s="2408"/>
      <c r="C30" s="4944" t="s">
        <v>4517</v>
      </c>
      <c r="D30" s="2686"/>
      <c r="E30" s="1276"/>
      <c r="F30" s="1276"/>
      <c r="G30" s="1276"/>
      <c r="H30" s="1276"/>
      <c r="I30" s="1276"/>
      <c r="J30" s="1276"/>
      <c r="K30" s="1276"/>
      <c r="L30" s="1276"/>
      <c r="M30" s="1276"/>
      <c r="N30" s="1276"/>
      <c r="O30" s="1276"/>
      <c r="P30" s="1276"/>
      <c r="Q30" s="1276"/>
      <c r="R30" s="1276"/>
      <c r="S30" s="1276"/>
      <c r="T30" s="1276"/>
      <c r="U30" s="1276"/>
      <c r="V30" s="1276"/>
      <c r="W30" s="4485"/>
      <c r="X30" s="1276"/>
      <c r="Y30" s="1276"/>
      <c r="Z30" s="1276"/>
      <c r="AA30" s="1560" t="s">
        <v>4237</v>
      </c>
      <c r="AB30" s="8798">
        <v>14</v>
      </c>
      <c r="AC30" s="8799"/>
      <c r="AD30" s="6570"/>
      <c r="AE30" s="6439"/>
      <c r="AF30" s="6439"/>
      <c r="AG30" s="6439"/>
      <c r="AH30" s="6439"/>
      <c r="AI30" s="6439"/>
      <c r="AJ30" s="6439"/>
      <c r="AK30" s="681"/>
      <c r="AL30" s="1179"/>
      <c r="AM30" s="4962">
        <f>ROUND(AD30,0)</f>
        <v>0</v>
      </c>
      <c r="AN30" s="1179"/>
      <c r="AO30" s="4941"/>
      <c r="AP30" s="4942"/>
      <c r="AQ30" s="4942"/>
      <c r="AR30" s="4942"/>
      <c r="AS30" s="4942"/>
      <c r="AT30" s="4942"/>
      <c r="AU30" s="4942"/>
      <c r="AV30" s="4942"/>
      <c r="AW30" s="4942"/>
      <c r="AX30" s="4942"/>
      <c r="AY30" s="4943"/>
      <c r="BA30" s="2595"/>
      <c r="BB30" s="2595"/>
      <c r="BC30" s="2595"/>
      <c r="BD30" s="2595"/>
      <c r="BE30" s="2595"/>
      <c r="BF30" s="2595"/>
      <c r="BG30" s="2595"/>
      <c r="BH30" s="2595"/>
      <c r="BI30" s="2595"/>
      <c r="BJ30" s="2595"/>
      <c r="BK30" s="42"/>
    </row>
    <row r="31" spans="1:63" s="3402" customFormat="1" ht="15.75" customHeight="1">
      <c r="A31" s="681"/>
      <c r="B31" s="2974">
        <v>15</v>
      </c>
      <c r="C31" s="4944" t="s">
        <v>4518</v>
      </c>
      <c r="D31" s="2686"/>
      <c r="E31" s="1276"/>
      <c r="F31" s="1276"/>
      <c r="G31" s="1276"/>
      <c r="H31" s="1276"/>
      <c r="I31" s="1276"/>
      <c r="J31" s="1276"/>
      <c r="K31" s="1276"/>
      <c r="L31" s="1276"/>
      <c r="M31" s="1276"/>
      <c r="N31" s="1276"/>
      <c r="O31" s="1276"/>
      <c r="P31" s="1276"/>
      <c r="Q31" s="1276"/>
      <c r="R31" s="1276"/>
      <c r="S31" s="4945"/>
      <c r="T31" s="1276"/>
      <c r="U31" s="1276"/>
      <c r="V31" s="1276"/>
      <c r="W31" s="4485"/>
      <c r="X31" s="4946"/>
      <c r="Y31" s="4946"/>
      <c r="Z31" s="4946"/>
      <c r="AA31" s="1560" t="s">
        <v>2883</v>
      </c>
      <c r="AB31" s="8688">
        <v>15</v>
      </c>
      <c r="AC31" s="8689"/>
      <c r="AD31" s="8845"/>
      <c r="AE31" s="8845"/>
      <c r="AF31" s="8845"/>
      <c r="AG31" s="8845"/>
      <c r="AH31" s="8845"/>
      <c r="AI31" s="8845"/>
      <c r="AJ31" s="6575"/>
      <c r="AK31" s="681"/>
      <c r="AL31" s="1179"/>
      <c r="AM31" s="4962">
        <f>ROUND(AD31,0)</f>
        <v>0</v>
      </c>
      <c r="AN31" s="1179"/>
      <c r="AO31" s="4941"/>
      <c r="AP31" s="4942"/>
      <c r="AQ31" s="4942"/>
      <c r="AR31" s="4942"/>
      <c r="AS31" s="4942"/>
      <c r="AT31" s="4942"/>
      <c r="AU31" s="4942"/>
      <c r="AV31" s="4942"/>
      <c r="AW31" s="4942"/>
      <c r="AX31" s="4942"/>
      <c r="AY31" s="4943"/>
      <c r="BA31" s="2595"/>
      <c r="BB31" s="2595"/>
      <c r="BC31" s="2595"/>
      <c r="BD31" s="2595"/>
      <c r="BE31" s="2595"/>
      <c r="BF31" s="2595"/>
      <c r="BG31" s="2595"/>
      <c r="BH31" s="2595"/>
      <c r="BI31" s="2595"/>
      <c r="BJ31" s="2595"/>
      <c r="BK31" s="42"/>
    </row>
    <row r="32" spans="1:63" s="3402" customFormat="1" ht="15.75" customHeight="1">
      <c r="A32" s="681"/>
      <c r="B32" s="2974">
        <v>16</v>
      </c>
      <c r="C32" s="4944" t="s">
        <v>4519</v>
      </c>
      <c r="D32" s="3084"/>
      <c r="E32" s="1276"/>
      <c r="F32" s="1276"/>
      <c r="G32" s="1276"/>
      <c r="H32" s="1276"/>
      <c r="I32" s="1276"/>
      <c r="J32" s="1276"/>
      <c r="K32" s="1276"/>
      <c r="L32" s="1276"/>
      <c r="M32" s="1276"/>
      <c r="N32" s="1276"/>
      <c r="O32" s="1276"/>
      <c r="P32" s="1276"/>
      <c r="Q32" s="1276"/>
      <c r="R32" s="1276"/>
      <c r="S32" s="1276"/>
      <c r="T32" s="1276"/>
      <c r="U32" s="1276"/>
      <c r="V32" s="1276"/>
      <c r="W32" s="1276"/>
      <c r="X32" s="1276"/>
      <c r="Y32" s="1276"/>
      <c r="Z32" s="1276"/>
      <c r="AA32" s="1560" t="s">
        <v>4237</v>
      </c>
      <c r="AB32" s="8688">
        <v>16</v>
      </c>
      <c r="AC32" s="8689"/>
      <c r="AD32" s="8845"/>
      <c r="AE32" s="8845"/>
      <c r="AF32" s="8845"/>
      <c r="AG32" s="8845"/>
      <c r="AH32" s="8845"/>
      <c r="AI32" s="8845"/>
      <c r="AJ32" s="6575"/>
      <c r="AK32" s="681"/>
      <c r="AL32" s="1179"/>
      <c r="AM32" s="4962">
        <f>ROUND(AD32,0)</f>
        <v>0</v>
      </c>
      <c r="AN32" s="1179"/>
      <c r="AO32" s="4941"/>
      <c r="AP32" s="4942"/>
      <c r="AQ32" s="4942"/>
      <c r="AR32" s="4942"/>
      <c r="AS32" s="4942"/>
      <c r="AT32" s="4942"/>
      <c r="AU32" s="4942"/>
      <c r="AV32" s="4942"/>
      <c r="AW32" s="4942"/>
      <c r="AX32" s="4942"/>
      <c r="AY32" s="4943"/>
      <c r="BA32" s="2595"/>
      <c r="BB32" s="2595"/>
      <c r="BC32" s="2595"/>
      <c r="BD32" s="2595"/>
      <c r="BE32" s="2595"/>
      <c r="BF32" s="2595"/>
      <c r="BG32" s="2595"/>
      <c r="BH32" s="2595"/>
      <c r="BI32" s="2595"/>
      <c r="BJ32" s="2595"/>
      <c r="BK32" s="42"/>
    </row>
    <row r="33" spans="1:63" s="4381" customFormat="1" ht="15.75" customHeight="1">
      <c r="A33" s="4353"/>
      <c r="B33" s="8524" t="s">
        <v>319</v>
      </c>
      <c r="C33" s="8728"/>
      <c r="D33" s="4958" t="s">
        <v>4520</v>
      </c>
      <c r="E33" s="4959"/>
      <c r="F33" s="4960"/>
      <c r="G33" s="4960"/>
      <c r="H33" s="4960"/>
      <c r="I33" s="4960"/>
      <c r="J33" s="4960"/>
      <c r="K33" s="4960"/>
      <c r="L33" s="4960"/>
      <c r="M33" s="4960"/>
      <c r="N33" s="4960"/>
      <c r="O33" s="4960"/>
      <c r="P33" s="4960"/>
      <c r="Q33" s="4960"/>
      <c r="R33" s="4960"/>
      <c r="S33" s="4960"/>
      <c r="T33" s="4960"/>
      <c r="U33" s="4960"/>
      <c r="V33" s="4960"/>
      <c r="W33" s="4960"/>
      <c r="X33" s="4960"/>
      <c r="Y33" s="4960"/>
      <c r="Z33" s="4960"/>
      <c r="AA33" s="4960"/>
      <c r="AB33" s="4960"/>
      <c r="AC33" s="4960"/>
      <c r="AD33" s="4960"/>
      <c r="AE33" s="4960"/>
      <c r="AF33" s="4960"/>
      <c r="AG33" s="4960"/>
      <c r="AH33" s="4960"/>
      <c r="AI33" s="4961"/>
      <c r="AJ33" s="4961"/>
      <c r="AK33" s="4353"/>
      <c r="AL33" s="1179"/>
      <c r="AM33" s="1284"/>
      <c r="AN33" s="1179"/>
      <c r="AO33" s="4941"/>
      <c r="AP33" s="4942"/>
      <c r="AQ33" s="4942"/>
      <c r="AR33" s="4942"/>
      <c r="AS33" s="4942"/>
      <c r="AT33" s="4942"/>
      <c r="AU33" s="4942"/>
      <c r="AV33" s="4942"/>
      <c r="AW33" s="4942"/>
      <c r="AX33" s="4942"/>
      <c r="AY33" s="4943"/>
      <c r="BA33" s="2595"/>
      <c r="BB33" s="2595"/>
      <c r="BC33" s="2595"/>
      <c r="BD33" s="2595"/>
      <c r="BE33" s="2595"/>
      <c r="BF33" s="2595"/>
      <c r="BG33" s="2595"/>
      <c r="BH33" s="2595"/>
      <c r="BI33" s="2595"/>
      <c r="BJ33" s="2595"/>
      <c r="BK33" s="4355"/>
    </row>
    <row r="34" spans="1:63" s="4381" customFormat="1" ht="15.75" customHeight="1">
      <c r="A34" s="4353"/>
      <c r="B34" s="4963" t="s">
        <v>1884</v>
      </c>
      <c r="C34" s="4964"/>
      <c r="D34" s="4965"/>
      <c r="E34" s="4963"/>
      <c r="F34" s="4966"/>
      <c r="G34" s="4966"/>
      <c r="H34" s="4966"/>
      <c r="I34" s="4966"/>
      <c r="J34" s="4966"/>
      <c r="K34" s="4966"/>
      <c r="L34" s="4966"/>
      <c r="M34" s="4966"/>
      <c r="N34" s="4966"/>
      <c r="O34" s="4966"/>
      <c r="P34" s="4966"/>
      <c r="Q34" s="4966"/>
      <c r="R34" s="4966"/>
      <c r="S34" s="4966"/>
      <c r="T34" s="4966"/>
      <c r="U34" s="4966"/>
      <c r="V34" s="4966"/>
      <c r="W34" s="4966"/>
      <c r="X34" s="4966"/>
      <c r="Y34" s="4966"/>
      <c r="Z34" s="4966"/>
      <c r="AA34" s="4966"/>
      <c r="AB34" s="4966"/>
      <c r="AC34" s="4966"/>
      <c r="AD34" s="4966"/>
      <c r="AE34" s="4966"/>
      <c r="AF34" s="4966"/>
      <c r="AG34" s="4966"/>
      <c r="AH34" s="4966"/>
      <c r="AI34" s="4967"/>
      <c r="AJ34" s="4967"/>
      <c r="AK34" s="4353"/>
      <c r="AL34" s="1179"/>
      <c r="AM34" s="1284"/>
      <c r="AN34" s="1179"/>
      <c r="AO34" s="4941"/>
      <c r="AP34" s="4942"/>
      <c r="AQ34" s="4942"/>
      <c r="AR34" s="4942"/>
      <c r="AS34" s="4942"/>
      <c r="AT34" s="4942"/>
      <c r="AU34" s="4942"/>
      <c r="AV34" s="4942"/>
      <c r="AW34" s="4942"/>
      <c r="AX34" s="4942"/>
      <c r="AY34" s="4943"/>
      <c r="BA34" s="2595"/>
      <c r="BB34" s="2595"/>
      <c r="BC34" s="2595"/>
      <c r="BD34" s="2595"/>
      <c r="BE34" s="2595"/>
      <c r="BF34" s="2595"/>
      <c r="BG34" s="2595"/>
      <c r="BH34" s="2595"/>
      <c r="BI34" s="2595"/>
      <c r="BJ34" s="2595"/>
      <c r="BK34" s="4355"/>
    </row>
    <row r="35" spans="1:63" s="3402" customFormat="1" ht="15.75" customHeight="1">
      <c r="A35" s="681"/>
      <c r="B35" s="2974">
        <v>17</v>
      </c>
      <c r="C35" s="4944" t="str">
        <f>"MACRS deductions for assets placed in service in tax years beginning before "&amp;TaxYear</f>
        <v>MACRS deductions for assets placed in service in tax years beginning before 2021</v>
      </c>
      <c r="D35" s="2686"/>
      <c r="E35" s="1276"/>
      <c r="F35" s="1276"/>
      <c r="G35" s="1276"/>
      <c r="H35" s="1276"/>
      <c r="I35" s="1276"/>
      <c r="J35" s="1276"/>
      <c r="K35" s="1276"/>
      <c r="L35" s="1276"/>
      <c r="M35" s="1276"/>
      <c r="N35" s="1276"/>
      <c r="O35" s="1276"/>
      <c r="P35" s="1276"/>
      <c r="Q35" s="1276"/>
      <c r="R35" s="1276"/>
      <c r="S35" s="4945"/>
      <c r="T35" s="1276"/>
      <c r="U35" s="1276"/>
      <c r="V35" s="1276"/>
      <c r="W35" s="4485"/>
      <c r="X35" s="4946"/>
      <c r="Y35" s="4946"/>
      <c r="Z35" s="4946"/>
      <c r="AA35" s="4946"/>
      <c r="AB35" s="8688">
        <v>17</v>
      </c>
      <c r="AC35" s="8689"/>
      <c r="AD35" s="8845"/>
      <c r="AE35" s="8845"/>
      <c r="AF35" s="8845"/>
      <c r="AG35" s="8845"/>
      <c r="AH35" s="8845"/>
      <c r="AI35" s="8845"/>
      <c r="AJ35" s="6575"/>
      <c r="AK35" s="681"/>
      <c r="AL35" s="1179"/>
      <c r="AM35" s="4962">
        <f>ROUND(AD35,0)</f>
        <v>0</v>
      </c>
      <c r="AN35" s="1179"/>
      <c r="AO35" s="4941"/>
      <c r="AP35" s="4942"/>
      <c r="AQ35" s="4942"/>
      <c r="AR35" s="4942"/>
      <c r="AS35" s="4942"/>
      <c r="AT35" s="4942"/>
      <c r="AU35" s="4942"/>
      <c r="AV35" s="4942"/>
      <c r="AW35" s="4942"/>
      <c r="AX35" s="4942"/>
      <c r="AY35" s="4943"/>
      <c r="BA35" s="2595"/>
      <c r="BB35" s="2595"/>
      <c r="BC35" s="2595"/>
      <c r="BD35" s="2595"/>
      <c r="BE35" s="2595"/>
      <c r="BF35" s="2595"/>
      <c r="BG35" s="2595"/>
      <c r="BH35" s="2595"/>
      <c r="BI35" s="2595"/>
      <c r="BJ35" s="2595"/>
      <c r="BK35" s="42"/>
    </row>
    <row r="36" spans="1:63" s="3402" customFormat="1" ht="17.25" customHeight="1">
      <c r="A36" s="681"/>
      <c r="B36" s="2974">
        <v>18</v>
      </c>
      <c r="C36" s="4968" t="s">
        <v>4521</v>
      </c>
      <c r="D36" s="1276"/>
      <c r="E36" s="1276"/>
      <c r="F36" s="1276"/>
      <c r="G36" s="1276"/>
      <c r="H36" s="1276"/>
      <c r="I36" s="1276"/>
      <c r="J36" s="1276"/>
      <c r="K36" s="1276"/>
      <c r="L36" s="1276"/>
      <c r="M36" s="1276"/>
      <c r="N36" s="1276"/>
      <c r="O36" s="1276"/>
      <c r="P36" s="1276"/>
      <c r="Q36" s="1276"/>
      <c r="R36" s="1276"/>
      <c r="S36" s="1276"/>
      <c r="T36" s="1276"/>
      <c r="U36" s="1276"/>
      <c r="V36" s="1276"/>
      <c r="W36" s="1276"/>
      <c r="X36" s="1276"/>
      <c r="Y36" s="1276"/>
      <c r="Z36" s="1276"/>
      <c r="AA36" s="1276"/>
      <c r="AB36" s="4955"/>
      <c r="AC36" s="4969"/>
      <c r="AD36" s="4969"/>
      <c r="AE36" s="4956"/>
      <c r="AF36" s="4956"/>
      <c r="AG36" s="4956"/>
      <c r="AH36" s="4956"/>
      <c r="AI36" s="4956"/>
      <c r="AJ36" s="4956"/>
      <c r="AK36" s="681"/>
      <c r="AL36" s="1179"/>
      <c r="AM36" s="3978">
        <f>SUM(AM30:AM35)</f>
        <v>0</v>
      </c>
      <c r="AN36" s="1179"/>
      <c r="AO36" s="4941"/>
      <c r="AP36" s="4942"/>
      <c r="AQ36" s="4942"/>
      <c r="AR36" s="4942"/>
      <c r="AS36" s="4942"/>
      <c r="AT36" s="4942"/>
      <c r="AU36" s="4942"/>
      <c r="AV36" s="4942"/>
      <c r="AW36" s="4942"/>
      <c r="AX36" s="4942"/>
      <c r="AY36" s="4943"/>
      <c r="BA36" s="2595"/>
      <c r="BB36" s="2595"/>
      <c r="BC36" s="2595"/>
      <c r="BD36" s="2595"/>
      <c r="BE36" s="2595"/>
      <c r="BF36" s="2595"/>
      <c r="BG36" s="2595"/>
      <c r="BH36" s="2595"/>
      <c r="BI36" s="2595"/>
      <c r="BJ36" s="2595"/>
      <c r="BK36" s="42"/>
    </row>
    <row r="37" spans="1:63" s="3402" customFormat="1" ht="13.5" customHeight="1">
      <c r="A37" s="681"/>
      <c r="B37" s="2408"/>
      <c r="C37" s="4944" t="s">
        <v>4522</v>
      </c>
      <c r="D37" s="2686"/>
      <c r="E37" s="2686"/>
      <c r="F37" s="1276"/>
      <c r="G37" s="1276"/>
      <c r="H37" s="1276"/>
      <c r="I37" s="1276"/>
      <c r="J37" s="1276"/>
      <c r="K37" s="1276"/>
      <c r="L37" s="1276"/>
      <c r="M37" s="1276"/>
      <c r="N37" s="1276"/>
      <c r="O37" s="1276"/>
      <c r="P37" s="1276"/>
      <c r="Q37" s="1276"/>
      <c r="R37" s="1276"/>
      <c r="S37" s="1276"/>
      <c r="T37" s="1276"/>
      <c r="U37" s="1276"/>
      <c r="V37" s="1276"/>
      <c r="W37" s="4485"/>
      <c r="X37" s="1276"/>
      <c r="Y37" s="1560" t="s">
        <v>4237</v>
      </c>
      <c r="Z37" s="4970"/>
      <c r="AA37" s="4971"/>
      <c r="AB37" s="2819"/>
      <c r="AC37" s="2820"/>
      <c r="AD37" s="2820"/>
      <c r="AE37" s="4954"/>
      <c r="AF37" s="4954"/>
      <c r="AG37" s="4954"/>
      <c r="AH37" s="4954"/>
      <c r="AI37" s="4954"/>
      <c r="AJ37" s="4954"/>
      <c r="AK37" s="681"/>
      <c r="AL37" s="1179"/>
      <c r="AM37" s="1284"/>
      <c r="AN37" s="1179"/>
      <c r="AO37" s="4941"/>
      <c r="AP37" s="4942"/>
      <c r="AQ37" s="4942"/>
      <c r="AR37" s="4942"/>
      <c r="AS37" s="4942"/>
      <c r="AT37" s="4942"/>
      <c r="AU37" s="4942"/>
      <c r="AV37" s="4942"/>
      <c r="AW37" s="4942"/>
      <c r="AX37" s="4942"/>
      <c r="AY37" s="4943"/>
      <c r="BA37" s="2595"/>
      <c r="BB37" s="2595"/>
      <c r="BC37" s="2595"/>
      <c r="BD37" s="2595"/>
      <c r="BE37" s="2595"/>
      <c r="BF37" s="2595"/>
      <c r="BG37" s="2595"/>
      <c r="BH37" s="2595"/>
      <c r="BI37" s="2595"/>
      <c r="BJ37" s="2595"/>
      <c r="BK37" s="42"/>
    </row>
    <row r="38" spans="1:63" s="3402" customFormat="1" ht="5.25" customHeight="1">
      <c r="A38" s="681"/>
      <c r="B38" s="4926"/>
      <c r="C38" s="4972"/>
      <c r="D38" s="2791"/>
      <c r="E38" s="2791"/>
      <c r="F38" s="1707"/>
      <c r="G38" s="1707"/>
      <c r="H38" s="1707"/>
      <c r="I38" s="1707"/>
      <c r="J38" s="1707"/>
      <c r="K38" s="1707"/>
      <c r="L38" s="1707"/>
      <c r="M38" s="1707"/>
      <c r="N38" s="1707"/>
      <c r="O38" s="1707"/>
      <c r="P38" s="1707"/>
      <c r="Q38" s="1707"/>
      <c r="R38" s="1707"/>
      <c r="S38" s="1707"/>
      <c r="T38" s="1707"/>
      <c r="U38" s="1707"/>
      <c r="V38" s="1707"/>
      <c r="W38" s="4951"/>
      <c r="X38" s="1707"/>
      <c r="Y38" s="1707"/>
      <c r="Z38" s="4481"/>
      <c r="AA38" s="4973"/>
      <c r="AB38" s="2824"/>
      <c r="AC38" s="2825"/>
      <c r="AD38" s="2825"/>
      <c r="AE38" s="4974"/>
      <c r="AF38" s="4974"/>
      <c r="AG38" s="4974"/>
      <c r="AH38" s="4974"/>
      <c r="AI38" s="4974"/>
      <c r="AJ38" s="4974"/>
      <c r="AK38" s="681"/>
      <c r="AL38" s="1179"/>
      <c r="AM38" s="1284"/>
      <c r="AN38" s="1179"/>
      <c r="AO38" s="42"/>
      <c r="BA38" s="2595"/>
      <c r="BB38" s="2595"/>
      <c r="BC38" s="2595"/>
      <c r="BD38" s="2595"/>
      <c r="BE38" s="2595"/>
      <c r="BF38" s="2595"/>
      <c r="BG38" s="2595"/>
      <c r="BH38" s="2595"/>
      <c r="BI38" s="2595"/>
      <c r="BJ38" s="2595"/>
      <c r="BK38" s="42"/>
    </row>
    <row r="39" spans="1:63" s="4381" customFormat="1" ht="15.75" customHeight="1">
      <c r="A39" s="4353"/>
      <c r="B39" s="4963" t="str">
        <f>"Section B—Assets Placed in Service During "&amp;TaxYear&amp;" Tax Year Using the General Depreciation System"</f>
        <v>Section B—Assets Placed in Service During 2021 Tax Year Using the General Depreciation System</v>
      </c>
      <c r="C39" s="4964"/>
      <c r="D39" s="4965"/>
      <c r="E39" s="4963"/>
      <c r="F39" s="4966"/>
      <c r="G39" s="4966"/>
      <c r="H39" s="4966"/>
      <c r="I39" s="4966"/>
      <c r="J39" s="4966"/>
      <c r="K39" s="4966"/>
      <c r="L39" s="4966"/>
      <c r="M39" s="4966"/>
      <c r="N39" s="4966"/>
      <c r="O39" s="4966"/>
      <c r="P39" s="4966"/>
      <c r="Q39" s="4966"/>
      <c r="R39" s="4966"/>
      <c r="S39" s="4966"/>
      <c r="T39" s="4966"/>
      <c r="U39" s="4966"/>
      <c r="V39" s="4966"/>
      <c r="W39" s="4966"/>
      <c r="X39" s="4966"/>
      <c r="Y39" s="4966"/>
      <c r="Z39" s="4966"/>
      <c r="AA39" s="4966"/>
      <c r="AB39" s="4966"/>
      <c r="AC39" s="4966"/>
      <c r="AD39" s="4966"/>
      <c r="AE39" s="4966"/>
      <c r="AF39" s="4966"/>
      <c r="AG39" s="4966"/>
      <c r="AH39" s="4966"/>
      <c r="AI39" s="4967"/>
      <c r="AJ39" s="4967"/>
      <c r="AK39" s="4353"/>
      <c r="AL39" s="1179"/>
      <c r="AM39" s="1284"/>
      <c r="AN39" s="1179"/>
      <c r="AO39" s="4941"/>
      <c r="AP39" s="4942"/>
      <c r="AQ39" s="4942"/>
      <c r="AR39" s="4942"/>
      <c r="AS39" s="4942"/>
      <c r="AT39" s="4942"/>
      <c r="AU39" s="4942"/>
      <c r="AV39" s="4942"/>
      <c r="AW39" s="4942"/>
      <c r="AX39" s="4942"/>
      <c r="AY39" s="4943"/>
      <c r="BA39" s="2595"/>
      <c r="BB39" s="2595"/>
      <c r="BC39" s="2595"/>
      <c r="BD39" s="2595"/>
      <c r="BE39" s="2595"/>
      <c r="BF39" s="2595"/>
      <c r="BG39" s="2595"/>
      <c r="BH39" s="2595"/>
      <c r="BI39" s="2595"/>
      <c r="BJ39" s="2595"/>
      <c r="BK39" s="4355"/>
    </row>
    <row r="40" spans="1:63" s="3402" customFormat="1" ht="52.5" customHeight="1">
      <c r="A40" s="681"/>
      <c r="B40" s="8846" t="s">
        <v>4523</v>
      </c>
      <c r="C40" s="8847"/>
      <c r="D40" s="8847"/>
      <c r="E40" s="8847"/>
      <c r="F40" s="8847"/>
      <c r="G40" s="8848"/>
      <c r="H40" s="8766" t="s">
        <v>4524</v>
      </c>
      <c r="I40" s="7374"/>
      <c r="J40" s="7374"/>
      <c r="K40" s="7374"/>
      <c r="L40" s="8597"/>
      <c r="M40" s="8849" t="s">
        <v>4525</v>
      </c>
      <c r="N40" s="8790"/>
      <c r="O40" s="8790"/>
      <c r="P40" s="8790"/>
      <c r="Q40" s="8790"/>
      <c r="R40" s="8597"/>
      <c r="S40" s="8793" t="s">
        <v>4526</v>
      </c>
      <c r="T40" s="7374"/>
      <c r="U40" s="8597"/>
      <c r="V40" s="8766" t="s">
        <v>4527</v>
      </c>
      <c r="W40" s="8846"/>
      <c r="X40" s="8850"/>
      <c r="Y40" s="8846" t="s">
        <v>4528</v>
      </c>
      <c r="Z40" s="8846"/>
      <c r="AA40" s="8846"/>
      <c r="AB40" s="8846"/>
      <c r="AC40" s="8850"/>
      <c r="AD40" s="8846" t="s">
        <v>4529</v>
      </c>
      <c r="AE40" s="8846"/>
      <c r="AF40" s="8846"/>
      <c r="AG40" s="8846"/>
      <c r="AH40" s="8846"/>
      <c r="AI40" s="8846"/>
      <c r="AJ40" s="8846"/>
      <c r="AK40" s="681"/>
      <c r="AL40" s="1179"/>
      <c r="AM40" s="1284"/>
      <c r="AN40" s="1179"/>
      <c r="AO40" s="42"/>
      <c r="BA40" s="2595"/>
      <c r="BB40" s="2595"/>
      <c r="BC40" s="2595"/>
      <c r="BD40" s="2595"/>
      <c r="BE40" s="2595"/>
      <c r="BF40" s="2595"/>
      <c r="BG40" s="2595"/>
      <c r="BH40" s="2595"/>
      <c r="BI40" s="2595"/>
      <c r="BJ40" s="2595"/>
      <c r="BK40" s="42"/>
    </row>
    <row r="41" spans="1:63" s="4976" customFormat="1" ht="16.5" customHeight="1">
      <c r="A41" s="4975"/>
      <c r="B41" s="2814" t="s">
        <v>892</v>
      </c>
      <c r="C41" s="8840" t="s">
        <v>4530</v>
      </c>
      <c r="D41" s="8840"/>
      <c r="E41" s="8840"/>
      <c r="F41" s="8840"/>
      <c r="G41" s="8841"/>
      <c r="H41" s="8826"/>
      <c r="I41" s="7389"/>
      <c r="J41" s="7389"/>
      <c r="K41" s="7389"/>
      <c r="L41" s="7390"/>
      <c r="M41" s="8820"/>
      <c r="N41" s="8718"/>
      <c r="O41" s="8718"/>
      <c r="P41" s="8718"/>
      <c r="Q41" s="8718"/>
      <c r="R41" s="8719"/>
      <c r="S41" s="8830"/>
      <c r="T41" s="8831"/>
      <c r="U41" s="8832"/>
      <c r="V41" s="8827"/>
      <c r="W41" s="8828"/>
      <c r="X41" s="8829"/>
      <c r="Y41" s="8842"/>
      <c r="Z41" s="8843"/>
      <c r="AA41" s="8843"/>
      <c r="AB41" s="8843"/>
      <c r="AC41" s="8844"/>
      <c r="AD41" s="6570"/>
      <c r="AE41" s="6439"/>
      <c r="AF41" s="6439"/>
      <c r="AG41" s="6439"/>
      <c r="AH41" s="6439"/>
      <c r="AI41" s="6439"/>
      <c r="AJ41" s="6439"/>
      <c r="AK41" s="4975"/>
      <c r="AL41" s="1830"/>
      <c r="AM41" s="4962">
        <f>ROUND(AD41,0)</f>
        <v>0</v>
      </c>
      <c r="AN41" s="1830"/>
      <c r="AO41" s="5058"/>
      <c r="BA41" s="2602"/>
      <c r="BB41" s="2602"/>
      <c r="BC41" s="2602"/>
      <c r="BD41" s="2602"/>
      <c r="BE41" s="2602"/>
      <c r="BF41" s="2602"/>
      <c r="BG41" s="2602"/>
      <c r="BH41" s="2602"/>
      <c r="BI41" s="2602"/>
      <c r="BJ41" s="2602"/>
      <c r="BK41" s="2528"/>
    </row>
    <row r="42" spans="1:63" s="4976" customFormat="1" ht="16.5" customHeight="1">
      <c r="A42" s="4975"/>
      <c r="B42" s="4977" t="s">
        <v>4531</v>
      </c>
      <c r="C42" s="8840" t="s">
        <v>4532</v>
      </c>
      <c r="D42" s="8840"/>
      <c r="E42" s="8840"/>
      <c r="F42" s="8840"/>
      <c r="G42" s="8841"/>
      <c r="H42" s="8826"/>
      <c r="I42" s="7389"/>
      <c r="J42" s="7389"/>
      <c r="K42" s="7389"/>
      <c r="L42" s="7390"/>
      <c r="M42" s="8820"/>
      <c r="N42" s="8718"/>
      <c r="O42" s="8718"/>
      <c r="P42" s="8718"/>
      <c r="Q42" s="8718"/>
      <c r="R42" s="8719"/>
      <c r="S42" s="8830"/>
      <c r="T42" s="8831"/>
      <c r="U42" s="8832"/>
      <c r="V42" s="8827"/>
      <c r="W42" s="8828"/>
      <c r="X42" s="8829"/>
      <c r="Y42" s="8842"/>
      <c r="Z42" s="8843"/>
      <c r="AA42" s="8843"/>
      <c r="AB42" s="8843"/>
      <c r="AC42" s="8844"/>
      <c r="AD42" s="6570"/>
      <c r="AE42" s="6439"/>
      <c r="AF42" s="6439"/>
      <c r="AG42" s="6439"/>
      <c r="AH42" s="6439"/>
      <c r="AI42" s="6439"/>
      <c r="AJ42" s="6439"/>
      <c r="AK42" s="4975"/>
      <c r="AL42" s="1830"/>
      <c r="AM42" s="4962">
        <f t="shared" ref="AM42:AM51" si="0">ROUND(AD42,0)</f>
        <v>0</v>
      </c>
      <c r="AN42" s="1830"/>
      <c r="AO42" s="5058"/>
      <c r="BA42" s="2602"/>
      <c r="BB42" s="2602"/>
      <c r="BC42" s="2602"/>
      <c r="BD42" s="2602"/>
      <c r="BE42" s="2602"/>
      <c r="BF42" s="2602"/>
      <c r="BG42" s="2602"/>
      <c r="BH42" s="2602"/>
      <c r="BI42" s="2602"/>
      <c r="BJ42" s="2602"/>
      <c r="BK42" s="2528"/>
    </row>
    <row r="43" spans="1:63" s="4976" customFormat="1" ht="16.5" customHeight="1">
      <c r="A43" s="4975"/>
      <c r="B43" s="4977" t="s">
        <v>4533</v>
      </c>
      <c r="C43" s="8840" t="s">
        <v>4534</v>
      </c>
      <c r="D43" s="8840"/>
      <c r="E43" s="8840"/>
      <c r="F43" s="8840"/>
      <c r="G43" s="8841"/>
      <c r="H43" s="8826"/>
      <c r="I43" s="7389"/>
      <c r="J43" s="7389"/>
      <c r="K43" s="7389"/>
      <c r="L43" s="7390"/>
      <c r="M43" s="8820"/>
      <c r="N43" s="8718"/>
      <c r="O43" s="8718"/>
      <c r="P43" s="8718"/>
      <c r="Q43" s="8718"/>
      <c r="R43" s="8719"/>
      <c r="S43" s="8830"/>
      <c r="T43" s="8831"/>
      <c r="U43" s="8832"/>
      <c r="V43" s="8827"/>
      <c r="W43" s="8828"/>
      <c r="X43" s="8829"/>
      <c r="Y43" s="8842"/>
      <c r="Z43" s="8843"/>
      <c r="AA43" s="8843"/>
      <c r="AB43" s="8843"/>
      <c r="AC43" s="8844"/>
      <c r="AD43" s="6570"/>
      <c r="AE43" s="6439"/>
      <c r="AF43" s="6439"/>
      <c r="AG43" s="6439"/>
      <c r="AH43" s="6439"/>
      <c r="AI43" s="6439"/>
      <c r="AJ43" s="6439"/>
      <c r="AK43" s="4975"/>
      <c r="AL43" s="1830"/>
      <c r="AM43" s="4962">
        <f t="shared" si="0"/>
        <v>0</v>
      </c>
      <c r="AN43" s="1830"/>
      <c r="AO43" s="5058"/>
      <c r="BA43" s="2602"/>
      <c r="BB43" s="2602"/>
      <c r="BC43" s="2602"/>
      <c r="BD43" s="2602"/>
      <c r="BE43" s="2602"/>
      <c r="BF43" s="2602"/>
      <c r="BG43" s="2602"/>
      <c r="BH43" s="2602"/>
      <c r="BI43" s="2602"/>
      <c r="BJ43" s="2602"/>
      <c r="BK43" s="2528"/>
    </row>
    <row r="44" spans="1:63" s="4976" customFormat="1" ht="16.5" customHeight="1">
      <c r="A44" s="4975"/>
      <c r="B44" s="4977" t="s">
        <v>4535</v>
      </c>
      <c r="C44" s="8840" t="s">
        <v>4536</v>
      </c>
      <c r="D44" s="8840"/>
      <c r="E44" s="8840"/>
      <c r="F44" s="8840"/>
      <c r="G44" s="8841"/>
      <c r="H44" s="8826"/>
      <c r="I44" s="7389"/>
      <c r="J44" s="7389"/>
      <c r="K44" s="7389"/>
      <c r="L44" s="7390"/>
      <c r="M44" s="8820"/>
      <c r="N44" s="8718"/>
      <c r="O44" s="8718"/>
      <c r="P44" s="8718"/>
      <c r="Q44" s="8718"/>
      <c r="R44" s="8719"/>
      <c r="S44" s="8830"/>
      <c r="T44" s="8831"/>
      <c r="U44" s="8832"/>
      <c r="V44" s="8827"/>
      <c r="W44" s="8828"/>
      <c r="X44" s="8829"/>
      <c r="Y44" s="8842"/>
      <c r="Z44" s="8843"/>
      <c r="AA44" s="8843"/>
      <c r="AB44" s="8843"/>
      <c r="AC44" s="8844"/>
      <c r="AD44" s="6570"/>
      <c r="AE44" s="6439"/>
      <c r="AF44" s="6439"/>
      <c r="AG44" s="6439"/>
      <c r="AH44" s="6439"/>
      <c r="AI44" s="6439"/>
      <c r="AJ44" s="6439"/>
      <c r="AK44" s="4975"/>
      <c r="AL44" s="1830"/>
      <c r="AM44" s="4962">
        <f t="shared" si="0"/>
        <v>0</v>
      </c>
      <c r="AN44" s="1830"/>
      <c r="AO44" s="2528"/>
      <c r="BA44" s="2602"/>
      <c r="BB44" s="2602"/>
      <c r="BC44" s="2602"/>
      <c r="BD44" s="2602"/>
      <c r="BE44" s="2602"/>
      <c r="BF44" s="2602"/>
      <c r="BG44" s="2602"/>
      <c r="BH44" s="2602"/>
      <c r="BI44" s="2602"/>
      <c r="BJ44" s="2602"/>
      <c r="BK44" s="2528"/>
    </row>
    <row r="45" spans="1:63" s="4976" customFormat="1" ht="16.5" customHeight="1">
      <c r="A45" s="4975"/>
      <c r="B45" s="4977" t="s">
        <v>4537</v>
      </c>
      <c r="C45" s="8840" t="s">
        <v>4538</v>
      </c>
      <c r="D45" s="8840"/>
      <c r="E45" s="8840"/>
      <c r="F45" s="8840"/>
      <c r="G45" s="8841"/>
      <c r="H45" s="8826"/>
      <c r="I45" s="7389"/>
      <c r="J45" s="7389"/>
      <c r="K45" s="7389"/>
      <c r="L45" s="7390"/>
      <c r="M45" s="8820"/>
      <c r="N45" s="8718"/>
      <c r="O45" s="8718"/>
      <c r="P45" s="8718"/>
      <c r="Q45" s="8718"/>
      <c r="R45" s="8719"/>
      <c r="S45" s="8830"/>
      <c r="T45" s="8831"/>
      <c r="U45" s="8832"/>
      <c r="V45" s="8827"/>
      <c r="W45" s="8828"/>
      <c r="X45" s="8829"/>
      <c r="Y45" s="8842"/>
      <c r="Z45" s="8843"/>
      <c r="AA45" s="8843"/>
      <c r="AB45" s="8843"/>
      <c r="AC45" s="8844"/>
      <c r="AD45" s="6570"/>
      <c r="AE45" s="6439"/>
      <c r="AF45" s="6439"/>
      <c r="AG45" s="6439"/>
      <c r="AH45" s="6439"/>
      <c r="AI45" s="6439"/>
      <c r="AJ45" s="6439"/>
      <c r="AK45" s="4975"/>
      <c r="AL45" s="1830"/>
      <c r="AM45" s="4962">
        <f t="shared" si="0"/>
        <v>0</v>
      </c>
      <c r="AN45" s="1830"/>
      <c r="AO45" s="2528"/>
      <c r="BA45" s="2602"/>
      <c r="BB45" s="2602"/>
      <c r="BC45" s="2602"/>
      <c r="BD45" s="2602"/>
      <c r="BE45" s="2602"/>
      <c r="BF45" s="2602"/>
      <c r="BG45" s="2602"/>
      <c r="BH45" s="2602"/>
      <c r="BI45" s="2602"/>
      <c r="BJ45" s="2602"/>
      <c r="BK45" s="2528"/>
    </row>
    <row r="46" spans="1:63" s="4976" customFormat="1" ht="16.5" customHeight="1">
      <c r="A46" s="4975"/>
      <c r="B46" s="4977" t="s">
        <v>4539</v>
      </c>
      <c r="C46" s="8840" t="s">
        <v>4540</v>
      </c>
      <c r="D46" s="8840"/>
      <c r="E46" s="8840"/>
      <c r="F46" s="8840"/>
      <c r="G46" s="8841"/>
      <c r="H46" s="8826"/>
      <c r="I46" s="7389"/>
      <c r="J46" s="7389"/>
      <c r="K46" s="7389"/>
      <c r="L46" s="7390"/>
      <c r="M46" s="8820"/>
      <c r="N46" s="8718"/>
      <c r="O46" s="8718"/>
      <c r="P46" s="8718"/>
      <c r="Q46" s="8718"/>
      <c r="R46" s="8719"/>
      <c r="S46" s="8830"/>
      <c r="T46" s="8831"/>
      <c r="U46" s="8832"/>
      <c r="V46" s="8827"/>
      <c r="W46" s="8828"/>
      <c r="X46" s="8829"/>
      <c r="Y46" s="8842"/>
      <c r="Z46" s="8843"/>
      <c r="AA46" s="8843"/>
      <c r="AB46" s="8843"/>
      <c r="AC46" s="8844"/>
      <c r="AD46" s="6570"/>
      <c r="AE46" s="6439"/>
      <c r="AF46" s="6439"/>
      <c r="AG46" s="6439"/>
      <c r="AH46" s="6439"/>
      <c r="AI46" s="6439"/>
      <c r="AJ46" s="6439"/>
      <c r="AK46" s="4975"/>
      <c r="AL46" s="1830"/>
      <c r="AM46" s="4962">
        <f t="shared" si="0"/>
        <v>0</v>
      </c>
      <c r="AN46" s="1830"/>
      <c r="AO46" s="2528"/>
      <c r="BA46" s="2602"/>
      <c r="BB46" s="2602"/>
      <c r="BC46" s="2602"/>
      <c r="BD46" s="2602"/>
      <c r="BE46" s="2602"/>
      <c r="BF46" s="2602"/>
      <c r="BG46" s="2602"/>
      <c r="BH46" s="2602"/>
      <c r="BI46" s="2602"/>
      <c r="BJ46" s="2602"/>
      <c r="BK46" s="2528"/>
    </row>
    <row r="47" spans="1:63" s="4976" customFormat="1" ht="16.5" customHeight="1">
      <c r="A47" s="4975"/>
      <c r="B47" s="4977" t="s">
        <v>4541</v>
      </c>
      <c r="C47" s="8840" t="s">
        <v>4542</v>
      </c>
      <c r="D47" s="8840"/>
      <c r="E47" s="8840"/>
      <c r="F47" s="8840"/>
      <c r="G47" s="8841"/>
      <c r="H47" s="8826"/>
      <c r="I47" s="7389"/>
      <c r="J47" s="7389"/>
      <c r="K47" s="7389"/>
      <c r="L47" s="7390"/>
      <c r="M47" s="8820"/>
      <c r="N47" s="8718"/>
      <c r="O47" s="8718"/>
      <c r="P47" s="8718"/>
      <c r="Q47" s="8718"/>
      <c r="R47" s="8719"/>
      <c r="S47" s="8837" t="s">
        <v>4543</v>
      </c>
      <c r="T47" s="8838"/>
      <c r="U47" s="8839"/>
      <c r="V47" s="8827"/>
      <c r="W47" s="8828"/>
      <c r="X47" s="8829"/>
      <c r="Y47" s="8823" t="s">
        <v>4544</v>
      </c>
      <c r="Z47" s="8824"/>
      <c r="AA47" s="8824"/>
      <c r="AB47" s="8824"/>
      <c r="AC47" s="8825"/>
      <c r="AD47" s="6570"/>
      <c r="AE47" s="6439"/>
      <c r="AF47" s="6439"/>
      <c r="AG47" s="6439"/>
      <c r="AH47" s="6439"/>
      <c r="AI47" s="6439"/>
      <c r="AJ47" s="6439"/>
      <c r="AK47" s="4975"/>
      <c r="AL47" s="1830"/>
      <c r="AM47" s="4962">
        <f t="shared" si="0"/>
        <v>0</v>
      </c>
      <c r="AN47" s="1830"/>
      <c r="AO47" s="2528"/>
      <c r="BA47" s="2602"/>
      <c r="BB47" s="2602"/>
      <c r="BC47" s="2602"/>
      <c r="BD47" s="2602"/>
      <c r="BE47" s="2602"/>
      <c r="BF47" s="2602"/>
      <c r="BG47" s="2602"/>
      <c r="BH47" s="2602"/>
      <c r="BI47" s="2602"/>
      <c r="BJ47" s="2602"/>
      <c r="BK47" s="2528"/>
    </row>
    <row r="48" spans="1:63" s="4976" customFormat="1" ht="16.5" customHeight="1">
      <c r="A48" s="4975"/>
      <c r="B48" s="4978" t="s">
        <v>4545</v>
      </c>
      <c r="C48" s="8835" t="s">
        <v>4546</v>
      </c>
      <c r="D48" s="8835"/>
      <c r="E48" s="8835"/>
      <c r="F48" s="8835"/>
      <c r="G48" s="8836"/>
      <c r="H48" s="8817"/>
      <c r="I48" s="8818"/>
      <c r="J48" s="8818"/>
      <c r="K48" s="8818"/>
      <c r="L48" s="8819"/>
      <c r="M48" s="8820"/>
      <c r="N48" s="8718"/>
      <c r="O48" s="8718"/>
      <c r="P48" s="8718"/>
      <c r="Q48" s="8718"/>
      <c r="R48" s="8719"/>
      <c r="S48" s="8837" t="s">
        <v>4547</v>
      </c>
      <c r="T48" s="8838"/>
      <c r="U48" s="8839"/>
      <c r="V48" s="8823" t="s">
        <v>4548</v>
      </c>
      <c r="W48" s="8824"/>
      <c r="X48" s="8825"/>
      <c r="Y48" s="8823" t="s">
        <v>4544</v>
      </c>
      <c r="Z48" s="8824"/>
      <c r="AA48" s="8824"/>
      <c r="AB48" s="8824"/>
      <c r="AC48" s="8825"/>
      <c r="AD48" s="6570"/>
      <c r="AE48" s="6439"/>
      <c r="AF48" s="6439"/>
      <c r="AG48" s="6439"/>
      <c r="AH48" s="6439"/>
      <c r="AI48" s="6439"/>
      <c r="AJ48" s="6439"/>
      <c r="AK48" s="4975"/>
      <c r="AL48" s="1830"/>
      <c r="AM48" s="4962">
        <f t="shared" si="0"/>
        <v>0</v>
      </c>
      <c r="AN48" s="1830"/>
      <c r="AO48" s="2528"/>
      <c r="BA48" s="2602"/>
      <c r="BB48" s="2602"/>
      <c r="BC48" s="2602"/>
      <c r="BD48" s="2602"/>
      <c r="BE48" s="2602"/>
      <c r="BF48" s="2602"/>
      <c r="BG48" s="2602"/>
      <c r="BH48" s="2602"/>
      <c r="BI48" s="2602"/>
      <c r="BJ48" s="2602"/>
      <c r="BK48" s="2528"/>
    </row>
    <row r="49" spans="1:63" s="4976" customFormat="1" ht="16.5" customHeight="1">
      <c r="A49" s="4975"/>
      <c r="B49" s="4979"/>
      <c r="C49" s="8833" t="s">
        <v>4549</v>
      </c>
      <c r="D49" s="8833"/>
      <c r="E49" s="8833"/>
      <c r="F49" s="8833"/>
      <c r="G49" s="8834"/>
      <c r="H49" s="8817"/>
      <c r="I49" s="8818"/>
      <c r="J49" s="8818"/>
      <c r="K49" s="8818"/>
      <c r="L49" s="8819"/>
      <c r="M49" s="8820"/>
      <c r="N49" s="8718"/>
      <c r="O49" s="8718"/>
      <c r="P49" s="8718"/>
      <c r="Q49" s="8718"/>
      <c r="R49" s="8719"/>
      <c r="S49" s="8837" t="s">
        <v>4547</v>
      </c>
      <c r="T49" s="8838"/>
      <c r="U49" s="8839"/>
      <c r="V49" s="8823" t="s">
        <v>4548</v>
      </c>
      <c r="W49" s="8824"/>
      <c r="X49" s="8825"/>
      <c r="Y49" s="8823" t="s">
        <v>4544</v>
      </c>
      <c r="Z49" s="8824"/>
      <c r="AA49" s="8824"/>
      <c r="AB49" s="8824"/>
      <c r="AC49" s="8825"/>
      <c r="AD49" s="6570"/>
      <c r="AE49" s="6439"/>
      <c r="AF49" s="6439"/>
      <c r="AG49" s="6439"/>
      <c r="AH49" s="6439"/>
      <c r="AI49" s="6439"/>
      <c r="AJ49" s="6439"/>
      <c r="AK49" s="4975"/>
      <c r="AL49" s="1830"/>
      <c r="AM49" s="4962">
        <f t="shared" si="0"/>
        <v>0</v>
      </c>
      <c r="AN49" s="1830"/>
      <c r="AO49" s="2528"/>
      <c r="BA49" s="2602"/>
      <c r="BB49" s="2602"/>
      <c r="BC49" s="2602"/>
      <c r="BD49" s="2602"/>
      <c r="BE49" s="2602"/>
      <c r="BF49" s="2602"/>
      <c r="BG49" s="2602"/>
      <c r="BH49" s="2602"/>
      <c r="BI49" s="2602"/>
      <c r="BJ49" s="2602"/>
      <c r="BK49" s="2528"/>
    </row>
    <row r="50" spans="1:63" s="4976" customFormat="1" ht="16.5" customHeight="1">
      <c r="A50" s="4975"/>
      <c r="B50" s="4927" t="s">
        <v>4550</v>
      </c>
      <c r="C50" s="8835" t="s">
        <v>4551</v>
      </c>
      <c r="D50" s="8835"/>
      <c r="E50" s="8835"/>
      <c r="F50" s="8835"/>
      <c r="G50" s="8836"/>
      <c r="H50" s="8817"/>
      <c r="I50" s="8818"/>
      <c r="J50" s="8818"/>
      <c r="K50" s="8818"/>
      <c r="L50" s="8819"/>
      <c r="M50" s="8820"/>
      <c r="N50" s="8718"/>
      <c r="O50" s="8718"/>
      <c r="P50" s="8718"/>
      <c r="Q50" s="8718"/>
      <c r="R50" s="8719"/>
      <c r="S50" s="8837" t="s">
        <v>4552</v>
      </c>
      <c r="T50" s="8838"/>
      <c r="U50" s="8839"/>
      <c r="V50" s="8823" t="s">
        <v>4548</v>
      </c>
      <c r="W50" s="8824"/>
      <c r="X50" s="8825"/>
      <c r="Y50" s="8823" t="s">
        <v>4544</v>
      </c>
      <c r="Z50" s="8824"/>
      <c r="AA50" s="8824"/>
      <c r="AB50" s="8824"/>
      <c r="AC50" s="8825"/>
      <c r="AD50" s="6570"/>
      <c r="AE50" s="6439"/>
      <c r="AF50" s="6439"/>
      <c r="AG50" s="6439"/>
      <c r="AH50" s="6439"/>
      <c r="AI50" s="6439"/>
      <c r="AJ50" s="6439"/>
      <c r="AK50" s="4975"/>
      <c r="AL50" s="1830"/>
      <c r="AM50" s="4962">
        <f t="shared" si="0"/>
        <v>0</v>
      </c>
      <c r="AN50" s="1830"/>
      <c r="AO50" s="2528"/>
      <c r="BA50" s="2602"/>
      <c r="BB50" s="2602"/>
      <c r="BC50" s="2602"/>
      <c r="BD50" s="2602"/>
      <c r="BE50" s="2602"/>
      <c r="BF50" s="2602"/>
      <c r="BG50" s="2602"/>
      <c r="BH50" s="2602"/>
      <c r="BI50" s="2602"/>
      <c r="BJ50" s="2602"/>
      <c r="BK50" s="2528"/>
    </row>
    <row r="51" spans="1:63" s="4976" customFormat="1" ht="16.5" customHeight="1">
      <c r="A51" s="4975"/>
      <c r="B51" s="4980"/>
      <c r="C51" s="8833" t="s">
        <v>4549</v>
      </c>
      <c r="D51" s="8833"/>
      <c r="E51" s="8833"/>
      <c r="F51" s="8833"/>
      <c r="G51" s="8834"/>
      <c r="H51" s="8817"/>
      <c r="I51" s="8818"/>
      <c r="J51" s="8818"/>
      <c r="K51" s="8818"/>
      <c r="L51" s="8819"/>
      <c r="M51" s="8820"/>
      <c r="N51" s="8718"/>
      <c r="O51" s="8718"/>
      <c r="P51" s="8718"/>
      <c r="Q51" s="8718"/>
      <c r="R51" s="8719"/>
      <c r="S51" s="8830"/>
      <c r="T51" s="8831"/>
      <c r="U51" s="8832"/>
      <c r="V51" s="8823" t="s">
        <v>4548</v>
      </c>
      <c r="W51" s="8824"/>
      <c r="X51" s="8825"/>
      <c r="Y51" s="8823" t="s">
        <v>4544</v>
      </c>
      <c r="Z51" s="8824"/>
      <c r="AA51" s="8824"/>
      <c r="AB51" s="8824"/>
      <c r="AC51" s="8825"/>
      <c r="AD51" s="6570"/>
      <c r="AE51" s="6439"/>
      <c r="AF51" s="6439"/>
      <c r="AG51" s="6439"/>
      <c r="AH51" s="6439"/>
      <c r="AI51" s="6439"/>
      <c r="AJ51" s="6439"/>
      <c r="AK51" s="4975"/>
      <c r="AL51" s="1830"/>
      <c r="AM51" s="4962">
        <f t="shared" si="0"/>
        <v>0</v>
      </c>
      <c r="AN51" s="1830"/>
      <c r="AO51" s="2528"/>
      <c r="BA51" s="2602"/>
      <c r="BB51" s="2602"/>
      <c r="BC51" s="2602"/>
      <c r="BD51" s="2602"/>
      <c r="BE51" s="2602"/>
      <c r="BF51" s="2602"/>
      <c r="BG51" s="2602"/>
      <c r="BH51" s="2602"/>
      <c r="BI51" s="2602"/>
      <c r="BJ51" s="2602"/>
      <c r="BK51" s="2528"/>
    </row>
    <row r="52" spans="1:63" s="4381" customFormat="1" ht="16.5" customHeight="1">
      <c r="A52" s="4353"/>
      <c r="B52" s="4963" t="str">
        <f>"Section C—Assets Placed in Service During "&amp;TaxYear&amp;" Tax Year Using the Alternative Depreciation System"</f>
        <v>Section C—Assets Placed in Service During 2021 Tax Year Using the Alternative Depreciation System</v>
      </c>
      <c r="C52" s="4964"/>
      <c r="D52" s="4965"/>
      <c r="E52" s="4963"/>
      <c r="F52" s="4966"/>
      <c r="G52" s="4966"/>
      <c r="H52" s="4966"/>
      <c r="I52" s="4966"/>
      <c r="J52" s="4966"/>
      <c r="K52" s="4966"/>
      <c r="L52" s="4966"/>
      <c r="M52" s="4966"/>
      <c r="N52" s="4966"/>
      <c r="O52" s="4966"/>
      <c r="P52" s="4966"/>
      <c r="Q52" s="4966"/>
      <c r="R52" s="4966"/>
      <c r="S52" s="4981"/>
      <c r="T52" s="4981"/>
      <c r="U52" s="4981"/>
      <c r="V52" s="4981"/>
      <c r="W52" s="4981"/>
      <c r="X52" s="4981"/>
      <c r="Y52" s="4981"/>
      <c r="Z52" s="4981"/>
      <c r="AA52" s="4981"/>
      <c r="AB52" s="4981"/>
      <c r="AC52" s="4981"/>
      <c r="AD52" s="4966"/>
      <c r="AE52" s="4966"/>
      <c r="AF52" s="4966"/>
      <c r="AG52" s="4966"/>
      <c r="AH52" s="4966"/>
      <c r="AI52" s="4967"/>
      <c r="AJ52" s="4967"/>
      <c r="AK52" s="4353"/>
      <c r="AL52" s="1179"/>
      <c r="AM52" s="4962">
        <f>ROUND(AD53,0)</f>
        <v>0</v>
      </c>
      <c r="AN52" s="1179"/>
      <c r="AO52" s="4355"/>
      <c r="BA52" s="2595"/>
      <c r="BB52" s="2595"/>
      <c r="BC52" s="2595"/>
      <c r="BD52" s="2595"/>
      <c r="BE52" s="2595"/>
      <c r="BF52" s="2595"/>
      <c r="BG52" s="2595"/>
      <c r="BH52" s="2595"/>
      <c r="BI52" s="2595"/>
      <c r="BJ52" s="2595"/>
      <c r="BK52" s="4355"/>
    </row>
    <row r="53" spans="1:63" s="4976" customFormat="1" ht="16.5" customHeight="1">
      <c r="A53" s="4975"/>
      <c r="B53" s="4982" t="s">
        <v>218</v>
      </c>
      <c r="C53" s="8815" t="s">
        <v>4553</v>
      </c>
      <c r="D53" s="8815"/>
      <c r="E53" s="8815"/>
      <c r="F53" s="8815"/>
      <c r="G53" s="8816"/>
      <c r="H53" s="8826"/>
      <c r="I53" s="7389"/>
      <c r="J53" s="7389"/>
      <c r="K53" s="7389"/>
      <c r="L53" s="7390"/>
      <c r="M53" s="8820"/>
      <c r="N53" s="8718"/>
      <c r="O53" s="8718"/>
      <c r="P53" s="8718"/>
      <c r="Q53" s="8718"/>
      <c r="R53" s="8719"/>
      <c r="S53" s="8830"/>
      <c r="T53" s="8831"/>
      <c r="U53" s="8832"/>
      <c r="V53" s="8827"/>
      <c r="W53" s="8828"/>
      <c r="X53" s="8829"/>
      <c r="Y53" s="8823" t="s">
        <v>4544</v>
      </c>
      <c r="Z53" s="8824"/>
      <c r="AA53" s="8824"/>
      <c r="AB53" s="8824"/>
      <c r="AC53" s="8825"/>
      <c r="AD53" s="6570"/>
      <c r="AE53" s="6439"/>
      <c r="AF53" s="6439"/>
      <c r="AG53" s="6439"/>
      <c r="AH53" s="6439"/>
      <c r="AI53" s="6439"/>
      <c r="AJ53" s="6439"/>
      <c r="AK53" s="4975"/>
      <c r="AL53" s="1830"/>
      <c r="AM53" s="4962">
        <f>ROUND(AD54,0)</f>
        <v>0</v>
      </c>
      <c r="AN53" s="1830"/>
      <c r="AO53" s="2528"/>
      <c r="BA53" s="2602"/>
      <c r="BB53" s="2602"/>
      <c r="BC53" s="2602"/>
      <c r="BD53" s="2602"/>
      <c r="BE53" s="2602"/>
      <c r="BF53" s="2602"/>
      <c r="BG53" s="2602"/>
      <c r="BH53" s="2602"/>
      <c r="BI53" s="2602"/>
      <c r="BJ53" s="2602"/>
      <c r="BK53" s="2528"/>
    </row>
    <row r="54" spans="1:63" s="4976" customFormat="1" ht="16.5" customHeight="1">
      <c r="A54" s="4975"/>
      <c r="B54" s="4977" t="s">
        <v>4531</v>
      </c>
      <c r="C54" s="8815" t="s">
        <v>4554</v>
      </c>
      <c r="D54" s="8815"/>
      <c r="E54" s="8815"/>
      <c r="F54" s="8815"/>
      <c r="G54" s="8816"/>
      <c r="H54" s="8826"/>
      <c r="I54" s="7389"/>
      <c r="J54" s="7389"/>
      <c r="K54" s="7389"/>
      <c r="L54" s="7390"/>
      <c r="M54" s="8820"/>
      <c r="N54" s="8718"/>
      <c r="O54" s="8718"/>
      <c r="P54" s="8718"/>
      <c r="Q54" s="8718"/>
      <c r="R54" s="8719"/>
      <c r="S54" s="8821" t="s">
        <v>4555</v>
      </c>
      <c r="T54" s="8822"/>
      <c r="U54" s="8822"/>
      <c r="V54" s="8827"/>
      <c r="W54" s="8828"/>
      <c r="X54" s="8829"/>
      <c r="Y54" s="8823" t="s">
        <v>4544</v>
      </c>
      <c r="Z54" s="8824"/>
      <c r="AA54" s="8824"/>
      <c r="AB54" s="8824"/>
      <c r="AC54" s="8825"/>
      <c r="AD54" s="6570"/>
      <c r="AE54" s="6439"/>
      <c r="AF54" s="6439"/>
      <c r="AG54" s="6439"/>
      <c r="AH54" s="6439"/>
      <c r="AI54" s="6439"/>
      <c r="AJ54" s="6439"/>
      <c r="AK54" s="4975"/>
      <c r="AL54" s="1830"/>
      <c r="AM54" s="4962">
        <f>ROUND(AD55,0)</f>
        <v>0</v>
      </c>
      <c r="AN54" s="1830"/>
      <c r="AO54" s="2528"/>
      <c r="BA54" s="2602"/>
      <c r="BB54" s="2602"/>
      <c r="BC54" s="2602"/>
      <c r="BD54" s="2602"/>
      <c r="BE54" s="2602"/>
      <c r="BF54" s="2602"/>
      <c r="BG54" s="2602"/>
      <c r="BH54" s="2602"/>
      <c r="BI54" s="2602"/>
      <c r="BJ54" s="2602"/>
      <c r="BK54" s="2528"/>
    </row>
    <row r="55" spans="1:63" s="4976" customFormat="1" ht="16.5" customHeight="1">
      <c r="A55" s="4975"/>
      <c r="B55" s="4977" t="s">
        <v>4533</v>
      </c>
      <c r="C55" s="8815" t="s">
        <v>4556</v>
      </c>
      <c r="D55" s="8815"/>
      <c r="E55" s="8815"/>
      <c r="F55" s="8815"/>
      <c r="G55" s="8816"/>
      <c r="H55" s="8817"/>
      <c r="I55" s="8818"/>
      <c r="J55" s="8818"/>
      <c r="K55" s="8818"/>
      <c r="L55" s="8819"/>
      <c r="M55" s="8820"/>
      <c r="N55" s="8718"/>
      <c r="O55" s="8718"/>
      <c r="P55" s="8718"/>
      <c r="Q55" s="8718"/>
      <c r="R55" s="8719"/>
      <c r="S55" s="8821" t="s">
        <v>4557</v>
      </c>
      <c r="T55" s="8822"/>
      <c r="U55" s="8822"/>
      <c r="V55" s="8823" t="s">
        <v>4548</v>
      </c>
      <c r="W55" s="8824"/>
      <c r="X55" s="8825"/>
      <c r="Y55" s="8823" t="s">
        <v>4544</v>
      </c>
      <c r="Z55" s="8824"/>
      <c r="AA55" s="8824"/>
      <c r="AB55" s="8824"/>
      <c r="AC55" s="8825"/>
      <c r="AD55" s="6570"/>
      <c r="AE55" s="6439"/>
      <c r="AF55" s="6439"/>
      <c r="AG55" s="6439"/>
      <c r="AH55" s="6439"/>
      <c r="AI55" s="6439"/>
      <c r="AJ55" s="6439"/>
      <c r="AK55" s="4975"/>
      <c r="AL55" s="1830"/>
      <c r="AM55" s="4962">
        <f>ROUND(AD56,0)</f>
        <v>0</v>
      </c>
      <c r="AN55" s="1830"/>
      <c r="AO55" s="2528"/>
      <c r="BA55" s="2602"/>
      <c r="BB55" s="2602"/>
      <c r="BC55" s="2602"/>
      <c r="BD55" s="2602"/>
      <c r="BE55" s="2602"/>
      <c r="BF55" s="2602"/>
      <c r="BG55" s="2602"/>
      <c r="BH55" s="2602"/>
      <c r="BI55" s="2602"/>
      <c r="BJ55" s="2602"/>
      <c r="BK55" s="2528"/>
    </row>
    <row r="56" spans="1:63" s="4976" customFormat="1" ht="16.5" customHeight="1" thickBot="1">
      <c r="A56" s="4975"/>
      <c r="B56" s="4983" t="s">
        <v>4535</v>
      </c>
      <c r="C56" s="8801" t="s">
        <v>4558</v>
      </c>
      <c r="D56" s="8801"/>
      <c r="E56" s="8801"/>
      <c r="F56" s="8801"/>
      <c r="G56" s="8802"/>
      <c r="H56" s="8803"/>
      <c r="I56" s="8804"/>
      <c r="J56" s="8804"/>
      <c r="K56" s="8804"/>
      <c r="L56" s="8805"/>
      <c r="M56" s="8806"/>
      <c r="N56" s="8807"/>
      <c r="O56" s="8807"/>
      <c r="P56" s="8807"/>
      <c r="Q56" s="8807"/>
      <c r="R56" s="8808"/>
      <c r="S56" s="8809" t="s">
        <v>4559</v>
      </c>
      <c r="T56" s="8810"/>
      <c r="U56" s="8811"/>
      <c r="V56" s="8812" t="s">
        <v>4548</v>
      </c>
      <c r="W56" s="8813"/>
      <c r="X56" s="8814"/>
      <c r="Y56" s="8812" t="s">
        <v>4544</v>
      </c>
      <c r="Z56" s="8813"/>
      <c r="AA56" s="8813"/>
      <c r="AB56" s="8813"/>
      <c r="AC56" s="8814"/>
      <c r="AD56" s="8794"/>
      <c r="AE56" s="8795"/>
      <c r="AF56" s="8795"/>
      <c r="AG56" s="8795"/>
      <c r="AH56" s="8795"/>
      <c r="AI56" s="8795"/>
      <c r="AJ56" s="8795"/>
      <c r="AK56" s="4975"/>
      <c r="AL56" s="1830"/>
      <c r="AM56" s="24" t="s">
        <v>90</v>
      </c>
      <c r="AN56" s="1830"/>
      <c r="AO56" s="2528"/>
      <c r="BA56" s="2602"/>
      <c r="BB56" s="2602"/>
      <c r="BC56" s="2602"/>
      <c r="BD56" s="2602"/>
      <c r="BE56" s="2602"/>
      <c r="BF56" s="2602"/>
      <c r="BG56" s="2602"/>
      <c r="BH56" s="2602"/>
      <c r="BI56" s="2602"/>
      <c r="BJ56" s="2602"/>
      <c r="BK56" s="2528"/>
    </row>
    <row r="57" spans="1:63" s="4381" customFormat="1" ht="15.75" customHeight="1" thickBot="1">
      <c r="A57" s="4353"/>
      <c r="B57" s="8524" t="s">
        <v>470</v>
      </c>
      <c r="C57" s="8728"/>
      <c r="D57" s="4958" t="s">
        <v>4560</v>
      </c>
      <c r="E57" s="4959"/>
      <c r="F57" s="4960"/>
      <c r="G57" s="4960"/>
      <c r="H57" s="4937"/>
      <c r="I57" s="4937"/>
      <c r="J57" s="4937"/>
      <c r="K57" s="4937"/>
      <c r="L57" s="4937"/>
      <c r="M57" s="4960"/>
      <c r="N57" s="4960"/>
      <c r="O57" s="4960"/>
      <c r="P57" s="4960"/>
      <c r="Q57" s="4960"/>
      <c r="R57" s="4960"/>
      <c r="S57" s="4937"/>
      <c r="T57" s="4937"/>
      <c r="U57" s="4937"/>
      <c r="V57" s="4937"/>
      <c r="W57" s="4937"/>
      <c r="X57" s="4937"/>
      <c r="Y57" s="4937"/>
      <c r="Z57" s="4937"/>
      <c r="AA57" s="4937"/>
      <c r="AB57" s="4937"/>
      <c r="AC57" s="4937"/>
      <c r="AD57" s="4937"/>
      <c r="AE57" s="4937"/>
      <c r="AF57" s="4937"/>
      <c r="AG57" s="4937"/>
      <c r="AH57" s="4937"/>
      <c r="AI57" s="4940"/>
      <c r="AJ57" s="4940"/>
      <c r="AK57" s="4353"/>
      <c r="AL57" s="1179"/>
      <c r="AM57" s="24" t="s">
        <v>411</v>
      </c>
      <c r="AN57" s="1179"/>
      <c r="AO57" s="4355"/>
      <c r="BA57" s="2595"/>
      <c r="BB57" s="2595"/>
      <c r="BC57" s="2595"/>
      <c r="BD57" s="2595"/>
      <c r="BE57" s="2595"/>
      <c r="BF57" s="2595"/>
      <c r="BG57" s="2595"/>
      <c r="BH57" s="2595"/>
      <c r="BI57" s="2595"/>
      <c r="BJ57" s="2595"/>
      <c r="BK57" s="4355"/>
    </row>
    <row r="58" spans="1:63" s="3402" customFormat="1" ht="15.75" customHeight="1" thickBot="1">
      <c r="A58" s="681"/>
      <c r="B58" s="2408">
        <v>21</v>
      </c>
      <c r="C58" s="3081" t="s">
        <v>4561</v>
      </c>
      <c r="D58" s="2944"/>
      <c r="E58" s="2686"/>
      <c r="F58" s="1276"/>
      <c r="G58" s="1276"/>
      <c r="H58" s="1276"/>
      <c r="I58" s="1276"/>
      <c r="J58" s="1276"/>
      <c r="K58" s="1276"/>
      <c r="L58" s="1276"/>
      <c r="M58" s="1276"/>
      <c r="N58" s="1276"/>
      <c r="O58" s="1276"/>
      <c r="P58" s="1276"/>
      <c r="Q58" s="1276"/>
      <c r="R58" s="1276"/>
      <c r="S58" s="1276"/>
      <c r="T58" s="1276"/>
      <c r="U58" s="1276"/>
      <c r="V58" s="1276"/>
      <c r="W58" s="2065"/>
      <c r="X58" s="1276"/>
      <c r="Y58" s="1276"/>
      <c r="Z58" s="1276"/>
      <c r="AA58" s="1560" t="s">
        <v>4237</v>
      </c>
      <c r="AB58" s="8688">
        <v>21</v>
      </c>
      <c r="AC58" s="8689"/>
      <c r="AD58" s="8796">
        <f>IF(AM58&lt;&gt;"",ROUND(AM58,0),AA84)</f>
        <v>0</v>
      </c>
      <c r="AE58" s="8796"/>
      <c r="AF58" s="8796"/>
      <c r="AG58" s="8796"/>
      <c r="AH58" s="8796"/>
      <c r="AI58" s="8796"/>
      <c r="AJ58" s="6626"/>
      <c r="AK58" s="681"/>
      <c r="AL58" s="1179"/>
      <c r="AM58" s="4952"/>
      <c r="AN58" s="1179"/>
      <c r="AO58" s="42"/>
      <c r="BA58" s="2595"/>
      <c r="BB58" s="2595"/>
      <c r="BC58" s="2595"/>
      <c r="BD58" s="2595"/>
      <c r="BE58" s="2595"/>
      <c r="BF58" s="2595"/>
      <c r="BG58" s="2595"/>
      <c r="BH58" s="2595"/>
      <c r="BI58" s="2595"/>
      <c r="BJ58" s="2595"/>
      <c r="BK58" s="42"/>
    </row>
    <row r="59" spans="1:63" s="3402" customFormat="1" ht="15.75" customHeight="1" thickBot="1">
      <c r="A59" s="681"/>
      <c r="B59" s="2974">
        <v>22</v>
      </c>
      <c r="C59" s="4944" t="s">
        <v>4647</v>
      </c>
      <c r="D59" s="2686"/>
      <c r="E59" s="1276"/>
      <c r="F59" s="1276"/>
      <c r="G59" s="1276"/>
      <c r="H59" s="1276"/>
      <c r="I59" s="1276"/>
      <c r="J59" s="1276"/>
      <c r="K59" s="2065"/>
      <c r="L59" s="4945"/>
      <c r="M59" s="4947"/>
      <c r="N59" s="2065"/>
      <c r="O59" s="2065"/>
      <c r="P59" s="2065"/>
      <c r="Q59" s="2065"/>
      <c r="R59" s="2065"/>
      <c r="S59" s="1276"/>
      <c r="T59" s="1276"/>
      <c r="U59" s="1276"/>
      <c r="V59" s="2065"/>
      <c r="W59" s="4485"/>
      <c r="X59" s="4948"/>
      <c r="Y59" s="4949"/>
      <c r="Z59" s="4949"/>
      <c r="AA59" s="4949"/>
      <c r="AB59" s="8778"/>
      <c r="AC59" s="8797"/>
      <c r="AD59" s="2822"/>
      <c r="AE59" s="4946"/>
      <c r="AF59" s="4946"/>
      <c r="AG59" s="4946"/>
      <c r="AH59" s="4946"/>
      <c r="AI59" s="4946"/>
      <c r="AJ59" s="4946"/>
      <c r="AK59" s="681"/>
      <c r="AL59" s="1179"/>
      <c r="AM59" s="4984">
        <f>SUM(AM41:AM55)</f>
        <v>0</v>
      </c>
      <c r="AN59" s="1179"/>
      <c r="AO59" s="42"/>
      <c r="BA59" s="2595"/>
      <c r="BB59" s="2595"/>
      <c r="BC59" s="2595"/>
      <c r="BD59" s="2595"/>
      <c r="BE59" s="2595"/>
      <c r="BF59" s="2595"/>
      <c r="BG59" s="2595"/>
      <c r="BH59" s="2595"/>
      <c r="BI59" s="2595"/>
      <c r="BJ59" s="2595"/>
      <c r="BK59" s="42"/>
    </row>
    <row r="60" spans="1:63" s="3402" customFormat="1" ht="15.75" customHeight="1" thickBot="1">
      <c r="A60" s="681"/>
      <c r="B60" s="2408"/>
      <c r="C60" s="4985" t="s">
        <v>4562</v>
      </c>
      <c r="D60" s="2686"/>
      <c r="E60" s="1276"/>
      <c r="F60" s="1276"/>
      <c r="G60" s="1276"/>
      <c r="H60" s="1276"/>
      <c r="I60" s="1276"/>
      <c r="J60" s="1276"/>
      <c r="K60" s="1276"/>
      <c r="L60" s="1276"/>
      <c r="M60" s="1276"/>
      <c r="N60" s="1276"/>
      <c r="O60" s="1276"/>
      <c r="P60" s="1276"/>
      <c r="Q60" s="1276"/>
      <c r="R60" s="1276"/>
      <c r="S60" s="1276"/>
      <c r="T60" s="1276"/>
      <c r="U60" s="1276"/>
      <c r="V60" s="1276"/>
      <c r="W60" s="4485"/>
      <c r="X60" s="1276"/>
      <c r="Y60" s="1276"/>
      <c r="Z60" s="1276"/>
      <c r="AA60" s="1560" t="s">
        <v>1039</v>
      </c>
      <c r="AB60" s="8798">
        <v>22</v>
      </c>
      <c r="AC60" s="8799"/>
      <c r="AD60" s="8800">
        <f>IF(AM60&lt;&gt;"",ROUND(AM60,0),SUM(AD25,AM36,AM59,AD58))</f>
        <v>0</v>
      </c>
      <c r="AE60" s="8800"/>
      <c r="AF60" s="8800"/>
      <c r="AG60" s="8800"/>
      <c r="AH60" s="8800"/>
      <c r="AI60" s="8800"/>
      <c r="AJ60" s="6690"/>
      <c r="AK60" s="681"/>
      <c r="AL60" s="1179"/>
      <c r="AM60" s="4952"/>
      <c r="AN60" s="1179"/>
      <c r="AO60" s="42"/>
      <c r="BA60" s="2595"/>
      <c r="BB60" s="2595"/>
      <c r="BC60" s="2595"/>
      <c r="BD60" s="2595"/>
      <c r="BE60" s="2595"/>
      <c r="BF60" s="2595"/>
      <c r="BG60" s="2595"/>
      <c r="BH60" s="2595"/>
      <c r="BI60" s="2595"/>
      <c r="BJ60" s="2595"/>
      <c r="BK60" s="42"/>
    </row>
    <row r="61" spans="1:63" s="3402" customFormat="1" ht="15.75" customHeight="1">
      <c r="A61" s="681"/>
      <c r="B61" s="2974">
        <v>23</v>
      </c>
      <c r="C61" s="3081" t="s">
        <v>4563</v>
      </c>
      <c r="D61" s="2686"/>
      <c r="E61" s="2686"/>
      <c r="F61" s="1276"/>
      <c r="G61" s="1276"/>
      <c r="H61" s="1276"/>
      <c r="I61" s="1276"/>
      <c r="J61" s="1276"/>
      <c r="K61" s="1276"/>
      <c r="L61" s="1276"/>
      <c r="M61" s="1276"/>
      <c r="N61" s="1276"/>
      <c r="O61" s="1276"/>
      <c r="P61" s="1276"/>
      <c r="Q61" s="1276"/>
      <c r="R61" s="1276"/>
      <c r="S61" s="1276"/>
      <c r="T61" s="1276"/>
      <c r="U61" s="1276"/>
      <c r="V61" s="4606"/>
      <c r="W61" s="8778"/>
      <c r="X61" s="7393"/>
      <c r="Y61" s="7393"/>
      <c r="Z61" s="7393"/>
      <c r="AA61" s="8785"/>
      <c r="AB61" s="4955"/>
      <c r="AC61" s="4969"/>
      <c r="AD61" s="4969"/>
      <c r="AE61" s="4956"/>
      <c r="AF61" s="4956"/>
      <c r="AG61" s="4956"/>
      <c r="AH61" s="4956"/>
      <c r="AI61" s="4956"/>
      <c r="AJ61" s="4956"/>
      <c r="AK61" s="681"/>
      <c r="AL61" s="1179"/>
      <c r="AM61" s="1179"/>
      <c r="AN61" s="1179"/>
      <c r="AO61" s="42"/>
      <c r="BA61" s="2595"/>
      <c r="BB61" s="2595"/>
      <c r="BC61" s="2595"/>
      <c r="BD61" s="2595"/>
      <c r="BE61" s="2595"/>
      <c r="BF61" s="2595"/>
      <c r="BG61" s="2595"/>
      <c r="BH61" s="2595"/>
      <c r="BI61" s="2595"/>
      <c r="BJ61" s="2595"/>
      <c r="BK61" s="42"/>
    </row>
    <row r="62" spans="1:63" s="3402" customFormat="1" ht="15.75" customHeight="1" thickBot="1">
      <c r="A62" s="681"/>
      <c r="B62" s="4986"/>
      <c r="C62" s="4987" t="s">
        <v>4564</v>
      </c>
      <c r="D62" s="4988"/>
      <c r="E62" s="4988"/>
      <c r="F62" s="4988"/>
      <c r="G62" s="4988"/>
      <c r="H62" s="4988"/>
      <c r="I62" s="4988"/>
      <c r="J62" s="4988"/>
      <c r="K62" s="4988"/>
      <c r="L62" s="4988"/>
      <c r="M62" s="4988"/>
      <c r="N62" s="4988"/>
      <c r="O62" s="4988"/>
      <c r="P62" s="4988"/>
      <c r="Q62" s="4988"/>
      <c r="R62" s="4988"/>
      <c r="S62" s="4988"/>
      <c r="T62" s="4988"/>
      <c r="U62" s="4270" t="s">
        <v>2401</v>
      </c>
      <c r="V62" s="4923">
        <v>23</v>
      </c>
      <c r="W62" s="8782"/>
      <c r="X62" s="8786"/>
      <c r="Y62" s="8786"/>
      <c r="Z62" s="8786"/>
      <c r="AA62" s="8787"/>
      <c r="AB62" s="4989"/>
      <c r="AC62" s="4990"/>
      <c r="AD62" s="4990"/>
      <c r="AE62" s="4991"/>
      <c r="AF62" s="4991"/>
      <c r="AG62" s="4991"/>
      <c r="AH62" s="4991"/>
      <c r="AI62" s="4991"/>
      <c r="AJ62" s="4991"/>
      <c r="AK62" s="681"/>
      <c r="AL62" s="1179"/>
      <c r="AM62" s="1179"/>
      <c r="AN62" s="1179"/>
      <c r="AO62" s="42"/>
      <c r="BA62" s="2595"/>
      <c r="BB62" s="2595"/>
      <c r="BC62" s="2595"/>
      <c r="BD62" s="2595"/>
      <c r="BE62" s="2595"/>
      <c r="BF62" s="2595"/>
      <c r="BG62" s="2595"/>
      <c r="BH62" s="2595"/>
      <c r="BI62" s="2595"/>
      <c r="BJ62" s="2595"/>
      <c r="BK62" s="42"/>
    </row>
    <row r="63" spans="1:63" s="3402" customFormat="1" ht="15.75">
      <c r="A63" s="681"/>
      <c r="B63" s="2156" t="s">
        <v>1766</v>
      </c>
      <c r="C63" s="70"/>
      <c r="D63" s="70"/>
      <c r="E63" s="70"/>
      <c r="F63" s="70"/>
      <c r="G63" s="70"/>
      <c r="H63" s="70"/>
      <c r="I63" s="70"/>
      <c r="J63" s="70"/>
      <c r="K63" s="70"/>
      <c r="L63" s="70"/>
      <c r="M63" s="70"/>
      <c r="N63" s="70"/>
      <c r="O63" s="70"/>
      <c r="P63" s="70"/>
      <c r="Q63" s="70"/>
      <c r="R63" s="70"/>
      <c r="S63" s="70"/>
      <c r="T63" s="70"/>
      <c r="U63" s="56" t="s">
        <v>4565</v>
      </c>
      <c r="V63" s="70"/>
      <c r="W63" s="501"/>
      <c r="X63" s="70"/>
      <c r="Y63" s="70"/>
      <c r="Z63" s="70"/>
      <c r="AA63" s="70"/>
      <c r="AB63" s="70"/>
      <c r="AC63" s="70"/>
      <c r="AD63" s="70"/>
      <c r="AE63" s="70"/>
      <c r="AF63" s="70"/>
      <c r="AG63" s="70"/>
      <c r="AH63" s="1035" t="s">
        <v>4566</v>
      </c>
      <c r="AI63" s="70"/>
      <c r="AJ63" s="1035" t="str">
        <f>"("&amp;TaxYear&amp;")"</f>
        <v>(2021)</v>
      </c>
      <c r="AK63" s="681"/>
      <c r="AL63" s="1179"/>
      <c r="AM63" s="1179"/>
      <c r="AN63" s="1179"/>
      <c r="AO63" s="42"/>
      <c r="BA63" s="2595"/>
      <c r="BB63" s="2595"/>
      <c r="BC63" s="2595"/>
      <c r="BD63" s="2595"/>
      <c r="BE63" s="2595"/>
      <c r="BF63" s="2595"/>
      <c r="BG63" s="2595"/>
      <c r="BH63" s="2595"/>
      <c r="BI63" s="2595"/>
      <c r="BJ63" s="2595"/>
      <c r="BK63" s="42"/>
    </row>
    <row r="64" spans="1:63" s="3402" customFormat="1" ht="15.75" customHeight="1" thickBot="1">
      <c r="A64" s="681"/>
      <c r="B64" s="4992" t="str">
        <f>"Form 4562 ("&amp;TaxYear&amp;")"</f>
        <v>Form 4562 (2021)</v>
      </c>
      <c r="C64" s="1704"/>
      <c r="D64" s="4987"/>
      <c r="E64" s="1704"/>
      <c r="F64" s="1704"/>
      <c r="G64" s="1704"/>
      <c r="H64" s="1704"/>
      <c r="I64" s="1704"/>
      <c r="J64" s="1704"/>
      <c r="K64" s="1704"/>
      <c r="L64" s="1704"/>
      <c r="M64" s="1704"/>
      <c r="N64" s="4993"/>
      <c r="O64" s="1704"/>
      <c r="P64" s="1704"/>
      <c r="Q64" s="1704"/>
      <c r="R64" s="1704"/>
      <c r="S64" s="1704"/>
      <c r="T64" s="4993"/>
      <c r="U64" s="4987"/>
      <c r="V64" s="1704"/>
      <c r="W64" s="1704"/>
      <c r="X64" s="1704"/>
      <c r="Y64" s="1704"/>
      <c r="Z64" s="1704"/>
      <c r="AA64" s="1704"/>
      <c r="AB64" s="4993"/>
      <c r="AC64" s="1704"/>
      <c r="AD64" s="1704"/>
      <c r="AE64" s="1704"/>
      <c r="AF64" s="1704"/>
      <c r="AG64" s="1704"/>
      <c r="AH64" s="1704"/>
      <c r="AI64" s="1704"/>
      <c r="AJ64" s="4994" t="s">
        <v>4567</v>
      </c>
      <c r="AK64" s="681"/>
      <c r="AL64" s="1179"/>
      <c r="AM64" s="1179"/>
      <c r="AN64" s="1179"/>
      <c r="AO64" s="42"/>
      <c r="BA64" s="2595"/>
      <c r="BB64" s="2595"/>
      <c r="BC64" s="2595"/>
      <c r="BD64" s="2595"/>
      <c r="BE64" s="2595"/>
      <c r="BF64" s="2595"/>
      <c r="BG64" s="2595"/>
      <c r="BH64" s="2595"/>
      <c r="BI64" s="2595"/>
      <c r="BJ64" s="2595"/>
      <c r="BK64" s="42"/>
    </row>
    <row r="65" spans="1:63" s="4381" customFormat="1" ht="15.75" customHeight="1">
      <c r="A65" s="4353"/>
      <c r="B65" s="6586" t="s">
        <v>123</v>
      </c>
      <c r="C65" s="8788"/>
      <c r="D65" s="4995"/>
      <c r="E65" s="4996" t="s">
        <v>4568</v>
      </c>
      <c r="F65" s="4997"/>
      <c r="G65" s="4997"/>
      <c r="H65" s="4997"/>
      <c r="I65" s="4997"/>
      <c r="J65" s="4997" t="s">
        <v>4569</v>
      </c>
      <c r="K65" s="4997"/>
      <c r="L65" s="4997"/>
      <c r="M65" s="4997"/>
      <c r="N65" s="4997"/>
      <c r="O65" s="4997"/>
      <c r="P65" s="4997"/>
      <c r="Q65" s="4997"/>
      <c r="R65" s="4997"/>
      <c r="S65" s="4997"/>
      <c r="T65" s="4997"/>
      <c r="U65" s="4997"/>
      <c r="V65" s="4997"/>
      <c r="W65" s="4997"/>
      <c r="X65" s="4997"/>
      <c r="Y65" s="4997"/>
      <c r="Z65" s="4997"/>
      <c r="AA65" s="4997"/>
      <c r="AB65" s="4997"/>
      <c r="AC65" s="4997"/>
      <c r="AD65" s="4997"/>
      <c r="AE65" s="4997"/>
      <c r="AF65" s="4997"/>
      <c r="AG65" s="4997"/>
      <c r="AH65" s="4997"/>
      <c r="AI65" s="1706"/>
      <c r="AJ65" s="1706"/>
      <c r="AK65" s="4353"/>
      <c r="AL65" s="1179"/>
      <c r="AM65" s="1179"/>
      <c r="AN65" s="1179"/>
      <c r="AO65" s="4355"/>
      <c r="BA65" s="2595"/>
      <c r="BB65" s="2595"/>
      <c r="BC65" s="2595"/>
      <c r="BD65" s="2595"/>
      <c r="BE65" s="2595"/>
      <c r="BF65" s="2595"/>
      <c r="BG65" s="2595"/>
      <c r="BH65" s="2595"/>
      <c r="BI65" s="2595"/>
      <c r="BJ65" s="2595"/>
      <c r="BK65" s="4355"/>
    </row>
    <row r="66" spans="1:63" s="3402" customFormat="1" ht="15.75" customHeight="1">
      <c r="A66" s="681"/>
      <c r="B66" s="4998"/>
      <c r="C66" s="1276"/>
      <c r="D66" s="4999"/>
      <c r="E66" s="5000" t="s">
        <v>4570</v>
      </c>
      <c r="F66" s="4999"/>
      <c r="G66" s="4999"/>
      <c r="H66" s="4999"/>
      <c r="I66" s="4999"/>
      <c r="J66" s="4999"/>
      <c r="K66" s="4999"/>
      <c r="L66" s="4999"/>
      <c r="M66" s="4999"/>
      <c r="N66" s="4999"/>
      <c r="O66" s="4999"/>
      <c r="P66" s="4999"/>
      <c r="Q66" s="4999"/>
      <c r="R66" s="4999"/>
      <c r="S66" s="4999"/>
      <c r="T66" s="5001"/>
      <c r="U66" s="5002"/>
      <c r="V66" s="5002"/>
      <c r="W66" s="5002"/>
      <c r="X66" s="5002"/>
      <c r="Y66" s="5002"/>
      <c r="Z66" s="5002"/>
      <c r="AA66" s="5002"/>
      <c r="AB66" s="5002"/>
      <c r="AC66" s="5002"/>
      <c r="AD66" s="5002"/>
      <c r="AE66" s="5002"/>
      <c r="AF66" s="5002"/>
      <c r="AG66" s="5002"/>
      <c r="AH66" s="5002"/>
      <c r="AI66" s="5002"/>
      <c r="AJ66" s="5002"/>
      <c r="AK66" s="681"/>
      <c r="AL66" s="1179"/>
      <c r="AM66" s="1179"/>
      <c r="AN66" s="1179"/>
      <c r="AO66" s="42"/>
      <c r="BA66" s="2595"/>
      <c r="BB66" s="2595"/>
      <c r="BC66" s="2595"/>
      <c r="BD66" s="2595"/>
      <c r="BE66" s="2595"/>
      <c r="BF66" s="2595"/>
      <c r="BG66" s="2595"/>
      <c r="BH66" s="2595"/>
      <c r="BI66" s="2595"/>
      <c r="BJ66" s="2595"/>
      <c r="BK66" s="42"/>
    </row>
    <row r="67" spans="1:63" s="3402" customFormat="1" ht="15.75" customHeight="1">
      <c r="A67" s="681"/>
      <c r="B67" s="4998"/>
      <c r="C67" s="1276"/>
      <c r="D67" s="2686"/>
      <c r="E67" s="1540" t="s">
        <v>4571</v>
      </c>
      <c r="F67" s="1276"/>
      <c r="G67" s="1540" t="s">
        <v>4572</v>
      </c>
      <c r="H67" s="1276"/>
      <c r="I67" s="1276"/>
      <c r="J67" s="1276"/>
      <c r="K67" s="1276"/>
      <c r="L67" s="1276"/>
      <c r="M67" s="1276"/>
      <c r="N67" s="1276"/>
      <c r="O67" s="1276"/>
      <c r="P67" s="1276"/>
      <c r="Q67" s="1276"/>
      <c r="R67" s="1276"/>
      <c r="S67" s="1276"/>
      <c r="T67" s="1276"/>
      <c r="U67" s="1276"/>
      <c r="V67" s="1276"/>
      <c r="W67" s="1276"/>
      <c r="X67" s="1276"/>
      <c r="Y67" s="1276"/>
      <c r="Z67" s="1276"/>
      <c r="AA67" s="1276"/>
      <c r="AB67" s="1276"/>
      <c r="AC67" s="1276"/>
      <c r="AD67" s="1276"/>
      <c r="AE67" s="1276"/>
      <c r="AF67" s="1276"/>
      <c r="AG67" s="1276"/>
      <c r="AH67" s="1276"/>
      <c r="AI67" s="1276"/>
      <c r="AJ67" s="1276"/>
      <c r="AK67" s="681"/>
      <c r="AL67" s="1179"/>
      <c r="AM67" s="1179"/>
      <c r="AN67" s="1179"/>
      <c r="AO67" s="42"/>
      <c r="BA67" s="2595"/>
      <c r="BB67" s="2595"/>
      <c r="BC67" s="2595"/>
      <c r="BD67" s="2595"/>
      <c r="BE67" s="2595"/>
      <c r="BF67" s="2595"/>
      <c r="BG67" s="2595"/>
      <c r="BH67" s="2595"/>
      <c r="BI67" s="2595"/>
      <c r="BJ67" s="2595"/>
      <c r="BK67" s="42"/>
    </row>
    <row r="68" spans="1:63" s="3402" customFormat="1" ht="15.75" customHeight="1">
      <c r="A68" s="681"/>
      <c r="B68" s="4998"/>
      <c r="C68" s="1276"/>
      <c r="D68" s="4484"/>
      <c r="E68" s="5000" t="s">
        <v>4573</v>
      </c>
      <c r="F68" s="1276"/>
      <c r="G68" s="1276"/>
      <c r="H68" s="1276"/>
      <c r="I68" s="1276"/>
      <c r="J68" s="1276"/>
      <c r="K68" s="1276"/>
      <c r="L68" s="1276"/>
      <c r="M68" s="1276"/>
      <c r="N68" s="4484"/>
      <c r="O68" s="1276"/>
      <c r="P68" s="1276"/>
      <c r="Q68" s="1276"/>
      <c r="R68" s="1276"/>
      <c r="S68" s="1276"/>
      <c r="T68" s="4484"/>
      <c r="U68" s="4484"/>
      <c r="V68" s="1276"/>
      <c r="W68" s="1276"/>
      <c r="X68" s="1276"/>
      <c r="Y68" s="1276"/>
      <c r="Z68" s="1276"/>
      <c r="AA68" s="1276"/>
      <c r="AB68" s="4484"/>
      <c r="AC68" s="1276"/>
      <c r="AD68" s="1276"/>
      <c r="AE68" s="1276"/>
      <c r="AF68" s="1276"/>
      <c r="AG68" s="1276"/>
      <c r="AH68" s="1276"/>
      <c r="AI68" s="1276"/>
      <c r="AJ68" s="1276"/>
      <c r="AK68" s="681"/>
      <c r="AL68" s="1179"/>
      <c r="AM68" s="1179"/>
      <c r="AN68" s="1179"/>
      <c r="AO68" s="42"/>
      <c r="BA68" s="2595"/>
      <c r="BB68" s="2595"/>
      <c r="BC68" s="2595"/>
      <c r="BD68" s="2595"/>
      <c r="BE68" s="2595"/>
      <c r="BF68" s="2595"/>
      <c r="BG68" s="2595"/>
      <c r="BH68" s="2595"/>
      <c r="BI68" s="2595"/>
      <c r="BJ68" s="2595"/>
      <c r="BK68" s="42"/>
    </row>
    <row r="69" spans="1:63" s="4381" customFormat="1" ht="15.75" customHeight="1">
      <c r="A69" s="4353"/>
      <c r="B69" s="4963" t="s">
        <v>4574</v>
      </c>
      <c r="C69" s="4964"/>
      <c r="D69" s="4965"/>
      <c r="E69" s="4963"/>
      <c r="F69" s="4966"/>
      <c r="G69" s="4966"/>
      <c r="H69" s="4966"/>
      <c r="I69" s="4966"/>
      <c r="J69" s="4966"/>
      <c r="K69" s="4966"/>
      <c r="L69" s="4966"/>
      <c r="M69" s="4966"/>
      <c r="N69" s="4966"/>
      <c r="O69" s="4966"/>
      <c r="P69" s="4966"/>
      <c r="Q69" s="4966"/>
      <c r="R69" s="4966"/>
      <c r="S69" s="4981"/>
      <c r="T69" s="4981"/>
      <c r="U69" s="4981"/>
      <c r="V69" s="4981"/>
      <c r="W69" s="4981"/>
      <c r="X69" s="4981"/>
      <c r="Y69" s="4981"/>
      <c r="Z69" s="4981"/>
      <c r="AA69" s="4981"/>
      <c r="AB69" s="4981"/>
      <c r="AC69" s="4981"/>
      <c r="AD69" s="4966"/>
      <c r="AE69" s="4966"/>
      <c r="AF69" s="4966"/>
      <c r="AG69" s="4966"/>
      <c r="AH69" s="4966"/>
      <c r="AI69" s="4967"/>
      <c r="AJ69" s="4967"/>
      <c r="AK69" s="4353"/>
      <c r="AL69" s="1179"/>
      <c r="AM69" s="1179"/>
      <c r="AN69" s="1179"/>
      <c r="AO69" s="4355"/>
      <c r="BA69" s="2595"/>
      <c r="BB69" s="2595"/>
      <c r="BC69" s="2595"/>
      <c r="BD69" s="2595"/>
      <c r="BE69" s="2595"/>
      <c r="BF69" s="2595"/>
      <c r="BG69" s="2595"/>
      <c r="BH69" s="2595"/>
      <c r="BI69" s="2595"/>
      <c r="BJ69" s="2595"/>
      <c r="BK69" s="4355"/>
    </row>
    <row r="70" spans="1:63" s="4381" customFormat="1" ht="4.5" customHeight="1">
      <c r="A70" s="4353"/>
      <c r="B70" s="5003"/>
      <c r="C70" s="5004"/>
      <c r="D70" s="5005"/>
      <c r="E70" s="5003"/>
      <c r="F70" s="5006"/>
      <c r="G70" s="5006"/>
      <c r="H70" s="5006"/>
      <c r="I70" s="5006"/>
      <c r="J70" s="5006"/>
      <c r="K70" s="5006"/>
      <c r="L70" s="5006"/>
      <c r="M70" s="5006"/>
      <c r="N70" s="5006"/>
      <c r="O70" s="5006"/>
      <c r="P70" s="5006"/>
      <c r="Q70" s="5006"/>
      <c r="R70" s="4966"/>
      <c r="S70" s="5007"/>
      <c r="T70" s="4981"/>
      <c r="U70" s="5007"/>
      <c r="V70" s="5008"/>
      <c r="W70" s="5009"/>
      <c r="X70" s="5008"/>
      <c r="Y70" s="5008"/>
      <c r="Z70" s="5007"/>
      <c r="AA70" s="5007"/>
      <c r="AB70" s="5007"/>
      <c r="AC70" s="5007"/>
      <c r="AD70" s="5006"/>
      <c r="AE70" s="5010"/>
      <c r="AF70" s="5006"/>
      <c r="AG70" s="5010"/>
      <c r="AH70" s="5006"/>
      <c r="AI70" s="5011"/>
      <c r="AJ70" s="5012"/>
      <c r="AK70" s="4353"/>
      <c r="AL70" s="1179"/>
      <c r="AM70" s="1179"/>
      <c r="AN70" s="1179"/>
      <c r="AO70" s="4355"/>
      <c r="BA70" s="2595"/>
      <c r="BB70" s="2595"/>
      <c r="BC70" s="2595"/>
      <c r="BD70" s="2595"/>
      <c r="BE70" s="2595"/>
      <c r="BF70" s="2595"/>
      <c r="BG70" s="2595"/>
      <c r="BH70" s="2595"/>
      <c r="BI70" s="2595"/>
      <c r="BJ70" s="2595"/>
      <c r="BK70" s="4355"/>
    </row>
    <row r="71" spans="1:63" s="3402" customFormat="1" ht="15.75" customHeight="1">
      <c r="A71" s="681"/>
      <c r="B71" s="2904" t="s">
        <v>171</v>
      </c>
      <c r="C71" s="1276" t="s">
        <v>4575</v>
      </c>
      <c r="D71" s="4485"/>
      <c r="E71" s="2686"/>
      <c r="F71" s="1276"/>
      <c r="G71" s="1276"/>
      <c r="H71" s="1276"/>
      <c r="I71" s="1276"/>
      <c r="J71" s="1276"/>
      <c r="K71" s="1276"/>
      <c r="L71" s="1276"/>
      <c r="M71" s="1276"/>
      <c r="N71" s="1276"/>
      <c r="O71" s="1276"/>
      <c r="P71" s="1276"/>
      <c r="Q71" s="1276"/>
      <c r="R71" s="1546"/>
      <c r="S71" s="5013" t="s">
        <v>271</v>
      </c>
      <c r="T71" s="1546"/>
      <c r="U71" s="5013" t="s">
        <v>272</v>
      </c>
      <c r="V71" s="2904"/>
      <c r="W71" s="5014" t="s">
        <v>60</v>
      </c>
      <c r="X71" s="2247"/>
      <c r="Y71" s="2247"/>
      <c r="Z71" s="2236"/>
      <c r="AA71" s="2236"/>
      <c r="AB71" s="1276"/>
      <c r="AC71" s="1276"/>
      <c r="AD71" s="1276"/>
      <c r="AE71" s="5015" t="s">
        <v>4576</v>
      </c>
      <c r="AF71" s="1546"/>
      <c r="AG71" s="5016" t="s">
        <v>271</v>
      </c>
      <c r="AH71" s="1546"/>
      <c r="AI71" s="5013" t="s">
        <v>272</v>
      </c>
      <c r="AJ71" s="1276"/>
      <c r="AK71" s="681"/>
      <c r="AL71" s="1179"/>
      <c r="AM71" s="1179"/>
      <c r="AN71" s="1179"/>
      <c r="AO71" s="42"/>
      <c r="BA71" s="2595"/>
      <c r="BB71" s="2595"/>
      <c r="BC71" s="2595"/>
      <c r="BD71" s="2595"/>
      <c r="BE71" s="2595"/>
      <c r="BF71" s="2595"/>
      <c r="BG71" s="2595"/>
      <c r="BH71" s="2595"/>
      <c r="BI71" s="2595"/>
      <c r="BJ71" s="2595"/>
      <c r="BK71" s="42"/>
    </row>
    <row r="72" spans="1:63" s="3402" customFormat="1" ht="4.5" customHeight="1">
      <c r="A72" s="681"/>
      <c r="B72" s="3839"/>
      <c r="C72" s="1707"/>
      <c r="D72" s="1707"/>
      <c r="E72" s="2791"/>
      <c r="F72" s="1707"/>
      <c r="G72" s="1707"/>
      <c r="H72" s="1707"/>
      <c r="I72" s="1707"/>
      <c r="J72" s="1707"/>
      <c r="K72" s="1707"/>
      <c r="L72" s="1707"/>
      <c r="M72" s="1707"/>
      <c r="N72" s="1707"/>
      <c r="O72" s="1707"/>
      <c r="P72" s="1707"/>
      <c r="Q72" s="1707"/>
      <c r="R72" s="1707"/>
      <c r="S72" s="1707"/>
      <c r="T72" s="1707"/>
      <c r="U72" s="1707"/>
      <c r="V72" s="3085"/>
      <c r="W72" s="5017"/>
      <c r="X72" s="1707"/>
      <c r="Y72" s="1707"/>
      <c r="Z72" s="1707"/>
      <c r="AA72" s="1707"/>
      <c r="AB72" s="1707"/>
      <c r="AC72" s="1707"/>
      <c r="AD72" s="1707"/>
      <c r="AE72" s="1707"/>
      <c r="AF72" s="1707"/>
      <c r="AG72" s="1707"/>
      <c r="AH72" s="1707"/>
      <c r="AI72" s="1707"/>
      <c r="AJ72" s="1707"/>
      <c r="AK72" s="681"/>
      <c r="AL72" s="1179"/>
      <c r="AM72" s="1179"/>
      <c r="AN72" s="1179"/>
      <c r="AO72" s="42"/>
      <c r="BA72" s="2595"/>
      <c r="BB72" s="2595"/>
      <c r="BC72" s="2595"/>
      <c r="BD72" s="2595"/>
      <c r="BE72" s="2595"/>
      <c r="BF72" s="2595"/>
      <c r="BG72" s="2595"/>
      <c r="BH72" s="2595"/>
      <c r="BI72" s="2595"/>
      <c r="BJ72" s="2595"/>
      <c r="BK72" s="42"/>
    </row>
    <row r="73" spans="1:63" s="3402" customFormat="1" ht="52.5" customHeight="1">
      <c r="A73" s="681"/>
      <c r="B73" s="8789" t="s">
        <v>4577</v>
      </c>
      <c r="C73" s="8790"/>
      <c r="D73" s="8790"/>
      <c r="E73" s="8791"/>
      <c r="F73" s="8792" t="s">
        <v>4578</v>
      </c>
      <c r="G73" s="8790"/>
      <c r="H73" s="8791"/>
      <c r="I73" s="8596" t="s">
        <v>4579</v>
      </c>
      <c r="J73" s="8607"/>
      <c r="K73" s="8617"/>
      <c r="L73" s="8793" t="s">
        <v>4580</v>
      </c>
      <c r="M73" s="7374"/>
      <c r="N73" s="7374"/>
      <c r="O73" s="8597"/>
      <c r="P73" s="8792" t="s">
        <v>4581</v>
      </c>
      <c r="Q73" s="7374"/>
      <c r="R73" s="7374"/>
      <c r="S73" s="7374"/>
      <c r="T73" s="8597"/>
      <c r="U73" s="8793" t="s">
        <v>4582</v>
      </c>
      <c r="V73" s="7374"/>
      <c r="W73" s="8597"/>
      <c r="X73" s="8766" t="s">
        <v>4583</v>
      </c>
      <c r="Y73" s="7374"/>
      <c r="Z73" s="8597"/>
      <c r="AA73" s="8766" t="s">
        <v>4584</v>
      </c>
      <c r="AB73" s="7374"/>
      <c r="AC73" s="7374"/>
      <c r="AD73" s="7374"/>
      <c r="AE73" s="7374"/>
      <c r="AF73" s="8766" t="s">
        <v>4585</v>
      </c>
      <c r="AG73" s="7374"/>
      <c r="AH73" s="7374"/>
      <c r="AI73" s="7374"/>
      <c r="AJ73" s="7374"/>
      <c r="AK73" s="681"/>
      <c r="AL73" s="1179"/>
      <c r="AM73" s="1179"/>
      <c r="AN73" s="1179"/>
      <c r="AO73" s="42"/>
      <c r="BA73" s="2595"/>
      <c r="BB73" s="2595"/>
      <c r="BC73" s="2595"/>
      <c r="BD73" s="2595"/>
      <c r="BE73" s="2595"/>
      <c r="BF73" s="2595"/>
      <c r="BG73" s="2595"/>
      <c r="BH73" s="2595"/>
      <c r="BI73" s="2595"/>
      <c r="BJ73" s="2595"/>
      <c r="BK73" s="42"/>
    </row>
    <row r="74" spans="1:63" s="3402" customFormat="1" ht="15.75" customHeight="1">
      <c r="A74" s="681"/>
      <c r="B74" s="2974">
        <v>25</v>
      </c>
      <c r="C74" s="3081" t="s">
        <v>4586</v>
      </c>
      <c r="D74" s="2686"/>
      <c r="E74" s="2686"/>
      <c r="F74" s="1276"/>
      <c r="G74" s="1276"/>
      <c r="H74" s="1276"/>
      <c r="I74" s="1276"/>
      <c r="J74" s="1276"/>
      <c r="K74" s="1276"/>
      <c r="L74" s="1276"/>
      <c r="M74" s="1276"/>
      <c r="N74" s="1276"/>
      <c r="O74" s="1276"/>
      <c r="P74" s="1276"/>
      <c r="Q74" s="1276"/>
      <c r="R74" s="1276"/>
      <c r="S74" s="1276"/>
      <c r="T74" s="1706"/>
      <c r="U74" s="1706"/>
      <c r="V74" s="4925"/>
      <c r="W74" s="4925"/>
      <c r="X74" s="5018"/>
      <c r="Y74" s="5019"/>
      <c r="Z74" s="4925"/>
      <c r="AA74" s="8778"/>
      <c r="AB74" s="6672"/>
      <c r="AC74" s="6672"/>
      <c r="AD74" s="6672"/>
      <c r="AE74" s="8779"/>
      <c r="AF74" s="5020"/>
      <c r="AG74" s="4956"/>
      <c r="AH74" s="4956"/>
      <c r="AI74" s="4956"/>
      <c r="AJ74" s="4956"/>
      <c r="AK74" s="681"/>
      <c r="AL74" s="1179"/>
      <c r="AM74" s="1179"/>
      <c r="AN74" s="1179"/>
      <c r="AO74" s="42"/>
      <c r="BA74" s="2595"/>
      <c r="BB74" s="2595"/>
      <c r="BC74" s="2595"/>
      <c r="BD74" s="2595"/>
      <c r="BE74" s="2595"/>
      <c r="BF74" s="2595"/>
      <c r="BG74" s="2595"/>
      <c r="BH74" s="2595"/>
      <c r="BI74" s="2595"/>
      <c r="BJ74" s="2595"/>
      <c r="BK74" s="42"/>
    </row>
    <row r="75" spans="1:63" s="3402" customFormat="1" ht="15.75" customHeight="1" thickBot="1">
      <c r="A75" s="681"/>
      <c r="B75" s="3112"/>
      <c r="C75" s="4987" t="s">
        <v>4587</v>
      </c>
      <c r="D75" s="4988"/>
      <c r="E75" s="4988"/>
      <c r="F75" s="4988"/>
      <c r="G75" s="4988"/>
      <c r="H75" s="4988"/>
      <c r="I75" s="4988"/>
      <c r="J75" s="4988"/>
      <c r="K75" s="4988"/>
      <c r="L75" s="4988"/>
      <c r="M75" s="4988"/>
      <c r="N75" s="4988"/>
      <c r="O75" s="4988"/>
      <c r="P75" s="4988"/>
      <c r="Q75" s="4988"/>
      <c r="R75" s="4988"/>
      <c r="S75" s="4988"/>
      <c r="T75" s="4988"/>
      <c r="U75" s="4988"/>
      <c r="V75" s="5021"/>
      <c r="W75" s="5021"/>
      <c r="X75" s="5022"/>
      <c r="Y75" s="8780">
        <v>25</v>
      </c>
      <c r="Z75" s="8781"/>
      <c r="AA75" s="8782"/>
      <c r="AB75" s="8783"/>
      <c r="AC75" s="8783"/>
      <c r="AD75" s="8783"/>
      <c r="AE75" s="8784"/>
      <c r="AF75" s="5023"/>
      <c r="AG75" s="4991"/>
      <c r="AH75" s="4991"/>
      <c r="AI75" s="4991"/>
      <c r="AJ75" s="4991"/>
      <c r="AK75" s="681"/>
      <c r="AL75" s="1179"/>
      <c r="AM75" s="1179"/>
      <c r="AN75" s="1179"/>
      <c r="AO75" s="42"/>
      <c r="BA75" s="2595"/>
      <c r="BB75" s="2595"/>
      <c r="BC75" s="2595"/>
      <c r="BD75" s="2595"/>
      <c r="BE75" s="2595"/>
      <c r="BF75" s="2595"/>
      <c r="BG75" s="2595"/>
      <c r="BH75" s="2595"/>
      <c r="BI75" s="2595"/>
      <c r="BJ75" s="2595"/>
      <c r="BK75" s="42"/>
    </row>
    <row r="76" spans="1:63" s="4381" customFormat="1" ht="15.75" customHeight="1">
      <c r="A76" s="4353"/>
      <c r="B76" s="5024">
        <v>26</v>
      </c>
      <c r="C76" s="5025" t="s">
        <v>4588</v>
      </c>
      <c r="D76" s="4965"/>
      <c r="E76" s="4963"/>
      <c r="F76" s="4966"/>
      <c r="G76" s="4966"/>
      <c r="H76" s="4966"/>
      <c r="I76" s="4966"/>
      <c r="J76" s="4966"/>
      <c r="K76" s="4966"/>
      <c r="L76" s="4966"/>
      <c r="M76" s="4966"/>
      <c r="N76" s="4966"/>
      <c r="O76" s="4966"/>
      <c r="P76" s="4966"/>
      <c r="Q76" s="4966"/>
      <c r="R76" s="4966"/>
      <c r="S76" s="4966"/>
      <c r="T76" s="4966"/>
      <c r="U76" s="4966"/>
      <c r="V76" s="4966"/>
      <c r="W76" s="4966"/>
      <c r="X76" s="4966"/>
      <c r="Y76" s="4966"/>
      <c r="Z76" s="4966"/>
      <c r="AA76" s="4966"/>
      <c r="AB76" s="4966"/>
      <c r="AC76" s="4966"/>
      <c r="AD76" s="4966"/>
      <c r="AE76" s="4966"/>
      <c r="AF76" s="4966"/>
      <c r="AG76" s="4966"/>
      <c r="AH76" s="4966"/>
      <c r="AI76" s="4967"/>
      <c r="AJ76" s="4967"/>
      <c r="AK76" s="4353"/>
      <c r="AL76" s="1179"/>
      <c r="AM76" s="1179"/>
      <c r="AN76" s="1179"/>
      <c r="AO76" s="4355"/>
      <c r="BA76" s="2595"/>
      <c r="BB76" s="2595"/>
      <c r="BC76" s="2595"/>
      <c r="BD76" s="2595"/>
      <c r="BE76" s="2595"/>
      <c r="BF76" s="2595"/>
      <c r="BG76" s="2595"/>
      <c r="BH76" s="2595"/>
      <c r="BI76" s="2595"/>
      <c r="BJ76" s="2595"/>
      <c r="BK76" s="4355"/>
    </row>
    <row r="77" spans="1:63" s="3402" customFormat="1" ht="18.75" customHeight="1">
      <c r="A77" s="681"/>
      <c r="B77" s="8721"/>
      <c r="C77" s="8721"/>
      <c r="D77" s="8721"/>
      <c r="E77" s="8722"/>
      <c r="F77" s="8773"/>
      <c r="G77" s="8721"/>
      <c r="H77" s="8722"/>
      <c r="I77" s="8774"/>
      <c r="J77" s="8775"/>
      <c r="K77" s="5026" t="s">
        <v>2770</v>
      </c>
      <c r="L77" s="8690"/>
      <c r="M77" s="8691"/>
      <c r="N77" s="8691"/>
      <c r="O77" s="8776"/>
      <c r="P77" s="8690"/>
      <c r="Q77" s="8691"/>
      <c r="R77" s="8691"/>
      <c r="S77" s="8691"/>
      <c r="T77" s="8776"/>
      <c r="U77" s="8720"/>
      <c r="V77" s="8721"/>
      <c r="W77" s="8722"/>
      <c r="X77" s="8720"/>
      <c r="Y77" s="8721"/>
      <c r="Z77" s="8722"/>
      <c r="AA77" s="8690"/>
      <c r="AB77" s="8691"/>
      <c r="AC77" s="8691"/>
      <c r="AD77" s="8691"/>
      <c r="AE77" s="8776"/>
      <c r="AF77" s="8690"/>
      <c r="AG77" s="8691"/>
      <c r="AH77" s="8691"/>
      <c r="AI77" s="8691"/>
      <c r="AJ77" s="8691"/>
      <c r="AK77" s="681"/>
      <c r="AL77" s="1179"/>
      <c r="AM77" s="1179"/>
      <c r="AN77" s="1179"/>
      <c r="AO77" s="42"/>
      <c r="BA77" s="2595"/>
      <c r="BB77" s="2595"/>
      <c r="BC77" s="2595"/>
      <c r="BD77" s="2595"/>
      <c r="BE77" s="2595"/>
      <c r="BF77" s="2595"/>
      <c r="BG77" s="2595"/>
      <c r="BH77" s="2595"/>
      <c r="BI77" s="2595"/>
      <c r="BJ77" s="2595"/>
      <c r="BK77" s="42"/>
    </row>
    <row r="78" spans="1:63" s="3402" customFormat="1" ht="18.75" customHeight="1">
      <c r="A78" s="681"/>
      <c r="B78" s="8721"/>
      <c r="C78" s="8721"/>
      <c r="D78" s="8721"/>
      <c r="E78" s="8722"/>
      <c r="F78" s="8773"/>
      <c r="G78" s="8721"/>
      <c r="H78" s="8722"/>
      <c r="I78" s="8774"/>
      <c r="J78" s="8775"/>
      <c r="K78" s="5026" t="s">
        <v>2770</v>
      </c>
      <c r="L78" s="8690"/>
      <c r="M78" s="8691"/>
      <c r="N78" s="8691"/>
      <c r="O78" s="8776"/>
      <c r="P78" s="8690"/>
      <c r="Q78" s="8691"/>
      <c r="R78" s="8691"/>
      <c r="S78" s="8691"/>
      <c r="T78" s="8776"/>
      <c r="U78" s="8720"/>
      <c r="V78" s="8721"/>
      <c r="W78" s="8722"/>
      <c r="X78" s="8720"/>
      <c r="Y78" s="8721"/>
      <c r="Z78" s="8722"/>
      <c r="AA78" s="8690"/>
      <c r="AB78" s="8691"/>
      <c r="AC78" s="8691"/>
      <c r="AD78" s="8691"/>
      <c r="AE78" s="8776"/>
      <c r="AF78" s="8690"/>
      <c r="AG78" s="8691"/>
      <c r="AH78" s="8691"/>
      <c r="AI78" s="8691"/>
      <c r="AJ78" s="8691"/>
      <c r="AK78" s="681"/>
      <c r="AL78" s="1179"/>
      <c r="AM78" s="1179"/>
      <c r="AN78" s="1179"/>
      <c r="AO78" s="42"/>
      <c r="BA78" s="2595"/>
      <c r="BB78" s="2595"/>
      <c r="BC78" s="2595"/>
      <c r="BD78" s="2595"/>
      <c r="BE78" s="2595"/>
      <c r="BF78" s="2595"/>
      <c r="BG78" s="2595"/>
      <c r="BH78" s="2595"/>
      <c r="BI78" s="2595"/>
      <c r="BJ78" s="2595"/>
      <c r="BK78" s="42"/>
    </row>
    <row r="79" spans="1:63" s="3402" customFormat="1" ht="18.75" customHeight="1">
      <c r="A79" s="681"/>
      <c r="B79" s="8721"/>
      <c r="C79" s="8721"/>
      <c r="D79" s="8721"/>
      <c r="E79" s="8722"/>
      <c r="F79" s="8773"/>
      <c r="G79" s="8721"/>
      <c r="H79" s="8722"/>
      <c r="I79" s="8774"/>
      <c r="J79" s="8775"/>
      <c r="K79" s="5026" t="s">
        <v>2770</v>
      </c>
      <c r="L79" s="8690"/>
      <c r="M79" s="8691"/>
      <c r="N79" s="8691"/>
      <c r="O79" s="8776"/>
      <c r="P79" s="8690"/>
      <c r="Q79" s="8691"/>
      <c r="R79" s="8691"/>
      <c r="S79" s="8691"/>
      <c r="T79" s="8776"/>
      <c r="U79" s="8720"/>
      <c r="V79" s="8721"/>
      <c r="W79" s="8722"/>
      <c r="X79" s="8720"/>
      <c r="Y79" s="8721"/>
      <c r="Z79" s="8722"/>
      <c r="AA79" s="8690"/>
      <c r="AB79" s="8691"/>
      <c r="AC79" s="8691"/>
      <c r="AD79" s="8691"/>
      <c r="AE79" s="8776"/>
      <c r="AF79" s="8690"/>
      <c r="AG79" s="8691"/>
      <c r="AH79" s="8691"/>
      <c r="AI79" s="8691"/>
      <c r="AJ79" s="8691"/>
      <c r="AK79" s="681"/>
      <c r="AL79" s="1179"/>
      <c r="AM79" s="1179"/>
      <c r="AN79" s="1179"/>
      <c r="AO79" s="42"/>
      <c r="BA79" s="2595"/>
      <c r="BB79" s="2595"/>
      <c r="BC79" s="2595"/>
      <c r="BD79" s="2595"/>
      <c r="BE79" s="2595"/>
      <c r="BF79" s="2595"/>
      <c r="BG79" s="2595"/>
      <c r="BH79" s="2595"/>
      <c r="BI79" s="2595"/>
      <c r="BJ79" s="2595"/>
      <c r="BK79" s="42"/>
    </row>
    <row r="80" spans="1:63" s="4381" customFormat="1" ht="15.75" customHeight="1">
      <c r="A80" s="4353"/>
      <c r="B80" s="5024">
        <v>27</v>
      </c>
      <c r="C80" s="5025" t="s">
        <v>4589</v>
      </c>
      <c r="D80" s="4965"/>
      <c r="E80" s="4963"/>
      <c r="F80" s="4966"/>
      <c r="G80" s="4966"/>
      <c r="H80" s="4966"/>
      <c r="I80" s="4966"/>
      <c r="J80" s="4966"/>
      <c r="K80" s="4966"/>
      <c r="L80" s="4966"/>
      <c r="M80" s="4966"/>
      <c r="N80" s="4966"/>
      <c r="O80" s="4966"/>
      <c r="P80" s="4966"/>
      <c r="Q80" s="4966"/>
      <c r="R80" s="4966"/>
      <c r="S80" s="4966"/>
      <c r="T80" s="4966"/>
      <c r="U80" s="4966"/>
      <c r="V80" s="4966"/>
      <c r="W80" s="4966"/>
      <c r="X80" s="4966"/>
      <c r="Y80" s="4966"/>
      <c r="Z80" s="4966"/>
      <c r="AA80" s="4966"/>
      <c r="AB80" s="4966"/>
      <c r="AC80" s="4966"/>
      <c r="AD80" s="4966"/>
      <c r="AE80" s="4966"/>
      <c r="AF80" s="4966"/>
      <c r="AG80" s="4966"/>
      <c r="AH80" s="4966"/>
      <c r="AI80" s="4967"/>
      <c r="AJ80" s="4967"/>
      <c r="AK80" s="4353"/>
      <c r="AL80" s="1179"/>
      <c r="AM80" s="1179"/>
      <c r="AN80" s="1179"/>
      <c r="AO80" s="4355"/>
      <c r="BA80" s="2595"/>
      <c r="BB80" s="2595"/>
      <c r="BC80" s="2595"/>
      <c r="BD80" s="2595"/>
      <c r="BE80" s="2595"/>
      <c r="BF80" s="2595"/>
      <c r="BG80" s="2595"/>
      <c r="BH80" s="2595"/>
      <c r="BI80" s="2595"/>
      <c r="BJ80" s="2595"/>
      <c r="BK80" s="4355"/>
    </row>
    <row r="81" spans="1:63" s="3402" customFormat="1" ht="18.75" customHeight="1">
      <c r="A81" s="681"/>
      <c r="B81" s="8721"/>
      <c r="C81" s="8721"/>
      <c r="D81" s="8721"/>
      <c r="E81" s="8722"/>
      <c r="F81" s="8773"/>
      <c r="G81" s="8721"/>
      <c r="H81" s="8722"/>
      <c r="I81" s="8774"/>
      <c r="J81" s="8775"/>
      <c r="K81" s="5026" t="s">
        <v>2770</v>
      </c>
      <c r="L81" s="8690"/>
      <c r="M81" s="8691"/>
      <c r="N81" s="8691"/>
      <c r="O81" s="8776"/>
      <c r="P81" s="8690"/>
      <c r="Q81" s="8691"/>
      <c r="R81" s="8691"/>
      <c r="S81" s="8691"/>
      <c r="T81" s="8776"/>
      <c r="U81" s="8720"/>
      <c r="V81" s="8721"/>
      <c r="W81" s="8722"/>
      <c r="X81" s="5712" t="s">
        <v>5424</v>
      </c>
      <c r="Y81" s="8727"/>
      <c r="Z81" s="8777"/>
      <c r="AA81" s="8690"/>
      <c r="AB81" s="8691"/>
      <c r="AC81" s="8691"/>
      <c r="AD81" s="8691"/>
      <c r="AE81" s="8776"/>
      <c r="AF81" s="5020"/>
      <c r="AG81" s="4956"/>
      <c r="AH81" s="4956"/>
      <c r="AI81" s="4956"/>
      <c r="AJ81" s="4956"/>
      <c r="AK81" s="681"/>
      <c r="AL81" s="1179"/>
      <c r="AM81" s="1179"/>
      <c r="AN81" s="1179"/>
      <c r="AO81" s="42"/>
      <c r="BA81" s="2595"/>
      <c r="BB81" s="2595"/>
      <c r="BC81" s="2595"/>
      <c r="BD81" s="2595"/>
      <c r="BE81" s="2595"/>
      <c r="BF81" s="2595"/>
      <c r="BG81" s="2595"/>
      <c r="BH81" s="2595"/>
      <c r="BI81" s="2595"/>
      <c r="BJ81" s="2595"/>
      <c r="BK81" s="42"/>
    </row>
    <row r="82" spans="1:63" s="3402" customFormat="1" ht="18.75" customHeight="1">
      <c r="A82" s="681"/>
      <c r="B82" s="8721"/>
      <c r="C82" s="8721"/>
      <c r="D82" s="8721"/>
      <c r="E82" s="8722"/>
      <c r="F82" s="8773"/>
      <c r="G82" s="8721"/>
      <c r="H82" s="8722"/>
      <c r="I82" s="8774"/>
      <c r="J82" s="8775"/>
      <c r="K82" s="5026" t="s">
        <v>2770</v>
      </c>
      <c r="L82" s="8690"/>
      <c r="M82" s="8691"/>
      <c r="N82" s="8691"/>
      <c r="O82" s="8776"/>
      <c r="P82" s="8690"/>
      <c r="Q82" s="8691"/>
      <c r="R82" s="8691"/>
      <c r="S82" s="8691"/>
      <c r="T82" s="8776"/>
      <c r="U82" s="8720"/>
      <c r="V82" s="8721"/>
      <c r="W82" s="8722"/>
      <c r="X82" s="5712" t="s">
        <v>5424</v>
      </c>
      <c r="Y82" s="8727"/>
      <c r="Z82" s="8777"/>
      <c r="AA82" s="8690"/>
      <c r="AB82" s="8691"/>
      <c r="AC82" s="8691"/>
      <c r="AD82" s="8691"/>
      <c r="AE82" s="8776"/>
      <c r="AF82" s="5027"/>
      <c r="AG82" s="4954"/>
      <c r="AH82" s="4954"/>
      <c r="AI82" s="4954"/>
      <c r="AJ82" s="4954"/>
      <c r="AK82" s="681"/>
      <c r="AL82" s="1179"/>
      <c r="AM82" s="24" t="s">
        <v>90</v>
      </c>
      <c r="AN82" s="1179"/>
      <c r="AO82" s="42"/>
      <c r="BA82" s="2595"/>
      <c r="BB82" s="2595"/>
      <c r="BC82" s="2595"/>
      <c r="BD82" s="2595"/>
      <c r="BE82" s="2595"/>
      <c r="BF82" s="2595"/>
      <c r="BG82" s="2595"/>
      <c r="BH82" s="2595"/>
      <c r="BI82" s="2595"/>
      <c r="BJ82" s="2595"/>
      <c r="BK82" s="42"/>
    </row>
    <row r="83" spans="1:63" s="3402" customFormat="1" ht="18.75" customHeight="1" thickBot="1">
      <c r="A83" s="681"/>
      <c r="B83" s="8721"/>
      <c r="C83" s="8721"/>
      <c r="D83" s="8721"/>
      <c r="E83" s="8722"/>
      <c r="F83" s="8773"/>
      <c r="G83" s="8721"/>
      <c r="H83" s="8722"/>
      <c r="I83" s="8774"/>
      <c r="J83" s="8775"/>
      <c r="K83" s="5026" t="s">
        <v>2770</v>
      </c>
      <c r="L83" s="8690"/>
      <c r="M83" s="8691"/>
      <c r="N83" s="8691"/>
      <c r="O83" s="8776"/>
      <c r="P83" s="8690"/>
      <c r="Q83" s="8691"/>
      <c r="R83" s="8691"/>
      <c r="S83" s="8691"/>
      <c r="T83" s="8776"/>
      <c r="U83" s="8720"/>
      <c r="V83" s="8721"/>
      <c r="W83" s="8722"/>
      <c r="X83" s="5712" t="s">
        <v>5424</v>
      </c>
      <c r="Y83" s="8727"/>
      <c r="Z83" s="8777"/>
      <c r="AA83" s="8690"/>
      <c r="AB83" s="8691"/>
      <c r="AC83" s="8691"/>
      <c r="AD83" s="8691"/>
      <c r="AE83" s="8776"/>
      <c r="AF83" s="5027"/>
      <c r="AG83" s="4954"/>
      <c r="AH83" s="4954"/>
      <c r="AI83" s="4954"/>
      <c r="AJ83" s="4954"/>
      <c r="AK83" s="681"/>
      <c r="AL83" s="1179"/>
      <c r="AM83" s="24" t="s">
        <v>411</v>
      </c>
      <c r="AN83" s="1179"/>
      <c r="AO83" s="42"/>
      <c r="BA83" s="2595"/>
      <c r="BB83" s="2595"/>
      <c r="BC83" s="2595"/>
      <c r="BD83" s="2595"/>
      <c r="BE83" s="2595"/>
      <c r="BF83" s="2595"/>
      <c r="BG83" s="2595"/>
      <c r="BH83" s="2595"/>
      <c r="BI83" s="2595"/>
      <c r="BJ83" s="2595"/>
      <c r="BK83" s="42"/>
    </row>
    <row r="84" spans="1:63" s="3402" customFormat="1" ht="15.75" customHeight="1" thickBot="1">
      <c r="A84" s="681"/>
      <c r="B84" s="5028">
        <v>28</v>
      </c>
      <c r="C84" s="4361" t="s">
        <v>4590</v>
      </c>
      <c r="D84" s="5029"/>
      <c r="E84" s="5029"/>
      <c r="F84" s="5029"/>
      <c r="G84" s="5029"/>
      <c r="H84" s="5029"/>
      <c r="I84" s="5029"/>
      <c r="J84" s="5029"/>
      <c r="K84" s="5029"/>
      <c r="L84" s="5029"/>
      <c r="M84" s="5029"/>
      <c r="N84" s="5029"/>
      <c r="O84" s="5029"/>
      <c r="P84" s="5029"/>
      <c r="Q84" s="5029"/>
      <c r="R84" s="5029"/>
      <c r="S84" s="5029"/>
      <c r="T84" s="5029"/>
      <c r="U84" s="5029"/>
      <c r="V84" s="4925"/>
      <c r="W84" s="4925"/>
      <c r="X84" s="5018"/>
      <c r="Y84" s="7197">
        <v>28</v>
      </c>
      <c r="Z84" s="7198"/>
      <c r="AA84" s="6747">
        <f>IF(AM84&lt;&gt;"",ROUND(AM84,0),SUM(ROUND(AA75,0),ROUND(AA77,0),ROUND(AA78,0),ROUND(AA79,0),ROUND(AA81,0),ROUND(AA82,0),ROUND(AA83,0)))</f>
        <v>0</v>
      </c>
      <c r="AB84" s="8768"/>
      <c r="AC84" s="8768"/>
      <c r="AD84" s="8768"/>
      <c r="AE84" s="8769"/>
      <c r="AF84" s="5030"/>
      <c r="AG84" s="4974"/>
      <c r="AH84" s="4974"/>
      <c r="AI84" s="4974"/>
      <c r="AJ84" s="4974"/>
      <c r="AK84" s="681"/>
      <c r="AL84" s="1179"/>
      <c r="AM84" s="4952"/>
      <c r="AN84" s="1179"/>
      <c r="AO84" s="42"/>
      <c r="BA84" s="2595"/>
      <c r="BB84" s="2595"/>
      <c r="BC84" s="2595"/>
      <c r="BD84" s="2595"/>
      <c r="BE84" s="2595"/>
      <c r="BF84" s="2595"/>
      <c r="BG84" s="2595"/>
      <c r="BH84" s="2595"/>
      <c r="BI84" s="2595"/>
      <c r="BJ84" s="2595"/>
      <c r="BK84" s="42"/>
    </row>
    <row r="85" spans="1:63" s="3402" customFormat="1" ht="15.75" customHeight="1" thickBot="1">
      <c r="A85" s="681"/>
      <c r="B85" s="4982">
        <v>29</v>
      </c>
      <c r="C85" s="3094" t="s">
        <v>4591</v>
      </c>
      <c r="D85" s="5031"/>
      <c r="E85" s="5031"/>
      <c r="F85" s="5031"/>
      <c r="G85" s="5031"/>
      <c r="H85" s="5031"/>
      <c r="I85" s="5031"/>
      <c r="J85" s="5031"/>
      <c r="K85" s="5031"/>
      <c r="L85" s="5031"/>
      <c r="M85" s="5031"/>
      <c r="N85" s="5031"/>
      <c r="O85" s="5031"/>
      <c r="P85" s="5031"/>
      <c r="Q85" s="5031"/>
      <c r="R85" s="5031"/>
      <c r="S85" s="5031"/>
      <c r="T85" s="5031"/>
      <c r="U85" s="5031"/>
      <c r="V85" s="4924"/>
      <c r="W85" s="4924"/>
      <c r="X85" s="4924"/>
      <c r="Y85" s="4924"/>
      <c r="Z85" s="4924"/>
      <c r="AA85" s="5059"/>
      <c r="AB85" s="4924"/>
      <c r="AC85" s="5059" t="s">
        <v>4394</v>
      </c>
      <c r="AD85" s="7197">
        <v>29</v>
      </c>
      <c r="AE85" s="7198"/>
      <c r="AF85" s="6747">
        <f>IF(AM85&lt;&gt;"",ROUND(AM84,0),SUM(ROUND(AF77,0),ROUND(AF78,0),ROUND(AF79,0)))</f>
        <v>0</v>
      </c>
      <c r="AG85" s="8768"/>
      <c r="AH85" s="8768"/>
      <c r="AI85" s="8768"/>
      <c r="AJ85" s="8768"/>
      <c r="AK85" s="681"/>
      <c r="AL85" s="1179"/>
      <c r="AM85" s="4952"/>
      <c r="AN85" s="1179"/>
      <c r="AO85" s="42"/>
      <c r="BA85" s="2595"/>
      <c r="BB85" s="2595"/>
      <c r="BC85" s="2595"/>
      <c r="BD85" s="2595"/>
      <c r="BE85" s="2595"/>
      <c r="BF85" s="2595"/>
      <c r="BG85" s="2595"/>
      <c r="BH85" s="2595"/>
      <c r="BI85" s="2595"/>
      <c r="BJ85" s="2595"/>
      <c r="BK85" s="42"/>
    </row>
    <row r="86" spans="1:63" s="3402" customFormat="1" ht="15.75" customHeight="1">
      <c r="A86" s="681"/>
      <c r="B86" s="1812" t="s">
        <v>4592</v>
      </c>
      <c r="C86" s="5032"/>
      <c r="D86" s="5032"/>
      <c r="E86" s="5033"/>
      <c r="F86" s="5032"/>
      <c r="G86" s="5032"/>
      <c r="H86" s="5032"/>
      <c r="I86" s="5032"/>
      <c r="J86" s="5032"/>
      <c r="K86" s="5032"/>
      <c r="L86" s="5032"/>
      <c r="M86" s="5032"/>
      <c r="N86" s="5032"/>
      <c r="O86" s="5032"/>
      <c r="P86" s="5032"/>
      <c r="Q86" s="5032"/>
      <c r="R86" s="5032"/>
      <c r="S86" s="5032"/>
      <c r="T86" s="5032"/>
      <c r="U86" s="5032"/>
      <c r="V86" s="5032"/>
      <c r="W86" s="5032"/>
      <c r="X86" s="5032"/>
      <c r="Y86" s="5032"/>
      <c r="Z86" s="5032"/>
      <c r="AA86" s="5032"/>
      <c r="AB86" s="5032"/>
      <c r="AC86" s="5032"/>
      <c r="AD86" s="5032"/>
      <c r="AE86" s="5032"/>
      <c r="AF86" s="5032"/>
      <c r="AG86" s="5032"/>
      <c r="AH86" s="5032"/>
      <c r="AI86" s="5032"/>
      <c r="AJ86" s="5032"/>
      <c r="AK86" s="681"/>
      <c r="AL86" s="1179"/>
      <c r="AM86" s="1179"/>
      <c r="AN86" s="1179"/>
      <c r="AO86" s="42"/>
      <c r="BA86" s="2595"/>
      <c r="BB86" s="2595"/>
      <c r="BC86" s="2595"/>
      <c r="BD86" s="2595"/>
      <c r="BE86" s="2595"/>
      <c r="BF86" s="2595"/>
      <c r="BG86" s="2595"/>
      <c r="BH86" s="2595"/>
      <c r="BI86" s="2595"/>
      <c r="BJ86" s="2595"/>
      <c r="BK86" s="42"/>
    </row>
    <row r="87" spans="1:63" s="3402" customFormat="1" ht="15.75" customHeight="1">
      <c r="A87" s="681"/>
      <c r="B87" s="4944" t="s">
        <v>4593</v>
      </c>
      <c r="C87" s="1276"/>
      <c r="D87" s="1276"/>
      <c r="E87" s="2686"/>
      <c r="F87" s="1276"/>
      <c r="G87" s="1276"/>
      <c r="H87" s="1276"/>
      <c r="I87" s="1276"/>
      <c r="J87" s="1276"/>
      <c r="K87" s="1276"/>
      <c r="L87" s="1276"/>
      <c r="M87" s="1276"/>
      <c r="N87" s="1276"/>
      <c r="O87" s="1276"/>
      <c r="P87" s="1276"/>
      <c r="Q87" s="1276"/>
      <c r="R87" s="1276"/>
      <c r="S87" s="1276"/>
      <c r="T87" s="1276"/>
      <c r="U87" s="1276"/>
      <c r="V87" s="1276"/>
      <c r="W87" s="1276"/>
      <c r="X87" s="1276"/>
      <c r="Y87" s="1276"/>
      <c r="Z87" s="1276"/>
      <c r="AA87" s="1276"/>
      <c r="AB87" s="1276"/>
      <c r="AC87" s="1276"/>
      <c r="AD87" s="1276"/>
      <c r="AE87" s="1276"/>
      <c r="AF87" s="1276"/>
      <c r="AG87" s="1276"/>
      <c r="AH87" s="1276"/>
      <c r="AI87" s="1276"/>
      <c r="AJ87" s="1276"/>
      <c r="AK87" s="681"/>
      <c r="AL87" s="1179"/>
      <c r="AM87" s="1179"/>
      <c r="AN87" s="1179"/>
      <c r="AO87" s="42"/>
      <c r="BA87" s="2595"/>
      <c r="BB87" s="2595"/>
      <c r="BC87" s="2595"/>
      <c r="BD87" s="2595"/>
      <c r="BE87" s="2595"/>
      <c r="BF87" s="2595"/>
      <c r="BG87" s="2595"/>
      <c r="BH87" s="2595"/>
      <c r="BI87" s="2595"/>
      <c r="BJ87" s="2595"/>
      <c r="BK87" s="42"/>
    </row>
    <row r="88" spans="1:63" s="3402" customFormat="1" ht="15.75" customHeight="1">
      <c r="A88" s="681"/>
      <c r="B88" s="3085" t="s">
        <v>4594</v>
      </c>
      <c r="C88" s="1707"/>
      <c r="D88" s="1707"/>
      <c r="E88" s="4476"/>
      <c r="F88" s="1707"/>
      <c r="G88" s="1707"/>
      <c r="H88" s="1707"/>
      <c r="I88" s="1707"/>
      <c r="J88" s="1707"/>
      <c r="K88" s="1707"/>
      <c r="L88" s="1707"/>
      <c r="M88" s="1707"/>
      <c r="N88" s="1707"/>
      <c r="O88" s="1707"/>
      <c r="P88" s="1707"/>
      <c r="Q88" s="1707"/>
      <c r="R88" s="1707"/>
      <c r="S88" s="1707"/>
      <c r="T88" s="5034"/>
      <c r="U88" s="1707"/>
      <c r="V88" s="1707"/>
      <c r="W88" s="1707"/>
      <c r="X88" s="1707"/>
      <c r="Y88" s="1707"/>
      <c r="Z88" s="1707"/>
      <c r="AA88" s="1707"/>
      <c r="AB88" s="1707"/>
      <c r="AC88" s="5034"/>
      <c r="AD88" s="1707"/>
      <c r="AE88" s="1707"/>
      <c r="AF88" s="1707"/>
      <c r="AG88" s="1707"/>
      <c r="AH88" s="1707"/>
      <c r="AI88" s="1707"/>
      <c r="AJ88" s="1707"/>
      <c r="AK88" s="681"/>
      <c r="AL88" s="1179"/>
      <c r="AM88" s="1179"/>
      <c r="AN88" s="1179"/>
      <c r="AO88" s="42"/>
      <c r="BA88" s="2595"/>
      <c r="BB88" s="2595"/>
      <c r="BC88" s="2595"/>
      <c r="BD88" s="2595"/>
      <c r="BE88" s="2595"/>
      <c r="BF88" s="2595"/>
      <c r="BG88" s="2595"/>
      <c r="BH88" s="2595"/>
      <c r="BI88" s="2595"/>
      <c r="BJ88" s="2595"/>
      <c r="BK88" s="42"/>
    </row>
    <row r="89" spans="1:63" s="4382" customFormat="1" ht="48" customHeight="1">
      <c r="A89" s="5035"/>
      <c r="B89" s="8770" t="s">
        <v>4595</v>
      </c>
      <c r="C89" s="8772" t="s">
        <v>4596</v>
      </c>
      <c r="D89" s="7086"/>
      <c r="E89" s="7086"/>
      <c r="F89" s="7086"/>
      <c r="G89" s="7086"/>
      <c r="H89" s="7086"/>
      <c r="I89" s="7086"/>
      <c r="J89" s="7086"/>
      <c r="K89" s="7086"/>
      <c r="L89" s="7087"/>
      <c r="M89" s="8766" t="s">
        <v>4597</v>
      </c>
      <c r="N89" s="8767"/>
      <c r="O89" s="8767"/>
      <c r="P89" s="7361"/>
      <c r="Q89" s="8766" t="s">
        <v>4598</v>
      </c>
      <c r="R89" s="8767"/>
      <c r="S89" s="8767"/>
      <c r="T89" s="7361"/>
      <c r="U89" s="8766" t="s">
        <v>4599</v>
      </c>
      <c r="V89" s="8767"/>
      <c r="W89" s="8767"/>
      <c r="X89" s="7361"/>
      <c r="Y89" s="8766" t="s">
        <v>4600</v>
      </c>
      <c r="Z89" s="8767"/>
      <c r="AA89" s="8767"/>
      <c r="AB89" s="7361"/>
      <c r="AC89" s="8766" t="s">
        <v>4601</v>
      </c>
      <c r="AD89" s="8767"/>
      <c r="AE89" s="8767"/>
      <c r="AF89" s="7361"/>
      <c r="AG89" s="8766" t="s">
        <v>4602</v>
      </c>
      <c r="AH89" s="8767"/>
      <c r="AI89" s="8767"/>
      <c r="AJ89" s="8767"/>
      <c r="AK89" s="5035"/>
      <c r="AL89" s="1179"/>
      <c r="AM89" s="1179"/>
      <c r="AN89" s="1179"/>
      <c r="AO89" s="946"/>
      <c r="BA89" s="2595"/>
      <c r="BB89" s="2595"/>
      <c r="BC89" s="2595"/>
      <c r="BD89" s="2595"/>
      <c r="BE89" s="2595"/>
      <c r="BF89" s="2595"/>
      <c r="BG89" s="2595"/>
      <c r="BH89" s="2595"/>
      <c r="BI89" s="2595"/>
      <c r="BJ89" s="2595"/>
      <c r="BK89" s="946"/>
    </row>
    <row r="90" spans="1:63" s="4382" customFormat="1" ht="15.75" customHeight="1">
      <c r="A90" s="5035"/>
      <c r="B90" s="8771"/>
      <c r="C90" s="6792"/>
      <c r="D90" s="6792"/>
      <c r="E90" s="6792"/>
      <c r="F90" s="6792"/>
      <c r="G90" s="6792"/>
      <c r="H90" s="6792"/>
      <c r="I90" s="6792"/>
      <c r="J90" s="6792"/>
      <c r="K90" s="6792"/>
      <c r="L90" s="8071"/>
      <c r="M90" s="7283"/>
      <c r="N90" s="7284"/>
      <c r="O90" s="7284"/>
      <c r="P90" s="8765"/>
      <c r="Q90" s="7283"/>
      <c r="R90" s="7284"/>
      <c r="S90" s="7284"/>
      <c r="T90" s="8765"/>
      <c r="U90" s="7283"/>
      <c r="V90" s="7284"/>
      <c r="W90" s="7284"/>
      <c r="X90" s="8765"/>
      <c r="Y90" s="7283"/>
      <c r="Z90" s="7284"/>
      <c r="AA90" s="7284"/>
      <c r="AB90" s="8765"/>
      <c r="AC90" s="7283"/>
      <c r="AD90" s="7284"/>
      <c r="AE90" s="7284"/>
      <c r="AF90" s="8765"/>
      <c r="AG90" s="7283"/>
      <c r="AH90" s="7284"/>
      <c r="AI90" s="7284"/>
      <c r="AJ90" s="7284"/>
      <c r="AK90" s="5035"/>
      <c r="AL90" s="1179"/>
      <c r="AM90" s="1179"/>
      <c r="AN90" s="1179"/>
      <c r="AO90" s="946"/>
      <c r="BA90" s="2595"/>
      <c r="BB90" s="2595"/>
      <c r="BC90" s="2595"/>
      <c r="BD90" s="2595"/>
      <c r="BE90" s="2595"/>
      <c r="BF90" s="2595"/>
      <c r="BG90" s="2595"/>
      <c r="BH90" s="2595"/>
      <c r="BI90" s="2595"/>
      <c r="BJ90" s="2595"/>
      <c r="BK90" s="946"/>
    </row>
    <row r="91" spans="1:63" s="4382" customFormat="1" ht="15.75" customHeight="1">
      <c r="A91" s="5035"/>
      <c r="B91" s="5036">
        <v>31</v>
      </c>
      <c r="C91" s="1276" t="s">
        <v>4603</v>
      </c>
      <c r="D91" s="1926"/>
      <c r="E91" s="3719"/>
      <c r="F91" s="1926"/>
      <c r="G91" s="1926"/>
      <c r="H91" s="1926"/>
      <c r="I91" s="1926"/>
      <c r="J91" s="1926"/>
      <c r="K91" s="1926"/>
      <c r="L91" s="1926"/>
      <c r="M91" s="7283"/>
      <c r="N91" s="7284"/>
      <c r="O91" s="7284"/>
      <c r="P91" s="8765"/>
      <c r="Q91" s="7283"/>
      <c r="R91" s="7284"/>
      <c r="S91" s="7284"/>
      <c r="T91" s="8765"/>
      <c r="U91" s="7283"/>
      <c r="V91" s="7284"/>
      <c r="W91" s="7284"/>
      <c r="X91" s="8765"/>
      <c r="Y91" s="7283"/>
      <c r="Z91" s="7284"/>
      <c r="AA91" s="7284"/>
      <c r="AB91" s="8765"/>
      <c r="AC91" s="7283"/>
      <c r="AD91" s="7284"/>
      <c r="AE91" s="7284"/>
      <c r="AF91" s="8765"/>
      <c r="AG91" s="7283"/>
      <c r="AH91" s="7284"/>
      <c r="AI91" s="7284"/>
      <c r="AJ91" s="7284"/>
      <c r="AK91" s="5035"/>
      <c r="AL91" s="1179"/>
      <c r="AM91" s="1179"/>
      <c r="AN91" s="1179"/>
      <c r="AO91" s="946"/>
      <c r="BA91" s="2595"/>
      <c r="BB91" s="2595"/>
      <c r="BC91" s="2595"/>
      <c r="BD91" s="2595"/>
      <c r="BE91" s="2595"/>
      <c r="BF91" s="2595"/>
      <c r="BG91" s="2595"/>
      <c r="BH91" s="2595"/>
      <c r="BI91" s="2595"/>
      <c r="BJ91" s="2595"/>
      <c r="BK91" s="946"/>
    </row>
    <row r="92" spans="1:63" s="3402" customFormat="1" ht="15.75" customHeight="1">
      <c r="A92" s="681"/>
      <c r="B92" s="5036">
        <v>32</v>
      </c>
      <c r="C92" s="1276" t="s">
        <v>4604</v>
      </c>
      <c r="D92" s="1276"/>
      <c r="E92" s="2686"/>
      <c r="F92" s="1276"/>
      <c r="G92" s="1276"/>
      <c r="H92" s="1276"/>
      <c r="I92" s="1276"/>
      <c r="J92" s="1276"/>
      <c r="K92" s="1276"/>
      <c r="L92" s="1276"/>
      <c r="M92" s="2785"/>
      <c r="N92" s="1706"/>
      <c r="O92" s="1706"/>
      <c r="P92" s="4362"/>
      <c r="Q92" s="2785"/>
      <c r="R92" s="1706"/>
      <c r="S92" s="1706"/>
      <c r="T92" s="4362"/>
      <c r="U92" s="2785"/>
      <c r="V92" s="1706"/>
      <c r="W92" s="1706"/>
      <c r="X92" s="4362"/>
      <c r="Y92" s="2785"/>
      <c r="Z92" s="1706"/>
      <c r="AA92" s="1706"/>
      <c r="AB92" s="4362"/>
      <c r="AC92" s="2785"/>
      <c r="AD92" s="1706"/>
      <c r="AE92" s="1706"/>
      <c r="AF92" s="4362"/>
      <c r="AG92" s="2785"/>
      <c r="AH92" s="1706"/>
      <c r="AI92" s="1706"/>
      <c r="AJ92" s="1706"/>
      <c r="AK92" s="681"/>
      <c r="AL92" s="1179"/>
      <c r="AM92" s="1179"/>
      <c r="AN92" s="1179"/>
      <c r="AO92" s="42"/>
      <c r="BA92" s="2595"/>
      <c r="BB92" s="2595"/>
      <c r="BC92" s="2595"/>
      <c r="BD92" s="2595"/>
      <c r="BE92" s="2595"/>
      <c r="BF92" s="2595"/>
      <c r="BG92" s="2595"/>
      <c r="BH92" s="2595"/>
      <c r="BI92" s="2595"/>
      <c r="BJ92" s="2595"/>
      <c r="BK92" s="42"/>
    </row>
    <row r="93" spans="1:63" s="3402" customFormat="1" ht="15.75" customHeight="1">
      <c r="A93" s="681"/>
      <c r="B93" s="3838"/>
      <c r="C93" s="1276" t="s">
        <v>4605</v>
      </c>
      <c r="D93" s="1276"/>
      <c r="E93" s="3355"/>
      <c r="F93" s="1276"/>
      <c r="G93" s="1276"/>
      <c r="H93" s="1276"/>
      <c r="I93" s="1276"/>
      <c r="J93" s="1276"/>
      <c r="K93" s="1276"/>
      <c r="L93" s="1276"/>
      <c r="M93" s="8762"/>
      <c r="N93" s="8763"/>
      <c r="O93" s="8763"/>
      <c r="P93" s="8764"/>
      <c r="Q93" s="8762"/>
      <c r="R93" s="8763"/>
      <c r="S93" s="8763"/>
      <c r="T93" s="8764"/>
      <c r="U93" s="8762"/>
      <c r="V93" s="8763"/>
      <c r="W93" s="8763"/>
      <c r="X93" s="8764"/>
      <c r="Y93" s="8762"/>
      <c r="Z93" s="8763"/>
      <c r="AA93" s="8763"/>
      <c r="AB93" s="8764"/>
      <c r="AC93" s="8762"/>
      <c r="AD93" s="8763"/>
      <c r="AE93" s="8763"/>
      <c r="AF93" s="8764"/>
      <c r="AG93" s="8762"/>
      <c r="AH93" s="8763"/>
      <c r="AI93" s="8763"/>
      <c r="AJ93" s="8763"/>
      <c r="AK93" s="681"/>
      <c r="AL93" s="1179"/>
      <c r="AM93" s="1179"/>
      <c r="AN93" s="1179"/>
      <c r="AO93" s="42"/>
      <c r="BA93" s="2595"/>
      <c r="BB93" s="2595"/>
      <c r="BC93" s="2595"/>
      <c r="BD93" s="2595"/>
      <c r="BE93" s="2595"/>
      <c r="BF93" s="2595"/>
      <c r="BG93" s="2595"/>
      <c r="BH93" s="2595"/>
      <c r="BI93" s="2595"/>
      <c r="BJ93" s="2595"/>
      <c r="BK93" s="42"/>
    </row>
    <row r="94" spans="1:63" s="3402" customFormat="1" ht="15.75" customHeight="1">
      <c r="A94" s="681"/>
      <c r="B94" s="5036">
        <v>33</v>
      </c>
      <c r="C94" s="1276" t="s">
        <v>4606</v>
      </c>
      <c r="D94" s="1276"/>
      <c r="E94" s="2686"/>
      <c r="F94" s="1276"/>
      <c r="G94" s="1276"/>
      <c r="H94" s="1276"/>
      <c r="I94" s="1276"/>
      <c r="J94" s="1276"/>
      <c r="K94" s="1276"/>
      <c r="L94" s="1276"/>
      <c r="M94" s="2785"/>
      <c r="N94" s="1706"/>
      <c r="O94" s="1706"/>
      <c r="P94" s="4362"/>
      <c r="Q94" s="2785"/>
      <c r="R94" s="1706"/>
      <c r="S94" s="1706"/>
      <c r="T94" s="4362"/>
      <c r="U94" s="2785"/>
      <c r="V94" s="1706"/>
      <c r="W94" s="1706"/>
      <c r="X94" s="4362"/>
      <c r="Y94" s="2785"/>
      <c r="Z94" s="1706"/>
      <c r="AA94" s="1706"/>
      <c r="AB94" s="4362"/>
      <c r="AC94" s="2785"/>
      <c r="AD94" s="1706"/>
      <c r="AE94" s="1706"/>
      <c r="AF94" s="4362"/>
      <c r="AG94" s="2785"/>
      <c r="AH94" s="1706"/>
      <c r="AI94" s="1706"/>
      <c r="AJ94" s="1706"/>
      <c r="AK94" s="681"/>
      <c r="AL94" s="1179"/>
      <c r="AM94" s="1179"/>
      <c r="AN94" s="1179"/>
      <c r="AO94" s="42"/>
      <c r="BA94" s="2595"/>
      <c r="BB94" s="2595"/>
      <c r="BC94" s="2595"/>
      <c r="BD94" s="2595"/>
      <c r="BE94" s="2595"/>
      <c r="BF94" s="2595"/>
      <c r="BG94" s="2595"/>
      <c r="BH94" s="2595"/>
      <c r="BI94" s="2595"/>
      <c r="BJ94" s="2595"/>
      <c r="BK94" s="42"/>
    </row>
    <row r="95" spans="1:63" s="3402" customFormat="1" ht="15.75" customHeight="1">
      <c r="A95" s="681"/>
      <c r="B95" s="3838"/>
      <c r="C95" s="1276" t="s">
        <v>4607</v>
      </c>
      <c r="D95" s="1276"/>
      <c r="E95" s="3355"/>
      <c r="F95" s="1276"/>
      <c r="G95" s="1276"/>
      <c r="H95" s="1276"/>
      <c r="I95" s="1276"/>
      <c r="J95" s="1276"/>
      <c r="K95" s="1276"/>
      <c r="L95" s="1276"/>
      <c r="M95" s="8759" t="str">
        <f>IF(OR(M90&lt;&gt;"",M91&lt;&gt;"",M93&lt;&gt;""),SUM(ROUND(M90,0),ROUND(M91,0),ROUND(M93,0)),"")</f>
        <v/>
      </c>
      <c r="N95" s="8760"/>
      <c r="O95" s="8760"/>
      <c r="P95" s="8761"/>
      <c r="Q95" s="8759" t="str">
        <f>IF(OR(Q90&lt;&gt;"",Q91&lt;&gt;"",Q93&lt;&gt;""),SUM(ROUND(Q90,0),ROUND(Q91,0),ROUND(Q93,0)),"")</f>
        <v/>
      </c>
      <c r="R95" s="8760"/>
      <c r="S95" s="8760"/>
      <c r="T95" s="8761"/>
      <c r="U95" s="8759" t="str">
        <f>IF(OR(U90&lt;&gt;"",U91&lt;&gt;"",U93&lt;&gt;""),SUM(ROUND(U90,0),ROUND(U91,0),ROUND(U93,0)),"")</f>
        <v/>
      </c>
      <c r="V95" s="8760"/>
      <c r="W95" s="8760"/>
      <c r="X95" s="8761"/>
      <c r="Y95" s="8759" t="str">
        <f>IF(OR(Y90&lt;&gt;"",Y91&lt;&gt;"",Y93&lt;&gt;""),SUM(ROUND(Y90,0),ROUND(Y91,0),ROUND(Y93,0)),"")</f>
        <v/>
      </c>
      <c r="Z95" s="8760"/>
      <c r="AA95" s="8760"/>
      <c r="AB95" s="8761"/>
      <c r="AC95" s="8759" t="str">
        <f>IF(OR(AC90&lt;&gt;"",AC91&lt;&gt;"",AC93&lt;&gt;""),SUM(ROUND(AC90,0),ROUND(AC91,0),ROUND(AC93,0)),"")</f>
        <v/>
      </c>
      <c r="AD95" s="8760"/>
      <c r="AE95" s="8760"/>
      <c r="AF95" s="8761"/>
      <c r="AG95" s="8759" t="str">
        <f>IF(OR(AG90&lt;&gt;"",AG91&lt;&gt;"",AG93&lt;&gt;""),SUM(ROUND(AG90,0),ROUND(AG91,0),ROUND(AG93,0)),"")</f>
        <v/>
      </c>
      <c r="AH95" s="8760"/>
      <c r="AI95" s="8760"/>
      <c r="AJ95" s="8760"/>
      <c r="AK95" s="681"/>
      <c r="AL95" s="1179"/>
      <c r="AM95" s="1179"/>
      <c r="AN95" s="1179"/>
      <c r="AO95" s="42"/>
      <c r="BA95" s="2595"/>
      <c r="BB95" s="2595"/>
      <c r="BC95" s="2595"/>
      <c r="BD95" s="2595"/>
      <c r="BE95" s="2595"/>
      <c r="BF95" s="2595"/>
      <c r="BG95" s="2595"/>
      <c r="BH95" s="2595"/>
      <c r="BI95" s="2595"/>
      <c r="BJ95" s="2595"/>
      <c r="BK95" s="42"/>
    </row>
    <row r="96" spans="1:63" s="3402" customFormat="1" ht="15.75" customHeight="1">
      <c r="A96" s="681"/>
      <c r="B96" s="5036">
        <v>34</v>
      </c>
      <c r="C96" s="1276" t="s">
        <v>4608</v>
      </c>
      <c r="D96" s="1276"/>
      <c r="E96" s="2686"/>
      <c r="F96" s="1276"/>
      <c r="G96" s="1276"/>
      <c r="H96" s="1276"/>
      <c r="I96" s="1276"/>
      <c r="J96" s="1276"/>
      <c r="K96" s="1276"/>
      <c r="L96" s="1276"/>
      <c r="M96" s="8756" t="s">
        <v>271</v>
      </c>
      <c r="N96" s="8757"/>
      <c r="O96" s="8756" t="s">
        <v>272</v>
      </c>
      <c r="P96" s="8757"/>
      <c r="Q96" s="8756" t="s">
        <v>271</v>
      </c>
      <c r="R96" s="8757"/>
      <c r="S96" s="8756" t="s">
        <v>272</v>
      </c>
      <c r="T96" s="8757"/>
      <c r="U96" s="8756" t="s">
        <v>271</v>
      </c>
      <c r="V96" s="8757"/>
      <c r="W96" s="8756" t="s">
        <v>272</v>
      </c>
      <c r="X96" s="8757"/>
      <c r="Y96" s="8756" t="s">
        <v>271</v>
      </c>
      <c r="Z96" s="8757"/>
      <c r="AA96" s="8756" t="s">
        <v>272</v>
      </c>
      <c r="AB96" s="8757"/>
      <c r="AC96" s="8756" t="s">
        <v>271</v>
      </c>
      <c r="AD96" s="8757"/>
      <c r="AE96" s="8756" t="s">
        <v>272</v>
      </c>
      <c r="AF96" s="8757"/>
      <c r="AG96" s="8756" t="s">
        <v>271</v>
      </c>
      <c r="AH96" s="8757"/>
      <c r="AI96" s="8756" t="s">
        <v>272</v>
      </c>
      <c r="AJ96" s="8758"/>
      <c r="AK96" s="681"/>
      <c r="AL96" s="1179"/>
      <c r="AM96" s="1179"/>
      <c r="AN96" s="1179"/>
      <c r="AO96" s="42"/>
      <c r="BA96" s="2595"/>
      <c r="BB96" s="2595"/>
      <c r="BC96" s="2595"/>
      <c r="BD96" s="2595"/>
      <c r="BE96" s="2595"/>
      <c r="BF96" s="2595"/>
      <c r="BG96" s="2595"/>
      <c r="BH96" s="2595"/>
      <c r="BI96" s="2595"/>
      <c r="BJ96" s="2595"/>
      <c r="BK96" s="42"/>
    </row>
    <row r="97" spans="1:63" s="3402" customFormat="1" ht="15.75" customHeight="1">
      <c r="A97" s="681"/>
      <c r="B97" s="3838"/>
      <c r="C97" s="1276" t="s">
        <v>4609</v>
      </c>
      <c r="D97" s="1276"/>
      <c r="E97" s="3355"/>
      <c r="F97" s="1276"/>
      <c r="G97" s="1276"/>
      <c r="H97" s="1276"/>
      <c r="I97" s="1276"/>
      <c r="J97" s="1276"/>
      <c r="K97" s="1276"/>
      <c r="L97" s="1276"/>
      <c r="M97" s="8751"/>
      <c r="N97" s="8752"/>
      <c r="O97" s="8751"/>
      <c r="P97" s="8752"/>
      <c r="Q97" s="8751"/>
      <c r="R97" s="8752"/>
      <c r="S97" s="8751"/>
      <c r="T97" s="8752"/>
      <c r="U97" s="8751"/>
      <c r="V97" s="8752"/>
      <c r="W97" s="8751"/>
      <c r="X97" s="8752"/>
      <c r="Y97" s="8751"/>
      <c r="Z97" s="8752"/>
      <c r="AA97" s="8751"/>
      <c r="AB97" s="8752"/>
      <c r="AC97" s="8751"/>
      <c r="AD97" s="8752"/>
      <c r="AE97" s="8751"/>
      <c r="AF97" s="8752"/>
      <c r="AG97" s="8751"/>
      <c r="AH97" s="8752"/>
      <c r="AI97" s="8751"/>
      <c r="AJ97" s="8753"/>
      <c r="AK97" s="681"/>
      <c r="AL97" s="1179"/>
      <c r="AM97" s="1179"/>
      <c r="AN97" s="1179"/>
      <c r="AO97" s="42"/>
      <c r="BA97" s="2595"/>
      <c r="BB97" s="2595"/>
      <c r="BC97" s="2595"/>
      <c r="BD97" s="2595"/>
      <c r="BE97" s="2595"/>
      <c r="BF97" s="2595"/>
      <c r="BG97" s="2595"/>
      <c r="BH97" s="2595"/>
      <c r="BI97" s="2595"/>
      <c r="BJ97" s="2595"/>
      <c r="BK97" s="42"/>
    </row>
    <row r="98" spans="1:63" s="3402" customFormat="1" ht="33.75" customHeight="1">
      <c r="A98" s="681"/>
      <c r="B98" s="5036">
        <v>35</v>
      </c>
      <c r="C98" s="8755" t="s">
        <v>4610</v>
      </c>
      <c r="D98" s="8170"/>
      <c r="E98" s="8170"/>
      <c r="F98" s="8170"/>
      <c r="G98" s="8170"/>
      <c r="H98" s="8170"/>
      <c r="I98" s="8170"/>
      <c r="J98" s="8170"/>
      <c r="K98" s="8170"/>
      <c r="L98" s="8447"/>
      <c r="M98" s="8751"/>
      <c r="N98" s="8752"/>
      <c r="O98" s="8751"/>
      <c r="P98" s="8752"/>
      <c r="Q98" s="8751"/>
      <c r="R98" s="8752"/>
      <c r="S98" s="8751"/>
      <c r="T98" s="8752"/>
      <c r="U98" s="8751"/>
      <c r="V98" s="8752"/>
      <c r="W98" s="8751"/>
      <c r="X98" s="8752"/>
      <c r="Y98" s="8751"/>
      <c r="Z98" s="8752"/>
      <c r="AA98" s="8751"/>
      <c r="AB98" s="8752"/>
      <c r="AC98" s="8751"/>
      <c r="AD98" s="8752"/>
      <c r="AE98" s="8751"/>
      <c r="AF98" s="8752"/>
      <c r="AG98" s="8751"/>
      <c r="AH98" s="8752"/>
      <c r="AI98" s="8751"/>
      <c r="AJ98" s="8753"/>
      <c r="AK98" s="681"/>
      <c r="AL98" s="1179"/>
      <c r="AM98" s="1179"/>
      <c r="AN98" s="1179"/>
      <c r="AO98" s="42"/>
      <c r="BA98" s="2595"/>
      <c r="BB98" s="2595"/>
      <c r="BC98" s="2595"/>
      <c r="BD98" s="2595"/>
      <c r="BE98" s="2595"/>
      <c r="BF98" s="2595"/>
      <c r="BG98" s="2595"/>
      <c r="BH98" s="2595"/>
      <c r="BI98" s="2595"/>
      <c r="BJ98" s="2595"/>
      <c r="BK98" s="42"/>
    </row>
    <row r="99" spans="1:63" s="3402" customFormat="1" ht="15.75" customHeight="1">
      <c r="A99" s="681"/>
      <c r="B99" s="4926">
        <v>36</v>
      </c>
      <c r="C99" s="1707" t="s">
        <v>4611</v>
      </c>
      <c r="D99" s="1707"/>
      <c r="E99" s="4476"/>
      <c r="F99" s="1707"/>
      <c r="G99" s="1707"/>
      <c r="H99" s="1707"/>
      <c r="I99" s="1707"/>
      <c r="J99" s="1707"/>
      <c r="K99" s="1707"/>
      <c r="L99" s="5037"/>
      <c r="M99" s="8751"/>
      <c r="N99" s="8752"/>
      <c r="O99" s="8751"/>
      <c r="P99" s="8752"/>
      <c r="Q99" s="8751"/>
      <c r="R99" s="8752"/>
      <c r="S99" s="8751"/>
      <c r="T99" s="8752"/>
      <c r="U99" s="8751"/>
      <c r="V99" s="8752"/>
      <c r="W99" s="8751"/>
      <c r="X99" s="8752"/>
      <c r="Y99" s="8751"/>
      <c r="Z99" s="8752"/>
      <c r="AA99" s="8751"/>
      <c r="AB99" s="8752"/>
      <c r="AC99" s="8751"/>
      <c r="AD99" s="8752"/>
      <c r="AE99" s="8751"/>
      <c r="AF99" s="8752"/>
      <c r="AG99" s="8751"/>
      <c r="AH99" s="8752"/>
      <c r="AI99" s="8751"/>
      <c r="AJ99" s="8753"/>
      <c r="AK99" s="681"/>
      <c r="AL99" s="1179"/>
      <c r="AM99" s="1179"/>
      <c r="AN99" s="1179"/>
      <c r="AO99" s="42"/>
      <c r="BA99" s="2595"/>
      <c r="BB99" s="2595"/>
      <c r="BC99" s="2595"/>
      <c r="BD99" s="2595"/>
      <c r="BE99" s="2595"/>
      <c r="BF99" s="2595"/>
      <c r="BG99" s="2595"/>
      <c r="BH99" s="2595"/>
      <c r="BI99" s="2595"/>
      <c r="BJ99" s="2595"/>
      <c r="BK99" s="42"/>
    </row>
    <row r="100" spans="1:63" s="3402" customFormat="1" ht="15.75" customHeight="1">
      <c r="A100" s="681"/>
      <c r="B100" s="1812" t="s">
        <v>4612</v>
      </c>
      <c r="C100" s="5032"/>
      <c r="D100" s="5032"/>
      <c r="E100" s="5033"/>
      <c r="F100" s="5032"/>
      <c r="G100" s="5032"/>
      <c r="H100" s="5032"/>
      <c r="I100" s="5032"/>
      <c r="J100" s="5032"/>
      <c r="K100" s="5032"/>
      <c r="L100" s="5032"/>
      <c r="M100" s="5032"/>
      <c r="N100" s="5032"/>
      <c r="O100" s="5032"/>
      <c r="P100" s="5032"/>
      <c r="Q100" s="5032"/>
      <c r="R100" s="5032"/>
      <c r="S100" s="5032"/>
      <c r="T100" s="5032"/>
      <c r="U100" s="5032"/>
      <c r="V100" s="5032"/>
      <c r="W100" s="5032"/>
      <c r="X100" s="5032"/>
      <c r="Y100" s="5032"/>
      <c r="Z100" s="5032"/>
      <c r="AA100" s="5032"/>
      <c r="AB100" s="5032"/>
      <c r="AC100" s="5032"/>
      <c r="AD100" s="5032"/>
      <c r="AE100" s="5032"/>
      <c r="AF100" s="5032"/>
      <c r="AG100" s="5032"/>
      <c r="AH100" s="5032"/>
      <c r="AI100" s="5032"/>
      <c r="AJ100" s="5032"/>
      <c r="AK100" s="681"/>
      <c r="AL100" s="1179"/>
      <c r="AM100" s="1179"/>
      <c r="AN100" s="1179"/>
      <c r="AO100" s="42"/>
      <c r="BA100" s="2595"/>
      <c r="BB100" s="2595"/>
      <c r="BC100" s="2595"/>
      <c r="BD100" s="2595"/>
      <c r="BE100" s="2595"/>
      <c r="BF100" s="2595"/>
      <c r="BG100" s="2595"/>
      <c r="BH100" s="2595"/>
      <c r="BI100" s="2595"/>
      <c r="BJ100" s="2595"/>
      <c r="BK100" s="42"/>
    </row>
    <row r="101" spans="1:63" s="4382" customFormat="1" ht="15.75" customHeight="1">
      <c r="A101" s="5035"/>
      <c r="B101" s="5038" t="s">
        <v>4613</v>
      </c>
      <c r="C101" s="1926"/>
      <c r="D101" s="1926"/>
      <c r="E101" s="3719"/>
      <c r="F101" s="1926"/>
      <c r="G101" s="1926"/>
      <c r="H101" s="1926"/>
      <c r="I101" s="1926"/>
      <c r="J101" s="1926"/>
      <c r="K101" s="1926"/>
      <c r="L101" s="1926"/>
      <c r="M101" s="1926"/>
      <c r="N101" s="1926"/>
      <c r="O101" s="1926"/>
      <c r="P101" s="1926"/>
      <c r="Q101" s="1926"/>
      <c r="R101" s="1926"/>
      <c r="S101" s="1926"/>
      <c r="T101" s="1926"/>
      <c r="U101" s="1926"/>
      <c r="V101" s="1926"/>
      <c r="W101" s="1926"/>
      <c r="X101" s="1926"/>
      <c r="Y101" s="1926"/>
      <c r="Z101" s="1926"/>
      <c r="AA101" s="1926"/>
      <c r="AB101" s="1926"/>
      <c r="AC101" s="1926"/>
      <c r="AD101" s="1926"/>
      <c r="AE101" s="1926"/>
      <c r="AF101" s="1926"/>
      <c r="AG101" s="1926"/>
      <c r="AH101" s="1926"/>
      <c r="AI101" s="1926"/>
      <c r="AJ101" s="1926"/>
      <c r="AK101" s="5035"/>
      <c r="AL101" s="1179"/>
      <c r="AM101" s="1179"/>
      <c r="AN101" s="1179"/>
      <c r="AO101" s="946"/>
      <c r="BA101" s="2595"/>
      <c r="BB101" s="2595"/>
      <c r="BC101" s="2595"/>
      <c r="BD101" s="2595"/>
      <c r="BE101" s="2595"/>
      <c r="BF101" s="2595"/>
      <c r="BG101" s="2595"/>
      <c r="BH101" s="2595"/>
      <c r="BI101" s="2595"/>
      <c r="BJ101" s="2595"/>
      <c r="BK101" s="946"/>
    </row>
    <row r="102" spans="1:63" s="3402" customFormat="1" ht="15.75" customHeight="1">
      <c r="A102" s="681"/>
      <c r="B102" s="5039" t="s">
        <v>4614</v>
      </c>
      <c r="C102" s="4453"/>
      <c r="D102" s="4453"/>
      <c r="E102" s="4453"/>
      <c r="F102" s="4453"/>
      <c r="G102" s="4453"/>
      <c r="H102" s="4453"/>
      <c r="I102" s="4453"/>
      <c r="J102" s="4453"/>
      <c r="K102" s="4453"/>
      <c r="L102" s="4453"/>
      <c r="M102" s="4453"/>
      <c r="N102" s="4453"/>
      <c r="O102" s="4453"/>
      <c r="P102" s="4453"/>
      <c r="Q102" s="4453"/>
      <c r="R102" s="4453"/>
      <c r="S102" s="4453"/>
      <c r="T102" s="4453"/>
      <c r="U102" s="4453"/>
      <c r="V102" s="4453"/>
      <c r="W102" s="4453"/>
      <c r="X102" s="4453"/>
      <c r="Y102" s="4453"/>
      <c r="Z102" s="4453"/>
      <c r="AA102" s="4453"/>
      <c r="AB102" s="4453"/>
      <c r="AC102" s="4453"/>
      <c r="AD102" s="4453"/>
      <c r="AE102" s="4453"/>
      <c r="AF102" s="4453"/>
      <c r="AG102" s="4453"/>
      <c r="AH102" s="4453"/>
      <c r="AI102" s="4453"/>
      <c r="AJ102" s="4453"/>
      <c r="AK102" s="681"/>
      <c r="AL102" s="1179"/>
      <c r="AM102" s="1179"/>
      <c r="AN102" s="1179"/>
      <c r="AO102" s="42"/>
      <c r="BA102" s="2595"/>
      <c r="BB102" s="2595"/>
      <c r="BC102" s="2595"/>
      <c r="BD102" s="2595"/>
      <c r="BE102" s="2595"/>
      <c r="BF102" s="2595"/>
      <c r="BG102" s="2595"/>
      <c r="BH102" s="2595"/>
      <c r="BI102" s="2595"/>
      <c r="BJ102" s="2595"/>
      <c r="BK102" s="42"/>
    </row>
    <row r="103" spans="1:63" s="4381" customFormat="1" ht="15.75" customHeight="1">
      <c r="A103" s="4353"/>
      <c r="B103" s="2974">
        <v>37</v>
      </c>
      <c r="C103" s="3986" t="s">
        <v>4615</v>
      </c>
      <c r="D103" s="3986"/>
      <c r="E103" s="5040"/>
      <c r="F103" s="3986"/>
      <c r="G103" s="3986"/>
      <c r="H103" s="3986"/>
      <c r="I103" s="3986"/>
      <c r="J103" s="3986"/>
      <c r="K103" s="3986"/>
      <c r="L103" s="3986"/>
      <c r="M103" s="3986"/>
      <c r="N103" s="3986"/>
      <c r="O103" s="3986"/>
      <c r="P103" s="3986"/>
      <c r="Q103" s="3986"/>
      <c r="R103" s="3986"/>
      <c r="S103" s="3986"/>
      <c r="T103" s="3986"/>
      <c r="U103" s="3986"/>
      <c r="V103" s="3986"/>
      <c r="W103" s="3986"/>
      <c r="X103" s="3986"/>
      <c r="Y103" s="3986"/>
      <c r="Z103" s="3986"/>
      <c r="AA103" s="3986"/>
      <c r="AB103" s="3986"/>
      <c r="AC103" s="3986"/>
      <c r="AD103" s="3986"/>
      <c r="AE103" s="3986"/>
      <c r="AF103" s="3986"/>
      <c r="AG103" s="7388" t="s">
        <v>4616</v>
      </c>
      <c r="AH103" s="8754"/>
      <c r="AI103" s="7388" t="s">
        <v>4617</v>
      </c>
      <c r="AJ103" s="8754"/>
      <c r="AK103" s="4353"/>
      <c r="AL103" s="1179"/>
      <c r="AM103" s="1179"/>
      <c r="AN103" s="1179"/>
      <c r="AO103" s="4355"/>
      <c r="BA103" s="2595"/>
      <c r="BB103" s="2595"/>
      <c r="BC103" s="2595"/>
      <c r="BD103" s="2595"/>
      <c r="BE103" s="2595"/>
      <c r="BF103" s="2595"/>
      <c r="BG103" s="2595"/>
      <c r="BH103" s="2595"/>
      <c r="BI103" s="2595"/>
      <c r="BJ103" s="2595"/>
      <c r="BK103" s="4355"/>
    </row>
    <row r="104" spans="1:63" s="4381" customFormat="1" ht="15.75" customHeight="1">
      <c r="A104" s="4353"/>
      <c r="B104" s="5041"/>
      <c r="C104" s="3986" t="s">
        <v>4618</v>
      </c>
      <c r="D104" s="3986"/>
      <c r="E104" s="5042"/>
      <c r="F104" s="3986"/>
      <c r="G104" s="3986"/>
      <c r="H104" s="3986"/>
      <c r="I104" s="3986"/>
      <c r="J104" s="3986"/>
      <c r="K104" s="3986"/>
      <c r="L104" s="3986"/>
      <c r="M104" s="3986"/>
      <c r="N104" s="3986"/>
      <c r="O104" s="3986"/>
      <c r="P104" s="3986"/>
      <c r="Q104" s="3986"/>
      <c r="R104" s="3986"/>
      <c r="S104" s="3986"/>
      <c r="T104" s="3986"/>
      <c r="U104" s="3986"/>
      <c r="V104" s="3986"/>
      <c r="W104" s="3986"/>
      <c r="X104" s="3986"/>
      <c r="Y104" s="3986"/>
      <c r="Z104" s="3986"/>
      <c r="AA104" s="3986"/>
      <c r="AB104" s="3986"/>
      <c r="AC104" s="3986"/>
      <c r="AD104" s="3986"/>
      <c r="AE104" s="3986"/>
      <c r="AF104" s="1560" t="s">
        <v>4646</v>
      </c>
      <c r="AG104" s="8720"/>
      <c r="AH104" s="8727"/>
      <c r="AI104" s="8720"/>
      <c r="AJ104" s="8727"/>
      <c r="AK104" s="4353"/>
      <c r="AL104" s="1179"/>
      <c r="AM104" s="1179"/>
      <c r="AN104" s="1179"/>
      <c r="AO104" s="4355"/>
      <c r="BA104" s="2595"/>
      <c r="BB104" s="2595"/>
      <c r="BC104" s="2595"/>
      <c r="BD104" s="2595"/>
      <c r="BE104" s="2595"/>
      <c r="BF104" s="2595"/>
      <c r="BG104" s="2595"/>
      <c r="BH104" s="2595"/>
      <c r="BI104" s="2595"/>
      <c r="BJ104" s="2595"/>
      <c r="BK104" s="4355"/>
    </row>
    <row r="105" spans="1:63" s="3402" customFormat="1" ht="15.75" customHeight="1">
      <c r="A105" s="681"/>
      <c r="B105" s="2974">
        <v>38</v>
      </c>
      <c r="C105" s="3986" t="s">
        <v>4619</v>
      </c>
      <c r="D105" s="3986"/>
      <c r="E105" s="3986"/>
      <c r="F105" s="3986"/>
      <c r="G105" s="3986"/>
      <c r="H105" s="3986"/>
      <c r="I105" s="3986"/>
      <c r="J105" s="3986"/>
      <c r="K105" s="3986"/>
      <c r="L105" s="3986"/>
      <c r="M105" s="3986"/>
      <c r="N105" s="3986"/>
      <c r="O105" s="3986"/>
      <c r="P105" s="3986"/>
      <c r="Q105" s="3986"/>
      <c r="R105" s="3986"/>
      <c r="S105" s="3986"/>
      <c r="T105" s="3986"/>
      <c r="U105" s="3986"/>
      <c r="V105" s="3986"/>
      <c r="W105" s="3986"/>
      <c r="X105" s="3986"/>
      <c r="Y105" s="3986"/>
      <c r="Z105" s="3986"/>
      <c r="AA105" s="3986"/>
      <c r="AB105" s="3986"/>
      <c r="AC105" s="3986"/>
      <c r="AD105" s="3986"/>
      <c r="AE105" s="3986"/>
      <c r="AF105" s="3986"/>
      <c r="AG105" s="8739"/>
      <c r="AH105" s="8740"/>
      <c r="AI105" s="8739"/>
      <c r="AJ105" s="8742"/>
      <c r="AK105" s="681"/>
      <c r="AL105" s="1179"/>
      <c r="AM105" s="1179"/>
      <c r="AN105" s="1179"/>
      <c r="AO105" s="42"/>
      <c r="BA105" s="2595"/>
      <c r="BB105" s="2595"/>
      <c r="BC105" s="2595"/>
      <c r="BD105" s="2595"/>
      <c r="BE105" s="2595"/>
      <c r="BF105" s="2595"/>
      <c r="BG105" s="2595"/>
      <c r="BH105" s="2595"/>
      <c r="BI105" s="2595"/>
      <c r="BJ105" s="2595"/>
      <c r="BK105" s="42"/>
    </row>
    <row r="106" spans="1:63" s="3402" customFormat="1" ht="15.75" customHeight="1">
      <c r="A106" s="681"/>
      <c r="B106" s="4998"/>
      <c r="C106" s="3986" t="s">
        <v>4620</v>
      </c>
      <c r="D106" s="1276"/>
      <c r="E106" s="1276"/>
      <c r="F106" s="1276"/>
      <c r="G106" s="1276"/>
      <c r="H106" s="1276"/>
      <c r="I106" s="1276"/>
      <c r="J106" s="1276"/>
      <c r="K106" s="1276"/>
      <c r="L106" s="1276"/>
      <c r="M106" s="1276"/>
      <c r="N106" s="1276"/>
      <c r="O106" s="1276"/>
      <c r="P106" s="1276"/>
      <c r="Q106" s="1276"/>
      <c r="R106" s="1276"/>
      <c r="S106" s="1276"/>
      <c r="T106" s="1276"/>
      <c r="U106" s="1276"/>
      <c r="V106" s="1276"/>
      <c r="W106" s="1276"/>
      <c r="X106" s="1276"/>
      <c r="Y106" s="1276"/>
      <c r="Z106" s="1276"/>
      <c r="AA106" s="1276"/>
      <c r="AB106" s="2057"/>
      <c r="AC106" s="2057"/>
      <c r="AD106" s="1276"/>
      <c r="AE106" s="1276"/>
      <c r="AF106" s="1276"/>
      <c r="AG106" s="8741"/>
      <c r="AH106" s="8741"/>
      <c r="AI106" s="8743"/>
      <c r="AJ106" s="8744"/>
      <c r="AK106" s="681"/>
      <c r="AL106" s="1179"/>
      <c r="AM106" s="1179"/>
      <c r="AN106" s="1179"/>
      <c r="AO106" s="42"/>
      <c r="BA106" s="2595"/>
      <c r="BB106" s="2595"/>
      <c r="BC106" s="2595"/>
      <c r="BD106" s="2595"/>
      <c r="BE106" s="2595"/>
      <c r="BF106" s="2595"/>
      <c r="BG106" s="2595"/>
      <c r="BH106" s="2595"/>
      <c r="BI106" s="2595"/>
      <c r="BJ106" s="2595"/>
      <c r="BK106" s="42"/>
    </row>
    <row r="107" spans="1:63" s="3402" customFormat="1" ht="15.75" customHeight="1">
      <c r="A107" s="681"/>
      <c r="B107" s="2974">
        <v>39</v>
      </c>
      <c r="C107" s="3986" t="s">
        <v>4621</v>
      </c>
      <c r="D107" s="2686"/>
      <c r="E107" s="2686"/>
      <c r="F107" s="1276"/>
      <c r="G107" s="1276"/>
      <c r="H107" s="1276"/>
      <c r="I107" s="1276"/>
      <c r="J107" s="1276"/>
      <c r="K107" s="1276"/>
      <c r="L107" s="1276"/>
      <c r="M107" s="1276"/>
      <c r="N107" s="1276"/>
      <c r="O107" s="1276"/>
      <c r="P107" s="1276"/>
      <c r="Q107" s="1276"/>
      <c r="R107" s="5043"/>
      <c r="S107" s="1276"/>
      <c r="T107" s="1276"/>
      <c r="U107" s="1276"/>
      <c r="V107" s="1276"/>
      <c r="W107" s="1276"/>
      <c r="X107" s="1276"/>
      <c r="Y107" s="1276"/>
      <c r="Z107" s="2762"/>
      <c r="AA107" s="2762"/>
      <c r="AB107" s="1276"/>
      <c r="AC107" s="1276"/>
      <c r="AD107" s="4485"/>
      <c r="AE107" s="4948"/>
      <c r="AF107" s="1560" t="s">
        <v>3348</v>
      </c>
      <c r="AG107" s="8720"/>
      <c r="AH107" s="8727"/>
      <c r="AI107" s="8720"/>
      <c r="AJ107" s="8727"/>
      <c r="AK107" s="681"/>
      <c r="AL107" s="1179"/>
      <c r="AM107" s="1179"/>
      <c r="AN107" s="1179"/>
      <c r="AO107" s="42"/>
      <c r="BA107" s="2595"/>
      <c r="BB107" s="2595"/>
      <c r="BC107" s="2595"/>
      <c r="BD107" s="2595"/>
      <c r="BE107" s="2595"/>
      <c r="BF107" s="2595"/>
      <c r="BG107" s="2595"/>
      <c r="BH107" s="2595"/>
      <c r="BI107" s="2595"/>
      <c r="BJ107" s="2595"/>
      <c r="BK107" s="42"/>
    </row>
    <row r="108" spans="1:63" s="3402" customFormat="1" ht="15.75" customHeight="1">
      <c r="A108" s="681"/>
      <c r="B108" s="2974">
        <v>40</v>
      </c>
      <c r="C108" s="3986" t="s">
        <v>4622</v>
      </c>
      <c r="D108" s="2686"/>
      <c r="E108" s="1276"/>
      <c r="F108" s="1276"/>
      <c r="G108" s="1276"/>
      <c r="H108" s="1276"/>
      <c r="I108" s="1276"/>
      <c r="J108" s="1276"/>
      <c r="K108" s="1276"/>
      <c r="L108" s="1276"/>
      <c r="M108" s="1276"/>
      <c r="N108" s="1276"/>
      <c r="O108" s="1276"/>
      <c r="P108" s="1276"/>
      <c r="Q108" s="1276"/>
      <c r="R108" s="1276"/>
      <c r="S108" s="1276"/>
      <c r="T108" s="1276"/>
      <c r="U108" s="1276"/>
      <c r="V108" s="1276"/>
      <c r="W108" s="1276"/>
      <c r="X108" s="1276"/>
      <c r="Y108" s="1276"/>
      <c r="Z108" s="2762"/>
      <c r="AA108" s="2762"/>
      <c r="AB108" s="1276"/>
      <c r="AC108" s="2065"/>
      <c r="AD108" s="4485"/>
      <c r="AE108" s="4948"/>
      <c r="AF108" s="5044"/>
      <c r="AG108" s="8745"/>
      <c r="AH108" s="8746"/>
      <c r="AI108" s="8749"/>
      <c r="AJ108" s="8749"/>
      <c r="AK108" s="681"/>
      <c r="AL108" s="1179"/>
      <c r="AM108" s="1179"/>
      <c r="AN108" s="1179"/>
      <c r="AO108" s="42"/>
      <c r="BA108" s="2595"/>
      <c r="BB108" s="2595"/>
      <c r="BC108" s="2595"/>
      <c r="BD108" s="2595"/>
      <c r="BE108" s="2595"/>
      <c r="BF108" s="2595"/>
      <c r="BG108" s="2595"/>
      <c r="BH108" s="2595"/>
      <c r="BI108" s="2595"/>
      <c r="BJ108" s="2595"/>
      <c r="BK108" s="42"/>
    </row>
    <row r="109" spans="1:63" s="3402" customFormat="1" ht="15.75" customHeight="1">
      <c r="A109" s="681"/>
      <c r="B109" s="4998"/>
      <c r="C109" s="3986" t="s">
        <v>4623</v>
      </c>
      <c r="D109" s="2686"/>
      <c r="E109" s="2686"/>
      <c r="F109" s="2686"/>
      <c r="G109" s="1276"/>
      <c r="H109" s="1276"/>
      <c r="I109" s="1276"/>
      <c r="J109" s="1276"/>
      <c r="K109" s="1276"/>
      <c r="L109" s="1276"/>
      <c r="M109" s="1276"/>
      <c r="N109" s="1276"/>
      <c r="O109" s="1276"/>
      <c r="P109" s="1276"/>
      <c r="Q109" s="1276"/>
      <c r="R109" s="1276"/>
      <c r="S109" s="1276"/>
      <c r="T109" s="1276"/>
      <c r="U109" s="1276"/>
      <c r="V109" s="1276"/>
      <c r="W109" s="1276"/>
      <c r="X109" s="1276"/>
      <c r="Y109" s="1276"/>
      <c r="Z109" s="1276"/>
      <c r="AA109" s="1276"/>
      <c r="AB109" s="1276"/>
      <c r="AC109" s="2065"/>
      <c r="AD109" s="4485"/>
      <c r="AE109" s="4948"/>
      <c r="AF109" s="1560" t="s">
        <v>2524</v>
      </c>
      <c r="AG109" s="8747"/>
      <c r="AH109" s="8748"/>
      <c r="AI109" s="8750"/>
      <c r="AJ109" s="8750"/>
      <c r="AK109" s="681"/>
      <c r="AL109" s="1179"/>
      <c r="AM109" s="1179"/>
      <c r="AN109" s="1179"/>
      <c r="AO109" s="42"/>
      <c r="BA109" s="2595"/>
      <c r="BB109" s="2595"/>
      <c r="BC109" s="2595"/>
      <c r="BD109" s="2595"/>
      <c r="BE109" s="2595"/>
      <c r="BF109" s="2595"/>
      <c r="BG109" s="2595"/>
      <c r="BH109" s="2595"/>
      <c r="BI109" s="2595"/>
      <c r="BJ109" s="2595"/>
      <c r="BK109" s="42"/>
    </row>
    <row r="110" spans="1:63" s="3402" customFormat="1" ht="15.75" customHeight="1">
      <c r="A110" s="681"/>
      <c r="B110" s="2974">
        <v>41</v>
      </c>
      <c r="C110" s="3986" t="s">
        <v>4624</v>
      </c>
      <c r="D110" s="2686"/>
      <c r="E110" s="2686"/>
      <c r="F110" s="2686"/>
      <c r="G110" s="1276"/>
      <c r="H110" s="1276"/>
      <c r="I110" s="1276"/>
      <c r="J110" s="1276"/>
      <c r="K110" s="1276"/>
      <c r="L110" s="1276"/>
      <c r="M110" s="1276"/>
      <c r="N110" s="1276"/>
      <c r="O110" s="1276"/>
      <c r="P110" s="1276"/>
      <c r="Q110" s="1276"/>
      <c r="R110" s="1276"/>
      <c r="S110" s="1276"/>
      <c r="T110" s="1276"/>
      <c r="U110" s="1276"/>
      <c r="V110" s="1276"/>
      <c r="W110" s="1276"/>
      <c r="X110" s="1276"/>
      <c r="Y110" s="1276"/>
      <c r="Z110" s="1276"/>
      <c r="AA110" s="1276"/>
      <c r="AB110" s="2057"/>
      <c r="AC110" s="2057"/>
      <c r="AD110" s="1276"/>
      <c r="AE110" s="1276"/>
      <c r="AF110" s="1560" t="s">
        <v>2514</v>
      </c>
      <c r="AG110" s="8720"/>
      <c r="AH110" s="8727"/>
      <c r="AI110" s="8720"/>
      <c r="AJ110" s="8727"/>
      <c r="AK110" s="681"/>
      <c r="AL110" s="1179"/>
      <c r="AM110" s="1179"/>
      <c r="AN110" s="1179"/>
      <c r="AO110" s="42"/>
      <c r="BA110" s="2595"/>
      <c r="BB110" s="2595"/>
      <c r="BC110" s="2595"/>
      <c r="BD110" s="2595"/>
      <c r="BE110" s="2595"/>
      <c r="BF110" s="2595"/>
      <c r="BG110" s="2595"/>
      <c r="BH110" s="2595"/>
      <c r="BI110" s="2595"/>
      <c r="BJ110" s="2595"/>
      <c r="BK110" s="42"/>
    </row>
    <row r="111" spans="1:63" s="3402" customFormat="1" ht="15.75" customHeight="1" thickBot="1">
      <c r="A111" s="681"/>
      <c r="B111" s="4510"/>
      <c r="C111" s="5045" t="s">
        <v>4625</v>
      </c>
      <c r="D111" s="2704"/>
      <c r="E111" s="2704"/>
      <c r="F111" s="2704"/>
      <c r="G111" s="1704"/>
      <c r="H111" s="1704"/>
      <c r="I111" s="1704"/>
      <c r="J111" s="1704"/>
      <c r="K111" s="1704"/>
      <c r="L111" s="1704"/>
      <c r="M111" s="1704"/>
      <c r="N111" s="1704"/>
      <c r="O111" s="1704"/>
      <c r="P111" s="1704"/>
      <c r="Q111" s="1704"/>
      <c r="R111" s="1704"/>
      <c r="S111" s="1704"/>
      <c r="T111" s="1704"/>
      <c r="U111" s="1704"/>
      <c r="V111" s="1704"/>
      <c r="W111" s="1704"/>
      <c r="X111" s="1704"/>
      <c r="Y111" s="1704"/>
      <c r="Z111" s="1704"/>
      <c r="AA111" s="1704"/>
      <c r="AB111" s="1704"/>
      <c r="AC111" s="2743"/>
      <c r="AD111" s="5046"/>
      <c r="AE111" s="5047"/>
      <c r="AF111" s="5048"/>
      <c r="AG111" s="5023"/>
      <c r="AH111" s="4991"/>
      <c r="AI111" s="4991"/>
      <c r="AJ111" s="4991"/>
      <c r="AK111" s="681"/>
      <c r="AL111" s="1179"/>
      <c r="AM111" s="1179"/>
      <c r="AN111" s="1179"/>
      <c r="AO111" s="42"/>
      <c r="BA111" s="2595"/>
      <c r="BB111" s="2595"/>
      <c r="BC111" s="2595"/>
      <c r="BD111" s="2595"/>
      <c r="BE111" s="2595"/>
      <c r="BF111" s="2595"/>
      <c r="BG111" s="2595"/>
      <c r="BH111" s="2595"/>
      <c r="BI111" s="2595"/>
      <c r="BJ111" s="2595"/>
      <c r="BK111" s="42"/>
    </row>
    <row r="112" spans="1:63" s="4381" customFormat="1" ht="15.75" customHeight="1">
      <c r="A112" s="4353"/>
      <c r="B112" s="8524" t="s">
        <v>1628</v>
      </c>
      <c r="C112" s="8728"/>
      <c r="D112" s="5049" t="s">
        <v>4626</v>
      </c>
      <c r="E112" s="4959"/>
      <c r="F112" s="4960"/>
      <c r="G112" s="4960"/>
      <c r="H112" s="4960"/>
      <c r="I112" s="4960"/>
      <c r="J112" s="4960"/>
      <c r="K112" s="4960"/>
      <c r="L112" s="4960"/>
      <c r="M112" s="4960"/>
      <c r="N112" s="4960"/>
      <c r="O112" s="4960"/>
      <c r="P112" s="4960"/>
      <c r="Q112" s="4960"/>
      <c r="R112" s="4960"/>
      <c r="S112" s="4937"/>
      <c r="T112" s="4937"/>
      <c r="U112" s="4937"/>
      <c r="V112" s="4937"/>
      <c r="W112" s="4937"/>
      <c r="X112" s="4937"/>
      <c r="Y112" s="4937"/>
      <c r="Z112" s="4937"/>
      <c r="AA112" s="4937"/>
      <c r="AB112" s="4937"/>
      <c r="AC112" s="4937"/>
      <c r="AD112" s="4937"/>
      <c r="AE112" s="4937"/>
      <c r="AF112" s="4937"/>
      <c r="AG112" s="4937"/>
      <c r="AH112" s="4937"/>
      <c r="AI112" s="4940"/>
      <c r="AJ112" s="4940"/>
      <c r="AK112" s="4353"/>
      <c r="AL112" s="1179"/>
      <c r="AM112" s="1179"/>
      <c r="AN112" s="1179"/>
      <c r="AO112" s="4355"/>
      <c r="BA112" s="2595"/>
      <c r="BB112" s="2595"/>
      <c r="BC112" s="2595"/>
      <c r="BD112" s="2595"/>
      <c r="BE112" s="2595"/>
      <c r="BF112" s="2595"/>
      <c r="BG112" s="2595"/>
      <c r="BH112" s="2595"/>
      <c r="BI112" s="2595"/>
      <c r="BJ112" s="2595"/>
      <c r="BK112" s="4355"/>
    </row>
    <row r="113" spans="1:63" s="3402" customFormat="1" ht="58.5" customHeight="1">
      <c r="A113" s="681"/>
      <c r="B113" s="8729" t="s">
        <v>4627</v>
      </c>
      <c r="C113" s="8730"/>
      <c r="D113" s="8730"/>
      <c r="E113" s="8730"/>
      <c r="F113" s="8730"/>
      <c r="G113" s="8730"/>
      <c r="H113" s="8730"/>
      <c r="I113" s="8731"/>
      <c r="J113" s="8732" t="s">
        <v>4628</v>
      </c>
      <c r="K113" s="8733"/>
      <c r="L113" s="8733"/>
      <c r="M113" s="8733"/>
      <c r="N113" s="8733"/>
      <c r="O113" s="8734"/>
      <c r="P113" s="8732" t="s">
        <v>4629</v>
      </c>
      <c r="Q113" s="8733"/>
      <c r="R113" s="8733"/>
      <c r="S113" s="8733"/>
      <c r="T113" s="8733"/>
      <c r="U113" s="8734"/>
      <c r="V113" s="8732" t="s">
        <v>4630</v>
      </c>
      <c r="W113" s="8733"/>
      <c r="X113" s="8733"/>
      <c r="Y113" s="8734"/>
      <c r="Z113" s="8735" t="s">
        <v>4631</v>
      </c>
      <c r="AA113" s="8736"/>
      <c r="AB113" s="8736"/>
      <c r="AC113" s="8737"/>
      <c r="AD113" s="8732" t="s">
        <v>4632</v>
      </c>
      <c r="AE113" s="8738"/>
      <c r="AF113" s="8738"/>
      <c r="AG113" s="8738"/>
      <c r="AH113" s="8738"/>
      <c r="AI113" s="8738"/>
      <c r="AJ113" s="8738"/>
      <c r="AK113" s="681"/>
      <c r="AL113" s="1179"/>
      <c r="AM113" s="1179"/>
      <c r="AN113" s="1179"/>
      <c r="AO113" s="42"/>
      <c r="BA113" s="2595"/>
      <c r="BB113" s="2595"/>
      <c r="BC113" s="2595"/>
      <c r="BD113" s="2595"/>
      <c r="BE113" s="2595"/>
      <c r="BF113" s="2595"/>
      <c r="BG113" s="2595"/>
      <c r="BH113" s="2595"/>
      <c r="BI113" s="2595"/>
      <c r="BJ113" s="2595"/>
      <c r="BK113" s="42"/>
    </row>
    <row r="114" spans="1:63" s="4381" customFormat="1" ht="15.75" customHeight="1">
      <c r="A114" s="4353"/>
      <c r="B114" s="5024">
        <v>42</v>
      </c>
      <c r="C114" s="5050" t="str">
        <f>"Amortization of costs that begins during your "&amp;TaxYear&amp;" tax year (see instructions):"</f>
        <v>Amortization of costs that begins during your 2021 tax year (see instructions):</v>
      </c>
      <c r="D114" s="4965"/>
      <c r="E114" s="4963"/>
      <c r="F114" s="4966"/>
      <c r="G114" s="4966"/>
      <c r="H114" s="4966"/>
      <c r="I114" s="4966"/>
      <c r="J114" s="4966"/>
      <c r="K114" s="4966"/>
      <c r="L114" s="4966"/>
      <c r="M114" s="4966"/>
      <c r="N114" s="4966"/>
      <c r="O114" s="4966"/>
      <c r="P114" s="4966"/>
      <c r="Q114" s="4966"/>
      <c r="R114" s="4966"/>
      <c r="S114" s="4966"/>
      <c r="T114" s="4966"/>
      <c r="U114" s="4966"/>
      <c r="V114" s="4966"/>
      <c r="W114" s="4966"/>
      <c r="X114" s="4966"/>
      <c r="Y114" s="4966"/>
      <c r="Z114" s="4966"/>
      <c r="AA114" s="4966"/>
      <c r="AB114" s="4966"/>
      <c r="AC114" s="4966"/>
      <c r="AD114" s="4966"/>
      <c r="AE114" s="4966"/>
      <c r="AF114" s="4966"/>
      <c r="AG114" s="4966"/>
      <c r="AH114" s="4966"/>
      <c r="AI114" s="4967"/>
      <c r="AJ114" s="4967"/>
      <c r="AK114" s="4353"/>
      <c r="AL114" s="1179"/>
      <c r="AM114" s="1179"/>
      <c r="AN114" s="1179"/>
      <c r="AO114" s="4355"/>
      <c r="BA114" s="2595"/>
      <c r="BB114" s="2595"/>
      <c r="BC114" s="2595"/>
      <c r="BD114" s="2595"/>
      <c r="BE114" s="2595"/>
      <c r="BF114" s="2595"/>
      <c r="BG114" s="2595"/>
      <c r="BH114" s="2595"/>
      <c r="BI114" s="2595"/>
      <c r="BJ114" s="2595"/>
      <c r="BK114" s="4355"/>
    </row>
    <row r="115" spans="1:63" s="3402" customFormat="1" ht="17.25" customHeight="1">
      <c r="A115" s="681"/>
      <c r="B115" s="8712"/>
      <c r="C115" s="8713"/>
      <c r="D115" s="8713"/>
      <c r="E115" s="8713"/>
      <c r="F115" s="8713"/>
      <c r="G115" s="8713"/>
      <c r="H115" s="8713"/>
      <c r="I115" s="8714"/>
      <c r="J115" s="8715"/>
      <c r="K115" s="8716"/>
      <c r="L115" s="8716"/>
      <c r="M115" s="8716"/>
      <c r="N115" s="8716"/>
      <c r="O115" s="8717"/>
      <c r="P115" s="8690"/>
      <c r="Q115" s="8718"/>
      <c r="R115" s="8718"/>
      <c r="S115" s="8718"/>
      <c r="T115" s="8718"/>
      <c r="U115" s="8719"/>
      <c r="V115" s="8720"/>
      <c r="W115" s="8721"/>
      <c r="X115" s="8721"/>
      <c r="Y115" s="8722"/>
      <c r="Z115" s="8726"/>
      <c r="AA115" s="8724"/>
      <c r="AB115" s="8724"/>
      <c r="AC115" s="8725"/>
      <c r="AD115" s="8690"/>
      <c r="AE115" s="8691"/>
      <c r="AF115" s="8691"/>
      <c r="AG115" s="8691"/>
      <c r="AH115" s="8691"/>
      <c r="AI115" s="8691"/>
      <c r="AJ115" s="8691"/>
      <c r="AK115" s="681"/>
      <c r="AL115" s="1179"/>
      <c r="AM115" s="1179"/>
      <c r="AN115" s="1179"/>
      <c r="AO115" s="42"/>
      <c r="BA115" s="2595"/>
      <c r="BB115" s="2595"/>
      <c r="BC115" s="2595"/>
      <c r="BD115" s="2595"/>
      <c r="BE115" s="2595"/>
      <c r="BF115" s="2595"/>
      <c r="BG115" s="2595"/>
      <c r="BH115" s="2595"/>
      <c r="BI115" s="2595"/>
      <c r="BJ115" s="2595"/>
      <c r="BK115" s="42"/>
    </row>
    <row r="116" spans="1:63" s="3402" customFormat="1" ht="17.25" customHeight="1">
      <c r="A116" s="681"/>
      <c r="B116" s="8712"/>
      <c r="C116" s="8713"/>
      <c r="D116" s="8713"/>
      <c r="E116" s="8713"/>
      <c r="F116" s="8713"/>
      <c r="G116" s="8713"/>
      <c r="H116" s="8713"/>
      <c r="I116" s="8714"/>
      <c r="J116" s="8715"/>
      <c r="K116" s="8716"/>
      <c r="L116" s="8716"/>
      <c r="M116" s="8716"/>
      <c r="N116" s="8716"/>
      <c r="O116" s="8717"/>
      <c r="P116" s="8690"/>
      <c r="Q116" s="8718"/>
      <c r="R116" s="8718"/>
      <c r="S116" s="8718"/>
      <c r="T116" s="8718"/>
      <c r="U116" s="8719"/>
      <c r="V116" s="8720"/>
      <c r="W116" s="8721"/>
      <c r="X116" s="8721"/>
      <c r="Y116" s="8722"/>
      <c r="Z116" s="8723"/>
      <c r="AA116" s="8724"/>
      <c r="AB116" s="8724"/>
      <c r="AC116" s="8725"/>
      <c r="AD116" s="8690"/>
      <c r="AE116" s="8691"/>
      <c r="AF116" s="8691"/>
      <c r="AG116" s="8691"/>
      <c r="AH116" s="8691"/>
      <c r="AI116" s="8691"/>
      <c r="AJ116" s="8691"/>
      <c r="AK116" s="681"/>
      <c r="AL116" s="1179"/>
      <c r="AM116" s="1179"/>
      <c r="AN116" s="1179"/>
      <c r="AO116" s="42"/>
      <c r="BA116" s="2595"/>
      <c r="BB116" s="2595"/>
      <c r="BC116" s="2595"/>
      <c r="BD116" s="2595"/>
      <c r="BE116" s="2595"/>
      <c r="BF116" s="2595"/>
      <c r="BG116" s="2595"/>
      <c r="BH116" s="2595"/>
      <c r="BI116" s="2595"/>
      <c r="BJ116" s="2595"/>
      <c r="BK116" s="42"/>
    </row>
    <row r="117" spans="1:63" s="3402" customFormat="1" ht="17.25" customHeight="1" thickBot="1">
      <c r="A117" s="681"/>
      <c r="B117" s="4507">
        <v>43</v>
      </c>
      <c r="C117" s="5051" t="str">
        <f>"Amortization of costs that began before your "&amp;TaxYear&amp;" tax year"</f>
        <v>Amortization of costs that began before your 2021 tax year</v>
      </c>
      <c r="D117" s="2686"/>
      <c r="E117" s="2686"/>
      <c r="F117" s="2686"/>
      <c r="G117" s="1276"/>
      <c r="H117" s="1276"/>
      <c r="I117" s="1276"/>
      <c r="J117" s="1276"/>
      <c r="K117" s="1276"/>
      <c r="L117" s="1276"/>
      <c r="M117" s="1276"/>
      <c r="N117" s="1276"/>
      <c r="O117" s="1276"/>
      <c r="P117" s="1276"/>
      <c r="Q117" s="1276"/>
      <c r="R117" s="1276"/>
      <c r="S117" s="1276"/>
      <c r="T117" s="1276"/>
      <c r="U117" s="1276"/>
      <c r="V117" s="1276"/>
      <c r="W117" s="1276"/>
      <c r="X117" s="1276"/>
      <c r="Y117" s="1276"/>
      <c r="Z117" s="1276"/>
      <c r="AA117" s="1560" t="s">
        <v>2211</v>
      </c>
      <c r="AB117" s="8688">
        <v>43</v>
      </c>
      <c r="AC117" s="8689"/>
      <c r="AD117" s="8690"/>
      <c r="AE117" s="8691"/>
      <c r="AF117" s="8691"/>
      <c r="AG117" s="8691"/>
      <c r="AH117" s="8691"/>
      <c r="AI117" s="8691"/>
      <c r="AJ117" s="8691"/>
      <c r="AK117" s="681"/>
      <c r="AL117" s="1179"/>
      <c r="AM117" s="1179"/>
      <c r="AN117" s="1179"/>
      <c r="AO117" s="42"/>
      <c r="BA117" s="2595"/>
      <c r="BB117" s="2595"/>
      <c r="BC117" s="2595"/>
      <c r="BD117" s="2595"/>
      <c r="BE117" s="2595"/>
      <c r="BF117" s="2595"/>
      <c r="BG117" s="2595"/>
      <c r="BH117" s="2595"/>
      <c r="BI117" s="2595"/>
      <c r="BJ117" s="2595"/>
      <c r="BK117" s="42"/>
    </row>
    <row r="118" spans="1:63" s="3402" customFormat="1" ht="17.25" customHeight="1" thickBot="1">
      <c r="A118" s="681"/>
      <c r="B118" s="4507">
        <v>44</v>
      </c>
      <c r="C118" s="3986" t="s">
        <v>4633</v>
      </c>
      <c r="D118" s="2686"/>
      <c r="E118" s="2686"/>
      <c r="F118" s="2686"/>
      <c r="G118" s="1276"/>
      <c r="H118" s="1276"/>
      <c r="I118" s="1276"/>
      <c r="J118" s="1276"/>
      <c r="K118" s="1276"/>
      <c r="L118" s="1276"/>
      <c r="M118" s="1276"/>
      <c r="N118" s="1276"/>
      <c r="O118" s="1276"/>
      <c r="P118" s="1276"/>
      <c r="Q118" s="1276"/>
      <c r="R118" s="1276"/>
      <c r="S118" s="1276"/>
      <c r="T118" s="1276"/>
      <c r="U118" s="1276"/>
      <c r="V118" s="1276"/>
      <c r="W118" s="1276"/>
      <c r="X118" s="1276"/>
      <c r="Y118" s="1276"/>
      <c r="Z118" s="1276"/>
      <c r="AA118" s="1560" t="s">
        <v>2401</v>
      </c>
      <c r="AB118" s="8688">
        <v>44</v>
      </c>
      <c r="AC118" s="8689"/>
      <c r="AD118" s="8692">
        <f>IF(AM118&lt;&gt;"",ROUND(AM118,0),SUM(ROUND(AD115,0),ROUND(AD116,0),ROUND(AD117,0)))</f>
        <v>0</v>
      </c>
      <c r="AE118" s="8693"/>
      <c r="AF118" s="8693"/>
      <c r="AG118" s="8693"/>
      <c r="AH118" s="8693"/>
      <c r="AI118" s="8693"/>
      <c r="AJ118" s="8693"/>
      <c r="AK118" s="681"/>
      <c r="AL118" s="1179"/>
      <c r="AM118" s="5052"/>
      <c r="AN118" s="1179"/>
      <c r="AO118" s="42"/>
      <c r="BA118" s="2595"/>
      <c r="BB118" s="2595"/>
      <c r="BC118" s="2595"/>
      <c r="BD118" s="2595"/>
      <c r="BE118" s="2595"/>
      <c r="BF118" s="2595"/>
      <c r="BG118" s="2595"/>
      <c r="BH118" s="2595"/>
      <c r="BI118" s="2595"/>
      <c r="BJ118" s="2595"/>
      <c r="BK118" s="42"/>
    </row>
    <row r="119" spans="1:63" s="3402" customFormat="1" ht="18">
      <c r="A119" s="681"/>
      <c r="B119" s="5053"/>
      <c r="C119" s="70"/>
      <c r="D119" s="70"/>
      <c r="E119" s="70"/>
      <c r="F119" s="70"/>
      <c r="G119" s="70"/>
      <c r="H119" s="70"/>
      <c r="I119" s="70"/>
      <c r="J119" s="70"/>
      <c r="K119" s="70"/>
      <c r="L119" s="70"/>
      <c r="M119" s="70"/>
      <c r="N119" s="70"/>
      <c r="O119" s="70"/>
      <c r="P119" s="70"/>
      <c r="Q119" s="70"/>
      <c r="R119" s="70"/>
      <c r="S119" s="70"/>
      <c r="T119" s="70"/>
      <c r="U119" s="501"/>
      <c r="V119" s="70"/>
      <c r="W119" s="501"/>
      <c r="X119" s="70"/>
      <c r="Y119" s="70"/>
      <c r="Z119" s="70"/>
      <c r="AA119" s="70"/>
      <c r="AB119" s="70"/>
      <c r="AC119" s="70"/>
      <c r="AD119" s="70"/>
      <c r="AE119" s="70"/>
      <c r="AF119" s="70"/>
      <c r="AG119" s="70"/>
      <c r="AH119" s="1035" t="s">
        <v>4634</v>
      </c>
      <c r="AI119" s="70"/>
      <c r="AJ119" s="1035" t="str">
        <f>"("&amp;TaxYear&amp;")"</f>
        <v>(2021)</v>
      </c>
      <c r="AK119" s="681"/>
      <c r="AL119" s="1179"/>
      <c r="AM119" s="1179"/>
      <c r="AN119" s="1179"/>
      <c r="AO119" s="42"/>
      <c r="BA119" s="2595"/>
      <c r="BB119" s="2595"/>
      <c r="BC119" s="2595"/>
      <c r="BD119" s="2595"/>
      <c r="BE119" s="2595"/>
      <c r="BF119" s="2595"/>
      <c r="BG119" s="2595"/>
      <c r="BH119" s="2595"/>
      <c r="BI119" s="2595"/>
      <c r="BJ119" s="2595"/>
      <c r="BK119" s="42"/>
    </row>
    <row r="120" spans="1:63" ht="6" customHeight="1">
      <c r="A120" s="681"/>
      <c r="B120" s="681"/>
      <c r="C120" s="681"/>
      <c r="D120" s="681"/>
      <c r="E120" s="681"/>
      <c r="F120" s="681"/>
      <c r="G120" s="681"/>
      <c r="H120" s="681"/>
      <c r="I120" s="681"/>
      <c r="J120" s="681"/>
      <c r="K120" s="681"/>
      <c r="L120" s="681"/>
      <c r="M120" s="681"/>
      <c r="N120" s="681"/>
      <c r="O120" s="681"/>
      <c r="P120" s="681"/>
      <c r="Q120" s="681"/>
      <c r="R120" s="681"/>
      <c r="S120" s="681"/>
      <c r="T120" s="681"/>
      <c r="U120" s="681"/>
      <c r="V120" s="681"/>
      <c r="W120" s="681"/>
      <c r="X120" s="681"/>
      <c r="Y120" s="681"/>
      <c r="Z120" s="681"/>
      <c r="AA120" s="681"/>
      <c r="AB120" s="681"/>
      <c r="AC120" s="681"/>
      <c r="AD120" s="681"/>
      <c r="AE120" s="681"/>
      <c r="AF120" s="681"/>
      <c r="AG120" s="681"/>
      <c r="AH120" s="681"/>
      <c r="AI120" s="681"/>
      <c r="AJ120" s="681"/>
      <c r="AK120" s="681"/>
      <c r="AL120" s="1179"/>
      <c r="AM120" s="1179"/>
      <c r="AN120" s="1179"/>
    </row>
    <row r="121" spans="1:63" ht="15">
      <c r="B121" s="5054" t="s">
        <v>4482</v>
      </c>
      <c r="C121" s="1811"/>
      <c r="D121" s="1811"/>
      <c r="E121" s="1811"/>
      <c r="F121" s="1811"/>
      <c r="G121" s="1811"/>
      <c r="H121" s="1811"/>
      <c r="I121" s="1811"/>
      <c r="J121" s="1811"/>
      <c r="K121" s="1811"/>
      <c r="L121" s="1811"/>
      <c r="M121" s="1811"/>
      <c r="N121" s="1811"/>
      <c r="O121" s="1811"/>
      <c r="P121" s="1811"/>
      <c r="Q121" s="1811"/>
      <c r="R121" s="1811"/>
      <c r="S121" s="1811"/>
      <c r="T121" s="1811"/>
      <c r="U121" s="1811"/>
      <c r="V121" s="1811"/>
      <c r="W121" s="1811"/>
      <c r="X121" s="1811"/>
      <c r="Y121" s="1811"/>
      <c r="Z121" s="1811"/>
      <c r="AA121" s="1811"/>
      <c r="AB121" s="1811"/>
      <c r="AC121" s="1811"/>
      <c r="AD121" s="1811"/>
      <c r="AE121" s="1811"/>
      <c r="AF121" s="1811"/>
      <c r="AG121" s="1811"/>
      <c r="AH121" s="1811"/>
      <c r="AI121" s="1811"/>
      <c r="AJ121" s="1811"/>
    </row>
    <row r="122" spans="1:63" ht="7.5" customHeight="1">
      <c r="B122" s="1179"/>
      <c r="C122" s="1179"/>
      <c r="D122" s="1179"/>
      <c r="E122" s="1179"/>
      <c r="F122" s="1553"/>
      <c r="G122" s="1553"/>
      <c r="H122" s="1553"/>
      <c r="I122" s="1553"/>
      <c r="J122" s="1553"/>
      <c r="K122" s="1553"/>
      <c r="L122" s="1553"/>
      <c r="M122" s="1553"/>
      <c r="N122" s="1553"/>
      <c r="O122" s="1553"/>
      <c r="P122" s="1553"/>
      <c r="Q122" s="1553"/>
      <c r="R122" s="1553"/>
      <c r="S122" s="1553"/>
      <c r="T122" s="1553"/>
      <c r="U122" s="1553"/>
      <c r="V122" s="1553"/>
      <c r="W122" s="1553"/>
      <c r="X122" s="1553"/>
      <c r="Y122" s="1553"/>
      <c r="Z122" s="1553"/>
      <c r="AA122" s="1553"/>
      <c r="AB122" s="1553"/>
      <c r="AC122" s="1553"/>
      <c r="AD122" s="1553"/>
      <c r="AE122" s="1553"/>
      <c r="AF122" s="1553"/>
      <c r="AG122" s="1553"/>
      <c r="AH122" s="1553"/>
      <c r="AI122" s="1553"/>
      <c r="AJ122" s="1553"/>
    </row>
    <row r="123" spans="1:63" ht="22.5" customHeight="1">
      <c r="B123" s="8694" t="s">
        <v>4635</v>
      </c>
      <c r="C123" s="8695"/>
      <c r="D123" s="8695"/>
      <c r="E123" s="8695"/>
      <c r="F123" s="8695"/>
      <c r="G123" s="8695"/>
      <c r="H123" s="8695"/>
      <c r="I123" s="8696"/>
      <c r="J123" s="8703" t="s">
        <v>4636</v>
      </c>
      <c r="K123" s="8704"/>
      <c r="L123" s="8705"/>
      <c r="M123" s="8703" t="s">
        <v>4637</v>
      </c>
      <c r="N123" s="8704"/>
      <c r="O123" s="8705"/>
      <c r="P123" s="8703" t="s">
        <v>4638</v>
      </c>
      <c r="Q123" s="8695"/>
      <c r="R123" s="8696"/>
      <c r="S123" s="8703" t="s">
        <v>4639</v>
      </c>
      <c r="T123" s="8695"/>
      <c r="U123" s="8696"/>
      <c r="V123" s="8703" t="s">
        <v>4488</v>
      </c>
      <c r="W123" s="8695"/>
      <c r="X123" s="8696"/>
      <c r="Y123" s="8703" t="s">
        <v>4640</v>
      </c>
      <c r="Z123" s="8704"/>
      <c r="AA123" s="8705"/>
      <c r="AB123" s="8703" t="s">
        <v>4641</v>
      </c>
      <c r="AC123" s="8696"/>
      <c r="AD123" s="8703" t="s">
        <v>4642</v>
      </c>
      <c r="AE123" s="8704"/>
      <c r="AF123" s="8705"/>
      <c r="AG123" s="8703" t="s">
        <v>4643</v>
      </c>
      <c r="AH123" s="8695"/>
      <c r="AI123" s="8695"/>
      <c r="AJ123" s="8696"/>
    </row>
    <row r="124" spans="1:63" ht="22.5" customHeight="1">
      <c r="B124" s="8697"/>
      <c r="C124" s="8698"/>
      <c r="D124" s="8698"/>
      <c r="E124" s="8698"/>
      <c r="F124" s="8698"/>
      <c r="G124" s="8698"/>
      <c r="H124" s="8698"/>
      <c r="I124" s="8699"/>
      <c r="J124" s="8706"/>
      <c r="K124" s="8707"/>
      <c r="L124" s="8708"/>
      <c r="M124" s="8706"/>
      <c r="N124" s="8707"/>
      <c r="O124" s="8708"/>
      <c r="P124" s="8697"/>
      <c r="Q124" s="8698"/>
      <c r="R124" s="8699"/>
      <c r="S124" s="8697"/>
      <c r="T124" s="8698"/>
      <c r="U124" s="8699"/>
      <c r="V124" s="8697"/>
      <c r="W124" s="8698"/>
      <c r="X124" s="8699"/>
      <c r="Y124" s="8706"/>
      <c r="Z124" s="8707"/>
      <c r="AA124" s="8708"/>
      <c r="AB124" s="8697"/>
      <c r="AC124" s="8699"/>
      <c r="AD124" s="8706"/>
      <c r="AE124" s="8707"/>
      <c r="AF124" s="8708"/>
      <c r="AG124" s="8697"/>
      <c r="AH124" s="8698"/>
      <c r="AI124" s="8698"/>
      <c r="AJ124" s="8699"/>
    </row>
    <row r="125" spans="1:63" ht="22.5" customHeight="1">
      <c r="B125" s="8700"/>
      <c r="C125" s="8701"/>
      <c r="D125" s="8701"/>
      <c r="E125" s="8701"/>
      <c r="F125" s="8701"/>
      <c r="G125" s="8701"/>
      <c r="H125" s="8701"/>
      <c r="I125" s="8702"/>
      <c r="J125" s="8709"/>
      <c r="K125" s="8710"/>
      <c r="L125" s="8711"/>
      <c r="M125" s="8709"/>
      <c r="N125" s="8710"/>
      <c r="O125" s="8711"/>
      <c r="P125" s="8700"/>
      <c r="Q125" s="8701"/>
      <c r="R125" s="8702"/>
      <c r="S125" s="8700"/>
      <c r="T125" s="8701"/>
      <c r="U125" s="8702"/>
      <c r="V125" s="8700"/>
      <c r="W125" s="8701"/>
      <c r="X125" s="8702"/>
      <c r="Y125" s="8709"/>
      <c r="Z125" s="8710"/>
      <c r="AA125" s="8711"/>
      <c r="AB125" s="8700"/>
      <c r="AC125" s="8702"/>
      <c r="AD125" s="8709"/>
      <c r="AE125" s="8710"/>
      <c r="AF125" s="8711"/>
      <c r="AG125" s="8700"/>
      <c r="AH125" s="8701"/>
      <c r="AI125" s="8701"/>
      <c r="AJ125" s="8702"/>
    </row>
    <row r="126" spans="1:63" s="262" customFormat="1" ht="15">
      <c r="B126" s="8672"/>
      <c r="C126" s="8673"/>
      <c r="D126" s="8673"/>
      <c r="E126" s="8673"/>
      <c r="F126" s="8673"/>
      <c r="G126" s="8673"/>
      <c r="H126" s="8673"/>
      <c r="I126" s="8674"/>
      <c r="J126" s="8675"/>
      <c r="K126" s="8676"/>
      <c r="L126" s="8677"/>
      <c r="M126" s="8678"/>
      <c r="N126" s="8679"/>
      <c r="O126" s="8680"/>
      <c r="P126" s="8681"/>
      <c r="Q126" s="8682"/>
      <c r="R126" s="8683"/>
      <c r="S126" s="8678"/>
      <c r="T126" s="8679"/>
      <c r="U126" s="8680"/>
      <c r="V126" s="8678"/>
      <c r="W126" s="8679"/>
      <c r="X126" s="8680"/>
      <c r="Y126" s="8684"/>
      <c r="Z126" s="8685"/>
      <c r="AA126" s="8686"/>
      <c r="AB126" s="8687"/>
      <c r="AC126" s="8677"/>
      <c r="AD126" s="8681"/>
      <c r="AE126" s="8682"/>
      <c r="AF126" s="8683"/>
      <c r="AG126" s="8669"/>
      <c r="AH126" s="8670"/>
      <c r="AI126" s="8670"/>
      <c r="AJ126" s="8671"/>
      <c r="BA126" s="5055"/>
      <c r="BB126" s="5055"/>
      <c r="BC126" s="5055"/>
      <c r="BD126" s="5055"/>
      <c r="BE126" s="5055"/>
      <c r="BF126" s="5055"/>
      <c r="BG126" s="5055"/>
      <c r="BH126" s="5055"/>
      <c r="BI126" s="5055"/>
      <c r="BJ126" s="5055"/>
    </row>
    <row r="127" spans="1:63" s="262" customFormat="1" ht="15">
      <c r="B127" s="8672"/>
      <c r="C127" s="8673"/>
      <c r="D127" s="8673"/>
      <c r="E127" s="8673"/>
      <c r="F127" s="8673"/>
      <c r="G127" s="8673"/>
      <c r="H127" s="8673"/>
      <c r="I127" s="8674"/>
      <c r="J127" s="8675"/>
      <c r="K127" s="8676"/>
      <c r="L127" s="8677"/>
      <c r="M127" s="8678"/>
      <c r="N127" s="8679"/>
      <c r="O127" s="8680"/>
      <c r="P127" s="8681"/>
      <c r="Q127" s="8682"/>
      <c r="R127" s="8683"/>
      <c r="S127" s="8678"/>
      <c r="T127" s="8679"/>
      <c r="U127" s="8680"/>
      <c r="V127" s="8678"/>
      <c r="W127" s="8679"/>
      <c r="X127" s="8680"/>
      <c r="Y127" s="8684"/>
      <c r="Z127" s="8685"/>
      <c r="AA127" s="8686"/>
      <c r="AB127" s="8687"/>
      <c r="AC127" s="8677"/>
      <c r="AD127" s="8681"/>
      <c r="AE127" s="8682"/>
      <c r="AF127" s="8683"/>
      <c r="AG127" s="8669"/>
      <c r="AH127" s="8670"/>
      <c r="AI127" s="8670"/>
      <c r="AJ127" s="8671"/>
      <c r="BA127" s="5055"/>
      <c r="BB127" s="5055"/>
      <c r="BC127" s="5055"/>
      <c r="BD127" s="5055"/>
      <c r="BE127" s="5055"/>
      <c r="BF127" s="5055"/>
      <c r="BG127" s="5055"/>
      <c r="BH127" s="5055"/>
      <c r="BI127" s="5055"/>
      <c r="BJ127" s="5055"/>
    </row>
    <row r="128" spans="1:63" s="262" customFormat="1" ht="15">
      <c r="B128" s="8672"/>
      <c r="C128" s="8673"/>
      <c r="D128" s="8673"/>
      <c r="E128" s="8673"/>
      <c r="F128" s="8673"/>
      <c r="G128" s="8673"/>
      <c r="H128" s="8673"/>
      <c r="I128" s="8674"/>
      <c r="J128" s="8675"/>
      <c r="K128" s="8676"/>
      <c r="L128" s="8677"/>
      <c r="M128" s="8678"/>
      <c r="N128" s="8679"/>
      <c r="O128" s="8680"/>
      <c r="P128" s="8681"/>
      <c r="Q128" s="8682"/>
      <c r="R128" s="8683"/>
      <c r="S128" s="8678"/>
      <c r="T128" s="8679"/>
      <c r="U128" s="8680"/>
      <c r="V128" s="8678"/>
      <c r="W128" s="8679"/>
      <c r="X128" s="8680"/>
      <c r="Y128" s="8684"/>
      <c r="Z128" s="8685"/>
      <c r="AA128" s="8686"/>
      <c r="AB128" s="8687"/>
      <c r="AC128" s="8677"/>
      <c r="AD128" s="8681"/>
      <c r="AE128" s="8682"/>
      <c r="AF128" s="8683"/>
      <c r="AG128" s="8669"/>
      <c r="AH128" s="8670"/>
      <c r="AI128" s="8670"/>
      <c r="AJ128" s="8671"/>
      <c r="BA128" s="5055"/>
      <c r="BB128" s="5055"/>
      <c r="BC128" s="5055"/>
      <c r="BD128" s="5055"/>
      <c r="BE128" s="5055"/>
      <c r="BF128" s="5055"/>
      <c r="BG128" s="5055"/>
      <c r="BH128" s="5055"/>
      <c r="BI128" s="5055"/>
      <c r="BJ128" s="5055"/>
    </row>
    <row r="129" spans="2:62" s="262" customFormat="1" ht="15">
      <c r="B129" s="8672"/>
      <c r="C129" s="8673"/>
      <c r="D129" s="8673"/>
      <c r="E129" s="8673"/>
      <c r="F129" s="8673"/>
      <c r="G129" s="8673"/>
      <c r="H129" s="8673"/>
      <c r="I129" s="8674"/>
      <c r="J129" s="8675"/>
      <c r="K129" s="8676"/>
      <c r="L129" s="8677"/>
      <c r="M129" s="8678"/>
      <c r="N129" s="8679"/>
      <c r="O129" s="8680"/>
      <c r="P129" s="8681"/>
      <c r="Q129" s="8682"/>
      <c r="R129" s="8683"/>
      <c r="S129" s="8678"/>
      <c r="T129" s="8679"/>
      <c r="U129" s="8680"/>
      <c r="V129" s="8678"/>
      <c r="W129" s="8679"/>
      <c r="X129" s="8680"/>
      <c r="Y129" s="8684"/>
      <c r="Z129" s="8685"/>
      <c r="AA129" s="8686"/>
      <c r="AB129" s="8687"/>
      <c r="AC129" s="8677"/>
      <c r="AD129" s="8681"/>
      <c r="AE129" s="8682"/>
      <c r="AF129" s="8683"/>
      <c r="AG129" s="8669"/>
      <c r="AH129" s="8670"/>
      <c r="AI129" s="8670"/>
      <c r="AJ129" s="8671"/>
      <c r="BA129" s="5055"/>
      <c r="BB129" s="5055"/>
      <c r="BC129" s="5055"/>
      <c r="BD129" s="5055"/>
      <c r="BE129" s="5055"/>
      <c r="BF129" s="5055"/>
      <c r="BG129" s="5055"/>
      <c r="BH129" s="5055"/>
      <c r="BI129" s="5055"/>
      <c r="BJ129" s="5055"/>
    </row>
    <row r="130" spans="2:62" s="262" customFormat="1" ht="15">
      <c r="B130" s="8672"/>
      <c r="C130" s="8673"/>
      <c r="D130" s="8673"/>
      <c r="E130" s="8673"/>
      <c r="F130" s="8673"/>
      <c r="G130" s="8673"/>
      <c r="H130" s="8673"/>
      <c r="I130" s="8674"/>
      <c r="J130" s="8675"/>
      <c r="K130" s="8676"/>
      <c r="L130" s="8677"/>
      <c r="M130" s="8678"/>
      <c r="N130" s="8679"/>
      <c r="O130" s="8680"/>
      <c r="P130" s="8681"/>
      <c r="Q130" s="8682"/>
      <c r="R130" s="8683"/>
      <c r="S130" s="8678"/>
      <c r="T130" s="8679"/>
      <c r="U130" s="8680"/>
      <c r="V130" s="8678"/>
      <c r="W130" s="8679"/>
      <c r="X130" s="8680"/>
      <c r="Y130" s="8684"/>
      <c r="Z130" s="8685"/>
      <c r="AA130" s="8686"/>
      <c r="AB130" s="8687"/>
      <c r="AC130" s="8677"/>
      <c r="AD130" s="8681"/>
      <c r="AE130" s="8682"/>
      <c r="AF130" s="8683"/>
      <c r="AG130" s="8669"/>
      <c r="AH130" s="8670"/>
      <c r="AI130" s="8670"/>
      <c r="AJ130" s="8671"/>
      <c r="BA130" s="5055"/>
      <c r="BB130" s="5055"/>
      <c r="BC130" s="5055"/>
      <c r="BD130" s="5055"/>
      <c r="BE130" s="5055"/>
      <c r="BF130" s="5055"/>
      <c r="BG130" s="5055"/>
      <c r="BH130" s="5055"/>
      <c r="BI130" s="5055"/>
      <c r="BJ130" s="5055"/>
    </row>
    <row r="131" spans="2:62" s="262" customFormat="1" ht="15">
      <c r="B131" s="8672"/>
      <c r="C131" s="8673"/>
      <c r="D131" s="8673"/>
      <c r="E131" s="8673"/>
      <c r="F131" s="8673"/>
      <c r="G131" s="8673"/>
      <c r="H131" s="8673"/>
      <c r="I131" s="8674"/>
      <c r="J131" s="8675"/>
      <c r="K131" s="8676"/>
      <c r="L131" s="8677"/>
      <c r="M131" s="8678"/>
      <c r="N131" s="8679"/>
      <c r="O131" s="8680"/>
      <c r="P131" s="8681"/>
      <c r="Q131" s="8682"/>
      <c r="R131" s="8683"/>
      <c r="S131" s="8678"/>
      <c r="T131" s="8679"/>
      <c r="U131" s="8680"/>
      <c r="V131" s="8678"/>
      <c r="W131" s="8679"/>
      <c r="X131" s="8680"/>
      <c r="Y131" s="8684"/>
      <c r="Z131" s="8685"/>
      <c r="AA131" s="8686"/>
      <c r="AB131" s="8687"/>
      <c r="AC131" s="8677"/>
      <c r="AD131" s="8681"/>
      <c r="AE131" s="8682"/>
      <c r="AF131" s="8683"/>
      <c r="AG131" s="8669"/>
      <c r="AH131" s="8670"/>
      <c r="AI131" s="8670"/>
      <c r="AJ131" s="8671"/>
      <c r="BA131" s="5055"/>
      <c r="BB131" s="5055"/>
      <c r="BC131" s="5055"/>
      <c r="BD131" s="5055"/>
      <c r="BE131" s="5055"/>
      <c r="BF131" s="5055"/>
      <c r="BG131" s="5055"/>
      <c r="BH131" s="5055"/>
      <c r="BI131" s="5055"/>
      <c r="BJ131" s="5055"/>
    </row>
    <row r="132" spans="2:62" s="262" customFormat="1" ht="15">
      <c r="B132" s="8672"/>
      <c r="C132" s="8673"/>
      <c r="D132" s="8673"/>
      <c r="E132" s="8673"/>
      <c r="F132" s="8673"/>
      <c r="G132" s="8673"/>
      <c r="H132" s="8673"/>
      <c r="I132" s="8674"/>
      <c r="J132" s="8675"/>
      <c r="K132" s="8676"/>
      <c r="L132" s="8677"/>
      <c r="M132" s="8678"/>
      <c r="N132" s="8679"/>
      <c r="O132" s="8680"/>
      <c r="P132" s="8681"/>
      <c r="Q132" s="8682"/>
      <c r="R132" s="8683"/>
      <c r="S132" s="8678"/>
      <c r="T132" s="8679"/>
      <c r="U132" s="8680"/>
      <c r="V132" s="8678"/>
      <c r="W132" s="8679"/>
      <c r="X132" s="8680"/>
      <c r="Y132" s="8684"/>
      <c r="Z132" s="8685"/>
      <c r="AA132" s="8686"/>
      <c r="AB132" s="8687"/>
      <c r="AC132" s="8677"/>
      <c r="AD132" s="8681"/>
      <c r="AE132" s="8682"/>
      <c r="AF132" s="8683"/>
      <c r="AG132" s="8669"/>
      <c r="AH132" s="8670"/>
      <c r="AI132" s="8670"/>
      <c r="AJ132" s="8671"/>
      <c r="BA132" s="5055"/>
      <c r="BB132" s="5055"/>
      <c r="BC132" s="5055"/>
      <c r="BD132" s="5055"/>
      <c r="BE132" s="5055"/>
      <c r="BF132" s="5055"/>
      <c r="BG132" s="5055"/>
      <c r="BH132" s="5055"/>
      <c r="BI132" s="5055"/>
      <c r="BJ132" s="5055"/>
    </row>
    <row r="133" spans="2:62" s="262" customFormat="1" ht="15">
      <c r="B133" s="8672"/>
      <c r="C133" s="8673"/>
      <c r="D133" s="8673"/>
      <c r="E133" s="8673"/>
      <c r="F133" s="8673"/>
      <c r="G133" s="8673"/>
      <c r="H133" s="8673"/>
      <c r="I133" s="8674"/>
      <c r="J133" s="8675"/>
      <c r="K133" s="8676"/>
      <c r="L133" s="8677"/>
      <c r="M133" s="8678"/>
      <c r="N133" s="8679"/>
      <c r="O133" s="8680"/>
      <c r="P133" s="8681"/>
      <c r="Q133" s="8682"/>
      <c r="R133" s="8683"/>
      <c r="S133" s="8678"/>
      <c r="T133" s="8679"/>
      <c r="U133" s="8680"/>
      <c r="V133" s="8678"/>
      <c r="W133" s="8679"/>
      <c r="X133" s="8680"/>
      <c r="Y133" s="8684"/>
      <c r="Z133" s="8685"/>
      <c r="AA133" s="8686"/>
      <c r="AB133" s="8687"/>
      <c r="AC133" s="8677"/>
      <c r="AD133" s="8681"/>
      <c r="AE133" s="8682"/>
      <c r="AF133" s="8683"/>
      <c r="AG133" s="8669"/>
      <c r="AH133" s="8670"/>
      <c r="AI133" s="8670"/>
      <c r="AJ133" s="8671"/>
      <c r="BA133" s="5055"/>
      <c r="BB133" s="5055"/>
      <c r="BC133" s="5055"/>
      <c r="BD133" s="5055"/>
      <c r="BE133" s="5055"/>
      <c r="BF133" s="5055"/>
      <c r="BG133" s="5055"/>
      <c r="BH133" s="5055"/>
      <c r="BI133" s="5055"/>
      <c r="BJ133" s="5055"/>
    </row>
    <row r="134" spans="2:62" s="262" customFormat="1" ht="15">
      <c r="B134" s="8672"/>
      <c r="C134" s="8673"/>
      <c r="D134" s="8673"/>
      <c r="E134" s="8673"/>
      <c r="F134" s="8673"/>
      <c r="G134" s="8673"/>
      <c r="H134" s="8673"/>
      <c r="I134" s="8674"/>
      <c r="J134" s="8675"/>
      <c r="K134" s="8676"/>
      <c r="L134" s="8677"/>
      <c r="M134" s="8678"/>
      <c r="N134" s="8679"/>
      <c r="O134" s="8680"/>
      <c r="P134" s="8681"/>
      <c r="Q134" s="8682"/>
      <c r="R134" s="8683"/>
      <c r="S134" s="8678"/>
      <c r="T134" s="8679"/>
      <c r="U134" s="8680"/>
      <c r="V134" s="8678"/>
      <c r="W134" s="8679"/>
      <c r="X134" s="8680"/>
      <c r="Y134" s="8684"/>
      <c r="Z134" s="8685"/>
      <c r="AA134" s="8686"/>
      <c r="AB134" s="8687"/>
      <c r="AC134" s="8677"/>
      <c r="AD134" s="8681"/>
      <c r="AE134" s="8682"/>
      <c r="AF134" s="8683"/>
      <c r="AG134" s="8669"/>
      <c r="AH134" s="8670"/>
      <c r="AI134" s="8670"/>
      <c r="AJ134" s="8671"/>
      <c r="BA134" s="5055"/>
      <c r="BB134" s="5055"/>
      <c r="BC134" s="5055"/>
      <c r="BD134" s="5055"/>
      <c r="BE134" s="5055"/>
      <c r="BF134" s="5055"/>
      <c r="BG134" s="5055"/>
      <c r="BH134" s="5055"/>
      <c r="BI134" s="5055"/>
      <c r="BJ134" s="5055"/>
    </row>
    <row r="135" spans="2:62" s="262" customFormat="1" ht="15">
      <c r="B135" s="8672"/>
      <c r="C135" s="8673"/>
      <c r="D135" s="8673"/>
      <c r="E135" s="8673"/>
      <c r="F135" s="8673"/>
      <c r="G135" s="8673"/>
      <c r="H135" s="8673"/>
      <c r="I135" s="8674"/>
      <c r="J135" s="8675"/>
      <c r="K135" s="8676"/>
      <c r="L135" s="8677"/>
      <c r="M135" s="8678"/>
      <c r="N135" s="8679"/>
      <c r="O135" s="8680"/>
      <c r="P135" s="8681"/>
      <c r="Q135" s="8682"/>
      <c r="R135" s="8683"/>
      <c r="S135" s="8678"/>
      <c r="T135" s="8679"/>
      <c r="U135" s="8680"/>
      <c r="V135" s="8678"/>
      <c r="W135" s="8679"/>
      <c r="X135" s="8680"/>
      <c r="Y135" s="8684"/>
      <c r="Z135" s="8685"/>
      <c r="AA135" s="8686"/>
      <c r="AB135" s="8687"/>
      <c r="AC135" s="8677"/>
      <c r="AD135" s="8681"/>
      <c r="AE135" s="8682"/>
      <c r="AF135" s="8683"/>
      <c r="AG135" s="8669"/>
      <c r="AH135" s="8670"/>
      <c r="AI135" s="8670"/>
      <c r="AJ135" s="8671"/>
      <c r="BA135" s="5055"/>
      <c r="BB135" s="5055"/>
      <c r="BC135" s="5055"/>
      <c r="BD135" s="5055"/>
      <c r="BE135" s="5055"/>
      <c r="BF135" s="5055"/>
      <c r="BG135" s="5055"/>
      <c r="BH135" s="5055"/>
      <c r="BI135" s="5055"/>
      <c r="BJ135" s="5055"/>
    </row>
    <row r="136" spans="2:62" s="262" customFormat="1" ht="15">
      <c r="B136" s="8672"/>
      <c r="C136" s="8673"/>
      <c r="D136" s="8673"/>
      <c r="E136" s="8673"/>
      <c r="F136" s="8673"/>
      <c r="G136" s="8673"/>
      <c r="H136" s="8673"/>
      <c r="I136" s="8674"/>
      <c r="J136" s="8675"/>
      <c r="K136" s="8676"/>
      <c r="L136" s="8677"/>
      <c r="M136" s="8678"/>
      <c r="N136" s="8679"/>
      <c r="O136" s="8680"/>
      <c r="P136" s="8681"/>
      <c r="Q136" s="8682"/>
      <c r="R136" s="8683"/>
      <c r="S136" s="8678"/>
      <c r="T136" s="8679"/>
      <c r="U136" s="8680"/>
      <c r="V136" s="8678"/>
      <c r="W136" s="8679"/>
      <c r="X136" s="8680"/>
      <c r="Y136" s="8684"/>
      <c r="Z136" s="8685"/>
      <c r="AA136" s="8686"/>
      <c r="AB136" s="8687"/>
      <c r="AC136" s="8677"/>
      <c r="AD136" s="8681"/>
      <c r="AE136" s="8682"/>
      <c r="AF136" s="8683"/>
      <c r="AG136" s="8669"/>
      <c r="AH136" s="8670"/>
      <c r="AI136" s="8670"/>
      <c r="AJ136" s="8671"/>
      <c r="BA136" s="5055"/>
      <c r="BB136" s="5055"/>
      <c r="BC136" s="5055"/>
      <c r="BD136" s="5055"/>
      <c r="BE136" s="5055"/>
      <c r="BF136" s="5055"/>
      <c r="BG136" s="5055"/>
      <c r="BH136" s="5055"/>
      <c r="BI136" s="5055"/>
      <c r="BJ136" s="5055"/>
    </row>
    <row r="137" spans="2:62" s="262" customFormat="1" ht="15">
      <c r="B137" s="8672"/>
      <c r="C137" s="8673"/>
      <c r="D137" s="8673"/>
      <c r="E137" s="8673"/>
      <c r="F137" s="8673"/>
      <c r="G137" s="8673"/>
      <c r="H137" s="8673"/>
      <c r="I137" s="8674"/>
      <c r="J137" s="8675"/>
      <c r="K137" s="8676"/>
      <c r="L137" s="8677"/>
      <c r="M137" s="8678"/>
      <c r="N137" s="8679"/>
      <c r="O137" s="8680"/>
      <c r="P137" s="8681"/>
      <c r="Q137" s="8682"/>
      <c r="R137" s="8683"/>
      <c r="S137" s="8678"/>
      <c r="T137" s="8679"/>
      <c r="U137" s="8680"/>
      <c r="V137" s="8678"/>
      <c r="W137" s="8679"/>
      <c r="X137" s="8680"/>
      <c r="Y137" s="8684"/>
      <c r="Z137" s="8685"/>
      <c r="AA137" s="8686"/>
      <c r="AB137" s="8687"/>
      <c r="AC137" s="8677"/>
      <c r="AD137" s="8681"/>
      <c r="AE137" s="8682"/>
      <c r="AF137" s="8683"/>
      <c r="AG137" s="8669"/>
      <c r="AH137" s="8670"/>
      <c r="AI137" s="8670"/>
      <c r="AJ137" s="8671"/>
      <c r="BA137" s="5055"/>
      <c r="BB137" s="5055"/>
      <c r="BC137" s="5055"/>
      <c r="BD137" s="5055"/>
      <c r="BE137" s="5055"/>
      <c r="BF137" s="5055"/>
      <c r="BG137" s="5055"/>
      <c r="BH137" s="5055"/>
      <c r="BI137" s="5055"/>
      <c r="BJ137" s="5055"/>
    </row>
    <row r="138" spans="2:62" s="262" customFormat="1" ht="15">
      <c r="B138" s="8672"/>
      <c r="C138" s="8673"/>
      <c r="D138" s="8673"/>
      <c r="E138" s="8673"/>
      <c r="F138" s="8673"/>
      <c r="G138" s="8673"/>
      <c r="H138" s="8673"/>
      <c r="I138" s="8674"/>
      <c r="J138" s="8675"/>
      <c r="K138" s="8676"/>
      <c r="L138" s="8677"/>
      <c r="M138" s="8678"/>
      <c r="N138" s="8679"/>
      <c r="O138" s="8680"/>
      <c r="P138" s="8681"/>
      <c r="Q138" s="8682"/>
      <c r="R138" s="8683"/>
      <c r="S138" s="8678"/>
      <c r="T138" s="8679"/>
      <c r="U138" s="8680"/>
      <c r="V138" s="8678"/>
      <c r="W138" s="8679"/>
      <c r="X138" s="8680"/>
      <c r="Y138" s="8684"/>
      <c r="Z138" s="8685"/>
      <c r="AA138" s="8686"/>
      <c r="AB138" s="8687"/>
      <c r="AC138" s="8677"/>
      <c r="AD138" s="8681"/>
      <c r="AE138" s="8682"/>
      <c r="AF138" s="8683"/>
      <c r="AG138" s="8669"/>
      <c r="AH138" s="8670"/>
      <c r="AI138" s="8670"/>
      <c r="AJ138" s="8671"/>
      <c r="BA138" s="5055"/>
      <c r="BB138" s="5055"/>
      <c r="BC138" s="5055"/>
      <c r="BD138" s="5055"/>
      <c r="BE138" s="5055"/>
      <c r="BF138" s="5055"/>
      <c r="BG138" s="5055"/>
      <c r="BH138" s="5055"/>
      <c r="BI138" s="5055"/>
      <c r="BJ138" s="5055"/>
    </row>
    <row r="139" spans="2:62" s="262" customFormat="1" ht="15">
      <c r="B139" s="8672"/>
      <c r="C139" s="8673"/>
      <c r="D139" s="8673"/>
      <c r="E139" s="8673"/>
      <c r="F139" s="8673"/>
      <c r="G139" s="8673"/>
      <c r="H139" s="8673"/>
      <c r="I139" s="8674"/>
      <c r="J139" s="8675"/>
      <c r="K139" s="8676"/>
      <c r="L139" s="8677"/>
      <c r="M139" s="8678"/>
      <c r="N139" s="8679"/>
      <c r="O139" s="8680"/>
      <c r="P139" s="8681"/>
      <c r="Q139" s="8682"/>
      <c r="R139" s="8683"/>
      <c r="S139" s="8678"/>
      <c r="T139" s="8679"/>
      <c r="U139" s="8680"/>
      <c r="V139" s="8678"/>
      <c r="W139" s="8679"/>
      <c r="X139" s="8680"/>
      <c r="Y139" s="8684"/>
      <c r="Z139" s="8685"/>
      <c r="AA139" s="8686"/>
      <c r="AB139" s="8687"/>
      <c r="AC139" s="8677"/>
      <c r="AD139" s="8681"/>
      <c r="AE139" s="8682"/>
      <c r="AF139" s="8683"/>
      <c r="AG139" s="8669"/>
      <c r="AH139" s="8670"/>
      <c r="AI139" s="8670"/>
      <c r="AJ139" s="8671"/>
      <c r="BA139" s="5055"/>
      <c r="BB139" s="5055"/>
      <c r="BC139" s="5055"/>
      <c r="BD139" s="5055"/>
      <c r="BE139" s="5055"/>
      <c r="BF139" s="5055"/>
      <c r="BG139" s="5055"/>
      <c r="BH139" s="5055"/>
      <c r="BI139" s="5055"/>
      <c r="BJ139" s="5055"/>
    </row>
    <row r="140" spans="2:62" s="262" customFormat="1" ht="15">
      <c r="B140" s="8672"/>
      <c r="C140" s="8673"/>
      <c r="D140" s="8673"/>
      <c r="E140" s="8673"/>
      <c r="F140" s="8673"/>
      <c r="G140" s="8673"/>
      <c r="H140" s="8673"/>
      <c r="I140" s="8674"/>
      <c r="J140" s="8675"/>
      <c r="K140" s="8676"/>
      <c r="L140" s="8677"/>
      <c r="M140" s="8678"/>
      <c r="N140" s="8679"/>
      <c r="O140" s="8680"/>
      <c r="P140" s="8681"/>
      <c r="Q140" s="8682"/>
      <c r="R140" s="8683"/>
      <c r="S140" s="8678"/>
      <c r="T140" s="8679"/>
      <c r="U140" s="8680"/>
      <c r="V140" s="8678"/>
      <c r="W140" s="8679"/>
      <c r="X140" s="8680"/>
      <c r="Y140" s="8684"/>
      <c r="Z140" s="8685"/>
      <c r="AA140" s="8686"/>
      <c r="AB140" s="8687"/>
      <c r="AC140" s="8677"/>
      <c r="AD140" s="8681"/>
      <c r="AE140" s="8682"/>
      <c r="AF140" s="8683"/>
      <c r="AG140" s="8669"/>
      <c r="AH140" s="8670"/>
      <c r="AI140" s="8670"/>
      <c r="AJ140" s="8671"/>
      <c r="BA140" s="5055"/>
      <c r="BB140" s="5055"/>
      <c r="BC140" s="5055"/>
      <c r="BD140" s="5055"/>
      <c r="BE140" s="5055"/>
      <c r="BF140" s="5055"/>
      <c r="BG140" s="5055"/>
      <c r="BH140" s="5055"/>
      <c r="BI140" s="5055"/>
      <c r="BJ140" s="5055"/>
    </row>
    <row r="141" spans="2:62" s="262" customFormat="1" ht="15">
      <c r="B141" s="8672"/>
      <c r="C141" s="8673"/>
      <c r="D141" s="8673"/>
      <c r="E141" s="8673"/>
      <c r="F141" s="8673"/>
      <c r="G141" s="8673"/>
      <c r="H141" s="8673"/>
      <c r="I141" s="8674"/>
      <c r="J141" s="8675"/>
      <c r="K141" s="8676"/>
      <c r="L141" s="8677"/>
      <c r="M141" s="8678"/>
      <c r="N141" s="8679"/>
      <c r="O141" s="8680"/>
      <c r="P141" s="8681"/>
      <c r="Q141" s="8682"/>
      <c r="R141" s="8683"/>
      <c r="S141" s="8678"/>
      <c r="T141" s="8679"/>
      <c r="U141" s="8680"/>
      <c r="V141" s="8678"/>
      <c r="W141" s="8679"/>
      <c r="X141" s="8680"/>
      <c r="Y141" s="8684"/>
      <c r="Z141" s="8685"/>
      <c r="AA141" s="8686"/>
      <c r="AB141" s="8687"/>
      <c r="AC141" s="8677"/>
      <c r="AD141" s="8681"/>
      <c r="AE141" s="8682"/>
      <c r="AF141" s="8683"/>
      <c r="AG141" s="8669"/>
      <c r="AH141" s="8670"/>
      <c r="AI141" s="8670"/>
      <c r="AJ141" s="8671"/>
      <c r="BA141" s="5055"/>
      <c r="BB141" s="5055"/>
      <c r="BC141" s="5055"/>
      <c r="BD141" s="5055"/>
      <c r="BE141" s="5055"/>
      <c r="BF141" s="5055"/>
      <c r="BG141" s="5055"/>
      <c r="BH141" s="5055"/>
      <c r="BI141" s="5055"/>
      <c r="BJ141" s="5055"/>
    </row>
    <row r="142" spans="2:62" s="262" customFormat="1" ht="15">
      <c r="B142" s="8672"/>
      <c r="C142" s="8673"/>
      <c r="D142" s="8673"/>
      <c r="E142" s="8673"/>
      <c r="F142" s="8673"/>
      <c r="G142" s="8673"/>
      <c r="H142" s="8673"/>
      <c r="I142" s="8674"/>
      <c r="J142" s="8675"/>
      <c r="K142" s="8676"/>
      <c r="L142" s="8677"/>
      <c r="M142" s="8678"/>
      <c r="N142" s="8679"/>
      <c r="O142" s="8680"/>
      <c r="P142" s="8681"/>
      <c r="Q142" s="8682"/>
      <c r="R142" s="8683"/>
      <c r="S142" s="8678"/>
      <c r="T142" s="8679"/>
      <c r="U142" s="8680"/>
      <c r="V142" s="8678"/>
      <c r="W142" s="8679"/>
      <c r="X142" s="8680"/>
      <c r="Y142" s="8684"/>
      <c r="Z142" s="8685"/>
      <c r="AA142" s="8686"/>
      <c r="AB142" s="8687"/>
      <c r="AC142" s="8677"/>
      <c r="AD142" s="8681"/>
      <c r="AE142" s="8682"/>
      <c r="AF142" s="8683"/>
      <c r="AG142" s="8669"/>
      <c r="AH142" s="8670"/>
      <c r="AI142" s="8670"/>
      <c r="AJ142" s="8671"/>
      <c r="BA142" s="5055"/>
      <c r="BB142" s="5055"/>
      <c r="BC142" s="5055"/>
      <c r="BD142" s="5055"/>
      <c r="BE142" s="5055"/>
      <c r="BF142" s="5055"/>
      <c r="BG142" s="5055"/>
      <c r="BH142" s="5055"/>
      <c r="BI142" s="5055"/>
      <c r="BJ142" s="5055"/>
    </row>
    <row r="143" spans="2:62" s="262" customFormat="1" ht="15">
      <c r="B143" s="8672"/>
      <c r="C143" s="8673"/>
      <c r="D143" s="8673"/>
      <c r="E143" s="8673"/>
      <c r="F143" s="8673"/>
      <c r="G143" s="8673"/>
      <c r="H143" s="8673"/>
      <c r="I143" s="8674"/>
      <c r="J143" s="8675"/>
      <c r="K143" s="8676"/>
      <c r="L143" s="8677"/>
      <c r="M143" s="8678"/>
      <c r="N143" s="8679"/>
      <c r="O143" s="8680"/>
      <c r="P143" s="8681"/>
      <c r="Q143" s="8682"/>
      <c r="R143" s="8683"/>
      <c r="S143" s="8678"/>
      <c r="T143" s="8679"/>
      <c r="U143" s="8680"/>
      <c r="V143" s="8678"/>
      <c r="W143" s="8679"/>
      <c r="X143" s="8680"/>
      <c r="Y143" s="8684"/>
      <c r="Z143" s="8685"/>
      <c r="AA143" s="8686"/>
      <c r="AB143" s="8687"/>
      <c r="AC143" s="8677"/>
      <c r="AD143" s="8681"/>
      <c r="AE143" s="8682"/>
      <c r="AF143" s="8683"/>
      <c r="AG143" s="8669"/>
      <c r="AH143" s="8670"/>
      <c r="AI143" s="8670"/>
      <c r="AJ143" s="8671"/>
      <c r="BA143" s="5055"/>
      <c r="BB143" s="5055"/>
      <c r="BC143" s="5055"/>
      <c r="BD143" s="5055"/>
      <c r="BE143" s="5055"/>
      <c r="BF143" s="5055"/>
      <c r="BG143" s="5055"/>
      <c r="BH143" s="5055"/>
      <c r="BI143" s="5055"/>
      <c r="BJ143" s="5055"/>
    </row>
    <row r="144" spans="2:62" s="262" customFormat="1" ht="15">
      <c r="B144" s="8672"/>
      <c r="C144" s="8673"/>
      <c r="D144" s="8673"/>
      <c r="E144" s="8673"/>
      <c r="F144" s="8673"/>
      <c r="G144" s="8673"/>
      <c r="H144" s="8673"/>
      <c r="I144" s="8674"/>
      <c r="J144" s="8675"/>
      <c r="K144" s="8676"/>
      <c r="L144" s="8677"/>
      <c r="M144" s="8678"/>
      <c r="N144" s="8679"/>
      <c r="O144" s="8680"/>
      <c r="P144" s="8681"/>
      <c r="Q144" s="8682"/>
      <c r="R144" s="8683"/>
      <c r="S144" s="8678"/>
      <c r="T144" s="8679"/>
      <c r="U144" s="8680"/>
      <c r="V144" s="8678"/>
      <c r="W144" s="8679"/>
      <c r="X144" s="8680"/>
      <c r="Y144" s="8684"/>
      <c r="Z144" s="8685"/>
      <c r="AA144" s="8686"/>
      <c r="AB144" s="8687"/>
      <c r="AC144" s="8677"/>
      <c r="AD144" s="8681"/>
      <c r="AE144" s="8682"/>
      <c r="AF144" s="8683"/>
      <c r="AG144" s="8669"/>
      <c r="AH144" s="8670"/>
      <c r="AI144" s="8670"/>
      <c r="AJ144" s="8671"/>
      <c r="BA144" s="5055"/>
      <c r="BB144" s="5055"/>
      <c r="BC144" s="5055"/>
      <c r="BD144" s="5055"/>
      <c r="BE144" s="5055"/>
      <c r="BF144" s="5055"/>
      <c r="BG144" s="5055"/>
      <c r="BH144" s="5055"/>
      <c r="BI144" s="5055"/>
      <c r="BJ144" s="5055"/>
    </row>
    <row r="145" spans="2:62" s="262" customFormat="1" ht="15">
      <c r="B145" s="8672"/>
      <c r="C145" s="8673"/>
      <c r="D145" s="8673"/>
      <c r="E145" s="8673"/>
      <c r="F145" s="8673"/>
      <c r="G145" s="8673"/>
      <c r="H145" s="8673"/>
      <c r="I145" s="8674"/>
      <c r="J145" s="8675"/>
      <c r="K145" s="8676"/>
      <c r="L145" s="8677"/>
      <c r="M145" s="8678"/>
      <c r="N145" s="8679"/>
      <c r="O145" s="8680"/>
      <c r="P145" s="8681"/>
      <c r="Q145" s="8682"/>
      <c r="R145" s="8683"/>
      <c r="S145" s="8678"/>
      <c r="T145" s="8679"/>
      <c r="U145" s="8680"/>
      <c r="V145" s="8678"/>
      <c r="W145" s="8679"/>
      <c r="X145" s="8680"/>
      <c r="Y145" s="8684"/>
      <c r="Z145" s="8685"/>
      <c r="AA145" s="8686"/>
      <c r="AB145" s="8687"/>
      <c r="AC145" s="8677"/>
      <c r="AD145" s="8681"/>
      <c r="AE145" s="8682"/>
      <c r="AF145" s="8683"/>
      <c r="AG145" s="8669"/>
      <c r="AH145" s="8670"/>
      <c r="AI145" s="8670"/>
      <c r="AJ145" s="8671"/>
      <c r="BA145" s="5055"/>
      <c r="BB145" s="5055"/>
      <c r="BC145" s="5055"/>
      <c r="BD145" s="5055"/>
      <c r="BE145" s="5055"/>
      <c r="BF145" s="5055"/>
      <c r="BG145" s="5055"/>
      <c r="BH145" s="5055"/>
      <c r="BI145" s="5055"/>
      <c r="BJ145" s="5055"/>
    </row>
    <row r="146" spans="2:62" s="262" customFormat="1" ht="15">
      <c r="B146" s="8672"/>
      <c r="C146" s="8673"/>
      <c r="D146" s="8673"/>
      <c r="E146" s="8673"/>
      <c r="F146" s="8673"/>
      <c r="G146" s="8673"/>
      <c r="H146" s="8673"/>
      <c r="I146" s="8674"/>
      <c r="J146" s="8675"/>
      <c r="K146" s="8676"/>
      <c r="L146" s="8677"/>
      <c r="M146" s="8678"/>
      <c r="N146" s="8679"/>
      <c r="O146" s="8680"/>
      <c r="P146" s="8681"/>
      <c r="Q146" s="8682"/>
      <c r="R146" s="8683"/>
      <c r="S146" s="8678"/>
      <c r="T146" s="8679"/>
      <c r="U146" s="8680"/>
      <c r="V146" s="8678"/>
      <c r="W146" s="8679"/>
      <c r="X146" s="8680"/>
      <c r="Y146" s="8684"/>
      <c r="Z146" s="8685"/>
      <c r="AA146" s="8686"/>
      <c r="AB146" s="8687"/>
      <c r="AC146" s="8677"/>
      <c r="AD146" s="8681"/>
      <c r="AE146" s="8682"/>
      <c r="AF146" s="8683"/>
      <c r="AG146" s="8669"/>
      <c r="AH146" s="8670"/>
      <c r="AI146" s="8670"/>
      <c r="AJ146" s="8671"/>
      <c r="BA146" s="5055"/>
      <c r="BB146" s="5055"/>
      <c r="BC146" s="5055"/>
      <c r="BD146" s="5055"/>
      <c r="BE146" s="5055"/>
      <c r="BF146" s="5055"/>
      <c r="BG146" s="5055"/>
      <c r="BH146" s="5055"/>
      <c r="BI146" s="5055"/>
      <c r="BJ146" s="5055"/>
    </row>
    <row r="147" spans="2:62" s="262" customFormat="1" ht="15">
      <c r="B147" s="8672"/>
      <c r="C147" s="8673"/>
      <c r="D147" s="8673"/>
      <c r="E147" s="8673"/>
      <c r="F147" s="8673"/>
      <c r="G147" s="8673"/>
      <c r="H147" s="8673"/>
      <c r="I147" s="8674"/>
      <c r="J147" s="8675"/>
      <c r="K147" s="8676"/>
      <c r="L147" s="8677"/>
      <c r="M147" s="8678"/>
      <c r="N147" s="8679"/>
      <c r="O147" s="8680"/>
      <c r="P147" s="8681"/>
      <c r="Q147" s="8682"/>
      <c r="R147" s="8683"/>
      <c r="S147" s="8678"/>
      <c r="T147" s="8679"/>
      <c r="U147" s="8680"/>
      <c r="V147" s="8678"/>
      <c r="W147" s="8679"/>
      <c r="X147" s="8680"/>
      <c r="Y147" s="8684"/>
      <c r="Z147" s="8685"/>
      <c r="AA147" s="8686"/>
      <c r="AB147" s="8687"/>
      <c r="AC147" s="8677"/>
      <c r="AD147" s="8681"/>
      <c r="AE147" s="8682"/>
      <c r="AF147" s="8683"/>
      <c r="AG147" s="8669"/>
      <c r="AH147" s="8670"/>
      <c r="AI147" s="8670"/>
      <c r="AJ147" s="8671"/>
      <c r="BA147" s="5055"/>
      <c r="BB147" s="5055"/>
      <c r="BC147" s="5055"/>
      <c r="BD147" s="5055"/>
      <c r="BE147" s="5055"/>
      <c r="BF147" s="5055"/>
      <c r="BG147" s="5055"/>
      <c r="BH147" s="5055"/>
      <c r="BI147" s="5055"/>
      <c r="BJ147" s="5055"/>
    </row>
    <row r="148" spans="2:62" s="262" customFormat="1" ht="15">
      <c r="B148" s="8672"/>
      <c r="C148" s="8673"/>
      <c r="D148" s="8673"/>
      <c r="E148" s="8673"/>
      <c r="F148" s="8673"/>
      <c r="G148" s="8673"/>
      <c r="H148" s="8673"/>
      <c r="I148" s="8674"/>
      <c r="J148" s="8675"/>
      <c r="K148" s="8676"/>
      <c r="L148" s="8677"/>
      <c r="M148" s="8678"/>
      <c r="N148" s="8679"/>
      <c r="O148" s="8680"/>
      <c r="P148" s="8681"/>
      <c r="Q148" s="8682"/>
      <c r="R148" s="8683"/>
      <c r="S148" s="8678"/>
      <c r="T148" s="8679"/>
      <c r="U148" s="8680"/>
      <c r="V148" s="8678"/>
      <c r="W148" s="8679"/>
      <c r="X148" s="8680"/>
      <c r="Y148" s="8684"/>
      <c r="Z148" s="8685"/>
      <c r="AA148" s="8686"/>
      <c r="AB148" s="8687"/>
      <c r="AC148" s="8677"/>
      <c r="AD148" s="8681"/>
      <c r="AE148" s="8682"/>
      <c r="AF148" s="8683"/>
      <c r="AG148" s="8669"/>
      <c r="AH148" s="8670"/>
      <c r="AI148" s="8670"/>
      <c r="AJ148" s="8671"/>
      <c r="BA148" s="5055"/>
      <c r="BB148" s="5055"/>
      <c r="BC148" s="5055"/>
      <c r="BD148" s="5055"/>
      <c r="BE148" s="5055"/>
      <c r="BF148" s="5055"/>
      <c r="BG148" s="5055"/>
      <c r="BH148" s="5055"/>
      <c r="BI148" s="5055"/>
      <c r="BJ148" s="5055"/>
    </row>
    <row r="149" spans="2:62" s="262" customFormat="1" ht="15">
      <c r="B149" s="8672"/>
      <c r="C149" s="8673"/>
      <c r="D149" s="8673"/>
      <c r="E149" s="8673"/>
      <c r="F149" s="8673"/>
      <c r="G149" s="8673"/>
      <c r="H149" s="8673"/>
      <c r="I149" s="8674"/>
      <c r="J149" s="8675"/>
      <c r="K149" s="8676"/>
      <c r="L149" s="8677"/>
      <c r="M149" s="8678"/>
      <c r="N149" s="8679"/>
      <c r="O149" s="8680"/>
      <c r="P149" s="8681"/>
      <c r="Q149" s="8682"/>
      <c r="R149" s="8683"/>
      <c r="S149" s="8678"/>
      <c r="T149" s="8679"/>
      <c r="U149" s="8680"/>
      <c r="V149" s="8678"/>
      <c r="W149" s="8679"/>
      <c r="X149" s="8680"/>
      <c r="Y149" s="8684"/>
      <c r="Z149" s="8685"/>
      <c r="AA149" s="8686"/>
      <c r="AB149" s="8687"/>
      <c r="AC149" s="8677"/>
      <c r="AD149" s="8681"/>
      <c r="AE149" s="8682"/>
      <c r="AF149" s="8683"/>
      <c r="AG149" s="8669"/>
      <c r="AH149" s="8670"/>
      <c r="AI149" s="8670"/>
      <c r="AJ149" s="8671"/>
      <c r="BA149" s="5055"/>
      <c r="BB149" s="5055"/>
      <c r="BC149" s="5055"/>
      <c r="BD149" s="5055"/>
      <c r="BE149" s="5055"/>
      <c r="BF149" s="5055"/>
      <c r="BG149" s="5055"/>
      <c r="BH149" s="5055"/>
      <c r="BI149" s="5055"/>
      <c r="BJ149" s="5055"/>
    </row>
    <row r="150" spans="2:62" s="262" customFormat="1" ht="15">
      <c r="B150" s="8672"/>
      <c r="C150" s="8673"/>
      <c r="D150" s="8673"/>
      <c r="E150" s="8673"/>
      <c r="F150" s="8673"/>
      <c r="G150" s="8673"/>
      <c r="H150" s="8673"/>
      <c r="I150" s="8674"/>
      <c r="J150" s="8675"/>
      <c r="K150" s="8676"/>
      <c r="L150" s="8677"/>
      <c r="M150" s="8678"/>
      <c r="N150" s="8679"/>
      <c r="O150" s="8680"/>
      <c r="P150" s="8681"/>
      <c r="Q150" s="8682"/>
      <c r="R150" s="8683"/>
      <c r="S150" s="8678"/>
      <c r="T150" s="8679"/>
      <c r="U150" s="8680"/>
      <c r="V150" s="8678"/>
      <c r="W150" s="8679"/>
      <c r="X150" s="8680"/>
      <c r="Y150" s="8684"/>
      <c r="Z150" s="8685"/>
      <c r="AA150" s="8686"/>
      <c r="AB150" s="8687"/>
      <c r="AC150" s="8677"/>
      <c r="AD150" s="8681"/>
      <c r="AE150" s="8682"/>
      <c r="AF150" s="8683"/>
      <c r="AG150" s="8669"/>
      <c r="AH150" s="8670"/>
      <c r="AI150" s="8670"/>
      <c r="AJ150" s="8671"/>
      <c r="BA150" s="5055"/>
      <c r="BB150" s="5055"/>
      <c r="BC150" s="5055"/>
      <c r="BD150" s="5055"/>
      <c r="BE150" s="5055"/>
      <c r="BF150" s="5055"/>
      <c r="BG150" s="5055"/>
      <c r="BH150" s="5055"/>
      <c r="BI150" s="5055"/>
      <c r="BJ150" s="5055"/>
    </row>
    <row r="151" spans="2:62" s="262" customFormat="1" ht="15">
      <c r="B151" s="8672"/>
      <c r="C151" s="8673"/>
      <c r="D151" s="8673"/>
      <c r="E151" s="8673"/>
      <c r="F151" s="8673"/>
      <c r="G151" s="8673"/>
      <c r="H151" s="8673"/>
      <c r="I151" s="8674"/>
      <c r="J151" s="8675"/>
      <c r="K151" s="8676"/>
      <c r="L151" s="8677"/>
      <c r="M151" s="8678"/>
      <c r="N151" s="8679"/>
      <c r="O151" s="8680"/>
      <c r="P151" s="8681"/>
      <c r="Q151" s="8682"/>
      <c r="R151" s="8683"/>
      <c r="S151" s="8678"/>
      <c r="T151" s="8679"/>
      <c r="U151" s="8680"/>
      <c r="V151" s="8678"/>
      <c r="W151" s="8679"/>
      <c r="X151" s="8680"/>
      <c r="Y151" s="8684"/>
      <c r="Z151" s="8685"/>
      <c r="AA151" s="8686"/>
      <c r="AB151" s="8687"/>
      <c r="AC151" s="8677"/>
      <c r="AD151" s="8681"/>
      <c r="AE151" s="8682"/>
      <c r="AF151" s="8683"/>
      <c r="AG151" s="8669"/>
      <c r="AH151" s="8670"/>
      <c r="AI151" s="8670"/>
      <c r="AJ151" s="8671"/>
      <c r="BA151" s="5055"/>
      <c r="BB151" s="5055"/>
      <c r="BC151" s="5055"/>
      <c r="BD151" s="5055"/>
      <c r="BE151" s="5055"/>
      <c r="BF151" s="5055"/>
      <c r="BG151" s="5055"/>
      <c r="BH151" s="5055"/>
      <c r="BI151" s="5055"/>
      <c r="BJ151" s="5055"/>
    </row>
    <row r="152" spans="2:62" s="262" customFormat="1" ht="15">
      <c r="B152" s="8672"/>
      <c r="C152" s="8673"/>
      <c r="D152" s="8673"/>
      <c r="E152" s="8673"/>
      <c r="F152" s="8673"/>
      <c r="G152" s="8673"/>
      <c r="H152" s="8673"/>
      <c r="I152" s="8674"/>
      <c r="J152" s="8675"/>
      <c r="K152" s="8676"/>
      <c r="L152" s="8677"/>
      <c r="M152" s="8678"/>
      <c r="N152" s="8679"/>
      <c r="O152" s="8680"/>
      <c r="P152" s="8681"/>
      <c r="Q152" s="8682"/>
      <c r="R152" s="8683"/>
      <c r="S152" s="8678"/>
      <c r="T152" s="8679"/>
      <c r="U152" s="8680"/>
      <c r="V152" s="8678"/>
      <c r="W152" s="8679"/>
      <c r="X152" s="8680"/>
      <c r="Y152" s="8684"/>
      <c r="Z152" s="8685"/>
      <c r="AA152" s="8686"/>
      <c r="AB152" s="8687"/>
      <c r="AC152" s="8677"/>
      <c r="AD152" s="8681"/>
      <c r="AE152" s="8682"/>
      <c r="AF152" s="8683"/>
      <c r="AG152" s="8669"/>
      <c r="AH152" s="8670"/>
      <c r="AI152" s="8670"/>
      <c r="AJ152" s="8671"/>
      <c r="BA152" s="5055"/>
      <c r="BB152" s="5055"/>
      <c r="BC152" s="5055"/>
      <c r="BD152" s="5055"/>
      <c r="BE152" s="5055"/>
      <c r="BF152" s="5055"/>
      <c r="BG152" s="5055"/>
      <c r="BH152" s="5055"/>
      <c r="BI152" s="5055"/>
      <c r="BJ152" s="5055"/>
    </row>
    <row r="153" spans="2:62" s="262" customFormat="1" ht="15">
      <c r="B153" s="8672"/>
      <c r="C153" s="8673"/>
      <c r="D153" s="8673"/>
      <c r="E153" s="8673"/>
      <c r="F153" s="8673"/>
      <c r="G153" s="8673"/>
      <c r="H153" s="8673"/>
      <c r="I153" s="8674"/>
      <c r="J153" s="8675"/>
      <c r="K153" s="8676"/>
      <c r="L153" s="8677"/>
      <c r="M153" s="8678"/>
      <c r="N153" s="8679"/>
      <c r="O153" s="8680"/>
      <c r="P153" s="8681"/>
      <c r="Q153" s="8682"/>
      <c r="R153" s="8683"/>
      <c r="S153" s="8678"/>
      <c r="T153" s="8679"/>
      <c r="U153" s="8680"/>
      <c r="V153" s="8678"/>
      <c r="W153" s="8679"/>
      <c r="X153" s="8680"/>
      <c r="Y153" s="8684"/>
      <c r="Z153" s="8685"/>
      <c r="AA153" s="8686"/>
      <c r="AB153" s="8687"/>
      <c r="AC153" s="8677"/>
      <c r="AD153" s="8681"/>
      <c r="AE153" s="8682"/>
      <c r="AF153" s="8683"/>
      <c r="AG153" s="8669"/>
      <c r="AH153" s="8670"/>
      <c r="AI153" s="8670"/>
      <c r="AJ153" s="8671"/>
      <c r="BA153" s="5055"/>
      <c r="BB153" s="5055"/>
      <c r="BC153" s="5055"/>
      <c r="BD153" s="5055"/>
      <c r="BE153" s="5055"/>
      <c r="BF153" s="5055"/>
      <c r="BG153" s="5055"/>
      <c r="BH153" s="5055"/>
      <c r="BI153" s="5055"/>
      <c r="BJ153" s="5055"/>
    </row>
    <row r="154" spans="2:62" s="262" customFormat="1" ht="15">
      <c r="B154" s="8672"/>
      <c r="C154" s="8673"/>
      <c r="D154" s="8673"/>
      <c r="E154" s="8673"/>
      <c r="F154" s="8673"/>
      <c r="G154" s="8673"/>
      <c r="H154" s="8673"/>
      <c r="I154" s="8674"/>
      <c r="J154" s="8675"/>
      <c r="K154" s="8676"/>
      <c r="L154" s="8677"/>
      <c r="M154" s="8678"/>
      <c r="N154" s="8679"/>
      <c r="O154" s="8680"/>
      <c r="P154" s="8681"/>
      <c r="Q154" s="8682"/>
      <c r="R154" s="8683"/>
      <c r="S154" s="8678"/>
      <c r="T154" s="8679"/>
      <c r="U154" s="8680"/>
      <c r="V154" s="8678"/>
      <c r="W154" s="8679"/>
      <c r="X154" s="8680"/>
      <c r="Y154" s="8684"/>
      <c r="Z154" s="8685"/>
      <c r="AA154" s="8686"/>
      <c r="AB154" s="8687"/>
      <c r="AC154" s="8677"/>
      <c r="AD154" s="8681"/>
      <c r="AE154" s="8682"/>
      <c r="AF154" s="8683"/>
      <c r="AG154" s="8669"/>
      <c r="AH154" s="8670"/>
      <c r="AI154" s="8670"/>
      <c r="AJ154" s="8671"/>
      <c r="BA154" s="5055"/>
      <c r="BB154" s="5055"/>
      <c r="BC154" s="5055"/>
      <c r="BD154" s="5055"/>
      <c r="BE154" s="5055"/>
      <c r="BF154" s="5055"/>
      <c r="BG154" s="5055"/>
      <c r="BH154" s="5055"/>
      <c r="BI154" s="5055"/>
      <c r="BJ154" s="5055"/>
    </row>
    <row r="155" spans="2:62" s="262" customFormat="1" ht="15">
      <c r="B155" s="8672"/>
      <c r="C155" s="8673"/>
      <c r="D155" s="8673"/>
      <c r="E155" s="8673"/>
      <c r="F155" s="8673"/>
      <c r="G155" s="8673"/>
      <c r="H155" s="8673"/>
      <c r="I155" s="8674"/>
      <c r="J155" s="8675"/>
      <c r="K155" s="8676"/>
      <c r="L155" s="8677"/>
      <c r="M155" s="8678"/>
      <c r="N155" s="8679"/>
      <c r="O155" s="8680"/>
      <c r="P155" s="8681"/>
      <c r="Q155" s="8682"/>
      <c r="R155" s="8683"/>
      <c r="S155" s="8678"/>
      <c r="T155" s="8679"/>
      <c r="U155" s="8680"/>
      <c r="V155" s="8678"/>
      <c r="W155" s="8679"/>
      <c r="X155" s="8680"/>
      <c r="Y155" s="8684"/>
      <c r="Z155" s="8685"/>
      <c r="AA155" s="8686"/>
      <c r="AB155" s="8687"/>
      <c r="AC155" s="8677"/>
      <c r="AD155" s="8681"/>
      <c r="AE155" s="8682"/>
      <c r="AF155" s="8683"/>
      <c r="AG155" s="8669"/>
      <c r="AH155" s="8670"/>
      <c r="AI155" s="8670"/>
      <c r="AJ155" s="8671"/>
      <c r="BA155" s="5055"/>
      <c r="BB155" s="5055"/>
      <c r="BC155" s="5055"/>
      <c r="BD155" s="5055"/>
      <c r="BE155" s="5055"/>
      <c r="BF155" s="5055"/>
      <c r="BG155" s="5055"/>
      <c r="BH155" s="5055"/>
      <c r="BI155" s="5055"/>
      <c r="BJ155" s="5055"/>
    </row>
    <row r="156" spans="2:62" s="262" customFormat="1" ht="15">
      <c r="B156" s="8672"/>
      <c r="C156" s="8673"/>
      <c r="D156" s="8673"/>
      <c r="E156" s="8673"/>
      <c r="F156" s="8673"/>
      <c r="G156" s="8673"/>
      <c r="H156" s="8673"/>
      <c r="I156" s="8674"/>
      <c r="J156" s="8675"/>
      <c r="K156" s="8676"/>
      <c r="L156" s="8677"/>
      <c r="M156" s="8678"/>
      <c r="N156" s="8679"/>
      <c r="O156" s="8680"/>
      <c r="P156" s="8681"/>
      <c r="Q156" s="8682"/>
      <c r="R156" s="8683"/>
      <c r="S156" s="8678"/>
      <c r="T156" s="8679"/>
      <c r="U156" s="8680"/>
      <c r="V156" s="8678"/>
      <c r="W156" s="8679"/>
      <c r="X156" s="8680"/>
      <c r="Y156" s="8684"/>
      <c r="Z156" s="8685"/>
      <c r="AA156" s="8686"/>
      <c r="AB156" s="8687"/>
      <c r="AC156" s="8677"/>
      <c r="AD156" s="8681"/>
      <c r="AE156" s="8682"/>
      <c r="AF156" s="8683"/>
      <c r="AG156" s="8669"/>
      <c r="AH156" s="8670"/>
      <c r="AI156" s="8670"/>
      <c r="AJ156" s="8671"/>
      <c r="BA156" s="5055"/>
      <c r="BB156" s="5055"/>
      <c r="BC156" s="5055"/>
      <c r="BD156" s="5055"/>
      <c r="BE156" s="5055"/>
      <c r="BF156" s="5055"/>
      <c r="BG156" s="5055"/>
      <c r="BH156" s="5055"/>
      <c r="BI156" s="5055"/>
      <c r="BJ156" s="5055"/>
    </row>
  </sheetData>
  <sheetProtection algorithmName="SHA-512" hashValue="qexRRQ/RyemSAx3st9qsCXv3Lpo5g+PMOLVrdiz4eVqmTjdjgUJW80utcGy3jQwuXPv3wUWRxQuiurAzfXJmGg==" saltValue="k/s1QmyWfjpB9r6ljMX2WQ==" spinCount="100000" sheet="1" objects="1" scenarios="1"/>
  <mergeCells count="692">
    <mergeCell ref="D2:G3"/>
    <mergeCell ref="I2:AB3"/>
    <mergeCell ref="AC2:AJ2"/>
    <mergeCell ref="B3:C3"/>
    <mergeCell ref="AC3:AJ4"/>
    <mergeCell ref="I5:AB5"/>
    <mergeCell ref="AD5:AG5"/>
    <mergeCell ref="AH5:AI6"/>
    <mergeCell ref="AU5:AU9"/>
    <mergeCell ref="AV5:AV9"/>
    <mergeCell ref="AW5:AW9"/>
    <mergeCell ref="AX5:AX9"/>
    <mergeCell ref="AY5:AY9"/>
    <mergeCell ref="I6:AB6"/>
    <mergeCell ref="AD6:AG6"/>
    <mergeCell ref="B8:O8"/>
    <mergeCell ref="P8:AA8"/>
    <mergeCell ref="AB8:AJ8"/>
    <mergeCell ref="AO5:AO9"/>
    <mergeCell ref="AP5:AP9"/>
    <mergeCell ref="AQ5:AQ9"/>
    <mergeCell ref="AR5:AR9"/>
    <mergeCell ref="AS5:AS9"/>
    <mergeCell ref="AT5:AT9"/>
    <mergeCell ref="AB14:AC14"/>
    <mergeCell ref="AD14:AJ14"/>
    <mergeCell ref="AB15:AC15"/>
    <mergeCell ref="AB16:AC16"/>
    <mergeCell ref="AD16:AJ16"/>
    <mergeCell ref="C17:O17"/>
    <mergeCell ref="P17:U17"/>
    <mergeCell ref="V17:AC17"/>
    <mergeCell ref="B9:C9"/>
    <mergeCell ref="AB11:AC11"/>
    <mergeCell ref="AD11:AJ11"/>
    <mergeCell ref="AB12:AC12"/>
    <mergeCell ref="AD12:AJ12"/>
    <mergeCell ref="AB13:AC13"/>
    <mergeCell ref="AD13:AJ13"/>
    <mergeCell ref="B28:C28"/>
    <mergeCell ref="V20:AC20"/>
    <mergeCell ref="AB21:AC21"/>
    <mergeCell ref="AD21:AJ21"/>
    <mergeCell ref="AB22:AC22"/>
    <mergeCell ref="AD22:AJ22"/>
    <mergeCell ref="AB23:AC23"/>
    <mergeCell ref="AD23:AJ23"/>
    <mergeCell ref="B18:O18"/>
    <mergeCell ref="P18:U18"/>
    <mergeCell ref="V18:AC18"/>
    <mergeCell ref="B19:O19"/>
    <mergeCell ref="P19:U19"/>
    <mergeCell ref="V19:AC19"/>
    <mergeCell ref="AB29:AC29"/>
    <mergeCell ref="AB30:AC30"/>
    <mergeCell ref="AD30:AJ30"/>
    <mergeCell ref="AB31:AC31"/>
    <mergeCell ref="AD31:AJ31"/>
    <mergeCell ref="AB32:AC32"/>
    <mergeCell ref="AD32:AJ32"/>
    <mergeCell ref="AB24:AC24"/>
    <mergeCell ref="AD24:AJ24"/>
    <mergeCell ref="AB25:AC25"/>
    <mergeCell ref="AD25:AJ25"/>
    <mergeCell ref="W26:AC26"/>
    <mergeCell ref="B33:C33"/>
    <mergeCell ref="AB35:AC35"/>
    <mergeCell ref="AD35:AJ35"/>
    <mergeCell ref="B40:G40"/>
    <mergeCell ref="H40:L40"/>
    <mergeCell ref="M40:R40"/>
    <mergeCell ref="S40:U40"/>
    <mergeCell ref="V40:X40"/>
    <mergeCell ref="Y40:AC40"/>
    <mergeCell ref="AD40:AJ40"/>
    <mergeCell ref="AD41:AJ41"/>
    <mergeCell ref="C42:G42"/>
    <mergeCell ref="H42:L42"/>
    <mergeCell ref="M42:R42"/>
    <mergeCell ref="S42:U42"/>
    <mergeCell ref="V42:X42"/>
    <mergeCell ref="Y42:AC42"/>
    <mergeCell ref="AD42:AJ42"/>
    <mergeCell ref="C41:G41"/>
    <mergeCell ref="H41:L41"/>
    <mergeCell ref="M41:R41"/>
    <mergeCell ref="S41:U41"/>
    <mergeCell ref="V41:X41"/>
    <mergeCell ref="Y41:AC41"/>
    <mergeCell ref="AD43:AJ43"/>
    <mergeCell ref="C44:G44"/>
    <mergeCell ref="H44:L44"/>
    <mergeCell ref="M44:R44"/>
    <mergeCell ref="S44:U44"/>
    <mergeCell ref="V44:X44"/>
    <mergeCell ref="Y44:AC44"/>
    <mergeCell ref="AD44:AJ44"/>
    <mergeCell ref="C43:G43"/>
    <mergeCell ref="H43:L43"/>
    <mergeCell ref="M43:R43"/>
    <mergeCell ref="S43:U43"/>
    <mergeCell ref="V43:X43"/>
    <mergeCell ref="Y43:AC43"/>
    <mergeCell ref="AD45:AJ45"/>
    <mergeCell ref="C46:G46"/>
    <mergeCell ref="H46:L46"/>
    <mergeCell ref="M46:R46"/>
    <mergeCell ref="S46:U46"/>
    <mergeCell ref="V46:X46"/>
    <mergeCell ref="Y46:AC46"/>
    <mergeCell ref="AD46:AJ46"/>
    <mergeCell ref="C45:G45"/>
    <mergeCell ref="H45:L45"/>
    <mergeCell ref="M45:R45"/>
    <mergeCell ref="S45:U45"/>
    <mergeCell ref="V45:X45"/>
    <mergeCell ref="Y45:AC45"/>
    <mergeCell ref="AD47:AJ47"/>
    <mergeCell ref="C48:G48"/>
    <mergeCell ref="H48:L48"/>
    <mergeCell ref="M48:R48"/>
    <mergeCell ref="S48:U48"/>
    <mergeCell ref="V48:X48"/>
    <mergeCell ref="Y48:AC48"/>
    <mergeCell ref="AD48:AJ48"/>
    <mergeCell ref="C47:G47"/>
    <mergeCell ref="H47:L47"/>
    <mergeCell ref="M47:R47"/>
    <mergeCell ref="S47:U47"/>
    <mergeCell ref="V47:X47"/>
    <mergeCell ref="Y47:AC47"/>
    <mergeCell ref="AD49:AJ49"/>
    <mergeCell ref="C50:G50"/>
    <mergeCell ref="H50:L50"/>
    <mergeCell ref="M50:R50"/>
    <mergeCell ref="S50:U50"/>
    <mergeCell ref="V50:X50"/>
    <mergeCell ref="Y50:AC50"/>
    <mergeCell ref="AD50:AJ50"/>
    <mergeCell ref="C49:G49"/>
    <mergeCell ref="H49:L49"/>
    <mergeCell ref="M49:R49"/>
    <mergeCell ref="S49:U49"/>
    <mergeCell ref="V49:X49"/>
    <mergeCell ref="Y49:AC49"/>
    <mergeCell ref="AD51:AJ51"/>
    <mergeCell ref="C53:G53"/>
    <mergeCell ref="H53:L53"/>
    <mergeCell ref="M53:R53"/>
    <mergeCell ref="S53:U53"/>
    <mergeCell ref="V53:X53"/>
    <mergeCell ref="Y53:AC53"/>
    <mergeCell ref="AD53:AJ53"/>
    <mergeCell ref="C51:G51"/>
    <mergeCell ref="H51:L51"/>
    <mergeCell ref="M51:R51"/>
    <mergeCell ref="S51:U51"/>
    <mergeCell ref="V51:X51"/>
    <mergeCell ref="Y51:AC51"/>
    <mergeCell ref="AD54:AJ54"/>
    <mergeCell ref="C55:G55"/>
    <mergeCell ref="H55:L55"/>
    <mergeCell ref="M55:R55"/>
    <mergeCell ref="S55:U55"/>
    <mergeCell ref="V55:X55"/>
    <mergeCell ref="Y55:AC55"/>
    <mergeCell ref="AD55:AJ55"/>
    <mergeCell ref="C54:G54"/>
    <mergeCell ref="H54:L54"/>
    <mergeCell ref="M54:R54"/>
    <mergeCell ref="S54:U54"/>
    <mergeCell ref="V54:X54"/>
    <mergeCell ref="Y54:AC54"/>
    <mergeCell ref="AD56:AJ56"/>
    <mergeCell ref="B57:C57"/>
    <mergeCell ref="AB58:AC58"/>
    <mergeCell ref="AD58:AJ58"/>
    <mergeCell ref="AB59:AC59"/>
    <mergeCell ref="AB60:AC60"/>
    <mergeCell ref="AD60:AJ60"/>
    <mergeCell ref="C56:G56"/>
    <mergeCell ref="H56:L56"/>
    <mergeCell ref="M56:R56"/>
    <mergeCell ref="S56:U56"/>
    <mergeCell ref="V56:X56"/>
    <mergeCell ref="Y56:AC56"/>
    <mergeCell ref="W61:AA61"/>
    <mergeCell ref="W62:AA62"/>
    <mergeCell ref="B65:C65"/>
    <mergeCell ref="B73:E73"/>
    <mergeCell ref="F73:H73"/>
    <mergeCell ref="I73:K73"/>
    <mergeCell ref="L73:O73"/>
    <mergeCell ref="P73:T73"/>
    <mergeCell ref="U73:W73"/>
    <mergeCell ref="X73:Z73"/>
    <mergeCell ref="AA73:AE73"/>
    <mergeCell ref="AF73:AJ73"/>
    <mergeCell ref="AA74:AE74"/>
    <mergeCell ref="Y75:Z75"/>
    <mergeCell ref="AA75:AE75"/>
    <mergeCell ref="B77:E77"/>
    <mergeCell ref="F77:H77"/>
    <mergeCell ref="I77:J77"/>
    <mergeCell ref="L77:O77"/>
    <mergeCell ref="P77:T77"/>
    <mergeCell ref="U77:W77"/>
    <mergeCell ref="X77:Z77"/>
    <mergeCell ref="AA77:AE77"/>
    <mergeCell ref="AF77:AJ77"/>
    <mergeCell ref="B78:E78"/>
    <mergeCell ref="F78:H78"/>
    <mergeCell ref="I78:J78"/>
    <mergeCell ref="L78:O78"/>
    <mergeCell ref="P78:T78"/>
    <mergeCell ref="U78:W78"/>
    <mergeCell ref="X78:Z78"/>
    <mergeCell ref="AA78:AE78"/>
    <mergeCell ref="AF78:AJ78"/>
    <mergeCell ref="B79:E79"/>
    <mergeCell ref="F79:H79"/>
    <mergeCell ref="I79:J79"/>
    <mergeCell ref="L79:O79"/>
    <mergeCell ref="P79:T79"/>
    <mergeCell ref="U79:W79"/>
    <mergeCell ref="X79:Z79"/>
    <mergeCell ref="AA79:AE79"/>
    <mergeCell ref="AF79:AJ79"/>
    <mergeCell ref="B81:E81"/>
    <mergeCell ref="F81:H81"/>
    <mergeCell ref="I81:J81"/>
    <mergeCell ref="L81:O81"/>
    <mergeCell ref="P81:T81"/>
    <mergeCell ref="U81:W81"/>
    <mergeCell ref="Y81:Z81"/>
    <mergeCell ref="AA81:AE81"/>
    <mergeCell ref="Y82:Z82"/>
    <mergeCell ref="AA82:AE82"/>
    <mergeCell ref="B83:E83"/>
    <mergeCell ref="F83:H83"/>
    <mergeCell ref="I83:J83"/>
    <mergeCell ref="L83:O83"/>
    <mergeCell ref="P83:T83"/>
    <mergeCell ref="U83:W83"/>
    <mergeCell ref="Y83:Z83"/>
    <mergeCell ref="AA83:AE83"/>
    <mergeCell ref="B82:E82"/>
    <mergeCell ref="F82:H82"/>
    <mergeCell ref="I82:J82"/>
    <mergeCell ref="L82:O82"/>
    <mergeCell ref="P82:T82"/>
    <mergeCell ref="U82:W82"/>
    <mergeCell ref="Y84:Z84"/>
    <mergeCell ref="AA84:AE84"/>
    <mergeCell ref="AD85:AE85"/>
    <mergeCell ref="AF85:AJ85"/>
    <mergeCell ref="B89:B90"/>
    <mergeCell ref="C89:L90"/>
    <mergeCell ref="M89:P89"/>
    <mergeCell ref="Q89:T89"/>
    <mergeCell ref="U89:X89"/>
    <mergeCell ref="Y89:AB89"/>
    <mergeCell ref="M91:P91"/>
    <mergeCell ref="Q91:T91"/>
    <mergeCell ref="U91:X91"/>
    <mergeCell ref="Y91:AB91"/>
    <mergeCell ref="AC91:AF91"/>
    <mergeCell ref="AG91:AJ91"/>
    <mergeCell ref="AC89:AF89"/>
    <mergeCell ref="AG89:AJ89"/>
    <mergeCell ref="M90:P90"/>
    <mergeCell ref="Q90:T90"/>
    <mergeCell ref="U90:X90"/>
    <mergeCell ref="Y90:AB90"/>
    <mergeCell ref="AC90:AF90"/>
    <mergeCell ref="AG90:AJ90"/>
    <mergeCell ref="M95:P95"/>
    <mergeCell ref="Q95:T95"/>
    <mergeCell ref="U95:X95"/>
    <mergeCell ref="Y95:AB95"/>
    <mergeCell ref="AC95:AF95"/>
    <mergeCell ref="AG95:AJ95"/>
    <mergeCell ref="M93:P93"/>
    <mergeCell ref="Q93:T93"/>
    <mergeCell ref="U93:X93"/>
    <mergeCell ref="Y93:AB93"/>
    <mergeCell ref="AC93:AF93"/>
    <mergeCell ref="AG93:AJ93"/>
    <mergeCell ref="Y96:Z96"/>
    <mergeCell ref="AA96:AB96"/>
    <mergeCell ref="AC96:AD96"/>
    <mergeCell ref="AE96:AF96"/>
    <mergeCell ref="AG96:AH96"/>
    <mergeCell ref="AI96:AJ96"/>
    <mergeCell ref="M96:N96"/>
    <mergeCell ref="O96:P96"/>
    <mergeCell ref="Q96:R96"/>
    <mergeCell ref="S96:T96"/>
    <mergeCell ref="U96:V96"/>
    <mergeCell ref="W96:X96"/>
    <mergeCell ref="AE97:AF97"/>
    <mergeCell ref="AG97:AH97"/>
    <mergeCell ref="AI97:AJ97"/>
    <mergeCell ref="M97:N97"/>
    <mergeCell ref="O97:P97"/>
    <mergeCell ref="Q97:R97"/>
    <mergeCell ref="S97:T97"/>
    <mergeCell ref="U97:V97"/>
    <mergeCell ref="W97:X97"/>
    <mergeCell ref="C98:L98"/>
    <mergeCell ref="M98:N98"/>
    <mergeCell ref="O98:P98"/>
    <mergeCell ref="Q98:R98"/>
    <mergeCell ref="S98:T98"/>
    <mergeCell ref="U98:V98"/>
    <mergeCell ref="Y97:Z97"/>
    <mergeCell ref="AA97:AB97"/>
    <mergeCell ref="AC97:AD97"/>
    <mergeCell ref="AI98:AJ98"/>
    <mergeCell ref="M99:N99"/>
    <mergeCell ref="O99:P99"/>
    <mergeCell ref="Q99:R99"/>
    <mergeCell ref="S99:T99"/>
    <mergeCell ref="U99:V99"/>
    <mergeCell ref="W99:X99"/>
    <mergeCell ref="Y99:Z99"/>
    <mergeCell ref="AA99:AB99"/>
    <mergeCell ref="AC99:AD99"/>
    <mergeCell ref="W98:X98"/>
    <mergeCell ref="Y98:Z98"/>
    <mergeCell ref="AA98:AB98"/>
    <mergeCell ref="AC98:AD98"/>
    <mergeCell ref="AE98:AF98"/>
    <mergeCell ref="AG98:AH98"/>
    <mergeCell ref="AG105:AH106"/>
    <mergeCell ref="AI105:AJ106"/>
    <mergeCell ref="AG107:AH107"/>
    <mergeCell ref="AI107:AJ107"/>
    <mergeCell ref="AG108:AH109"/>
    <mergeCell ref="AI108:AJ109"/>
    <mergeCell ref="AE99:AF99"/>
    <mergeCell ref="AG99:AH99"/>
    <mergeCell ref="AI99:AJ99"/>
    <mergeCell ref="AG103:AH103"/>
    <mergeCell ref="AI103:AJ103"/>
    <mergeCell ref="AG104:AH104"/>
    <mergeCell ref="AI104:AJ104"/>
    <mergeCell ref="AG110:AH110"/>
    <mergeCell ref="AI110:AJ110"/>
    <mergeCell ref="B112:C112"/>
    <mergeCell ref="B113:I113"/>
    <mergeCell ref="J113:O113"/>
    <mergeCell ref="P113:U113"/>
    <mergeCell ref="V113:Y113"/>
    <mergeCell ref="Z113:AC113"/>
    <mergeCell ref="AD113:AJ113"/>
    <mergeCell ref="B116:I116"/>
    <mergeCell ref="J116:O116"/>
    <mergeCell ref="P116:U116"/>
    <mergeCell ref="V116:Y116"/>
    <mergeCell ref="Z116:AC116"/>
    <mergeCell ref="AD116:AJ116"/>
    <mergeCell ref="B115:I115"/>
    <mergeCell ref="J115:O115"/>
    <mergeCell ref="P115:U115"/>
    <mergeCell ref="V115:Y115"/>
    <mergeCell ref="Z115:AC115"/>
    <mergeCell ref="AD115:AJ115"/>
    <mergeCell ref="AB117:AC117"/>
    <mergeCell ref="AD117:AJ117"/>
    <mergeCell ref="AB118:AC118"/>
    <mergeCell ref="AD118:AJ118"/>
    <mergeCell ref="B123:I125"/>
    <mergeCell ref="J123:L125"/>
    <mergeCell ref="M123:O125"/>
    <mergeCell ref="P123:R125"/>
    <mergeCell ref="S123:U125"/>
    <mergeCell ref="V123:X125"/>
    <mergeCell ref="Y123:AA125"/>
    <mergeCell ref="AB123:AC125"/>
    <mergeCell ref="AD123:AF125"/>
    <mergeCell ref="AG123:AJ125"/>
    <mergeCell ref="AG126:AJ126"/>
    <mergeCell ref="B127:I127"/>
    <mergeCell ref="J127:L127"/>
    <mergeCell ref="M127:O127"/>
    <mergeCell ref="P127:R127"/>
    <mergeCell ref="S127:U127"/>
    <mergeCell ref="V127:X127"/>
    <mergeCell ref="Y127:AA127"/>
    <mergeCell ref="AB127:AC127"/>
    <mergeCell ref="AD127:AF127"/>
    <mergeCell ref="AG127:AJ127"/>
    <mergeCell ref="B126:I126"/>
    <mergeCell ref="J126:L126"/>
    <mergeCell ref="M126:O126"/>
    <mergeCell ref="P126:R126"/>
    <mergeCell ref="S126:U126"/>
    <mergeCell ref="V126:X126"/>
    <mergeCell ref="Y126:AA126"/>
    <mergeCell ref="AB126:AC126"/>
    <mergeCell ref="AD126:AF126"/>
    <mergeCell ref="AG128:AJ128"/>
    <mergeCell ref="B129:I129"/>
    <mergeCell ref="J129:L129"/>
    <mergeCell ref="M129:O129"/>
    <mergeCell ref="P129:R129"/>
    <mergeCell ref="S129:U129"/>
    <mergeCell ref="V129:X129"/>
    <mergeCell ref="Y129:AA129"/>
    <mergeCell ref="AB129:AC129"/>
    <mergeCell ref="AD129:AF129"/>
    <mergeCell ref="AG129:AJ129"/>
    <mergeCell ref="B128:I128"/>
    <mergeCell ref="J128:L128"/>
    <mergeCell ref="M128:O128"/>
    <mergeCell ref="P128:R128"/>
    <mergeCell ref="S128:U128"/>
    <mergeCell ref="V128:X128"/>
    <mergeCell ref="Y128:AA128"/>
    <mergeCell ref="AB128:AC128"/>
    <mergeCell ref="AD128:AF128"/>
    <mergeCell ref="AG130:AJ130"/>
    <mergeCell ref="B131:I131"/>
    <mergeCell ref="J131:L131"/>
    <mergeCell ref="M131:O131"/>
    <mergeCell ref="P131:R131"/>
    <mergeCell ref="S131:U131"/>
    <mergeCell ref="V131:X131"/>
    <mergeCell ref="Y131:AA131"/>
    <mergeCell ref="AB131:AC131"/>
    <mergeCell ref="AD131:AF131"/>
    <mergeCell ref="AG131:AJ131"/>
    <mergeCell ref="B130:I130"/>
    <mergeCell ref="J130:L130"/>
    <mergeCell ref="M130:O130"/>
    <mergeCell ref="P130:R130"/>
    <mergeCell ref="S130:U130"/>
    <mergeCell ref="V130:X130"/>
    <mergeCell ref="Y130:AA130"/>
    <mergeCell ref="AB130:AC130"/>
    <mergeCell ref="AD130:AF130"/>
    <mergeCell ref="AG132:AJ132"/>
    <mergeCell ref="B133:I133"/>
    <mergeCell ref="J133:L133"/>
    <mergeCell ref="M133:O133"/>
    <mergeCell ref="P133:R133"/>
    <mergeCell ref="S133:U133"/>
    <mergeCell ref="V133:X133"/>
    <mergeCell ref="Y133:AA133"/>
    <mergeCell ref="AB133:AC133"/>
    <mergeCell ref="AD133:AF133"/>
    <mergeCell ref="AG133:AJ133"/>
    <mergeCell ref="B132:I132"/>
    <mergeCell ref="J132:L132"/>
    <mergeCell ref="M132:O132"/>
    <mergeCell ref="P132:R132"/>
    <mergeCell ref="S132:U132"/>
    <mergeCell ref="V132:X132"/>
    <mergeCell ref="Y132:AA132"/>
    <mergeCell ref="AB132:AC132"/>
    <mergeCell ref="AD132:AF132"/>
    <mergeCell ref="AG134:AJ134"/>
    <mergeCell ref="B135:I135"/>
    <mergeCell ref="J135:L135"/>
    <mergeCell ref="M135:O135"/>
    <mergeCell ref="P135:R135"/>
    <mergeCell ref="S135:U135"/>
    <mergeCell ref="V135:X135"/>
    <mergeCell ref="Y135:AA135"/>
    <mergeCell ref="AB135:AC135"/>
    <mergeCell ref="AD135:AF135"/>
    <mergeCell ref="AG135:AJ135"/>
    <mergeCell ref="B134:I134"/>
    <mergeCell ref="J134:L134"/>
    <mergeCell ref="M134:O134"/>
    <mergeCell ref="P134:R134"/>
    <mergeCell ref="S134:U134"/>
    <mergeCell ref="V134:X134"/>
    <mergeCell ref="Y134:AA134"/>
    <mergeCell ref="AB134:AC134"/>
    <mergeCell ref="AD134:AF134"/>
    <mergeCell ref="AG136:AJ136"/>
    <mergeCell ref="B137:I137"/>
    <mergeCell ref="J137:L137"/>
    <mergeCell ref="M137:O137"/>
    <mergeCell ref="P137:R137"/>
    <mergeCell ref="S137:U137"/>
    <mergeCell ref="V137:X137"/>
    <mergeCell ref="Y137:AA137"/>
    <mergeCell ref="AB137:AC137"/>
    <mergeCell ref="AD137:AF137"/>
    <mergeCell ref="AG137:AJ137"/>
    <mergeCell ref="B136:I136"/>
    <mergeCell ref="J136:L136"/>
    <mergeCell ref="M136:O136"/>
    <mergeCell ref="P136:R136"/>
    <mergeCell ref="S136:U136"/>
    <mergeCell ref="V136:X136"/>
    <mergeCell ref="Y136:AA136"/>
    <mergeCell ref="AB136:AC136"/>
    <mergeCell ref="AD136:AF136"/>
    <mergeCell ref="AG138:AJ138"/>
    <mergeCell ref="B139:I139"/>
    <mergeCell ref="J139:L139"/>
    <mergeCell ref="M139:O139"/>
    <mergeCell ref="P139:R139"/>
    <mergeCell ref="S139:U139"/>
    <mergeCell ref="V139:X139"/>
    <mergeCell ref="Y139:AA139"/>
    <mergeCell ref="AB139:AC139"/>
    <mergeCell ref="AD139:AF139"/>
    <mergeCell ref="AG139:AJ139"/>
    <mergeCell ref="B138:I138"/>
    <mergeCell ref="J138:L138"/>
    <mergeCell ref="M138:O138"/>
    <mergeCell ref="P138:R138"/>
    <mergeCell ref="S138:U138"/>
    <mergeCell ref="V138:X138"/>
    <mergeCell ref="Y138:AA138"/>
    <mergeCell ref="AB138:AC138"/>
    <mergeCell ref="AD138:AF138"/>
    <mergeCell ref="AG140:AJ140"/>
    <mergeCell ref="B141:I141"/>
    <mergeCell ref="J141:L141"/>
    <mergeCell ref="M141:O141"/>
    <mergeCell ref="P141:R141"/>
    <mergeCell ref="S141:U141"/>
    <mergeCell ref="V141:X141"/>
    <mergeCell ref="Y141:AA141"/>
    <mergeCell ref="AB141:AC141"/>
    <mergeCell ref="AD141:AF141"/>
    <mergeCell ref="AG141:AJ141"/>
    <mergeCell ref="B140:I140"/>
    <mergeCell ref="J140:L140"/>
    <mergeCell ref="M140:O140"/>
    <mergeCell ref="P140:R140"/>
    <mergeCell ref="S140:U140"/>
    <mergeCell ref="V140:X140"/>
    <mergeCell ref="Y140:AA140"/>
    <mergeCell ref="AB140:AC140"/>
    <mergeCell ref="AD140:AF140"/>
    <mergeCell ref="AG142:AJ142"/>
    <mergeCell ref="B143:I143"/>
    <mergeCell ref="J143:L143"/>
    <mergeCell ref="M143:O143"/>
    <mergeCell ref="P143:R143"/>
    <mergeCell ref="S143:U143"/>
    <mergeCell ref="V143:X143"/>
    <mergeCell ref="Y143:AA143"/>
    <mergeCell ref="AB143:AC143"/>
    <mergeCell ref="AD143:AF143"/>
    <mergeCell ref="AG143:AJ143"/>
    <mergeCell ref="B142:I142"/>
    <mergeCell ref="J142:L142"/>
    <mergeCell ref="M142:O142"/>
    <mergeCell ref="P142:R142"/>
    <mergeCell ref="S142:U142"/>
    <mergeCell ref="V142:X142"/>
    <mergeCell ref="Y142:AA142"/>
    <mergeCell ref="AB142:AC142"/>
    <mergeCell ref="AD142:AF142"/>
    <mergeCell ref="AG144:AJ144"/>
    <mergeCell ref="B145:I145"/>
    <mergeCell ref="J145:L145"/>
    <mergeCell ref="M145:O145"/>
    <mergeCell ref="P145:R145"/>
    <mergeCell ref="S145:U145"/>
    <mergeCell ref="V145:X145"/>
    <mergeCell ref="Y145:AA145"/>
    <mergeCell ref="AB145:AC145"/>
    <mergeCell ref="AD145:AF145"/>
    <mergeCell ref="AG145:AJ145"/>
    <mergeCell ref="B144:I144"/>
    <mergeCell ref="J144:L144"/>
    <mergeCell ref="M144:O144"/>
    <mergeCell ref="P144:R144"/>
    <mergeCell ref="S144:U144"/>
    <mergeCell ref="V144:X144"/>
    <mergeCell ref="Y144:AA144"/>
    <mergeCell ref="AB144:AC144"/>
    <mergeCell ref="AD144:AF144"/>
    <mergeCell ref="AG146:AJ146"/>
    <mergeCell ref="B147:I147"/>
    <mergeCell ref="J147:L147"/>
    <mergeCell ref="M147:O147"/>
    <mergeCell ref="P147:R147"/>
    <mergeCell ref="S147:U147"/>
    <mergeCell ref="V147:X147"/>
    <mergeCell ref="Y147:AA147"/>
    <mergeCell ref="AB147:AC147"/>
    <mergeCell ref="AD147:AF147"/>
    <mergeCell ref="AG147:AJ147"/>
    <mergeCell ref="B146:I146"/>
    <mergeCell ref="J146:L146"/>
    <mergeCell ref="M146:O146"/>
    <mergeCell ref="P146:R146"/>
    <mergeCell ref="S146:U146"/>
    <mergeCell ref="V146:X146"/>
    <mergeCell ref="Y146:AA146"/>
    <mergeCell ref="AB146:AC146"/>
    <mergeCell ref="AD146:AF146"/>
    <mergeCell ref="AG148:AJ148"/>
    <mergeCell ref="B149:I149"/>
    <mergeCell ref="J149:L149"/>
    <mergeCell ref="M149:O149"/>
    <mergeCell ref="P149:R149"/>
    <mergeCell ref="S149:U149"/>
    <mergeCell ref="V149:X149"/>
    <mergeCell ref="Y149:AA149"/>
    <mergeCell ref="AB149:AC149"/>
    <mergeCell ref="AD149:AF149"/>
    <mergeCell ref="AG149:AJ149"/>
    <mergeCell ref="B148:I148"/>
    <mergeCell ref="J148:L148"/>
    <mergeCell ref="M148:O148"/>
    <mergeCell ref="P148:R148"/>
    <mergeCell ref="S148:U148"/>
    <mergeCell ref="V148:X148"/>
    <mergeCell ref="Y148:AA148"/>
    <mergeCell ref="AB148:AC148"/>
    <mergeCell ref="AD148:AF148"/>
    <mergeCell ref="AB152:AC152"/>
    <mergeCell ref="AD152:AF152"/>
    <mergeCell ref="AG150:AJ150"/>
    <mergeCell ref="B151:I151"/>
    <mergeCell ref="J151:L151"/>
    <mergeCell ref="M151:O151"/>
    <mergeCell ref="P151:R151"/>
    <mergeCell ref="S151:U151"/>
    <mergeCell ref="V151:X151"/>
    <mergeCell ref="Y151:AA151"/>
    <mergeCell ref="AB151:AC151"/>
    <mergeCell ref="AD151:AF151"/>
    <mergeCell ref="AG151:AJ151"/>
    <mergeCell ref="B150:I150"/>
    <mergeCell ref="J150:L150"/>
    <mergeCell ref="M150:O150"/>
    <mergeCell ref="P150:R150"/>
    <mergeCell ref="S150:U150"/>
    <mergeCell ref="V150:X150"/>
    <mergeCell ref="Y150:AA150"/>
    <mergeCell ref="AB150:AC150"/>
    <mergeCell ref="AD150:AF150"/>
    <mergeCell ref="P154:R154"/>
    <mergeCell ref="S154:U154"/>
    <mergeCell ref="V154:X154"/>
    <mergeCell ref="Y154:AA154"/>
    <mergeCell ref="AB154:AC154"/>
    <mergeCell ref="AD154:AF154"/>
    <mergeCell ref="AG152:AJ152"/>
    <mergeCell ref="B153:I153"/>
    <mergeCell ref="J153:L153"/>
    <mergeCell ref="M153:O153"/>
    <mergeCell ref="P153:R153"/>
    <mergeCell ref="S153:U153"/>
    <mergeCell ref="V153:X153"/>
    <mergeCell ref="Y153:AA153"/>
    <mergeCell ref="AB153:AC153"/>
    <mergeCell ref="AD153:AF153"/>
    <mergeCell ref="AG153:AJ153"/>
    <mergeCell ref="B152:I152"/>
    <mergeCell ref="J152:L152"/>
    <mergeCell ref="M152:O152"/>
    <mergeCell ref="P152:R152"/>
    <mergeCell ref="S152:U152"/>
    <mergeCell ref="V152:X152"/>
    <mergeCell ref="Y152:AA152"/>
    <mergeCell ref="AG154:AJ154"/>
    <mergeCell ref="B155:I155"/>
    <mergeCell ref="J155:L155"/>
    <mergeCell ref="M155:O155"/>
    <mergeCell ref="P155:R155"/>
    <mergeCell ref="S155:U155"/>
    <mergeCell ref="V155:X155"/>
    <mergeCell ref="Y156:AA156"/>
    <mergeCell ref="AB156:AC156"/>
    <mergeCell ref="AD156:AF156"/>
    <mergeCell ref="AG156:AJ156"/>
    <mergeCell ref="Y155:AA155"/>
    <mergeCell ref="AB155:AC155"/>
    <mergeCell ref="AD155:AF155"/>
    <mergeCell ref="AG155:AJ155"/>
    <mergeCell ref="B156:I156"/>
    <mergeCell ref="J156:L156"/>
    <mergeCell ref="M156:O156"/>
    <mergeCell ref="P156:R156"/>
    <mergeCell ref="S156:U156"/>
    <mergeCell ref="V156:X156"/>
    <mergeCell ref="B154:I154"/>
    <mergeCell ref="J154:L154"/>
    <mergeCell ref="M154:O154"/>
  </mergeCells>
  <conditionalFormatting sqref="B9 E9:AH10 B10:C10 B28 B33:B34 B39 B52 B57 B65 B69:B70 B76 B80 B112 B114">
    <cfRule type="expression" dxfId="1067" priority="109">
      <formula>IF(AND(File_Marr_Sep&lt;&gt;"",$AI$9=""),1,0)</formula>
    </cfRule>
  </conditionalFormatting>
  <conditionalFormatting sqref="B107:B108">
    <cfRule type="expression" dxfId="1066" priority="63">
      <formula>$AM$103</formula>
    </cfRule>
  </conditionalFormatting>
  <conditionalFormatting sqref="B110">
    <cfRule type="expression" dxfId="1065" priority="62">
      <formula>$AM$103</formula>
    </cfRule>
  </conditionalFormatting>
  <conditionalFormatting sqref="B77:J79">
    <cfRule type="expression" dxfId="1064" priority="16">
      <formula>NoColor</formula>
    </cfRule>
  </conditionalFormatting>
  <conditionalFormatting sqref="B81:J83">
    <cfRule type="expression" dxfId="1063" priority="13">
      <formula>NoColor</formula>
    </cfRule>
  </conditionalFormatting>
  <conditionalFormatting sqref="B18:AC19">
    <cfRule type="expression" dxfId="1062" priority="40">
      <formula>NoColor</formula>
    </cfRule>
  </conditionalFormatting>
  <conditionalFormatting sqref="B8:AJ8">
    <cfRule type="expression" dxfId="1061" priority="45">
      <formula>NoColor</formula>
    </cfRule>
  </conditionalFormatting>
  <conditionalFormatting sqref="B115:AJ116">
    <cfRule type="expression" dxfId="1060" priority="3">
      <formula>NoColor</formula>
    </cfRule>
  </conditionalFormatting>
  <conditionalFormatting sqref="C107:C111">
    <cfRule type="expression" dxfId="1059" priority="65">
      <formula>$AM$103</formula>
    </cfRule>
  </conditionalFormatting>
  <conditionalFormatting sqref="C114">
    <cfRule type="expression" dxfId="1058" priority="48">
      <formula>$AM$103</formula>
    </cfRule>
  </conditionalFormatting>
  <conditionalFormatting sqref="C117:C118">
    <cfRule type="expression" dxfId="1057" priority="46">
      <formula>$AM$103</formula>
    </cfRule>
  </conditionalFormatting>
  <conditionalFormatting sqref="C102:AJ102 F103:AF103 B103:D104 F104:AE104 B105:AF105">
    <cfRule type="expression" dxfId="1056" priority="96">
      <formula>$AM$103</formula>
    </cfRule>
  </conditionalFormatting>
  <conditionalFormatting sqref="E66">
    <cfRule type="expression" dxfId="1055" priority="74">
      <formula>IF(AND(File_Marr_Sep&lt;&gt;"",$AI$9=""),1,0)</formula>
    </cfRule>
  </conditionalFormatting>
  <conditionalFormatting sqref="E68">
    <cfRule type="expression" dxfId="1054" priority="73">
      <formula>IF(AND(File_Marr_Sep&lt;&gt;"",$AI$9=""),1,0)</formula>
    </cfRule>
  </conditionalFormatting>
  <conditionalFormatting sqref="E103:E104">
    <cfRule type="expression" dxfId="1053" priority="92">
      <formula>AM103</formula>
    </cfRule>
  </conditionalFormatting>
  <conditionalFormatting sqref="E28:AH28">
    <cfRule type="expression" dxfId="1052" priority="89">
      <formula>IF(AND(File_Marr_Sep&lt;&gt;"",$AI$9=""),1,0)</formula>
    </cfRule>
  </conditionalFormatting>
  <conditionalFormatting sqref="E33:AH34">
    <cfRule type="expression" dxfId="1051" priority="83">
      <formula>IF(AND(File_Marr_Sep&lt;&gt;"",$AI$9=""),1,0)</formula>
    </cfRule>
  </conditionalFormatting>
  <conditionalFormatting sqref="E39:AH39">
    <cfRule type="expression" dxfId="1050" priority="82">
      <formula>IF(AND(File_Marr_Sep&lt;&gt;"",$AI$9=""),1,0)</formula>
    </cfRule>
  </conditionalFormatting>
  <conditionalFormatting sqref="E52:AH52">
    <cfRule type="expression" dxfId="1049" priority="81">
      <formula>IF(AND(File_Marr_Sep&lt;&gt;"",$AI$9=""),1,0)</formula>
    </cfRule>
  </conditionalFormatting>
  <conditionalFormatting sqref="E57:AH57">
    <cfRule type="expression" dxfId="1048" priority="80">
      <formula>IF(AND(File_Marr_Sep&lt;&gt;"",$AI$9=""),1,0)</formula>
    </cfRule>
  </conditionalFormatting>
  <conditionalFormatting sqref="E65:AH65">
    <cfRule type="expression" dxfId="1047" priority="75">
      <formula>IF(AND(File_Marr_Sep&lt;&gt;"",$AI$9=""),1,0)</formula>
    </cfRule>
  </conditionalFormatting>
  <conditionalFormatting sqref="E69:AH70">
    <cfRule type="expression" dxfId="1046" priority="72">
      <formula>IF(AND(File_Marr_Sep&lt;&gt;"",$AI$9=""),1,0)</formula>
    </cfRule>
  </conditionalFormatting>
  <conditionalFormatting sqref="E76:AH76">
    <cfRule type="expression" dxfId="1045" priority="71">
      <formula>IF(AND(File_Marr_Sep&lt;&gt;"",$AI$9=""),1,0)</formula>
    </cfRule>
  </conditionalFormatting>
  <conditionalFormatting sqref="E80:AH80">
    <cfRule type="expression" dxfId="1044" priority="70">
      <formula>IF(AND(File_Marr_Sep&lt;&gt;"",$AI$9=""),1,0)</formula>
    </cfRule>
  </conditionalFormatting>
  <conditionalFormatting sqref="E112:AH112">
    <cfRule type="expression" dxfId="1043" priority="50">
      <formula>IF(AND(File_Marr_Sep&lt;&gt;"",$AI$9=""),1,0)</formula>
    </cfRule>
  </conditionalFormatting>
  <conditionalFormatting sqref="E114:AH114">
    <cfRule type="expression" dxfId="1042" priority="49">
      <formula>IF(AND(File_Marr_Sep&lt;&gt;"",$AI$9=""),1,0)</formula>
    </cfRule>
  </conditionalFormatting>
  <conditionalFormatting sqref="H55:L56">
    <cfRule type="expression" dxfId="1041" priority="25">
      <formula>NoColor</formula>
    </cfRule>
  </conditionalFormatting>
  <conditionalFormatting sqref="H48:R51">
    <cfRule type="expression" dxfId="1040" priority="33">
      <formula>NoColor</formula>
    </cfRule>
  </conditionalFormatting>
  <conditionalFormatting sqref="L81:W83">
    <cfRule type="expression" dxfId="1039" priority="12">
      <formula>NoColor</formula>
    </cfRule>
  </conditionalFormatting>
  <conditionalFormatting sqref="L77:AJ79">
    <cfRule type="expression" dxfId="1038" priority="15">
      <formula>NoColor</formula>
    </cfRule>
  </conditionalFormatting>
  <conditionalFormatting sqref="M15:R15">
    <cfRule type="expression" dxfId="1037" priority="110">
      <formula>IF(NoColor,1,0)</formula>
    </cfRule>
  </conditionalFormatting>
  <conditionalFormatting sqref="M29:R29">
    <cfRule type="expression" dxfId="1036" priority="87">
      <formula>IF(NoColor,1,0)</formula>
    </cfRule>
  </conditionalFormatting>
  <conditionalFormatting sqref="M47:R47">
    <cfRule type="expression" dxfId="1035" priority="31">
      <formula>NoColor</formula>
    </cfRule>
  </conditionalFormatting>
  <conditionalFormatting sqref="M54:R56">
    <cfRule type="expression" dxfId="1034" priority="26">
      <formula>NoColor</formula>
    </cfRule>
  </conditionalFormatting>
  <conditionalFormatting sqref="M59:R59">
    <cfRule type="expression" dxfId="1033" priority="78">
      <formula>IF(NoColor,1,0)</formula>
    </cfRule>
  </conditionalFormatting>
  <conditionalFormatting sqref="M53:X53">
    <cfRule type="expression" dxfId="1032" priority="28">
      <formula>NoColor</formula>
    </cfRule>
  </conditionalFormatting>
  <conditionalFormatting sqref="M41:AJ46">
    <cfRule type="expression" dxfId="1031" priority="34">
      <formula>NoColor</formula>
    </cfRule>
  </conditionalFormatting>
  <conditionalFormatting sqref="M90:AJ91">
    <cfRule type="expression" dxfId="1030" priority="8">
      <formula>NoColor</formula>
    </cfRule>
  </conditionalFormatting>
  <conditionalFormatting sqref="M93:AJ95">
    <cfRule type="expression" dxfId="1029" priority="6">
      <formula>NoColor</formula>
    </cfRule>
  </conditionalFormatting>
  <conditionalFormatting sqref="M97:AJ99">
    <cfRule type="expression" dxfId="1028" priority="5">
      <formula>NoColor</formula>
    </cfRule>
  </conditionalFormatting>
  <conditionalFormatting sqref="R71">
    <cfRule type="expression" dxfId="1027" priority="20">
      <formula>NoColor</formula>
    </cfRule>
  </conditionalFormatting>
  <conditionalFormatting sqref="R107">
    <cfRule type="expression" dxfId="1026" priority="97">
      <formula>AND($AH$106,$AB$106)</formula>
    </cfRule>
  </conditionalFormatting>
  <conditionalFormatting sqref="S51:U51">
    <cfRule type="expression" dxfId="1025" priority="29">
      <formula>NoColor</formula>
    </cfRule>
  </conditionalFormatting>
  <conditionalFormatting sqref="T71">
    <cfRule type="expression" dxfId="1024" priority="19">
      <formula>NoColor</formula>
    </cfRule>
  </conditionalFormatting>
  <conditionalFormatting sqref="T88">
    <cfRule type="expression" dxfId="1023" priority="95">
      <formula>NoColor</formula>
    </cfRule>
  </conditionalFormatting>
  <conditionalFormatting sqref="T66:U66">
    <cfRule type="expression" dxfId="1022" priority="104">
      <formula>IF(NoColor,1,0)</formula>
    </cfRule>
    <cfRule type="expression" dxfId="1021" priority="105">
      <formula>AND(NOT(NoColor),NoSSN)</formula>
    </cfRule>
  </conditionalFormatting>
  <conditionalFormatting sqref="U66:AJ66">
    <cfRule type="expression" dxfId="1020" priority="93">
      <formula>AND(NoColor,NoSSN)</formula>
    </cfRule>
  </conditionalFormatting>
  <conditionalFormatting sqref="V47:X47">
    <cfRule type="expression" dxfId="1019" priority="30">
      <formula>NoColor</formula>
    </cfRule>
  </conditionalFormatting>
  <conditionalFormatting sqref="V54:X54">
    <cfRule type="expression" dxfId="1018" priority="24">
      <formula>NoColor</formula>
    </cfRule>
  </conditionalFormatting>
  <conditionalFormatting sqref="V20:AC20">
    <cfRule type="expression" dxfId="1017" priority="39">
      <formula>NoColor</formula>
    </cfRule>
  </conditionalFormatting>
  <conditionalFormatting sqref="W62:AA62">
    <cfRule type="expression" dxfId="1016" priority="21">
      <formula>NoColor</formula>
    </cfRule>
  </conditionalFormatting>
  <conditionalFormatting sqref="W26:AC26">
    <cfRule type="expression" dxfId="1015" priority="37">
      <formula>NoColor</formula>
    </cfRule>
  </conditionalFormatting>
  <conditionalFormatting sqref="X15:AA15">
    <cfRule type="expression" dxfId="1014" priority="107">
      <formula>IF(NoColor,1,0)</formula>
    </cfRule>
  </conditionalFormatting>
  <conditionalFormatting sqref="X29:AA29">
    <cfRule type="expression" dxfId="1013" priority="85">
      <formula>IF(NoColor,1,0)</formula>
    </cfRule>
  </conditionalFormatting>
  <conditionalFormatting sqref="X59:AA59">
    <cfRule type="expression" dxfId="1012" priority="76">
      <formula>IF(NoColor,1,0)</formula>
    </cfRule>
  </conditionalFormatting>
  <conditionalFormatting sqref="Y81:AE83">
    <cfRule type="expression" dxfId="1011" priority="11">
      <formula>NoColor</formula>
    </cfRule>
  </conditionalFormatting>
  <conditionalFormatting sqref="AA75:AE75">
    <cfRule type="expression" dxfId="1010" priority="14">
      <formula>NoColor</formula>
    </cfRule>
  </conditionalFormatting>
  <conditionalFormatting sqref="AA84:AE84">
    <cfRule type="expression" dxfId="1009" priority="10">
      <formula>NoColor</formula>
    </cfRule>
  </conditionalFormatting>
  <conditionalFormatting sqref="AB8:AJ8">
    <cfRule type="expression" dxfId="1008" priority="43">
      <formula>NoSSN</formula>
    </cfRule>
    <cfRule type="expression" dxfId="1007" priority="44">
      <formula>AND(NoColor,NoSSN)</formula>
    </cfRule>
    <cfRule type="expression" dxfId="1006" priority="1">
      <formula>NoSSN</formula>
    </cfRule>
  </conditionalFormatting>
  <conditionalFormatting sqref="AC88">
    <cfRule type="expression" dxfId="1005" priority="94">
      <formula>NoColor</formula>
    </cfRule>
  </conditionalFormatting>
  <conditionalFormatting sqref="AD11:AJ14">
    <cfRule type="expression" dxfId="1004" priority="42">
      <formula>NoColor</formula>
    </cfRule>
  </conditionalFormatting>
  <conditionalFormatting sqref="AD16:AJ16">
    <cfRule type="expression" dxfId="1003" priority="41">
      <formula>NoColor</formula>
    </cfRule>
  </conditionalFormatting>
  <conditionalFormatting sqref="AD21:AJ25">
    <cfRule type="expression" dxfId="1002" priority="38">
      <formula>NoColor</formula>
    </cfRule>
  </conditionalFormatting>
  <conditionalFormatting sqref="AD30:AJ32">
    <cfRule type="expression" dxfId="1001" priority="36">
      <formula>NoColor</formula>
    </cfRule>
  </conditionalFormatting>
  <conditionalFormatting sqref="AD35:AJ35">
    <cfRule type="expression" dxfId="1000" priority="35">
      <formula>NoColor</formula>
    </cfRule>
  </conditionalFormatting>
  <conditionalFormatting sqref="AD47:AJ51">
    <cfRule type="expression" dxfId="999" priority="32">
      <formula>NoColor</formula>
    </cfRule>
  </conditionalFormatting>
  <conditionalFormatting sqref="AD53:AJ56">
    <cfRule type="expression" dxfId="998" priority="27">
      <formula>NoColor</formula>
    </cfRule>
  </conditionalFormatting>
  <conditionalFormatting sqref="AD58:AJ58">
    <cfRule type="expression" dxfId="997" priority="23">
      <formula>NoColor</formula>
    </cfRule>
  </conditionalFormatting>
  <conditionalFormatting sqref="AD60:AJ60">
    <cfRule type="expression" dxfId="996" priority="22">
      <formula>NoColor</formula>
    </cfRule>
  </conditionalFormatting>
  <conditionalFormatting sqref="AD117:AJ118">
    <cfRule type="expression" dxfId="995" priority="2">
      <formula>NoColor</formula>
    </cfRule>
  </conditionalFormatting>
  <conditionalFormatting sqref="AE107:AE109">
    <cfRule type="expression" dxfId="994" priority="98">
      <formula>IF(NoColor,1,0)</formula>
    </cfRule>
  </conditionalFormatting>
  <conditionalFormatting sqref="AE108:AF108">
    <cfRule type="expression" dxfId="993" priority="100">
      <formula>IF(NoColor,1,0)</formula>
    </cfRule>
  </conditionalFormatting>
  <conditionalFormatting sqref="AE111:AF111">
    <cfRule type="expression" dxfId="992" priority="90">
      <formula>IF(NoColor,1,0)</formula>
    </cfRule>
  </conditionalFormatting>
  <conditionalFormatting sqref="AF71">
    <cfRule type="expression" dxfId="991" priority="18">
      <formula>NoColor</formula>
    </cfRule>
  </conditionalFormatting>
  <conditionalFormatting sqref="AF85:AJ85">
    <cfRule type="expression" dxfId="990" priority="9">
      <formula>NoColor</formula>
    </cfRule>
  </conditionalFormatting>
  <conditionalFormatting sqref="AG103:AG105">
    <cfRule type="expression" dxfId="989" priority="51">
      <formula>$AM$103</formula>
    </cfRule>
  </conditionalFormatting>
  <conditionalFormatting sqref="AG107:AG108">
    <cfRule type="expression" dxfId="988" priority="57">
      <formula>$AM$103</formula>
    </cfRule>
  </conditionalFormatting>
  <conditionalFormatting sqref="AG110">
    <cfRule type="expression" dxfId="987" priority="55">
      <formula>$AM$103</formula>
    </cfRule>
  </conditionalFormatting>
  <conditionalFormatting sqref="AG104:AJ110">
    <cfRule type="expression" dxfId="986" priority="4">
      <formula>NoColor</formula>
    </cfRule>
  </conditionalFormatting>
  <conditionalFormatting sqref="AH71">
    <cfRule type="expression" dxfId="985" priority="17">
      <formula>NoColor</formula>
    </cfRule>
  </conditionalFormatting>
  <conditionalFormatting sqref="AI103:AI105">
    <cfRule type="expression" dxfId="984" priority="52">
      <formula>$AM$103</formula>
    </cfRule>
  </conditionalFormatting>
  <conditionalFormatting sqref="AI107:AI108">
    <cfRule type="expression" dxfId="983" priority="58">
      <formula>$AM$103</formula>
    </cfRule>
  </conditionalFormatting>
  <conditionalFormatting sqref="AI110">
    <cfRule type="expression" dxfId="982" priority="56">
      <formula>$AM$103</formula>
    </cfRule>
  </conditionalFormatting>
  <pageMargins left="0.45" right="0.2" top="0.25" bottom="0.25" header="0" footer="0"/>
  <pageSetup scale="70" fitToHeight="2" orientation="portrait" r:id="rId1"/>
  <rowBreaks count="1" manualBreakCount="1">
    <brk id="63" min="1" max="35"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3">
    <pageSetUpPr fitToPage="1"/>
  </sheetPr>
  <dimension ref="A1:AT269"/>
  <sheetViews>
    <sheetView zoomScaleNormal="100" zoomScaleSheetLayoutView="100" workbookViewId="0"/>
  </sheetViews>
  <sheetFormatPr defaultRowHeight="12.75"/>
  <cols>
    <col min="1" max="1" width="2.42578125" style="42" customWidth="1"/>
    <col min="2" max="2" width="7.85546875" customWidth="1"/>
    <col min="3" max="3" width="3.140625" customWidth="1"/>
    <col min="4" max="4" width="10.7109375" customWidth="1"/>
    <col min="5" max="5" width="8.7109375" customWidth="1"/>
    <col min="6" max="6" width="21.42578125" customWidth="1"/>
    <col min="7" max="7" width="14.85546875" customWidth="1"/>
    <col min="8" max="8" width="6.85546875" customWidth="1"/>
    <col min="9" max="9" width="8.85546875" customWidth="1"/>
    <col min="10" max="10" width="4.140625" customWidth="1"/>
    <col min="11" max="11" width="13.42578125" customWidth="1"/>
    <col min="12" max="12" width="3.7109375" customWidth="1"/>
    <col min="13" max="13" width="14.140625" customWidth="1"/>
    <col min="14" max="14" width="2.5703125" customWidth="1"/>
    <col min="15" max="15" width="3.42578125" style="1291" customWidth="1"/>
    <col min="16" max="16" width="29.42578125" customWidth="1"/>
    <col min="17" max="17" width="3.5703125" customWidth="1"/>
    <col min="18" max="18" width="11.42578125" style="1271" customWidth="1"/>
    <col min="19" max="19" width="2.85546875" style="237" customWidth="1"/>
    <col min="20" max="20" width="2.7109375" style="237" customWidth="1"/>
    <col min="21" max="21" width="2.7109375" style="270" customWidth="1"/>
    <col min="22" max="22" width="6" customWidth="1"/>
    <col min="23" max="23" width="17.42578125" customWidth="1"/>
    <col min="24" max="24" width="31.140625" customWidth="1"/>
    <col min="25" max="25" width="6.28515625" customWidth="1"/>
    <col min="26" max="26" width="3.42578125" customWidth="1"/>
    <col min="27" max="27" width="14.5703125" customWidth="1"/>
    <col min="28" max="28" width="5.140625" customWidth="1"/>
    <col min="29" max="29" width="12.28515625" customWidth="1"/>
    <col min="30" max="30" width="4" customWidth="1"/>
    <col min="31" max="31" width="9.42578125" customWidth="1"/>
    <col min="32" max="32" width="9.140625" style="237"/>
    <col min="33" max="33" width="2.140625" customWidth="1"/>
    <col min="34" max="34" width="9.7109375" style="1974" customWidth="1"/>
    <col min="35" max="35" width="3.85546875" customWidth="1"/>
    <col min="36" max="46" width="10.7109375" style="2595" customWidth="1"/>
  </cols>
  <sheetData>
    <row r="1" spans="1:36" ht="17.25" customHeight="1" thickBot="1">
      <c r="A1" s="961"/>
      <c r="B1" s="959"/>
      <c r="C1" s="959"/>
      <c r="D1" s="959"/>
      <c r="E1" s="959"/>
      <c r="F1" s="959"/>
      <c r="G1" s="959"/>
      <c r="H1" s="959"/>
      <c r="I1" s="959"/>
      <c r="J1" s="959"/>
      <c r="K1" s="959"/>
      <c r="L1" s="960"/>
      <c r="M1" s="588"/>
      <c r="N1" s="588"/>
      <c r="O1" s="1289"/>
      <c r="P1" s="1286" t="b">
        <f>OR(O2&lt;&gt;"",AND(U33="X",OR(U52="X",U62="X")))</f>
        <v>0</v>
      </c>
      <c r="AJ1" s="2594" t="s">
        <v>2033</v>
      </c>
    </row>
    <row r="2" spans="1:36" ht="16.5" customHeight="1" thickBot="1">
      <c r="A2" s="961"/>
      <c r="B2" s="960"/>
      <c r="C2" s="960"/>
      <c r="D2" s="3748"/>
      <c r="E2" s="959"/>
      <c r="F2" s="959"/>
      <c r="G2" s="960"/>
      <c r="H2" s="959"/>
      <c r="I2" s="959"/>
      <c r="J2" s="959"/>
      <c r="K2" s="960"/>
      <c r="L2" s="1529" t="s">
        <v>1069</v>
      </c>
      <c r="M2" s="5857" t="str">
        <f>IF(O2&lt;&gt;"","Override 'Yes'.",IF(P1,"Yes","No"))</f>
        <v>No</v>
      </c>
      <c r="N2" s="588"/>
      <c r="O2" s="5905"/>
      <c r="P2" t="str">
        <f>IF(AND(O2="",NOT(P1)),"Check this box to use form anyway.",IF(O2&lt;&gt;"","Boxed checked to use form.",""))</f>
        <v>Check this box to use form anyway.</v>
      </c>
      <c r="Q2" s="2513"/>
    </row>
    <row r="3" spans="1:36" ht="9" customHeight="1">
      <c r="A3" s="962"/>
      <c r="B3" s="919"/>
      <c r="C3" s="588"/>
      <c r="D3" s="588"/>
      <c r="E3" s="588"/>
      <c r="F3" s="588"/>
      <c r="G3" s="880"/>
      <c r="H3" s="588"/>
      <c r="I3" s="588"/>
      <c r="J3" s="588"/>
      <c r="K3" s="588"/>
      <c r="L3" s="588"/>
      <c r="M3" s="588"/>
      <c r="N3" s="588"/>
      <c r="O3" s="2856"/>
    </row>
    <row r="4" spans="1:36" ht="13.5" thickBot="1">
      <c r="A4" s="78"/>
      <c r="B4" s="2124"/>
      <c r="C4" s="23"/>
      <c r="D4" s="97"/>
      <c r="E4" s="3263"/>
      <c r="F4" s="23"/>
      <c r="G4" s="23"/>
      <c r="H4" s="23"/>
      <c r="I4" s="23"/>
      <c r="J4" s="23"/>
      <c r="K4" s="3245"/>
      <c r="L4" s="8932" t="s">
        <v>85</v>
      </c>
      <c r="M4" s="8628"/>
      <c r="N4" s="588"/>
      <c r="O4" s="2857"/>
    </row>
    <row r="5" spans="1:36" ht="20.25" customHeight="1">
      <c r="A5" s="78"/>
      <c r="B5" s="8896" t="s">
        <v>291</v>
      </c>
      <c r="C5" s="8902">
        <v>6251</v>
      </c>
      <c r="D5" s="8903"/>
      <c r="E5" s="8946" t="s">
        <v>275</v>
      </c>
      <c r="F5" s="6788"/>
      <c r="G5" s="6788"/>
      <c r="H5" s="6788"/>
      <c r="I5" s="6788"/>
      <c r="J5" s="6788"/>
      <c r="K5" s="6789"/>
      <c r="L5" s="7033">
        <f>TaxYear</f>
        <v>2021</v>
      </c>
      <c r="M5" s="8933"/>
      <c r="N5" s="662"/>
      <c r="O5" s="2852"/>
      <c r="P5" s="24" t="s">
        <v>90</v>
      </c>
      <c r="Q5" s="268"/>
      <c r="R5" s="2831"/>
      <c r="S5" s="3451" t="s">
        <v>3585</v>
      </c>
      <c r="T5" s="1530"/>
      <c r="U5" s="1531"/>
      <c r="V5" s="1514"/>
      <c r="W5" s="1514"/>
      <c r="X5" s="1515"/>
      <c r="Y5" s="1515"/>
      <c r="Z5" s="1515"/>
      <c r="AA5" s="1515"/>
      <c r="AB5" s="1515"/>
      <c r="AC5" s="1515"/>
      <c r="AD5" s="1515"/>
      <c r="AE5" s="1515"/>
      <c r="AF5" s="1516"/>
    </row>
    <row r="6" spans="1:36" ht="14.25" customHeight="1">
      <c r="A6" s="78"/>
      <c r="B6" s="6371"/>
      <c r="C6" s="8904"/>
      <c r="D6" s="8905"/>
      <c r="E6" s="8947"/>
      <c r="F6" s="8948"/>
      <c r="G6" s="8948"/>
      <c r="H6" s="8948"/>
      <c r="I6" s="8948"/>
      <c r="J6" s="8948"/>
      <c r="K6" s="8949"/>
      <c r="L6" s="8934"/>
      <c r="M6" s="8935"/>
      <c r="N6" s="663"/>
      <c r="O6" s="2852"/>
      <c r="P6" s="24" t="s">
        <v>411</v>
      </c>
      <c r="Q6" s="56"/>
      <c r="R6" s="2832"/>
      <c r="S6" s="1534"/>
      <c r="T6" s="1532"/>
      <c r="U6" s="1535" t="s">
        <v>214</v>
      </c>
      <c r="V6" s="1250"/>
      <c r="W6" s="1535"/>
      <c r="X6" s="1536" t="s">
        <v>1629</v>
      </c>
      <c r="Y6" s="1250"/>
      <c r="Z6" s="1250"/>
      <c r="AA6" s="1250"/>
      <c r="AB6" s="1250"/>
      <c r="AC6" s="1250"/>
      <c r="AD6" s="1250"/>
      <c r="AE6" s="1250"/>
      <c r="AF6" s="1533"/>
    </row>
    <row r="7" spans="1:36" ht="12.75" customHeight="1">
      <c r="A7" s="78"/>
      <c r="B7" s="6861" t="s">
        <v>2122</v>
      </c>
      <c r="C7" s="8915"/>
      <c r="D7" s="8916"/>
      <c r="E7" s="8943" t="s">
        <v>2123</v>
      </c>
      <c r="F7" s="8944"/>
      <c r="G7" s="8944"/>
      <c r="H7" s="8944"/>
      <c r="I7" s="8944"/>
      <c r="J7" s="8944"/>
      <c r="K7" s="8945"/>
      <c r="L7" s="8938" t="s">
        <v>177</v>
      </c>
      <c r="M7" s="8939"/>
      <c r="N7" s="662"/>
      <c r="O7" s="2852"/>
      <c r="P7" s="567"/>
      <c r="Q7" s="56"/>
      <c r="R7" s="2833"/>
      <c r="S7" s="3727"/>
      <c r="T7" s="3728"/>
      <c r="U7" s="3729"/>
      <c r="V7" s="3730"/>
      <c r="W7" s="3731"/>
      <c r="X7" s="3732" t="s">
        <v>1067</v>
      </c>
      <c r="Y7" s="3730"/>
      <c r="Z7" s="3730"/>
      <c r="AA7" s="3730"/>
      <c r="AB7" s="3730"/>
      <c r="AC7" s="3730"/>
      <c r="AD7" s="3730"/>
      <c r="AE7" s="3730"/>
      <c r="AF7" s="3733"/>
    </row>
    <row r="8" spans="1:36" ht="12.75" customHeight="1" thickBot="1">
      <c r="A8" s="78"/>
      <c r="B8" s="8917"/>
      <c r="C8" s="8917"/>
      <c r="D8" s="8918"/>
      <c r="E8" s="8940" t="s">
        <v>3463</v>
      </c>
      <c r="F8" s="8941"/>
      <c r="G8" s="8941"/>
      <c r="H8" s="8941"/>
      <c r="I8" s="8941"/>
      <c r="J8" s="8941"/>
      <c r="K8" s="8942"/>
      <c r="L8" s="8930" t="s">
        <v>2963</v>
      </c>
      <c r="M8" s="8931"/>
      <c r="N8" s="663"/>
      <c r="O8" s="2852"/>
      <c r="P8" s="1021" t="s">
        <v>566</v>
      </c>
      <c r="Q8" s="268"/>
      <c r="R8" s="2833"/>
      <c r="S8" s="1517"/>
      <c r="T8" s="1518"/>
      <c r="U8" s="3734" t="s">
        <v>294</v>
      </c>
      <c r="V8" s="3735" t="s">
        <v>2973</v>
      </c>
      <c r="W8" s="1518"/>
      <c r="X8" s="1518"/>
      <c r="Y8" s="1518"/>
      <c r="Z8" s="1518"/>
      <c r="AA8" s="1518"/>
      <c r="AB8" s="1518"/>
      <c r="AC8" s="1518"/>
      <c r="AD8" s="1518"/>
      <c r="AE8" s="1250"/>
      <c r="AF8" s="1533"/>
    </row>
    <row r="9" spans="1:36" ht="11.25" customHeight="1" thickBot="1">
      <c r="A9" s="78"/>
      <c r="B9" s="21" t="s">
        <v>3951</v>
      </c>
      <c r="C9" s="161"/>
      <c r="D9" s="161"/>
      <c r="E9" s="134"/>
      <c r="F9" s="135"/>
      <c r="G9" s="144"/>
      <c r="H9" s="135"/>
      <c r="I9" s="135"/>
      <c r="J9" s="135"/>
      <c r="K9" s="8954" t="s">
        <v>89</v>
      </c>
      <c r="L9" s="8955"/>
      <c r="M9" s="8955"/>
      <c r="N9" s="662"/>
      <c r="O9" s="2852"/>
      <c r="P9" s="1021" t="s">
        <v>565</v>
      </c>
      <c r="Q9" s="268"/>
      <c r="R9" s="2834"/>
      <c r="S9" s="1517"/>
      <c r="T9" s="1518"/>
      <c r="U9" s="1518"/>
      <c r="V9" s="1519"/>
      <c r="W9" s="1518"/>
      <c r="X9" s="1518"/>
      <c r="Y9" s="1518"/>
      <c r="Z9" s="1518"/>
      <c r="AA9" s="1518"/>
      <c r="AB9" s="1518"/>
      <c r="AC9" s="1518"/>
      <c r="AD9" s="1518"/>
      <c r="AE9" s="1520"/>
      <c r="AF9" s="1533"/>
    </row>
    <row r="10" spans="1:36" ht="14.25" customHeight="1" thickBot="1">
      <c r="A10" s="78"/>
      <c r="B10" s="8906" t="str">
        <f>Names</f>
        <v/>
      </c>
      <c r="C10" s="8907"/>
      <c r="D10" s="8907"/>
      <c r="E10" s="8907"/>
      <c r="F10" s="8907"/>
      <c r="G10" s="8907"/>
      <c r="H10" s="8907"/>
      <c r="I10" s="8907"/>
      <c r="J10" s="8908"/>
      <c r="K10" s="7120">
        <f>IF(NoSSN,"",SS_Yours)</f>
        <v>1010001</v>
      </c>
      <c r="L10" s="8950"/>
      <c r="M10" s="8950"/>
      <c r="N10" s="663"/>
      <c r="O10" s="2852"/>
      <c r="P10" s="411" t="str">
        <f>Deduction</f>
        <v>Filing status not indicated.</v>
      </c>
      <c r="Q10" s="268"/>
      <c r="R10" s="3250"/>
      <c r="S10" s="1517"/>
      <c r="T10" s="1518"/>
      <c r="U10" s="1539" t="str">
        <f>IF(SchA_Filed,"","X")</f>
        <v>X</v>
      </c>
      <c r="V10" s="2716" t="s">
        <v>414</v>
      </c>
      <c r="W10" s="2716" t="s">
        <v>4224</v>
      </c>
      <c r="X10" s="1518"/>
      <c r="Y10" s="1518"/>
      <c r="Z10" s="1518"/>
      <c r="AA10" s="1518"/>
      <c r="AB10" s="1518"/>
      <c r="AC10" s="1528" t="str">
        <f>IF(U10="X","Go to Line 4.","")</f>
        <v>Go to Line 4.</v>
      </c>
      <c r="AD10" s="1518"/>
      <c r="AE10" s="1520"/>
      <c r="AF10" s="1533"/>
    </row>
    <row r="11" spans="1:36" ht="15.75">
      <c r="A11" s="78"/>
      <c r="B11" s="694" t="s">
        <v>324</v>
      </c>
      <c r="C11" s="8936" t="s">
        <v>3557</v>
      </c>
      <c r="D11" s="8936"/>
      <c r="E11" s="8937"/>
      <c r="F11" s="8937"/>
      <c r="G11" s="8937"/>
      <c r="H11" s="8937"/>
      <c r="I11" s="8937"/>
      <c r="J11" s="8937"/>
      <c r="K11" s="8937"/>
      <c r="L11" s="8937"/>
      <c r="M11" s="8937"/>
      <c r="N11" s="664"/>
      <c r="O11" s="2852"/>
      <c r="P11" s="681"/>
      <c r="Q11" s="268"/>
      <c r="R11" s="1286"/>
      <c r="S11" s="1517"/>
      <c r="T11" s="1518"/>
      <c r="U11" s="1518"/>
      <c r="V11" s="1519"/>
      <c r="W11" s="2716" t="s">
        <v>4225</v>
      </c>
      <c r="X11" s="1518"/>
      <c r="Y11" s="1518"/>
      <c r="Z11" s="1518"/>
      <c r="AA11" s="1518"/>
      <c r="AB11" s="1518"/>
      <c r="AC11" s="1518"/>
      <c r="AD11" s="1518"/>
      <c r="AE11" s="1250"/>
      <c r="AF11" s="1533"/>
    </row>
    <row r="12" spans="1:36" ht="12" customHeight="1" thickBot="1">
      <c r="A12" s="78"/>
      <c r="B12" s="246">
        <v>1</v>
      </c>
      <c r="C12" s="3544" t="s">
        <v>4198</v>
      </c>
      <c r="D12" s="273"/>
      <c r="E12" s="230"/>
      <c r="F12" s="230"/>
      <c r="G12" s="231"/>
      <c r="H12" s="231"/>
      <c r="I12" s="231"/>
      <c r="J12" s="231"/>
      <c r="K12" s="155"/>
      <c r="L12" s="225"/>
      <c r="M12" s="514"/>
      <c r="N12" s="665"/>
      <c r="O12" s="2858"/>
      <c r="P12" s="582"/>
      <c r="Q12" s="434"/>
      <c r="R12" s="1177"/>
      <c r="S12" s="1517"/>
      <c r="T12" s="1518"/>
      <c r="U12" s="1518"/>
      <c r="V12" s="1519"/>
      <c r="W12" s="2716"/>
      <c r="X12" s="1518"/>
      <c r="Y12" s="1518"/>
      <c r="Z12" s="1518"/>
      <c r="AA12" s="1518"/>
      <c r="AB12" s="1518"/>
      <c r="AC12" s="1518"/>
      <c r="AD12" s="1518"/>
      <c r="AE12" s="1250"/>
      <c r="AF12" s="1533"/>
    </row>
    <row r="13" spans="1:36" ht="15" customHeight="1" thickBot="1">
      <c r="A13" s="78"/>
      <c r="B13" s="154"/>
      <c r="C13" s="3544" t="s">
        <v>4199</v>
      </c>
      <c r="D13" s="273"/>
      <c r="E13" s="230"/>
      <c r="F13" s="230"/>
      <c r="G13" s="231"/>
      <c r="H13" s="231"/>
      <c r="I13" s="231"/>
      <c r="J13" s="231"/>
      <c r="K13" s="155"/>
      <c r="L13" s="3244"/>
      <c r="M13" s="1859">
        <f>IF(QBID_1040="",0,QBID_1040)</f>
        <v>0</v>
      </c>
      <c r="N13" s="665"/>
      <c r="O13" s="2859"/>
      <c r="P13" s="681"/>
      <c r="Q13" s="434"/>
      <c r="R13" s="1177"/>
      <c r="S13" s="1517"/>
      <c r="T13" s="1518"/>
      <c r="U13" s="1539" t="str">
        <f>IF(SchA_Filed,"X","")</f>
        <v/>
      </c>
      <c r="V13" s="2716" t="s">
        <v>416</v>
      </c>
      <c r="W13" s="2716" t="s">
        <v>4226</v>
      </c>
      <c r="X13" s="1518"/>
      <c r="Y13" s="1518"/>
      <c r="Z13" s="1518"/>
      <c r="AA13" s="3737" t="s">
        <v>2515</v>
      </c>
      <c r="AB13" s="3452" t="s">
        <v>294</v>
      </c>
      <c r="AC13" s="1500" t="str">
        <f>IF(U13="X",Taxable_Inc,"")</f>
        <v/>
      </c>
      <c r="AD13" s="1518"/>
      <c r="AE13" s="1250"/>
      <c r="AF13" s="1533"/>
    </row>
    <row r="14" spans="1:36" ht="15" customHeight="1">
      <c r="A14" s="78"/>
      <c r="B14" s="154"/>
      <c r="C14" s="4260" t="s">
        <v>4195</v>
      </c>
      <c r="D14" s="273"/>
      <c r="E14" s="230"/>
      <c r="F14" s="230"/>
      <c r="G14" s="231"/>
      <c r="H14" s="231"/>
      <c r="I14" s="231"/>
      <c r="J14" s="231"/>
      <c r="K14" s="1243" t="s">
        <v>571</v>
      </c>
      <c r="L14" s="333">
        <f>B12</f>
        <v>1</v>
      </c>
      <c r="M14" s="1373" t="str">
        <f>IF(P14&lt;&gt;"",ROUND(P14,0),IF(NOT(F6251_Needed),"",IF(Taxable_Inc=0,SUM(Adj_Gross_Inc,-Deductions,-M13),Taxable_Inc)))</f>
        <v/>
      </c>
      <c r="N14" s="665"/>
      <c r="O14" s="2859"/>
      <c r="P14" s="3243"/>
      <c r="Q14" s="434"/>
      <c r="R14" s="3248"/>
      <c r="S14" s="1517"/>
      <c r="T14" s="1518"/>
      <c r="U14" s="1518"/>
      <c r="V14" s="1519"/>
      <c r="W14" s="1518"/>
      <c r="X14" s="1518"/>
      <c r="Y14" s="1518"/>
      <c r="Z14" s="1518"/>
      <c r="AA14" s="1518"/>
      <c r="AB14" s="1518"/>
      <c r="AC14" s="1518"/>
      <c r="AD14" s="1518"/>
      <c r="AE14" s="1518"/>
      <c r="AF14" s="1521"/>
    </row>
    <row r="15" spans="1:36" ht="15" customHeight="1">
      <c r="A15" s="78"/>
      <c r="B15" s="4257" t="s">
        <v>3583</v>
      </c>
      <c r="C15" s="392" t="s">
        <v>4196</v>
      </c>
      <c r="D15" s="163"/>
      <c r="E15" s="230"/>
      <c r="F15" s="230"/>
      <c r="G15" s="231"/>
      <c r="H15" s="231"/>
      <c r="I15" s="231"/>
      <c r="J15" s="231"/>
      <c r="K15" s="1243"/>
      <c r="L15" s="335"/>
      <c r="M15" s="559"/>
      <c r="N15" s="666"/>
      <c r="O15" s="2859"/>
      <c r="P15" s="558"/>
      <c r="Q15" s="434"/>
      <c r="R15" s="1177"/>
      <c r="S15" s="1538"/>
      <c r="T15" s="1518"/>
      <c r="U15" s="2717" t="s">
        <v>0</v>
      </c>
      <c r="V15" s="2716" t="s">
        <v>2647</v>
      </c>
      <c r="W15" s="1518"/>
      <c r="X15" s="1518"/>
      <c r="Y15" s="1518"/>
      <c r="Z15" s="1518"/>
      <c r="AA15" s="3737" t="s">
        <v>2422</v>
      </c>
      <c r="AB15" s="3452" t="s">
        <v>0</v>
      </c>
      <c r="AC15" s="1500" t="str">
        <f>IF(U13="X",TaxesYouPaid,"")</f>
        <v/>
      </c>
      <c r="AD15" s="1518"/>
      <c r="AE15" s="1518"/>
      <c r="AF15" s="1521"/>
    </row>
    <row r="16" spans="1:36" ht="15" customHeight="1">
      <c r="A16" s="78"/>
      <c r="B16" s="154"/>
      <c r="C16" s="392" t="s">
        <v>4200</v>
      </c>
      <c r="D16" s="178"/>
      <c r="E16" s="230"/>
      <c r="F16" s="230"/>
      <c r="G16" s="231"/>
      <c r="H16" s="231"/>
      <c r="I16" s="231"/>
      <c r="J16" s="231"/>
      <c r="K16" s="1243" t="s">
        <v>919</v>
      </c>
      <c r="L16" s="333" t="s">
        <v>341</v>
      </c>
      <c r="M16" s="1373" t="str">
        <f>IF(NOT(P1),"",IF(P16&lt;&gt;"",ROUND(P16,0),IF(ItemizedDeduct,TaxesYouPaid,Deductions)))</f>
        <v/>
      </c>
      <c r="N16" s="666"/>
      <c r="O16" s="2859"/>
      <c r="P16" s="444"/>
      <c r="Q16" s="434"/>
      <c r="R16" s="1177"/>
      <c r="S16" s="1517"/>
      <c r="T16" s="1518"/>
      <c r="U16" s="1518"/>
      <c r="V16" s="1519"/>
      <c r="W16" s="1518"/>
      <c r="X16" s="1518"/>
      <c r="Y16" s="1518"/>
      <c r="Z16" s="1518"/>
      <c r="AA16" s="1518"/>
      <c r="AB16" s="1518"/>
      <c r="AC16" s="1518"/>
      <c r="AD16" s="1518"/>
      <c r="AE16" s="1518"/>
      <c r="AF16" s="1521"/>
    </row>
    <row r="17" spans="1:34" ht="15" customHeight="1">
      <c r="A17" s="78"/>
      <c r="B17" s="154" t="s">
        <v>47</v>
      </c>
      <c r="C17" s="392" t="s">
        <v>4197</v>
      </c>
      <c r="D17" s="178"/>
      <c r="E17" s="230"/>
      <c r="F17" s="230"/>
      <c r="G17" s="2526"/>
      <c r="H17" s="231"/>
      <c r="I17" s="602"/>
      <c r="J17" s="231"/>
      <c r="K17" s="1349" t="str">
        <f>IF(AND($M$17&lt;&gt;"",$M$17&gt;0),"(Line 2b must be a negative amount.)",".   .   .   .   .   .   .   .   .   .   .   .   . ")</f>
        <v xml:space="preserve">.   .   .   .   .   .   .   .   .   .   .   .   . </v>
      </c>
      <c r="L17" s="333" t="str">
        <f t="shared" ref="L17:L25" si="0">"2"&amp;B17</f>
        <v>2b</v>
      </c>
      <c r="M17" s="1373" t="str">
        <f>IF(NOT(P1),"",IF(P17&lt;&gt;"",ROUND(P17,0),IF(Sch1_Line1="",0,SUM(-Sch1_Line1,-AA19))))</f>
        <v/>
      </c>
      <c r="N17" s="666"/>
      <c r="O17" s="2859"/>
      <c r="P17" s="444"/>
      <c r="Q17" s="862"/>
      <c r="R17" s="1177"/>
      <c r="S17" s="1517"/>
      <c r="T17" s="1518"/>
      <c r="U17" s="2717" t="s">
        <v>1</v>
      </c>
      <c r="V17" s="2716" t="s">
        <v>2103</v>
      </c>
      <c r="W17" s="1518"/>
      <c r="X17" s="1518"/>
      <c r="Y17" s="1518"/>
      <c r="Z17" s="1518"/>
      <c r="AA17" s="3737" t="s">
        <v>2974</v>
      </c>
      <c r="AB17" s="3452" t="s">
        <v>1</v>
      </c>
      <c r="AC17" s="1500">
        <f>IF(U10="X",SUM(Adj_Gross_Inc,-M13),IF(U13="X",SUM(AC13,AC15),""))</f>
        <v>0</v>
      </c>
      <c r="AD17" s="1518"/>
      <c r="AE17" s="1518"/>
      <c r="AF17" s="1521"/>
    </row>
    <row r="18" spans="1:34" ht="15" customHeight="1">
      <c r="A18" s="78"/>
      <c r="B18" s="154" t="s">
        <v>48</v>
      </c>
      <c r="C18" s="392" t="s">
        <v>186</v>
      </c>
      <c r="D18" s="178"/>
      <c r="E18" s="230"/>
      <c r="F18" s="230"/>
      <c r="G18" s="231"/>
      <c r="H18" s="231"/>
      <c r="I18" s="231"/>
      <c r="J18" s="231"/>
      <c r="K18" s="1243" t="s">
        <v>571</v>
      </c>
      <c r="L18" s="333" t="str">
        <f t="shared" si="0"/>
        <v>2c</v>
      </c>
      <c r="M18" s="1374"/>
      <c r="N18" s="666"/>
      <c r="O18" s="2859"/>
      <c r="P18" s="3253">
        <v>745200</v>
      </c>
      <c r="Q18" s="434"/>
      <c r="R18" s="1177"/>
      <c r="S18" s="1517"/>
      <c r="T18" s="1518"/>
      <c r="U18" s="1518"/>
      <c r="V18" s="1519"/>
      <c r="W18" s="1518"/>
      <c r="X18" s="1518"/>
      <c r="Y18" s="1518"/>
      <c r="Z18" s="1518"/>
      <c r="AA18" s="1518"/>
      <c r="AB18" s="1518"/>
      <c r="AC18" s="1518"/>
      <c r="AD18" s="1518"/>
      <c r="AE18" s="1518"/>
      <c r="AF18" s="1521"/>
    </row>
    <row r="19" spans="1:34" ht="15" customHeight="1">
      <c r="A19" s="78"/>
      <c r="B19" s="154" t="s">
        <v>92</v>
      </c>
      <c r="C19" s="392" t="s">
        <v>187</v>
      </c>
      <c r="D19" s="178"/>
      <c r="E19" s="230"/>
      <c r="F19" s="230"/>
      <c r="G19" s="231"/>
      <c r="H19" s="231"/>
      <c r="I19" s="231"/>
      <c r="J19" s="231"/>
      <c r="K19" s="1243" t="s">
        <v>453</v>
      </c>
      <c r="L19" s="333" t="str">
        <f t="shared" si="0"/>
        <v>2d</v>
      </c>
      <c r="M19" s="1374"/>
      <c r="N19" s="666"/>
      <c r="O19" s="2859"/>
      <c r="P19" s="3253">
        <v>957100</v>
      </c>
      <c r="Q19" s="434"/>
      <c r="R19" s="1177"/>
      <c r="S19" s="1517"/>
      <c r="T19" s="1518"/>
      <c r="U19" s="2717" t="s">
        <v>399</v>
      </c>
      <c r="V19" s="2716" t="s">
        <v>3558</v>
      </c>
      <c r="W19" s="1518"/>
      <c r="X19" s="1518"/>
      <c r="Y19" s="1518"/>
      <c r="Z19" s="3738" t="s">
        <v>743</v>
      </c>
      <c r="AA19" s="1420"/>
      <c r="AB19" s="3452" t="s">
        <v>399</v>
      </c>
      <c r="AC19" s="1500">
        <f>SUM(Sch1_Line1,AA19)</f>
        <v>0</v>
      </c>
      <c r="AD19" s="1518"/>
      <c r="AE19" s="1518"/>
      <c r="AF19" s="1521"/>
    </row>
    <row r="20" spans="1:34" ht="15" customHeight="1">
      <c r="A20" s="78"/>
      <c r="B20" s="154" t="s">
        <v>964</v>
      </c>
      <c r="C20" s="392" t="s">
        <v>4201</v>
      </c>
      <c r="D20" s="178"/>
      <c r="E20" s="230"/>
      <c r="F20" s="230"/>
      <c r="G20" s="569"/>
      <c r="H20" s="1078"/>
      <c r="I20" s="19"/>
      <c r="J20" s="4256" t="s">
        <v>3542</v>
      </c>
      <c r="K20" s="4256"/>
      <c r="L20" s="333" t="str">
        <f t="shared" si="0"/>
        <v>2e</v>
      </c>
      <c r="M20" s="1374"/>
      <c r="N20" s="666"/>
      <c r="O20" s="2859"/>
      <c r="P20" s="3253">
        <f>I44</f>
        <v>57300</v>
      </c>
      <c r="Q20" s="434"/>
      <c r="R20" s="1177"/>
      <c r="S20" s="1517"/>
      <c r="T20" s="1518"/>
      <c r="U20" s="1518"/>
      <c r="V20" s="1519"/>
      <c r="W20" s="1518"/>
      <c r="X20" s="1518"/>
      <c r="Y20" s="1518"/>
      <c r="Z20" s="1518"/>
      <c r="AA20" s="1253" t="s">
        <v>3586</v>
      </c>
      <c r="AB20" s="1518"/>
      <c r="AC20" s="1518"/>
      <c r="AD20" s="1518"/>
      <c r="AE20" s="1518"/>
      <c r="AF20" s="1521"/>
    </row>
    <row r="21" spans="1:34" ht="15" customHeight="1">
      <c r="A21" s="78"/>
      <c r="B21" s="154" t="s">
        <v>965</v>
      </c>
      <c r="C21" s="392" t="s">
        <v>138</v>
      </c>
      <c r="D21" s="178"/>
      <c r="E21" s="230"/>
      <c r="F21" s="230"/>
      <c r="G21" s="1351"/>
      <c r="H21" s="231"/>
      <c r="I21" s="231"/>
      <c r="J21" s="231"/>
      <c r="K21" s="1349" t="str">
        <f>IF(AND($M$21&lt;&gt;"",$M$21&gt;0),"(Enter Line 2f as a negative amount.)",".   .   .   .   .   .   .   .   .   .   .   .   .   .   .   .   .   .   .   .   .   . ")</f>
        <v xml:space="preserve">.   .   .   .   .   .   .   .   .   .   .   .   .   .   .   .   .   .   .   .   .   . </v>
      </c>
      <c r="L21" s="333" t="str">
        <f t="shared" si="0"/>
        <v>2f</v>
      </c>
      <c r="M21" s="1374"/>
      <c r="N21" s="666"/>
      <c r="O21" s="2859"/>
      <c r="P21" s="3252">
        <v>0.25</v>
      </c>
      <c r="Q21" s="434"/>
      <c r="R21" s="1177"/>
      <c r="S21" s="1517"/>
      <c r="T21" s="1518"/>
      <c r="U21" s="1518"/>
      <c r="V21" s="1519"/>
      <c r="W21" s="1518"/>
      <c r="X21" s="1518"/>
      <c r="Y21" s="1518"/>
      <c r="Z21" s="1518"/>
      <c r="AA21" s="4292" t="s">
        <v>3587</v>
      </c>
      <c r="AB21" s="1518"/>
      <c r="AC21" s="1518"/>
      <c r="AD21" s="1518"/>
      <c r="AE21" s="1518"/>
      <c r="AF21" s="1521"/>
    </row>
    <row r="22" spans="1:34" ht="15" customHeight="1">
      <c r="A22" s="78"/>
      <c r="B22" s="154" t="s">
        <v>2133</v>
      </c>
      <c r="C22" s="392" t="s">
        <v>137</v>
      </c>
      <c r="D22" s="178"/>
      <c r="E22" s="230"/>
      <c r="F22" s="230"/>
      <c r="G22" s="231"/>
      <c r="H22" s="231"/>
      <c r="I22" s="231"/>
      <c r="J22" s="231"/>
      <c r="K22" s="1243" t="s">
        <v>572</v>
      </c>
      <c r="L22" s="333" t="str">
        <f t="shared" si="0"/>
        <v>2g</v>
      </c>
      <c r="M22" s="1374" t="str">
        <f>IF(NOT(P1),"",SUM('1099-INT'!I74,'1099-DIV'!H105))</f>
        <v/>
      </c>
      <c r="N22" s="666"/>
      <c r="O22" s="2859"/>
      <c r="P22" s="3254">
        <f>SUM(M14,M16,M17,SUM(M18:M36))</f>
        <v>0</v>
      </c>
      <c r="Q22" s="434"/>
      <c r="R22" s="1177"/>
      <c r="S22" s="1517"/>
      <c r="T22" s="1518"/>
      <c r="U22" s="2717" t="s">
        <v>31</v>
      </c>
      <c r="V22" s="2716" t="s">
        <v>2648</v>
      </c>
      <c r="W22" s="1518"/>
      <c r="X22" s="1518"/>
      <c r="Y22" s="1518"/>
      <c r="Z22" s="1518"/>
      <c r="AA22" s="3737" t="s">
        <v>2975</v>
      </c>
      <c r="AB22" s="3452" t="s">
        <v>31</v>
      </c>
      <c r="AC22" s="1500">
        <f>SUM(AC17,-AC19)</f>
        <v>0</v>
      </c>
      <c r="AD22" s="1518"/>
      <c r="AE22" s="1518"/>
      <c r="AF22" s="1521"/>
    </row>
    <row r="23" spans="1:34" ht="15" customHeight="1">
      <c r="A23" s="78"/>
      <c r="B23" s="154" t="s">
        <v>120</v>
      </c>
      <c r="C23" s="392" t="s">
        <v>2032</v>
      </c>
      <c r="D23" s="178"/>
      <c r="E23" s="230"/>
      <c r="F23" s="230"/>
      <c r="G23" s="231"/>
      <c r="H23" s="231"/>
      <c r="I23" s="231"/>
      <c r="J23" s="231"/>
      <c r="K23" s="1243" t="s">
        <v>2126</v>
      </c>
      <c r="L23" s="333" t="str">
        <f t="shared" si="0"/>
        <v>2h</v>
      </c>
      <c r="M23" s="1374"/>
      <c r="N23" s="666"/>
      <c r="O23" s="2859"/>
      <c r="P23" s="3251" t="s">
        <v>801</v>
      </c>
      <c r="Q23" s="434"/>
      <c r="R23" s="1177"/>
      <c r="S23" s="1517"/>
      <c r="T23" s="1518"/>
      <c r="U23" s="1518"/>
      <c r="V23" s="1519"/>
      <c r="W23" s="1518"/>
      <c r="X23" s="1518"/>
      <c r="Y23" s="1518"/>
      <c r="Z23" s="1518"/>
      <c r="AA23" s="1518"/>
      <c r="AB23" s="1518"/>
      <c r="AC23" s="1518"/>
      <c r="AD23" s="1518"/>
      <c r="AE23" s="1518"/>
      <c r="AF23" s="1521"/>
    </row>
    <row r="24" spans="1:34" ht="15" customHeight="1">
      <c r="A24" s="78"/>
      <c r="B24" s="154" t="s">
        <v>2142</v>
      </c>
      <c r="C24" s="392" t="s">
        <v>106</v>
      </c>
      <c r="D24" s="178"/>
      <c r="E24" s="230"/>
      <c r="F24" s="230"/>
      <c r="G24" s="231"/>
      <c r="H24" s="231"/>
      <c r="I24" s="231"/>
      <c r="J24" s="231"/>
      <c r="K24" s="1243" t="s">
        <v>629</v>
      </c>
      <c r="L24" s="333" t="str">
        <f t="shared" si="0"/>
        <v>2i</v>
      </c>
      <c r="M24" s="1374"/>
      <c r="N24" s="666"/>
      <c r="O24" s="2859"/>
      <c r="P24" s="4293" t="s">
        <v>3588</v>
      </c>
      <c r="Q24" s="434"/>
      <c r="R24" s="1177"/>
      <c r="S24" s="1517"/>
      <c r="T24" s="1518"/>
      <c r="U24" s="2717" t="s">
        <v>67</v>
      </c>
      <c r="V24" s="2716" t="s">
        <v>1065</v>
      </c>
      <c r="W24" s="1518"/>
      <c r="X24" s="1518"/>
      <c r="Y24" s="1518"/>
      <c r="Z24" s="1518"/>
      <c r="AA24" s="1518"/>
      <c r="AB24" s="1518"/>
      <c r="AC24" s="1518"/>
      <c r="AD24" s="1518"/>
      <c r="AE24" s="1518"/>
      <c r="AF24" s="1521"/>
    </row>
    <row r="25" spans="1:34" ht="15" customHeight="1">
      <c r="A25" s="78"/>
      <c r="B25" s="154" t="s">
        <v>2134</v>
      </c>
      <c r="C25" s="392" t="s">
        <v>182</v>
      </c>
      <c r="D25" s="178"/>
      <c r="E25" s="230"/>
      <c r="F25" s="230"/>
      <c r="G25" s="231"/>
      <c r="H25" s="231"/>
      <c r="I25" s="231"/>
      <c r="J25" s="231"/>
      <c r="K25" s="1243" t="s">
        <v>560</v>
      </c>
      <c r="L25" s="333" t="str">
        <f t="shared" si="0"/>
        <v>2j</v>
      </c>
      <c r="M25" s="1374"/>
      <c r="N25" s="666"/>
      <c r="O25" s="2859"/>
      <c r="P25" s="4293" t="s">
        <v>795</v>
      </c>
      <c r="Q25" s="434"/>
      <c r="R25" s="1177"/>
      <c r="S25" s="1517"/>
      <c r="T25" s="1518"/>
      <c r="U25" s="1519" t="s">
        <v>140</v>
      </c>
      <c r="V25" s="2716" t="str">
        <f>"Single or head of household -- "&amp;TEXT(I42,"$0,000")</f>
        <v>Single or head of household -- $73,600</v>
      </c>
      <c r="W25" s="1518"/>
      <c r="X25" s="1518"/>
      <c r="Y25" s="1518"/>
      <c r="Z25" s="1518"/>
      <c r="AA25" s="3737" t="s">
        <v>1978</v>
      </c>
      <c r="AB25" s="3452" t="s">
        <v>67</v>
      </c>
      <c r="AC25" s="1500" t="str">
        <f>IF(OR(File_Single&lt;&gt;"",File_Head&lt;&gt;""),I42,IF(OR(File_Marr_Joint&lt;&gt;"",File_Qual_Widow&lt;&gt;""),I43,IF(File_Marr_Sep&lt;&gt;"",I44,"Filing status?")))</f>
        <v>Filing status?</v>
      </c>
      <c r="AD25" s="1518"/>
      <c r="AE25" s="1518"/>
      <c r="AF25" s="1521"/>
    </row>
    <row r="26" spans="1:34" ht="15" customHeight="1">
      <c r="A26" s="78"/>
      <c r="B26" s="154" t="s">
        <v>2449</v>
      </c>
      <c r="C26" s="392" t="s">
        <v>213</v>
      </c>
      <c r="D26" s="178"/>
      <c r="E26" s="230"/>
      <c r="F26" s="230"/>
      <c r="G26" s="231"/>
      <c r="H26" s="231"/>
      <c r="I26" s="231"/>
      <c r="J26" s="231"/>
      <c r="K26" s="1243" t="s">
        <v>698</v>
      </c>
      <c r="L26" s="333" t="str">
        <f t="shared" ref="L26:L35" si="1">"2"&amp;B26</f>
        <v>2k</v>
      </c>
      <c r="M26" s="1374"/>
      <c r="N26" s="666"/>
      <c r="O26" s="2859"/>
      <c r="P26" s="4293" t="s">
        <v>796</v>
      </c>
      <c r="Q26" s="434"/>
      <c r="R26" s="1177"/>
      <c r="S26" s="1517"/>
      <c r="T26" s="1518"/>
      <c r="U26" s="1519" t="s">
        <v>140</v>
      </c>
      <c r="V26" s="2716" t="str">
        <f>"Married filing jointly or qualifying widow(er) -- "&amp;TEXT(I43,"$0,000")</f>
        <v>Married filing jointly or qualifying widow(er) -- $114,600</v>
      </c>
      <c r="W26" s="1518"/>
      <c r="X26" s="1518"/>
      <c r="Y26" s="1518"/>
      <c r="Z26" s="1518"/>
      <c r="AA26" s="1527"/>
      <c r="AB26" s="1518"/>
      <c r="AC26" s="1518"/>
      <c r="AD26" s="1518"/>
      <c r="AE26" s="1518"/>
      <c r="AF26" s="1521"/>
      <c r="AH26" s="1344"/>
    </row>
    <row r="27" spans="1:34" ht="15" customHeight="1">
      <c r="A27" s="78"/>
      <c r="B27" s="154" t="s">
        <v>340</v>
      </c>
      <c r="C27" s="392" t="s">
        <v>3582</v>
      </c>
      <c r="D27" s="178"/>
      <c r="E27" s="230"/>
      <c r="F27" s="230"/>
      <c r="G27" s="231"/>
      <c r="H27" s="231"/>
      <c r="I27" s="231"/>
      <c r="J27" s="231"/>
      <c r="K27" s="1243"/>
      <c r="L27" s="333" t="str">
        <f t="shared" si="1"/>
        <v>2l</v>
      </c>
      <c r="M27" s="1374"/>
      <c r="N27" s="666"/>
      <c r="O27" s="2859"/>
      <c r="P27" s="4293" t="s">
        <v>2450</v>
      </c>
      <c r="Q27" s="434"/>
      <c r="R27" s="1177"/>
      <c r="S27" s="1517"/>
      <c r="T27" s="1518"/>
      <c r="U27" s="1519" t="s">
        <v>140</v>
      </c>
      <c r="V27" s="2716" t="str">
        <f>"Married filing separately -- "&amp;TEXT(I44,"$0,000")</f>
        <v>Married filing separately -- $57,300</v>
      </c>
      <c r="W27" s="1518"/>
      <c r="X27" s="1518"/>
      <c r="Y27" s="1518"/>
      <c r="Z27" s="1518"/>
      <c r="AA27" s="1527"/>
      <c r="AB27" s="1518"/>
      <c r="AC27" s="1518"/>
      <c r="AD27" s="1518"/>
      <c r="AE27" s="1518"/>
      <c r="AF27" s="1521"/>
    </row>
    <row r="28" spans="1:34" ht="15" customHeight="1">
      <c r="A28" s="78"/>
      <c r="B28" s="154" t="s">
        <v>2448</v>
      </c>
      <c r="C28" s="392" t="s">
        <v>2964</v>
      </c>
      <c r="D28" s="178"/>
      <c r="E28" s="230"/>
      <c r="F28" s="230"/>
      <c r="G28" s="231"/>
      <c r="H28" s="231"/>
      <c r="I28" s="231"/>
      <c r="J28" s="231"/>
      <c r="K28" s="1243" t="s">
        <v>698</v>
      </c>
      <c r="L28" s="333" t="str">
        <f t="shared" si="1"/>
        <v>2m</v>
      </c>
      <c r="M28" s="1374"/>
      <c r="N28" s="666"/>
      <c r="O28" s="2859"/>
      <c r="P28" s="4293" t="str">
        <f>TEXT(P18,"$0,000")&amp;", you must include an"</f>
        <v>$745,200, you must include an</v>
      </c>
      <c r="Q28" s="434"/>
      <c r="R28" s="5846"/>
      <c r="S28" s="1517"/>
      <c r="T28" s="1518"/>
      <c r="U28" s="1518"/>
      <c r="V28" s="1519"/>
      <c r="W28" s="1518"/>
      <c r="X28" s="1518"/>
      <c r="Y28" s="1518"/>
      <c r="Z28" s="1518"/>
      <c r="AA28" s="1518"/>
      <c r="AB28" s="1518"/>
      <c r="AC28" s="1518"/>
      <c r="AD28" s="1518"/>
      <c r="AE28" s="1518"/>
      <c r="AF28" s="1521"/>
    </row>
    <row r="29" spans="1:34" ht="15" customHeight="1">
      <c r="A29" s="78"/>
      <c r="B29" s="154" t="s">
        <v>2447</v>
      </c>
      <c r="C29" s="392" t="s">
        <v>426</v>
      </c>
      <c r="D29" s="178"/>
      <c r="E29" s="230"/>
      <c r="F29" s="230"/>
      <c r="G29" s="231"/>
      <c r="H29" s="231"/>
      <c r="I29" s="231"/>
      <c r="J29" s="231"/>
      <c r="K29" s="1243" t="s">
        <v>572</v>
      </c>
      <c r="L29" s="333" t="str">
        <f t="shared" si="1"/>
        <v>2n</v>
      </c>
      <c r="M29" s="1374"/>
      <c r="N29" s="666"/>
      <c r="O29" s="2859"/>
      <c r="P29" s="4293" t="s">
        <v>2451</v>
      </c>
      <c r="Q29" s="434"/>
      <c r="R29" s="1177">
        <v>20000</v>
      </c>
      <c r="S29" s="1517"/>
      <c r="T29" s="1518"/>
      <c r="U29" s="2717" t="s">
        <v>68</v>
      </c>
      <c r="V29" s="2716" t="s">
        <v>2649</v>
      </c>
      <c r="W29" s="1518"/>
      <c r="X29" s="1518"/>
      <c r="Y29" s="1518"/>
      <c r="Z29" s="1518"/>
      <c r="AA29" s="1518"/>
      <c r="AB29" s="1518"/>
      <c r="AC29" s="1518"/>
      <c r="AD29" s="1518"/>
      <c r="AE29" s="1518"/>
      <c r="AF29" s="1521"/>
    </row>
    <row r="30" spans="1:34" ht="15" customHeight="1" thickBot="1">
      <c r="A30" s="78"/>
      <c r="B30" s="154" t="s">
        <v>2295</v>
      </c>
      <c r="C30" s="392" t="s">
        <v>425</v>
      </c>
      <c r="D30" s="178"/>
      <c r="E30" s="230"/>
      <c r="F30" s="230"/>
      <c r="G30" s="231"/>
      <c r="H30" s="231"/>
      <c r="I30" s="231"/>
      <c r="J30" s="231"/>
      <c r="K30" s="1243" t="s">
        <v>568</v>
      </c>
      <c r="L30" s="333" t="str">
        <f t="shared" si="1"/>
        <v>2o</v>
      </c>
      <c r="M30" s="1374"/>
      <c r="N30" s="666"/>
      <c r="O30" s="2859"/>
      <c r="P30" s="4293" t="str">
        <f>TEXT(P19,"$0,000")&amp;" or more, include an additional"</f>
        <v>$957,100 or more, include an additional</v>
      </c>
      <c r="Q30" s="434"/>
      <c r="R30" s="1177"/>
      <c r="S30" s="1517"/>
      <c r="T30" s="1518"/>
      <c r="U30" s="1518"/>
      <c r="V30" s="1519"/>
      <c r="W30" s="1518"/>
      <c r="X30" s="1518"/>
      <c r="Y30" s="1518"/>
      <c r="Z30" s="1518"/>
      <c r="AA30" s="1518"/>
      <c r="AB30" s="1518"/>
      <c r="AC30" s="1518"/>
      <c r="AD30" s="1518"/>
      <c r="AE30" s="1518"/>
      <c r="AF30" s="1521"/>
    </row>
    <row r="31" spans="1:34" ht="15" customHeight="1" thickBot="1">
      <c r="A31" s="78"/>
      <c r="B31" s="154" t="s">
        <v>2446</v>
      </c>
      <c r="C31" s="392" t="s">
        <v>424</v>
      </c>
      <c r="D31" s="178"/>
      <c r="E31" s="230"/>
      <c r="F31" s="230"/>
      <c r="G31" s="231"/>
      <c r="H31" s="231"/>
      <c r="I31" s="231"/>
      <c r="J31" s="231"/>
      <c r="K31" s="1243" t="s">
        <v>571</v>
      </c>
      <c r="L31" s="333" t="str">
        <f t="shared" si="1"/>
        <v>2p</v>
      </c>
      <c r="M31" s="1374"/>
      <c r="N31" s="666"/>
      <c r="O31" s="2859"/>
      <c r="P31" s="4293" t="str">
        <f>TEXT(P20,"$0,000")&amp;". Otherwise, include "&amp;TEXT(P21,"0%")&amp;" of the"</f>
        <v>$57,300. Otherwise, include 25% of the</v>
      </c>
      <c r="Q31" s="434"/>
      <c r="R31" s="1177"/>
      <c r="S31" s="1517"/>
      <c r="T31" s="1518"/>
      <c r="U31" s="1539" t="str">
        <f>IF(AC22&gt;AC25,"","X")</f>
        <v>X</v>
      </c>
      <c r="V31" s="2716" t="s">
        <v>414</v>
      </c>
      <c r="W31" s="2716" t="s">
        <v>3559</v>
      </c>
      <c r="X31" s="1518"/>
      <c r="Y31" s="1518"/>
      <c r="Z31" s="1518"/>
      <c r="AA31" s="1518"/>
      <c r="AB31" s="1518"/>
      <c r="AC31" s="1518"/>
      <c r="AD31" s="1518"/>
      <c r="AE31" s="1518"/>
      <c r="AF31" s="1521"/>
    </row>
    <row r="32" spans="1:34" ht="15" customHeight="1" thickBot="1">
      <c r="A32" s="78"/>
      <c r="B32" s="154" t="s">
        <v>2445</v>
      </c>
      <c r="C32" s="392" t="s">
        <v>305</v>
      </c>
      <c r="D32" s="178"/>
      <c r="E32" s="230"/>
      <c r="F32" s="230"/>
      <c r="G32" s="231"/>
      <c r="H32" s="231"/>
      <c r="I32" s="231"/>
      <c r="J32" s="231"/>
      <c r="K32" s="1243" t="s">
        <v>374</v>
      </c>
      <c r="L32" s="333" t="str">
        <f t="shared" si="1"/>
        <v>2q</v>
      </c>
      <c r="M32" s="1374"/>
      <c r="N32" s="666"/>
      <c r="O32" s="2859"/>
      <c r="P32" s="4293" t="s">
        <v>797</v>
      </c>
      <c r="Q32" s="434"/>
      <c r="R32" s="5850"/>
      <c r="S32" s="1517"/>
      <c r="T32" s="1518"/>
      <c r="U32" s="2718"/>
      <c r="V32" s="2716"/>
      <c r="W32" s="2934" t="s">
        <v>3560</v>
      </c>
      <c r="X32" s="1518"/>
      <c r="Y32" s="1518"/>
      <c r="Z32" s="1518"/>
      <c r="AA32" s="1518"/>
      <c r="AB32" s="1518"/>
      <c r="AC32" s="1518"/>
      <c r="AD32" s="1518"/>
      <c r="AE32" s="1518"/>
      <c r="AF32" s="1521"/>
    </row>
    <row r="33" spans="1:34" ht="15" customHeight="1" thickBot="1">
      <c r="A33" s="78"/>
      <c r="B33" s="154" t="s">
        <v>2444</v>
      </c>
      <c r="C33" s="392" t="s">
        <v>435</v>
      </c>
      <c r="D33" s="178"/>
      <c r="E33" s="230"/>
      <c r="F33" s="230"/>
      <c r="G33" s="231"/>
      <c r="H33" s="231"/>
      <c r="I33" s="231"/>
      <c r="J33" s="231"/>
      <c r="K33" s="1243" t="s">
        <v>698</v>
      </c>
      <c r="L33" s="333" t="str">
        <f t="shared" si="1"/>
        <v>2r</v>
      </c>
      <c r="M33" s="1374"/>
      <c r="N33" s="666"/>
      <c r="O33" s="2859"/>
      <c r="P33" s="4293" t="str">
        <f>TEXT(P18,"$0,000")&amp;". For example, if the amount"</f>
        <v>$745,200. For example, if the amount</v>
      </c>
      <c r="Q33" s="434"/>
      <c r="R33" s="5850"/>
      <c r="S33" s="1517"/>
      <c r="T33" s="1518"/>
      <c r="U33" s="1539" t="str">
        <f>IF(AC22&gt;AC25,"X","")</f>
        <v/>
      </c>
      <c r="V33" s="2716" t="s">
        <v>416</v>
      </c>
      <c r="W33" s="2716" t="s">
        <v>2650</v>
      </c>
      <c r="X33" s="1518"/>
      <c r="Y33" s="1518"/>
      <c r="Z33" s="1518"/>
      <c r="AA33" s="3737" t="s">
        <v>1044</v>
      </c>
      <c r="AB33" s="3452" t="s">
        <v>68</v>
      </c>
      <c r="AC33" s="1500" t="str">
        <f>IF(U31="X","",SUM(AC22,-AC25))</f>
        <v/>
      </c>
      <c r="AD33" s="1518"/>
      <c r="AE33" s="1518"/>
      <c r="AF33" s="1521"/>
    </row>
    <row r="34" spans="1:34" ht="15" customHeight="1">
      <c r="A34" s="78"/>
      <c r="B34" s="154" t="s">
        <v>2443</v>
      </c>
      <c r="C34" s="392" t="s">
        <v>469</v>
      </c>
      <c r="D34" s="178"/>
      <c r="E34" s="230"/>
      <c r="F34" s="230"/>
      <c r="G34" s="231"/>
      <c r="H34" s="231"/>
      <c r="I34" s="602"/>
      <c r="J34" s="231"/>
      <c r="K34" s="602" t="str">
        <f>IF($M$34&gt;0,"(Enter as negative amount)",".   .   .   .   .   .   .   .   .   .   .   .   .   .   .   . ")</f>
        <v xml:space="preserve">.   .   .   .   .   .   .   .   .   .   .   .   .   .   .   . </v>
      </c>
      <c r="L34" s="333" t="str">
        <f t="shared" si="1"/>
        <v>2s</v>
      </c>
      <c r="M34" s="1374"/>
      <c r="N34" s="666"/>
      <c r="O34" s="2859"/>
      <c r="P34" s="4293" t="str">
        <f>"on line 4 is "&amp;TEXT(P18+R29,"$0,000")&amp;", enter "&amp;TEXT(P18+R29+5000,"$0,000")</f>
        <v>on line 4 is $765,200, enter $770,200</v>
      </c>
      <c r="Q34" s="434"/>
      <c r="R34" s="5850"/>
      <c r="S34" s="1517"/>
      <c r="T34" s="1518"/>
      <c r="U34" s="1518"/>
      <c r="V34" s="1519"/>
      <c r="W34" s="1518"/>
      <c r="X34" s="1518"/>
      <c r="Y34" s="1518"/>
      <c r="Z34" s="1518"/>
      <c r="AA34" s="1518"/>
      <c r="AB34" s="1518"/>
      <c r="AC34" s="1518"/>
      <c r="AD34" s="1518"/>
      <c r="AE34" s="1518"/>
      <c r="AF34" s="1521"/>
    </row>
    <row r="35" spans="1:34" ht="15" customHeight="1">
      <c r="A35" s="78"/>
      <c r="B35" s="154" t="s">
        <v>2442</v>
      </c>
      <c r="C35" s="392" t="s">
        <v>468</v>
      </c>
      <c r="D35" s="178"/>
      <c r="E35" s="230"/>
      <c r="F35" s="230"/>
      <c r="G35" s="231"/>
      <c r="H35" s="231"/>
      <c r="I35" s="231"/>
      <c r="J35" s="231"/>
      <c r="K35" s="1243" t="s">
        <v>633</v>
      </c>
      <c r="L35" s="333" t="str">
        <f t="shared" si="1"/>
        <v>2t</v>
      </c>
      <c r="M35" s="1374"/>
      <c r="N35" s="666"/>
      <c r="O35" s="2859"/>
      <c r="P35" s="4293" t="str">
        <f>"instead—the additional "&amp;TEXT(P21*R29,"$0,000")&amp;" is "&amp;TEXT(P21,"0%")</f>
        <v>instead—the additional $5,000 is 25%</v>
      </c>
      <c r="Q35" s="434"/>
      <c r="R35" s="5850"/>
      <c r="S35" s="1517"/>
      <c r="T35" s="1518"/>
      <c r="U35" s="2717" t="s">
        <v>204</v>
      </c>
      <c r="V35" s="2716" t="s">
        <v>188</v>
      </c>
      <c r="W35" s="1518"/>
      <c r="X35" s="1518"/>
      <c r="Y35" s="1518"/>
      <c r="Z35" s="1518"/>
      <c r="AA35" s="1518"/>
      <c r="AB35" s="1518"/>
      <c r="AC35" s="1518"/>
      <c r="AD35" s="1518"/>
      <c r="AE35" s="1518"/>
      <c r="AF35" s="1521"/>
    </row>
    <row r="36" spans="1:34" ht="15" customHeight="1">
      <c r="A36" s="78"/>
      <c r="B36" s="246">
        <v>3</v>
      </c>
      <c r="C36" s="392" t="s">
        <v>467</v>
      </c>
      <c r="D36" s="178"/>
      <c r="E36" s="230"/>
      <c r="F36" s="230"/>
      <c r="G36" s="231"/>
      <c r="H36" s="231"/>
      <c r="I36" s="231"/>
      <c r="J36" s="231"/>
      <c r="K36" s="1243" t="s">
        <v>276</v>
      </c>
      <c r="L36" s="333">
        <f>B36</f>
        <v>3</v>
      </c>
      <c r="M36" s="1374"/>
      <c r="N36" s="666"/>
      <c r="O36" s="2859"/>
      <c r="P36" s="4293" t="str">
        <f>"of "&amp;TEXT(R29,"$0,000")&amp;" ("&amp;TEXT(P18+R29,"$0,000")&amp;" minus "&amp;TEXT(P18,"$0,000")&amp;")."</f>
        <v>of $20,000 ($765,200 minus $745,200).</v>
      </c>
      <c r="Q36" s="434"/>
      <c r="R36" s="5851" t="s">
        <v>798</v>
      </c>
      <c r="S36" s="1517"/>
      <c r="T36" s="1518"/>
      <c r="U36" s="1519" t="s">
        <v>140</v>
      </c>
      <c r="V36" s="2716" t="str">
        <f>"Single or head of household -- "&amp;TEXT(G42,"$0,000")</f>
        <v>Single or head of household -- $523,600</v>
      </c>
      <c r="W36" s="1518"/>
      <c r="X36" s="1518"/>
      <c r="Y36" s="1518"/>
      <c r="Z36" s="1518"/>
      <c r="AA36" s="1527"/>
      <c r="AB36" s="1518"/>
      <c r="AC36" s="1518"/>
      <c r="AD36" s="1518"/>
      <c r="AE36" s="1518"/>
      <c r="AF36" s="1521"/>
    </row>
    <row r="37" spans="1:34" ht="15" customHeight="1">
      <c r="A37" s="78"/>
      <c r="B37" s="246">
        <f>B36+1</f>
        <v>4</v>
      </c>
      <c r="C37" s="218" t="s">
        <v>2965</v>
      </c>
      <c r="D37" s="163"/>
      <c r="E37" s="230"/>
      <c r="F37" s="230"/>
      <c r="G37" s="231"/>
      <c r="H37" s="231"/>
      <c r="I37" s="231"/>
      <c r="J37" s="231"/>
      <c r="K37" s="568"/>
      <c r="L37" s="590"/>
      <c r="M37" s="1342">
        <f>SUM(P22,P37)</f>
        <v>0</v>
      </c>
      <c r="N37" s="665"/>
      <c r="O37" s="2859"/>
      <c r="P37" s="2740">
        <f>IF(P22&gt;P19,P20,IF(P22&gt;P18,ROUND(P21*(SUM(P22,-P18)),0),0))</f>
        <v>0</v>
      </c>
      <c r="Q37" s="434"/>
      <c r="R37" s="5851" t="s">
        <v>2468</v>
      </c>
      <c r="S37" s="1517"/>
      <c r="T37" s="1518"/>
      <c r="U37" s="1519" t="s">
        <v>140</v>
      </c>
      <c r="V37" s="2716" t="str">
        <f>"Married filing jointly or qualifying widow(er) -- "&amp;TEXT(G43,"$0,000")</f>
        <v>Married filing jointly or qualifying widow(er) -- $1,047,200</v>
      </c>
      <c r="W37" s="1518"/>
      <c r="X37" s="1518"/>
      <c r="Y37" s="1518"/>
      <c r="Z37" s="1518"/>
      <c r="AA37" s="3736" t="s">
        <v>2517</v>
      </c>
      <c r="AB37" s="3452" t="s">
        <v>204</v>
      </c>
      <c r="AC37" s="1500" t="str">
        <f>IF(U31="X","",IF(OR(File_Single&lt;&gt;"",File_Head&lt;&gt;""),G42,IF(OR(File_Marr_Joint&lt;&gt;"",File_Qual_Widow&lt;&gt;""),G43,IF(File_Marr_Sep&lt;&gt;"",G44,"Filing status?"))))</f>
        <v/>
      </c>
      <c r="AD37" s="1518"/>
      <c r="AE37" s="1518"/>
      <c r="AF37" s="1521"/>
    </row>
    <row r="38" spans="1:34" ht="15" customHeight="1">
      <c r="A38" s="78"/>
      <c r="B38" s="154"/>
      <c r="C38" s="3544" t="str">
        <f>"is more than "&amp;TEXT(P18,"$0,000")&amp;", see instructions.)"</f>
        <v>is more than $745,200, see instructions.)</v>
      </c>
      <c r="D38" s="178"/>
      <c r="E38" s="230"/>
      <c r="F38" s="230"/>
      <c r="G38" s="231"/>
      <c r="H38" s="231"/>
      <c r="I38" s="231"/>
      <c r="J38" s="231"/>
      <c r="K38" s="1243" t="s">
        <v>919</v>
      </c>
      <c r="L38" s="590">
        <f>B37</f>
        <v>4</v>
      </c>
      <c r="M38" s="1373" t="str">
        <f>IF(NOT(P1),"",IF(P38&lt;&gt;"",ROUND(P38,0),IF(AND(File_Marr_Sep&lt;&gt;"",P22&gt;P18),M37,P22)))</f>
        <v/>
      </c>
      <c r="N38" s="665"/>
      <c r="O38" s="2859"/>
      <c r="P38" s="444"/>
      <c r="Q38" s="434"/>
      <c r="R38" s="5848"/>
      <c r="S38" s="1517"/>
      <c r="T38" s="1518"/>
      <c r="U38" s="1519" t="s">
        <v>140</v>
      </c>
      <c r="V38" s="2716" t="str">
        <f>"Married filing separately -- "&amp;TEXT(G44,"$0,000")</f>
        <v>Married filing separately -- $523,600</v>
      </c>
      <c r="W38" s="1518"/>
      <c r="X38" s="1518"/>
      <c r="Y38" s="1518"/>
      <c r="Z38" s="1518"/>
      <c r="AA38" s="1527"/>
      <c r="AB38" s="1518"/>
      <c r="AC38" s="1518"/>
      <c r="AD38" s="1518"/>
      <c r="AE38" s="1518"/>
      <c r="AF38" s="1521"/>
    </row>
    <row r="39" spans="1:34" ht="15" customHeight="1">
      <c r="A39" s="78"/>
      <c r="B39" s="572" t="s">
        <v>118</v>
      </c>
      <c r="C39" s="8951" t="s">
        <v>2452</v>
      </c>
      <c r="D39" s="8952"/>
      <c r="E39" s="8953"/>
      <c r="F39" s="8953"/>
      <c r="G39" s="8953"/>
      <c r="H39" s="8953"/>
      <c r="I39" s="8953"/>
      <c r="J39" s="8953"/>
      <c r="K39" s="8953"/>
      <c r="L39" s="8953"/>
      <c r="M39" s="8953"/>
      <c r="N39" s="667"/>
      <c r="O39" s="2853"/>
      <c r="P39" s="574"/>
      <c r="Q39" s="410"/>
      <c r="R39" s="5848"/>
      <c r="S39" s="1517"/>
      <c r="T39" s="1518"/>
      <c r="U39" s="1518"/>
      <c r="V39" s="1519"/>
      <c r="W39" s="1518"/>
      <c r="X39" s="1518"/>
      <c r="Y39" s="1518"/>
      <c r="Z39" s="1518"/>
      <c r="AA39" s="1527"/>
      <c r="AB39" s="1518"/>
      <c r="AC39" s="1518"/>
      <c r="AD39" s="1518"/>
      <c r="AE39" s="1518"/>
      <c r="AF39" s="1521"/>
    </row>
    <row r="40" spans="1:34" ht="15" customHeight="1">
      <c r="A40" s="78"/>
      <c r="B40" s="323">
        <f>B37+1</f>
        <v>5</v>
      </c>
      <c r="C40" s="392" t="str">
        <f>"Exemption. (If you were under age 24 at the end of "&amp;TaxYear&amp;", see instructions.)"</f>
        <v>Exemption. (If you were under age 24 at the end of 2021, see instructions.)</v>
      </c>
      <c r="D40" s="178"/>
      <c r="E40" s="230"/>
      <c r="F40" s="230"/>
      <c r="G40" s="231"/>
      <c r="H40" s="231"/>
      <c r="I40" s="231"/>
      <c r="J40" s="231"/>
      <c r="K40" s="1243"/>
      <c r="L40" s="241"/>
      <c r="M40" s="1436"/>
      <c r="N40" s="668"/>
      <c r="O40" s="2859"/>
      <c r="P40" s="574"/>
      <c r="Q40" s="30"/>
      <c r="R40" s="5848"/>
      <c r="S40" s="1517"/>
      <c r="T40" s="1518"/>
      <c r="U40" s="2717" t="s">
        <v>205</v>
      </c>
      <c r="V40" s="2716" t="s">
        <v>2651</v>
      </c>
      <c r="W40" s="1518"/>
      <c r="X40" s="1518"/>
      <c r="Y40" s="1518"/>
      <c r="Z40" s="1518"/>
      <c r="AA40" s="1518"/>
      <c r="AB40" s="1518"/>
      <c r="AC40" s="1518"/>
      <c r="AD40" s="1518"/>
      <c r="AE40" s="1518"/>
      <c r="AF40" s="1521"/>
    </row>
    <row r="41" spans="1:34" ht="15" customHeight="1" thickBot="1">
      <c r="A41" s="78"/>
      <c r="B41" s="155"/>
      <c r="C41" s="218" t="s">
        <v>799</v>
      </c>
      <c r="D41" s="178"/>
      <c r="E41" s="230"/>
      <c r="F41" s="230"/>
      <c r="G41" s="234" t="s">
        <v>2455</v>
      </c>
      <c r="H41" s="231"/>
      <c r="I41" s="234" t="s">
        <v>2456</v>
      </c>
      <c r="J41" s="231"/>
      <c r="K41" s="1243"/>
      <c r="L41" s="242"/>
      <c r="M41" s="1436"/>
      <c r="N41" s="668"/>
      <c r="O41" s="2859"/>
      <c r="P41" s="574"/>
      <c r="Q41" s="56"/>
      <c r="R41" s="5852"/>
      <c r="S41" s="1517"/>
      <c r="T41" s="1518"/>
      <c r="U41" s="1518"/>
      <c r="V41" s="1519"/>
      <c r="W41" s="1518"/>
      <c r="X41" s="1518"/>
      <c r="Y41" s="1518"/>
      <c r="Z41" s="1518"/>
      <c r="AA41" s="1518"/>
      <c r="AB41" s="1518"/>
      <c r="AC41" s="1518"/>
      <c r="AD41" s="1518"/>
      <c r="AE41" s="1518"/>
      <c r="AF41" s="1521"/>
    </row>
    <row r="42" spans="1:34" ht="15" customHeight="1" thickBot="1">
      <c r="A42" s="78"/>
      <c r="B42" s="155"/>
      <c r="C42" s="392" t="s">
        <v>800</v>
      </c>
      <c r="D42" s="178"/>
      <c r="E42" s="230"/>
      <c r="F42" s="230"/>
      <c r="G42" s="1391">
        <v>523600</v>
      </c>
      <c r="H42" s="1349" t="str">
        <f>".   .   .   .   ."</f>
        <v>.   .   .   .   .</v>
      </c>
      <c r="I42" s="3725">
        <v>73600</v>
      </c>
      <c r="J42" s="231"/>
      <c r="K42" s="1243"/>
      <c r="L42" s="242"/>
      <c r="M42" s="1436"/>
      <c r="N42" s="668"/>
      <c r="O42" s="2859"/>
      <c r="P42" s="574"/>
      <c r="Q42" s="30"/>
      <c r="R42" s="5848"/>
      <c r="S42" s="1517"/>
      <c r="T42" s="1518"/>
      <c r="U42" s="1539" t="str">
        <f>IF(U31="X","",IF(AC22&gt;AC37,"","X"))</f>
        <v/>
      </c>
      <c r="V42" s="2716" t="s">
        <v>414</v>
      </c>
      <c r="W42" s="2716" t="s">
        <v>2652</v>
      </c>
      <c r="X42" s="1518"/>
      <c r="Y42" s="1518"/>
      <c r="Z42" s="1518"/>
      <c r="AA42" s="1518"/>
      <c r="AB42" s="1518"/>
      <c r="AC42" s="1528" t="str">
        <f>IF(U42="X","Go to Line 12.","")</f>
        <v/>
      </c>
      <c r="AD42" s="1518"/>
      <c r="AE42" s="1518"/>
      <c r="AF42" s="1521"/>
    </row>
    <row r="43" spans="1:34" ht="12" customHeight="1" thickBot="1">
      <c r="A43" s="78"/>
      <c r="B43" s="155"/>
      <c r="C43" s="392" t="s">
        <v>586</v>
      </c>
      <c r="D43" s="178"/>
      <c r="E43" s="230"/>
      <c r="F43" s="230"/>
      <c r="G43" s="395">
        <v>1047200</v>
      </c>
      <c r="H43" s="1349" t="str">
        <f>".   .   .   .   ."</f>
        <v>.   .   .   .   .</v>
      </c>
      <c r="I43" s="3726">
        <v>114600</v>
      </c>
      <c r="J43" s="231"/>
      <c r="K43" s="1243"/>
      <c r="L43" s="242"/>
      <c r="M43" s="1436"/>
      <c r="N43" s="668"/>
      <c r="O43" s="2859"/>
      <c r="P43" s="1009"/>
      <c r="Q43" s="30"/>
      <c r="R43" s="5848"/>
      <c r="S43" s="1517"/>
      <c r="T43" s="1518"/>
      <c r="U43" s="1518"/>
      <c r="V43" s="1519"/>
      <c r="W43" s="1518"/>
      <c r="X43" s="1518"/>
      <c r="Y43" s="1518"/>
      <c r="Z43" s="1518"/>
      <c r="AA43" s="1518"/>
      <c r="AB43" s="1518"/>
      <c r="AC43" s="1518"/>
      <c r="AD43" s="1518"/>
      <c r="AE43" s="1518"/>
      <c r="AF43" s="1521"/>
    </row>
    <row r="44" spans="1:34" ht="13.5" thickBot="1">
      <c r="A44" s="78"/>
      <c r="B44" s="155"/>
      <c r="C44" s="392" t="s">
        <v>273</v>
      </c>
      <c r="D44" s="178"/>
      <c r="E44" s="230"/>
      <c r="F44" s="218" t="s">
        <v>803</v>
      </c>
      <c r="G44" s="395">
        <v>523600</v>
      </c>
      <c r="H44" s="1349" t="str">
        <f>".   .   .   .   ."</f>
        <v>.   .   .   .   .</v>
      </c>
      <c r="I44" s="3726">
        <v>57300</v>
      </c>
      <c r="J44" s="231"/>
      <c r="K44" s="1243"/>
      <c r="L44" s="242"/>
      <c r="M44" s="1436"/>
      <c r="N44" s="668"/>
      <c r="O44" s="2860"/>
      <c r="P44" s="5916" t="str">
        <f>IF(NOT(P1),"",IF(NOT(AMTExemptionFlag),"You AMT exemption is zero.","Go to Line 6."))</f>
        <v/>
      </c>
      <c r="Q44" s="30"/>
      <c r="R44" s="1974"/>
      <c r="S44" s="1517"/>
      <c r="T44" s="1518"/>
      <c r="U44" s="1539" t="str">
        <f>IF(U31="X","",IF(AC22&gt;AC37,"X",""))</f>
        <v/>
      </c>
      <c r="V44" s="2716" t="s">
        <v>416</v>
      </c>
      <c r="W44" s="2716" t="s">
        <v>2653</v>
      </c>
      <c r="X44" s="1518"/>
      <c r="Y44" s="1518"/>
      <c r="Z44" s="1518"/>
      <c r="AA44" s="3737" t="s">
        <v>2971</v>
      </c>
      <c r="AB44" s="3452" t="s">
        <v>205</v>
      </c>
      <c r="AC44" s="1500" t="str">
        <f>IF(U31="X","",IF(U42="X",0,SUM(AC22,-AC37)))</f>
        <v/>
      </c>
      <c r="AD44" s="1518"/>
      <c r="AE44" s="1518"/>
      <c r="AF44" s="1521"/>
    </row>
    <row r="45" spans="1:34" ht="13.5" customHeight="1">
      <c r="A45" s="78"/>
      <c r="B45" s="155"/>
      <c r="C45" s="392" t="s">
        <v>2966</v>
      </c>
      <c r="D45" s="178"/>
      <c r="E45" s="230"/>
      <c r="F45" s="230"/>
      <c r="G45" s="231"/>
      <c r="H45" s="231"/>
      <c r="I45" s="231"/>
      <c r="J45" s="231"/>
      <c r="K45" s="4290" t="s">
        <v>697</v>
      </c>
      <c r="L45" s="249">
        <f>B40</f>
        <v>5</v>
      </c>
      <c r="M45" s="1373" t="str">
        <f>IF(P45&lt;&gt;"",ROUND(P45,0),IF(OR(NumFileStatusBoxes=0,NOT(AMTExemptionFlag)),"",IF(AND(OR(File_Single&lt;&gt;"",File_Head&lt;&gt;""),AltMinTaxInc&lt;=G42),I42,IF(AND(OR(File_Marr_Joint&lt;&gt;"",File_Qual_Widow&lt;&gt;""),AltMinTaxInc&lt;=G43),I43,IF(AND(File_Marr_Sep&lt;&gt;"",AltMinTaxInc&lt;=G44),I44,IF(AC91="",0,AC91))))))</f>
        <v/>
      </c>
      <c r="N45" s="668"/>
      <c r="O45" s="2859"/>
      <c r="P45" s="444"/>
      <c r="Q45" s="30"/>
      <c r="R45" s="4821" t="str">
        <f>IF(M45&lt;&gt;"",MAX(0,SUM(AltMinTaxInc,-M45)),AltMinTaxInc)</f>
        <v/>
      </c>
      <c r="S45" s="1517"/>
      <c r="T45" s="1518"/>
      <c r="U45" s="1518"/>
      <c r="V45" s="1519"/>
      <c r="W45" s="1518"/>
      <c r="X45" s="1518"/>
      <c r="Y45" s="1518"/>
      <c r="Z45" s="1518"/>
      <c r="AA45" s="1518"/>
      <c r="AB45" s="1518"/>
      <c r="AC45" s="1518"/>
      <c r="AD45" s="1518"/>
      <c r="AE45" s="1518"/>
      <c r="AF45" s="1521"/>
      <c r="AH45" s="5840"/>
    </row>
    <row r="46" spans="1:34" ht="13.5" customHeight="1">
      <c r="A46" s="78"/>
      <c r="B46" s="246">
        <f>B40+1</f>
        <v>6</v>
      </c>
      <c r="C46" s="392" t="s">
        <v>2453</v>
      </c>
      <c r="D46" s="178"/>
      <c r="E46" s="230"/>
      <c r="F46" s="230"/>
      <c r="G46" s="231"/>
      <c r="H46" s="231"/>
      <c r="I46" s="231"/>
      <c r="J46" s="231"/>
      <c r="K46" s="576"/>
      <c r="L46" s="154"/>
      <c r="M46" s="1436"/>
      <c r="N46" s="666"/>
      <c r="O46" s="2859"/>
      <c r="P46" s="5916" t="str">
        <f>IF(NOT(P1),"",IF(R46,"Go to Line 10.","Go to Line 7."))</f>
        <v/>
      </c>
      <c r="Q46" s="434"/>
      <c r="R46" s="4821" t="b">
        <f>R45&lt;=0</f>
        <v>0</v>
      </c>
      <c r="S46" s="1517"/>
      <c r="T46" s="1518"/>
      <c r="U46" s="2717" t="s">
        <v>295</v>
      </c>
      <c r="V46" s="2716" t="str">
        <f>" Multiply line 9 by "&amp;TEXT(AH53,"0%")&amp;" ("&amp;TEXT(AH53,".00")&amp;") and enter the smaller of the result or line 6"</f>
        <v xml:space="preserve"> Multiply line 9 by 25% (.25) and enter the smaller of the result or line 6</v>
      </c>
      <c r="W46" s="1518"/>
      <c r="X46" s="1518"/>
      <c r="Y46" s="1518"/>
      <c r="Z46" s="1518"/>
      <c r="AA46" s="3737" t="s">
        <v>1625</v>
      </c>
      <c r="AB46" s="3452" t="s">
        <v>295</v>
      </c>
      <c r="AC46" s="1500" t="str">
        <f>IF(U31="X","",MIN(ROUND(AH53*AC44,0),AC25))</f>
        <v/>
      </c>
      <c r="AD46" s="1518"/>
      <c r="AE46" s="1518"/>
      <c r="AF46" s="1521"/>
      <c r="AH46" s="5848">
        <v>818000</v>
      </c>
    </row>
    <row r="47" spans="1:34" ht="13.5" customHeight="1">
      <c r="A47" s="78"/>
      <c r="B47" s="154"/>
      <c r="C47" s="392" t="s">
        <v>2454</v>
      </c>
      <c r="D47" s="178"/>
      <c r="E47" s="230"/>
      <c r="F47" s="230"/>
      <c r="G47" s="231"/>
      <c r="H47" s="231"/>
      <c r="I47" s="231"/>
      <c r="J47" s="231"/>
      <c r="K47" s="1243" t="s">
        <v>634</v>
      </c>
      <c r="L47" s="225">
        <f>B46</f>
        <v>6</v>
      </c>
      <c r="M47" s="1373">
        <f>IF(P47&lt;&gt;"",ROUND(P47,0),IF(OR(NumFileStatusBoxes=0,R46),0,IF(NOT(AMTExemptionFlag),AltMinTaxInc,R45)))</f>
        <v>0</v>
      </c>
      <c r="N47" s="666"/>
      <c r="O47" s="2860"/>
      <c r="P47" s="444"/>
      <c r="Q47" s="434"/>
      <c r="R47" s="2832"/>
      <c r="S47" s="1517"/>
      <c r="T47" s="1518"/>
      <c r="U47" s="1518"/>
      <c r="V47" s="1519"/>
      <c r="W47" s="1518"/>
      <c r="X47" s="1518"/>
      <c r="Y47" s="1518"/>
      <c r="Z47" s="1518"/>
      <c r="AA47" s="1518"/>
      <c r="AB47" s="1518"/>
      <c r="AC47" s="1518"/>
      <c r="AD47" s="1518"/>
      <c r="AE47" s="1522"/>
      <c r="AF47" s="1521"/>
      <c r="AH47" s="5848">
        <v>1505600</v>
      </c>
    </row>
    <row r="48" spans="1:34" ht="13.5" customHeight="1">
      <c r="A48" s="78"/>
      <c r="B48" s="323">
        <f>B46+1</f>
        <v>7</v>
      </c>
      <c r="C48" s="4747" t="s">
        <v>340</v>
      </c>
      <c r="D48" s="273" t="s">
        <v>4207</v>
      </c>
      <c r="E48" s="230"/>
      <c r="F48" s="230"/>
      <c r="G48" s="231"/>
      <c r="H48" s="231"/>
      <c r="I48" s="231"/>
      <c r="J48" s="231"/>
      <c r="K48" s="512"/>
      <c r="L48" s="241"/>
      <c r="M48" s="3246"/>
      <c r="N48" s="668"/>
      <c r="O48" s="2859"/>
      <c r="P48" s="3238" t="str">
        <f>IF(AND(P1,Form2555_Used),"Form 2555 is used.","")</f>
        <v/>
      </c>
      <c r="Q48" s="30"/>
      <c r="R48" s="1177" t="b">
        <f>Form2555_Used</f>
        <v>0</v>
      </c>
      <c r="S48" s="1517"/>
      <c r="T48" s="1518"/>
      <c r="U48" s="2717" t="s">
        <v>296</v>
      </c>
      <c r="V48" s="2716" t="s">
        <v>2654</v>
      </c>
      <c r="W48" s="1518"/>
      <c r="X48" s="1518"/>
      <c r="Y48" s="1518"/>
      <c r="Z48" s="1518"/>
      <c r="AA48" s="3737" t="s">
        <v>2417</v>
      </c>
      <c r="AB48" s="3452" t="s">
        <v>296</v>
      </c>
      <c r="AC48" s="1500" t="str">
        <f>IF(U31="X","",SUM(AC33,AC46))</f>
        <v/>
      </c>
      <c r="AD48" s="1518"/>
      <c r="AE48" s="1376"/>
      <c r="AF48" s="1521"/>
      <c r="AH48" s="5848">
        <v>752800</v>
      </c>
    </row>
    <row r="49" spans="1:34" ht="13.5" customHeight="1">
      <c r="A49" s="78"/>
      <c r="B49" s="155"/>
      <c r="C49" s="4747" t="s">
        <v>340</v>
      </c>
      <c r="D49" s="273" t="s">
        <v>4206</v>
      </c>
      <c r="E49" s="230"/>
      <c r="F49" s="230"/>
      <c r="G49" s="231"/>
      <c r="H49" s="231"/>
      <c r="I49" s="231"/>
      <c r="J49" s="231"/>
      <c r="K49" s="512"/>
      <c r="L49" s="242"/>
      <c r="M49" s="3247"/>
      <c r="N49" s="668"/>
      <c r="O49" s="2859"/>
      <c r="P49" s="3238"/>
      <c r="Q49" s="30"/>
      <c r="R49" s="5913" t="b">
        <f>AND(SchD_NotReqd,CapitalGains&gt;0)</f>
        <v>0</v>
      </c>
      <c r="S49" s="1517"/>
      <c r="T49" s="1518"/>
      <c r="U49" s="1518"/>
      <c r="V49" s="1519"/>
      <c r="W49" s="1518"/>
      <c r="X49" s="1518"/>
      <c r="Y49" s="1518"/>
      <c r="Z49" s="1518"/>
      <c r="AA49" s="1518"/>
      <c r="AB49" s="1518"/>
      <c r="AC49" s="1518"/>
      <c r="AD49" s="1518"/>
      <c r="AE49" s="1520"/>
      <c r="AF49" s="1521"/>
      <c r="AH49" s="5849"/>
    </row>
    <row r="50" spans="1:34" ht="15" customHeight="1">
      <c r="A50" s="78"/>
      <c r="B50" s="155"/>
      <c r="C50" s="273"/>
      <c r="D50" s="273" t="s">
        <v>4208</v>
      </c>
      <c r="E50" s="230"/>
      <c r="F50" s="230"/>
      <c r="G50" s="231"/>
      <c r="H50" s="231"/>
      <c r="I50" s="234"/>
      <c r="J50" s="234"/>
      <c r="K50" s="513"/>
      <c r="L50" s="393"/>
      <c r="M50" s="3247"/>
      <c r="N50" s="665"/>
      <c r="O50" s="2859"/>
      <c r="P50" s="558"/>
      <c r="Q50" s="30"/>
      <c r="R50" s="5913" t="b">
        <f>(Qualified_Dividends&gt;0)</f>
        <v>0</v>
      </c>
      <c r="S50" s="1517"/>
      <c r="T50" s="1518"/>
      <c r="U50" s="2717" t="s">
        <v>297</v>
      </c>
      <c r="V50" s="2716" t="str">
        <f>" Is the amount on line 11 more than "&amp;TEXT(R59,"$0,000")&amp;" ("&amp;TEXT(R60,"$0,000")&amp;" if married filing separately)?"</f>
        <v xml:space="preserve"> Is the amount on line 11 more than $199,900 ($99,950 if married filing separately)?</v>
      </c>
      <c r="W50" s="1518"/>
      <c r="X50" s="1518"/>
      <c r="Y50" s="1518"/>
      <c r="Z50" s="1518"/>
      <c r="AA50" s="1518"/>
      <c r="AB50" s="1518"/>
      <c r="AC50" s="1518"/>
      <c r="AD50" s="1518"/>
      <c r="AE50" s="1520"/>
      <c r="AF50" s="1521"/>
      <c r="AH50" s="5849"/>
    </row>
    <row r="51" spans="1:34" ht="13.5" customHeight="1" thickBot="1">
      <c r="A51" s="78"/>
      <c r="B51" s="155"/>
      <c r="C51" s="273"/>
      <c r="D51" s="273" t="s">
        <v>4209</v>
      </c>
      <c r="E51" s="230"/>
      <c r="F51" s="230"/>
      <c r="G51" s="231"/>
      <c r="H51" s="231"/>
      <c r="I51" s="234"/>
      <c r="J51" s="234"/>
      <c r="K51" s="513"/>
      <c r="L51" s="393"/>
      <c r="M51" s="3247"/>
      <c r="N51" s="665"/>
      <c r="O51" s="2859"/>
      <c r="P51" s="558"/>
      <c r="Q51" s="30"/>
      <c r="R51" s="5913" t="b">
        <f>SchD_Line1516_Gains</f>
        <v>0</v>
      </c>
      <c r="S51" s="1517"/>
      <c r="T51" s="1518"/>
      <c r="U51" s="1518"/>
      <c r="V51" s="1519"/>
      <c r="W51" s="1518"/>
      <c r="X51" s="1518"/>
      <c r="Y51" s="1518"/>
      <c r="Z51" s="1518"/>
      <c r="AA51" s="1518"/>
      <c r="AB51" s="1518"/>
      <c r="AC51" s="1518"/>
      <c r="AD51" s="1518"/>
      <c r="AE51" s="1376"/>
      <c r="AF51" s="1521"/>
      <c r="AH51" s="1974">
        <f>IF(File_Marr_Sep&lt;&gt;"",R60,R59)</f>
        <v>199900</v>
      </c>
    </row>
    <row r="52" spans="1:34" ht="13.5" customHeight="1" thickBot="1">
      <c r="A52" s="78"/>
      <c r="B52" s="155"/>
      <c r="C52" s="273"/>
      <c r="D52" s="273" t="s">
        <v>4210</v>
      </c>
      <c r="E52" s="230"/>
      <c r="F52" s="230"/>
      <c r="G52" s="231"/>
      <c r="H52" s="231"/>
      <c r="I52" s="234"/>
      <c r="J52" s="234"/>
      <c r="K52" s="1243" t="s">
        <v>1037</v>
      </c>
      <c r="L52" s="249">
        <f>B48</f>
        <v>7</v>
      </c>
      <c r="M52" s="1373" t="str">
        <f>IF(P52&lt;&gt;"",ROUND(P52,0),IF(NOT(P1),"",IF(R46,0,IF(Form2555_Used,AC119,IF(F6251_PIII,M124,IF(M47&lt;=R61,M47*R66,SUM((M47*R67),-R65)))))))</f>
        <v/>
      </c>
      <c r="N52" s="665"/>
      <c r="O52" s="2859"/>
      <c r="P52" s="444"/>
      <c r="Q52" s="30"/>
      <c r="R52" s="1177" t="b">
        <f>OR(R49,R50,R51)</f>
        <v>0</v>
      </c>
      <c r="S52" s="1517"/>
      <c r="T52" s="1518"/>
      <c r="U52" s="1539" t="str">
        <f>IF(U31="X","",IF(AC48&gt;AH51,"X",""))</f>
        <v/>
      </c>
      <c r="V52" s="2716" t="s">
        <v>416</v>
      </c>
      <c r="W52" s="2716" t="s">
        <v>2289</v>
      </c>
      <c r="X52" s="1518"/>
      <c r="Y52" s="1518"/>
      <c r="Z52" s="1518"/>
      <c r="AA52" s="1518"/>
      <c r="AB52" s="1518"/>
      <c r="AC52" s="1518"/>
      <c r="AD52" s="1518"/>
      <c r="AE52" s="1376"/>
      <c r="AF52" s="1521"/>
    </row>
    <row r="53" spans="1:34" ht="13.5" thickBot="1">
      <c r="A53" s="78"/>
      <c r="B53" s="155"/>
      <c r="C53" s="230" t="s">
        <v>3543</v>
      </c>
      <c r="D53" s="163" t="s">
        <v>77</v>
      </c>
      <c r="E53" s="273" t="str">
        <f>"If line "&amp;L47&amp;" is "&amp;TEXT(R59,"$0,000")&amp;" or less ("&amp;TEXT(R60,"$0,000")&amp;" or less if married filing separately), multiply"</f>
        <v>If line 6 is $199,900 or less ($99,950 or less if married filing separately), multiply</v>
      </c>
      <c r="F53" s="230"/>
      <c r="G53" s="231"/>
      <c r="H53" s="231"/>
      <c r="I53" s="231"/>
      <c r="J53" s="231"/>
      <c r="K53" s="512"/>
      <c r="L53" s="393"/>
      <c r="M53" s="2122"/>
      <c r="N53" s="668"/>
      <c r="O53" s="2123"/>
      <c r="P53" s="1295"/>
      <c r="Q53" s="30"/>
      <c r="R53" s="1177" t="b">
        <f>AND(F6251_Needed,OR(Q68&lt;&gt;"",R52))</f>
        <v>0</v>
      </c>
      <c r="S53" s="1517"/>
      <c r="T53" s="1518"/>
      <c r="U53" s="1518"/>
      <c r="V53" s="2716"/>
      <c r="W53" s="2718"/>
      <c r="X53" s="1518"/>
      <c r="Y53" s="1518"/>
      <c r="Z53" s="1518"/>
      <c r="AA53" s="1518"/>
      <c r="AB53" s="1518"/>
      <c r="AC53" s="1518"/>
      <c r="AD53" s="1518"/>
      <c r="AE53" s="1376"/>
      <c r="AF53" s="1521"/>
      <c r="AH53" s="1974">
        <v>0.25</v>
      </c>
    </row>
    <row r="54" spans="1:34" ht="12" customHeight="1" thickBot="1">
      <c r="A54" s="78"/>
      <c r="B54" s="155"/>
      <c r="C54" s="555"/>
      <c r="D54" s="555" t="str">
        <f>"line "&amp;L47&amp;" by "&amp;TEXT(R66,"0%")&amp;" ("&amp;TEXT(R66,"0.00")&amp;"). Otherwise, multiply line "&amp;L47&amp;" by "&amp;TEXT(R67,"0%")&amp;" ("&amp;TEXT(R67,"0.00")&amp;") and subtract "&amp;TEXT(R63,"$0,000")&amp;" ("&amp;TEXT(R64,"$0,000")&amp;" if"</f>
        <v>line 6 by 26% (0.26). Otherwise, multiply line 6 by 28% (0.28) and subtract $3,998 ($1,999 if</v>
      </c>
      <c r="E54" s="230"/>
      <c r="F54" s="230"/>
      <c r="G54" s="231"/>
      <c r="H54" s="231"/>
      <c r="I54" s="234"/>
      <c r="J54" s="234"/>
      <c r="K54" s="513"/>
      <c r="L54" s="393"/>
      <c r="M54" s="2122"/>
      <c r="N54" s="665"/>
      <c r="O54" s="2859"/>
      <c r="P54" s="1295"/>
      <c r="Q54" s="30"/>
      <c r="R54" s="1177"/>
      <c r="S54" s="1517"/>
      <c r="T54" s="1518"/>
      <c r="U54" s="1539" t="str">
        <f>IF(U31="X","",IF(AC48&gt;AH51,"","X"))</f>
        <v/>
      </c>
      <c r="V54" s="2716" t="s">
        <v>414</v>
      </c>
      <c r="W54" s="2716" t="str">
        <f>"Multiply line 11 by "&amp;TEXT(AH60,"0%")&amp;" ("&amp;TEXT(AH60,".00")&amp;")"</f>
        <v>Multiply line 11 by 26% (.26)</v>
      </c>
      <c r="X54" s="1518"/>
      <c r="Y54" s="1518"/>
      <c r="Z54" s="1518"/>
      <c r="AA54" s="3737" t="s">
        <v>2971</v>
      </c>
      <c r="AB54" s="3452" t="s">
        <v>297</v>
      </c>
      <c r="AC54" s="1500" t="str">
        <f>IF(OR(U52="X",U31="X"),"",ROUND(AC48*AH60,0))</f>
        <v/>
      </c>
      <c r="AD54" s="1518"/>
      <c r="AE54" s="1376"/>
      <c r="AF54" s="1521"/>
    </row>
    <row r="55" spans="1:34" ht="12.75" customHeight="1">
      <c r="A55" s="78"/>
      <c r="B55" s="155"/>
      <c r="C55" s="555"/>
      <c r="D55" s="555" t="s">
        <v>4211</v>
      </c>
      <c r="E55" s="230"/>
      <c r="F55" s="230"/>
      <c r="G55" s="231"/>
      <c r="H55" s="231"/>
      <c r="I55" s="234"/>
      <c r="J55" s="234"/>
      <c r="K55" s="513"/>
      <c r="L55" s="393"/>
      <c r="M55" s="2122"/>
      <c r="N55" s="665"/>
      <c r="O55" s="2859"/>
      <c r="P55" s="1295"/>
      <c r="Q55" s="30"/>
      <c r="R55" s="1177"/>
      <c r="S55" s="1517"/>
      <c r="T55" s="1518"/>
      <c r="U55" s="1518"/>
      <c r="V55" s="1519"/>
      <c r="W55" s="1518"/>
      <c r="X55" s="1518"/>
      <c r="Y55" s="1518"/>
      <c r="Z55" s="1518"/>
      <c r="AA55" s="1518"/>
      <c r="AB55" s="1518"/>
      <c r="AC55" s="1518"/>
      <c r="AD55" s="1518"/>
      <c r="AE55" s="1518"/>
      <c r="AF55" s="1521"/>
    </row>
    <row r="56" spans="1:34" ht="13.5" thickBot="1">
      <c r="A56" s="78"/>
      <c r="B56" s="154">
        <f>B48+1</f>
        <v>8</v>
      </c>
      <c r="C56" s="392" t="s">
        <v>745</v>
      </c>
      <c r="D56" s="178"/>
      <c r="E56" s="230"/>
      <c r="F56" s="230"/>
      <c r="G56" s="231"/>
      <c r="H56" s="231"/>
      <c r="I56" s="231"/>
      <c r="J56" s="231"/>
      <c r="K56" s="1243" t="s">
        <v>568</v>
      </c>
      <c r="L56" s="249">
        <f>B56</f>
        <v>8</v>
      </c>
      <c r="M56" s="1374"/>
      <c r="N56" s="666"/>
      <c r="O56" s="2859"/>
      <c r="P56" s="1295"/>
      <c r="Q56" s="434"/>
      <c r="R56" s="1177"/>
      <c r="S56" s="1517"/>
      <c r="T56" s="1518"/>
      <c r="U56" s="2717" t="s">
        <v>431</v>
      </c>
      <c r="V56" s="2716" t="s">
        <v>4227</v>
      </c>
      <c r="W56" s="1518"/>
      <c r="X56" s="1518"/>
      <c r="Y56" s="1518"/>
      <c r="Z56" s="1518"/>
      <c r="AA56" s="1518"/>
      <c r="AB56" s="1518"/>
      <c r="AC56" s="1518"/>
      <c r="AD56" s="1518"/>
      <c r="AE56" s="1518"/>
      <c r="AF56" s="1521"/>
      <c r="AH56" s="5855" t="s">
        <v>90</v>
      </c>
    </row>
    <row r="57" spans="1:34" ht="13.5" thickBot="1">
      <c r="A57" s="78"/>
      <c r="B57" s="154">
        <f>B56+1</f>
        <v>9</v>
      </c>
      <c r="C57" s="392" t="str">
        <f>"Tentative minimum tax. Subtract line "&amp;L56&amp;" from line "&amp;L52</f>
        <v>Tentative minimum tax. Subtract line 8 from line 7</v>
      </c>
      <c r="D57" s="178"/>
      <c r="E57" s="230"/>
      <c r="F57" s="230"/>
      <c r="G57" s="231"/>
      <c r="H57" s="231"/>
      <c r="I57" s="231"/>
      <c r="J57" s="231"/>
      <c r="K57" s="1243" t="s">
        <v>567</v>
      </c>
      <c r="L57" s="563">
        <f>B57</f>
        <v>9</v>
      </c>
      <c r="M57" s="1373">
        <f>IF(NumFileStatusBoxes=0,0,IF(R46,0,IF(M56="",M52,SUM(M52,-M56))))</f>
        <v>0</v>
      </c>
      <c r="N57" s="666"/>
      <c r="O57" s="1353"/>
      <c r="P57" s="1433" t="s">
        <v>235</v>
      </c>
      <c r="Q57" s="434"/>
      <c r="R57" s="1177"/>
      <c r="S57" s="1517"/>
      <c r="T57" s="1518"/>
      <c r="U57" s="2718"/>
      <c r="V57" s="2716" t="s">
        <v>4229</v>
      </c>
      <c r="W57" s="1518"/>
      <c r="X57" s="1518"/>
      <c r="Y57" s="1518"/>
      <c r="Z57" s="1518"/>
      <c r="AA57" s="1518"/>
      <c r="AB57" s="1518"/>
      <c r="AC57" s="1518"/>
      <c r="AD57" s="1518"/>
      <c r="AE57" s="1376"/>
      <c r="AF57" s="1521"/>
      <c r="AH57" s="5855" t="s">
        <v>91</v>
      </c>
    </row>
    <row r="58" spans="1:34" ht="15" customHeight="1" thickBot="1">
      <c r="A58" s="78"/>
      <c r="B58" s="154">
        <f>B57+1</f>
        <v>10</v>
      </c>
      <c r="C58" s="392" t="s">
        <v>4212</v>
      </c>
      <c r="D58" s="273"/>
      <c r="E58" s="230"/>
      <c r="F58" s="230"/>
      <c r="G58" s="231"/>
      <c r="H58" s="231"/>
      <c r="I58" s="231"/>
      <c r="J58" s="231"/>
      <c r="K58" s="232"/>
      <c r="L58" s="393"/>
      <c r="M58" s="514"/>
      <c r="N58" s="666"/>
      <c r="O58" s="2861"/>
      <c r="P58" s="1434" t="s">
        <v>390</v>
      </c>
      <c r="Q58" s="434"/>
      <c r="R58" s="1177"/>
      <c r="S58" s="1517"/>
      <c r="T58" s="1518"/>
      <c r="U58" s="2718"/>
      <c r="V58" s="2716" t="s">
        <v>4228</v>
      </c>
      <c r="W58" s="1518"/>
      <c r="X58" s="1518"/>
      <c r="Y58" s="1518"/>
      <c r="Z58" s="3737" t="s">
        <v>1930</v>
      </c>
      <c r="AA58" s="1420"/>
      <c r="AB58" s="3452" t="s">
        <v>431</v>
      </c>
      <c r="AC58" s="5856" t="str">
        <f>IF(AH58&lt;&gt;"",ROUND(AH58,0),IF(OR(U52="X",U31="X"),"",IF(AA58="",SUM(Tax_SubTotal,PTC_ExcessAdv),SUM(Tax_SubTotal,PTC_ExcessAdv,-AA58))))</f>
        <v/>
      </c>
      <c r="AD58" s="1518"/>
      <c r="AE58" s="5847" t="str">
        <f>IF(OR(U52="X",U31="X"),"",IF(AA58="",SUM(Tax,PTC_ExcessAdv),SUM(Tax,PTC_ExcessAdv,-AA58)))</f>
        <v/>
      </c>
      <c r="AF58" s="1521"/>
      <c r="AH58" s="3496"/>
    </row>
    <row r="59" spans="1:34" ht="15" customHeight="1" thickBot="1">
      <c r="A59" s="78"/>
      <c r="B59" s="154"/>
      <c r="C59" s="392" t="s">
        <v>4213</v>
      </c>
      <c r="D59" s="273"/>
      <c r="E59" s="230"/>
      <c r="F59" s="230"/>
      <c r="G59" s="231"/>
      <c r="H59" s="231"/>
      <c r="I59" s="231"/>
      <c r="J59" s="231"/>
      <c r="K59" s="677"/>
      <c r="L59" s="242"/>
      <c r="M59" s="1859">
        <f>IF(P59="",0,ROUND(P59,0))</f>
        <v>0</v>
      </c>
      <c r="N59" s="666"/>
      <c r="O59" s="2861"/>
      <c r="P59" s="1435"/>
      <c r="Q59" s="434"/>
      <c r="R59" s="5848">
        <v>199900</v>
      </c>
      <c r="S59" s="1517"/>
      <c r="T59" s="1518"/>
      <c r="U59" s="1518"/>
      <c r="V59" s="1519"/>
      <c r="W59" s="1518"/>
      <c r="X59" s="1518"/>
      <c r="Y59" s="1518"/>
      <c r="Z59" s="1518"/>
      <c r="AA59" s="1526" t="s">
        <v>1068</v>
      </c>
      <c r="AB59" s="1518"/>
      <c r="AC59" s="1526"/>
      <c r="AD59" s="1518"/>
      <c r="AE59" s="1376"/>
      <c r="AF59" s="1521"/>
    </row>
    <row r="60" spans="1:34" ht="15" customHeight="1">
      <c r="A60" s="78"/>
      <c r="B60" s="154"/>
      <c r="C60" s="3544" t="s">
        <v>4214</v>
      </c>
      <c r="D60" s="273"/>
      <c r="E60" s="230"/>
      <c r="F60" s="230"/>
      <c r="G60" s="231"/>
      <c r="H60" s="231"/>
      <c r="I60" s="231"/>
      <c r="J60" s="231"/>
      <c r="K60" s="1243"/>
      <c r="L60" s="225"/>
      <c r="M60" s="1859">
        <f>IF(Foreign_Tax_Credit="",0,Foreign_Tax_Credit)</f>
        <v>0</v>
      </c>
      <c r="N60" s="666"/>
      <c r="O60" s="2860"/>
      <c r="P60" s="558"/>
      <c r="Q60" s="434"/>
      <c r="R60" s="5848">
        <v>99950</v>
      </c>
      <c r="S60" s="1523"/>
      <c r="T60" s="1518"/>
      <c r="U60" s="2716" t="s">
        <v>2655</v>
      </c>
      <c r="V60" s="1519"/>
      <c r="W60" s="1518"/>
      <c r="X60" s="1518"/>
      <c r="Y60" s="1518"/>
      <c r="Z60" s="1518"/>
      <c r="AA60" s="1518"/>
      <c r="AB60" s="1518"/>
      <c r="AC60" s="1518"/>
      <c r="AD60" s="1518"/>
      <c r="AE60" s="1376"/>
      <c r="AF60" s="1521"/>
      <c r="AH60" s="1974">
        <v>0.26</v>
      </c>
    </row>
    <row r="61" spans="1:34" ht="13.5" thickBot="1">
      <c r="A61" s="78"/>
      <c r="B61" s="154"/>
      <c r="C61" s="392" t="s">
        <v>4215</v>
      </c>
      <c r="D61" s="273"/>
      <c r="E61" s="230"/>
      <c r="F61" s="230"/>
      <c r="G61" s="231"/>
      <c r="H61" s="231"/>
      <c r="I61" s="231"/>
      <c r="J61" s="231"/>
      <c r="K61" s="1243" t="s">
        <v>634</v>
      </c>
      <c r="L61" s="249">
        <f>B58</f>
        <v>10</v>
      </c>
      <c r="M61" s="1373" t="str">
        <f>IF(P61&lt;&gt;"",ROUND(P61,0),   IF(OR(NOT(P1),NumFileStatusBoxes=0),"",SUM(Tax_SubTotal,PTC_ExcessAdv,-M59,-M60)))</f>
        <v/>
      </c>
      <c r="N61" s="666"/>
      <c r="O61" s="2860"/>
      <c r="P61" s="444"/>
      <c r="Q61" s="434"/>
      <c r="R61" s="5848">
        <f>IF(File_Marr_Sep&lt;&gt;"",R60,R59)</f>
        <v>199900</v>
      </c>
      <c r="S61" s="1523"/>
      <c r="T61" s="1518"/>
      <c r="U61" s="1518"/>
      <c r="V61" s="1519"/>
      <c r="W61" s="1518"/>
      <c r="X61" s="1518"/>
      <c r="Y61" s="1518"/>
      <c r="Z61" s="1518"/>
      <c r="AA61" s="1518"/>
      <c r="AB61" s="1518"/>
      <c r="AC61" s="1518"/>
      <c r="AD61" s="1518"/>
      <c r="AE61" s="1376"/>
      <c r="AF61" s="1521"/>
    </row>
    <row r="62" spans="1:34" ht="15" customHeight="1" thickBot="1">
      <c r="A62" s="78"/>
      <c r="B62" s="154">
        <v>11</v>
      </c>
      <c r="C62" s="392" t="s">
        <v>5425</v>
      </c>
      <c r="D62" s="392"/>
      <c r="E62" s="196"/>
      <c r="F62" s="196"/>
      <c r="G62" s="196"/>
      <c r="H62" s="196"/>
      <c r="I62" s="196"/>
      <c r="J62" s="196"/>
      <c r="K62" s="1243"/>
      <c r="L62" s="810" t="s">
        <v>657</v>
      </c>
      <c r="M62" s="4258" t="str">
        <f>IF(P62&lt;&gt;"",ROUND(P62,0),IF(OR(NOT(P1),NumFileStatusBoxes=0),"",IF(OR(R46,M47=0),0,MAX(0,SUM(M57,-M61)))))</f>
        <v/>
      </c>
      <c r="N62" s="665"/>
      <c r="O62" s="2860"/>
      <c r="P62" s="444"/>
      <c r="Q62" s="45"/>
      <c r="R62" s="5848">
        <f>IF(M62="",0,M62)</f>
        <v>0</v>
      </c>
      <c r="S62" s="1523"/>
      <c r="T62" s="1518"/>
      <c r="U62" s="1539" t="str">
        <f>IF(OR(U52="X",U31="X"),"",IF(AC54&gt;AC58,"X",""))</f>
        <v/>
      </c>
      <c r="V62" s="2716" t="s">
        <v>416</v>
      </c>
      <c r="W62" s="2716" t="s">
        <v>1066</v>
      </c>
      <c r="X62" s="1518"/>
      <c r="Y62" s="1518"/>
      <c r="Z62" s="1518"/>
      <c r="AA62" s="1518"/>
      <c r="AB62" s="1518"/>
      <c r="AC62" s="1518"/>
      <c r="AD62" s="1518"/>
      <c r="AE62" s="1524"/>
      <c r="AF62" s="1521"/>
    </row>
    <row r="63" spans="1:34" ht="15" customHeight="1" thickBot="1">
      <c r="A63" s="78"/>
      <c r="B63" s="159" t="s">
        <v>484</v>
      </c>
      <c r="C63" s="265"/>
      <c r="D63" s="265"/>
      <c r="E63" s="265"/>
      <c r="F63" s="265"/>
      <c r="G63" s="560"/>
      <c r="H63" s="561"/>
      <c r="I63" s="561" t="s">
        <v>196</v>
      </c>
      <c r="J63" s="560"/>
      <c r="K63" s="560"/>
      <c r="L63" s="4291" t="s">
        <v>3584</v>
      </c>
      <c r="M63" s="1010" t="str">
        <f>"("&amp;TaxYear&amp;")"</f>
        <v>(2021)</v>
      </c>
      <c r="N63" s="669"/>
      <c r="O63" s="2859"/>
      <c r="P63" s="558"/>
      <c r="Q63" s="30"/>
      <c r="R63" s="5848">
        <f>0.02*R59</f>
        <v>3998</v>
      </c>
      <c r="S63" s="1523"/>
      <c r="T63" s="1518"/>
      <c r="U63" s="1518"/>
      <c r="V63" s="1519"/>
      <c r="W63" s="1518"/>
      <c r="X63" s="1518"/>
      <c r="Y63" s="1518"/>
      <c r="Z63" s="1518"/>
      <c r="AA63" s="1518"/>
      <c r="AB63" s="1518"/>
      <c r="AC63" s="1518"/>
      <c r="AD63" s="1518"/>
      <c r="AE63" s="1524"/>
      <c r="AF63" s="1521"/>
    </row>
    <row r="64" spans="1:34" ht="13.5" thickBot="1">
      <c r="A64" s="78"/>
      <c r="B64" s="161"/>
      <c r="C64" s="140"/>
      <c r="D64" s="140"/>
      <c r="E64" s="140"/>
      <c r="F64" s="140"/>
      <c r="G64" s="227"/>
      <c r="H64" s="228"/>
      <c r="I64" s="227"/>
      <c r="J64" s="227"/>
      <c r="K64" s="227"/>
      <c r="L64" s="19"/>
      <c r="M64" s="674"/>
      <c r="N64" s="669"/>
      <c r="O64" s="2854"/>
      <c r="P64" s="558"/>
      <c r="Q64" s="30"/>
      <c r="R64" s="5848">
        <f>0.02*R60</f>
        <v>1999</v>
      </c>
      <c r="S64" s="1523"/>
      <c r="T64" s="1525"/>
      <c r="U64" s="1539" t="str">
        <f>IF(OR(U52="X",U31="X"),"",IF(AC54&gt;AC58,"","X"))</f>
        <v/>
      </c>
      <c r="V64" s="2716" t="s">
        <v>414</v>
      </c>
      <c r="W64" s="2716" t="s">
        <v>3561</v>
      </c>
      <c r="X64" s="1518"/>
      <c r="Y64" s="1518"/>
      <c r="Z64" s="1518"/>
      <c r="AA64" s="1518"/>
      <c r="AB64" s="1518"/>
      <c r="AC64" s="1518"/>
      <c r="AD64" s="1518"/>
      <c r="AE64" s="1524"/>
      <c r="AF64" s="1521"/>
    </row>
    <row r="65" spans="1:34" ht="14.25" customHeight="1" thickBot="1">
      <c r="A65" s="78"/>
      <c r="B65" s="4259" t="str">
        <f>"Form 6251  ("&amp;TaxYear&amp;")"</f>
        <v>Form 6251  (2021)</v>
      </c>
      <c r="C65" s="247"/>
      <c r="D65" s="247"/>
      <c r="E65" s="247"/>
      <c r="F65" s="247"/>
      <c r="G65" s="686"/>
      <c r="H65" s="686"/>
      <c r="I65" s="686"/>
      <c r="J65" s="686"/>
      <c r="K65" s="687"/>
      <c r="L65" s="688"/>
      <c r="M65" s="511" t="s">
        <v>3544</v>
      </c>
      <c r="N65" s="670"/>
      <c r="O65" s="2858"/>
      <c r="P65" s="558"/>
      <c r="Q65" s="30"/>
      <c r="R65" s="5848">
        <f>IF(File_Marr_Sep&lt;&gt;"",R64,R63)</f>
        <v>3998</v>
      </c>
      <c r="S65" s="1979"/>
      <c r="T65" s="1980"/>
      <c r="U65" s="1981"/>
      <c r="V65" s="1982"/>
      <c r="W65" s="1983"/>
      <c r="X65" s="1983"/>
      <c r="Y65" s="1983"/>
      <c r="Z65" s="1983"/>
      <c r="AA65" s="1983"/>
      <c r="AB65" s="1983"/>
      <c r="AC65" s="1983"/>
      <c r="AD65" s="1983"/>
      <c r="AE65" s="1984"/>
      <c r="AF65" s="1985"/>
    </row>
    <row r="66" spans="1:34" ht="8.25" customHeight="1">
      <c r="A66" s="78"/>
      <c r="B66" s="325"/>
      <c r="C66" s="265"/>
      <c r="D66" s="265"/>
      <c r="E66" s="265"/>
      <c r="F66" s="265"/>
      <c r="G66" s="560"/>
      <c r="H66" s="560"/>
      <c r="I66" s="560"/>
      <c r="J66" s="560"/>
      <c r="K66" s="691"/>
      <c r="L66" s="692"/>
      <c r="M66" s="562"/>
      <c r="N66" s="670"/>
      <c r="O66" s="2859"/>
      <c r="P66" s="558"/>
      <c r="Q66" s="30"/>
      <c r="R66" s="5853">
        <v>0.26</v>
      </c>
      <c r="S66" s="580"/>
      <c r="T66" s="579"/>
      <c r="U66" s="1908"/>
      <c r="V66" s="682"/>
      <c r="W66" s="263"/>
      <c r="X66" s="263"/>
      <c r="Y66" s="263"/>
      <c r="Z66" s="263"/>
      <c r="AA66" s="263"/>
      <c r="AB66" s="263"/>
      <c r="AC66" s="263"/>
      <c r="AD66" s="263"/>
      <c r="AE66" s="577"/>
      <c r="AF66" s="577"/>
    </row>
    <row r="67" spans="1:34" ht="18.75" thickBot="1">
      <c r="A67" s="78"/>
      <c r="B67" s="382" t="s">
        <v>319</v>
      </c>
      <c r="C67" s="1653" t="s">
        <v>44</v>
      </c>
      <c r="D67" s="276"/>
      <c r="E67" s="326"/>
      <c r="F67" s="326"/>
      <c r="G67" s="685"/>
      <c r="H67" s="685"/>
      <c r="I67" s="685"/>
      <c r="J67" s="685"/>
      <c r="K67" s="685"/>
      <c r="L67" s="685"/>
      <c r="M67" s="256"/>
      <c r="N67" s="671"/>
      <c r="O67" s="2859"/>
      <c r="P67" s="1352" t="str">
        <f>IF(NOT(F6251_Needed),"",IF(F6251_PIII,"Part III is used","Part III is NOT used."))</f>
        <v/>
      </c>
      <c r="Q67" s="45"/>
      <c r="R67" s="5853">
        <v>0.28000000000000003</v>
      </c>
      <c r="S67" s="580"/>
      <c r="T67" s="579"/>
      <c r="U67" s="1908"/>
      <c r="V67" s="682"/>
      <c r="W67" s="263"/>
      <c r="X67" s="263"/>
      <c r="Y67" s="263"/>
      <c r="Z67" s="263"/>
      <c r="AA67" s="263"/>
      <c r="AB67" s="263"/>
      <c r="AC67" s="263"/>
      <c r="AD67" s="263"/>
      <c r="AE67" s="577"/>
      <c r="AF67" s="577"/>
    </row>
    <row r="68" spans="1:34" ht="12.75" customHeight="1" thickBot="1">
      <c r="A68" s="78"/>
      <c r="B68" s="520"/>
      <c r="C68" s="654"/>
      <c r="D68" s="250" t="s">
        <v>2967</v>
      </c>
      <c r="E68" s="327"/>
      <c r="F68" s="327"/>
      <c r="G68" s="689"/>
      <c r="H68" s="689"/>
      <c r="I68" s="689"/>
      <c r="J68" s="689"/>
      <c r="K68" s="689"/>
      <c r="L68" s="689"/>
      <c r="M68" s="690"/>
      <c r="N68" s="671"/>
      <c r="O68" s="2859"/>
      <c r="P68" s="1512" t="str">
        <f>IF(OR(NOT(F6251_Needed),F6251_PIII),"",IF(F6251_PIII,"OVERRIDE","Place 'X' to override --&gt;"))</f>
        <v/>
      </c>
      <c r="Q68" s="1343"/>
      <c r="R68" s="5853"/>
      <c r="S68" s="580"/>
      <c r="T68" s="579"/>
      <c r="U68" s="1908"/>
      <c r="V68" s="2745"/>
      <c r="W68" s="2746"/>
      <c r="X68" s="2746"/>
      <c r="Y68" s="2746"/>
      <c r="Z68" s="2746"/>
      <c r="AA68" s="2746"/>
      <c r="AB68" s="2746"/>
      <c r="AC68" s="2747" t="s">
        <v>2124</v>
      </c>
      <c r="AD68" s="2746"/>
      <c r="AE68" s="577"/>
      <c r="AF68" s="577"/>
    </row>
    <row r="69" spans="1:34" ht="12.75" customHeight="1">
      <c r="A69" s="78"/>
      <c r="B69" s="4257" t="s">
        <v>220</v>
      </c>
      <c r="C69" s="392" t="str">
        <f>"Enter the amount from Form 6251, line "&amp;L47&amp;". If you are filing Form 2555, enter the amount from line 3 of the"</f>
        <v>Enter the amount from Form 6251, line 6. If you are filing Form 2555, enter the amount from line 3 of the</v>
      </c>
      <c r="D69" s="571"/>
      <c r="E69" s="230"/>
      <c r="F69" s="230"/>
      <c r="G69" s="231"/>
      <c r="H69" s="231"/>
      <c r="I69" s="234"/>
      <c r="J69" s="234"/>
      <c r="K69" s="513"/>
      <c r="L69" s="678"/>
      <c r="M69" s="516"/>
      <c r="N69" s="665"/>
      <c r="O69" s="2859"/>
      <c r="P69" s="965"/>
      <c r="Q69" s="30"/>
      <c r="R69" s="5848"/>
      <c r="S69" s="580"/>
      <c r="T69" s="579"/>
      <c r="U69" s="1908"/>
      <c r="V69" s="8919" t="s">
        <v>2976</v>
      </c>
      <c r="W69" s="8920"/>
      <c r="X69" s="8923"/>
      <c r="Y69" s="7828"/>
      <c r="Z69" s="7828"/>
      <c r="AA69" s="2009"/>
      <c r="AB69" s="2009"/>
      <c r="AC69" s="2009"/>
      <c r="AD69" s="2010"/>
      <c r="AE69" s="577"/>
      <c r="AF69" s="577"/>
    </row>
    <row r="70" spans="1:34" ht="12.75" customHeight="1">
      <c r="A70" s="78"/>
      <c r="B70" s="154"/>
      <c r="C70" s="392" t="s">
        <v>3545</v>
      </c>
      <c r="D70" s="178"/>
      <c r="E70" s="230"/>
      <c r="F70" s="230"/>
      <c r="G70" s="231"/>
      <c r="H70" s="231"/>
      <c r="I70" s="231"/>
      <c r="J70" s="231"/>
      <c r="K70" s="1243" t="s">
        <v>1054</v>
      </c>
      <c r="L70" s="249" t="str">
        <f>B69</f>
        <v>12</v>
      </c>
      <c r="M70" s="1373" t="str">
        <f>IF(P70&lt;&gt;"",P70,IF(AND(Form2555_Used,AC110),AC105,IF(AND(F6251_PIII,M47=""),0,IF(F6251_PIII,M47,""))))</f>
        <v/>
      </c>
      <c r="N70" s="666"/>
      <c r="O70" s="2859"/>
      <c r="P70" s="444"/>
      <c r="Q70" s="30"/>
      <c r="R70" s="5911"/>
      <c r="S70" s="580"/>
      <c r="T70" s="579"/>
      <c r="U70" s="1908"/>
      <c r="V70" s="8921"/>
      <c r="W70" s="6764"/>
      <c r="X70" s="8924"/>
      <c r="Y70" s="8925"/>
      <c r="Z70" s="8925"/>
      <c r="AA70" s="2011"/>
      <c r="AB70" s="2011"/>
      <c r="AC70" s="2011"/>
      <c r="AD70" s="2012"/>
      <c r="AE70" s="577"/>
      <c r="AF70" s="577"/>
      <c r="AH70" s="1974" t="b">
        <f>OR(AND(OR(File_Single&lt;&gt;"",File_Head&lt;&gt;""),AltMinTaxInc&lt;$AH$46),AND(OR(File_Marr_Joint&lt;&gt;"",File_Qual_Widow&lt;&gt;""),AltMinTaxInc&lt;$AH$47),AND(File_Marr_Sep&lt;&gt;"",AltMinTaxInc&lt;$AH$48))</f>
        <v>0</v>
      </c>
    </row>
    <row r="71" spans="1:34" ht="15" customHeight="1" thickBot="1">
      <c r="A71" s="78"/>
      <c r="B71" s="155">
        <f>B69+1</f>
        <v>13</v>
      </c>
      <c r="C71" s="392" t="s">
        <v>4216</v>
      </c>
      <c r="D71" s="178"/>
      <c r="E71" s="230"/>
      <c r="F71" s="230"/>
      <c r="G71" s="231"/>
      <c r="H71" s="155"/>
      <c r="I71" s="155"/>
      <c r="J71" s="231"/>
      <c r="K71" s="1243"/>
      <c r="L71" s="683"/>
      <c r="M71" s="515"/>
      <c r="N71" s="666"/>
      <c r="O71" s="2859"/>
      <c r="P71" s="558"/>
      <c r="Q71" s="30"/>
      <c r="R71" s="5912"/>
      <c r="S71" s="580"/>
      <c r="T71" s="579"/>
      <c r="U71" s="1908"/>
      <c r="V71" s="8922"/>
      <c r="W71" s="6765"/>
      <c r="X71" s="8926"/>
      <c r="Y71" s="8926"/>
      <c r="Z71" s="8926"/>
      <c r="AA71" s="2013" t="s">
        <v>744</v>
      </c>
      <c r="AB71" s="2013"/>
      <c r="AC71" s="2013"/>
      <c r="AD71" s="2014"/>
      <c r="AE71" s="577"/>
      <c r="AF71" s="577"/>
      <c r="AH71" s="1286"/>
    </row>
    <row r="72" spans="1:34" ht="15" customHeight="1">
      <c r="A72" s="78"/>
      <c r="B72" s="155"/>
      <c r="C72" s="3544" t="s">
        <v>4217</v>
      </c>
      <c r="D72" s="178"/>
      <c r="E72" s="230"/>
      <c r="F72" s="230"/>
      <c r="G72" s="231"/>
      <c r="H72" s="155"/>
      <c r="I72" s="155"/>
      <c r="J72" s="231"/>
      <c r="K72" s="1243"/>
      <c r="L72" s="684"/>
      <c r="M72" s="515"/>
      <c r="N72" s="666"/>
      <c r="O72" s="2859"/>
      <c r="P72" s="558"/>
      <c r="Q72" s="30"/>
      <c r="R72" s="5911"/>
      <c r="S72" s="580"/>
      <c r="T72" s="579"/>
      <c r="U72" s="1908"/>
      <c r="V72" s="3857" t="s">
        <v>315</v>
      </c>
      <c r="W72" s="3420" t="str">
        <f>"If Form 6251, line 4, is equal to or more than: "&amp;TEXT($AH$46,"$0,000")&amp;" if single or head of household; "</f>
        <v xml:space="preserve">If Form 6251, line 4, is equal to or more than: $818,000 if single or head of household; </v>
      </c>
      <c r="X72" s="3420"/>
      <c r="Y72" s="3420"/>
      <c r="Z72" s="3420"/>
      <c r="AA72" s="3420"/>
      <c r="AB72" s="3420"/>
      <c r="AC72" s="3420"/>
      <c r="AD72" s="3856"/>
      <c r="AE72" s="577"/>
      <c r="AF72" s="577"/>
      <c r="AH72" s="1286"/>
    </row>
    <row r="73" spans="1:34" ht="15" customHeight="1">
      <c r="A73" s="78"/>
      <c r="B73" s="155"/>
      <c r="C73" s="3544" t="s">
        <v>4218</v>
      </c>
      <c r="D73" s="178"/>
      <c r="E73" s="230"/>
      <c r="F73" s="230"/>
      <c r="G73" s="231"/>
      <c r="H73" s="155"/>
      <c r="I73" s="155"/>
      <c r="J73" s="231"/>
      <c r="K73" s="1243"/>
      <c r="L73" s="684"/>
      <c r="M73" s="515"/>
      <c r="N73" s="666"/>
      <c r="O73" s="2123"/>
      <c r="P73" s="1587" t="str">
        <f>IF(Form2555_Used,"&lt;&lt; Hide highlighting.","")</f>
        <v/>
      </c>
      <c r="Q73" s="30"/>
      <c r="R73" s="5912"/>
      <c r="S73" s="580"/>
      <c r="T73" s="579"/>
      <c r="U73" s="1908"/>
      <c r="V73" s="8909" t="str">
        <f>"  "&amp;TEXT($AH$47,"$0,000")&amp;" if married filing jointly or qualifying widow(er); or "&amp;TEXT($AH$48,"$0,000")&amp;" if married filing separately;"</f>
        <v xml:space="preserve">  $1,505,600 if married filing jointly or qualifying widow(er); or $752,800 if married filing separately;</v>
      </c>
      <c r="W73" s="8910"/>
      <c r="X73" s="8910"/>
      <c r="Y73" s="8910"/>
      <c r="Z73" s="8910"/>
      <c r="AA73" s="8910"/>
      <c r="AB73" s="8910"/>
      <c r="AC73" s="8910"/>
      <c r="AD73" s="8911"/>
      <c r="AE73" s="577"/>
      <c r="AF73" s="577"/>
      <c r="AH73" s="1286"/>
    </row>
    <row r="74" spans="1:34" ht="15" customHeight="1">
      <c r="A74" s="78"/>
      <c r="B74" s="155"/>
      <c r="C74" s="392" t="s">
        <v>5739</v>
      </c>
      <c r="D74" s="178"/>
      <c r="E74" s="392" t="s">
        <v>5740</v>
      </c>
      <c r="F74" s="230"/>
      <c r="G74" s="231"/>
      <c r="H74" s="155"/>
      <c r="I74" s="1349"/>
      <c r="J74" s="231"/>
      <c r="K74" s="1243" t="s">
        <v>629</v>
      </c>
      <c r="L74" s="564">
        <f>B71</f>
        <v>13</v>
      </c>
      <c r="M74" s="1373" t="str">
        <f>IF(P74&lt;&gt;"",ROUND(P74,0),IF(NOT(F6251_PIII),"",IF(AND(SchDTW_Used,NOT(CGTW)),'Sch. D WS'!P88,IF(CGTW,'Line 16 (QDCG Tax)'!J34,0))))</f>
        <v/>
      </c>
      <c r="N74" s="666"/>
      <c r="O74" s="2859"/>
      <c r="P74" s="444"/>
      <c r="Q74" s="30"/>
      <c r="R74" s="5911"/>
      <c r="S74" s="580"/>
      <c r="T74" s="579"/>
      <c r="U74" s="1908"/>
      <c r="V74" s="8909" t="s">
        <v>3079</v>
      </c>
      <c r="W74" s="8910"/>
      <c r="X74" s="8910"/>
      <c r="Y74" s="8910"/>
      <c r="Z74" s="8910"/>
      <c r="AA74" s="8910"/>
      <c r="AB74" s="8910"/>
      <c r="AC74" s="8910"/>
      <c r="AD74" s="8911"/>
      <c r="AE74" s="577"/>
      <c r="AF74" s="577"/>
      <c r="AH74" s="1286"/>
    </row>
    <row r="75" spans="1:34" ht="15" customHeight="1">
      <c r="A75" s="78"/>
      <c r="B75" s="155">
        <f>B71+1</f>
        <v>14</v>
      </c>
      <c r="C75" s="392" t="s">
        <v>4202</v>
      </c>
      <c r="D75" s="178"/>
      <c r="E75" s="230"/>
      <c r="F75" s="230"/>
      <c r="G75" s="231"/>
      <c r="H75" s="155"/>
      <c r="I75" s="155"/>
      <c r="J75" s="231"/>
      <c r="K75" s="1243"/>
      <c r="L75" s="684"/>
      <c r="M75" s="515"/>
      <c r="N75" s="666"/>
      <c r="O75" s="2859"/>
      <c r="P75" s="558"/>
      <c r="Q75" s="30"/>
      <c r="R75" s="5912"/>
      <c r="S75" s="580"/>
      <c r="T75" s="579"/>
      <c r="U75" s="1908"/>
      <c r="V75" s="8912" t="s">
        <v>2977</v>
      </c>
      <c r="W75" s="8913"/>
      <c r="X75" s="8913"/>
      <c r="Y75" s="8913"/>
      <c r="Z75" s="8913"/>
      <c r="AA75" s="8913"/>
      <c r="AB75" s="8913"/>
      <c r="AC75" s="8913"/>
      <c r="AD75" s="8914"/>
      <c r="AE75" s="577"/>
      <c r="AF75" s="577"/>
      <c r="AH75" s="1286"/>
    </row>
    <row r="76" spans="1:34" ht="15" customHeight="1" thickBot="1">
      <c r="A76" s="78"/>
      <c r="B76" s="155"/>
      <c r="C76" s="392" t="s">
        <v>3546</v>
      </c>
      <c r="D76" s="178"/>
      <c r="E76" s="230"/>
      <c r="F76" s="230"/>
      <c r="G76" s="231"/>
      <c r="H76" s="155"/>
      <c r="I76" s="154"/>
      <c r="J76" s="231"/>
      <c r="K76" s="1243"/>
      <c r="L76" s="564">
        <f>B75</f>
        <v>14</v>
      </c>
      <c r="M76" s="1373" t="str">
        <f>IF(P76&lt;&gt;"",P76,IF(NOT(F6251_PIII),"",IF(SchDLine19&lt;&gt;"",SchDLine19,0)))</f>
        <v/>
      </c>
      <c r="N76" s="666"/>
      <c r="O76" s="2859"/>
      <c r="P76" s="444"/>
      <c r="Q76" s="30"/>
      <c r="R76" s="1974"/>
      <c r="S76" s="580"/>
      <c r="T76" s="579"/>
      <c r="U76" s="1908"/>
      <c r="V76" s="8897" t="str">
        <f>IF(AND(P1,NOT(AMTExemptionFlag)),"Your AMT Exemption is zero.  See NOTE above.","")</f>
        <v/>
      </c>
      <c r="W76" s="8898"/>
      <c r="X76" s="8898"/>
      <c r="Y76" s="8898"/>
      <c r="Z76" s="8898"/>
      <c r="AA76" s="8898"/>
      <c r="AB76" s="8898"/>
      <c r="AC76" s="8898"/>
      <c r="AD76" s="8899"/>
      <c r="AE76" s="577"/>
      <c r="AF76" s="577"/>
      <c r="AH76" s="1286"/>
    </row>
    <row r="77" spans="1:34" ht="15" customHeight="1">
      <c r="A77" s="78"/>
      <c r="B77" s="155">
        <f>B75+1</f>
        <v>15</v>
      </c>
      <c r="C77" s="392" t="s">
        <v>1053</v>
      </c>
      <c r="D77" s="178"/>
      <c r="E77" s="230"/>
      <c r="F77" s="230"/>
      <c r="G77" s="231"/>
      <c r="H77" s="155"/>
      <c r="I77" s="155"/>
      <c r="J77" s="231"/>
      <c r="K77" s="1243"/>
      <c r="L77" s="684"/>
      <c r="M77" s="515"/>
      <c r="N77" s="666"/>
      <c r="O77" s="2859"/>
      <c r="P77" s="558"/>
      <c r="Q77" s="30"/>
      <c r="R77" s="1974"/>
      <c r="S77" s="580"/>
      <c r="T77" s="579"/>
      <c r="U77" s="1908"/>
      <c r="V77" s="3742">
        <v>1</v>
      </c>
      <c r="W77" s="3739" t="str">
        <f>"Enter: "&amp;TEXT(I42,"$0,000")&amp;" if single or head of household; "&amp;TEXT(I43,"$0,000")&amp;" if married"</f>
        <v>Enter: $73,600 if single or head of household; $114,600 if married</v>
      </c>
      <c r="X77" s="1376"/>
      <c r="Y77" s="1376"/>
      <c r="Z77" s="1988"/>
      <c r="AA77" s="1991"/>
      <c r="AB77" s="1992"/>
      <c r="AC77" s="2000"/>
      <c r="AD77" s="1251"/>
      <c r="AE77" s="577"/>
      <c r="AF77" s="577"/>
      <c r="AH77" s="1286"/>
    </row>
    <row r="78" spans="1:34" ht="15" customHeight="1">
      <c r="A78" s="78"/>
      <c r="B78" s="155"/>
      <c r="C78" s="392" t="s">
        <v>4219</v>
      </c>
      <c r="D78" s="178"/>
      <c r="E78" s="230"/>
      <c r="F78" s="230"/>
      <c r="G78" s="231"/>
      <c r="H78" s="155"/>
      <c r="I78" s="155"/>
      <c r="J78" s="231"/>
      <c r="K78" s="1243"/>
      <c r="L78" s="684"/>
      <c r="M78" s="515"/>
      <c r="N78" s="666"/>
      <c r="O78" s="2859"/>
      <c r="P78" s="558"/>
      <c r="Q78" s="30"/>
      <c r="R78" s="1974"/>
      <c r="S78" s="580"/>
      <c r="T78" s="579"/>
      <c r="U78" s="1908"/>
      <c r="V78" s="1384"/>
      <c r="W78" s="3739" t="str">
        <f>"filing jointly or qualifying widow(er); "&amp;TEXT(I44,"$0,000")&amp;" if married filing"</f>
        <v>filing jointly or qualifying widow(er); $57,300 if married filing</v>
      </c>
      <c r="X78" s="1376"/>
      <c r="Y78" s="1376"/>
      <c r="Z78" s="1988"/>
      <c r="AA78" s="1991"/>
      <c r="AB78" s="1991"/>
      <c r="AC78" s="1991"/>
      <c r="AD78" s="1251"/>
      <c r="AE78" s="577"/>
      <c r="AF78" s="577"/>
      <c r="AH78" s="1286"/>
    </row>
    <row r="79" spans="1:34" ht="15" customHeight="1">
      <c r="A79" s="78"/>
      <c r="B79" s="155"/>
      <c r="C79" s="392" t="s">
        <v>4220</v>
      </c>
      <c r="D79" s="178"/>
      <c r="E79" s="230"/>
      <c r="F79" s="230"/>
      <c r="G79" s="231"/>
      <c r="H79" s="155"/>
      <c r="I79" s="155"/>
      <c r="J79" s="231"/>
      <c r="K79" s="1243"/>
      <c r="L79" s="684"/>
      <c r="M79" s="515"/>
      <c r="N79" s="666"/>
      <c r="O79" s="2859"/>
      <c r="P79" s="558"/>
      <c r="Q79" s="30"/>
      <c r="R79" s="1974"/>
      <c r="S79" s="580"/>
      <c r="T79" s="579"/>
      <c r="U79" s="1908"/>
      <c r="V79" s="1384"/>
      <c r="W79" s="3739" t="s">
        <v>539</v>
      </c>
      <c r="X79" s="1376"/>
      <c r="Y79" s="1376"/>
      <c r="Z79" s="1988"/>
      <c r="AA79" s="1989" t="s">
        <v>2212</v>
      </c>
      <c r="AB79" s="1990">
        <f>V77</f>
        <v>1</v>
      </c>
      <c r="AC79" s="1986" t="str">
        <f>IF(NOT(AMTExemptionFlag),"",IF(OR(File_Single&lt;&gt;"",File_Head&lt;&gt;""),I42,IF(OR(File_Marr_Joint&lt;&gt;"",File_Qual_Widow&lt;&gt;""),I43,IF(File_Marr_Sep&lt;&gt;"",I44,""))))</f>
        <v/>
      </c>
      <c r="AD79" s="1251"/>
      <c r="AE79" s="577"/>
      <c r="AF79" s="577"/>
      <c r="AH79" s="1286"/>
    </row>
    <row r="80" spans="1:34" ht="15" customHeight="1">
      <c r="A80" s="78"/>
      <c r="B80" s="155"/>
      <c r="C80" s="392" t="s">
        <v>2968</v>
      </c>
      <c r="D80" s="178"/>
      <c r="E80" s="230"/>
      <c r="F80" s="230"/>
      <c r="G80" s="231"/>
      <c r="H80" s="155"/>
      <c r="I80" s="154"/>
      <c r="J80" s="231"/>
      <c r="K80" s="1243" t="s">
        <v>1075</v>
      </c>
      <c r="L80" s="564">
        <f>B77</f>
        <v>15</v>
      </c>
      <c r="M80" s="1373" t="str">
        <f>IF(P80&lt;&gt;"",P80,IF(NOT(F6251_PIII),"",IF(NOT(SchDTW_Used),M74,MIN(SUM(M74,M76),'Sch. D WS'!L85))))</f>
        <v/>
      </c>
      <c r="N80" s="666"/>
      <c r="O80" s="2859"/>
      <c r="P80" s="444"/>
      <c r="Q80" s="30"/>
      <c r="R80" s="1974"/>
      <c r="S80" s="580"/>
      <c r="T80" s="579"/>
      <c r="U80" s="1908"/>
      <c r="V80" s="3742">
        <v>2</v>
      </c>
      <c r="W80" s="1536" t="s">
        <v>538</v>
      </c>
      <c r="X80" s="1376"/>
      <c r="Y80" s="1376"/>
      <c r="Z80" s="1992"/>
      <c r="AA80" s="1991"/>
      <c r="AB80" s="1992"/>
      <c r="AC80" s="2000"/>
      <c r="AD80" s="1251"/>
      <c r="AE80" s="577"/>
      <c r="AF80" s="577"/>
      <c r="AH80" s="1286"/>
    </row>
    <row r="81" spans="1:34" ht="15" customHeight="1">
      <c r="A81" s="78"/>
      <c r="B81" s="154">
        <f>B77+1</f>
        <v>16</v>
      </c>
      <c r="C81" s="392" t="s">
        <v>3547</v>
      </c>
      <c r="D81" s="178"/>
      <c r="E81" s="230"/>
      <c r="F81" s="230"/>
      <c r="G81" s="231"/>
      <c r="H81" s="231"/>
      <c r="I81" s="231"/>
      <c r="J81" s="231"/>
      <c r="K81" s="1243" t="s">
        <v>1075</v>
      </c>
      <c r="L81" s="249">
        <f>B81</f>
        <v>16</v>
      </c>
      <c r="M81" s="1373" t="str">
        <f>IF(NOT(F6251_PIII),"",MIN(M70,M80))</f>
        <v/>
      </c>
      <c r="N81" s="666"/>
      <c r="O81" s="2859"/>
      <c r="P81" s="558"/>
      <c r="Q81" s="434"/>
      <c r="R81" s="1974"/>
      <c r="S81" s="580"/>
      <c r="T81" s="579"/>
      <c r="U81" s="1908"/>
      <c r="V81" s="3744"/>
      <c r="W81" s="1537" t="s">
        <v>2978</v>
      </c>
      <c r="X81" s="1386"/>
      <c r="Y81" s="2804" t="s">
        <v>2211</v>
      </c>
      <c r="Z81" s="1993">
        <f>V80</f>
        <v>2</v>
      </c>
      <c r="AA81" s="1986" t="str">
        <f>IF(NOT(AMTExemptionFlag),"",AltMinTaxInc)</f>
        <v/>
      </c>
      <c r="AB81" s="2002"/>
      <c r="AC81" s="2004"/>
      <c r="AD81" s="2005"/>
      <c r="AE81" s="577"/>
      <c r="AF81" s="577"/>
      <c r="AH81" s="1286"/>
    </row>
    <row r="82" spans="1:34" ht="15" customHeight="1">
      <c r="A82" s="78"/>
      <c r="B82" s="154">
        <f>B81+1</f>
        <v>17</v>
      </c>
      <c r="C82" s="392" t="str">
        <f>"Subtract line "&amp;L81&amp;" from line "&amp;L70</f>
        <v>Subtract line 16 from line 12</v>
      </c>
      <c r="D82" s="178"/>
      <c r="E82" s="230"/>
      <c r="F82" s="230"/>
      <c r="G82" s="231"/>
      <c r="H82" s="231"/>
      <c r="I82" s="231"/>
      <c r="J82" s="231"/>
      <c r="K82" s="1243" t="s">
        <v>2969</v>
      </c>
      <c r="L82" s="249">
        <f>B82</f>
        <v>17</v>
      </c>
      <c r="M82" s="1373" t="str">
        <f>IF(P82&lt;&gt;"",P82,IF(NOT(F6251_PIII),"",SUM(M70,-M81)))</f>
        <v/>
      </c>
      <c r="N82" s="666"/>
      <c r="O82" s="2859"/>
      <c r="P82" s="444"/>
      <c r="Q82" s="434"/>
      <c r="R82" s="1974"/>
      <c r="S82" s="580"/>
      <c r="T82" s="579"/>
      <c r="U82" s="1908"/>
      <c r="V82" s="3743"/>
      <c r="W82" s="1249"/>
      <c r="X82" s="1376"/>
      <c r="Y82" s="1376"/>
      <c r="Z82" s="1998"/>
      <c r="AA82" s="2000"/>
      <c r="AB82" s="2001"/>
      <c r="AC82" s="2000"/>
      <c r="AD82" s="1251"/>
      <c r="AE82" s="577"/>
      <c r="AF82" s="577"/>
      <c r="AH82" s="1286"/>
    </row>
    <row r="83" spans="1:34" ht="15" customHeight="1">
      <c r="A83" s="78"/>
      <c r="B83" s="154">
        <f>B82+1</f>
        <v>18</v>
      </c>
      <c r="C83" s="273" t="str">
        <f>"If  line "&amp;L82&amp;" is "&amp;TEXT(R59,"$0,000")&amp;" or  less  ("&amp;TEXT(R60,"$0,000")&amp;" or less if married filing separately),"</f>
        <v>If  line 17 is $199,900 or  less  ($99,950 or less if married filing separately),</v>
      </c>
      <c r="D83" s="273"/>
      <c r="E83" s="230"/>
      <c r="F83" s="230"/>
      <c r="G83" s="231"/>
      <c r="H83" s="569" t="str">
        <f>"multiply line "&amp;L82&amp;" by "&amp;TEXT(R66,"0%")&amp;" ("&amp;TEXT(R66,"0.00")&amp;")."</f>
        <v>multiply line 17 by 26% (0.26).</v>
      </c>
      <c r="I83" s="231"/>
      <c r="J83" s="231"/>
      <c r="K83" s="154"/>
      <c r="L83" s="225"/>
      <c r="M83" s="514"/>
      <c r="N83" s="665"/>
      <c r="O83" s="2859"/>
      <c r="P83" s="558"/>
      <c r="Q83" s="434"/>
      <c r="R83" s="1974"/>
      <c r="S83" s="580"/>
      <c r="T83" s="579"/>
      <c r="U83" s="1908"/>
      <c r="V83" s="3742">
        <v>3</v>
      </c>
      <c r="W83" s="3739" t="str">
        <f>"Enter: "&amp;TEXT(G42,"$0,000")&amp;" if single or head of household;"</f>
        <v>Enter: $523,600 if single or head of household;</v>
      </c>
      <c r="X83" s="1376"/>
      <c r="Y83" s="1376"/>
      <c r="Z83" s="1992"/>
      <c r="AA83" s="1991"/>
      <c r="AB83" s="1992"/>
      <c r="AC83" s="2000"/>
      <c r="AD83" s="1251"/>
      <c r="AE83" s="577"/>
      <c r="AF83" s="577"/>
      <c r="AH83" s="1286"/>
    </row>
    <row r="84" spans="1:34" ht="15" customHeight="1">
      <c r="A84" s="78"/>
      <c r="B84" s="154"/>
      <c r="C84" s="555" t="str">
        <f>"Otherwise, multiply line "&amp;L82&amp;" by "&amp;TEXT(R67,"0%")&amp;" ("&amp;TEXT(R67,"0.00")&amp;") and subtract "&amp;TEXT(R63,"$0,000")&amp;" ("&amp;TEXT(R64,"$0,000")&amp;" if married filing separate) from the result"</f>
        <v>Otherwise, multiply line 17 by 28% (0.28) and subtract $3,998 ($1,999 if married filing separate) from the result</v>
      </c>
      <c r="D84" s="273"/>
      <c r="E84" s="230"/>
      <c r="F84" s="230"/>
      <c r="G84" s="231"/>
      <c r="H84" s="231"/>
      <c r="I84" s="231"/>
      <c r="J84" s="231"/>
      <c r="K84" s="4261"/>
      <c r="L84" s="249">
        <f>B83</f>
        <v>18</v>
      </c>
      <c r="M84" s="1373" t="str">
        <f>IF(P84&lt;&gt;"",P84,IF(NOT(F6251_PIII),"",IF(M82&lt;=R61,ROUND(M82*R66,0),ROUND((M82*R67)-R65,0))))</f>
        <v/>
      </c>
      <c r="N84" s="665"/>
      <c r="O84" s="2859"/>
      <c r="P84" s="444"/>
      <c r="Q84" s="434"/>
      <c r="R84" s="1974"/>
      <c r="S84" s="580"/>
      <c r="T84" s="579"/>
      <c r="U84" s="1908"/>
      <c r="V84" s="1248"/>
      <c r="W84" s="3739" t="str">
        <f>TEXT(G43,"$0,000")&amp;" if married filing jointly or qualifying widow(er); "</f>
        <v xml:space="preserve">$1,047,200 if married filing jointly or qualifying widow(er); </v>
      </c>
      <c r="X84" s="1376"/>
      <c r="Y84" s="1376"/>
      <c r="Z84" s="1992"/>
      <c r="AA84" s="1991"/>
      <c r="AB84" s="1992"/>
      <c r="AC84" s="2000"/>
      <c r="AD84" s="1251"/>
      <c r="AE84" s="577"/>
      <c r="AF84" s="577"/>
    </row>
    <row r="85" spans="1:34" ht="15" customHeight="1">
      <c r="A85" s="78"/>
      <c r="B85" s="154">
        <f>B83+1</f>
        <v>19</v>
      </c>
      <c r="C85" s="392" t="s">
        <v>355</v>
      </c>
      <c r="D85" s="273"/>
      <c r="E85" s="230"/>
      <c r="F85" s="230"/>
      <c r="G85" s="231"/>
      <c r="H85" s="231"/>
      <c r="I85" s="231"/>
      <c r="J85" s="231"/>
      <c r="K85" s="1243"/>
      <c r="L85" s="683"/>
      <c r="M85" s="559"/>
      <c r="N85" s="665"/>
      <c r="O85" s="2859"/>
      <c r="P85" s="558"/>
      <c r="Q85" s="434"/>
      <c r="R85" s="1974"/>
      <c r="S85" s="262"/>
      <c r="T85" s="579"/>
      <c r="U85" s="263"/>
      <c r="V85" s="1999"/>
      <c r="W85" s="1537" t="str">
        <f>TEXT(G44,"$0,000")&amp;" if married filing separately"</f>
        <v>$523,600 if married filing separately</v>
      </c>
      <c r="X85" s="1386"/>
      <c r="Y85" s="2804" t="s">
        <v>1048</v>
      </c>
      <c r="Z85" s="1993">
        <f>V83</f>
        <v>3</v>
      </c>
      <c r="AA85" s="1986" t="str">
        <f>IF(NOT(AMTExemptionFlag),"",IF(OR(File_Single&lt;&gt;"",File_Head&lt;&gt;""),G42,IF(OR(File_Marr_Joint&lt;&gt;"",File_Qual_Widow&lt;&gt;""),G43,IF(File_Marr_Sep&lt;&gt;"",G44,""))))</f>
        <v/>
      </c>
      <c r="AB85" s="2003"/>
      <c r="AC85" s="2004"/>
      <c r="AD85" s="2005"/>
      <c r="AE85" s="577"/>
      <c r="AF85" s="577"/>
    </row>
    <row r="86" spans="1:34" ht="13.5" customHeight="1">
      <c r="A86" s="78"/>
      <c r="B86" s="154"/>
      <c r="C86" s="679" t="s">
        <v>340</v>
      </c>
      <c r="D86" s="392" t="str">
        <f>TEXT(R86,"$0,000")&amp;" if married filing jointly or qualifying widow(er),"</f>
        <v>$80,800 if married filing jointly or qualifying widow(er),</v>
      </c>
      <c r="E86" s="230"/>
      <c r="F86" s="230"/>
      <c r="G86" s="231"/>
      <c r="H86" s="231"/>
      <c r="I86" s="231"/>
      <c r="J86" s="231"/>
      <c r="K86" s="1243"/>
      <c r="L86" s="684"/>
      <c r="M86" s="559"/>
      <c r="N86" s="665"/>
      <c r="O86" s="2859"/>
      <c r="P86" s="558"/>
      <c r="Q86" s="434"/>
      <c r="R86" s="1344">
        <v>80800</v>
      </c>
      <c r="S86" s="235"/>
      <c r="T86" s="580"/>
      <c r="U86" s="263"/>
      <c r="V86" s="3742">
        <v>4</v>
      </c>
      <c r="W86" s="1536" t="s">
        <v>474</v>
      </c>
      <c r="X86" s="1376"/>
      <c r="Y86" s="1376"/>
      <c r="Z86" s="1992"/>
      <c r="AA86" s="1991"/>
      <c r="AB86" s="1992"/>
      <c r="AC86" s="2000"/>
      <c r="AD86" s="1251"/>
      <c r="AE86" s="577"/>
      <c r="AF86" s="577"/>
    </row>
    <row r="87" spans="1:34" ht="14.25" customHeight="1">
      <c r="A87" s="78"/>
      <c r="B87" s="154"/>
      <c r="C87" s="679" t="s">
        <v>340</v>
      </c>
      <c r="D87" s="392" t="str">
        <f>TEXT(R87,"$0,000")&amp;" if single or married filing separately, or"</f>
        <v>$40,400 if single or married filing separately, or</v>
      </c>
      <c r="E87" s="230"/>
      <c r="F87" s="230"/>
      <c r="G87" s="231"/>
      <c r="H87" s="231"/>
      <c r="I87" s="155"/>
      <c r="J87" s="231"/>
      <c r="K87" s="1243" t="s">
        <v>572</v>
      </c>
      <c r="L87" s="564">
        <f>B85</f>
        <v>19</v>
      </c>
      <c r="M87" s="1373" t="str">
        <f>IF(NOT(F6251_PIII),"",IF(OR(File_Marr_Joint&lt;&gt;"",File_Qual_Widow&lt;&gt;""),R86,IF(OR(File_Single&lt;&gt;"",File_Marr_Sep&lt;&gt;""),R87,IF(File_Head&lt;&gt;"",R88,"Filing Status?"))))</f>
        <v/>
      </c>
      <c r="N87" s="665"/>
      <c r="O87" s="2859"/>
      <c r="P87" s="558"/>
      <c r="Q87" s="434"/>
      <c r="R87" s="1344">
        <v>40400</v>
      </c>
      <c r="S87" s="235"/>
      <c r="T87" s="878"/>
      <c r="U87" s="981"/>
      <c r="V87" s="3743"/>
      <c r="W87" s="3739" t="s">
        <v>2979</v>
      </c>
      <c r="X87" s="1376"/>
      <c r="Y87" s="2001" t="s">
        <v>2980</v>
      </c>
      <c r="Z87" s="1998">
        <f>V86</f>
        <v>4</v>
      </c>
      <c r="AA87" s="1986" t="str">
        <f>IF(OR(NOT(AMTExemptionFlag),AA85=""),"",IF(AA81-AA85&lt;=0,0,AA81-AA85))</f>
        <v/>
      </c>
      <c r="AB87" s="2001"/>
      <c r="AC87" s="2000"/>
      <c r="AD87" s="1251"/>
      <c r="AE87" s="577"/>
      <c r="AF87" s="577"/>
      <c r="AH87" s="3858" t="str">
        <f>IF(OR(File_Single&lt;&gt;"",File_Head&lt;&gt;""),AH46,IF(File_Marr_Joint&lt;&gt;"",AH47,IF(File_Marr_Sep&lt;&gt;"",AH48,"Filing status?")))</f>
        <v>Filing status?</v>
      </c>
    </row>
    <row r="88" spans="1:34" ht="14.25">
      <c r="A88" s="78"/>
      <c r="B88" s="154"/>
      <c r="C88" s="679" t="s">
        <v>340</v>
      </c>
      <c r="D88" s="392" t="str">
        <f>TEXT(R88,"$0,000")&amp;" if head of household."</f>
        <v>$54,100 if head of household.</v>
      </c>
      <c r="E88" s="230"/>
      <c r="F88" s="230"/>
      <c r="G88" s="231"/>
      <c r="H88" s="231"/>
      <c r="I88" s="231"/>
      <c r="J88" s="231"/>
      <c r="K88" s="1243"/>
      <c r="L88" s="240"/>
      <c r="M88" s="1859"/>
      <c r="N88" s="665"/>
      <c r="O88" s="2859"/>
      <c r="P88" s="558"/>
      <c r="Q88" s="30"/>
      <c r="R88" s="1344">
        <v>54100</v>
      </c>
      <c r="S88" s="263"/>
      <c r="T88" s="262"/>
      <c r="U88" s="982"/>
      <c r="V88" s="3742">
        <v>5</v>
      </c>
      <c r="W88" s="1536" t="str">
        <f>"Multiply line 4 by "&amp;TEXT(AF104,"0%")&amp;" ("&amp;TEXT(AF104,"0.00")&amp;")"</f>
        <v>Multiply line 4 by 25% (0.25)</v>
      </c>
      <c r="X88" s="1536"/>
      <c r="Y88" s="1536"/>
      <c r="Z88" s="1988"/>
      <c r="AA88" s="3740" t="s">
        <v>567</v>
      </c>
      <c r="AB88" s="1990">
        <f>V88</f>
        <v>5</v>
      </c>
      <c r="AC88" s="1986" t="str">
        <f>IF(OR(NOT(AMTExemptionFlag),AA85=""),"",ROUND(AF104*AA87,0))</f>
        <v/>
      </c>
      <c r="AD88" s="1251"/>
      <c r="AE88" s="577"/>
      <c r="AF88" s="577"/>
      <c r="AH88" s="3859" t="b">
        <f>AND(P1,AltMinTaxInc&gt;=AH87)</f>
        <v>0</v>
      </c>
    </row>
    <row r="89" spans="1:34" ht="12.75" customHeight="1">
      <c r="A89" s="78"/>
      <c r="B89" s="155">
        <f>B85+1</f>
        <v>20</v>
      </c>
      <c r="C89" s="392" t="s">
        <v>4221</v>
      </c>
      <c r="D89" s="178"/>
      <c r="E89" s="230"/>
      <c r="F89" s="230"/>
      <c r="G89" s="231"/>
      <c r="H89" s="155"/>
      <c r="I89" s="155"/>
      <c r="J89" s="231"/>
      <c r="K89" s="1243"/>
      <c r="L89" s="240"/>
      <c r="M89" s="1429"/>
      <c r="N89" s="666"/>
      <c r="O89" s="2859"/>
      <c r="P89" s="558"/>
      <c r="Q89" s="30"/>
      <c r="R89" s="5854" t="b">
        <f>OR(SchDTW_Used,CGTW)</f>
        <v>0</v>
      </c>
      <c r="S89" s="263"/>
      <c r="T89" s="262"/>
      <c r="U89" s="982"/>
      <c r="V89" s="3742">
        <v>6</v>
      </c>
      <c r="W89" s="1536" t="s">
        <v>61</v>
      </c>
      <c r="X89" s="1536"/>
      <c r="Y89" s="1536"/>
      <c r="Z89" s="1536"/>
      <c r="AA89" s="3741"/>
      <c r="AB89" s="1992"/>
      <c r="AC89" s="2006"/>
      <c r="AD89" s="1251"/>
      <c r="AE89" s="577"/>
      <c r="AF89" s="577"/>
    </row>
    <row r="90" spans="1:34" ht="14.25" customHeight="1">
      <c r="A90" s="78"/>
      <c r="B90" s="155"/>
      <c r="C90" s="3544" t="s">
        <v>3548</v>
      </c>
      <c r="D90" s="178"/>
      <c r="E90" s="230"/>
      <c r="F90" s="230"/>
      <c r="G90" s="231"/>
      <c r="H90" s="155"/>
      <c r="I90" s="155"/>
      <c r="J90" s="231"/>
      <c r="K90" s="1243"/>
      <c r="L90" s="240"/>
      <c r="M90" s="1429"/>
      <c r="N90" s="666"/>
      <c r="O90" s="2859"/>
      <c r="P90" s="1858" t="str">
        <f>IF(AND(P1,OR(P92&lt;&gt;"",$R$90,F6251_PIII)),"Line "&amp;L92&amp;" Source:","")</f>
        <v/>
      </c>
      <c r="Q90" s="30"/>
      <c r="R90" s="5854" t="b">
        <f>AND(Form2555_Used,NOT(R89))</f>
        <v>0</v>
      </c>
      <c r="S90" s="235"/>
      <c r="T90" s="235"/>
      <c r="U90" s="263"/>
      <c r="V90" s="1987"/>
      <c r="W90" s="3739" t="s">
        <v>4230</v>
      </c>
      <c r="X90" s="1536"/>
      <c r="Y90" s="1536"/>
      <c r="Z90" s="1536"/>
      <c r="AA90" s="3741"/>
      <c r="AB90" s="1992"/>
      <c r="AC90" s="2007"/>
      <c r="AD90" s="1251"/>
      <c r="AE90" s="577"/>
      <c r="AF90" s="577"/>
    </row>
    <row r="91" spans="1:34" ht="14.25" customHeight="1">
      <c r="A91" s="78"/>
      <c r="B91" s="155"/>
      <c r="C91" s="3544" t="s">
        <v>4222</v>
      </c>
      <c r="D91" s="178"/>
      <c r="E91" s="230"/>
      <c r="F91" s="230"/>
      <c r="G91" s="231"/>
      <c r="H91" s="155"/>
      <c r="I91" s="155"/>
      <c r="J91" s="231"/>
      <c r="K91" s="1243"/>
      <c r="L91" s="240"/>
      <c r="M91" s="515"/>
      <c r="N91" s="666"/>
      <c r="O91" s="2859"/>
      <c r="P91" s="1858" t="str">
        <f>IF(NOT(P1),"",IF(P92&lt;&gt;"","Manual override",IF($R$90,"Foreign Income Tax Workseet",IF(NOT(F6251_PIII),"",IF(SchDTW_Used,"Sch. D Tax WS",IF(CGTW,"Sch. D WS",IF(Taxable_Inc&gt;0,"Form 1040, line "&amp;TaxLine_1040)))))))</f>
        <v/>
      </c>
      <c r="Q91" s="30"/>
      <c r="R91" s="1974"/>
      <c r="S91" s="235"/>
      <c r="T91" s="235"/>
      <c r="U91" s="263"/>
      <c r="V91" s="1248"/>
      <c r="W91" s="8900" t="s">
        <v>2981</v>
      </c>
      <c r="X91" s="8901"/>
      <c r="Y91" s="8901"/>
      <c r="Z91" s="8901"/>
      <c r="AA91" s="8901"/>
      <c r="AB91" s="1990">
        <f>V89</f>
        <v>6</v>
      </c>
      <c r="AC91" s="1986" t="str">
        <f>IF(OR(NOT(AMTExemptionFlag),AA85=""),"",MAX(0,AC79-AC88))</f>
        <v/>
      </c>
      <c r="AD91" s="1251"/>
      <c r="AE91" s="577"/>
      <c r="AF91" s="577"/>
    </row>
    <row r="92" spans="1:34" ht="14.25" customHeight="1" thickBot="1">
      <c r="A92" s="78"/>
      <c r="B92" s="155"/>
      <c r="C92" s="3544" t="s">
        <v>5741</v>
      </c>
      <c r="D92" s="178"/>
      <c r="E92" s="230"/>
      <c r="F92" s="392" t="s">
        <v>5740</v>
      </c>
      <c r="G92" s="231"/>
      <c r="H92" s="155"/>
      <c r="I92" s="548"/>
      <c r="J92" s="231"/>
      <c r="K92" s="1243" t="s">
        <v>535</v>
      </c>
      <c r="L92" s="564">
        <f>B89</f>
        <v>20</v>
      </c>
      <c r="M92" s="1373" t="str">
        <f>IF(P92&lt;&gt;"",ROUND(P92,0),IF($R$90,$AC$119,IF(OR(NOT(P1),NOT(F6251_PIII)),"",IF(SchDTW_Used,'Sch. D WS'!P89,IF(CGTW,CGTW_Line5,IF(Taxable_Inc&gt;0,Taxable_Inc,0))))))</f>
        <v/>
      </c>
      <c r="N92" s="666"/>
      <c r="O92" s="2859"/>
      <c r="P92" s="444"/>
      <c r="Q92" s="30"/>
      <c r="R92" s="1974"/>
      <c r="S92" s="235"/>
      <c r="T92" s="263"/>
      <c r="U92" s="263"/>
      <c r="V92" s="1254"/>
      <c r="W92" s="1994"/>
      <c r="X92" s="1899"/>
      <c r="Y92" s="1899"/>
      <c r="Z92" s="1995"/>
      <c r="AA92" s="1996"/>
      <c r="AB92" s="1997"/>
      <c r="AC92" s="2008"/>
      <c r="AD92" s="1388"/>
      <c r="AE92" s="577"/>
      <c r="AF92" s="577"/>
    </row>
    <row r="93" spans="1:34" ht="14.25" customHeight="1" thickBot="1">
      <c r="A93" s="78"/>
      <c r="B93" s="155">
        <f>B89+1</f>
        <v>21</v>
      </c>
      <c r="C93" s="392" t="s">
        <v>1790</v>
      </c>
      <c r="D93" s="178"/>
      <c r="E93" s="230"/>
      <c r="F93" s="230"/>
      <c r="G93" s="231"/>
      <c r="H93" s="155"/>
      <c r="I93" s="154"/>
      <c r="J93" s="231"/>
      <c r="K93" s="1243" t="s">
        <v>2126</v>
      </c>
      <c r="L93" s="564">
        <f>B93</f>
        <v>21</v>
      </c>
      <c r="M93" s="1373" t="str">
        <f>IF(NOT(F6251_PIII),"",IF(ISERROR(SUM(M87,-M92)),M87,IF(SUM(M87,-M92)&lt;0,0,SUM(M87,-M92))))</f>
        <v/>
      </c>
      <c r="N93" s="666"/>
      <c r="O93" s="2859"/>
      <c r="P93" s="558"/>
      <c r="Q93" s="30"/>
      <c r="R93" s="1974"/>
      <c r="S93" s="235"/>
      <c r="T93" s="235"/>
      <c r="U93" s="263"/>
      <c r="V93" s="682"/>
      <c r="W93" s="263"/>
      <c r="X93" s="263"/>
      <c r="Y93" s="263"/>
      <c r="Z93" s="263"/>
      <c r="AA93" s="263"/>
      <c r="AB93" s="263"/>
      <c r="AC93" s="263"/>
      <c r="AD93" s="263"/>
      <c r="AE93" s="577"/>
      <c r="AF93" s="577"/>
    </row>
    <row r="94" spans="1:34" ht="14.25" customHeight="1">
      <c r="A94" s="78"/>
      <c r="B94" s="155">
        <f>B93+1</f>
        <v>22</v>
      </c>
      <c r="C94" s="392" t="s">
        <v>3549</v>
      </c>
      <c r="D94" s="178"/>
      <c r="E94" s="230"/>
      <c r="F94" s="230"/>
      <c r="G94" s="231"/>
      <c r="H94" s="155"/>
      <c r="I94" s="155"/>
      <c r="J94" s="231"/>
      <c r="K94" s="1243" t="s">
        <v>299</v>
      </c>
      <c r="L94" s="564">
        <f t="shared" ref="L94:L102" si="2">B94</f>
        <v>22</v>
      </c>
      <c r="M94" s="1373" t="str">
        <f>IF(NOT(F6251_PIII),"",MIN(M70,M74))</f>
        <v/>
      </c>
      <c r="N94" s="666"/>
      <c r="O94" s="2859"/>
      <c r="P94" s="567"/>
      <c r="Q94" s="30"/>
      <c r="R94" s="1974"/>
      <c r="S94" s="235"/>
      <c r="T94" s="235"/>
      <c r="U94" s="263"/>
      <c r="V94" s="2015"/>
      <c r="W94" s="2016"/>
      <c r="X94" s="8923"/>
      <c r="Y94" s="7828"/>
      <c r="Z94" s="7828"/>
      <c r="AA94" s="2009"/>
      <c r="AB94" s="2009"/>
      <c r="AC94" s="2009"/>
      <c r="AD94" s="2010"/>
      <c r="AF94" s="577"/>
    </row>
    <row r="95" spans="1:34" ht="14.25" customHeight="1">
      <c r="A95" s="78"/>
      <c r="B95" s="155">
        <f>B94+1</f>
        <v>23</v>
      </c>
      <c r="C95" s="392" t="s">
        <v>3550</v>
      </c>
      <c r="D95" s="178"/>
      <c r="E95" s="230"/>
      <c r="F95" s="230"/>
      <c r="G95" s="231"/>
      <c r="H95" s="155"/>
      <c r="I95" s="154"/>
      <c r="J95" s="231"/>
      <c r="K95" s="1243" t="s">
        <v>802</v>
      </c>
      <c r="L95" s="564">
        <f t="shared" si="2"/>
        <v>23</v>
      </c>
      <c r="M95" s="1373" t="str">
        <f>IF(NOT(F6251_PIII),"",MIN(M93,M94))</f>
        <v/>
      </c>
      <c r="N95" s="666"/>
      <c r="O95" s="2859"/>
      <c r="P95" s="567"/>
      <c r="Q95" s="30"/>
      <c r="R95" s="1974"/>
      <c r="S95" s="235"/>
      <c r="T95" s="235"/>
      <c r="U95" s="263"/>
      <c r="V95" s="3746" t="s">
        <v>2982</v>
      </c>
      <c r="W95" s="2017"/>
      <c r="X95" s="2017"/>
      <c r="Y95" s="2011"/>
      <c r="Z95" s="2011"/>
      <c r="AA95" s="2011"/>
      <c r="AB95" s="2011"/>
      <c r="AC95" s="2011"/>
      <c r="AD95" s="2012"/>
      <c r="AF95" s="577"/>
    </row>
    <row r="96" spans="1:34" ht="14.25" customHeight="1" thickBot="1">
      <c r="A96" s="78"/>
      <c r="B96" s="155">
        <f>B95+1</f>
        <v>24</v>
      </c>
      <c r="C96" s="392" t="s">
        <v>3551</v>
      </c>
      <c r="D96" s="178"/>
      <c r="E96" s="230"/>
      <c r="F96" s="230"/>
      <c r="G96" s="231"/>
      <c r="H96" s="155"/>
      <c r="I96" s="154"/>
      <c r="J96" s="231"/>
      <c r="K96" s="1243" t="s">
        <v>2969</v>
      </c>
      <c r="L96" s="564">
        <f t="shared" si="2"/>
        <v>24</v>
      </c>
      <c r="M96" s="1511" t="str">
        <f>IF(NOT(F6251_PIII),"",SUM(M94,-M95))</f>
        <v/>
      </c>
      <c r="N96" s="666"/>
      <c r="O96" s="2859"/>
      <c r="P96" s="567"/>
      <c r="Q96" s="30"/>
      <c r="R96" s="1974"/>
      <c r="S96" s="235"/>
      <c r="T96" s="235"/>
      <c r="U96" s="263"/>
      <c r="V96" s="2018"/>
      <c r="W96" s="2019"/>
      <c r="X96" s="2019"/>
      <c r="Y96" s="2013"/>
      <c r="Z96" s="2013"/>
      <c r="AA96" s="2013"/>
      <c r="AB96" s="2032" t="s">
        <v>175</v>
      </c>
      <c r="AC96" s="2032"/>
      <c r="AD96" s="2014"/>
      <c r="AF96" s="577"/>
    </row>
    <row r="97" spans="1:32" ht="14.25" customHeight="1">
      <c r="A97" s="78"/>
      <c r="B97" s="155">
        <f>B96+1</f>
        <v>25</v>
      </c>
      <c r="C97" s="392" t="s">
        <v>355</v>
      </c>
      <c r="D97" s="178"/>
      <c r="E97" s="230"/>
      <c r="F97" s="230"/>
      <c r="G97" s="231"/>
      <c r="H97" s="155"/>
      <c r="I97" s="154"/>
      <c r="J97" s="231"/>
      <c r="K97" s="1243"/>
      <c r="L97" s="684"/>
      <c r="M97" s="559"/>
      <c r="N97" s="666"/>
      <c r="O97" s="2859"/>
      <c r="P97" s="567"/>
      <c r="Q97" s="30"/>
      <c r="R97" s="1974"/>
      <c r="S97" s="235"/>
      <c r="T97" s="235"/>
      <c r="U97" s="263"/>
      <c r="V97" s="3745" t="s">
        <v>1713</v>
      </c>
      <c r="W97" s="2020"/>
      <c r="X97" s="2021" t="s">
        <v>2983</v>
      </c>
      <c r="Y97" s="2020"/>
      <c r="Z97" s="2020"/>
      <c r="AA97" s="2020"/>
      <c r="AB97" s="2020"/>
      <c r="AC97" s="5914" t="b">
        <f>IF(M47=0,TRUE,FALSE)</f>
        <v>1</v>
      </c>
      <c r="AD97" s="2033"/>
      <c r="AF97" s="577"/>
    </row>
    <row r="98" spans="1:32" ht="14.25" customHeight="1">
      <c r="A98" s="78"/>
      <c r="B98" s="154"/>
      <c r="C98" s="3249" t="s">
        <v>340</v>
      </c>
      <c r="D98" s="392" t="str">
        <f>TEXT(R98,"$0,000")&amp;" if single,"</f>
        <v>$445,850 if single,</v>
      </c>
      <c r="E98" s="230"/>
      <c r="F98" s="230"/>
      <c r="G98" s="231"/>
      <c r="H98" s="231"/>
      <c r="I98" s="231"/>
      <c r="J98" s="231"/>
      <c r="K98" s="1243"/>
      <c r="L98" s="684"/>
      <c r="M98" s="559"/>
      <c r="N98" s="665"/>
      <c r="O98" s="2859"/>
      <c r="P98" s="558"/>
      <c r="Q98" s="434"/>
      <c r="R98" s="1344">
        <v>445850</v>
      </c>
      <c r="S98" s="235"/>
      <c r="T98" s="235"/>
      <c r="U98" s="263"/>
      <c r="V98" s="2022"/>
      <c r="W98" s="2023"/>
      <c r="X98" s="2023"/>
      <c r="Y98" s="2023"/>
      <c r="Z98" s="2023"/>
      <c r="AA98" s="2023"/>
      <c r="AB98" s="2023"/>
      <c r="AC98" s="2023"/>
      <c r="AD98" s="2034"/>
      <c r="AF98" s="577"/>
    </row>
    <row r="99" spans="1:32" ht="14.25" customHeight="1">
      <c r="A99" s="78"/>
      <c r="B99" s="154"/>
      <c r="C99" s="3249" t="s">
        <v>340</v>
      </c>
      <c r="D99" s="392" t="str">
        <f>TEXT(R99,"$0,000")&amp;" if married filing separately"</f>
        <v>$250,800 if married filing separately</v>
      </c>
      <c r="E99" s="230"/>
      <c r="F99" s="230"/>
      <c r="G99" s="231"/>
      <c r="H99" s="231"/>
      <c r="I99" s="231"/>
      <c r="J99" s="231"/>
      <c r="K99" s="1243"/>
      <c r="L99" s="684"/>
      <c r="M99" s="559"/>
      <c r="N99" s="665"/>
      <c r="O99" s="2859"/>
      <c r="P99" s="558"/>
      <c r="Q99" s="434"/>
      <c r="R99" s="1344">
        <v>250800</v>
      </c>
      <c r="S99" s="235"/>
      <c r="T99" s="235"/>
      <c r="U99" s="263"/>
      <c r="V99" s="2024" t="str">
        <f>"1."</f>
        <v>1.</v>
      </c>
      <c r="W99" s="2025" t="s">
        <v>2984</v>
      </c>
      <c r="X99" s="2026"/>
      <c r="Y99" s="2026"/>
      <c r="Z99" s="2026"/>
      <c r="AA99" s="1989" t="s">
        <v>2126</v>
      </c>
      <c r="AB99" s="2027" t="str">
        <f>"1."</f>
        <v>1.</v>
      </c>
      <c r="AC99" s="1855" t="str">
        <f>IF(AC97,"",M47)</f>
        <v/>
      </c>
      <c r="AD99" s="2035"/>
      <c r="AF99" s="577"/>
    </row>
    <row r="100" spans="1:32" ht="14.25" customHeight="1">
      <c r="A100" s="78"/>
      <c r="B100" s="154"/>
      <c r="C100" s="3249" t="s">
        <v>340</v>
      </c>
      <c r="D100" s="392" t="str">
        <f>TEXT(R100,"$0,000")&amp;" if married filing jointly or qualifying widow(er)"</f>
        <v>$501,600 if married filing jointly or qualifying widow(er)</v>
      </c>
      <c r="E100" s="230"/>
      <c r="F100" s="230"/>
      <c r="G100" s="231"/>
      <c r="H100" s="231"/>
      <c r="I100" s="155"/>
      <c r="J100" s="231"/>
      <c r="K100" s="1243" t="s">
        <v>570</v>
      </c>
      <c r="L100" s="564">
        <f>B97</f>
        <v>25</v>
      </c>
      <c r="M100" s="1373" t="str">
        <f>IF(P100&lt;&gt;"",P100,IF(NOT(F6251_PIII),"",IF(File_Single&lt;&gt;"",R98,IF(File_Marr_Sep&lt;&gt;"",R99,IF(OR(File_Marr_Joint&lt;&gt;"",File_Qual_Widow&lt;&gt;""),R100,IF(File_Head&lt;&gt;"",R101,"Filing Status?"))))))</f>
        <v/>
      </c>
      <c r="N100" s="665"/>
      <c r="O100" s="2859"/>
      <c r="P100" s="444"/>
      <c r="Q100" s="434"/>
      <c r="R100" s="1344">
        <v>501600</v>
      </c>
      <c r="S100" s="235"/>
      <c r="T100" s="235"/>
      <c r="U100" s="263"/>
      <c r="V100" s="2024" t="str">
        <f>"2a."</f>
        <v>2a.</v>
      </c>
      <c r="W100" s="2025" t="s">
        <v>1615</v>
      </c>
      <c r="X100" s="2026"/>
      <c r="Y100" s="2026"/>
      <c r="Z100" s="2026"/>
      <c r="AA100" s="2026"/>
      <c r="AB100" s="2026"/>
      <c r="AC100" s="2026"/>
      <c r="AD100" s="2035"/>
      <c r="AF100" s="577"/>
    </row>
    <row r="101" spans="1:32" ht="14.25" customHeight="1">
      <c r="A101" s="78"/>
      <c r="B101" s="154"/>
      <c r="C101" s="3249" t="s">
        <v>340</v>
      </c>
      <c r="D101" s="392" t="str">
        <f>TEXT(R101,"$0,000")&amp;" if head of household"</f>
        <v>$473,750 if head of household</v>
      </c>
      <c r="E101" s="230"/>
      <c r="F101" s="230"/>
      <c r="G101" s="231"/>
      <c r="H101" s="231"/>
      <c r="I101" s="231"/>
      <c r="J101" s="231"/>
      <c r="K101" s="1243"/>
      <c r="L101" s="240"/>
      <c r="M101" s="559"/>
      <c r="N101" s="665"/>
      <c r="O101" s="2859"/>
      <c r="P101" s="558"/>
      <c r="Q101" s="30"/>
      <c r="R101" s="1344">
        <v>473750</v>
      </c>
      <c r="S101" s="235"/>
      <c r="T101" s="235"/>
      <c r="U101" s="263"/>
      <c r="V101" s="2024"/>
      <c r="W101" s="2025" t="s">
        <v>3562</v>
      </c>
      <c r="X101" s="2026"/>
      <c r="Y101" s="1989" t="s">
        <v>571</v>
      </c>
      <c r="Z101" s="2027" t="str">
        <f>"2a."</f>
        <v>2a.</v>
      </c>
      <c r="AA101" s="5841" t="str">
        <f>IF(OR(NOT(P1),AC97),"",SUM(F2555_Line45,ForeignHousingDeduction))</f>
        <v/>
      </c>
      <c r="AB101" s="2026"/>
      <c r="AC101" s="2026"/>
      <c r="AD101" s="2035"/>
      <c r="AF101" s="577"/>
    </row>
    <row r="102" spans="1:32" ht="14.25" customHeight="1">
      <c r="A102" s="78"/>
      <c r="B102" s="155">
        <f>B97+1</f>
        <v>26</v>
      </c>
      <c r="C102" s="392" t="s">
        <v>2457</v>
      </c>
      <c r="D102" s="178"/>
      <c r="E102" s="230"/>
      <c r="F102" s="230"/>
      <c r="G102" s="231"/>
      <c r="H102" s="155"/>
      <c r="I102" s="154"/>
      <c r="J102" s="231"/>
      <c r="K102" s="1243" t="s">
        <v>1204</v>
      </c>
      <c r="L102" s="564">
        <f t="shared" si="2"/>
        <v>26</v>
      </c>
      <c r="M102" s="1373" t="str">
        <f>IF(NOT(F6251_PIII),"",M93)</f>
        <v/>
      </c>
      <c r="N102" s="666"/>
      <c r="O102" s="2859"/>
      <c r="P102" s="567"/>
      <c r="Q102" s="30"/>
      <c r="R102" s="1974"/>
      <c r="S102" s="263"/>
      <c r="T102" s="235"/>
      <c r="U102" s="263"/>
      <c r="V102" s="2024" t="s">
        <v>592</v>
      </c>
      <c r="W102" s="2025" t="s">
        <v>1616</v>
      </c>
      <c r="X102" s="2026"/>
      <c r="Y102" s="2026"/>
      <c r="Z102" s="2026"/>
      <c r="AA102" s="2026"/>
      <c r="AB102" s="2026"/>
      <c r="AC102" s="2026"/>
      <c r="AD102" s="2035"/>
      <c r="AF102" s="577"/>
    </row>
    <row r="103" spans="1:32" ht="14.25" customHeight="1">
      <c r="A103" s="78"/>
      <c r="B103" s="155">
        <v>27</v>
      </c>
      <c r="C103" s="392" t="s">
        <v>4223</v>
      </c>
      <c r="D103" s="178"/>
      <c r="E103" s="230"/>
      <c r="F103" s="230"/>
      <c r="G103" s="231"/>
      <c r="H103" s="155"/>
      <c r="I103" s="155"/>
      <c r="J103" s="155"/>
      <c r="K103" s="155"/>
      <c r="L103" s="1354"/>
      <c r="M103" s="1345"/>
      <c r="N103" s="666"/>
      <c r="O103" s="2859"/>
      <c r="P103" s="567"/>
      <c r="Q103" s="30"/>
      <c r="R103" s="1974"/>
      <c r="S103" s="263"/>
      <c r="T103" s="235"/>
      <c r="U103" s="263"/>
      <c r="V103" s="2024"/>
      <c r="W103" s="2025" t="s">
        <v>2125</v>
      </c>
      <c r="X103" s="2026"/>
      <c r="Y103" s="1989" t="s">
        <v>573</v>
      </c>
      <c r="Z103" s="2027" t="str">
        <f>"2b."</f>
        <v>2b.</v>
      </c>
      <c r="AA103" s="1856"/>
      <c r="AB103" s="2026"/>
      <c r="AC103" s="2026"/>
      <c r="AD103" s="2035"/>
      <c r="AF103" s="577"/>
    </row>
    <row r="104" spans="1:32" ht="14.25" customHeight="1">
      <c r="A104" s="78"/>
      <c r="B104" s="155"/>
      <c r="C104" s="392" t="s">
        <v>3552</v>
      </c>
      <c r="D104" s="178"/>
      <c r="E104" s="230"/>
      <c r="F104" s="230"/>
      <c r="G104" s="231"/>
      <c r="H104" s="155"/>
      <c r="I104" s="155"/>
      <c r="J104" s="155"/>
      <c r="K104" s="155"/>
      <c r="L104" s="1354"/>
      <c r="M104" s="1345"/>
      <c r="N104" s="666"/>
      <c r="O104" s="2859"/>
      <c r="P104" s="567"/>
      <c r="Q104" s="30"/>
      <c r="R104" s="1974"/>
      <c r="S104" s="581"/>
      <c r="T104" s="235"/>
      <c r="U104" s="263"/>
      <c r="V104" s="2024" t="s">
        <v>590</v>
      </c>
      <c r="W104" s="2025" t="s">
        <v>1617</v>
      </c>
      <c r="X104" s="2026"/>
      <c r="Y104" s="2026"/>
      <c r="Z104" s="2026"/>
      <c r="AA104" s="1989" t="s">
        <v>568</v>
      </c>
      <c r="AB104" s="2027" t="str">
        <f>"2c."</f>
        <v>2c.</v>
      </c>
      <c r="AC104" s="5841" t="str">
        <f>IF(OR(NOT(P1),AC97),"",SUM(AA101,-AA103))</f>
        <v/>
      </c>
      <c r="AD104" s="2035"/>
      <c r="AF104" s="1513">
        <v>0.25</v>
      </c>
    </row>
    <row r="105" spans="1:32" ht="14.25" customHeight="1">
      <c r="A105" s="78"/>
      <c r="B105" s="155"/>
      <c r="C105" s="392" t="s">
        <v>4222</v>
      </c>
      <c r="D105" s="178"/>
      <c r="E105" s="230"/>
      <c r="F105" s="230"/>
      <c r="G105" s="231"/>
      <c r="H105" s="155"/>
      <c r="I105" s="155"/>
      <c r="J105" s="155"/>
      <c r="K105" s="155"/>
      <c r="L105" s="1354"/>
      <c r="M105" s="1345"/>
      <c r="N105" s="666"/>
      <c r="O105" s="2859"/>
      <c r="P105" s="567"/>
      <c r="Q105" s="30"/>
      <c r="R105" s="1974"/>
      <c r="S105" s="581"/>
      <c r="T105" s="235"/>
      <c r="U105" s="263"/>
      <c r="V105" s="2024" t="str">
        <f>"3."</f>
        <v>3.</v>
      </c>
      <c r="W105" s="2025" t="s">
        <v>1618</v>
      </c>
      <c r="X105" s="2026"/>
      <c r="Y105" s="2026"/>
      <c r="Z105" s="2026"/>
      <c r="AA105" s="1989" t="s">
        <v>1075</v>
      </c>
      <c r="AB105" s="2027" t="str">
        <f>"3."</f>
        <v>3.</v>
      </c>
      <c r="AC105" s="1855" t="str">
        <f>IF(OR(NOT(P1),AC97),"",SUM(AC99,AC104))</f>
        <v/>
      </c>
      <c r="AD105" s="2035"/>
      <c r="AF105"/>
    </row>
    <row r="106" spans="1:32" ht="14.25" customHeight="1">
      <c r="A106" s="78"/>
      <c r="B106" s="155"/>
      <c r="C106" s="392" t="s">
        <v>4203</v>
      </c>
      <c r="D106" s="178"/>
      <c r="E106" s="230"/>
      <c r="F106" s="230"/>
      <c r="G106" s="231"/>
      <c r="H106" s="155"/>
      <c r="I106" s="155"/>
      <c r="J106" s="155"/>
      <c r="K106" s="155"/>
      <c r="L106" s="1354"/>
      <c r="M106" s="1345"/>
      <c r="N106" s="666"/>
      <c r="O106" s="2859"/>
      <c r="P106" s="567"/>
      <c r="Q106" s="30"/>
      <c r="R106" s="1974"/>
      <c r="S106" s="581"/>
      <c r="T106" s="235"/>
      <c r="U106" s="263"/>
      <c r="V106" s="2024" t="str">
        <f>"4."</f>
        <v>4.</v>
      </c>
      <c r="W106" s="2028" t="s">
        <v>1619</v>
      </c>
      <c r="X106" s="2026"/>
      <c r="Y106" s="2026"/>
      <c r="Z106" s="2026"/>
      <c r="AA106" s="2026"/>
      <c r="AB106" s="2026"/>
      <c r="AC106" s="2039"/>
      <c r="AD106" s="2035"/>
      <c r="AF106"/>
    </row>
    <row r="107" spans="1:32" ht="14.25" customHeight="1">
      <c r="A107" s="78"/>
      <c r="B107" s="155"/>
      <c r="C107" s="392" t="s">
        <v>5741</v>
      </c>
      <c r="D107" s="178"/>
      <c r="E107" s="230"/>
      <c r="F107" s="392" t="s">
        <v>5740</v>
      </c>
      <c r="G107" s="231"/>
      <c r="H107" s="155"/>
      <c r="I107" s="446"/>
      <c r="J107" s="446"/>
      <c r="K107" s="1243" t="s">
        <v>535</v>
      </c>
      <c r="L107" s="249">
        <f>B103</f>
        <v>27</v>
      </c>
      <c r="M107" s="1373" t="str">
        <f>IF(P107&lt;&gt;"",ROUND(P107,0),IF(OR(NOT(P1),NOT(F6251_PIII)),"",IF(R90,M92,IF(SchDTW_Used,SchDTW_Line21,IF(CGTW,CGTW_Line5,IF(Taxable_Inc&gt;0,Taxable_Inc,0))))))</f>
        <v/>
      </c>
      <c r="N107" s="665"/>
      <c r="O107" s="2858" t="b">
        <f>IF(NOT(F6251_PIII),FALSE,IF(M70=M108,TRUE,FALSE))</f>
        <v>0</v>
      </c>
      <c r="P107" s="444"/>
      <c r="Q107" s="30"/>
      <c r="R107" s="1974"/>
      <c r="S107" s="581"/>
      <c r="T107" s="235"/>
      <c r="U107" s="263"/>
      <c r="V107" s="2042" t="s">
        <v>340</v>
      </c>
      <c r="W107" s="2026" t="s">
        <v>4231</v>
      </c>
      <c r="X107" s="2026"/>
      <c r="Y107" s="2026"/>
      <c r="Z107" s="2026"/>
      <c r="AA107" s="2026"/>
      <c r="AB107" s="2026"/>
      <c r="AC107" s="2039" t="b">
        <f>AND(SchD_NotReqd,CapitalGains&gt;0)</f>
        <v>0</v>
      </c>
      <c r="AD107" s="2035"/>
      <c r="AE107" s="263"/>
    </row>
    <row r="108" spans="1:32" ht="13.5" customHeight="1">
      <c r="A108" s="78"/>
      <c r="B108" s="155">
        <f>B103+1</f>
        <v>28</v>
      </c>
      <c r="C108" s="392" t="s">
        <v>2458</v>
      </c>
      <c r="D108" s="178"/>
      <c r="E108" s="230"/>
      <c r="F108" s="230"/>
      <c r="G108" s="231"/>
      <c r="H108" s="155"/>
      <c r="I108" s="154"/>
      <c r="J108" s="446"/>
      <c r="K108" s="1243" t="s">
        <v>1584</v>
      </c>
      <c r="L108" s="249">
        <v>28</v>
      </c>
      <c r="M108" s="1373" t="str">
        <f>IF(OR(NOT(P1),NOT(F6251_PIII)),"",SUM(M102,M107))</f>
        <v/>
      </c>
      <c r="N108" s="666"/>
      <c r="O108" s="2858">
        <v>0.15</v>
      </c>
      <c r="P108" s="1009"/>
      <c r="Q108" s="30"/>
      <c r="R108" s="1974"/>
      <c r="S108" s="581"/>
      <c r="T108" s="235"/>
      <c r="U108" s="263"/>
      <c r="V108" s="2024"/>
      <c r="W108" s="2040" t="s">
        <v>4204</v>
      </c>
      <c r="X108" s="2026"/>
      <c r="Y108" s="2026"/>
      <c r="Z108" s="2026"/>
      <c r="AA108" s="2026"/>
      <c r="AB108" s="2026"/>
      <c r="AC108" s="2039" t="b">
        <f>Qualified_Dividends&gt;0</f>
        <v>0</v>
      </c>
      <c r="AD108" s="2035"/>
      <c r="AE108" s="235"/>
    </row>
    <row r="109" spans="1:32" ht="12.75" customHeight="1">
      <c r="A109" s="78"/>
      <c r="B109" s="155">
        <f>B108+1</f>
        <v>29</v>
      </c>
      <c r="C109" s="392" t="s">
        <v>2459</v>
      </c>
      <c r="D109" s="178"/>
      <c r="E109" s="230"/>
      <c r="F109" s="230"/>
      <c r="G109" s="231"/>
      <c r="H109" s="155"/>
      <c r="I109" s="154"/>
      <c r="J109" s="446"/>
      <c r="K109" s="154" t="s">
        <v>2126</v>
      </c>
      <c r="L109" s="564">
        <f>B109</f>
        <v>29</v>
      </c>
      <c r="M109" s="1373" t="str">
        <f>IF(NOT(F6251_PIII),"",IF(M108="",M100,IF(SUM(M100,-M108)&lt;0,0,SUM(M100,-M108))))</f>
        <v/>
      </c>
      <c r="N109" s="666"/>
      <c r="O109" s="2858" t="b">
        <f>IF(NOT(F6251_PIII),FALSE,IF(OR(M76=0,M76=""),TRUE,FALSE))</f>
        <v>0</v>
      </c>
      <c r="P109" s="567"/>
      <c r="Q109" s="30"/>
      <c r="R109" s="1974"/>
      <c r="S109" s="581"/>
      <c r="T109" s="263"/>
      <c r="U109" s="263"/>
      <c r="V109" s="2024"/>
      <c r="W109" s="2040" t="s">
        <v>4205</v>
      </c>
      <c r="X109" s="2026"/>
      <c r="Y109" s="2026"/>
      <c r="Z109" s="2026"/>
      <c r="AA109" s="2026"/>
      <c r="AB109" s="2026"/>
      <c r="AC109" s="2039" t="b">
        <f>AND(SchDLine15&gt;0,SchDLine16&gt;0)</f>
        <v>1</v>
      </c>
      <c r="AD109" s="2035"/>
      <c r="AE109" s="577"/>
    </row>
    <row r="110" spans="1:32" ht="14.25" customHeight="1">
      <c r="A110" s="78"/>
      <c r="B110" s="155">
        <f>B109+1</f>
        <v>30</v>
      </c>
      <c r="C110" s="392" t="s">
        <v>2460</v>
      </c>
      <c r="D110" s="178"/>
      <c r="E110" s="230"/>
      <c r="F110" s="230"/>
      <c r="G110" s="231"/>
      <c r="H110" s="155"/>
      <c r="I110" s="1350"/>
      <c r="J110" s="446"/>
      <c r="K110" s="154" t="s">
        <v>299</v>
      </c>
      <c r="L110" s="249">
        <f>B110</f>
        <v>30</v>
      </c>
      <c r="M110" s="1373" t="str">
        <f>IF(P110&lt;&gt;"",P110,IF(NOT(F6251_PIII),"",MIN(M96,M109)))</f>
        <v/>
      </c>
      <c r="N110" s="665"/>
      <c r="O110" s="2859"/>
      <c r="P110" s="444"/>
      <c r="Q110" s="30"/>
      <c r="R110" s="1974"/>
      <c r="S110" s="581"/>
      <c r="T110" s="581"/>
      <c r="U110" s="263"/>
      <c r="V110" s="2024"/>
      <c r="W110" s="2040" t="s">
        <v>3563</v>
      </c>
      <c r="X110" s="2026"/>
      <c r="Y110" s="2026"/>
      <c r="Z110" s="2026"/>
      <c r="AA110" s="2026"/>
      <c r="AB110" s="2026"/>
      <c r="AC110" s="2039" t="b">
        <f>OR(AC107,AC108,AC109)</f>
        <v>1</v>
      </c>
      <c r="AD110" s="2035"/>
      <c r="AE110" s="577"/>
    </row>
    <row r="111" spans="1:32" ht="12" customHeight="1">
      <c r="A111" s="78"/>
      <c r="B111" s="155">
        <f>B110+1</f>
        <v>31</v>
      </c>
      <c r="C111" s="392" t="str">
        <f>"Multiply line 30 by "&amp;TEXT(O108,"0%")&amp;" ("&amp;TEXT(O108,"0.00")&amp;")"</f>
        <v>Multiply line 30 by 15% (0.15)</v>
      </c>
      <c r="D111" s="178"/>
      <c r="E111" s="230"/>
      <c r="F111" s="230"/>
      <c r="G111" s="231"/>
      <c r="H111" s="155"/>
      <c r="I111" s="446"/>
      <c r="J111" s="446"/>
      <c r="K111" s="1243" t="s">
        <v>921</v>
      </c>
      <c r="L111" s="249">
        <f>B111</f>
        <v>31</v>
      </c>
      <c r="M111" s="1373" t="str">
        <f>IF(P111&lt;&gt;"",P111,IF(NOT(F6251_PIII),"",ROUND(O108*M110,0)))</f>
        <v/>
      </c>
      <c r="N111" s="665"/>
      <c r="O111" s="2859"/>
      <c r="P111" s="444"/>
      <c r="Q111" s="30"/>
      <c r="R111" s="1974"/>
      <c r="S111" s="581"/>
      <c r="T111" s="581"/>
      <c r="U111" s="263"/>
      <c r="V111" s="2024"/>
      <c r="W111" s="2040" t="s">
        <v>3564</v>
      </c>
      <c r="X111" s="2026"/>
      <c r="Y111" s="2026"/>
      <c r="Z111" s="2026"/>
      <c r="AA111" s="2026"/>
      <c r="AB111" s="2027" t="str">
        <f>"4."</f>
        <v>4.</v>
      </c>
      <c r="AC111" s="1855" t="str">
        <f>IF(AC97,"",IF(AC110,M124,IF(File_Marr_Sep,AE128,AE127)))</f>
        <v/>
      </c>
      <c r="AD111" s="2035"/>
      <c r="AE111" s="577"/>
    </row>
    <row r="112" spans="1:32" ht="14.25" customHeight="1">
      <c r="A112" s="78"/>
      <c r="B112" s="155">
        <f>B111+1</f>
        <v>32</v>
      </c>
      <c r="C112" s="392" t="s">
        <v>2461</v>
      </c>
      <c r="D112" s="178"/>
      <c r="E112" s="230"/>
      <c r="F112" s="230"/>
      <c r="G112" s="231"/>
      <c r="H112" s="155"/>
      <c r="I112" s="154"/>
      <c r="J112" s="155"/>
      <c r="K112" s="154" t="s">
        <v>2970</v>
      </c>
      <c r="L112" s="564">
        <f>B112</f>
        <v>32</v>
      </c>
      <c r="M112" s="1373" t="str">
        <f>IF(NOT(F6251_PIII),"",SUM(M95,M110))</f>
        <v/>
      </c>
      <c r="N112" s="666"/>
      <c r="O112" s="2855"/>
      <c r="P112" s="558"/>
      <c r="Q112" s="30"/>
      <c r="R112" s="1974"/>
      <c r="S112" s="581"/>
      <c r="T112" s="581"/>
      <c r="U112" s="263"/>
      <c r="V112" s="2024"/>
      <c r="W112" s="2040" t="s">
        <v>2985</v>
      </c>
      <c r="X112" s="2026"/>
      <c r="Y112" s="2026"/>
      <c r="Z112" s="2026"/>
      <c r="AA112" s="2026"/>
      <c r="AB112" s="2026"/>
      <c r="AC112" s="2036"/>
      <c r="AD112" s="2035"/>
      <c r="AE112" s="577"/>
    </row>
    <row r="113" spans="1:31" ht="14.25" customHeight="1">
      <c r="A113" s="78"/>
      <c r="B113" s="155"/>
      <c r="C113" s="218" t="s">
        <v>3553</v>
      </c>
      <c r="D113" s="178"/>
      <c r="E113" s="230"/>
      <c r="F113" s="230"/>
      <c r="G113" s="231"/>
      <c r="H113" s="1351"/>
      <c r="I113" s="231"/>
      <c r="J113" s="446"/>
      <c r="K113" s="440"/>
      <c r="L113" s="242"/>
      <c r="M113" s="516"/>
      <c r="N113" s="665"/>
      <c r="O113" s="2858" t="b">
        <f>IF(NOT(F6251_PIII),FALSE,IF(M70=M112,TRUE,FALSE))</f>
        <v>0</v>
      </c>
      <c r="P113" s="5915" t="str">
        <f>IF(NOT(F6251_PIII),"",IF(O113,"Go to line 38.","Go to line 33."))</f>
        <v/>
      </c>
      <c r="Q113" s="30"/>
      <c r="R113" s="1974"/>
      <c r="S113" s="581"/>
      <c r="T113" s="581"/>
      <c r="U113" s="263"/>
      <c r="V113" s="2042" t="s">
        <v>340</v>
      </c>
      <c r="W113" s="2026" t="str">
        <f>"All others: If line 3 is "&amp;TEXT(R59,"$0,000")&amp;" or less ("&amp;TEXT(R60,"$0,000")&amp;" or less if married filing separately), multiply line 3 by"</f>
        <v>All others: If line 3 is $199,900 or less ($99,950 or less if married filing separately), multiply line 3 by</v>
      </c>
      <c r="X113" s="2026"/>
      <c r="Y113" s="2026"/>
      <c r="Z113" s="2026"/>
      <c r="AA113" s="2026"/>
      <c r="AB113" s="2026"/>
      <c r="AC113" s="2036"/>
      <c r="AD113" s="2035"/>
      <c r="AE113" s="577"/>
    </row>
    <row r="114" spans="1:31" ht="14.25" customHeight="1">
      <c r="A114" s="78"/>
      <c r="B114" s="155">
        <f>B112+1</f>
        <v>33</v>
      </c>
      <c r="C114" s="392" t="s">
        <v>2462</v>
      </c>
      <c r="D114" s="178"/>
      <c r="E114" s="230"/>
      <c r="F114" s="230"/>
      <c r="G114" s="231"/>
      <c r="H114" s="155"/>
      <c r="I114" s="154"/>
      <c r="J114" s="155"/>
      <c r="K114" s="154" t="s">
        <v>2781</v>
      </c>
      <c r="L114" s="564">
        <f>B114</f>
        <v>33</v>
      </c>
      <c r="M114" s="1373" t="str">
        <f>IF(NOT(F6251_PIII),"",IF(O113,"",SUM(M94,-M112)))</f>
        <v/>
      </c>
      <c r="N114" s="666"/>
      <c r="O114" s="2862">
        <v>0.2</v>
      </c>
      <c r="P114" s="558"/>
      <c r="Q114" s="30"/>
      <c r="R114" s="1974"/>
      <c r="S114" s="581"/>
      <c r="T114" s="581"/>
      <c r="U114" s="263"/>
      <c r="V114" s="2024"/>
      <c r="W114" s="2040" t="str">
        <f>TEXT(R66,"0%")&amp;" ("&amp;TEXT(R66,"0.00")&amp;"). Otherwise, multiply line 3 by "&amp;TEXT(R67,"0%")&amp;" ("&amp;TEXT(R67,"0.00")&amp;") and subtract "&amp;TEXT(R63,"$0,000")&amp;" ("&amp;TEXT(R64,"$0,000")&amp;" if married filing"</f>
        <v>26% (0.26). Otherwise, multiply line 3 by 28% (0.28) and subtract $3,998 ($1,999 if married filing</v>
      </c>
      <c r="X114" s="2026"/>
      <c r="Y114" s="2026"/>
      <c r="Z114" s="2026"/>
      <c r="AA114" s="2026"/>
      <c r="AB114" s="2026"/>
      <c r="AC114" s="2037"/>
      <c r="AD114" s="2035"/>
      <c r="AE114" s="577"/>
    </row>
    <row r="115" spans="1:31" ht="14.25" customHeight="1">
      <c r="A115" s="78"/>
      <c r="B115" s="155">
        <f>B114+1</f>
        <v>34</v>
      </c>
      <c r="C115" s="392" t="str">
        <f>"Multiply line 33 by "&amp;TEXT(O114,"0%")&amp;" ("&amp;TEXT(O114,"0.00")&amp;")"</f>
        <v>Multiply line 33 by 20% (0.20)</v>
      </c>
      <c r="D115" s="178"/>
      <c r="E115" s="230"/>
      <c r="F115" s="230"/>
      <c r="G115" s="231"/>
      <c r="H115" s="231"/>
      <c r="I115" s="231"/>
      <c r="J115" s="231"/>
      <c r="K115" s="1243" t="s">
        <v>2971</v>
      </c>
      <c r="L115" s="249">
        <f>B115</f>
        <v>34</v>
      </c>
      <c r="M115" s="1373" t="str">
        <f>IF(P115&lt;&gt;"",P115,IF(OR(NOT(F6251_PIII),O113),"",ROUND(M114*O114,0)))</f>
        <v/>
      </c>
      <c r="N115" s="666"/>
      <c r="O115" s="2863"/>
      <c r="P115" s="444"/>
      <c r="Q115" s="30"/>
      <c r="R115" s="1177"/>
      <c r="S115" s="235"/>
      <c r="T115" s="581"/>
      <c r="U115" s="263"/>
      <c r="V115" s="2024"/>
      <c r="W115" s="2040" t="s">
        <v>1620</v>
      </c>
      <c r="X115" s="2026"/>
      <c r="Y115" s="2026"/>
      <c r="Z115" s="2026"/>
      <c r="AA115" s="2026"/>
      <c r="AB115" s="2026"/>
      <c r="AC115" s="2037"/>
      <c r="AD115" s="2035"/>
      <c r="AE115" s="577"/>
    </row>
    <row r="116" spans="1:31" ht="14.25" customHeight="1">
      <c r="A116" s="78"/>
      <c r="B116" s="155"/>
      <c r="C116" s="218" t="s">
        <v>2463</v>
      </c>
      <c r="D116" s="178"/>
      <c r="E116" s="230"/>
      <c r="F116" s="230"/>
      <c r="G116" s="231"/>
      <c r="H116" s="1351"/>
      <c r="I116" s="231"/>
      <c r="J116" s="446"/>
      <c r="K116" s="440"/>
      <c r="L116" s="242"/>
      <c r="M116" s="516"/>
      <c r="N116" s="665"/>
      <c r="O116" s="2858" t="b">
        <f>IF(NOT(F6251_PIII),FALSE,IF(OR(M76=0,M76=""),TRUE,FALSE))</f>
        <v>0</v>
      </c>
      <c r="P116" s="5915" t="str">
        <f>IF(NOT(F6251_PIII),"",IF(O113,"",IF(O116,"Go to line 38.","Go to line 35.")))</f>
        <v/>
      </c>
      <c r="Q116" s="30"/>
      <c r="R116" s="1177"/>
      <c r="S116" s="235"/>
      <c r="T116" s="581"/>
      <c r="U116" s="263"/>
      <c r="V116" s="2024" t="str">
        <f>"5."</f>
        <v>5.</v>
      </c>
      <c r="W116" s="3747" t="str">
        <f>"Tax on amount on line 2c."</f>
        <v>Tax on amount on line 2c.</v>
      </c>
      <c r="X116" s="2026"/>
      <c r="Y116" s="2026"/>
      <c r="Z116" s="2026"/>
      <c r="AA116" s="2027"/>
      <c r="AB116" s="2027" t="str">
        <f>"If line 2c is "&amp;TEXT($R$59,"$0,000")&amp;" or less ("&amp;TEXT($R$60,"$0,000")&amp;" or less if married filing separately),    "</f>
        <v xml:space="preserve">If line 2c is $199,900 or less ($99,950 or less if married filing separately),    </v>
      </c>
      <c r="AC116" s="2036"/>
      <c r="AD116" s="2035"/>
      <c r="AE116" s="577"/>
    </row>
    <row r="117" spans="1:31" ht="15" customHeight="1">
      <c r="A117" s="78"/>
      <c r="B117" s="155">
        <f>B115+1</f>
        <v>35</v>
      </c>
      <c r="C117" s="392" t="s">
        <v>2464</v>
      </c>
      <c r="D117" s="178"/>
      <c r="E117" s="230"/>
      <c r="F117" s="230"/>
      <c r="G117" s="231"/>
      <c r="H117" s="231"/>
      <c r="I117" s="231"/>
      <c r="J117" s="231"/>
      <c r="K117" s="1243" t="s">
        <v>2972</v>
      </c>
      <c r="L117" s="563">
        <f>B117</f>
        <v>35</v>
      </c>
      <c r="M117" s="1373" t="str">
        <f>IF(P117&lt;&gt;"",P117,IF(OR(NOT(F6251_PIII),O113,O116),"",SUM(M82,M112,M114)))</f>
        <v/>
      </c>
      <c r="N117" s="666"/>
      <c r="O117" s="2864"/>
      <c r="P117" s="444"/>
      <c r="Q117" s="30"/>
      <c r="R117" s="1177"/>
      <c r="S117" s="580"/>
      <c r="T117" s="579"/>
      <c r="U117" s="1908"/>
      <c r="V117" s="2024"/>
      <c r="W117" s="2040" t="str">
        <f>"multiply line 2c by "&amp;TEXT(R66,"0%")&amp;" ("&amp;TEXT(R66,"0.00")&amp;"). Otherwise, multiply line 2c by "&amp;TEXT(R67,"0%")&amp;" ("&amp;TEXT(R67,"0.00")&amp;") and subtract "&amp;TEXT(R63,"$0,000")&amp;" ("&amp;TEXT(R64,"$0,000")&amp;" if"</f>
        <v>multiply line 2c by 26% (0.26). Otherwise, multiply line 2c by 28% (0.28) and subtract $3,998 ($1,999 if</v>
      </c>
      <c r="X117" s="2026"/>
      <c r="Y117" s="2026"/>
      <c r="Z117" s="2026"/>
      <c r="AA117" s="2026"/>
      <c r="AB117" s="2026"/>
      <c r="AC117" s="2036"/>
      <c r="AD117" s="2035"/>
      <c r="AE117" s="577"/>
    </row>
    <row r="118" spans="1:31" ht="15.75" customHeight="1">
      <c r="A118" s="78"/>
      <c r="B118" s="155">
        <f>B117+1</f>
        <v>36</v>
      </c>
      <c r="C118" s="392" t="s">
        <v>2465</v>
      </c>
      <c r="D118" s="178"/>
      <c r="E118" s="230"/>
      <c r="F118" s="230"/>
      <c r="G118" s="231"/>
      <c r="H118" s="155"/>
      <c r="I118" s="154"/>
      <c r="J118" s="231"/>
      <c r="K118" s="1243" t="s">
        <v>921</v>
      </c>
      <c r="L118" s="564">
        <f>B118</f>
        <v>36</v>
      </c>
      <c r="M118" s="1511" t="str">
        <f>IF(OR(NOT(F6251_PIII),O113,O116),"",SUM(M70,-M117))</f>
        <v/>
      </c>
      <c r="N118" s="666"/>
      <c r="O118" s="2859"/>
      <c r="P118" s="567"/>
      <c r="Q118" s="30"/>
      <c r="R118" s="1177"/>
      <c r="S118" s="580"/>
      <c r="T118" s="579"/>
      <c r="U118" s="1908"/>
      <c r="V118" s="2024"/>
      <c r="W118" s="2040" t="s">
        <v>1621</v>
      </c>
      <c r="X118" s="2026"/>
      <c r="Y118" s="2026"/>
      <c r="Z118" s="2026"/>
      <c r="AA118" s="1989" t="s">
        <v>919</v>
      </c>
      <c r="AB118" s="2027" t="str">
        <f>"5."</f>
        <v>5.</v>
      </c>
      <c r="AC118" s="1855" t="str">
        <f>IF(OR(NOT(P1),AC97,AC110),"",IF(File_Marr_Sep,AE135,AE134))</f>
        <v/>
      </c>
      <c r="AD118" s="2035"/>
      <c r="AE118" s="577"/>
    </row>
    <row r="119" spans="1:31" ht="15.75" customHeight="1">
      <c r="A119" s="78"/>
      <c r="B119" s="155">
        <f>B118+1</f>
        <v>37</v>
      </c>
      <c r="C119" s="392" t="str">
        <f>"Multiply line 36 by "&amp;TEXT(O119,"0%")&amp;" ("&amp;TEXT(O119,"0.00")&amp;")"</f>
        <v>Multiply line 36 by 25% (0.25)</v>
      </c>
      <c r="D119" s="178"/>
      <c r="E119" s="230"/>
      <c r="F119" s="230"/>
      <c r="G119" s="231"/>
      <c r="H119" s="231"/>
      <c r="I119" s="231"/>
      <c r="J119" s="231"/>
      <c r="K119" s="1243" t="s">
        <v>921</v>
      </c>
      <c r="L119" s="249">
        <f>B119</f>
        <v>37</v>
      </c>
      <c r="M119" s="1373" t="str">
        <f>IF(P117&lt;&gt;"",P117,IF(OR(NOT(F6251_PIII),O113,O116),"",M118*O119))</f>
        <v/>
      </c>
      <c r="N119" s="666"/>
      <c r="O119" s="2862">
        <v>0.25</v>
      </c>
      <c r="P119" s="444"/>
      <c r="Q119" s="30"/>
      <c r="R119" s="1177"/>
      <c r="S119" s="580"/>
      <c r="T119" s="579"/>
      <c r="U119" s="1908"/>
      <c r="V119" s="2024" t="str">
        <f>"6."</f>
        <v>6.</v>
      </c>
      <c r="W119" s="2040" t="s">
        <v>2986</v>
      </c>
      <c r="X119" s="2026"/>
      <c r="Y119" s="2026"/>
      <c r="Z119" s="2026"/>
      <c r="AA119" s="1989" t="s">
        <v>560</v>
      </c>
      <c r="AB119" s="2027" t="str">
        <f>"6."</f>
        <v>6.</v>
      </c>
      <c r="AC119" s="1855" t="str">
        <f>IF(OR(NOT(P1),AC110),"",IF(AC118="",AC111,SUM(AC111,-AC118)))</f>
        <v/>
      </c>
      <c r="AD119" s="2035"/>
      <c r="AE119" s="577"/>
    </row>
    <row r="120" spans="1:31" ht="15" customHeight="1" thickBot="1">
      <c r="A120" s="78"/>
      <c r="B120" s="155">
        <f>B119+1</f>
        <v>38</v>
      </c>
      <c r="C120" s="392" t="s">
        <v>2466</v>
      </c>
      <c r="D120" s="178"/>
      <c r="E120" s="230"/>
      <c r="F120" s="230"/>
      <c r="G120" s="231"/>
      <c r="H120" s="231"/>
      <c r="I120" s="231"/>
      <c r="J120" s="231"/>
      <c r="K120" s="1243" t="s">
        <v>634</v>
      </c>
      <c r="L120" s="563">
        <f>B120</f>
        <v>38</v>
      </c>
      <c r="M120" s="1373" t="str">
        <f>IF(P120&lt;&gt;"",P120,IF(NOT(F6251_PIII),"",SUM(M84,M111,M115,M119)))</f>
        <v/>
      </c>
      <c r="N120" s="666"/>
      <c r="O120" s="2864"/>
      <c r="P120" s="444"/>
      <c r="Q120" s="30"/>
      <c r="R120" s="1974"/>
      <c r="S120" s="580"/>
      <c r="T120" s="579"/>
      <c r="U120" s="1908"/>
      <c r="V120" s="2029"/>
      <c r="W120" s="2030"/>
      <c r="X120" s="2031"/>
      <c r="Y120" s="2031"/>
      <c r="Z120" s="2031"/>
      <c r="AA120" s="2031"/>
      <c r="AB120" s="2031"/>
      <c r="AC120" s="2031"/>
      <c r="AD120" s="2038"/>
      <c r="AE120" s="577"/>
    </row>
    <row r="121" spans="1:31">
      <c r="A121" s="78"/>
      <c r="B121" s="155">
        <f>B120+1</f>
        <v>39</v>
      </c>
      <c r="C121" s="392" t="str">
        <f>"If line "&amp;B69&amp;" is "&amp;TEXT(R59,"$0,000")&amp;" or less ("&amp;TEXT(R60,"$0,000")&amp;" or less if married filing separately), multiply line "&amp;B69&amp;" by "&amp;TEXT(R66,"0%")&amp;" ("&amp;TEXT(R66,"0.00")&amp;")."</f>
        <v>If line 12 is $199,900 or less ($99,950 or less if married filing separately), multiply line 12 by 26% (0.26).</v>
      </c>
      <c r="D121" s="273"/>
      <c r="E121" s="230"/>
      <c r="F121" s="230"/>
      <c r="G121" s="231"/>
      <c r="H121" s="231"/>
      <c r="I121" s="231"/>
      <c r="J121" s="231"/>
      <c r="K121" s="1346"/>
      <c r="L121" s="1347"/>
      <c r="M121" s="1342">
        <f>IF(File_Marr_Sep&lt;&gt;"",R60,R59)</f>
        <v>199900</v>
      </c>
      <c r="N121" s="665"/>
      <c r="O121" s="2865"/>
      <c r="P121" s="558"/>
      <c r="Q121" s="30"/>
      <c r="R121" s="1974"/>
      <c r="S121" s="580"/>
      <c r="T121" s="579"/>
      <c r="U121" s="1908"/>
      <c r="V121" s="682"/>
      <c r="W121" s="263"/>
      <c r="X121" s="263"/>
      <c r="Y121" s="263"/>
      <c r="Z121" s="263"/>
      <c r="AA121" s="263"/>
      <c r="AB121" s="263"/>
      <c r="AC121" s="263"/>
      <c r="AD121" s="263"/>
      <c r="AE121" s="577"/>
    </row>
    <row r="122" spans="1:31" ht="18">
      <c r="A122" s="78"/>
      <c r="B122" s="154"/>
      <c r="C122" s="4260" t="str">
        <f>"Otherwise, multiply line "&amp;B69&amp;" by "&amp;TEXT(R67,"0%")&amp;" ("&amp;TEXT(R67,".00")&amp;") &amp; subtract "&amp;TEXT(R63,"$0,000")&amp;" ("&amp;TEXT(R64,"$0,000")&amp;" if married filing separately) from result"</f>
        <v>Otherwise, multiply line 12 by 28% (.28) &amp; subtract $3,998 ($1,999 if married filing separately) from result</v>
      </c>
      <c r="D122" s="273"/>
      <c r="E122" s="230"/>
      <c r="F122" s="230"/>
      <c r="G122" s="231"/>
      <c r="H122" s="231"/>
      <c r="I122" s="231"/>
      <c r="J122" s="231"/>
      <c r="K122" s="548"/>
      <c r="L122" s="249">
        <f>B121</f>
        <v>39</v>
      </c>
      <c r="M122" s="1373" t="str">
        <f>IF(P122&lt;&gt;"",P122,IF(NOT(F6251_PIII),"",IF(M70&lt;=M121,ROUND(M70*R66,0),ROUND((M70*R67)-M123,0))))</f>
        <v/>
      </c>
      <c r="N122" s="665"/>
      <c r="O122" s="2865"/>
      <c r="P122" s="444"/>
      <c r="Q122" s="30"/>
      <c r="R122" s="1974"/>
      <c r="S122" s="580"/>
      <c r="T122" s="579"/>
      <c r="U122" s="1908"/>
      <c r="V122" s="1909"/>
      <c r="W122" s="1909"/>
      <c r="X122" s="1909"/>
      <c r="Y122" s="1909"/>
      <c r="Z122" s="1909"/>
      <c r="AA122" s="1909"/>
      <c r="AB122" s="1909"/>
      <c r="AC122" s="1909"/>
      <c r="AD122" s="1909"/>
      <c r="AE122" s="577"/>
    </row>
    <row r="123" spans="1:31" ht="15" customHeight="1">
      <c r="A123" s="78"/>
      <c r="B123" s="155">
        <f>B121+1</f>
        <v>40</v>
      </c>
      <c r="C123" s="392" t="s">
        <v>3554</v>
      </c>
      <c r="D123" s="273"/>
      <c r="E123" s="230"/>
      <c r="F123" s="230"/>
      <c r="G123" s="231"/>
      <c r="H123" s="231"/>
      <c r="I123" s="231"/>
      <c r="J123" s="231"/>
      <c r="K123" s="155"/>
      <c r="L123" s="834"/>
      <c r="M123" s="1342">
        <f>IF(File_Marr_Sep&lt;&gt;"",R64,R63)</f>
        <v>3998</v>
      </c>
      <c r="N123" s="665"/>
      <c r="O123" s="2865"/>
      <c r="P123" s="558"/>
      <c r="Q123" s="434"/>
      <c r="R123" s="1974"/>
      <c r="S123" s="580"/>
      <c r="T123" s="579"/>
      <c r="U123" s="1908"/>
      <c r="V123" s="682"/>
      <c r="W123" s="263"/>
      <c r="X123" s="263"/>
      <c r="Y123" s="263"/>
      <c r="Z123" s="263"/>
      <c r="AA123" s="263"/>
      <c r="AB123" s="263"/>
      <c r="AC123" s="263"/>
      <c r="AD123" s="263"/>
      <c r="AE123" s="577"/>
    </row>
    <row r="124" spans="1:31" ht="13.5" thickBot="1">
      <c r="A124" s="78"/>
      <c r="B124" s="154"/>
      <c r="C124" s="392" t="s">
        <v>3555</v>
      </c>
      <c r="D124" s="178"/>
      <c r="E124" s="230"/>
      <c r="F124" s="230"/>
      <c r="G124" s="231"/>
      <c r="H124" s="231"/>
      <c r="I124" s="231"/>
      <c r="J124" s="231"/>
      <c r="K124" s="1243" t="s">
        <v>529</v>
      </c>
      <c r="L124" s="249">
        <f>B123</f>
        <v>40</v>
      </c>
      <c r="M124" s="1373" t="str">
        <f>IF(P124&lt;&gt;"",P124,IF(NOT(F6251_PIII),"",MIN(M120,M122)))</f>
        <v/>
      </c>
      <c r="N124" s="666"/>
      <c r="O124" s="2866"/>
      <c r="P124" s="444"/>
      <c r="Q124" s="434"/>
      <c r="R124" s="1286"/>
      <c r="S124" s="580"/>
      <c r="T124" s="579"/>
      <c r="U124" s="1908"/>
      <c r="V124" s="682"/>
      <c r="W124" s="263"/>
      <c r="X124" s="263"/>
      <c r="Y124" s="263"/>
      <c r="Z124" s="263"/>
      <c r="AA124" s="263"/>
      <c r="AB124" s="263"/>
      <c r="AC124" s="263"/>
      <c r="AD124" s="263"/>
      <c r="AE124" s="577"/>
    </row>
    <row r="125" spans="1:31" ht="15.75">
      <c r="A125" s="78"/>
      <c r="B125" s="159"/>
      <c r="C125" s="265"/>
      <c r="D125" s="265"/>
      <c r="E125" s="265"/>
      <c r="F125" s="265"/>
      <c r="G125" s="560"/>
      <c r="H125" s="561"/>
      <c r="I125" s="560"/>
      <c r="J125" s="560"/>
      <c r="K125" s="560"/>
      <c r="L125" s="562" t="s">
        <v>3556</v>
      </c>
      <c r="M125" s="1010" t="str">
        <f>"  ("&amp;TaxYear&amp;")"</f>
        <v xml:space="preserve">  (2021)</v>
      </c>
      <c r="N125" s="672"/>
      <c r="O125" s="2866"/>
      <c r="P125" s="558"/>
      <c r="Q125" s="434"/>
      <c r="R125" s="1286"/>
      <c r="S125" s="580"/>
      <c r="T125" s="579"/>
      <c r="U125" s="1908"/>
      <c r="V125" s="682"/>
      <c r="W125" s="263"/>
      <c r="X125" s="263"/>
      <c r="Y125" s="263"/>
      <c r="Z125" s="263"/>
      <c r="AA125" s="263"/>
      <c r="AB125" s="263"/>
      <c r="AC125" s="263"/>
      <c r="AD125" s="263"/>
      <c r="AE125" s="577"/>
    </row>
    <row r="126" spans="1:31" ht="18">
      <c r="A126" s="78"/>
      <c r="B126" s="675"/>
      <c r="C126" s="567"/>
      <c r="D126" s="567"/>
      <c r="E126" s="78"/>
      <c r="F126" s="78"/>
      <c r="G126" s="78"/>
      <c r="H126" s="78"/>
      <c r="I126" s="78"/>
      <c r="J126" s="676"/>
      <c r="K126" s="676"/>
      <c r="L126" s="676"/>
      <c r="M126" s="676"/>
      <c r="N126" s="673"/>
      <c r="O126" s="2866"/>
      <c r="P126" s="558"/>
      <c r="Q126" s="45"/>
      <c r="R126" s="1286"/>
      <c r="S126" s="580"/>
      <c r="T126" s="579"/>
      <c r="U126" s="1908"/>
      <c r="V126" s="682"/>
      <c r="W126" s="263"/>
      <c r="X126" s="263"/>
      <c r="Y126" s="263"/>
      <c r="Z126" s="263"/>
      <c r="AA126" s="263"/>
      <c r="AB126" s="263"/>
      <c r="AC126" s="263"/>
      <c r="AD126" s="263"/>
      <c r="AE126" s="1909"/>
    </row>
    <row r="127" spans="1:31" ht="12.75" customHeight="1">
      <c r="B127" s="147"/>
      <c r="C127" s="261"/>
      <c r="D127" s="261"/>
      <c r="E127" s="42"/>
      <c r="F127" s="42"/>
      <c r="G127" s="42"/>
      <c r="H127" s="42"/>
      <c r="I127" s="42"/>
      <c r="J127" s="266"/>
      <c r="K127" s="266"/>
      <c r="L127" s="266"/>
      <c r="M127" s="266"/>
      <c r="N127" s="565"/>
      <c r="P127" s="566"/>
      <c r="Q127" s="566"/>
      <c r="S127" s="580"/>
      <c r="T127" s="579"/>
      <c r="U127" s="1908"/>
      <c r="V127" s="682"/>
      <c r="W127" s="263"/>
      <c r="X127" s="263"/>
      <c r="Y127" s="263"/>
      <c r="Z127" s="263"/>
      <c r="AA127" s="263"/>
      <c r="AB127" s="263"/>
      <c r="AC127" s="263"/>
      <c r="AD127" s="263"/>
      <c r="AE127" s="1974" t="str">
        <f>IF(AC97,"---",IF(AC105&lt;=R59,ROUND((AC105*R66),0),SUM(ROUND((AC105*R67),0),-R63)))</f>
        <v>---</v>
      </c>
    </row>
    <row r="128" spans="1:31" ht="13.5" thickBot="1">
      <c r="B128" s="147"/>
      <c r="C128" s="261"/>
      <c r="D128" s="261"/>
      <c r="E128" s="42"/>
      <c r="F128" s="42"/>
      <c r="G128" s="42"/>
      <c r="H128" s="42"/>
      <c r="I128" s="42"/>
      <c r="J128" s="266"/>
      <c r="K128" s="266"/>
      <c r="L128" s="266"/>
      <c r="M128" s="266"/>
      <c r="N128" s="565"/>
      <c r="S128" s="580"/>
      <c r="T128" s="579"/>
      <c r="U128" s="1908"/>
      <c r="V128" s="682"/>
      <c r="W128" s="263"/>
      <c r="X128" s="263"/>
      <c r="Y128" s="263"/>
      <c r="Z128" s="263"/>
      <c r="AA128" s="263"/>
      <c r="AB128" s="263"/>
      <c r="AC128" s="263"/>
      <c r="AD128" s="263"/>
      <c r="AE128" s="1974" t="str">
        <f>IF(AC97,"---",IF(AC105&lt;=R60,ROUND((AC105*R66),0),SUM(ROUND((AC105*R67),0),-R64)))</f>
        <v>---</v>
      </c>
    </row>
    <row r="129" spans="2:31" ht="12.75" customHeight="1" thickTop="1" thickBot="1">
      <c r="B129" s="147"/>
      <c r="C129" s="8927" t="s">
        <v>245</v>
      </c>
      <c r="D129" s="8928"/>
      <c r="E129" s="8928"/>
      <c r="F129" s="8928"/>
      <c r="G129" s="8929"/>
      <c r="H129" s="266"/>
      <c r="I129" s="266"/>
      <c r="L129" s="266"/>
      <c r="M129" s="266"/>
      <c r="N129" s="266"/>
      <c r="P129" s="5"/>
      <c r="Q129" s="235"/>
      <c r="S129" s="580"/>
      <c r="T129" s="579"/>
      <c r="U129" s="1908"/>
      <c r="V129" s="682"/>
      <c r="W129" s="263"/>
      <c r="X129" s="263"/>
      <c r="Y129" s="263"/>
      <c r="Z129" s="263"/>
      <c r="AA129" s="263"/>
      <c r="AB129" s="263"/>
      <c r="AC129" s="263"/>
      <c r="AD129" s="263"/>
      <c r="AE129" s="577"/>
    </row>
    <row r="130" spans="2:31" ht="12.75" customHeight="1" thickTop="1" thickBot="1">
      <c r="B130" s="147"/>
      <c r="C130" s="261"/>
      <c r="D130" s="261"/>
      <c r="E130" s="42"/>
      <c r="F130" s="42"/>
      <c r="G130" s="266"/>
      <c r="H130" s="266"/>
      <c r="I130" s="266"/>
      <c r="L130" s="266"/>
      <c r="M130" s="266"/>
      <c r="N130" s="266"/>
      <c r="P130" s="5"/>
      <c r="Q130" s="235"/>
      <c r="S130" s="580"/>
      <c r="T130" s="579"/>
      <c r="U130" s="1908"/>
      <c r="V130" s="682"/>
      <c r="W130" s="263"/>
      <c r="X130" s="263"/>
      <c r="Y130" s="263"/>
      <c r="Z130" s="263"/>
      <c r="AA130" s="263"/>
      <c r="AB130" s="263"/>
      <c r="AC130" s="263"/>
      <c r="AD130" s="263"/>
      <c r="AE130" s="577"/>
    </row>
    <row r="131" spans="2:31" ht="12.75" customHeight="1" thickTop="1" thickBot="1">
      <c r="B131" s="147"/>
      <c r="C131" s="8927" t="s">
        <v>246</v>
      </c>
      <c r="D131" s="8928"/>
      <c r="E131" s="8928"/>
      <c r="F131" s="8928"/>
      <c r="G131" s="8929"/>
      <c r="H131" s="266"/>
      <c r="I131" s="266"/>
      <c r="L131" s="266"/>
      <c r="M131" s="266"/>
      <c r="N131" s="266"/>
      <c r="P131" s="5"/>
      <c r="Q131" s="5"/>
      <c r="S131" s="580"/>
      <c r="T131" s="579"/>
      <c r="U131" s="1908"/>
      <c r="V131" s="682"/>
      <c r="W131" s="263"/>
      <c r="X131" s="263"/>
      <c r="Y131" s="263"/>
      <c r="Z131" s="263"/>
      <c r="AA131" s="263"/>
      <c r="AB131" s="263"/>
      <c r="AC131" s="263"/>
      <c r="AD131" s="263"/>
      <c r="AE131" s="577"/>
    </row>
    <row r="132" spans="2:31" ht="13.5" thickTop="1">
      <c r="Q132" s="5"/>
      <c r="S132" s="580"/>
      <c r="T132" s="579"/>
      <c r="U132" s="1908"/>
      <c r="V132" s="682"/>
      <c r="W132" s="263"/>
      <c r="X132" s="263"/>
      <c r="Y132" s="263"/>
      <c r="Z132" s="263"/>
      <c r="AA132" s="263"/>
      <c r="AB132" s="263"/>
      <c r="AC132" s="263"/>
      <c r="AD132" s="263"/>
      <c r="AE132" s="577"/>
    </row>
    <row r="133" spans="2:31" ht="10.5" customHeight="1">
      <c r="Q133" s="5"/>
      <c r="S133" s="580"/>
      <c r="T133" s="579"/>
      <c r="U133" s="1908"/>
      <c r="V133" s="682"/>
      <c r="W133" s="263"/>
      <c r="X133" s="263"/>
      <c r="Y133" s="263"/>
      <c r="Z133" s="263"/>
      <c r="AA133" s="263"/>
      <c r="AB133" s="263"/>
      <c r="AC133" s="263"/>
      <c r="AD133" s="263"/>
      <c r="AE133" s="577"/>
    </row>
    <row r="134" spans="2:31" ht="10.5" customHeight="1">
      <c r="S134" s="1909"/>
      <c r="T134" s="1909"/>
      <c r="U134" s="1909"/>
      <c r="V134" s="682"/>
      <c r="W134" s="263"/>
      <c r="X134" s="263"/>
      <c r="Y134" s="263"/>
      <c r="Z134" s="263"/>
      <c r="AA134" s="263"/>
      <c r="AB134" s="263"/>
      <c r="AC134" s="263"/>
      <c r="AD134" s="263"/>
      <c r="AE134" s="1974" t="str">
        <f>IF(AC97,"---",IF(AC104&lt;=R59,ROUND((AC104*R66),0),SUM(ROUND((AC104*R67),0),-R63)))</f>
        <v>---</v>
      </c>
    </row>
    <row r="135" spans="2:31" ht="10.5" customHeight="1">
      <c r="S135" s="262"/>
      <c r="T135" s="579"/>
      <c r="U135" s="263"/>
      <c r="V135" s="682"/>
      <c r="W135" s="263"/>
      <c r="X135" s="263"/>
      <c r="Y135" s="263"/>
      <c r="Z135" s="263"/>
      <c r="AA135" s="263"/>
      <c r="AB135" s="263"/>
      <c r="AC135" s="263"/>
      <c r="AD135" s="263"/>
      <c r="AE135" s="1974" t="str">
        <f>IF(AC97,"---",IF(AC104&lt;=R60,ROUND((AC104*R66),0),SUM(ROUND((AC104*R67),0),-R64)))</f>
        <v>---</v>
      </c>
    </row>
    <row r="136" spans="2:31" ht="10.5" customHeight="1">
      <c r="S136" s="235"/>
      <c r="T136" s="580"/>
      <c r="U136" s="263"/>
      <c r="V136" s="682"/>
      <c r="W136" s="263"/>
      <c r="X136" s="263"/>
      <c r="Y136" s="263"/>
      <c r="Z136" s="263"/>
      <c r="AA136" s="263"/>
      <c r="AB136" s="263"/>
      <c r="AC136" s="263"/>
      <c r="AD136" s="263"/>
    </row>
    <row r="137" spans="2:31" ht="10.5" customHeight="1">
      <c r="S137" s="235"/>
      <c r="T137" s="878"/>
      <c r="U137" s="981"/>
      <c r="V137" s="682"/>
      <c r="W137" s="263"/>
      <c r="X137" s="263"/>
      <c r="Y137" s="263"/>
      <c r="Z137" s="263"/>
      <c r="AA137" s="263"/>
      <c r="AB137" s="263"/>
      <c r="AC137" s="263"/>
      <c r="AD137" s="263"/>
    </row>
    <row r="138" spans="2:31" ht="12" customHeight="1">
      <c r="S138" s="263"/>
      <c r="T138" s="262"/>
      <c r="U138" s="982"/>
      <c r="V138" s="682"/>
      <c r="W138" s="263"/>
      <c r="X138" s="263"/>
      <c r="Y138" s="263"/>
      <c r="Z138" s="263"/>
      <c r="AA138" s="263"/>
      <c r="AB138" s="263"/>
      <c r="AC138" s="263"/>
      <c r="AD138" s="263"/>
    </row>
    <row r="139" spans="2:31" ht="12" customHeight="1">
      <c r="S139" s="263"/>
      <c r="T139" s="262"/>
      <c r="U139" s="982"/>
      <c r="V139" s="1909"/>
      <c r="W139" s="1909"/>
      <c r="X139" s="1909"/>
      <c r="Y139" s="1909"/>
      <c r="Z139" s="1909"/>
      <c r="AA139" s="1909"/>
      <c r="AB139" s="1909"/>
      <c r="AC139" s="1909"/>
      <c r="AD139" s="1909"/>
    </row>
    <row r="140" spans="2:31" ht="12" customHeight="1">
      <c r="S140" s="235"/>
      <c r="T140" s="235"/>
      <c r="U140" s="263"/>
      <c r="V140" s="1909"/>
      <c r="W140" s="1909"/>
      <c r="X140" s="1909"/>
      <c r="Y140" s="1909"/>
      <c r="Z140" s="1909"/>
      <c r="AA140" s="1909"/>
      <c r="AB140" s="1909"/>
      <c r="AC140" s="1909"/>
      <c r="AD140" s="1909"/>
    </row>
    <row r="141" spans="2:31" ht="18">
      <c r="S141" s="235"/>
      <c r="T141" s="235"/>
      <c r="U141" s="263"/>
      <c r="V141" s="1909"/>
      <c r="W141" s="1909"/>
      <c r="X141" s="1909"/>
      <c r="Y141" s="1909"/>
      <c r="Z141" s="1909"/>
      <c r="AA141" s="1909"/>
      <c r="AB141" s="1909"/>
      <c r="AC141" s="1909"/>
      <c r="AD141" s="1909"/>
    </row>
    <row r="142" spans="2:31" ht="18">
      <c r="S142" s="235"/>
      <c r="T142" s="235"/>
      <c r="U142" s="263"/>
      <c r="V142" s="1909"/>
      <c r="W142" s="1909"/>
      <c r="X142" s="1909"/>
      <c r="Y142" s="1909"/>
      <c r="Z142" s="1909"/>
      <c r="AA142" s="1909"/>
      <c r="AB142" s="1909"/>
      <c r="AC142" s="1909"/>
      <c r="AD142" s="1909"/>
    </row>
    <row r="143" spans="2:31" ht="18">
      <c r="S143" s="235"/>
      <c r="T143" s="263"/>
      <c r="U143" s="263"/>
      <c r="V143" s="1909"/>
      <c r="W143" s="1909"/>
      <c r="X143" s="1909"/>
      <c r="Y143" s="1909"/>
      <c r="Z143" s="1909"/>
      <c r="AA143" s="1909"/>
      <c r="AB143" s="1909"/>
      <c r="AC143" s="1909"/>
      <c r="AD143" s="1909"/>
    </row>
    <row r="144" spans="2:31" ht="18">
      <c r="S144" s="235"/>
      <c r="T144" s="235"/>
      <c r="U144" s="263"/>
      <c r="V144" s="1909"/>
      <c r="W144" s="1909"/>
      <c r="X144" s="1909"/>
      <c r="Y144" s="1909"/>
      <c r="Z144" s="1909"/>
      <c r="AA144" s="1909"/>
      <c r="AB144" s="1909"/>
      <c r="AC144" s="1909"/>
      <c r="AD144" s="1909"/>
    </row>
    <row r="145" spans="19:30" ht="18">
      <c r="S145" s="235"/>
      <c r="T145" s="235"/>
      <c r="U145" s="263"/>
      <c r="V145" s="1909"/>
      <c r="W145" s="1909"/>
      <c r="X145" s="1909"/>
      <c r="Y145" s="1909"/>
      <c r="Z145" s="1909"/>
      <c r="AA145" s="1909"/>
      <c r="AB145" s="1909"/>
      <c r="AC145" s="1909"/>
      <c r="AD145" s="1909"/>
    </row>
    <row r="146" spans="19:30" ht="18">
      <c r="S146" s="235"/>
      <c r="T146" s="235"/>
      <c r="U146" s="263"/>
      <c r="V146" s="1909"/>
      <c r="W146" s="1909"/>
      <c r="X146" s="1909"/>
      <c r="Y146" s="1909"/>
      <c r="Z146" s="1909"/>
      <c r="AA146" s="1909"/>
      <c r="AB146" s="1909"/>
      <c r="AC146" s="1909"/>
      <c r="AD146" s="1909"/>
    </row>
    <row r="147" spans="19:30" ht="18">
      <c r="S147" s="235"/>
      <c r="T147" s="235"/>
      <c r="U147" s="263"/>
      <c r="V147" s="1909"/>
      <c r="W147" s="1909"/>
      <c r="X147" s="1909"/>
      <c r="Y147" s="1909"/>
      <c r="Z147" s="1909"/>
      <c r="AA147" s="1909"/>
      <c r="AB147" s="1909"/>
      <c r="AC147" s="1909"/>
      <c r="AD147" s="1909"/>
    </row>
    <row r="148" spans="19:30" ht="18">
      <c r="S148" s="235"/>
      <c r="T148" s="235"/>
      <c r="U148" s="263"/>
      <c r="V148" s="1909"/>
      <c r="W148" s="1909"/>
      <c r="X148" s="1909"/>
      <c r="Y148" s="1909"/>
      <c r="Z148" s="1909"/>
      <c r="AA148" s="1909"/>
      <c r="AB148" s="1909"/>
      <c r="AC148" s="1909"/>
      <c r="AD148" s="1909"/>
    </row>
    <row r="149" spans="19:30" ht="18">
      <c r="S149" s="235"/>
      <c r="T149" s="235"/>
      <c r="U149" s="263"/>
      <c r="V149" s="1909"/>
      <c r="W149" s="1909"/>
      <c r="X149" s="1909"/>
      <c r="Y149" s="1909"/>
      <c r="Z149" s="1909"/>
      <c r="AA149" s="1909"/>
      <c r="AB149" s="1909"/>
      <c r="AC149" s="1909"/>
      <c r="AD149" s="1909"/>
    </row>
    <row r="150" spans="19:30" ht="18">
      <c r="S150" s="235"/>
      <c r="T150" s="235"/>
      <c r="U150" s="263"/>
      <c r="V150" s="1909"/>
      <c r="W150" s="1909"/>
      <c r="X150" s="1909"/>
      <c r="Y150" s="1909"/>
      <c r="Z150" s="1909"/>
      <c r="AA150" s="1909"/>
      <c r="AB150" s="1909"/>
      <c r="AC150" s="1909"/>
      <c r="AD150" s="1909"/>
    </row>
    <row r="151" spans="19:30" ht="18">
      <c r="S151" s="235"/>
      <c r="T151" s="235"/>
      <c r="U151" s="263"/>
      <c r="V151" s="1909"/>
      <c r="W151" s="1909"/>
      <c r="X151" s="1909"/>
      <c r="Y151" s="1909"/>
      <c r="Z151" s="1909"/>
      <c r="AA151" s="1909"/>
      <c r="AB151" s="1909"/>
      <c r="AC151" s="1909"/>
      <c r="AD151" s="1909"/>
    </row>
    <row r="152" spans="19:30" ht="18">
      <c r="S152" s="235"/>
      <c r="T152" s="235"/>
      <c r="U152" s="263"/>
      <c r="V152" s="1909"/>
      <c r="W152" s="1909"/>
      <c r="X152" s="1909"/>
      <c r="Y152" s="1909"/>
      <c r="Z152" s="1909"/>
      <c r="AA152" s="1909"/>
      <c r="AB152" s="1909"/>
      <c r="AC152" s="1909"/>
      <c r="AD152" s="1909"/>
    </row>
    <row r="153" spans="19:30" ht="18">
      <c r="S153" s="235"/>
      <c r="T153" s="235"/>
      <c r="U153" s="263"/>
      <c r="V153" s="1909"/>
      <c r="W153" s="1909"/>
      <c r="X153" s="1909"/>
      <c r="Y153" s="1909"/>
      <c r="Z153" s="1909"/>
      <c r="AA153" s="1909"/>
      <c r="AB153" s="1909"/>
      <c r="AC153" s="1909"/>
      <c r="AD153" s="1909"/>
    </row>
    <row r="154" spans="19:30" ht="18">
      <c r="S154" s="235"/>
      <c r="T154" s="235"/>
      <c r="U154" s="263"/>
      <c r="V154" s="1909"/>
      <c r="W154" s="1909"/>
      <c r="X154" s="1909"/>
      <c r="Y154" s="1909"/>
      <c r="Z154" s="1909"/>
      <c r="AA154" s="1909"/>
      <c r="AB154" s="1909"/>
      <c r="AC154" s="1909"/>
      <c r="AD154" s="1909"/>
    </row>
    <row r="155" spans="19:30" ht="18">
      <c r="S155" s="235"/>
      <c r="T155" s="235"/>
      <c r="U155" s="263"/>
      <c r="V155" s="1909"/>
      <c r="W155" s="1909"/>
      <c r="X155" s="1909"/>
      <c r="Y155" s="1909"/>
      <c r="Z155" s="1909"/>
      <c r="AA155" s="1909"/>
      <c r="AB155" s="1909"/>
      <c r="AC155" s="1909"/>
      <c r="AD155" s="1909"/>
    </row>
    <row r="156" spans="19:30" ht="18">
      <c r="S156" s="235"/>
      <c r="T156" s="235"/>
      <c r="U156" s="263"/>
      <c r="V156" s="1909"/>
      <c r="W156" s="1909"/>
      <c r="X156" s="1909"/>
      <c r="Y156" s="1909"/>
      <c r="Z156" s="1909"/>
      <c r="AA156" s="1909"/>
      <c r="AB156" s="1909"/>
      <c r="AC156" s="1909"/>
      <c r="AD156" s="1909"/>
    </row>
    <row r="157" spans="19:30" ht="18">
      <c r="S157" s="235"/>
      <c r="T157" s="235"/>
      <c r="U157" s="263"/>
      <c r="V157" s="1909"/>
      <c r="W157" s="1909"/>
      <c r="X157" s="1909"/>
      <c r="Y157" s="1909"/>
      <c r="Z157" s="1909"/>
      <c r="AA157" s="1909"/>
      <c r="AB157" s="1909"/>
      <c r="AC157" s="1909"/>
      <c r="AD157" s="1909"/>
    </row>
    <row r="158" spans="19:30" ht="18">
      <c r="S158" s="235"/>
      <c r="T158" s="235"/>
      <c r="U158" s="263"/>
      <c r="V158" s="1909"/>
      <c r="W158" s="1909"/>
      <c r="X158" s="1909"/>
      <c r="Y158" s="1909"/>
      <c r="Z158" s="1909"/>
      <c r="AA158" s="1909"/>
      <c r="AB158" s="1909"/>
      <c r="AC158" s="1909"/>
      <c r="AD158" s="1909"/>
    </row>
    <row r="159" spans="19:30" ht="18">
      <c r="S159" s="235"/>
      <c r="T159" s="235"/>
      <c r="U159" s="263"/>
      <c r="V159" s="1909"/>
      <c r="W159" s="1909"/>
      <c r="X159" s="1909"/>
      <c r="Y159" s="1909"/>
      <c r="Z159" s="1909"/>
      <c r="AA159" s="1909"/>
      <c r="AB159" s="1909"/>
      <c r="AC159" s="1909"/>
      <c r="AD159" s="1909"/>
    </row>
    <row r="160" spans="19:30" ht="18">
      <c r="S160" s="235"/>
      <c r="T160" s="235"/>
      <c r="U160" s="263"/>
      <c r="V160" s="1909"/>
      <c r="W160" s="1909"/>
      <c r="X160" s="1909"/>
      <c r="Y160" s="1909"/>
      <c r="Z160" s="1909"/>
      <c r="AA160" s="1909"/>
      <c r="AB160" s="1909"/>
      <c r="AC160" s="1909"/>
      <c r="AD160" s="1909"/>
    </row>
    <row r="161" spans="19:30" ht="18">
      <c r="S161" s="235"/>
      <c r="T161" s="235"/>
      <c r="U161" s="263"/>
      <c r="V161" s="1909"/>
      <c r="W161" s="1909"/>
      <c r="X161" s="1909"/>
      <c r="Y161" s="1909"/>
      <c r="Z161" s="1909"/>
      <c r="AA161" s="1909"/>
      <c r="AB161" s="1909"/>
      <c r="AC161" s="1909"/>
      <c r="AD161" s="1909"/>
    </row>
    <row r="162" spans="19:30" ht="18">
      <c r="S162" s="235"/>
      <c r="T162" s="235"/>
      <c r="U162" s="263"/>
      <c r="V162" s="1909"/>
      <c r="W162" s="1909"/>
      <c r="X162" s="1909"/>
      <c r="Y162" s="1909"/>
      <c r="Z162" s="1909"/>
      <c r="AA162" s="1909"/>
      <c r="AB162" s="1909"/>
      <c r="AC162" s="1909"/>
      <c r="AD162" s="1909"/>
    </row>
    <row r="163" spans="19:30" ht="18">
      <c r="S163" s="235"/>
      <c r="T163" s="235"/>
      <c r="U163" s="263"/>
      <c r="V163" s="1909"/>
      <c r="W163" s="1909"/>
      <c r="X163" s="1909"/>
      <c r="Y163" s="1909"/>
      <c r="Z163" s="1909"/>
      <c r="AA163" s="1909"/>
      <c r="AB163" s="1909"/>
      <c r="AC163" s="1909"/>
      <c r="AD163" s="1909"/>
    </row>
    <row r="164" spans="19:30" ht="18">
      <c r="S164" s="235"/>
      <c r="T164" s="235"/>
      <c r="U164" s="263"/>
      <c r="V164" s="1909"/>
      <c r="W164" s="1909"/>
      <c r="X164" s="1909"/>
      <c r="Y164" s="1909"/>
      <c r="Z164" s="1909"/>
      <c r="AA164" s="1909"/>
      <c r="AB164" s="1909"/>
      <c r="AC164" s="1909"/>
      <c r="AD164" s="1909"/>
    </row>
    <row r="165" spans="19:30" ht="18">
      <c r="S165" s="235"/>
      <c r="T165" s="235"/>
      <c r="U165" s="263"/>
      <c r="V165" s="1909"/>
      <c r="W165" s="1909"/>
      <c r="X165" s="1909"/>
      <c r="Y165" s="1909"/>
      <c r="Z165" s="1909"/>
      <c r="AA165" s="1909"/>
      <c r="AB165" s="1909"/>
      <c r="AC165" s="1909"/>
      <c r="AD165" s="1909"/>
    </row>
    <row r="166" spans="19:30" ht="18">
      <c r="S166" s="235"/>
      <c r="T166" s="235"/>
      <c r="U166" s="263"/>
      <c r="V166" s="1909"/>
      <c r="W166" s="1909"/>
      <c r="X166" s="1909"/>
      <c r="Y166" s="1909"/>
      <c r="Z166" s="1909"/>
      <c r="AA166" s="1909"/>
      <c r="AB166" s="1909"/>
      <c r="AC166" s="1909"/>
      <c r="AD166" s="1909"/>
    </row>
    <row r="167" spans="19:30" ht="18">
      <c r="S167" s="235"/>
      <c r="T167" s="235"/>
      <c r="U167" s="263"/>
      <c r="V167" s="1909"/>
      <c r="W167" s="1909"/>
      <c r="X167" s="1909"/>
      <c r="Y167" s="1909"/>
      <c r="Z167" s="1909"/>
      <c r="AA167" s="1909"/>
      <c r="AB167" s="1909"/>
      <c r="AC167" s="1909"/>
      <c r="AD167" s="1909"/>
    </row>
    <row r="168" spans="19:30" ht="18">
      <c r="S168" s="235"/>
      <c r="T168" s="235"/>
      <c r="U168" s="263"/>
      <c r="V168" s="1909"/>
      <c r="W168" s="1909"/>
      <c r="X168" s="1909"/>
      <c r="Y168" s="1909"/>
      <c r="Z168" s="1909"/>
      <c r="AA168" s="1909"/>
      <c r="AB168" s="1909"/>
      <c r="AC168" s="1909"/>
      <c r="AD168" s="1909"/>
    </row>
    <row r="169" spans="19:30" ht="18">
      <c r="S169" s="235"/>
      <c r="T169" s="235"/>
      <c r="U169" s="263"/>
      <c r="V169" s="1909"/>
      <c r="W169" s="1909"/>
      <c r="X169" s="1909"/>
      <c r="Y169" s="1909"/>
      <c r="Z169" s="1909"/>
      <c r="AA169" s="1909"/>
      <c r="AB169" s="1909"/>
      <c r="AC169" s="1909"/>
      <c r="AD169" s="1909"/>
    </row>
    <row r="170" spans="19:30" ht="18">
      <c r="S170" s="235"/>
      <c r="T170" s="235"/>
      <c r="U170" s="263"/>
      <c r="V170" s="1909"/>
      <c r="W170" s="1909"/>
      <c r="X170" s="1909"/>
      <c r="Y170" s="1909"/>
      <c r="Z170" s="1909"/>
      <c r="AA170" s="1909"/>
      <c r="AB170" s="1909"/>
      <c r="AC170" s="1909"/>
      <c r="AD170" s="1909"/>
    </row>
    <row r="171" spans="19:30" ht="18">
      <c r="S171" s="235"/>
      <c r="T171" s="235"/>
      <c r="U171" s="263"/>
      <c r="V171" s="1909"/>
      <c r="W171" s="1909"/>
      <c r="X171" s="1909"/>
      <c r="Y171" s="1909"/>
      <c r="Z171" s="1909"/>
      <c r="AA171" s="1909"/>
      <c r="AB171" s="1909"/>
      <c r="AC171" s="1909"/>
      <c r="AD171" s="1909"/>
    </row>
    <row r="172" spans="19:30" ht="18">
      <c r="S172" s="235"/>
      <c r="T172" s="235"/>
      <c r="U172" s="263"/>
      <c r="V172" s="1909"/>
      <c r="W172" s="1909"/>
      <c r="X172" s="1909"/>
      <c r="Y172" s="1909"/>
      <c r="Z172" s="1909"/>
      <c r="AA172" s="1909"/>
      <c r="AB172" s="1909"/>
      <c r="AC172" s="1909"/>
      <c r="AD172" s="1909"/>
    </row>
    <row r="173" spans="19:30" ht="18">
      <c r="S173" s="235"/>
      <c r="T173" s="235"/>
      <c r="U173" s="263"/>
      <c r="V173" s="1909"/>
      <c r="W173" s="1909"/>
      <c r="X173" s="1909"/>
      <c r="Y173" s="1909"/>
      <c r="Z173" s="1909"/>
      <c r="AA173" s="1909"/>
      <c r="AB173" s="1909"/>
      <c r="AC173" s="1909"/>
      <c r="AD173" s="1909"/>
    </row>
    <row r="174" spans="19:30" ht="18">
      <c r="S174" s="235"/>
      <c r="T174" s="235"/>
      <c r="U174" s="263"/>
      <c r="V174" s="1909"/>
      <c r="W174" s="1909"/>
      <c r="X174" s="1909"/>
      <c r="Y174" s="1909"/>
      <c r="Z174" s="1909"/>
      <c r="AA174" s="1909"/>
      <c r="AB174" s="1909"/>
      <c r="AC174" s="1909"/>
      <c r="AD174" s="1909"/>
    </row>
    <row r="175" spans="19:30" ht="18">
      <c r="S175" s="235"/>
      <c r="T175" s="235"/>
      <c r="U175" s="263"/>
      <c r="V175" s="1909"/>
      <c r="W175" s="1909"/>
      <c r="X175" s="1909"/>
      <c r="Y175" s="1909"/>
      <c r="Z175" s="1909"/>
      <c r="AA175" s="1909"/>
      <c r="AB175" s="1909"/>
      <c r="AC175" s="1909"/>
      <c r="AD175" s="1909"/>
    </row>
    <row r="176" spans="19:30" ht="18">
      <c r="S176" s="235"/>
      <c r="T176" s="235"/>
      <c r="U176" s="263"/>
      <c r="V176" s="1909"/>
      <c r="W176" s="1909"/>
      <c r="X176" s="1909"/>
      <c r="Y176" s="1909"/>
      <c r="Z176" s="1909"/>
      <c r="AA176" s="1909"/>
      <c r="AB176" s="1909"/>
      <c r="AC176" s="1909"/>
      <c r="AD176" s="1909"/>
    </row>
    <row r="177" spans="19:30" ht="18">
      <c r="S177" s="235"/>
      <c r="T177" s="235"/>
      <c r="U177" s="263"/>
      <c r="V177" s="1909"/>
      <c r="W177" s="1909"/>
      <c r="X177" s="1909"/>
      <c r="Y177" s="1909"/>
      <c r="Z177" s="1909"/>
      <c r="AA177" s="1909"/>
      <c r="AB177" s="1909"/>
      <c r="AC177" s="1909"/>
      <c r="AD177" s="1909"/>
    </row>
    <row r="178" spans="19:30" ht="18">
      <c r="S178" s="235"/>
      <c r="T178" s="235"/>
      <c r="U178" s="263"/>
      <c r="V178" s="1909"/>
      <c r="W178" s="1909"/>
      <c r="X178" s="1909"/>
      <c r="Y178" s="1909"/>
      <c r="Z178" s="1909"/>
      <c r="AA178" s="1909"/>
      <c r="AB178" s="1909"/>
      <c r="AC178" s="1909"/>
      <c r="AD178" s="1909"/>
    </row>
    <row r="179" spans="19:30" ht="18">
      <c r="S179" s="235"/>
      <c r="T179" s="235"/>
      <c r="U179" s="263"/>
      <c r="V179" s="1909"/>
      <c r="W179" s="1909"/>
      <c r="X179" s="1909"/>
      <c r="Y179" s="1909"/>
      <c r="Z179" s="1909"/>
      <c r="AA179" s="1909"/>
      <c r="AB179" s="1909"/>
      <c r="AC179" s="1909"/>
      <c r="AD179" s="1909"/>
    </row>
    <row r="180" spans="19:30" ht="18">
      <c r="S180" s="235"/>
      <c r="T180" s="235"/>
      <c r="U180" s="263"/>
      <c r="V180" s="1909"/>
      <c r="W180" s="1909"/>
      <c r="X180" s="1909"/>
      <c r="Y180" s="1909"/>
      <c r="Z180" s="1909"/>
      <c r="AA180" s="1909"/>
      <c r="AB180" s="1909"/>
      <c r="AC180" s="1909"/>
      <c r="AD180" s="1909"/>
    </row>
    <row r="181" spans="19:30" ht="18">
      <c r="S181" s="235"/>
      <c r="T181" s="235"/>
      <c r="U181" s="263"/>
      <c r="V181" s="1909"/>
      <c r="W181" s="1909"/>
      <c r="X181" s="1909"/>
      <c r="Y181" s="1909"/>
      <c r="Z181" s="1909"/>
      <c r="AA181" s="1909"/>
      <c r="AB181" s="1909"/>
      <c r="AC181" s="1909"/>
      <c r="AD181" s="1909"/>
    </row>
    <row r="182" spans="19:30" ht="18">
      <c r="S182" s="235"/>
      <c r="T182" s="235"/>
      <c r="U182" s="263"/>
      <c r="V182" s="1909"/>
      <c r="W182" s="1909"/>
      <c r="X182" s="1909"/>
      <c r="Y182" s="1909"/>
      <c r="Z182" s="1909"/>
      <c r="AA182" s="1909"/>
      <c r="AB182" s="1909"/>
      <c r="AC182" s="1909"/>
      <c r="AD182" s="1909"/>
    </row>
    <row r="183" spans="19:30" ht="18">
      <c r="S183" s="235"/>
      <c r="T183" s="235"/>
      <c r="U183" s="263"/>
      <c r="V183" s="1909"/>
      <c r="W183" s="1909"/>
      <c r="X183" s="1909"/>
      <c r="Y183" s="1909"/>
      <c r="Z183" s="1909"/>
      <c r="AA183" s="1909"/>
      <c r="AB183" s="1909"/>
      <c r="AC183" s="1909"/>
      <c r="AD183" s="1909"/>
    </row>
    <row r="184" spans="19:30" ht="18">
      <c r="S184" s="235"/>
      <c r="T184" s="235"/>
      <c r="U184" s="263"/>
      <c r="V184" s="1909"/>
      <c r="W184" s="1909"/>
      <c r="X184" s="1909"/>
      <c r="Y184" s="1909"/>
      <c r="Z184" s="1909"/>
      <c r="AA184" s="1909"/>
      <c r="AB184" s="1909"/>
      <c r="AC184" s="1909"/>
      <c r="AD184" s="1909"/>
    </row>
    <row r="185" spans="19:30" ht="18">
      <c r="S185" s="235"/>
      <c r="T185" s="235"/>
      <c r="U185" s="263"/>
      <c r="V185" s="1909"/>
      <c r="W185" s="1909"/>
      <c r="X185" s="1909"/>
      <c r="Y185" s="1909"/>
      <c r="Z185" s="1909"/>
      <c r="AA185" s="1909"/>
      <c r="AB185" s="1909"/>
      <c r="AC185" s="1909"/>
      <c r="AD185" s="1909"/>
    </row>
    <row r="186" spans="19:30" ht="18">
      <c r="S186" s="235"/>
      <c r="T186" s="235"/>
      <c r="U186" s="263"/>
      <c r="V186" s="1909"/>
      <c r="W186" s="1909"/>
      <c r="X186" s="1909"/>
      <c r="Y186" s="1909"/>
      <c r="Z186" s="1909"/>
      <c r="AA186" s="1909"/>
      <c r="AB186" s="1909"/>
      <c r="AC186" s="1909"/>
      <c r="AD186" s="1909"/>
    </row>
    <row r="187" spans="19:30" ht="18">
      <c r="S187" s="235"/>
      <c r="T187" s="235"/>
      <c r="U187" s="263"/>
      <c r="V187" s="1909"/>
      <c r="W187" s="1909"/>
      <c r="X187" s="1909"/>
      <c r="Y187" s="1909"/>
      <c r="Z187" s="1909"/>
      <c r="AA187" s="1909"/>
      <c r="AB187" s="1909"/>
      <c r="AC187" s="1909"/>
      <c r="AD187" s="1909"/>
    </row>
    <row r="188" spans="19:30" ht="18">
      <c r="S188" s="235"/>
      <c r="T188" s="235"/>
      <c r="U188" s="263"/>
      <c r="V188" s="1909"/>
      <c r="W188" s="1909"/>
      <c r="X188" s="1909"/>
      <c r="Y188" s="1909"/>
      <c r="Z188" s="1909"/>
      <c r="AA188" s="1909"/>
      <c r="AB188" s="1909"/>
      <c r="AC188" s="1909"/>
      <c r="AD188" s="1909"/>
    </row>
    <row r="189" spans="19:30" ht="18">
      <c r="S189" s="235"/>
      <c r="T189" s="235"/>
      <c r="U189" s="263"/>
      <c r="V189" s="1909"/>
      <c r="W189" s="1909"/>
      <c r="X189" s="1909"/>
      <c r="Y189" s="1909"/>
      <c r="Z189" s="1909"/>
      <c r="AA189" s="1909"/>
      <c r="AB189" s="1909"/>
      <c r="AC189" s="1909"/>
      <c r="AD189" s="1909"/>
    </row>
    <row r="190" spans="19:30" ht="18">
      <c r="S190" s="235"/>
      <c r="T190" s="235"/>
      <c r="U190" s="263"/>
      <c r="V190" s="1909"/>
      <c r="W190" s="1909"/>
      <c r="X190" s="1909"/>
      <c r="Y190" s="1909"/>
      <c r="Z190" s="1909"/>
      <c r="AA190" s="1909"/>
      <c r="AB190" s="1909"/>
      <c r="AC190" s="1909"/>
      <c r="AD190" s="1909"/>
    </row>
    <row r="191" spans="19:30" ht="18">
      <c r="S191" s="235"/>
      <c r="T191" s="235"/>
      <c r="U191" s="263"/>
      <c r="V191" s="1909"/>
      <c r="W191" s="1909"/>
      <c r="X191" s="1909"/>
      <c r="Y191" s="1909"/>
      <c r="Z191" s="1909"/>
      <c r="AA191" s="1909"/>
      <c r="AB191" s="1909"/>
      <c r="AC191" s="1909"/>
      <c r="AD191" s="1909"/>
    </row>
    <row r="192" spans="19:30" ht="18">
      <c r="S192" s="235"/>
      <c r="T192" s="235"/>
      <c r="U192" s="263"/>
      <c r="V192" s="1909"/>
      <c r="W192" s="1909"/>
      <c r="X192" s="1909"/>
      <c r="Y192" s="1909"/>
      <c r="Z192" s="1909"/>
      <c r="AA192" s="1909"/>
      <c r="AB192" s="1909"/>
      <c r="AC192" s="1909"/>
      <c r="AD192" s="1909"/>
    </row>
    <row r="193" spans="19:30" ht="18">
      <c r="S193" s="235"/>
      <c r="T193" s="235"/>
      <c r="U193" s="263"/>
      <c r="V193" s="1909"/>
      <c r="W193" s="1909"/>
      <c r="X193" s="1909"/>
      <c r="Y193" s="1909"/>
      <c r="Z193" s="1909"/>
      <c r="AA193" s="1909"/>
      <c r="AB193" s="1909"/>
      <c r="AC193" s="1909"/>
      <c r="AD193" s="1909"/>
    </row>
    <row r="194" spans="19:30" ht="18">
      <c r="S194" s="235"/>
      <c r="T194" s="235"/>
      <c r="U194" s="263"/>
      <c r="V194" s="1909"/>
      <c r="W194" s="1909"/>
      <c r="X194" s="1909"/>
      <c r="Y194" s="1909"/>
      <c r="Z194" s="1909"/>
      <c r="AA194" s="1909"/>
      <c r="AB194" s="1909"/>
      <c r="AC194" s="1909"/>
      <c r="AD194" s="1909"/>
    </row>
    <row r="195" spans="19:30" ht="18">
      <c r="S195" s="235"/>
      <c r="T195" s="235"/>
      <c r="U195" s="263"/>
      <c r="V195" s="1909"/>
      <c r="W195" s="1909"/>
      <c r="X195" s="1909"/>
      <c r="Y195" s="1909"/>
      <c r="Z195" s="1909"/>
      <c r="AA195" s="1909"/>
      <c r="AB195" s="1909"/>
      <c r="AC195" s="1909"/>
      <c r="AD195" s="1909"/>
    </row>
    <row r="196" spans="19:30" ht="18">
      <c r="S196" s="235"/>
      <c r="T196" s="235"/>
      <c r="U196" s="263"/>
      <c r="V196" s="1909"/>
      <c r="W196" s="1909"/>
      <c r="X196" s="1909"/>
      <c r="Y196" s="1909"/>
      <c r="Z196" s="1909"/>
      <c r="AA196" s="1909"/>
      <c r="AB196" s="1909"/>
      <c r="AC196" s="1909"/>
      <c r="AD196" s="1909"/>
    </row>
    <row r="197" spans="19:30" ht="18">
      <c r="S197" s="235"/>
      <c r="T197" s="235"/>
      <c r="U197" s="263"/>
      <c r="V197" s="1909"/>
      <c r="W197" s="1909"/>
      <c r="X197" s="1909"/>
      <c r="Y197" s="1909"/>
      <c r="Z197" s="1909"/>
      <c r="AA197" s="1909"/>
      <c r="AB197" s="1909"/>
      <c r="AC197" s="1909"/>
      <c r="AD197" s="1909"/>
    </row>
    <row r="198" spans="19:30" ht="18">
      <c r="S198" s="235"/>
      <c r="T198" s="235"/>
      <c r="U198" s="263"/>
      <c r="V198" s="1909"/>
      <c r="W198" s="1909"/>
      <c r="X198" s="1909"/>
      <c r="Y198" s="1909"/>
      <c r="Z198" s="1909"/>
      <c r="AA198" s="1909"/>
      <c r="AB198" s="1909"/>
      <c r="AC198" s="1909"/>
      <c r="AD198" s="1909"/>
    </row>
    <row r="199" spans="19:30" ht="18">
      <c r="S199" s="235"/>
      <c r="T199" s="235"/>
      <c r="U199" s="263"/>
      <c r="V199" s="1909"/>
      <c r="W199" s="1909"/>
      <c r="X199" s="1909"/>
      <c r="Y199" s="1909"/>
      <c r="Z199" s="1909"/>
      <c r="AA199" s="1909"/>
      <c r="AB199" s="1909"/>
      <c r="AC199" s="1909"/>
      <c r="AD199" s="1909"/>
    </row>
    <row r="200" spans="19:30" ht="18">
      <c r="S200" s="235"/>
      <c r="T200" s="235"/>
      <c r="U200" s="263"/>
      <c r="V200" s="1909"/>
      <c r="W200" s="1909"/>
      <c r="X200" s="1909"/>
      <c r="Y200" s="1909"/>
      <c r="Z200" s="1909"/>
      <c r="AA200" s="1909"/>
      <c r="AB200" s="1909"/>
      <c r="AC200" s="1909"/>
      <c r="AD200" s="1909"/>
    </row>
    <row r="201" spans="19:30" ht="18">
      <c r="S201" s="235"/>
      <c r="T201" s="235"/>
      <c r="U201" s="263"/>
      <c r="V201" s="1909"/>
      <c r="W201" s="1909"/>
      <c r="X201" s="1909"/>
      <c r="Y201" s="1909"/>
      <c r="Z201" s="1909"/>
      <c r="AA201" s="1909"/>
      <c r="AB201" s="1909"/>
      <c r="AC201" s="1909"/>
      <c r="AD201" s="1909"/>
    </row>
    <row r="202" spans="19:30" ht="18">
      <c r="S202" s="235"/>
      <c r="T202" s="235"/>
      <c r="U202" s="263"/>
      <c r="V202" s="1909"/>
      <c r="W202" s="1909"/>
      <c r="X202" s="1909"/>
      <c r="Y202" s="1909"/>
      <c r="Z202" s="1909"/>
      <c r="AA202" s="1909"/>
      <c r="AB202" s="1909"/>
      <c r="AC202" s="1909"/>
      <c r="AD202" s="1909"/>
    </row>
    <row r="203" spans="19:30" ht="18">
      <c r="S203" s="235"/>
      <c r="T203" s="235"/>
      <c r="U203" s="263"/>
      <c r="V203" s="1909"/>
      <c r="W203" s="1909"/>
      <c r="X203" s="1909"/>
      <c r="Y203" s="1909"/>
      <c r="Z203" s="1909"/>
      <c r="AA203" s="1909"/>
      <c r="AB203" s="1909"/>
      <c r="AC203" s="1909"/>
      <c r="AD203" s="1909"/>
    </row>
    <row r="204" spans="19:30" ht="18">
      <c r="S204" s="235"/>
      <c r="T204" s="235"/>
      <c r="U204" s="263"/>
      <c r="V204" s="1909"/>
      <c r="W204" s="1909"/>
      <c r="X204" s="1909"/>
      <c r="Y204" s="1909"/>
      <c r="Z204" s="1909"/>
      <c r="AA204" s="1909"/>
      <c r="AB204" s="1909"/>
      <c r="AC204" s="1909"/>
      <c r="AD204" s="1909"/>
    </row>
    <row r="205" spans="19:30" ht="18">
      <c r="S205" s="235"/>
      <c r="T205" s="235"/>
      <c r="U205" s="263"/>
      <c r="V205" s="1909"/>
      <c r="W205" s="1909"/>
      <c r="X205" s="1909"/>
      <c r="Y205" s="1909"/>
      <c r="Z205" s="1909"/>
      <c r="AA205" s="1909"/>
      <c r="AB205" s="1909"/>
      <c r="AC205" s="1909"/>
      <c r="AD205" s="1909"/>
    </row>
    <row r="206" spans="19:30" ht="18">
      <c r="S206" s="235"/>
      <c r="T206" s="235"/>
      <c r="U206" s="263"/>
      <c r="V206" s="1909"/>
      <c r="W206" s="1909"/>
      <c r="X206" s="1909"/>
      <c r="Y206" s="1909"/>
      <c r="Z206" s="1909"/>
      <c r="AA206" s="1909"/>
      <c r="AB206" s="1909"/>
      <c r="AC206" s="1909"/>
      <c r="AD206" s="1909"/>
    </row>
    <row r="207" spans="19:30" ht="18">
      <c r="S207" s="235"/>
      <c r="T207" s="235"/>
      <c r="U207" s="263"/>
      <c r="V207" s="1909"/>
      <c r="W207" s="1909"/>
      <c r="X207" s="1909"/>
      <c r="Y207" s="1909"/>
      <c r="Z207" s="1909"/>
      <c r="AA207" s="1909"/>
      <c r="AB207" s="1909"/>
      <c r="AC207" s="1909"/>
      <c r="AD207" s="1909"/>
    </row>
    <row r="208" spans="19:30" ht="18">
      <c r="S208" s="235"/>
      <c r="T208" s="235"/>
      <c r="U208" s="263"/>
      <c r="V208" s="1909"/>
      <c r="W208" s="1909"/>
      <c r="X208" s="1909"/>
      <c r="Y208" s="1909"/>
      <c r="Z208" s="1909"/>
      <c r="AA208" s="1909"/>
      <c r="AB208" s="1909"/>
      <c r="AC208" s="1909"/>
      <c r="AD208" s="1909"/>
    </row>
    <row r="209" spans="19:30" ht="18">
      <c r="S209" s="235"/>
      <c r="T209" s="235"/>
      <c r="U209" s="263"/>
      <c r="V209" s="1909"/>
      <c r="W209" s="1909"/>
      <c r="X209" s="1909"/>
      <c r="Y209" s="1909"/>
      <c r="Z209" s="1909"/>
      <c r="AA209" s="1909"/>
      <c r="AB209" s="1909"/>
      <c r="AC209" s="1909"/>
      <c r="AD209" s="1909"/>
    </row>
    <row r="210" spans="19:30" ht="18">
      <c r="S210" s="235"/>
      <c r="T210" s="235"/>
      <c r="U210" s="263"/>
      <c r="V210" s="1909"/>
      <c r="W210" s="1909"/>
      <c r="X210" s="1909"/>
      <c r="Y210" s="1909"/>
      <c r="Z210" s="1909"/>
      <c r="AA210" s="1909"/>
      <c r="AB210" s="1909"/>
      <c r="AC210" s="1909"/>
      <c r="AD210" s="1909"/>
    </row>
    <row r="211" spans="19:30" ht="18">
      <c r="S211" s="235"/>
      <c r="T211" s="235"/>
      <c r="U211" s="263"/>
      <c r="V211" s="1909"/>
      <c r="W211" s="1909"/>
      <c r="X211" s="1909"/>
      <c r="Y211" s="1909"/>
      <c r="Z211" s="1909"/>
      <c r="AA211" s="1909"/>
      <c r="AB211" s="1909"/>
      <c r="AC211" s="1909"/>
      <c r="AD211" s="1909"/>
    </row>
    <row r="212" spans="19:30" ht="18">
      <c r="S212" s="235"/>
      <c r="T212" s="235"/>
      <c r="U212" s="263"/>
      <c r="V212" s="1909"/>
      <c r="W212" s="1909"/>
      <c r="X212" s="1909"/>
      <c r="Y212" s="1909"/>
      <c r="Z212" s="1909"/>
      <c r="AA212" s="1909"/>
      <c r="AB212" s="1909"/>
      <c r="AC212" s="1909"/>
      <c r="AD212" s="1909"/>
    </row>
    <row r="213" spans="19:30" ht="18">
      <c r="S213" s="235"/>
      <c r="T213" s="235"/>
      <c r="U213" s="263"/>
      <c r="V213" s="1909"/>
      <c r="W213" s="1909"/>
      <c r="X213" s="1909"/>
      <c r="Y213" s="1909"/>
      <c r="Z213" s="1909"/>
      <c r="AA213" s="1909"/>
      <c r="AB213" s="1909"/>
      <c r="AC213" s="1909"/>
      <c r="AD213" s="1909"/>
    </row>
    <row r="214" spans="19:30" ht="18">
      <c r="S214" s="235"/>
      <c r="T214" s="235"/>
      <c r="U214" s="263"/>
      <c r="V214" s="1909"/>
      <c r="W214" s="1909"/>
      <c r="X214" s="1909"/>
      <c r="Y214" s="1909"/>
      <c r="Z214" s="1909"/>
      <c r="AA214" s="1909"/>
      <c r="AB214" s="1909"/>
      <c r="AC214" s="1909"/>
      <c r="AD214" s="1909"/>
    </row>
    <row r="215" spans="19:30" ht="18">
      <c r="S215" s="235"/>
      <c r="T215" s="235"/>
      <c r="U215" s="263"/>
      <c r="V215" s="1909"/>
      <c r="W215" s="1909"/>
      <c r="X215" s="1909"/>
      <c r="Y215" s="1909"/>
      <c r="Z215" s="1909"/>
      <c r="AA215" s="1909"/>
      <c r="AB215" s="1909"/>
      <c r="AC215" s="1909"/>
      <c r="AD215" s="1909"/>
    </row>
    <row r="216" spans="19:30" ht="18">
      <c r="S216" s="235"/>
      <c r="T216" s="235"/>
      <c r="U216" s="263"/>
      <c r="V216" s="1909"/>
      <c r="W216" s="1909"/>
      <c r="X216" s="1909"/>
      <c r="Y216" s="1909"/>
      <c r="Z216" s="1909"/>
      <c r="AA216" s="1909"/>
      <c r="AB216" s="1909"/>
      <c r="AC216" s="1909"/>
      <c r="AD216" s="1909"/>
    </row>
    <row r="217" spans="19:30" ht="18">
      <c r="S217" s="235"/>
      <c r="T217" s="235"/>
      <c r="U217" s="263"/>
      <c r="V217" s="1909"/>
      <c r="W217" s="1909"/>
      <c r="X217" s="1909"/>
      <c r="Y217" s="1909"/>
      <c r="Z217" s="1909"/>
      <c r="AA217" s="1909"/>
      <c r="AB217" s="1909"/>
      <c r="AC217" s="1909"/>
      <c r="AD217" s="1909"/>
    </row>
    <row r="218" spans="19:30" ht="18">
      <c r="S218" s="235"/>
      <c r="T218" s="235"/>
      <c r="U218" s="263"/>
      <c r="V218" s="1909"/>
      <c r="W218" s="1909"/>
      <c r="X218" s="1909"/>
      <c r="Y218" s="1909"/>
      <c r="Z218" s="1909"/>
      <c r="AA218" s="1909"/>
      <c r="AB218" s="1909"/>
      <c r="AC218" s="1909"/>
      <c r="AD218" s="1909"/>
    </row>
    <row r="219" spans="19:30" ht="18">
      <c r="S219" s="235"/>
      <c r="T219" s="235"/>
      <c r="U219" s="263"/>
      <c r="V219" s="1909"/>
      <c r="W219" s="1909"/>
      <c r="X219" s="1909"/>
      <c r="Y219" s="1909"/>
      <c r="Z219" s="1909"/>
      <c r="AA219" s="1909"/>
      <c r="AB219" s="1909"/>
      <c r="AC219" s="1909"/>
      <c r="AD219" s="1909"/>
    </row>
    <row r="220" spans="19:30" ht="18">
      <c r="S220" s="235"/>
      <c r="T220" s="235"/>
      <c r="U220" s="263"/>
      <c r="V220" s="1909"/>
      <c r="W220" s="1909"/>
      <c r="X220" s="1909"/>
      <c r="Y220" s="1909"/>
      <c r="Z220" s="1909"/>
      <c r="AA220" s="1909"/>
      <c r="AB220" s="1909"/>
      <c r="AC220" s="1909"/>
      <c r="AD220" s="1909"/>
    </row>
    <row r="221" spans="19:30" ht="18">
      <c r="S221" s="235"/>
      <c r="T221" s="235"/>
      <c r="U221" s="263"/>
      <c r="V221" s="1909"/>
      <c r="W221" s="1909"/>
      <c r="X221" s="1909"/>
      <c r="Y221" s="1909"/>
      <c r="Z221" s="1909"/>
      <c r="AA221" s="1909"/>
      <c r="AB221" s="1909"/>
      <c r="AC221" s="1909"/>
      <c r="AD221" s="1909"/>
    </row>
    <row r="222" spans="19:30" ht="18">
      <c r="S222" s="235"/>
      <c r="T222" s="235"/>
      <c r="U222" s="263"/>
      <c r="V222" s="1909"/>
      <c r="W222" s="1909"/>
      <c r="X222" s="1909"/>
      <c r="Y222" s="1909"/>
      <c r="Z222" s="1909"/>
      <c r="AA222" s="1909"/>
      <c r="AB222" s="1909"/>
      <c r="AC222" s="1909"/>
      <c r="AD222" s="1909"/>
    </row>
    <row r="223" spans="19:30" ht="18">
      <c r="S223" s="235"/>
      <c r="T223" s="235"/>
      <c r="U223" s="263"/>
      <c r="V223" s="1909"/>
      <c r="W223" s="1909"/>
      <c r="X223" s="1909"/>
      <c r="Y223" s="1909"/>
      <c r="Z223" s="1909"/>
      <c r="AA223" s="1909"/>
      <c r="AB223" s="1909"/>
      <c r="AC223" s="1909"/>
      <c r="AD223" s="1909"/>
    </row>
    <row r="224" spans="19:30" ht="18">
      <c r="S224" s="235"/>
      <c r="T224" s="235"/>
      <c r="U224" s="263"/>
      <c r="V224" s="1909"/>
      <c r="W224" s="1909"/>
      <c r="X224" s="1909"/>
      <c r="Y224" s="1909"/>
      <c r="Z224" s="1909"/>
      <c r="AA224" s="1909"/>
      <c r="AB224" s="1909"/>
      <c r="AC224" s="1909"/>
      <c r="AD224" s="1909"/>
    </row>
    <row r="225" spans="19:30" ht="18">
      <c r="S225" s="235"/>
      <c r="T225" s="235"/>
      <c r="U225" s="263"/>
      <c r="V225" s="1909"/>
      <c r="W225" s="1909"/>
      <c r="X225" s="1909"/>
      <c r="Y225" s="1909"/>
      <c r="Z225" s="1909"/>
      <c r="AA225" s="1909"/>
      <c r="AB225" s="1909"/>
      <c r="AC225" s="1909"/>
      <c r="AD225" s="1909"/>
    </row>
    <row r="226" spans="19:30" ht="18">
      <c r="S226" s="235"/>
      <c r="T226" s="235"/>
      <c r="U226" s="263"/>
      <c r="V226" s="1909"/>
      <c r="W226" s="1909"/>
      <c r="X226" s="1909"/>
      <c r="Y226" s="1909"/>
      <c r="Z226" s="1909"/>
      <c r="AA226" s="1909"/>
      <c r="AB226" s="1909"/>
      <c r="AC226" s="1909"/>
      <c r="AD226" s="1909"/>
    </row>
    <row r="227" spans="19:30" ht="18">
      <c r="S227" s="235"/>
      <c r="T227" s="235"/>
      <c r="U227" s="263"/>
      <c r="V227" s="1909"/>
      <c r="W227" s="1909"/>
      <c r="X227" s="1909"/>
      <c r="Y227" s="1909"/>
      <c r="Z227" s="1909"/>
      <c r="AA227" s="1909"/>
      <c r="AB227" s="1909"/>
      <c r="AC227" s="1909"/>
      <c r="AD227" s="1909"/>
    </row>
    <row r="228" spans="19:30" ht="18">
      <c r="S228" s="235"/>
      <c r="T228" s="235"/>
      <c r="U228" s="263"/>
      <c r="V228" s="1909"/>
      <c r="W228" s="1909"/>
      <c r="X228" s="1909"/>
      <c r="Y228" s="1909"/>
      <c r="Z228" s="1909"/>
      <c r="AA228" s="1909"/>
      <c r="AB228" s="1909"/>
      <c r="AC228" s="1909"/>
      <c r="AD228" s="1909"/>
    </row>
    <row r="229" spans="19:30" ht="18">
      <c r="S229" s="235"/>
      <c r="T229" s="235"/>
      <c r="U229" s="263"/>
      <c r="V229" s="1909"/>
      <c r="W229" s="1909"/>
      <c r="X229" s="1909"/>
      <c r="Y229" s="1909"/>
      <c r="Z229" s="1909"/>
      <c r="AA229" s="1909"/>
      <c r="AB229" s="1909"/>
      <c r="AC229" s="1909"/>
      <c r="AD229" s="1909"/>
    </row>
    <row r="230" spans="19:30" ht="18">
      <c r="S230" s="235"/>
      <c r="T230" s="235"/>
      <c r="U230" s="263"/>
      <c r="V230" s="1909"/>
      <c r="W230" s="1909"/>
      <c r="X230" s="1909"/>
      <c r="Y230" s="1909"/>
      <c r="Z230" s="1909"/>
      <c r="AA230" s="1909"/>
      <c r="AB230" s="1909"/>
      <c r="AC230" s="1909"/>
      <c r="AD230" s="1909"/>
    </row>
    <row r="231" spans="19:30" ht="18">
      <c r="S231" s="235"/>
      <c r="T231" s="235"/>
      <c r="U231" s="263"/>
      <c r="V231" s="1909"/>
      <c r="W231" s="1909"/>
      <c r="X231" s="1909"/>
      <c r="Y231" s="1909"/>
      <c r="Z231" s="1909"/>
      <c r="AA231" s="1909"/>
      <c r="AB231" s="1909"/>
      <c r="AC231" s="1909"/>
      <c r="AD231" s="1909"/>
    </row>
    <row r="232" spans="19:30" ht="18">
      <c r="S232" s="235"/>
      <c r="T232" s="235"/>
      <c r="U232" s="263"/>
      <c r="V232" s="1909"/>
      <c r="W232" s="1909"/>
      <c r="X232" s="1909"/>
      <c r="Y232" s="1909"/>
      <c r="Z232" s="1909"/>
      <c r="AA232" s="1909"/>
      <c r="AB232" s="1909"/>
      <c r="AC232" s="1909"/>
      <c r="AD232" s="1909"/>
    </row>
    <row r="233" spans="19:30" ht="18">
      <c r="S233" s="235"/>
      <c r="T233" s="235"/>
      <c r="U233" s="263"/>
      <c r="V233" s="1909"/>
      <c r="W233" s="1909"/>
      <c r="X233" s="1909"/>
      <c r="Y233" s="1909"/>
      <c r="Z233" s="1909"/>
      <c r="AA233" s="1909"/>
      <c r="AB233" s="1909"/>
      <c r="AC233" s="1909"/>
      <c r="AD233" s="1909"/>
    </row>
    <row r="234" spans="19:30" ht="18">
      <c r="S234" s="235"/>
      <c r="T234" s="235"/>
      <c r="U234" s="263"/>
      <c r="V234" s="1909"/>
      <c r="W234" s="1909"/>
      <c r="X234" s="1909"/>
      <c r="Y234" s="1909"/>
      <c r="Z234" s="1909"/>
      <c r="AA234" s="1909"/>
      <c r="AB234" s="1909"/>
      <c r="AC234" s="1909"/>
      <c r="AD234" s="1909"/>
    </row>
    <row r="235" spans="19:30" ht="18">
      <c r="S235" s="235"/>
      <c r="T235" s="235"/>
      <c r="U235" s="263"/>
      <c r="V235" s="1909"/>
      <c r="W235" s="1909"/>
      <c r="X235" s="1909"/>
      <c r="Y235" s="1909"/>
      <c r="Z235" s="1909"/>
      <c r="AA235" s="1909"/>
      <c r="AB235" s="1909"/>
      <c r="AC235" s="1909"/>
      <c r="AD235" s="1909"/>
    </row>
    <row r="236" spans="19:30" ht="18">
      <c r="S236" s="235"/>
      <c r="T236" s="235"/>
      <c r="U236" s="263"/>
      <c r="V236" s="1909"/>
      <c r="W236" s="1909"/>
      <c r="X236" s="1909"/>
      <c r="Y236" s="1909"/>
      <c r="Z236" s="1909"/>
      <c r="AA236" s="1909"/>
      <c r="AB236" s="1909"/>
      <c r="AC236" s="1909"/>
      <c r="AD236" s="1909"/>
    </row>
    <row r="237" spans="19:30" ht="18">
      <c r="S237" s="235"/>
      <c r="T237" s="235"/>
      <c r="U237" s="263"/>
      <c r="V237" s="1909"/>
      <c r="W237" s="1909"/>
      <c r="X237" s="1909"/>
      <c r="Y237" s="1909"/>
      <c r="Z237" s="1909"/>
      <c r="AA237" s="1909"/>
      <c r="AB237" s="1909"/>
      <c r="AC237" s="1909"/>
      <c r="AD237" s="1909"/>
    </row>
    <row r="238" spans="19:30" ht="18">
      <c r="S238" s="235"/>
      <c r="T238" s="235"/>
      <c r="U238" s="263"/>
      <c r="V238" s="1909"/>
      <c r="W238" s="1909"/>
      <c r="X238" s="1909"/>
      <c r="Y238" s="1909"/>
      <c r="Z238" s="1909"/>
      <c r="AA238" s="1909"/>
      <c r="AB238" s="1909"/>
      <c r="AC238" s="1909"/>
      <c r="AD238" s="1909"/>
    </row>
    <row r="239" spans="19:30" ht="18">
      <c r="S239" s="235"/>
      <c r="T239" s="235"/>
      <c r="U239" s="263"/>
      <c r="V239" s="1909"/>
      <c r="W239" s="1909"/>
      <c r="X239" s="1909"/>
      <c r="Y239" s="1909"/>
      <c r="Z239" s="1909"/>
      <c r="AA239" s="1909"/>
      <c r="AB239" s="1909"/>
      <c r="AC239" s="1909"/>
      <c r="AD239" s="1909"/>
    </row>
    <row r="240" spans="19:30" ht="18">
      <c r="S240" s="235"/>
      <c r="T240" s="235"/>
      <c r="U240" s="263"/>
      <c r="V240" s="1909"/>
      <c r="W240" s="1909"/>
      <c r="X240" s="1909"/>
      <c r="Y240" s="1909"/>
      <c r="Z240" s="1909"/>
      <c r="AA240" s="1909"/>
      <c r="AB240" s="1909"/>
      <c r="AC240" s="1909"/>
      <c r="AD240" s="1909"/>
    </row>
    <row r="241" spans="19:30" ht="18">
      <c r="S241" s="235"/>
      <c r="T241" s="235"/>
      <c r="U241" s="263"/>
      <c r="V241" s="1909"/>
      <c r="W241" s="1909"/>
      <c r="X241" s="1909"/>
      <c r="Y241" s="1909"/>
      <c r="Z241" s="1909"/>
      <c r="AA241" s="1909"/>
      <c r="AB241" s="1909"/>
      <c r="AC241" s="1909"/>
      <c r="AD241" s="1909"/>
    </row>
    <row r="242" spans="19:30" ht="18">
      <c r="S242" s="235"/>
      <c r="T242" s="235"/>
      <c r="U242" s="263"/>
      <c r="V242" s="1909"/>
      <c r="W242" s="1909"/>
      <c r="X242" s="1909"/>
      <c r="Y242" s="1909"/>
      <c r="Z242" s="1909"/>
      <c r="AA242" s="1909"/>
      <c r="AB242" s="1909"/>
      <c r="AC242" s="1909"/>
      <c r="AD242" s="1909"/>
    </row>
    <row r="243" spans="19:30" ht="18">
      <c r="S243" s="235"/>
      <c r="T243" s="235"/>
      <c r="U243" s="263"/>
      <c r="V243" s="1909"/>
      <c r="W243" s="1909"/>
      <c r="X243" s="1909"/>
      <c r="Y243" s="1909"/>
      <c r="Z243" s="1909"/>
      <c r="AA243" s="1909"/>
      <c r="AB243" s="1909"/>
      <c r="AC243" s="1909"/>
      <c r="AD243" s="1909"/>
    </row>
    <row r="244" spans="19:30" ht="18">
      <c r="S244" s="235"/>
      <c r="T244" s="235"/>
      <c r="U244" s="263"/>
      <c r="V244" s="1909"/>
      <c r="W244" s="1909"/>
      <c r="X244" s="1909"/>
      <c r="Y244" s="1909"/>
      <c r="Z244" s="1909"/>
      <c r="AA244" s="1909"/>
      <c r="AB244" s="1909"/>
      <c r="AC244" s="1909"/>
      <c r="AD244" s="1909"/>
    </row>
    <row r="245" spans="19:30" ht="18">
      <c r="S245" s="235"/>
      <c r="T245" s="235"/>
      <c r="U245" s="263"/>
      <c r="V245" s="1909"/>
      <c r="W245" s="1909"/>
      <c r="X245" s="1909"/>
      <c r="Y245" s="1909"/>
      <c r="Z245" s="1909"/>
      <c r="AA245" s="1909"/>
      <c r="AB245" s="1909"/>
      <c r="AC245" s="1909"/>
      <c r="AD245" s="1909"/>
    </row>
    <row r="246" spans="19:30" ht="18">
      <c r="S246" s="235"/>
      <c r="T246" s="235"/>
      <c r="U246" s="263"/>
      <c r="V246" s="1909"/>
      <c r="W246" s="1909"/>
      <c r="X246" s="1909"/>
      <c r="Y246" s="1909"/>
      <c r="Z246" s="1909"/>
      <c r="AA246" s="1909"/>
      <c r="AB246" s="1909"/>
      <c r="AC246" s="1909"/>
      <c r="AD246" s="1909"/>
    </row>
    <row r="247" spans="19:30" ht="18">
      <c r="S247" s="235"/>
      <c r="T247" s="235"/>
      <c r="U247" s="263"/>
      <c r="V247" s="1909"/>
      <c r="W247" s="1909"/>
      <c r="X247" s="1909"/>
      <c r="Y247" s="1909"/>
      <c r="Z247" s="1909"/>
      <c r="AA247" s="1909"/>
      <c r="AB247" s="1909"/>
      <c r="AC247" s="1909"/>
      <c r="AD247" s="1909"/>
    </row>
    <row r="248" spans="19:30" ht="18">
      <c r="S248" s="235"/>
      <c r="T248" s="235"/>
      <c r="U248" s="263"/>
      <c r="V248" s="1909"/>
      <c r="W248" s="1909"/>
      <c r="X248" s="1909"/>
      <c r="Y248" s="1909"/>
      <c r="Z248" s="1909"/>
      <c r="AA248" s="1909"/>
      <c r="AB248" s="1909"/>
      <c r="AC248" s="1909"/>
      <c r="AD248" s="1909"/>
    </row>
    <row r="249" spans="19:30" ht="18">
      <c r="S249" s="235"/>
      <c r="T249" s="235"/>
      <c r="U249" s="263"/>
      <c r="V249" s="1909"/>
      <c r="W249" s="1909"/>
      <c r="X249" s="1909"/>
      <c r="Y249" s="1909"/>
      <c r="Z249" s="1909"/>
      <c r="AA249" s="1909"/>
      <c r="AB249" s="1909"/>
      <c r="AC249" s="1909"/>
      <c r="AD249" s="1909"/>
    </row>
    <row r="250" spans="19:30" ht="18">
      <c r="S250" s="235"/>
      <c r="T250" s="235"/>
      <c r="U250" s="263"/>
      <c r="V250" s="1909"/>
      <c r="W250" s="1909"/>
      <c r="X250" s="1909"/>
      <c r="Y250" s="1909"/>
      <c r="Z250" s="1909"/>
      <c r="AA250" s="1909"/>
      <c r="AB250" s="1909"/>
      <c r="AC250" s="1909"/>
      <c r="AD250" s="1909"/>
    </row>
    <row r="251" spans="19:30" ht="18">
      <c r="S251" s="235"/>
      <c r="T251" s="235"/>
      <c r="U251" s="263"/>
      <c r="V251" s="1909"/>
      <c r="W251" s="1909"/>
      <c r="X251" s="1909"/>
      <c r="Y251" s="1909"/>
      <c r="Z251" s="1909"/>
      <c r="AA251" s="1909"/>
      <c r="AB251" s="1909"/>
      <c r="AC251" s="1909"/>
      <c r="AD251" s="1909"/>
    </row>
    <row r="252" spans="19:30" ht="18">
      <c r="S252" s="235"/>
      <c r="T252" s="235"/>
      <c r="U252" s="263"/>
      <c r="V252" s="1909"/>
      <c r="W252" s="1909"/>
      <c r="X252" s="1909"/>
      <c r="Y252" s="1909"/>
      <c r="Z252" s="1909"/>
      <c r="AA252" s="1909"/>
      <c r="AB252" s="1909"/>
      <c r="AC252" s="1909"/>
      <c r="AD252" s="1909"/>
    </row>
    <row r="253" spans="19:30" ht="18">
      <c r="S253" s="235"/>
      <c r="T253" s="235"/>
      <c r="U253" s="263"/>
      <c r="V253" s="1909"/>
      <c r="W253" s="1909"/>
      <c r="X253" s="1909"/>
      <c r="Y253" s="1909"/>
      <c r="Z253" s="1909"/>
      <c r="AA253" s="1909"/>
      <c r="AB253" s="1909"/>
      <c r="AC253" s="1909"/>
      <c r="AD253" s="1909"/>
    </row>
    <row r="254" spans="19:30" ht="18">
      <c r="S254" s="235"/>
      <c r="T254" s="235"/>
      <c r="U254" s="263"/>
      <c r="V254" s="1909"/>
      <c r="W254" s="1909"/>
      <c r="X254" s="1909"/>
      <c r="Y254" s="1909"/>
      <c r="Z254" s="1909"/>
      <c r="AA254" s="1909"/>
      <c r="AB254" s="1909"/>
      <c r="AC254" s="1909"/>
      <c r="AD254" s="1909"/>
    </row>
    <row r="255" spans="19:30" ht="18">
      <c r="S255" s="235"/>
      <c r="T255" s="235"/>
      <c r="U255" s="263"/>
      <c r="V255" s="1909"/>
      <c r="W255" s="1909"/>
      <c r="X255" s="1909"/>
      <c r="Y255" s="1909"/>
      <c r="Z255" s="1909"/>
      <c r="AA255" s="1909"/>
      <c r="AB255" s="1909"/>
      <c r="AC255" s="1909"/>
      <c r="AD255" s="1909"/>
    </row>
    <row r="256" spans="19:30" ht="18">
      <c r="S256" s="235"/>
      <c r="T256" s="235"/>
      <c r="U256" s="263"/>
      <c r="V256" s="1909"/>
      <c r="W256" s="1909"/>
      <c r="X256" s="1909"/>
      <c r="Y256" s="1909"/>
      <c r="Z256" s="1909"/>
      <c r="AA256" s="1909"/>
      <c r="AB256" s="1909"/>
      <c r="AC256" s="1909"/>
      <c r="AD256" s="1909"/>
    </row>
    <row r="257" spans="19:30" ht="18">
      <c r="S257" s="235"/>
      <c r="T257" s="235"/>
      <c r="U257" s="263"/>
      <c r="V257" s="1909"/>
      <c r="W257" s="1909"/>
      <c r="X257" s="1909"/>
      <c r="Y257" s="1909"/>
      <c r="Z257" s="1909"/>
      <c r="AA257" s="1909"/>
      <c r="AB257" s="1909"/>
      <c r="AC257" s="1909"/>
      <c r="AD257" s="1909"/>
    </row>
    <row r="258" spans="19:30" ht="18">
      <c r="S258" s="235"/>
      <c r="T258" s="235"/>
      <c r="U258" s="263"/>
      <c r="V258" s="1909"/>
      <c r="W258" s="1909"/>
      <c r="X258" s="1909"/>
      <c r="Y258" s="1909"/>
      <c r="Z258" s="1909"/>
      <c r="AA258" s="1909"/>
      <c r="AB258" s="1909"/>
      <c r="AC258" s="1909"/>
      <c r="AD258" s="1909"/>
    </row>
    <row r="259" spans="19:30" ht="18">
      <c r="S259" s="235"/>
      <c r="T259" s="235"/>
      <c r="U259" s="263"/>
      <c r="V259" s="1909"/>
      <c r="W259" s="1909"/>
      <c r="X259" s="1909"/>
      <c r="Y259" s="1909"/>
      <c r="Z259" s="1909"/>
      <c r="AA259" s="1909"/>
      <c r="AB259" s="1909"/>
      <c r="AC259" s="1909"/>
      <c r="AD259" s="1909"/>
    </row>
    <row r="260" spans="19:30" ht="18">
      <c r="S260" s="235"/>
      <c r="T260" s="235"/>
      <c r="U260" s="263"/>
      <c r="V260" s="1909"/>
      <c r="W260" s="1909"/>
      <c r="X260" s="1909"/>
      <c r="Y260" s="1909"/>
      <c r="Z260" s="1909"/>
      <c r="AA260" s="1909"/>
      <c r="AB260" s="1909"/>
      <c r="AC260" s="1909"/>
      <c r="AD260" s="1909"/>
    </row>
    <row r="261" spans="19:30" ht="18">
      <c r="S261" s="235"/>
      <c r="T261" s="235"/>
      <c r="U261" s="263"/>
      <c r="V261" s="1909"/>
      <c r="W261" s="1909"/>
      <c r="X261" s="1909"/>
      <c r="Y261" s="1909"/>
      <c r="Z261" s="1909"/>
      <c r="AA261" s="1909"/>
      <c r="AB261" s="1909"/>
      <c r="AC261" s="1909"/>
      <c r="AD261" s="1909"/>
    </row>
    <row r="262" spans="19:30">
      <c r="S262" s="235"/>
      <c r="T262" s="235"/>
      <c r="U262" s="263"/>
    </row>
    <row r="263" spans="19:30">
      <c r="S263" s="235"/>
      <c r="T263" s="235"/>
      <c r="U263" s="263"/>
    </row>
    <row r="264" spans="19:30">
      <c r="S264" s="235"/>
      <c r="T264" s="235"/>
      <c r="U264" s="263"/>
    </row>
    <row r="265" spans="19:30">
      <c r="S265" s="235"/>
      <c r="T265" s="235"/>
      <c r="U265" s="263"/>
    </row>
    <row r="266" spans="19:30">
      <c r="S266" s="235"/>
      <c r="T266" s="235"/>
      <c r="U266" s="263"/>
    </row>
    <row r="267" spans="19:30">
      <c r="S267" s="235"/>
      <c r="T267" s="235"/>
      <c r="U267" s="263"/>
    </row>
    <row r="268" spans="19:30">
      <c r="S268" s="235"/>
      <c r="T268" s="235"/>
      <c r="U268" s="263"/>
    </row>
    <row r="269" spans="19:30">
      <c r="S269" s="235"/>
      <c r="T269" s="235"/>
      <c r="U269" s="263"/>
    </row>
  </sheetData>
  <sheetProtection password="F07E" sheet="1" objects="1" scenarios="1"/>
  <mergeCells count="27">
    <mergeCell ref="X94:Z94"/>
    <mergeCell ref="C131:G131"/>
    <mergeCell ref="L8:M8"/>
    <mergeCell ref="L4:M4"/>
    <mergeCell ref="L5:M6"/>
    <mergeCell ref="C11:M11"/>
    <mergeCell ref="L7:M7"/>
    <mergeCell ref="E8:K8"/>
    <mergeCell ref="E7:K7"/>
    <mergeCell ref="E5:K5"/>
    <mergeCell ref="E6:K6"/>
    <mergeCell ref="K10:M10"/>
    <mergeCell ref="C39:M39"/>
    <mergeCell ref="K9:M9"/>
    <mergeCell ref="C129:G129"/>
    <mergeCell ref="B5:B6"/>
    <mergeCell ref="V76:AD76"/>
    <mergeCell ref="W91:AA91"/>
    <mergeCell ref="C5:D6"/>
    <mergeCell ref="B10:J10"/>
    <mergeCell ref="V73:AD73"/>
    <mergeCell ref="V74:AD74"/>
    <mergeCell ref="V75:AD75"/>
    <mergeCell ref="B7:D8"/>
    <mergeCell ref="V69:W71"/>
    <mergeCell ref="X69:Z69"/>
    <mergeCell ref="X70:Z71"/>
  </mergeCells>
  <phoneticPr fontId="14" type="noConversion"/>
  <conditionalFormatting sqref="E74">
    <cfRule type="expression" dxfId="981" priority="6">
      <formula>AND(Form2555_Used,$O$73="")</formula>
    </cfRule>
  </conditionalFormatting>
  <conditionalFormatting sqref="F38">
    <cfRule type="expression" dxfId="980" priority="227" stopIfTrue="1">
      <formula>IF(File_Marr_Sep&lt;&gt;"",M37&gt;191000)</formula>
    </cfRule>
  </conditionalFormatting>
  <conditionalFormatting sqref="F92">
    <cfRule type="expression" dxfId="979" priority="2">
      <formula>AND(Form2555_Used,$O$73="")</formula>
    </cfRule>
  </conditionalFormatting>
  <conditionalFormatting sqref="F107">
    <cfRule type="expression" dxfId="978" priority="1">
      <formula>AND(Form2555_Used,$O$73="")</formula>
    </cfRule>
  </conditionalFormatting>
  <conditionalFormatting sqref="G21">
    <cfRule type="expression" dxfId="977" priority="24" stopIfTrue="1">
      <formula>IF(AND($M$21&lt;&gt;"",$M$21&gt;0),1,0)</formula>
    </cfRule>
  </conditionalFormatting>
  <conditionalFormatting sqref="H20:I20">
    <cfRule type="expression" dxfId="976" priority="15" stopIfTrue="1">
      <formula>IF($M$20&lt;0,1,0)</formula>
    </cfRule>
  </conditionalFormatting>
  <conditionalFormatting sqref="I17">
    <cfRule type="expression" dxfId="975" priority="225" stopIfTrue="1">
      <formula>IF(OR(AND(#REF!&lt;&gt;"",#REF!&gt;0),AND($M$17&lt;&gt;"",$M$17&gt;0),AND($M$21&lt;&gt;"",$M$21&gt;0)),1,0)</formula>
    </cfRule>
  </conditionalFormatting>
  <conditionalFormatting sqref="I34">
    <cfRule type="expression" dxfId="974" priority="238" stopIfTrue="1">
      <formula>IF(AND($M$34&lt;&gt;"",$M$34&lt;=0),1,0)</formula>
    </cfRule>
    <cfRule type="expression" dxfId="973" priority="237" stopIfTrue="1">
      <formula>IF($M$34&gt;0,1,0)</formula>
    </cfRule>
  </conditionalFormatting>
  <conditionalFormatting sqref="J20:K20">
    <cfRule type="expression" dxfId="972" priority="10" stopIfTrue="1">
      <formula>$M$20&lt;0</formula>
    </cfRule>
  </conditionalFormatting>
  <conditionalFormatting sqref="K17">
    <cfRule type="expression" dxfId="971" priority="16" stopIfTrue="1">
      <formula>AND($M$17&lt;&gt;"",$M$17&gt;0)</formula>
    </cfRule>
  </conditionalFormatting>
  <conditionalFormatting sqref="K21">
    <cfRule type="expression" dxfId="970" priority="11" stopIfTrue="1">
      <formula>AND($M$21&lt;&gt;"",$M$21&gt;0)</formula>
    </cfRule>
  </conditionalFormatting>
  <conditionalFormatting sqref="K34">
    <cfRule type="expression" dxfId="969" priority="223" stopIfTrue="1">
      <formula>IF($M$34&gt;0,1,0)</formula>
    </cfRule>
    <cfRule type="expression" dxfId="968" priority="224" stopIfTrue="1">
      <formula>IF(AND($M$34&lt;&gt;"",$M$34&lt;=0),1,0)</formula>
    </cfRule>
  </conditionalFormatting>
  <conditionalFormatting sqref="K46">
    <cfRule type="expression" dxfId="967" priority="781" stopIfTrue="1">
      <formula>AltMinTaxInc-#REF!&lt;0</formula>
    </cfRule>
  </conditionalFormatting>
  <conditionalFormatting sqref="M16:M36">
    <cfRule type="expression" dxfId="966" priority="204">
      <formula>IF(NoColor,1,0)</formula>
    </cfRule>
  </conditionalFormatting>
  <conditionalFormatting sqref="M38">
    <cfRule type="expression" dxfId="965" priority="202">
      <formula>IF(NoColor,1,0)</formula>
    </cfRule>
  </conditionalFormatting>
  <conditionalFormatting sqref="M40:M47">
    <cfRule type="expression" dxfId="964" priority="158">
      <formula>IF(NoColor,1,0)</formula>
    </cfRule>
  </conditionalFormatting>
  <conditionalFormatting sqref="M52">
    <cfRule type="expression" dxfId="963" priority="199">
      <formula>IF(NoColor,1,0)</formula>
    </cfRule>
  </conditionalFormatting>
  <conditionalFormatting sqref="M56:M57">
    <cfRule type="expression" dxfId="962" priority="198">
      <formula>IF(NoColor,1,0)</formula>
    </cfRule>
  </conditionalFormatting>
  <conditionalFormatting sqref="M70">
    <cfRule type="expression" dxfId="961" priority="196">
      <formula>IF(NoColor,1,0)</formula>
    </cfRule>
  </conditionalFormatting>
  <conditionalFormatting sqref="M74">
    <cfRule type="expression" dxfId="960" priority="150">
      <formula>IF(NoColor,1,0)</formula>
    </cfRule>
  </conditionalFormatting>
  <conditionalFormatting sqref="M76">
    <cfRule type="expression" dxfId="959" priority="149">
      <formula>IF(NoColor,1,0)</formula>
    </cfRule>
  </conditionalFormatting>
  <conditionalFormatting sqref="M80:M82">
    <cfRule type="expression" dxfId="958" priority="148">
      <formula>IF(NoColor,1,0)</formula>
    </cfRule>
  </conditionalFormatting>
  <conditionalFormatting sqref="M84">
    <cfRule type="expression" dxfId="957" priority="190">
      <formula>IF(NoColor,1,0)</formula>
    </cfRule>
  </conditionalFormatting>
  <conditionalFormatting sqref="M87">
    <cfRule type="expression" dxfId="956" priority="147">
      <formula>IF(NoColor,1,0)</formula>
    </cfRule>
  </conditionalFormatting>
  <conditionalFormatting sqref="M92:M96">
    <cfRule type="expression" dxfId="955" priority="153">
      <formula>IF(NoColor,1,0)</formula>
    </cfRule>
  </conditionalFormatting>
  <conditionalFormatting sqref="M100">
    <cfRule type="expression" dxfId="954" priority="106">
      <formula>IF(NoColor,1,0)</formula>
    </cfRule>
  </conditionalFormatting>
  <conditionalFormatting sqref="M102">
    <cfRule type="expression" dxfId="953" priority="151">
      <formula>IF(NoColor,1,0)</formula>
    </cfRule>
  </conditionalFormatting>
  <conditionalFormatting sqref="M107:M112">
    <cfRule type="expression" dxfId="952" priority="20">
      <formula>IF(NoColor,1,0)</formula>
    </cfRule>
  </conditionalFormatting>
  <conditionalFormatting sqref="M114:M115">
    <cfRule type="expression" dxfId="951" priority="21">
      <formula>IF(NoColor,1,0)</formula>
    </cfRule>
  </conditionalFormatting>
  <conditionalFormatting sqref="M117:M120">
    <cfRule type="expression" dxfId="950" priority="144">
      <formula>IF(NoColor,1,0)</formula>
    </cfRule>
  </conditionalFormatting>
  <conditionalFormatting sqref="M122">
    <cfRule type="expression" dxfId="949" priority="179">
      <formula>IF(NoColor,1,0)</formula>
    </cfRule>
  </conditionalFormatting>
  <conditionalFormatting sqref="M124">
    <cfRule type="expression" dxfId="948" priority="178">
      <formula>IF(NoColor,1,0)</formula>
    </cfRule>
  </conditionalFormatting>
  <conditionalFormatting sqref="O2">
    <cfRule type="expression" dxfId="947" priority="4657">
      <formula>OR(O2&lt;&gt;"",NOT(P1))</formula>
    </cfRule>
  </conditionalFormatting>
  <conditionalFormatting sqref="O53">
    <cfRule type="expression" dxfId="946" priority="29">
      <formula>IF(AND($M$56&gt;0,AMT&gt;0),1,0)</formula>
    </cfRule>
  </conditionalFormatting>
  <conditionalFormatting sqref="O73">
    <cfRule type="expression" dxfId="945" priority="5">
      <formula>Form2555_Used</formula>
    </cfRule>
  </conditionalFormatting>
  <conditionalFormatting sqref="P23:P36">
    <cfRule type="expression" dxfId="944" priority="159">
      <formula>IF(File_Mar_Sep&lt;&gt;"",1,0)</formula>
    </cfRule>
    <cfRule type="expression" dxfId="943" priority="170">
      <formula>IF(File_Marr_Sep&lt;&gt;"",1,0)</formula>
    </cfRule>
  </conditionalFormatting>
  <conditionalFormatting sqref="P37">
    <cfRule type="expression" dxfId="942" priority="27">
      <formula>IF(File_Marr_Sep&lt;&gt;"",1,0)</formula>
    </cfRule>
    <cfRule type="expression" dxfId="941" priority="26">
      <formula>IF(File_Mar_Sep&lt;&gt;"",1,0)</formula>
    </cfRule>
  </conditionalFormatting>
  <conditionalFormatting sqref="P73">
    <cfRule type="expression" dxfId="940" priority="4">
      <formula>Form2555_Used</formula>
    </cfRule>
  </conditionalFormatting>
  <conditionalFormatting sqref="Q68">
    <cfRule type="expression" dxfId="939" priority="7">
      <formula>OR(NOT($P$1),$R$53)</formula>
    </cfRule>
  </conditionalFormatting>
  <conditionalFormatting sqref="R36:R37">
    <cfRule type="expression" dxfId="938" priority="171">
      <formula>IF(File_Marr_Sep&lt;&gt;"",1,0)</formula>
    </cfRule>
  </conditionalFormatting>
  <conditionalFormatting sqref="S15">
    <cfRule type="expression" dxfId="937" priority="174">
      <formula>IF(AND(P15&lt;&gt;"",you_over_64="",sp_over_64=""),1,0)</formula>
    </cfRule>
  </conditionalFormatting>
  <conditionalFormatting sqref="V69 X69:X70 AA69:AD71">
    <cfRule type="expression" dxfId="936" priority="63">
      <formula>IF(NoColor,1,0)</formula>
    </cfRule>
  </conditionalFormatting>
  <conditionalFormatting sqref="V75:V76">
    <cfRule type="expression" dxfId="935" priority="78" stopIfTrue="1">
      <formula>$AH$88</formula>
    </cfRule>
  </conditionalFormatting>
  <conditionalFormatting sqref="V97">
    <cfRule type="expression" dxfId="934" priority="73">
      <formula>IF($AQ$79,1,0)</formula>
    </cfRule>
  </conditionalFormatting>
  <conditionalFormatting sqref="V94:X94">
    <cfRule type="expression" dxfId="933" priority="14">
      <formula>IF(NoColor,1,0)</formula>
    </cfRule>
  </conditionalFormatting>
  <conditionalFormatting sqref="V72:AD92 S5:AF65 B10:M10 M14 M61:M62">
    <cfRule type="expression" dxfId="932" priority="207">
      <formula>IF(NoColor,1,0)</formula>
    </cfRule>
  </conditionalFormatting>
  <conditionalFormatting sqref="V74:AD74">
    <cfRule type="expression" dxfId="931" priority="13">
      <formula>$AH$88</formula>
    </cfRule>
  </conditionalFormatting>
  <conditionalFormatting sqref="W31:W32">
    <cfRule type="expression" dxfId="930" priority="18">
      <formula>IF($U$31="X",1,0)</formula>
    </cfRule>
  </conditionalFormatting>
  <conditionalFormatting sqref="W32">
    <cfRule type="expression" dxfId="929" priority="19">
      <formula>IF(U32="X",1,0)</formula>
    </cfRule>
  </conditionalFormatting>
  <conditionalFormatting sqref="Z89:Z90">
    <cfRule type="expression" dxfId="928" priority="76" stopIfTrue="1">
      <formula>IF($O$41&lt;&gt;"",1,0)</formula>
    </cfRule>
  </conditionalFormatting>
  <conditionalFormatting sqref="AA94:AD94 V95:AD120">
    <cfRule type="expression" dxfId="927" priority="62">
      <formula>IF(NoColor,1,0)</formula>
    </cfRule>
  </conditionalFormatting>
  <hyperlinks>
    <hyperlink ref="C129:G129" r:id="rId1" display="Download Form 6251" xr:uid="{00000000-0004-0000-2800-000000000000}"/>
    <hyperlink ref="C131:G131" r:id="rId2" display="Download Form 6251 Instructions" xr:uid="{00000000-0004-0000-2800-000001000000}"/>
    <hyperlink ref="AC68" r:id="rId3" xr:uid="{00000000-0004-0000-2800-000002000000}"/>
  </hyperlinks>
  <printOptions horizontalCentered="1"/>
  <pageMargins left="0.44" right="0.25" top="0.22" bottom="0.25" header="0.27" footer="0.25"/>
  <pageSetup scale="87" fitToHeight="2" orientation="portrait" r:id="rId4"/>
  <headerFooter alignWithMargins="0"/>
  <rowBreaks count="2" manualBreakCount="2">
    <brk id="64" min="1" max="12" man="1"/>
    <brk id="125" min="1" max="12" man="1"/>
  </rowBreaks>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O133"/>
  <sheetViews>
    <sheetView zoomScaleNormal="100" zoomScaleSheetLayoutView="100" workbookViewId="0"/>
  </sheetViews>
  <sheetFormatPr defaultColWidth="9.140625" defaultRowHeight="12.75"/>
  <cols>
    <col min="1" max="1" width="2.7109375" style="42" customWidth="1"/>
    <col min="2" max="12" width="3.42578125" style="42" customWidth="1"/>
    <col min="13" max="29" width="2.7109375" style="42" customWidth="1"/>
    <col min="30" max="36" width="3.42578125" style="42" customWidth="1"/>
    <col min="37" max="37" width="6.140625" style="42" customWidth="1"/>
    <col min="38" max="55" width="3.42578125" style="42" customWidth="1"/>
    <col min="56" max="66" width="9.140625" style="3402" customWidth="1"/>
    <col min="67" max="16384" width="9.140625" style="42"/>
  </cols>
  <sheetData>
    <row r="1" spans="1:66" ht="15">
      <c r="A1" s="2757"/>
      <c r="B1" s="2757"/>
      <c r="C1" s="2757"/>
      <c r="D1" s="2757"/>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I1" s="2757"/>
      <c r="AJ1" s="2757"/>
      <c r="AK1" s="2757"/>
      <c r="AL1" s="2757"/>
      <c r="AM1" s="2757"/>
      <c r="AN1" s="2757"/>
      <c r="AO1" s="2757"/>
      <c r="AP1" s="2757"/>
      <c r="BD1" s="2594" t="s">
        <v>2033</v>
      </c>
      <c r="BE1" s="2595"/>
      <c r="BF1" s="2595"/>
      <c r="BG1" s="2595"/>
      <c r="BH1" s="2595"/>
      <c r="BI1" s="2595"/>
      <c r="BJ1" s="2595"/>
      <c r="BK1" s="2595"/>
      <c r="BL1" s="2595"/>
      <c r="BM1" s="2595"/>
      <c r="BN1" s="2595"/>
    </row>
    <row r="2" spans="1:66">
      <c r="A2" s="2757"/>
      <c r="B2" s="1179"/>
      <c r="C2" s="1179"/>
      <c r="D2" s="1179"/>
      <c r="E2" s="1179"/>
      <c r="F2" s="1179"/>
      <c r="G2" s="1179"/>
      <c r="H2" s="1179"/>
      <c r="I2" s="1179"/>
      <c r="J2" s="1179"/>
      <c r="K2" s="1179"/>
      <c r="L2" s="1179"/>
      <c r="M2" s="1179"/>
      <c r="N2" s="1179"/>
      <c r="O2" s="1179"/>
      <c r="P2" s="1179"/>
      <c r="Q2" s="1179"/>
      <c r="R2" s="1179"/>
      <c r="S2" s="1179"/>
      <c r="T2" s="1179"/>
      <c r="U2" s="1179"/>
      <c r="V2" s="1179"/>
      <c r="W2" s="1179"/>
      <c r="X2" s="1179"/>
      <c r="Y2" s="1179"/>
      <c r="Z2" s="1179"/>
      <c r="AA2" s="1179"/>
      <c r="AB2" s="1179"/>
      <c r="AC2" s="1179"/>
      <c r="AD2" s="1179"/>
      <c r="AE2" s="1179"/>
      <c r="AF2" s="1179"/>
      <c r="AG2" s="1179"/>
      <c r="AH2" s="1179"/>
      <c r="AI2" s="1179"/>
      <c r="AJ2" s="1179"/>
      <c r="AK2" s="1179"/>
      <c r="AL2" s="1179"/>
      <c r="AM2" s="1179"/>
      <c r="AN2" s="1179"/>
      <c r="AO2" s="1179"/>
      <c r="AP2" s="2757"/>
      <c r="BD2" s="2595"/>
      <c r="BE2" s="2595"/>
      <c r="BF2" s="2595"/>
      <c r="BG2" s="2595"/>
      <c r="BH2" s="2595"/>
      <c r="BI2" s="2595"/>
      <c r="BJ2" s="2595"/>
      <c r="BK2" s="2595"/>
      <c r="BL2" s="2595"/>
      <c r="BM2" s="2595"/>
      <c r="BN2" s="2595"/>
    </row>
    <row r="3" spans="1:66" ht="27.75">
      <c r="A3" s="2757"/>
      <c r="B3" s="1276" t="s">
        <v>2213</v>
      </c>
      <c r="C3" s="1179"/>
      <c r="D3" s="1179"/>
      <c r="E3" s="1179"/>
      <c r="F3" s="1179"/>
      <c r="G3" s="1179"/>
      <c r="H3" s="1278"/>
      <c r="I3" s="1179"/>
      <c r="J3" s="1179"/>
      <c r="K3" s="1179"/>
      <c r="L3" s="1179"/>
      <c r="M3" s="2687" t="s">
        <v>2065</v>
      </c>
      <c r="N3" s="1179"/>
      <c r="O3" s="1179"/>
      <c r="P3" s="1179"/>
      <c r="Q3" s="1179"/>
      <c r="R3" s="1179"/>
      <c r="S3" s="1179"/>
      <c r="T3" s="1179"/>
      <c r="U3" s="1179"/>
      <c r="V3" s="1179"/>
      <c r="W3" s="1179"/>
      <c r="X3" s="1179"/>
      <c r="Y3" s="1179"/>
      <c r="Z3" s="1179"/>
      <c r="AA3" s="1179"/>
      <c r="AB3" s="1179"/>
      <c r="AC3" s="1179"/>
      <c r="AD3" s="1179"/>
      <c r="AE3" s="1179"/>
      <c r="AF3" s="1179"/>
      <c r="AG3" s="1179"/>
      <c r="AH3" s="1179"/>
      <c r="AI3" s="7413" t="s">
        <v>152</v>
      </c>
      <c r="AJ3" s="7414"/>
      <c r="AK3" s="7414"/>
      <c r="AL3" s="7414"/>
      <c r="AM3" s="7414"/>
      <c r="AN3" s="7414"/>
      <c r="AO3" s="7414"/>
      <c r="AP3" s="2757"/>
      <c r="BD3" s="2595"/>
      <c r="BE3" s="2595"/>
      <c r="BF3" s="2595"/>
      <c r="BG3" s="2595"/>
      <c r="BH3" s="2595"/>
      <c r="BI3" s="2595"/>
      <c r="BJ3" s="2595"/>
      <c r="BK3" s="2595"/>
      <c r="BL3" s="2595"/>
      <c r="BM3" s="2595"/>
      <c r="BN3" s="2595"/>
    </row>
    <row r="4" spans="1:66">
      <c r="A4" s="2757"/>
      <c r="B4" s="1185" t="s">
        <v>5426</v>
      </c>
      <c r="C4" s="1179"/>
      <c r="D4" s="1179"/>
      <c r="E4" s="1179"/>
      <c r="F4" s="1179"/>
      <c r="G4" s="1179"/>
      <c r="H4" s="9054" t="s">
        <v>3565</v>
      </c>
      <c r="I4" s="6371"/>
      <c r="J4" s="6371"/>
      <c r="K4" s="6371"/>
      <c r="L4" s="6371"/>
      <c r="M4" s="6371"/>
      <c r="N4" s="6371"/>
      <c r="O4" s="6371"/>
      <c r="P4" s="6371"/>
      <c r="Q4" s="6371"/>
      <c r="R4" s="6371"/>
      <c r="S4" s="6371"/>
      <c r="T4" s="6371"/>
      <c r="U4" s="6371"/>
      <c r="V4" s="6371"/>
      <c r="W4" s="6371"/>
      <c r="X4" s="6371"/>
      <c r="Y4" s="6371"/>
      <c r="Z4" s="6371"/>
      <c r="AA4" s="6371"/>
      <c r="AB4" s="6371"/>
      <c r="AC4" s="6371"/>
      <c r="AD4" s="6371"/>
      <c r="AE4" s="6371"/>
      <c r="AF4" s="6371"/>
      <c r="AG4" s="6371"/>
      <c r="AH4" s="6793"/>
      <c r="AI4" s="9022" t="s">
        <v>2070</v>
      </c>
      <c r="AJ4" s="9023"/>
      <c r="AK4" s="9023"/>
      <c r="AL4" s="9023"/>
      <c r="AM4" s="9023"/>
      <c r="AN4" s="9028">
        <v>155</v>
      </c>
      <c r="AO4" s="9028"/>
      <c r="AP4" s="2757"/>
      <c r="BD4" s="2595"/>
      <c r="BE4" s="2595"/>
      <c r="BF4" s="2595"/>
      <c r="BG4" s="2595"/>
      <c r="BH4" s="2595"/>
      <c r="BI4" s="2595"/>
      <c r="BJ4" s="2595"/>
      <c r="BK4" s="2595"/>
      <c r="BL4" s="2595"/>
      <c r="BM4" s="2595"/>
      <c r="BN4" s="2595"/>
    </row>
    <row r="5" spans="1:66">
      <c r="A5" s="2757"/>
      <c r="B5" s="7422" t="s">
        <v>2098</v>
      </c>
      <c r="C5" s="6764"/>
      <c r="D5" s="6764"/>
      <c r="E5" s="6764"/>
      <c r="F5" s="6764"/>
      <c r="G5" s="7423"/>
      <c r="H5" s="1278"/>
      <c r="I5" s="1179"/>
      <c r="J5" s="1179"/>
      <c r="K5" s="1179"/>
      <c r="L5" s="1179"/>
      <c r="M5" s="1179"/>
      <c r="N5" s="1179"/>
      <c r="O5" s="1179" t="s">
        <v>2066</v>
      </c>
      <c r="P5" s="1179"/>
      <c r="Q5" s="1179"/>
      <c r="R5" s="1179"/>
      <c r="S5" s="1179"/>
      <c r="T5" s="1179"/>
      <c r="U5" s="1179"/>
      <c r="V5" s="1179"/>
      <c r="W5" s="1179"/>
      <c r="X5" s="1179"/>
      <c r="Y5" s="1179"/>
      <c r="Z5" s="1179"/>
      <c r="AA5" s="1179"/>
      <c r="AB5" s="1179"/>
      <c r="AC5" s="1179"/>
      <c r="AD5" s="1179"/>
      <c r="AE5" s="1179"/>
      <c r="AF5" s="1179"/>
      <c r="AG5" s="1179"/>
      <c r="AH5" s="1179"/>
      <c r="AI5" s="9024"/>
      <c r="AJ5" s="9025"/>
      <c r="AK5" s="9025"/>
      <c r="AL5" s="9025"/>
      <c r="AM5" s="9025"/>
      <c r="AN5" s="9029"/>
      <c r="AO5" s="9029"/>
      <c r="AP5" s="2757"/>
      <c r="BD5" s="2595"/>
      <c r="BE5" s="2595"/>
      <c r="BF5" s="2595"/>
      <c r="BG5" s="2595"/>
      <c r="BH5" s="2595"/>
      <c r="BI5" s="2595"/>
      <c r="BJ5" s="2595"/>
      <c r="BK5" s="2595"/>
      <c r="BL5" s="2595"/>
      <c r="BM5" s="2595"/>
      <c r="BN5" s="2595"/>
    </row>
    <row r="6" spans="1:66" ht="13.5" thickBot="1">
      <c r="A6" s="2757"/>
      <c r="B6" s="6765"/>
      <c r="C6" s="6765"/>
      <c r="D6" s="6765"/>
      <c r="E6" s="6765"/>
      <c r="F6" s="6765"/>
      <c r="G6" s="7424"/>
      <c r="H6" s="1279"/>
      <c r="I6" s="1704"/>
      <c r="J6" s="1280"/>
      <c r="K6" s="1280"/>
      <c r="L6" s="1280"/>
      <c r="M6" s="1280"/>
      <c r="N6" s="1280"/>
      <c r="O6" s="1280"/>
      <c r="P6" s="1280"/>
      <c r="Q6" s="1280"/>
      <c r="R6" s="1280"/>
      <c r="S6" s="1280"/>
      <c r="T6" s="4237" t="s">
        <v>3566</v>
      </c>
      <c r="U6" s="1280"/>
      <c r="V6" s="1280"/>
      <c r="W6" s="1280"/>
      <c r="X6" s="1280"/>
      <c r="Y6" s="1280"/>
      <c r="Z6" s="1280"/>
      <c r="AA6" s="1280"/>
      <c r="AB6" s="1280"/>
      <c r="AC6" s="1280"/>
      <c r="AD6" s="1280"/>
      <c r="AE6" s="1280"/>
      <c r="AF6" s="1280"/>
      <c r="AG6" s="1280"/>
      <c r="AH6" s="1280"/>
      <c r="AI6" s="9026"/>
      <c r="AJ6" s="9027"/>
      <c r="AK6" s="9027"/>
      <c r="AL6" s="9027"/>
      <c r="AM6" s="9027"/>
      <c r="AN6" s="9030"/>
      <c r="AO6" s="9030"/>
      <c r="AP6" s="2757"/>
      <c r="BD6" s="2595"/>
      <c r="BE6" s="2595"/>
      <c r="BF6" s="2595"/>
      <c r="BG6" s="2595"/>
      <c r="BH6" s="2595"/>
      <c r="BI6" s="2595"/>
      <c r="BJ6" s="2595"/>
      <c r="BK6" s="2595"/>
      <c r="BL6" s="2595"/>
      <c r="BM6" s="2595"/>
      <c r="BN6" s="2595"/>
    </row>
    <row r="7" spans="1:66">
      <c r="A7" s="2757"/>
      <c r="B7" s="1179" t="s">
        <v>2067</v>
      </c>
      <c r="C7" s="1179"/>
      <c r="D7" s="1179"/>
      <c r="E7" s="1179"/>
      <c r="F7" s="1179"/>
      <c r="G7" s="1179"/>
      <c r="H7" s="1179"/>
      <c r="I7" s="1179"/>
      <c r="J7" s="1179"/>
      <c r="K7" s="1179"/>
      <c r="L7" s="1179"/>
      <c r="M7" s="1179"/>
      <c r="N7" s="1179"/>
      <c r="O7" s="1179"/>
      <c r="P7" s="1179"/>
      <c r="Q7" s="1179"/>
      <c r="R7" s="1179"/>
      <c r="S7" s="1179"/>
      <c r="T7" s="1179"/>
      <c r="U7" s="1179"/>
      <c r="V7" s="1179"/>
      <c r="W7" s="1179"/>
      <c r="X7" s="1179"/>
      <c r="Y7" s="1179"/>
      <c r="Z7" s="1179"/>
      <c r="AA7" s="1179"/>
      <c r="AB7" s="1179"/>
      <c r="AC7" s="1179"/>
      <c r="AD7" s="1179"/>
      <c r="AE7" s="1179"/>
      <c r="AF7" s="1179"/>
      <c r="AG7" s="1179"/>
      <c r="AH7" s="1179"/>
      <c r="AI7" s="1273" t="s">
        <v>1744</v>
      </c>
      <c r="AJ7" s="1274"/>
      <c r="AK7" s="1274"/>
      <c r="AL7" s="1274"/>
      <c r="AM7" s="1274"/>
      <c r="AN7" s="1274"/>
      <c r="AO7" s="1274"/>
      <c r="AP7" s="2757"/>
      <c r="BD7" s="2595"/>
      <c r="BE7" s="2595"/>
      <c r="BF7" s="2595"/>
      <c r="BG7" s="2595"/>
      <c r="BH7" s="2595"/>
      <c r="BI7" s="2595"/>
      <c r="BJ7" s="2595"/>
      <c r="BK7" s="2595"/>
      <c r="BL7" s="2595"/>
      <c r="BM7" s="2595"/>
      <c r="BN7" s="2595"/>
    </row>
    <row r="8" spans="1:66" ht="9.75" customHeight="1">
      <c r="A8" s="2757"/>
      <c r="B8" s="6635" t="str">
        <f>Names</f>
        <v/>
      </c>
      <c r="C8" s="6635"/>
      <c r="D8" s="6635"/>
      <c r="E8" s="6635"/>
      <c r="F8" s="6635"/>
      <c r="G8" s="6635"/>
      <c r="H8" s="6635"/>
      <c r="I8" s="6635"/>
      <c r="J8" s="6635"/>
      <c r="K8" s="6635"/>
      <c r="L8" s="6635"/>
      <c r="M8" s="6635"/>
      <c r="N8" s="6635"/>
      <c r="O8" s="6635"/>
      <c r="P8" s="6635"/>
      <c r="Q8" s="6635"/>
      <c r="R8" s="6635"/>
      <c r="S8" s="6635"/>
      <c r="T8" s="6635"/>
      <c r="U8" s="6635"/>
      <c r="V8" s="6635"/>
      <c r="W8" s="6635"/>
      <c r="X8" s="6635"/>
      <c r="Y8" s="6635"/>
      <c r="Z8" s="6635"/>
      <c r="AA8" s="6635"/>
      <c r="AB8" s="6635"/>
      <c r="AC8" s="6635"/>
      <c r="AD8" s="6635"/>
      <c r="AE8" s="6635"/>
      <c r="AF8" s="6635"/>
      <c r="AG8" s="6635"/>
      <c r="AH8" s="6635"/>
      <c r="AI8" s="9008"/>
      <c r="AJ8" s="9009"/>
      <c r="AK8" s="9009"/>
      <c r="AL8" s="9009"/>
      <c r="AM8" s="9009"/>
      <c r="AN8" s="9009"/>
      <c r="AO8" s="9009"/>
      <c r="AP8" s="2757"/>
      <c r="BD8" s="2595"/>
      <c r="BE8" s="2595"/>
      <c r="BF8" s="2595"/>
      <c r="BG8" s="2595"/>
      <c r="BH8" s="2595"/>
      <c r="BI8" s="2595"/>
      <c r="BJ8" s="2595"/>
      <c r="BK8" s="2595"/>
      <c r="BL8" s="2595"/>
      <c r="BM8" s="2595"/>
      <c r="BN8" s="2595"/>
    </row>
    <row r="9" spans="1:66" ht="9.75" customHeight="1">
      <c r="A9" s="2757"/>
      <c r="B9" s="6635"/>
      <c r="C9" s="6635"/>
      <c r="D9" s="6635"/>
      <c r="E9" s="6635"/>
      <c r="F9" s="6635"/>
      <c r="G9" s="6635"/>
      <c r="H9" s="6635"/>
      <c r="I9" s="6635"/>
      <c r="J9" s="6635"/>
      <c r="K9" s="6635"/>
      <c r="L9" s="6635"/>
      <c r="M9" s="6635"/>
      <c r="N9" s="6635"/>
      <c r="O9" s="6635"/>
      <c r="P9" s="6635"/>
      <c r="Q9" s="6635"/>
      <c r="R9" s="6635"/>
      <c r="S9" s="6635"/>
      <c r="T9" s="6635"/>
      <c r="U9" s="6635"/>
      <c r="V9" s="6635"/>
      <c r="W9" s="6635"/>
      <c r="X9" s="6635"/>
      <c r="Y9" s="6635"/>
      <c r="Z9" s="6635"/>
      <c r="AA9" s="6635"/>
      <c r="AB9" s="6635"/>
      <c r="AC9" s="6635"/>
      <c r="AD9" s="6635"/>
      <c r="AE9" s="6635"/>
      <c r="AF9" s="6635"/>
      <c r="AG9" s="6635"/>
      <c r="AH9" s="6635"/>
      <c r="AI9" s="9010"/>
      <c r="AJ9" s="8957"/>
      <c r="AK9" s="8957"/>
      <c r="AL9" s="8957"/>
      <c r="AM9" s="8957"/>
      <c r="AN9" s="8957"/>
      <c r="AO9" s="8957"/>
      <c r="AP9" s="2757"/>
      <c r="BD9" s="2595"/>
      <c r="BE9" s="2595"/>
      <c r="BF9" s="2595"/>
      <c r="BG9" s="2595"/>
      <c r="BH9" s="2595"/>
      <c r="BI9" s="2595"/>
      <c r="BJ9" s="2595"/>
      <c r="BK9" s="2595"/>
      <c r="BL9" s="2595"/>
      <c r="BM9" s="2595"/>
      <c r="BN9" s="2595"/>
    </row>
    <row r="10" spans="1:66" ht="15">
      <c r="A10" s="2757"/>
      <c r="B10" s="2688" t="s">
        <v>3567</v>
      </c>
      <c r="C10" s="1554"/>
      <c r="D10" s="2688" t="s">
        <v>2073</v>
      </c>
      <c r="E10" s="1554"/>
      <c r="F10" s="1554"/>
      <c r="G10" s="1554"/>
      <c r="H10" s="1554"/>
      <c r="I10" s="1554"/>
      <c r="J10" s="1554"/>
      <c r="K10" s="1554"/>
      <c r="L10" s="1554"/>
      <c r="M10" s="1554"/>
      <c r="N10" s="1554"/>
      <c r="O10" s="1554"/>
      <c r="P10" s="1554"/>
      <c r="Q10" s="1554"/>
      <c r="R10" s="1554"/>
      <c r="S10" s="1554"/>
      <c r="T10" s="1554"/>
      <c r="U10" s="1554"/>
      <c r="V10" s="1554"/>
      <c r="W10" s="1554"/>
      <c r="X10" s="1554"/>
      <c r="Y10" s="1554"/>
      <c r="Z10" s="1554"/>
      <c r="AA10" s="1554"/>
      <c r="AB10" s="1554"/>
      <c r="AC10" s="1554"/>
      <c r="AD10" s="1554"/>
      <c r="AE10" s="1554"/>
      <c r="AF10" s="1554"/>
      <c r="AG10" s="1554"/>
      <c r="AH10" s="1554"/>
      <c r="AI10" s="1554"/>
      <c r="AJ10" s="1554"/>
      <c r="AK10" s="1554"/>
      <c r="AL10" s="1554"/>
      <c r="AM10" s="1554"/>
      <c r="AN10" s="1554"/>
      <c r="AO10" s="1554"/>
      <c r="AP10" s="2757"/>
      <c r="BD10" s="2595"/>
      <c r="BE10" s="2595"/>
      <c r="BF10" s="2595"/>
      <c r="BG10" s="2595"/>
      <c r="BH10" s="2595"/>
      <c r="BI10" s="2595"/>
      <c r="BJ10" s="2595"/>
      <c r="BK10" s="2595"/>
      <c r="BL10" s="2595"/>
      <c r="BM10" s="2595"/>
      <c r="BN10" s="2595"/>
    </row>
    <row r="11" spans="1:66" ht="16.5">
      <c r="A11" s="2757"/>
      <c r="B11" s="2706" t="s">
        <v>2099</v>
      </c>
      <c r="C11" s="1179"/>
      <c r="D11" s="1179"/>
      <c r="E11" s="1179"/>
      <c r="F11" s="1540" t="s">
        <v>5428</v>
      </c>
      <c r="G11" s="1179"/>
      <c r="H11" s="1179"/>
      <c r="I11" s="1179"/>
      <c r="J11" s="1179"/>
      <c r="K11" s="1179"/>
      <c r="L11" s="1179"/>
      <c r="M11" s="1179"/>
      <c r="N11" s="1179"/>
      <c r="O11" s="1179"/>
      <c r="P11" s="1179"/>
      <c r="Q11" s="1179"/>
      <c r="R11" s="1179"/>
      <c r="S11" s="1179"/>
      <c r="T11" s="1179"/>
      <c r="U11" s="1179"/>
      <c r="V11" s="1179"/>
      <c r="W11" s="1179"/>
      <c r="X11" s="1179"/>
      <c r="Y11" s="1179"/>
      <c r="Z11" s="1179"/>
      <c r="AA11" s="1179"/>
      <c r="AB11" s="1179"/>
      <c r="AC11" s="1179"/>
      <c r="AD11" s="1179"/>
      <c r="AE11" s="1179"/>
      <c r="AF11" s="1179"/>
      <c r="AG11" s="1179"/>
      <c r="AH11" s="1179"/>
      <c r="AI11" s="1179"/>
      <c r="AJ11" s="1179"/>
      <c r="AK11" s="1179"/>
      <c r="AL11" s="1179"/>
      <c r="AM11" s="1179"/>
      <c r="AN11" s="1179"/>
      <c r="AO11" s="1179"/>
      <c r="AP11" s="2757"/>
      <c r="BD11" s="2595"/>
      <c r="BE11" s="2595"/>
      <c r="BF11" s="2595"/>
      <c r="BG11" s="2595"/>
      <c r="BH11" s="2595"/>
      <c r="BI11" s="2595"/>
      <c r="BJ11" s="2595"/>
      <c r="BK11" s="2595"/>
      <c r="BL11" s="2595"/>
      <c r="BM11" s="2595"/>
      <c r="BN11" s="2595"/>
    </row>
    <row r="12" spans="1:66" ht="13.5" customHeight="1">
      <c r="A12" s="2757"/>
      <c r="B12" s="1179"/>
      <c r="C12" s="1179"/>
      <c r="D12" s="1179"/>
      <c r="E12" s="1179"/>
      <c r="F12" s="1540" t="s">
        <v>5429</v>
      </c>
      <c r="G12" s="1179"/>
      <c r="H12" s="1179"/>
      <c r="I12" s="1179"/>
      <c r="J12" s="1179"/>
      <c r="K12" s="1179"/>
      <c r="L12" s="1179"/>
      <c r="M12" s="1179"/>
      <c r="N12" s="1179"/>
      <c r="O12" s="1179"/>
      <c r="P12" s="1179"/>
      <c r="Q12" s="1179"/>
      <c r="R12" s="1179"/>
      <c r="S12" s="1179"/>
      <c r="T12" s="1179"/>
      <c r="U12" s="1179"/>
      <c r="V12" s="1179"/>
      <c r="W12" s="1179"/>
      <c r="X12" s="1179"/>
      <c r="Y12" s="1179"/>
      <c r="Z12" s="1179"/>
      <c r="AA12" s="1179"/>
      <c r="AB12" s="1179"/>
      <c r="AC12" s="1179"/>
      <c r="AD12" s="1179"/>
      <c r="AE12" s="1179"/>
      <c r="AF12" s="1179"/>
      <c r="AG12" s="1179"/>
      <c r="AH12" s="1179"/>
      <c r="AI12" s="1179"/>
      <c r="AJ12" s="1179"/>
      <c r="AK12" s="1179"/>
      <c r="AL12" s="1179"/>
      <c r="AM12" s="1179"/>
      <c r="AN12" s="1179"/>
      <c r="AO12" s="1179"/>
      <c r="AP12" s="2757"/>
      <c r="BD12" s="2595"/>
      <c r="BE12" s="2595"/>
      <c r="BF12" s="2595"/>
      <c r="BG12" s="2595"/>
      <c r="BH12" s="2595"/>
      <c r="BI12" s="2595"/>
      <c r="BJ12" s="2595"/>
      <c r="BK12" s="2595"/>
      <c r="BL12" s="2595"/>
      <c r="BM12" s="2595"/>
      <c r="BN12" s="2595"/>
    </row>
    <row r="13" spans="1:66" ht="13.5" customHeight="1">
      <c r="A13" s="2757"/>
      <c r="B13" s="1179"/>
      <c r="C13" s="1179"/>
      <c r="D13" s="1179"/>
      <c r="E13" s="1179"/>
      <c r="F13" s="1540" t="s">
        <v>5430</v>
      </c>
      <c r="G13" s="1179"/>
      <c r="H13" s="1179"/>
      <c r="I13" s="1179"/>
      <c r="J13" s="1179"/>
      <c r="K13" s="1179"/>
      <c r="L13" s="1179"/>
      <c r="M13" s="1179"/>
      <c r="N13" s="1179"/>
      <c r="O13" s="1179"/>
      <c r="P13" s="1179"/>
      <c r="Q13" s="1179"/>
      <c r="R13" s="1179"/>
      <c r="S13" s="1179"/>
      <c r="T13" s="1179"/>
      <c r="U13" s="1179"/>
      <c r="V13" s="1179"/>
      <c r="W13" s="1179"/>
      <c r="X13" s="1179"/>
      <c r="Y13" s="1179"/>
      <c r="Z13" s="1179"/>
      <c r="AA13" s="1179"/>
      <c r="AB13" s="1179"/>
      <c r="AC13" s="1179"/>
      <c r="AD13" s="1179"/>
      <c r="AE13" s="1179"/>
      <c r="AF13" s="1179"/>
      <c r="AG13" s="1179"/>
      <c r="AH13" s="1179"/>
      <c r="AI13" s="1179"/>
      <c r="AJ13" s="1179"/>
      <c r="AK13" s="1179"/>
      <c r="AL13" s="1179"/>
      <c r="AM13" s="1179"/>
      <c r="AN13" s="1179"/>
      <c r="AO13" s="1179"/>
      <c r="AP13" s="2757"/>
      <c r="BD13" s="2595"/>
      <c r="BE13" s="2595"/>
      <c r="BF13" s="2595"/>
      <c r="BG13" s="2595"/>
      <c r="BH13" s="2595"/>
      <c r="BI13" s="2595"/>
      <c r="BJ13" s="2595"/>
      <c r="BK13" s="2595"/>
      <c r="BL13" s="2595"/>
      <c r="BM13" s="2595"/>
      <c r="BN13" s="2595"/>
    </row>
    <row r="14" spans="1:66" s="2689" customFormat="1" ht="15.75">
      <c r="A14" s="2758"/>
      <c r="B14" s="7794" t="s">
        <v>51</v>
      </c>
      <c r="C14" s="7794"/>
      <c r="D14" s="7795"/>
      <c r="E14" s="2690"/>
      <c r="F14" s="2690" t="s">
        <v>2068</v>
      </c>
      <c r="G14" s="2690"/>
      <c r="H14" s="2690"/>
      <c r="I14" s="2690"/>
      <c r="J14" s="2690"/>
      <c r="K14" s="2690"/>
      <c r="L14" s="2690"/>
      <c r="M14" s="2690"/>
      <c r="N14" s="2690"/>
      <c r="O14" s="2690"/>
      <c r="P14" s="2690"/>
      <c r="Q14" s="2690"/>
      <c r="R14" s="2690"/>
      <c r="S14" s="2690"/>
      <c r="T14" s="2690"/>
      <c r="U14" s="2690"/>
      <c r="V14" s="2690"/>
      <c r="W14" s="2690"/>
      <c r="X14" s="2690"/>
      <c r="Y14" s="2690"/>
      <c r="Z14" s="2690"/>
      <c r="AA14" s="2690"/>
      <c r="AB14" s="2690"/>
      <c r="AC14" s="2690"/>
      <c r="AD14" s="2690"/>
      <c r="AE14" s="2690"/>
      <c r="AF14" s="2690"/>
      <c r="AG14" s="2690"/>
      <c r="AH14" s="2690"/>
      <c r="AI14" s="2690"/>
      <c r="AJ14" s="2690"/>
      <c r="AK14" s="2690"/>
      <c r="AL14" s="2690"/>
      <c r="AM14" s="2690"/>
      <c r="AN14" s="2690"/>
      <c r="AO14" s="2690"/>
      <c r="AP14" s="2757"/>
      <c r="BD14" s="2595"/>
      <c r="BE14" s="2595"/>
      <c r="BF14" s="2595"/>
      <c r="BG14" s="2595"/>
      <c r="BH14" s="2595"/>
      <c r="BI14" s="2595"/>
      <c r="BJ14" s="2595"/>
      <c r="BK14" s="2595"/>
      <c r="BL14" s="2595"/>
      <c r="BM14" s="2595"/>
      <c r="BN14" s="2595"/>
    </row>
    <row r="15" spans="1:66">
      <c r="A15" s="2757"/>
      <c r="B15" s="8770">
        <v>1</v>
      </c>
      <c r="C15" s="8770"/>
      <c r="D15" s="8770"/>
      <c r="E15" s="7317" t="s">
        <v>2069</v>
      </c>
      <c r="F15" s="9043"/>
      <c r="G15" s="9043"/>
      <c r="H15" s="9043"/>
      <c r="I15" s="9043"/>
      <c r="J15" s="9043"/>
      <c r="K15" s="9043"/>
      <c r="L15" s="9044"/>
      <c r="M15" s="7241" t="s">
        <v>2071</v>
      </c>
      <c r="N15" s="9043"/>
      <c r="O15" s="9043"/>
      <c r="P15" s="9043"/>
      <c r="Q15" s="9043"/>
      <c r="R15" s="9043"/>
      <c r="S15" s="9043"/>
      <c r="T15" s="9043"/>
      <c r="U15" s="9043"/>
      <c r="V15" s="9043"/>
      <c r="W15" s="9043"/>
      <c r="X15" s="9043"/>
      <c r="Y15" s="9043"/>
      <c r="Z15" s="9043"/>
      <c r="AA15" s="9043"/>
      <c r="AB15" s="9043"/>
      <c r="AC15" s="9044"/>
      <c r="AD15" s="7241" t="s">
        <v>5427</v>
      </c>
      <c r="AE15" s="9043"/>
      <c r="AF15" s="9043"/>
      <c r="AG15" s="9043"/>
      <c r="AH15" s="9043"/>
      <c r="AI15" s="9043"/>
      <c r="AJ15" s="9043"/>
      <c r="AK15" s="9043"/>
      <c r="AL15" s="9043"/>
      <c r="AM15" s="9043"/>
      <c r="AN15" s="9043"/>
      <c r="AO15" s="9043"/>
      <c r="AP15" s="2757"/>
      <c r="BD15" s="2595"/>
      <c r="BE15" s="2595"/>
      <c r="BF15" s="2595"/>
      <c r="BG15" s="2595"/>
      <c r="BH15" s="2595"/>
      <c r="BI15" s="2595"/>
      <c r="BJ15" s="2595"/>
      <c r="BK15" s="2595"/>
      <c r="BL15" s="2595"/>
      <c r="BM15" s="2595"/>
      <c r="BN15" s="2595"/>
    </row>
    <row r="16" spans="1:66">
      <c r="A16" s="2757"/>
      <c r="B16" s="9049"/>
      <c r="C16" s="9049"/>
      <c r="D16" s="9049"/>
      <c r="E16" s="9045"/>
      <c r="F16" s="9045"/>
      <c r="G16" s="9045"/>
      <c r="H16" s="9045"/>
      <c r="I16" s="9045"/>
      <c r="J16" s="9045"/>
      <c r="K16" s="9045"/>
      <c r="L16" s="9046"/>
      <c r="M16" s="9051"/>
      <c r="N16" s="9045"/>
      <c r="O16" s="9045"/>
      <c r="P16" s="9045"/>
      <c r="Q16" s="9045"/>
      <c r="R16" s="9045"/>
      <c r="S16" s="9045"/>
      <c r="T16" s="9045"/>
      <c r="U16" s="9045"/>
      <c r="V16" s="9045"/>
      <c r="W16" s="9045"/>
      <c r="X16" s="9045"/>
      <c r="Y16" s="9045"/>
      <c r="Z16" s="9045"/>
      <c r="AA16" s="9045"/>
      <c r="AB16" s="9045"/>
      <c r="AC16" s="9046"/>
      <c r="AD16" s="9051"/>
      <c r="AE16" s="9045"/>
      <c r="AF16" s="9045"/>
      <c r="AG16" s="9045"/>
      <c r="AH16" s="9045"/>
      <c r="AI16" s="9045"/>
      <c r="AJ16" s="9045"/>
      <c r="AK16" s="9045"/>
      <c r="AL16" s="9045"/>
      <c r="AM16" s="9045"/>
      <c r="AN16" s="9045"/>
      <c r="AO16" s="9045"/>
      <c r="AP16" s="2757"/>
      <c r="BD16" s="2595"/>
      <c r="BE16" s="2595"/>
      <c r="BF16" s="2595"/>
      <c r="BG16" s="2595"/>
      <c r="BH16" s="2595"/>
      <c r="BI16" s="2595"/>
      <c r="BJ16" s="2595"/>
      <c r="BK16" s="2595"/>
      <c r="BL16" s="2595"/>
      <c r="BM16" s="2595"/>
      <c r="BN16" s="2595"/>
    </row>
    <row r="17" spans="1:66">
      <c r="A17" s="2757"/>
      <c r="B17" s="9049"/>
      <c r="C17" s="9049"/>
      <c r="D17" s="9049"/>
      <c r="E17" s="9045"/>
      <c r="F17" s="9045"/>
      <c r="G17" s="9045"/>
      <c r="H17" s="9045"/>
      <c r="I17" s="9045"/>
      <c r="J17" s="9045"/>
      <c r="K17" s="9045"/>
      <c r="L17" s="9046"/>
      <c r="M17" s="9051"/>
      <c r="N17" s="9045"/>
      <c r="O17" s="9045"/>
      <c r="P17" s="9045"/>
      <c r="Q17" s="9045"/>
      <c r="R17" s="9045"/>
      <c r="S17" s="9045"/>
      <c r="T17" s="9045"/>
      <c r="U17" s="9045"/>
      <c r="V17" s="9045"/>
      <c r="W17" s="9045"/>
      <c r="X17" s="9045"/>
      <c r="Y17" s="9045"/>
      <c r="Z17" s="9045"/>
      <c r="AA17" s="9045"/>
      <c r="AB17" s="9045"/>
      <c r="AC17" s="9046"/>
      <c r="AD17" s="9051"/>
      <c r="AE17" s="9045"/>
      <c r="AF17" s="9045"/>
      <c r="AG17" s="9045"/>
      <c r="AH17" s="9045"/>
      <c r="AI17" s="9045"/>
      <c r="AJ17" s="9045"/>
      <c r="AK17" s="9045"/>
      <c r="AL17" s="9045"/>
      <c r="AM17" s="9045"/>
      <c r="AN17" s="9045"/>
      <c r="AO17" s="9045"/>
      <c r="AP17" s="2757"/>
      <c r="BD17" s="2595"/>
      <c r="BE17" s="2595"/>
      <c r="BF17" s="2595"/>
      <c r="BG17" s="2595"/>
      <c r="BH17" s="2595"/>
      <c r="BI17" s="2595"/>
      <c r="BJ17" s="2595"/>
      <c r="BK17" s="2595"/>
      <c r="BL17" s="2595"/>
      <c r="BM17" s="2595"/>
      <c r="BN17" s="2595"/>
    </row>
    <row r="18" spans="1:66">
      <c r="A18" s="2757"/>
      <c r="B18" s="9050"/>
      <c r="C18" s="9050"/>
      <c r="D18" s="9050"/>
      <c r="E18" s="9047"/>
      <c r="F18" s="9047"/>
      <c r="G18" s="9047"/>
      <c r="H18" s="9047"/>
      <c r="I18" s="9047"/>
      <c r="J18" s="9047"/>
      <c r="K18" s="9047"/>
      <c r="L18" s="9048"/>
      <c r="M18" s="9052"/>
      <c r="N18" s="9047"/>
      <c r="O18" s="9047"/>
      <c r="P18" s="9047"/>
      <c r="Q18" s="9047"/>
      <c r="R18" s="9047"/>
      <c r="S18" s="9047"/>
      <c r="T18" s="9047"/>
      <c r="U18" s="9047"/>
      <c r="V18" s="9047"/>
      <c r="W18" s="9047"/>
      <c r="X18" s="9047"/>
      <c r="Y18" s="9047"/>
      <c r="Z18" s="9047"/>
      <c r="AA18" s="9047"/>
      <c r="AB18" s="9047"/>
      <c r="AC18" s="9048"/>
      <c r="AD18" s="9052"/>
      <c r="AE18" s="9047"/>
      <c r="AF18" s="9047"/>
      <c r="AG18" s="9047"/>
      <c r="AH18" s="9047"/>
      <c r="AI18" s="9047"/>
      <c r="AJ18" s="9047"/>
      <c r="AK18" s="9047"/>
      <c r="AL18" s="9047"/>
      <c r="AM18" s="9047"/>
      <c r="AN18" s="9047"/>
      <c r="AO18" s="9047"/>
      <c r="AP18" s="2757"/>
      <c r="AQ18" s="2757"/>
      <c r="AR18" s="2757"/>
      <c r="AS18" s="2757"/>
      <c r="AT18" s="2757"/>
      <c r="AU18" s="2757"/>
      <c r="AV18" s="2757"/>
      <c r="AW18" s="2757"/>
      <c r="AX18" s="2757"/>
      <c r="AY18" s="2757"/>
      <c r="AZ18" s="2757"/>
      <c r="BA18" s="2757"/>
      <c r="BB18" s="2757"/>
      <c r="BD18" s="2595"/>
      <c r="BE18" s="2595"/>
      <c r="BF18" s="2595"/>
      <c r="BG18" s="2595"/>
      <c r="BH18" s="2595"/>
      <c r="BI18" s="2595"/>
      <c r="BJ18" s="2595"/>
      <c r="BK18" s="2595"/>
      <c r="BL18" s="2595"/>
      <c r="BM18" s="2595"/>
      <c r="BN18" s="2595"/>
    </row>
    <row r="19" spans="1:66" ht="3.75" customHeight="1">
      <c r="A19" s="2757"/>
      <c r="B19" s="9053" t="s">
        <v>143</v>
      </c>
      <c r="C19" s="6869"/>
      <c r="D19" s="9031"/>
      <c r="E19" s="9032"/>
      <c r="F19" s="9032"/>
      <c r="G19" s="9032"/>
      <c r="H19" s="9032"/>
      <c r="I19" s="9032"/>
      <c r="J19" s="9032"/>
      <c r="K19" s="9032"/>
      <c r="L19" s="9033"/>
      <c r="M19" s="2693"/>
      <c r="N19" s="2691"/>
      <c r="O19" s="2691"/>
      <c r="P19" s="2691"/>
      <c r="Q19" s="2691"/>
      <c r="R19" s="2691"/>
      <c r="S19" s="2691"/>
      <c r="T19" s="2691"/>
      <c r="U19" s="2691"/>
      <c r="V19" s="2691"/>
      <c r="W19" s="2691"/>
      <c r="X19" s="2691"/>
      <c r="Y19" s="2691"/>
      <c r="Z19" s="2691"/>
      <c r="AA19" s="2691"/>
      <c r="AB19" s="2691"/>
      <c r="AC19" s="2692"/>
      <c r="AD19" s="9031"/>
      <c r="AE19" s="9039"/>
      <c r="AF19" s="9039"/>
      <c r="AG19" s="9039"/>
      <c r="AH19" s="9039"/>
      <c r="AI19" s="9039"/>
      <c r="AJ19" s="9039"/>
      <c r="AK19" s="9039"/>
      <c r="AL19" s="9039"/>
      <c r="AM19" s="9039"/>
      <c r="AN19" s="9039"/>
      <c r="AO19" s="9039"/>
      <c r="AP19" s="2757"/>
      <c r="AQ19" s="2757"/>
      <c r="AR19" s="2757"/>
      <c r="AS19" s="2757"/>
      <c r="AT19" s="2757"/>
      <c r="AU19" s="2757"/>
      <c r="AV19" s="2757"/>
      <c r="AW19" s="2757"/>
      <c r="AX19" s="2757"/>
      <c r="AY19" s="2757"/>
      <c r="AZ19" s="2757"/>
      <c r="BA19" s="2757"/>
      <c r="BB19" s="2757"/>
      <c r="BD19" s="2595"/>
      <c r="BE19" s="2595"/>
      <c r="BF19" s="2595"/>
      <c r="BG19" s="2595"/>
      <c r="BH19" s="2595"/>
      <c r="BI19" s="2595"/>
      <c r="BJ19" s="2595"/>
      <c r="BK19" s="2595"/>
      <c r="BL19" s="2595"/>
      <c r="BM19" s="2595"/>
      <c r="BN19" s="2595"/>
    </row>
    <row r="20" spans="1:66" ht="14.25" customHeight="1" thickBot="1">
      <c r="A20" s="2757"/>
      <c r="B20" s="7263"/>
      <c r="C20" s="7263"/>
      <c r="D20" s="9034"/>
      <c r="E20" s="9035"/>
      <c r="F20" s="9035"/>
      <c r="G20" s="9035"/>
      <c r="H20" s="9035"/>
      <c r="I20" s="9035"/>
      <c r="J20" s="9035"/>
      <c r="K20" s="9035"/>
      <c r="L20" s="9036"/>
      <c r="M20" s="1582"/>
      <c r="N20" s="1179"/>
      <c r="O20" s="1179"/>
      <c r="P20" s="1179"/>
      <c r="Q20" s="1179"/>
      <c r="R20" s="1179"/>
      <c r="S20" s="1179"/>
      <c r="T20" s="2694"/>
      <c r="U20" s="1179"/>
      <c r="V20" s="1179"/>
      <c r="W20" s="1179"/>
      <c r="X20" s="1179"/>
      <c r="Y20" s="1179"/>
      <c r="Z20" s="1179"/>
      <c r="AA20" s="1179"/>
      <c r="AB20" s="1179"/>
      <c r="AC20" s="1583"/>
      <c r="AD20" s="9040"/>
      <c r="AE20" s="9041"/>
      <c r="AF20" s="9041"/>
      <c r="AG20" s="9041"/>
      <c r="AH20" s="9041"/>
      <c r="AI20" s="9041"/>
      <c r="AJ20" s="9041"/>
      <c r="AK20" s="9041"/>
      <c r="AL20" s="9041"/>
      <c r="AM20" s="9041"/>
      <c r="AN20" s="9041"/>
      <c r="AO20" s="9041"/>
      <c r="AP20" s="2757"/>
      <c r="AQ20" s="1283" t="s">
        <v>2072</v>
      </c>
      <c r="AR20" s="1179"/>
      <c r="AS20" s="1179"/>
      <c r="AT20" s="1179"/>
      <c r="AU20" s="1179"/>
      <c r="AV20" s="1179"/>
      <c r="AW20" s="1179"/>
      <c r="AX20" s="1179"/>
      <c r="AY20" s="1179"/>
      <c r="AZ20" s="1179"/>
      <c r="BA20" s="1179"/>
      <c r="BB20" s="2757"/>
      <c r="BD20" s="2595"/>
      <c r="BE20" s="2595"/>
      <c r="BF20" s="2595"/>
      <c r="BG20" s="2595"/>
      <c r="BH20" s="2595"/>
      <c r="BI20" s="2595"/>
      <c r="BJ20" s="2595"/>
      <c r="BK20" s="2595"/>
      <c r="BL20" s="2595"/>
      <c r="BM20" s="2595"/>
      <c r="BN20" s="2595"/>
    </row>
    <row r="21" spans="1:66" ht="14.25" customHeight="1" thickTop="1" thickBot="1">
      <c r="A21" s="2757"/>
      <c r="B21" s="7265"/>
      <c r="C21" s="7265"/>
      <c r="D21" s="9037"/>
      <c r="E21" s="9038"/>
      <c r="F21" s="9038"/>
      <c r="G21" s="9038"/>
      <c r="H21" s="9038"/>
      <c r="I21" s="9038"/>
      <c r="J21" s="9038"/>
      <c r="K21" s="9038"/>
      <c r="L21" s="9038"/>
      <c r="M21" s="5717"/>
      <c r="N21" s="5717"/>
      <c r="O21" s="5717"/>
      <c r="P21" s="5717"/>
      <c r="Q21" s="5717"/>
      <c r="R21" s="5717"/>
      <c r="S21" s="5717"/>
      <c r="T21" s="5717"/>
      <c r="U21" s="5717"/>
      <c r="V21" s="5717"/>
      <c r="W21" s="5717"/>
      <c r="X21" s="5717"/>
      <c r="Y21" s="5717"/>
      <c r="Z21" s="5717"/>
      <c r="AA21" s="5717"/>
      <c r="AB21" s="5717"/>
      <c r="AC21" s="5717"/>
      <c r="AD21" s="9042"/>
      <c r="AE21" s="9042"/>
      <c r="AF21" s="9042"/>
      <c r="AG21" s="9042"/>
      <c r="AH21" s="9042"/>
      <c r="AI21" s="9042"/>
      <c r="AJ21" s="9042"/>
      <c r="AK21" s="9042"/>
      <c r="AL21" s="9042"/>
      <c r="AM21" s="9042"/>
      <c r="AN21" s="9042"/>
      <c r="AO21" s="9042"/>
      <c r="AP21" s="2757"/>
      <c r="AQ21" s="2757"/>
      <c r="AR21" s="2757"/>
      <c r="AS21" s="2757"/>
      <c r="AT21" s="2757"/>
      <c r="AU21" s="2757"/>
      <c r="AV21" s="2757"/>
      <c r="AW21" s="2757"/>
      <c r="AX21" s="2757"/>
      <c r="AY21" s="2757"/>
      <c r="AZ21" s="2757"/>
      <c r="BA21" s="2757"/>
      <c r="BB21" s="2757"/>
      <c r="BD21" s="2595"/>
      <c r="BE21" s="2595"/>
      <c r="BF21" s="2595"/>
      <c r="BG21" s="2595"/>
      <c r="BH21" s="2595"/>
      <c r="BI21" s="2595"/>
      <c r="BJ21" s="2595"/>
      <c r="BK21" s="2595"/>
      <c r="BL21" s="2595"/>
      <c r="BM21" s="2595"/>
      <c r="BN21" s="2595"/>
    </row>
    <row r="22" spans="1:66" ht="3.75" customHeight="1" thickTop="1">
      <c r="A22" s="2757"/>
      <c r="B22" s="9053" t="s">
        <v>288</v>
      </c>
      <c r="C22" s="6869"/>
      <c r="D22" s="9031"/>
      <c r="E22" s="9032"/>
      <c r="F22" s="9032"/>
      <c r="G22" s="9032"/>
      <c r="H22" s="9032"/>
      <c r="I22" s="9032"/>
      <c r="J22" s="9032"/>
      <c r="K22" s="9032"/>
      <c r="L22" s="9033"/>
      <c r="M22" s="5692"/>
      <c r="N22" s="5716"/>
      <c r="O22" s="5716"/>
      <c r="P22" s="5716"/>
      <c r="Q22" s="5716"/>
      <c r="R22" s="5716"/>
      <c r="S22" s="5716"/>
      <c r="T22" s="5716"/>
      <c r="U22" s="5716"/>
      <c r="V22" s="5716"/>
      <c r="W22" s="5716"/>
      <c r="X22" s="5716"/>
      <c r="Y22" s="5716"/>
      <c r="Z22" s="5716"/>
      <c r="AA22" s="5716"/>
      <c r="AB22" s="5716"/>
      <c r="AC22" s="5691"/>
      <c r="AD22" s="9031"/>
      <c r="AE22" s="9039"/>
      <c r="AF22" s="9039"/>
      <c r="AG22" s="9039"/>
      <c r="AH22" s="9039"/>
      <c r="AI22" s="9039"/>
      <c r="AJ22" s="9039"/>
      <c r="AK22" s="9039"/>
      <c r="AL22" s="9039"/>
      <c r="AM22" s="9039"/>
      <c r="AN22" s="9039"/>
      <c r="AO22" s="9039"/>
      <c r="AP22" s="2757"/>
      <c r="AQ22" s="2757"/>
      <c r="AR22" s="2757"/>
      <c r="AS22" s="2757"/>
      <c r="AT22" s="2757"/>
      <c r="AU22" s="2757"/>
      <c r="AV22" s="2757"/>
      <c r="AW22" s="2757"/>
      <c r="AX22" s="2757"/>
      <c r="AY22" s="2757"/>
      <c r="AZ22" s="2757"/>
      <c r="BA22" s="2757"/>
      <c r="BB22" s="2757"/>
      <c r="BD22" s="2595"/>
      <c r="BE22" s="2595"/>
      <c r="BF22" s="2595"/>
      <c r="BG22" s="2595"/>
      <c r="BH22" s="2595"/>
      <c r="BI22" s="2595"/>
      <c r="BJ22" s="2595"/>
      <c r="BK22" s="2595"/>
      <c r="BL22" s="2595"/>
      <c r="BM22" s="2595"/>
      <c r="BN22" s="2595"/>
    </row>
    <row r="23" spans="1:66" ht="14.25" customHeight="1" thickBot="1">
      <c r="A23" s="2757"/>
      <c r="B23" s="7263"/>
      <c r="C23" s="7263"/>
      <c r="D23" s="9034"/>
      <c r="E23" s="9035"/>
      <c r="F23" s="9035"/>
      <c r="G23" s="9035"/>
      <c r="H23" s="9035"/>
      <c r="I23" s="9035"/>
      <c r="J23" s="9035"/>
      <c r="K23" s="9035"/>
      <c r="L23" s="9036"/>
      <c r="M23" s="1582"/>
      <c r="N23" s="1179"/>
      <c r="O23" s="1179"/>
      <c r="P23" s="1179"/>
      <c r="Q23" s="1179"/>
      <c r="R23" s="1179"/>
      <c r="S23" s="1179"/>
      <c r="T23" s="2694"/>
      <c r="U23" s="1179"/>
      <c r="V23" s="1179"/>
      <c r="W23" s="1179"/>
      <c r="X23" s="1179"/>
      <c r="Y23" s="1179"/>
      <c r="Z23" s="1179"/>
      <c r="AA23" s="1179"/>
      <c r="AB23" s="1179"/>
      <c r="AC23" s="1583"/>
      <c r="AD23" s="9040"/>
      <c r="AE23" s="9041"/>
      <c r="AF23" s="9041"/>
      <c r="AG23" s="9041"/>
      <c r="AH23" s="9041"/>
      <c r="AI23" s="9041"/>
      <c r="AJ23" s="9041"/>
      <c r="AK23" s="9041"/>
      <c r="AL23" s="9041"/>
      <c r="AM23" s="9041"/>
      <c r="AN23" s="9041"/>
      <c r="AO23" s="9041"/>
      <c r="AP23" s="2757"/>
      <c r="AQ23" s="989"/>
      <c r="BD23" s="2595"/>
      <c r="BE23" s="2595"/>
      <c r="BF23" s="2595"/>
      <c r="BG23" s="2595"/>
      <c r="BH23" s="2595"/>
      <c r="BI23" s="2595"/>
      <c r="BJ23" s="2595"/>
      <c r="BK23" s="2595"/>
      <c r="BL23" s="2595"/>
      <c r="BM23" s="2595"/>
      <c r="BN23" s="2595"/>
    </row>
    <row r="24" spans="1:66" ht="14.25" customHeight="1" thickTop="1" thickBot="1">
      <c r="A24" s="2757"/>
      <c r="B24" s="7265"/>
      <c r="C24" s="7265"/>
      <c r="D24" s="9037"/>
      <c r="E24" s="9038"/>
      <c r="F24" s="9038"/>
      <c r="G24" s="9038"/>
      <c r="H24" s="9038"/>
      <c r="I24" s="9038"/>
      <c r="J24" s="9038"/>
      <c r="K24" s="9038"/>
      <c r="L24" s="9055"/>
      <c r="M24" s="5717"/>
      <c r="N24" s="5717"/>
      <c r="O24" s="5717"/>
      <c r="P24" s="5717"/>
      <c r="Q24" s="5717"/>
      <c r="R24" s="5717"/>
      <c r="S24" s="5717"/>
      <c r="T24" s="5717"/>
      <c r="U24" s="5717"/>
      <c r="V24" s="5717"/>
      <c r="W24" s="5717"/>
      <c r="X24" s="5717"/>
      <c r="Y24" s="5717"/>
      <c r="Z24" s="5717"/>
      <c r="AA24" s="5717"/>
      <c r="AB24" s="5717"/>
      <c r="AC24" s="5717"/>
      <c r="AD24" s="9056"/>
      <c r="AE24" s="9042"/>
      <c r="AF24" s="9042"/>
      <c r="AG24" s="9042"/>
      <c r="AH24" s="9042"/>
      <c r="AI24" s="9042"/>
      <c r="AJ24" s="9042"/>
      <c r="AK24" s="9042"/>
      <c r="AL24" s="9042"/>
      <c r="AM24" s="9042"/>
      <c r="AN24" s="9042"/>
      <c r="AO24" s="9042"/>
      <c r="AP24" s="2757"/>
      <c r="BD24" s="2595"/>
      <c r="BE24" s="2595"/>
      <c r="BF24" s="2595"/>
      <c r="BG24" s="2595"/>
      <c r="BH24" s="2595"/>
      <c r="BI24" s="2595"/>
      <c r="BJ24" s="2595"/>
      <c r="BK24" s="2595"/>
      <c r="BL24" s="2595"/>
      <c r="BM24" s="2595"/>
      <c r="BN24" s="2595"/>
    </row>
    <row r="25" spans="1:66" ht="3.75" customHeight="1" thickTop="1">
      <c r="A25" s="2757"/>
      <c r="B25" s="9053" t="s">
        <v>144</v>
      </c>
      <c r="C25" s="6869"/>
      <c r="D25" s="9031"/>
      <c r="E25" s="9032"/>
      <c r="F25" s="9032"/>
      <c r="G25" s="9032"/>
      <c r="H25" s="9032"/>
      <c r="I25" s="9032"/>
      <c r="J25" s="9032"/>
      <c r="K25" s="9032"/>
      <c r="L25" s="9033"/>
      <c r="M25" s="2693"/>
      <c r="N25" s="2691"/>
      <c r="O25" s="2691"/>
      <c r="P25" s="2691"/>
      <c r="Q25" s="2691"/>
      <c r="R25" s="2691"/>
      <c r="S25" s="2691"/>
      <c r="T25" s="2691"/>
      <c r="U25" s="2691"/>
      <c r="V25" s="2691"/>
      <c r="W25" s="2691"/>
      <c r="X25" s="2691"/>
      <c r="Y25" s="2691"/>
      <c r="Z25" s="2691"/>
      <c r="AA25" s="2691"/>
      <c r="AB25" s="2691"/>
      <c r="AC25" s="2692"/>
      <c r="AD25" s="9031"/>
      <c r="AE25" s="9039"/>
      <c r="AF25" s="9039"/>
      <c r="AG25" s="9039"/>
      <c r="AH25" s="9039"/>
      <c r="AI25" s="9039"/>
      <c r="AJ25" s="9039"/>
      <c r="AK25" s="9039"/>
      <c r="AL25" s="9039"/>
      <c r="AM25" s="9039"/>
      <c r="AN25" s="9039"/>
      <c r="AO25" s="9039"/>
      <c r="AP25" s="2757"/>
      <c r="BD25" s="2595"/>
      <c r="BE25" s="2595"/>
      <c r="BF25" s="2595"/>
      <c r="BG25" s="2595"/>
      <c r="BH25" s="2595"/>
      <c r="BI25" s="2595"/>
      <c r="BJ25" s="2595"/>
      <c r="BK25" s="2595"/>
      <c r="BL25" s="2595"/>
      <c r="BM25" s="2595"/>
      <c r="BN25" s="2595"/>
    </row>
    <row r="26" spans="1:66" ht="14.25" customHeight="1" thickBot="1">
      <c r="A26" s="2757"/>
      <c r="B26" s="7263"/>
      <c r="C26" s="7263"/>
      <c r="D26" s="9034"/>
      <c r="E26" s="9035"/>
      <c r="F26" s="9035"/>
      <c r="G26" s="9035"/>
      <c r="H26" s="9035"/>
      <c r="I26" s="9035"/>
      <c r="J26" s="9035"/>
      <c r="K26" s="9035"/>
      <c r="L26" s="9036"/>
      <c r="M26" s="1582"/>
      <c r="N26" s="1179"/>
      <c r="O26" s="1179"/>
      <c r="P26" s="1179"/>
      <c r="Q26" s="1179"/>
      <c r="R26" s="1179"/>
      <c r="S26" s="1179"/>
      <c r="T26" s="2694"/>
      <c r="U26" s="1179"/>
      <c r="V26" s="1179"/>
      <c r="W26" s="1179"/>
      <c r="X26" s="1179"/>
      <c r="Y26" s="1179"/>
      <c r="Z26" s="1179"/>
      <c r="AA26" s="1179"/>
      <c r="AB26" s="1179"/>
      <c r="AC26" s="1583"/>
      <c r="AD26" s="9040"/>
      <c r="AE26" s="9041"/>
      <c r="AF26" s="9041"/>
      <c r="AG26" s="9041"/>
      <c r="AH26" s="9041"/>
      <c r="AI26" s="9041"/>
      <c r="AJ26" s="9041"/>
      <c r="AK26" s="9041"/>
      <c r="AL26" s="9041"/>
      <c r="AM26" s="9041"/>
      <c r="AN26" s="9041"/>
      <c r="AO26" s="9041"/>
      <c r="AP26" s="2757"/>
      <c r="AQ26" s="989"/>
      <c r="BD26" s="2595"/>
      <c r="BE26" s="2595"/>
      <c r="BF26" s="2595"/>
      <c r="BG26" s="2595"/>
      <c r="BH26" s="2595"/>
      <c r="BI26" s="2595"/>
      <c r="BJ26" s="2595"/>
      <c r="BK26" s="2595"/>
      <c r="BL26" s="2595"/>
      <c r="BM26" s="2595"/>
      <c r="BN26" s="2595"/>
    </row>
    <row r="27" spans="1:66" ht="14.25" customHeight="1" thickTop="1" thickBot="1">
      <c r="A27" s="2757"/>
      <c r="B27" s="7265"/>
      <c r="C27" s="7265"/>
      <c r="D27" s="9037"/>
      <c r="E27" s="9038"/>
      <c r="F27" s="9038"/>
      <c r="G27" s="9038"/>
      <c r="H27" s="9038"/>
      <c r="I27" s="9038"/>
      <c r="J27" s="9038"/>
      <c r="K27" s="9038"/>
      <c r="L27" s="9055"/>
      <c r="M27" s="5717"/>
      <c r="N27" s="5717"/>
      <c r="O27" s="5717"/>
      <c r="P27" s="5717"/>
      <c r="Q27" s="5717"/>
      <c r="R27" s="5717"/>
      <c r="S27" s="5717"/>
      <c r="T27" s="5717"/>
      <c r="U27" s="5717"/>
      <c r="V27" s="5717"/>
      <c r="W27" s="5717"/>
      <c r="X27" s="5717"/>
      <c r="Y27" s="5717"/>
      <c r="Z27" s="5717"/>
      <c r="AA27" s="5717"/>
      <c r="AB27" s="5717"/>
      <c r="AC27" s="5717"/>
      <c r="AD27" s="9056"/>
      <c r="AE27" s="9042"/>
      <c r="AF27" s="9042"/>
      <c r="AG27" s="9042"/>
      <c r="AH27" s="9042"/>
      <c r="AI27" s="9042"/>
      <c r="AJ27" s="9042"/>
      <c r="AK27" s="9042"/>
      <c r="AL27" s="9042"/>
      <c r="AM27" s="9042"/>
      <c r="AN27" s="9042"/>
      <c r="AO27" s="9042"/>
      <c r="AP27" s="2757"/>
      <c r="BD27" s="2595"/>
      <c r="BE27" s="2595"/>
      <c r="BF27" s="2595"/>
      <c r="BG27" s="2595"/>
      <c r="BH27" s="2595"/>
      <c r="BI27" s="2595"/>
      <c r="BJ27" s="2595"/>
      <c r="BK27" s="2595"/>
      <c r="BL27" s="2595"/>
      <c r="BM27" s="2595"/>
      <c r="BN27" s="2595"/>
    </row>
    <row r="28" spans="1:66" ht="3.75" customHeight="1" thickTop="1">
      <c r="A28" s="2757"/>
      <c r="B28" s="9053" t="s">
        <v>290</v>
      </c>
      <c r="C28" s="6869"/>
      <c r="D28" s="9031"/>
      <c r="E28" s="9032"/>
      <c r="F28" s="9032"/>
      <c r="G28" s="9032"/>
      <c r="H28" s="9032"/>
      <c r="I28" s="9032"/>
      <c r="J28" s="9032"/>
      <c r="K28" s="9032"/>
      <c r="L28" s="9033"/>
      <c r="M28" s="2693"/>
      <c r="N28" s="2691"/>
      <c r="O28" s="2691"/>
      <c r="P28" s="2691"/>
      <c r="Q28" s="2691"/>
      <c r="R28" s="2691"/>
      <c r="S28" s="2691"/>
      <c r="T28" s="2691"/>
      <c r="U28" s="2691"/>
      <c r="V28" s="2691"/>
      <c r="W28" s="2691"/>
      <c r="X28" s="2691"/>
      <c r="Y28" s="2691"/>
      <c r="Z28" s="2691"/>
      <c r="AA28" s="2691"/>
      <c r="AB28" s="2691"/>
      <c r="AC28" s="2692"/>
      <c r="AD28" s="9031"/>
      <c r="AE28" s="9039"/>
      <c r="AF28" s="9039"/>
      <c r="AG28" s="9039"/>
      <c r="AH28" s="9039"/>
      <c r="AI28" s="9039"/>
      <c r="AJ28" s="9039"/>
      <c r="AK28" s="9039"/>
      <c r="AL28" s="9039"/>
      <c r="AM28" s="9039"/>
      <c r="AN28" s="9039"/>
      <c r="AO28" s="9039"/>
      <c r="AP28" s="2757"/>
      <c r="BD28" s="2595"/>
      <c r="BE28" s="2595"/>
      <c r="BF28" s="2595"/>
      <c r="BG28" s="2595"/>
      <c r="BH28" s="2595"/>
      <c r="BI28" s="2595"/>
      <c r="BJ28" s="2595"/>
      <c r="BK28" s="2595"/>
      <c r="BL28" s="2595"/>
      <c r="BM28" s="2595"/>
      <c r="BN28" s="2595"/>
    </row>
    <row r="29" spans="1:66" ht="14.25" customHeight="1" thickBot="1">
      <c r="A29" s="2757"/>
      <c r="B29" s="7263"/>
      <c r="C29" s="7263"/>
      <c r="D29" s="9034"/>
      <c r="E29" s="9035"/>
      <c r="F29" s="9035"/>
      <c r="G29" s="9035"/>
      <c r="H29" s="9035"/>
      <c r="I29" s="9035"/>
      <c r="J29" s="9035"/>
      <c r="K29" s="9035"/>
      <c r="L29" s="9036"/>
      <c r="M29" s="1582"/>
      <c r="N29" s="1179"/>
      <c r="O29" s="1179"/>
      <c r="P29" s="1179"/>
      <c r="Q29" s="1179"/>
      <c r="R29" s="1179"/>
      <c r="S29" s="1179"/>
      <c r="T29" s="2694"/>
      <c r="U29" s="1179"/>
      <c r="V29" s="1179"/>
      <c r="W29" s="1179"/>
      <c r="X29" s="1179"/>
      <c r="Y29" s="1179"/>
      <c r="Z29" s="1179"/>
      <c r="AA29" s="1179"/>
      <c r="AB29" s="1179"/>
      <c r="AC29" s="1583"/>
      <c r="AD29" s="9040"/>
      <c r="AE29" s="9041"/>
      <c r="AF29" s="9041"/>
      <c r="AG29" s="9041"/>
      <c r="AH29" s="9041"/>
      <c r="AI29" s="9041"/>
      <c r="AJ29" s="9041"/>
      <c r="AK29" s="9041"/>
      <c r="AL29" s="9041"/>
      <c r="AM29" s="9041"/>
      <c r="AN29" s="9041"/>
      <c r="AO29" s="9041"/>
      <c r="AP29" s="2757"/>
      <c r="AQ29" s="989"/>
      <c r="BD29" s="2595"/>
      <c r="BE29" s="2595"/>
      <c r="BF29" s="2595"/>
      <c r="BG29" s="2595"/>
      <c r="BH29" s="2595"/>
      <c r="BI29" s="2595"/>
      <c r="BJ29" s="2595"/>
      <c r="BK29" s="2595"/>
      <c r="BL29" s="2595"/>
      <c r="BM29" s="2595"/>
      <c r="BN29" s="2595"/>
    </row>
    <row r="30" spans="1:66" ht="14.25" customHeight="1" thickTop="1" thickBot="1">
      <c r="A30" s="2757"/>
      <c r="B30" s="7265"/>
      <c r="C30" s="7265"/>
      <c r="D30" s="9037"/>
      <c r="E30" s="9038"/>
      <c r="F30" s="9038"/>
      <c r="G30" s="9038"/>
      <c r="H30" s="9038"/>
      <c r="I30" s="9038"/>
      <c r="J30" s="9038"/>
      <c r="K30" s="9038"/>
      <c r="L30" s="9055"/>
      <c r="M30" s="5717"/>
      <c r="N30" s="5717"/>
      <c r="O30" s="5717"/>
      <c r="P30" s="5717"/>
      <c r="Q30" s="5717"/>
      <c r="R30" s="5717"/>
      <c r="S30" s="5717"/>
      <c r="T30" s="5717"/>
      <c r="U30" s="5717"/>
      <c r="V30" s="5717"/>
      <c r="W30" s="5717"/>
      <c r="X30" s="5717"/>
      <c r="Y30" s="5717"/>
      <c r="Z30" s="5717"/>
      <c r="AA30" s="5717"/>
      <c r="AB30" s="5717"/>
      <c r="AC30" s="5717"/>
      <c r="AD30" s="9056"/>
      <c r="AE30" s="9042"/>
      <c r="AF30" s="9042"/>
      <c r="AG30" s="9042"/>
      <c r="AH30" s="9042"/>
      <c r="AI30" s="9042"/>
      <c r="AJ30" s="9042"/>
      <c r="AK30" s="9042"/>
      <c r="AL30" s="9042"/>
      <c r="AM30" s="9042"/>
      <c r="AN30" s="9042"/>
      <c r="AO30" s="9042"/>
      <c r="AP30" s="2757"/>
      <c r="BD30" s="2595"/>
      <c r="BE30" s="2595"/>
      <c r="BF30" s="2595"/>
      <c r="BG30" s="2595"/>
      <c r="BH30" s="2595"/>
      <c r="BI30" s="2595"/>
      <c r="BJ30" s="2595"/>
      <c r="BK30" s="2595"/>
      <c r="BL30" s="2595"/>
      <c r="BM30" s="2595"/>
      <c r="BN30" s="2595"/>
    </row>
    <row r="31" spans="1:66" ht="3.75" customHeight="1" thickTop="1">
      <c r="A31" s="2757"/>
      <c r="B31" s="9053" t="s">
        <v>371</v>
      </c>
      <c r="C31" s="6869"/>
      <c r="D31" s="9031"/>
      <c r="E31" s="9032"/>
      <c r="F31" s="9032"/>
      <c r="G31" s="9032"/>
      <c r="H31" s="9032"/>
      <c r="I31" s="9032"/>
      <c r="J31" s="9032"/>
      <c r="K31" s="9032"/>
      <c r="L31" s="9033"/>
      <c r="M31" s="2693"/>
      <c r="N31" s="2691"/>
      <c r="O31" s="2691"/>
      <c r="P31" s="2691"/>
      <c r="Q31" s="2691"/>
      <c r="R31" s="2691"/>
      <c r="S31" s="2691"/>
      <c r="T31" s="2691"/>
      <c r="U31" s="2691"/>
      <c r="V31" s="2691"/>
      <c r="W31" s="2691"/>
      <c r="X31" s="2691"/>
      <c r="Y31" s="2691"/>
      <c r="Z31" s="2691"/>
      <c r="AA31" s="2691"/>
      <c r="AB31" s="2691"/>
      <c r="AC31" s="2692"/>
      <c r="AD31" s="9031"/>
      <c r="AE31" s="9039"/>
      <c r="AF31" s="9039"/>
      <c r="AG31" s="9039"/>
      <c r="AH31" s="9039"/>
      <c r="AI31" s="9039"/>
      <c r="AJ31" s="9039"/>
      <c r="AK31" s="9039"/>
      <c r="AL31" s="9039"/>
      <c r="AM31" s="9039"/>
      <c r="AN31" s="9039"/>
      <c r="AO31" s="9039"/>
      <c r="AP31" s="2757"/>
      <c r="BD31" s="2595"/>
      <c r="BE31" s="2595"/>
      <c r="BF31" s="2595"/>
      <c r="BG31" s="2595"/>
      <c r="BH31" s="2595"/>
      <c r="BI31" s="2595"/>
      <c r="BJ31" s="2595"/>
      <c r="BK31" s="2595"/>
      <c r="BL31" s="2595"/>
      <c r="BM31" s="2595"/>
      <c r="BN31" s="2595"/>
    </row>
    <row r="32" spans="1:66" ht="14.25" customHeight="1" thickBot="1">
      <c r="A32" s="2757"/>
      <c r="B32" s="7263"/>
      <c r="C32" s="7263"/>
      <c r="D32" s="9034"/>
      <c r="E32" s="9035"/>
      <c r="F32" s="9035"/>
      <c r="G32" s="9035"/>
      <c r="H32" s="9035"/>
      <c r="I32" s="9035"/>
      <c r="J32" s="9035"/>
      <c r="K32" s="9035"/>
      <c r="L32" s="9036"/>
      <c r="M32" s="1582"/>
      <c r="N32" s="1179"/>
      <c r="O32" s="1179"/>
      <c r="P32" s="1179"/>
      <c r="Q32" s="1179"/>
      <c r="R32" s="1179"/>
      <c r="S32" s="1179"/>
      <c r="T32" s="2694"/>
      <c r="U32" s="1179"/>
      <c r="V32" s="1179"/>
      <c r="W32" s="1179"/>
      <c r="X32" s="1179"/>
      <c r="Y32" s="1179"/>
      <c r="Z32" s="1179"/>
      <c r="AA32" s="1179"/>
      <c r="AB32" s="1179"/>
      <c r="AC32" s="1583"/>
      <c r="AD32" s="9040"/>
      <c r="AE32" s="9041"/>
      <c r="AF32" s="9041"/>
      <c r="AG32" s="9041"/>
      <c r="AH32" s="9041"/>
      <c r="AI32" s="9041"/>
      <c r="AJ32" s="9041"/>
      <c r="AK32" s="9041"/>
      <c r="AL32" s="9041"/>
      <c r="AM32" s="9041"/>
      <c r="AN32" s="9041"/>
      <c r="AO32" s="9041"/>
      <c r="AP32" s="2757"/>
      <c r="AQ32" s="989"/>
      <c r="BD32" s="2595"/>
      <c r="BE32" s="2595"/>
      <c r="BF32" s="2595"/>
      <c r="BG32" s="2595"/>
      <c r="BH32" s="2595"/>
      <c r="BI32" s="2595"/>
      <c r="BJ32" s="2595"/>
      <c r="BK32" s="2595"/>
      <c r="BL32" s="2595"/>
      <c r="BM32" s="2595"/>
      <c r="BN32" s="2595"/>
    </row>
    <row r="33" spans="1:66" ht="14.25" customHeight="1" thickTop="1" thickBot="1">
      <c r="A33" s="2757"/>
      <c r="B33" s="7265"/>
      <c r="C33" s="7265"/>
      <c r="D33" s="9037"/>
      <c r="E33" s="9038"/>
      <c r="F33" s="9038"/>
      <c r="G33" s="9038"/>
      <c r="H33" s="9038"/>
      <c r="I33" s="9038"/>
      <c r="J33" s="9038"/>
      <c r="K33" s="9038"/>
      <c r="L33" s="9055"/>
      <c r="M33" s="5717"/>
      <c r="N33" s="5717"/>
      <c r="O33" s="5717"/>
      <c r="P33" s="5717"/>
      <c r="Q33" s="5717"/>
      <c r="R33" s="5717"/>
      <c r="S33" s="5717"/>
      <c r="T33" s="5717"/>
      <c r="U33" s="5717"/>
      <c r="V33" s="5717"/>
      <c r="W33" s="5717"/>
      <c r="X33" s="5717"/>
      <c r="Y33" s="5717"/>
      <c r="Z33" s="5717"/>
      <c r="AA33" s="5717"/>
      <c r="AB33" s="5717"/>
      <c r="AC33" s="5717"/>
      <c r="AD33" s="9056"/>
      <c r="AE33" s="9042"/>
      <c r="AF33" s="9042"/>
      <c r="AG33" s="9042"/>
      <c r="AH33" s="9042"/>
      <c r="AI33" s="9042"/>
      <c r="AJ33" s="9042"/>
      <c r="AK33" s="9042"/>
      <c r="AL33" s="9042"/>
      <c r="AM33" s="9042"/>
      <c r="AN33" s="9042"/>
      <c r="AO33" s="9042"/>
      <c r="AP33" s="2757"/>
      <c r="BD33" s="2595"/>
      <c r="BE33" s="2595"/>
      <c r="BF33" s="2595"/>
      <c r="BG33" s="2595"/>
      <c r="BH33" s="2595"/>
      <c r="BI33" s="2595"/>
      <c r="BJ33" s="2595"/>
      <c r="BK33" s="2595"/>
      <c r="BL33" s="2595"/>
      <c r="BM33" s="2595"/>
      <c r="BN33" s="2595"/>
    </row>
    <row r="34" spans="1:66" s="2528" customFormat="1" ht="18.75" customHeight="1" thickTop="1">
      <c r="A34" s="2948"/>
      <c r="B34" s="4781" t="s">
        <v>315</v>
      </c>
      <c r="C34" s="4782"/>
      <c r="D34" s="4782" t="s">
        <v>2074</v>
      </c>
      <c r="E34" s="4782"/>
      <c r="F34" s="4782"/>
      <c r="G34" s="4782"/>
      <c r="H34" s="4782"/>
      <c r="I34" s="4782"/>
      <c r="J34" s="4782"/>
      <c r="K34" s="4782"/>
      <c r="L34" s="4782"/>
      <c r="M34" s="4782"/>
      <c r="N34" s="4782"/>
      <c r="O34" s="4782"/>
      <c r="P34" s="4782"/>
      <c r="Q34" s="4782"/>
      <c r="R34" s="4782"/>
      <c r="S34" s="4782"/>
      <c r="T34" s="4782"/>
      <c r="U34" s="4782"/>
      <c r="V34" s="4782"/>
      <c r="W34" s="4782"/>
      <c r="X34" s="4782"/>
      <c r="Y34" s="4782"/>
      <c r="Z34" s="4782"/>
      <c r="AA34" s="4782"/>
      <c r="AB34" s="4782"/>
      <c r="AC34" s="4782"/>
      <c r="AD34" s="4782"/>
      <c r="AE34" s="4782"/>
      <c r="AF34" s="4782"/>
      <c r="AG34" s="4782"/>
      <c r="AH34" s="4782"/>
      <c r="AI34" s="4782"/>
      <c r="AJ34" s="4782"/>
      <c r="AK34" s="4782"/>
      <c r="AL34" s="4782"/>
      <c r="AM34" s="4782"/>
      <c r="AN34" s="4782"/>
      <c r="AO34" s="4782"/>
      <c r="AP34" s="2948"/>
      <c r="BD34" s="2602"/>
      <c r="BE34" s="2602"/>
      <c r="BF34" s="2602"/>
      <c r="BG34" s="2602"/>
      <c r="BH34" s="2602"/>
      <c r="BI34" s="2602"/>
      <c r="BJ34" s="2602"/>
      <c r="BK34" s="2602"/>
      <c r="BL34" s="2602"/>
      <c r="BM34" s="2602"/>
      <c r="BN34" s="2602"/>
    </row>
    <row r="35" spans="1:66" ht="15" customHeight="1">
      <c r="A35" s="2757"/>
      <c r="B35" s="2695"/>
      <c r="C35" s="2696"/>
      <c r="D35" s="7324" t="s">
        <v>2078</v>
      </c>
      <c r="E35" s="9059"/>
      <c r="F35" s="9059"/>
      <c r="G35" s="9060"/>
      <c r="H35" s="7324" t="s">
        <v>2077</v>
      </c>
      <c r="I35" s="9059"/>
      <c r="J35" s="9059"/>
      <c r="K35" s="9059"/>
      <c r="L35" s="9073"/>
      <c r="M35" s="7324" t="s">
        <v>2076</v>
      </c>
      <c r="N35" s="9059"/>
      <c r="O35" s="9059"/>
      <c r="P35" s="9059"/>
      <c r="Q35" s="9059"/>
      <c r="R35" s="9059"/>
      <c r="S35" s="9060"/>
      <c r="T35" s="7324" t="s">
        <v>5431</v>
      </c>
      <c r="U35" s="7895"/>
      <c r="V35" s="7895"/>
      <c r="W35" s="7895"/>
      <c r="X35" s="7895"/>
      <c r="Y35" s="7895"/>
      <c r="Z35" s="9063"/>
      <c r="AA35" s="7324" t="s">
        <v>2075</v>
      </c>
      <c r="AB35" s="7227"/>
      <c r="AC35" s="7227"/>
      <c r="AD35" s="7227"/>
      <c r="AE35" s="7227"/>
      <c r="AF35" s="7227"/>
      <c r="AG35" s="7228"/>
      <c r="AH35" s="7324" t="s">
        <v>5432</v>
      </c>
      <c r="AI35" s="7227"/>
      <c r="AJ35" s="7227"/>
      <c r="AK35" s="7227"/>
      <c r="AL35" s="7227"/>
      <c r="AM35" s="7227"/>
      <c r="AN35" s="7227"/>
      <c r="AO35" s="7227"/>
      <c r="AP35" s="2757"/>
      <c r="BD35" s="2595"/>
      <c r="BE35" s="2595"/>
      <c r="BF35" s="2595"/>
      <c r="BG35" s="2595"/>
      <c r="BH35" s="2595"/>
      <c r="BI35" s="2595"/>
      <c r="BJ35" s="2595"/>
      <c r="BK35" s="2595"/>
      <c r="BL35" s="2595"/>
      <c r="BM35" s="2595"/>
      <c r="BN35" s="2595"/>
    </row>
    <row r="36" spans="1:66" ht="15" customHeight="1">
      <c r="A36" s="2757"/>
      <c r="B36" s="2697"/>
      <c r="C36" s="2698"/>
      <c r="D36" s="7909"/>
      <c r="E36" s="9061"/>
      <c r="F36" s="9061"/>
      <c r="G36" s="9062"/>
      <c r="H36" s="7909"/>
      <c r="I36" s="9061"/>
      <c r="J36" s="9061"/>
      <c r="K36" s="9061"/>
      <c r="L36" s="9074"/>
      <c r="M36" s="7909"/>
      <c r="N36" s="9061"/>
      <c r="O36" s="9061"/>
      <c r="P36" s="9061"/>
      <c r="Q36" s="9061"/>
      <c r="R36" s="9061"/>
      <c r="S36" s="9062"/>
      <c r="T36" s="7898"/>
      <c r="U36" s="7899"/>
      <c r="V36" s="7899"/>
      <c r="W36" s="7899"/>
      <c r="X36" s="7899"/>
      <c r="Y36" s="7899"/>
      <c r="Z36" s="9064"/>
      <c r="AA36" s="9065"/>
      <c r="AB36" s="7231"/>
      <c r="AC36" s="7231"/>
      <c r="AD36" s="7231"/>
      <c r="AE36" s="7231"/>
      <c r="AF36" s="7231"/>
      <c r="AG36" s="7232"/>
      <c r="AH36" s="9065"/>
      <c r="AI36" s="7231"/>
      <c r="AJ36" s="7231"/>
      <c r="AK36" s="7231"/>
      <c r="AL36" s="7231"/>
      <c r="AM36" s="7231"/>
      <c r="AN36" s="7231"/>
      <c r="AO36" s="7231"/>
      <c r="AP36" s="2757"/>
      <c r="BD36" s="2595"/>
      <c r="BE36" s="2595"/>
      <c r="BF36" s="2595"/>
      <c r="BG36" s="2595"/>
      <c r="BH36" s="2595"/>
      <c r="BI36" s="2595"/>
      <c r="BJ36" s="2595"/>
      <c r="BK36" s="2595"/>
      <c r="BL36" s="2595"/>
      <c r="BM36" s="2595"/>
      <c r="BN36" s="2595"/>
    </row>
    <row r="37" spans="1:66" ht="17.25" customHeight="1">
      <c r="A37" s="2757"/>
      <c r="B37" s="9066" t="s">
        <v>143</v>
      </c>
      <c r="C37" s="9067"/>
      <c r="D37" s="7709"/>
      <c r="E37" s="7710"/>
      <c r="F37" s="7710"/>
      <c r="G37" s="9068"/>
      <c r="H37" s="9069"/>
      <c r="I37" s="9070"/>
      <c r="J37" s="9070"/>
      <c r="K37" s="9070"/>
      <c r="L37" s="9071"/>
      <c r="M37" s="9058"/>
      <c r="N37" s="8727"/>
      <c r="O37" s="8727"/>
      <c r="P37" s="8727"/>
      <c r="Q37" s="8727"/>
      <c r="R37" s="8727"/>
      <c r="S37" s="9072"/>
      <c r="T37" s="8987"/>
      <c r="U37" s="8988"/>
      <c r="V37" s="8988"/>
      <c r="W37" s="8988"/>
      <c r="X37" s="8988"/>
      <c r="Y37" s="8988"/>
      <c r="Z37" s="9057"/>
      <c r="AA37" s="8987"/>
      <c r="AB37" s="8988"/>
      <c r="AC37" s="8988"/>
      <c r="AD37" s="8988"/>
      <c r="AE37" s="8988"/>
      <c r="AF37" s="8988"/>
      <c r="AG37" s="9057"/>
      <c r="AH37" s="9058"/>
      <c r="AI37" s="8727"/>
      <c r="AJ37" s="8727"/>
      <c r="AK37" s="8727"/>
      <c r="AL37" s="8727"/>
      <c r="AM37" s="8727"/>
      <c r="AN37" s="8727"/>
      <c r="AO37" s="8727"/>
      <c r="AP37" s="2757"/>
      <c r="BD37" s="2595"/>
      <c r="BE37" s="2595"/>
      <c r="BF37" s="2595"/>
      <c r="BG37" s="2595"/>
      <c r="BH37" s="2595"/>
      <c r="BI37" s="2595"/>
      <c r="BJ37" s="2595"/>
      <c r="BK37" s="2595"/>
      <c r="BL37" s="2595"/>
      <c r="BM37" s="2595"/>
      <c r="BN37" s="2595"/>
    </row>
    <row r="38" spans="1:66" ht="17.25" customHeight="1">
      <c r="A38" s="2757"/>
      <c r="B38" s="9066" t="s">
        <v>288</v>
      </c>
      <c r="C38" s="9067"/>
      <c r="D38" s="7709"/>
      <c r="E38" s="7710"/>
      <c r="F38" s="7710"/>
      <c r="G38" s="9068"/>
      <c r="H38" s="9069"/>
      <c r="I38" s="9070"/>
      <c r="J38" s="9070"/>
      <c r="K38" s="9070"/>
      <c r="L38" s="9071"/>
      <c r="M38" s="9058"/>
      <c r="N38" s="8727"/>
      <c r="O38" s="8727"/>
      <c r="P38" s="8727"/>
      <c r="Q38" s="8727"/>
      <c r="R38" s="8727"/>
      <c r="S38" s="9072"/>
      <c r="T38" s="8987"/>
      <c r="U38" s="8988"/>
      <c r="V38" s="8988"/>
      <c r="W38" s="8988"/>
      <c r="X38" s="8988"/>
      <c r="Y38" s="8988"/>
      <c r="Z38" s="9057"/>
      <c r="AA38" s="8987"/>
      <c r="AB38" s="8988"/>
      <c r="AC38" s="8988"/>
      <c r="AD38" s="8988"/>
      <c r="AE38" s="8988"/>
      <c r="AF38" s="8988"/>
      <c r="AG38" s="9057"/>
      <c r="AH38" s="9058"/>
      <c r="AI38" s="8727"/>
      <c r="AJ38" s="8727"/>
      <c r="AK38" s="8727"/>
      <c r="AL38" s="8727"/>
      <c r="AM38" s="8727"/>
      <c r="AN38" s="8727"/>
      <c r="AO38" s="8727"/>
      <c r="AP38" s="2757"/>
      <c r="BD38" s="2595"/>
      <c r="BE38" s="2595"/>
      <c r="BF38" s="2595"/>
      <c r="BG38" s="2595"/>
      <c r="BH38" s="2595"/>
      <c r="BI38" s="2595"/>
      <c r="BJ38" s="2595"/>
      <c r="BK38" s="2595"/>
      <c r="BL38" s="2595"/>
      <c r="BM38" s="2595"/>
      <c r="BN38" s="2595"/>
    </row>
    <row r="39" spans="1:66" ht="17.25" customHeight="1">
      <c r="A39" s="2757"/>
      <c r="B39" s="9066" t="s">
        <v>144</v>
      </c>
      <c r="C39" s="9067"/>
      <c r="D39" s="7709"/>
      <c r="E39" s="7710"/>
      <c r="F39" s="7710"/>
      <c r="G39" s="9068"/>
      <c r="H39" s="9069"/>
      <c r="I39" s="9070"/>
      <c r="J39" s="9070"/>
      <c r="K39" s="9070"/>
      <c r="L39" s="9071"/>
      <c r="M39" s="9058"/>
      <c r="N39" s="8727"/>
      <c r="O39" s="8727"/>
      <c r="P39" s="8727"/>
      <c r="Q39" s="8727"/>
      <c r="R39" s="8727"/>
      <c r="S39" s="9072"/>
      <c r="T39" s="8987"/>
      <c r="U39" s="8988"/>
      <c r="V39" s="8988"/>
      <c r="W39" s="8988"/>
      <c r="X39" s="8988"/>
      <c r="Y39" s="8988"/>
      <c r="Z39" s="9057"/>
      <c r="AA39" s="8987"/>
      <c r="AB39" s="8988"/>
      <c r="AC39" s="8988"/>
      <c r="AD39" s="8988"/>
      <c r="AE39" s="8988"/>
      <c r="AF39" s="8988"/>
      <c r="AG39" s="9057"/>
      <c r="AH39" s="9058"/>
      <c r="AI39" s="8727"/>
      <c r="AJ39" s="8727"/>
      <c r="AK39" s="8727"/>
      <c r="AL39" s="8727"/>
      <c r="AM39" s="8727"/>
      <c r="AN39" s="8727"/>
      <c r="AO39" s="8727"/>
      <c r="AP39" s="2757"/>
      <c r="BD39" s="2595"/>
      <c r="BE39" s="2595"/>
      <c r="BF39" s="2595"/>
      <c r="BG39" s="2595"/>
      <c r="BH39" s="2595"/>
      <c r="BI39" s="2595"/>
      <c r="BJ39" s="2595"/>
      <c r="BK39" s="2595"/>
      <c r="BL39" s="2595"/>
      <c r="BM39" s="2595"/>
      <c r="BN39" s="2595"/>
    </row>
    <row r="40" spans="1:66" ht="17.25" customHeight="1">
      <c r="A40" s="2757"/>
      <c r="B40" s="9066" t="s">
        <v>290</v>
      </c>
      <c r="C40" s="9067"/>
      <c r="D40" s="7709"/>
      <c r="E40" s="7710"/>
      <c r="F40" s="7710"/>
      <c r="G40" s="9068"/>
      <c r="H40" s="9069"/>
      <c r="I40" s="9070"/>
      <c r="J40" s="9070"/>
      <c r="K40" s="9070"/>
      <c r="L40" s="9071"/>
      <c r="M40" s="9058"/>
      <c r="N40" s="8727"/>
      <c r="O40" s="8727"/>
      <c r="P40" s="8727"/>
      <c r="Q40" s="8727"/>
      <c r="R40" s="8727"/>
      <c r="S40" s="9072"/>
      <c r="T40" s="8987"/>
      <c r="U40" s="8988"/>
      <c r="V40" s="8988"/>
      <c r="W40" s="8988"/>
      <c r="X40" s="8988"/>
      <c r="Y40" s="8988"/>
      <c r="Z40" s="9057"/>
      <c r="AA40" s="8987"/>
      <c r="AB40" s="8988"/>
      <c r="AC40" s="8988"/>
      <c r="AD40" s="8988"/>
      <c r="AE40" s="8988"/>
      <c r="AF40" s="8988"/>
      <c r="AG40" s="9057"/>
      <c r="AH40" s="9058"/>
      <c r="AI40" s="8727"/>
      <c r="AJ40" s="8727"/>
      <c r="AK40" s="8727"/>
      <c r="AL40" s="8727"/>
      <c r="AM40" s="8727"/>
      <c r="AN40" s="8727"/>
      <c r="AO40" s="8727"/>
      <c r="AP40" s="2757"/>
      <c r="BD40" s="2595"/>
      <c r="BE40" s="2595"/>
      <c r="BF40" s="2595"/>
      <c r="BG40" s="2595"/>
      <c r="BH40" s="2595"/>
      <c r="BI40" s="2595"/>
      <c r="BJ40" s="2595"/>
      <c r="BK40" s="2595"/>
      <c r="BL40" s="2595"/>
      <c r="BM40" s="2595"/>
      <c r="BN40" s="2595"/>
    </row>
    <row r="41" spans="1:66" ht="17.25" customHeight="1" thickBot="1">
      <c r="A41" s="2757"/>
      <c r="B41" s="9094" t="s">
        <v>371</v>
      </c>
      <c r="C41" s="9095"/>
      <c r="D41" s="9096"/>
      <c r="E41" s="9097"/>
      <c r="F41" s="9097"/>
      <c r="G41" s="9098"/>
      <c r="H41" s="9099"/>
      <c r="I41" s="9100"/>
      <c r="J41" s="9100"/>
      <c r="K41" s="9100"/>
      <c r="L41" s="9101"/>
      <c r="M41" s="9086"/>
      <c r="N41" s="9087"/>
      <c r="O41" s="9087"/>
      <c r="P41" s="9087"/>
      <c r="Q41" s="9087"/>
      <c r="R41" s="9087"/>
      <c r="S41" s="9102"/>
      <c r="T41" s="9077"/>
      <c r="U41" s="9078"/>
      <c r="V41" s="9078"/>
      <c r="W41" s="9078"/>
      <c r="X41" s="9078"/>
      <c r="Y41" s="9078"/>
      <c r="Z41" s="9079"/>
      <c r="AA41" s="9077"/>
      <c r="AB41" s="9078"/>
      <c r="AC41" s="9078"/>
      <c r="AD41" s="9078"/>
      <c r="AE41" s="9078"/>
      <c r="AF41" s="9078"/>
      <c r="AG41" s="9079"/>
      <c r="AH41" s="9086"/>
      <c r="AI41" s="9087"/>
      <c r="AJ41" s="9087"/>
      <c r="AK41" s="9087"/>
      <c r="AL41" s="9087"/>
      <c r="AM41" s="9087"/>
      <c r="AN41" s="9087"/>
      <c r="AO41" s="9087"/>
      <c r="AP41" s="2757"/>
      <c r="BD41" s="2595"/>
      <c r="BE41" s="2595"/>
      <c r="BF41" s="2595"/>
      <c r="BG41" s="2595"/>
      <c r="BH41" s="2595"/>
      <c r="BI41" s="2595"/>
      <c r="BJ41" s="2595"/>
      <c r="BK41" s="2595"/>
      <c r="BL41" s="2595"/>
      <c r="BM41" s="2595"/>
      <c r="BN41" s="2595"/>
    </row>
    <row r="42" spans="1:66" ht="17.25" customHeight="1">
      <c r="A42" s="2757"/>
      <c r="B42" s="2706" t="s">
        <v>2129</v>
      </c>
      <c r="C42" s="1179"/>
      <c r="D42" s="1179"/>
      <c r="E42" s="1179"/>
      <c r="F42" s="1577" t="s">
        <v>5433</v>
      </c>
      <c r="G42" s="1179"/>
      <c r="H42" s="1179"/>
      <c r="I42" s="1179"/>
      <c r="J42" s="1179"/>
      <c r="K42" s="1179"/>
      <c r="L42" s="1179"/>
      <c r="M42" s="1179"/>
      <c r="N42" s="1179"/>
      <c r="O42" s="1179"/>
      <c r="P42" s="1179"/>
      <c r="Q42" s="1179"/>
      <c r="R42" s="1179"/>
      <c r="S42" s="1179"/>
      <c r="T42" s="1179"/>
      <c r="U42" s="1179"/>
      <c r="V42" s="1179"/>
      <c r="W42" s="1179"/>
      <c r="X42" s="1179"/>
      <c r="Y42" s="1179"/>
      <c r="Z42" s="1179"/>
      <c r="AA42" s="1179"/>
      <c r="AB42" s="1179"/>
      <c r="AC42" s="1179"/>
      <c r="AD42" s="1179"/>
      <c r="AE42" s="1179"/>
      <c r="AF42" s="1179"/>
      <c r="AG42" s="1179"/>
      <c r="AH42" s="1179"/>
      <c r="AI42" s="1179"/>
      <c r="AJ42" s="1179"/>
      <c r="AK42" s="1179"/>
      <c r="AL42" s="1179"/>
      <c r="AM42" s="1179"/>
      <c r="AN42" s="1179"/>
      <c r="AO42" s="1179"/>
      <c r="AP42" s="2757"/>
      <c r="BD42" s="2595"/>
      <c r="BE42" s="2595"/>
      <c r="BF42" s="2595"/>
      <c r="BG42" s="2595"/>
      <c r="BH42" s="2595"/>
      <c r="BI42" s="2595"/>
      <c r="BJ42" s="2595"/>
      <c r="BK42" s="2595"/>
      <c r="BL42" s="2595"/>
      <c r="BM42" s="2595"/>
      <c r="BN42" s="2595"/>
    </row>
    <row r="43" spans="1:66" ht="12.75" customHeight="1">
      <c r="A43" s="2757"/>
      <c r="B43" s="1179"/>
      <c r="C43" s="1179"/>
      <c r="D43" s="1179"/>
      <c r="E43" s="1179"/>
      <c r="F43" s="1577" t="s">
        <v>5434</v>
      </c>
      <c r="G43" s="1179"/>
      <c r="H43" s="1179"/>
      <c r="I43" s="1179"/>
      <c r="J43" s="1179"/>
      <c r="K43" s="1179"/>
      <c r="L43" s="1179"/>
      <c r="M43" s="1179"/>
      <c r="N43" s="1179"/>
      <c r="O43" s="1179"/>
      <c r="P43" s="1179"/>
      <c r="Q43" s="1179"/>
      <c r="R43" s="1179"/>
      <c r="S43" s="1179"/>
      <c r="T43" s="1179"/>
      <c r="U43" s="1179"/>
      <c r="V43" s="1179"/>
      <c r="W43" s="1179"/>
      <c r="X43" s="1179"/>
      <c r="Y43" s="1179"/>
      <c r="Z43" s="1179"/>
      <c r="AA43" s="1179"/>
      <c r="AB43" s="1179"/>
      <c r="AC43" s="1179"/>
      <c r="AD43" s="1179"/>
      <c r="AE43" s="1179"/>
      <c r="AF43" s="1179"/>
      <c r="AG43" s="1179"/>
      <c r="AH43" s="1179"/>
      <c r="AI43" s="1179"/>
      <c r="AJ43" s="1179"/>
      <c r="AK43" s="1179"/>
      <c r="AL43" s="1179"/>
      <c r="AM43" s="1179"/>
      <c r="AN43" s="1179"/>
      <c r="AO43" s="1179"/>
      <c r="AP43" s="2757"/>
      <c r="BD43" s="2595"/>
      <c r="BE43" s="2595"/>
      <c r="BF43" s="2595"/>
      <c r="BG43" s="2595"/>
      <c r="BH43" s="2595"/>
      <c r="BI43" s="2595"/>
      <c r="BJ43" s="2595"/>
      <c r="BK43" s="2595"/>
      <c r="BL43" s="2595"/>
      <c r="BM43" s="2595"/>
      <c r="BN43" s="2595"/>
    </row>
    <row r="44" spans="1:66" ht="12.75" customHeight="1">
      <c r="A44" s="2757"/>
      <c r="B44" s="1179"/>
      <c r="C44" s="1179"/>
      <c r="D44" s="1179"/>
      <c r="E44" s="1179"/>
      <c r="F44" s="2686" t="s">
        <v>5435</v>
      </c>
      <c r="G44" s="1179"/>
      <c r="H44" s="1179"/>
      <c r="I44" s="1179"/>
      <c r="J44" s="1179"/>
      <c r="K44" s="1179"/>
      <c r="L44" s="1179"/>
      <c r="M44" s="1179"/>
      <c r="N44" s="1179"/>
      <c r="O44" s="1179"/>
      <c r="P44" s="1179"/>
      <c r="Q44" s="1179"/>
      <c r="R44" s="1179"/>
      <c r="S44" s="1179"/>
      <c r="T44" s="1179"/>
      <c r="U44" s="1179"/>
      <c r="V44" s="1179"/>
      <c r="W44" s="1179"/>
      <c r="X44" s="1179"/>
      <c r="Y44" s="1179"/>
      <c r="Z44" s="1179"/>
      <c r="AA44" s="1179"/>
      <c r="AB44" s="1179"/>
      <c r="AC44" s="1179"/>
      <c r="AD44" s="1179"/>
      <c r="AE44" s="1179"/>
      <c r="AF44" s="1179"/>
      <c r="AG44" s="1179"/>
      <c r="AH44" s="1179"/>
      <c r="AI44" s="1179"/>
      <c r="AJ44" s="1179"/>
      <c r="AK44" s="1179"/>
      <c r="AL44" s="1179"/>
      <c r="AM44" s="1179"/>
      <c r="AN44" s="1179"/>
      <c r="AO44" s="1179"/>
      <c r="AP44" s="2757"/>
      <c r="BD44" s="2595"/>
      <c r="BE44" s="2595"/>
      <c r="BF44" s="2595"/>
      <c r="BG44" s="2595"/>
      <c r="BH44" s="2595"/>
      <c r="BI44" s="2595"/>
      <c r="BJ44" s="2595"/>
      <c r="BK44" s="2595"/>
      <c r="BL44" s="2595"/>
      <c r="BM44" s="2595"/>
      <c r="BN44" s="2595"/>
    </row>
    <row r="45" spans="1:66" ht="12.75" customHeight="1">
      <c r="A45" s="2757"/>
      <c r="B45" s="1179"/>
      <c r="C45" s="1179"/>
      <c r="D45" s="1179"/>
      <c r="E45" s="1179"/>
      <c r="F45" s="2686" t="s">
        <v>5436</v>
      </c>
      <c r="G45" s="1179"/>
      <c r="H45" s="1179"/>
      <c r="I45" s="1179"/>
      <c r="J45" s="1179"/>
      <c r="K45" s="1179"/>
      <c r="L45" s="1179"/>
      <c r="M45" s="1179"/>
      <c r="N45" s="1179"/>
      <c r="O45" s="1179"/>
      <c r="P45" s="1179"/>
      <c r="Q45" s="1179"/>
      <c r="R45" s="1179"/>
      <c r="S45" s="1179"/>
      <c r="T45" s="1179"/>
      <c r="U45" s="1179"/>
      <c r="V45" s="1179"/>
      <c r="W45" s="1179"/>
      <c r="X45" s="1179"/>
      <c r="Y45" s="1179"/>
      <c r="Z45" s="1179"/>
      <c r="AA45" s="1179"/>
      <c r="AB45" s="1179"/>
      <c r="AC45" s="1179"/>
      <c r="AD45" s="1179"/>
      <c r="AE45" s="1179"/>
      <c r="AF45" s="1179"/>
      <c r="AG45" s="1179"/>
      <c r="AH45" s="1179"/>
      <c r="AI45" s="1179"/>
      <c r="AJ45" s="1179"/>
      <c r="AK45" s="1179"/>
      <c r="AL45" s="1179"/>
      <c r="AM45" s="1179"/>
      <c r="AN45" s="1179"/>
      <c r="AO45" s="1179"/>
      <c r="AP45" s="2757"/>
      <c r="BD45" s="2595"/>
      <c r="BE45" s="2595"/>
      <c r="BF45" s="2595"/>
      <c r="BG45" s="2595"/>
      <c r="BH45" s="2595"/>
      <c r="BI45" s="2595"/>
      <c r="BJ45" s="2595"/>
      <c r="BK45" s="2595"/>
      <c r="BL45" s="2595"/>
      <c r="BM45" s="2595"/>
      <c r="BN45" s="2595"/>
    </row>
    <row r="46" spans="1:66" ht="12.75" customHeight="1">
      <c r="A46" s="2757"/>
      <c r="B46" s="1179"/>
      <c r="C46" s="1179"/>
      <c r="D46" s="1179"/>
      <c r="E46" s="1179"/>
      <c r="F46" s="2686" t="s">
        <v>5437</v>
      </c>
      <c r="G46" s="1179"/>
      <c r="H46" s="1179"/>
      <c r="I46" s="1179"/>
      <c r="J46" s="1179"/>
      <c r="K46" s="1179"/>
      <c r="L46" s="1179"/>
      <c r="M46" s="1179"/>
      <c r="N46" s="1179"/>
      <c r="O46" s="1179"/>
      <c r="P46" s="1179"/>
      <c r="Q46" s="1179"/>
      <c r="R46" s="1179"/>
      <c r="S46" s="1179"/>
      <c r="T46" s="1179"/>
      <c r="U46" s="1179"/>
      <c r="V46" s="1179"/>
      <c r="W46" s="1179"/>
      <c r="X46" s="1179"/>
      <c r="Y46" s="1179"/>
      <c r="Z46" s="1179"/>
      <c r="AA46" s="1179"/>
      <c r="AB46" s="1179"/>
      <c r="AC46" s="1179"/>
      <c r="AD46" s="1179"/>
      <c r="AE46" s="1179"/>
      <c r="AF46" s="1179"/>
      <c r="AG46" s="1179"/>
      <c r="AH46" s="1179"/>
      <c r="AI46" s="1179"/>
      <c r="AJ46" s="1179"/>
      <c r="AK46" s="1179"/>
      <c r="AL46" s="1179"/>
      <c r="AM46" s="1179"/>
      <c r="AN46" s="1179"/>
      <c r="AO46" s="1179"/>
      <c r="AP46" s="2757"/>
      <c r="BD46" s="2595"/>
      <c r="BE46" s="2595"/>
      <c r="BF46" s="2595"/>
      <c r="BG46" s="2595"/>
      <c r="BH46" s="2595"/>
      <c r="BI46" s="2595"/>
      <c r="BJ46" s="2595"/>
      <c r="BK46" s="2595"/>
      <c r="BL46" s="2595"/>
      <c r="BM46" s="2595"/>
      <c r="BN46" s="2595"/>
    </row>
    <row r="47" spans="1:66" s="2689" customFormat="1" ht="18.75" customHeight="1">
      <c r="A47" s="2758"/>
      <c r="B47" s="8524" t="s">
        <v>51</v>
      </c>
      <c r="C47" s="8524"/>
      <c r="D47" s="9076"/>
      <c r="E47" s="2690"/>
      <c r="F47" s="2814" t="s">
        <v>4333</v>
      </c>
      <c r="G47" s="2690"/>
      <c r="H47" s="2690"/>
      <c r="I47" s="2690"/>
      <c r="J47" s="2690"/>
      <c r="K47" s="2690"/>
      <c r="L47" s="2690"/>
      <c r="M47" s="2690"/>
      <c r="N47" s="2690"/>
      <c r="O47" s="2690"/>
      <c r="P47" s="2690"/>
      <c r="Q47" s="2690"/>
      <c r="R47" s="2690"/>
      <c r="S47" s="2690"/>
      <c r="T47" s="2690"/>
      <c r="U47" s="2690"/>
      <c r="V47" s="2690"/>
      <c r="W47" s="2690"/>
      <c r="X47" s="2690"/>
      <c r="Y47" s="2690"/>
      <c r="Z47" s="2690"/>
      <c r="AA47" s="2690"/>
      <c r="AB47" s="2690"/>
      <c r="AC47" s="2690"/>
      <c r="AD47" s="2690"/>
      <c r="AE47" s="2690"/>
      <c r="AF47" s="2690"/>
      <c r="AG47" s="2690"/>
      <c r="AH47" s="2690"/>
      <c r="AI47" s="2690"/>
      <c r="AJ47" s="2690"/>
      <c r="AK47" s="2690"/>
      <c r="AL47" s="2690"/>
      <c r="AM47" s="2690"/>
      <c r="AN47" s="2690"/>
      <c r="AO47" s="2690"/>
      <c r="AP47" s="2757"/>
      <c r="BD47" s="2595"/>
      <c r="BE47" s="2595"/>
      <c r="BF47" s="2595"/>
      <c r="BG47" s="2595"/>
      <c r="BH47" s="2595"/>
      <c r="BI47" s="2595"/>
      <c r="BJ47" s="2595"/>
      <c r="BK47" s="2595"/>
      <c r="BL47" s="2595"/>
      <c r="BM47" s="2595"/>
      <c r="BN47" s="2595"/>
    </row>
    <row r="48" spans="1:66" ht="15">
      <c r="A48" s="2757"/>
      <c r="B48" s="7929">
        <v>2</v>
      </c>
      <c r="C48" s="9075"/>
      <c r="D48" s="2686" t="s">
        <v>2130</v>
      </c>
      <c r="E48" s="1179"/>
      <c r="F48" s="1179"/>
      <c r="G48" s="1179"/>
      <c r="H48" s="1179"/>
      <c r="I48" s="1179"/>
      <c r="J48" s="1179"/>
      <c r="K48" s="1179"/>
      <c r="L48" s="1179"/>
      <c r="M48" s="1179"/>
      <c r="N48" s="1179"/>
      <c r="O48" s="1179"/>
      <c r="P48" s="1179"/>
      <c r="Q48" s="1179"/>
      <c r="R48" s="1179"/>
      <c r="S48" s="1179"/>
      <c r="T48" s="1179"/>
      <c r="U48" s="1179"/>
      <c r="V48" s="1179"/>
      <c r="W48" s="1179"/>
      <c r="X48" s="1179"/>
      <c r="Y48" s="1179"/>
      <c r="Z48" s="1179"/>
      <c r="AA48" s="1179"/>
      <c r="AB48" s="1179"/>
      <c r="AC48" s="1179"/>
      <c r="AD48" s="1179"/>
      <c r="AE48" s="1179"/>
      <c r="AF48" s="1179"/>
      <c r="AG48" s="1179"/>
      <c r="AH48" s="1179"/>
      <c r="AI48" s="1179"/>
      <c r="AJ48" s="1179"/>
      <c r="AK48" s="1179"/>
      <c r="AL48" s="1179"/>
      <c r="AM48" s="1179"/>
      <c r="AN48" s="1179"/>
      <c r="AO48" s="1179"/>
      <c r="AP48" s="2757"/>
      <c r="BD48" s="2595"/>
      <c r="BE48" s="2595"/>
      <c r="BF48" s="2595"/>
      <c r="BG48" s="2595"/>
      <c r="BH48" s="2595"/>
      <c r="BI48" s="2595"/>
      <c r="BJ48" s="2595"/>
      <c r="BK48" s="2595"/>
      <c r="BL48" s="2595"/>
      <c r="BM48" s="2595"/>
      <c r="BN48" s="2595"/>
    </row>
    <row r="49" spans="1:66" ht="6" customHeight="1">
      <c r="A49" s="2757"/>
      <c r="B49" s="2702"/>
      <c r="C49" s="2773"/>
      <c r="D49" s="2686"/>
      <c r="E49" s="1179"/>
      <c r="F49" s="1179"/>
      <c r="G49" s="1179"/>
      <c r="H49" s="1179"/>
      <c r="I49" s="1179"/>
      <c r="J49" s="1179"/>
      <c r="K49" s="1179"/>
      <c r="L49" s="1179"/>
      <c r="M49" s="1179"/>
      <c r="N49" s="1179"/>
      <c r="O49" s="1179"/>
      <c r="P49" s="1179"/>
      <c r="Q49" s="1179"/>
      <c r="R49" s="1179"/>
      <c r="S49" s="1179"/>
      <c r="T49" s="1179"/>
      <c r="U49" s="1179"/>
      <c r="V49" s="1179"/>
      <c r="W49" s="1179"/>
      <c r="X49" s="1179"/>
      <c r="Y49" s="1179"/>
      <c r="Z49" s="1179"/>
      <c r="AA49" s="1179"/>
      <c r="AB49" s="1179"/>
      <c r="AC49" s="1179"/>
      <c r="AD49" s="1179"/>
      <c r="AE49" s="1179"/>
      <c r="AF49" s="1179"/>
      <c r="AG49" s="1179"/>
      <c r="AH49" s="1179"/>
      <c r="AI49" s="1179"/>
      <c r="AJ49" s="1179"/>
      <c r="AK49" s="1179"/>
      <c r="AL49" s="1179"/>
      <c r="AM49" s="1179"/>
      <c r="AN49" s="1179"/>
      <c r="AO49" s="1179"/>
      <c r="AP49" s="2757"/>
      <c r="BD49" s="2595"/>
      <c r="BE49" s="2595"/>
      <c r="BF49" s="2595"/>
      <c r="BG49" s="2595"/>
      <c r="BH49" s="2595"/>
      <c r="BI49" s="2595"/>
      <c r="BJ49" s="2595"/>
      <c r="BK49" s="2595"/>
      <c r="BL49" s="2595"/>
      <c r="BM49" s="2595"/>
      <c r="BN49" s="2595"/>
    </row>
    <row r="50" spans="1:66" ht="15">
      <c r="A50" s="2757"/>
      <c r="B50" s="7929"/>
      <c r="C50" s="9075"/>
      <c r="D50" s="2772" t="s">
        <v>33</v>
      </c>
      <c r="E50" s="1443"/>
      <c r="F50" s="1857" t="s">
        <v>2131</v>
      </c>
      <c r="G50" s="1179"/>
      <c r="H50" s="1179"/>
      <c r="I50" s="1179"/>
      <c r="J50" s="1179"/>
      <c r="K50" s="1179"/>
      <c r="L50" s="1179"/>
      <c r="M50" s="1179"/>
      <c r="N50" s="1179"/>
      <c r="O50" s="1179"/>
      <c r="P50" s="2772" t="s">
        <v>964</v>
      </c>
      <c r="Q50" s="1443"/>
      <c r="R50" s="1857" t="s">
        <v>2138</v>
      </c>
      <c r="S50" s="1276"/>
      <c r="T50" s="1179"/>
      <c r="U50" s="1179"/>
      <c r="V50" s="1179"/>
      <c r="W50" s="1179"/>
      <c r="X50" s="1179"/>
      <c r="Y50" s="1179"/>
      <c r="Z50" s="1179"/>
      <c r="AA50" s="1179"/>
      <c r="AB50" s="1179"/>
      <c r="AC50" s="1179"/>
      <c r="AD50" s="2772" t="s">
        <v>2142</v>
      </c>
      <c r="AE50" s="1443"/>
      <c r="AF50" s="1857" t="s">
        <v>2143</v>
      </c>
      <c r="AG50" s="1179"/>
      <c r="AH50" s="1179"/>
      <c r="AI50" s="1179"/>
      <c r="AJ50" s="1179"/>
      <c r="AK50" s="1179"/>
      <c r="AL50" s="1179"/>
      <c r="AM50" s="1179"/>
      <c r="AN50" s="1179"/>
      <c r="AO50" s="1179"/>
      <c r="AP50" s="2757"/>
      <c r="BD50" s="2595"/>
      <c r="BE50" s="2595"/>
      <c r="BF50" s="2595"/>
      <c r="BG50" s="2595"/>
      <c r="BH50" s="2595"/>
      <c r="BI50" s="2595"/>
      <c r="BJ50" s="2595"/>
      <c r="BK50" s="2595"/>
      <c r="BL50" s="2595"/>
      <c r="BM50" s="2595"/>
      <c r="BN50" s="2595"/>
    </row>
    <row r="51" spans="1:66" ht="6" customHeight="1">
      <c r="A51" s="2757"/>
      <c r="B51" s="2702"/>
      <c r="C51" s="2773"/>
      <c r="D51" s="2686"/>
      <c r="E51" s="1179"/>
      <c r="F51" s="1179"/>
      <c r="G51" s="1179"/>
      <c r="H51" s="1179"/>
      <c r="I51" s="1179"/>
      <c r="J51" s="1179"/>
      <c r="K51" s="1179"/>
      <c r="L51" s="1179"/>
      <c r="M51" s="1179"/>
      <c r="N51" s="1179"/>
      <c r="O51" s="1179"/>
      <c r="P51" s="1179"/>
      <c r="Q51" s="1179"/>
      <c r="R51" s="1179"/>
      <c r="S51" s="1179"/>
      <c r="T51" s="1179"/>
      <c r="U51" s="1179"/>
      <c r="V51" s="1179"/>
      <c r="W51" s="1179"/>
      <c r="X51" s="1179"/>
      <c r="Y51" s="1179"/>
      <c r="Z51" s="1179"/>
      <c r="AA51" s="1179"/>
      <c r="AB51" s="1179"/>
      <c r="AC51" s="1179"/>
      <c r="AD51" s="1179"/>
      <c r="AE51" s="1179"/>
      <c r="AF51" s="1179"/>
      <c r="AG51" s="1179"/>
      <c r="AH51" s="1179"/>
      <c r="AI51" s="1179"/>
      <c r="AJ51" s="1179"/>
      <c r="AK51" s="1179"/>
      <c r="AL51" s="1179"/>
      <c r="AM51" s="1179"/>
      <c r="AN51" s="1179"/>
      <c r="AO51" s="1179"/>
      <c r="AP51" s="2757"/>
      <c r="BD51" s="2595"/>
      <c r="BE51" s="2595"/>
      <c r="BF51" s="2595"/>
      <c r="BG51" s="2595"/>
      <c r="BH51" s="2595"/>
      <c r="BI51" s="2595"/>
      <c r="BJ51" s="2595"/>
      <c r="BK51" s="2595"/>
      <c r="BL51" s="2595"/>
      <c r="BM51" s="2595"/>
      <c r="BN51" s="2595"/>
    </row>
    <row r="52" spans="1:66" ht="15">
      <c r="A52" s="2757"/>
      <c r="B52" s="7929"/>
      <c r="C52" s="9075"/>
      <c r="D52" s="2772" t="s">
        <v>47</v>
      </c>
      <c r="E52" s="1443"/>
      <c r="F52" s="1857" t="s">
        <v>2137</v>
      </c>
      <c r="G52" s="1179"/>
      <c r="H52" s="1179"/>
      <c r="I52" s="1179"/>
      <c r="J52" s="1179"/>
      <c r="K52" s="1179"/>
      <c r="L52" s="1179"/>
      <c r="M52" s="1179"/>
      <c r="N52" s="1179"/>
      <c r="O52" s="1179"/>
      <c r="P52" s="2772" t="s">
        <v>965</v>
      </c>
      <c r="Q52" s="1443"/>
      <c r="R52" s="1857" t="s">
        <v>2141</v>
      </c>
      <c r="S52" s="1276"/>
      <c r="T52" s="1179"/>
      <c r="U52" s="1179"/>
      <c r="V52" s="1179"/>
      <c r="W52" s="1179"/>
      <c r="X52" s="1179"/>
      <c r="Y52" s="1179"/>
      <c r="Z52" s="1179"/>
      <c r="AA52" s="1179"/>
      <c r="AB52" s="1179"/>
      <c r="AC52" s="1179"/>
      <c r="AD52" s="2772" t="s">
        <v>2134</v>
      </c>
      <c r="AE52" s="1443"/>
      <c r="AF52" s="1857" t="s">
        <v>4326</v>
      </c>
      <c r="AG52" s="1179"/>
      <c r="AH52" s="1179"/>
      <c r="AI52" s="1179"/>
      <c r="AJ52" s="1179"/>
      <c r="AK52" s="1179"/>
      <c r="AL52" s="1179"/>
      <c r="AM52" s="1179"/>
      <c r="AN52" s="1179"/>
      <c r="AO52" s="1179"/>
      <c r="AP52" s="2757"/>
      <c r="BD52" s="2595"/>
      <c r="BE52" s="2595"/>
      <c r="BF52" s="2595"/>
      <c r="BG52" s="2595"/>
      <c r="BH52" s="2595"/>
      <c r="BI52" s="2595"/>
      <c r="BJ52" s="2595"/>
      <c r="BK52" s="2595"/>
      <c r="BL52" s="2595"/>
      <c r="BM52" s="2595"/>
      <c r="BN52" s="2595"/>
    </row>
    <row r="53" spans="1:66" ht="6" customHeight="1">
      <c r="A53" s="2757"/>
      <c r="B53" s="2702"/>
      <c r="C53" s="2773"/>
      <c r="D53" s="2686"/>
      <c r="E53" s="1179"/>
      <c r="F53" s="1179"/>
      <c r="G53" s="1179"/>
      <c r="H53" s="1179"/>
      <c r="I53" s="1179"/>
      <c r="J53" s="1179"/>
      <c r="K53" s="1179"/>
      <c r="L53" s="1179"/>
      <c r="M53" s="1179"/>
      <c r="N53" s="1179"/>
      <c r="O53" s="1179"/>
      <c r="P53" s="1179"/>
      <c r="Q53" s="1179"/>
      <c r="R53" s="1179"/>
      <c r="S53" s="1179"/>
      <c r="T53" s="1179"/>
      <c r="U53" s="1179"/>
      <c r="V53" s="1179"/>
      <c r="W53" s="1179"/>
      <c r="X53" s="1179"/>
      <c r="Y53" s="1179"/>
      <c r="Z53" s="1179"/>
      <c r="AA53" s="1179"/>
      <c r="AB53" s="1179"/>
      <c r="AC53" s="1179"/>
      <c r="AD53" s="1179"/>
      <c r="AE53" s="1179"/>
      <c r="AF53" s="1179"/>
      <c r="AG53" s="1179"/>
      <c r="AH53" s="1179"/>
      <c r="AI53" s="1179"/>
      <c r="AJ53" s="1179"/>
      <c r="AK53" s="1179"/>
      <c r="AL53" s="1179"/>
      <c r="AM53" s="1179"/>
      <c r="AN53" s="1179"/>
      <c r="AO53" s="1179"/>
      <c r="AP53" s="2757"/>
      <c r="BD53" s="2595"/>
      <c r="BE53" s="2595"/>
      <c r="BF53" s="2595"/>
      <c r="BG53" s="2595"/>
      <c r="BH53" s="2595"/>
      <c r="BI53" s="2595"/>
      <c r="BJ53" s="2595"/>
      <c r="BK53" s="2595"/>
      <c r="BL53" s="2595"/>
      <c r="BM53" s="2595"/>
      <c r="BN53" s="2595"/>
    </row>
    <row r="54" spans="1:66" ht="15">
      <c r="A54" s="2757"/>
      <c r="B54" s="7929"/>
      <c r="C54" s="9075"/>
      <c r="D54" s="2772" t="s">
        <v>48</v>
      </c>
      <c r="E54" s="1443"/>
      <c r="F54" s="1857" t="s">
        <v>2140</v>
      </c>
      <c r="G54" s="1179"/>
      <c r="H54" s="1179"/>
      <c r="I54" s="1179"/>
      <c r="J54" s="1179"/>
      <c r="K54" s="1179"/>
      <c r="L54" s="1179"/>
      <c r="M54" s="1179"/>
      <c r="N54" s="1179"/>
      <c r="O54" s="1179"/>
      <c r="P54" s="2772" t="s">
        <v>2133</v>
      </c>
      <c r="Q54" s="1443"/>
      <c r="R54" s="1857" t="s">
        <v>2136</v>
      </c>
      <c r="S54" s="1276"/>
      <c r="T54" s="1179"/>
      <c r="U54" s="1179"/>
      <c r="V54" s="1179"/>
      <c r="W54" s="1179"/>
      <c r="X54" s="1179"/>
      <c r="Y54" s="1179"/>
      <c r="Z54" s="1179"/>
      <c r="AA54" s="1179"/>
      <c r="AB54" s="1179"/>
      <c r="AC54" s="1179"/>
      <c r="AD54" s="2772" t="s">
        <v>2449</v>
      </c>
      <c r="AE54" s="1443"/>
      <c r="AF54" s="1857" t="s">
        <v>2135</v>
      </c>
      <c r="AG54" s="1179"/>
      <c r="AH54" s="1179"/>
      <c r="AI54" s="1179"/>
      <c r="AJ54" s="1179"/>
      <c r="AK54" s="1179"/>
      <c r="AL54" s="1179"/>
      <c r="AM54" s="1179"/>
      <c r="AN54" s="1179"/>
      <c r="AO54" s="1179"/>
      <c r="AP54" s="2757"/>
      <c r="BD54" s="2595"/>
      <c r="BE54" s="2595"/>
      <c r="BF54" s="2595"/>
      <c r="BG54" s="2595"/>
      <c r="BH54" s="2595"/>
      <c r="BI54" s="2595"/>
      <c r="BJ54" s="2595"/>
      <c r="BK54" s="2595"/>
      <c r="BL54" s="2595"/>
      <c r="BM54" s="2595"/>
      <c r="BN54" s="2595"/>
    </row>
    <row r="55" spans="1:66" ht="6" customHeight="1">
      <c r="A55" s="2757"/>
      <c r="B55" s="2702"/>
      <c r="C55" s="2773"/>
      <c r="D55" s="2686"/>
      <c r="E55" s="1179"/>
      <c r="F55" s="1179"/>
      <c r="G55" s="1179"/>
      <c r="H55" s="1179"/>
      <c r="I55" s="1179"/>
      <c r="J55" s="1179"/>
      <c r="K55" s="1179"/>
      <c r="L55" s="1179"/>
      <c r="M55" s="1179"/>
      <c r="N55" s="1179"/>
      <c r="O55" s="1179"/>
      <c r="P55" s="1179"/>
      <c r="Q55" s="1179"/>
      <c r="R55" s="1179"/>
      <c r="S55" s="1179"/>
      <c r="T55" s="1179"/>
      <c r="U55" s="1179"/>
      <c r="V55" s="1179"/>
      <c r="W55" s="1179"/>
      <c r="X55" s="1179"/>
      <c r="Y55" s="1179"/>
      <c r="Z55" s="1179"/>
      <c r="AA55" s="1179"/>
      <c r="AB55" s="1179"/>
      <c r="AC55" s="1179"/>
      <c r="AD55" s="1179"/>
      <c r="AE55" s="1179"/>
      <c r="AF55" s="1179"/>
      <c r="AG55" s="1179"/>
      <c r="AH55" s="1179"/>
      <c r="AI55" s="1179"/>
      <c r="AJ55" s="1179"/>
      <c r="AK55" s="1179"/>
      <c r="AL55" s="1179"/>
      <c r="AM55" s="1179"/>
      <c r="AN55" s="1179"/>
      <c r="AO55" s="1179"/>
      <c r="AP55" s="2757"/>
      <c r="BD55" s="2595"/>
      <c r="BE55" s="2595"/>
      <c r="BF55" s="2595"/>
      <c r="BG55" s="2595"/>
      <c r="BH55" s="2595"/>
      <c r="BI55" s="2595"/>
      <c r="BJ55" s="2595"/>
      <c r="BK55" s="2595"/>
      <c r="BL55" s="2595"/>
      <c r="BM55" s="2595"/>
      <c r="BN55" s="2595"/>
    </row>
    <row r="56" spans="1:66" ht="15">
      <c r="A56" s="2757"/>
      <c r="B56" s="7929"/>
      <c r="C56" s="9075"/>
      <c r="D56" s="2772" t="s">
        <v>92</v>
      </c>
      <c r="E56" s="1443"/>
      <c r="F56" s="1857" t="s">
        <v>2132</v>
      </c>
      <c r="G56" s="1179"/>
      <c r="H56" s="1179"/>
      <c r="I56" s="1179"/>
      <c r="J56" s="1179"/>
      <c r="K56" s="1179"/>
      <c r="L56" s="1179"/>
      <c r="M56" s="1179"/>
      <c r="N56" s="1179"/>
      <c r="O56" s="1179"/>
      <c r="P56" s="2772" t="s">
        <v>120</v>
      </c>
      <c r="Q56" s="1443"/>
      <c r="R56" s="1857" t="s">
        <v>2139</v>
      </c>
      <c r="S56" s="1276"/>
      <c r="T56" s="1179"/>
      <c r="U56" s="1179"/>
      <c r="V56" s="1179"/>
      <c r="W56" s="1179"/>
      <c r="X56" s="1179"/>
      <c r="Y56" s="1179"/>
      <c r="Z56" s="1179"/>
      <c r="AA56" s="1179"/>
      <c r="AB56" s="1179"/>
      <c r="AC56" s="1179"/>
      <c r="AD56" s="1179"/>
      <c r="AE56" s="1179"/>
      <c r="AF56" s="1179"/>
      <c r="AG56" s="1179"/>
      <c r="AH56" s="1179"/>
      <c r="AI56" s="1179"/>
      <c r="AJ56" s="1179"/>
      <c r="AK56" s="1179"/>
      <c r="AL56" s="1179"/>
      <c r="AM56" s="1179"/>
      <c r="AN56" s="1179"/>
      <c r="AO56" s="1179"/>
      <c r="AP56" s="2757"/>
      <c r="BD56" s="2595"/>
      <c r="BE56" s="2595"/>
      <c r="BF56" s="2595"/>
      <c r="BG56" s="2595"/>
      <c r="BH56" s="2595"/>
      <c r="BI56" s="2595"/>
      <c r="BJ56" s="2595"/>
      <c r="BK56" s="2595"/>
      <c r="BL56" s="2595"/>
      <c r="BM56" s="2595"/>
      <c r="BN56" s="2595"/>
    </row>
    <row r="57" spans="1:66">
      <c r="A57" s="2757"/>
      <c r="B57" s="1179"/>
      <c r="C57" s="1262" t="s">
        <v>4334</v>
      </c>
      <c r="D57" s="1185"/>
      <c r="E57" s="1179"/>
      <c r="F57" s="1179"/>
      <c r="G57" s="1179"/>
      <c r="H57" s="1179"/>
      <c r="I57" s="1179"/>
      <c r="J57" s="1179"/>
      <c r="K57" s="1179"/>
      <c r="L57" s="1179"/>
      <c r="M57" s="1179"/>
      <c r="N57" s="1179"/>
      <c r="O57" s="1179"/>
      <c r="P57" s="1179"/>
      <c r="Q57" s="1179"/>
      <c r="R57" s="1179"/>
      <c r="S57" s="1179"/>
      <c r="T57" s="1285"/>
      <c r="U57" s="1179"/>
      <c r="V57" s="1179"/>
      <c r="W57" s="1179"/>
      <c r="X57" s="1179"/>
      <c r="Y57" s="1179"/>
      <c r="Z57" s="1179"/>
      <c r="AA57" s="1179"/>
      <c r="AB57" s="1179"/>
      <c r="AC57" s="1179"/>
      <c r="AD57" s="1179"/>
      <c r="AE57" s="1179"/>
      <c r="AF57" s="1179"/>
      <c r="AG57" s="1179"/>
      <c r="AH57" s="1179"/>
      <c r="AI57" s="1179"/>
      <c r="AJ57" s="1179"/>
      <c r="AK57" s="1179"/>
      <c r="AL57" s="1179"/>
      <c r="AM57" s="1179"/>
      <c r="AN57" s="1179"/>
      <c r="AO57" s="1179"/>
      <c r="AP57" s="2757"/>
      <c r="BD57" s="2595"/>
      <c r="BE57" s="2595"/>
      <c r="BF57" s="2595"/>
      <c r="BG57" s="2595"/>
      <c r="BH57" s="2595"/>
      <c r="BI57" s="2595"/>
      <c r="BJ57" s="2595"/>
      <c r="BK57" s="2595"/>
      <c r="BL57" s="2595"/>
      <c r="BM57" s="2595"/>
      <c r="BN57" s="2595"/>
    </row>
    <row r="58" spans="1:66">
      <c r="A58" s="2757"/>
      <c r="B58" s="1179"/>
      <c r="C58" s="1262" t="s">
        <v>4335</v>
      </c>
      <c r="D58" s="1179"/>
      <c r="E58" s="1179"/>
      <c r="F58" s="1179"/>
      <c r="G58" s="1179"/>
      <c r="H58" s="1179"/>
      <c r="I58" s="1179"/>
      <c r="J58" s="1179"/>
      <c r="K58" s="1179"/>
      <c r="L58" s="1179"/>
      <c r="M58" s="1179"/>
      <c r="N58" s="1179"/>
      <c r="O58" s="1179"/>
      <c r="P58" s="1179"/>
      <c r="Q58" s="1179"/>
      <c r="R58" s="1179"/>
      <c r="S58" s="1179"/>
      <c r="T58" s="1285"/>
      <c r="U58" s="1179"/>
      <c r="V58" s="1179"/>
      <c r="W58" s="1179"/>
      <c r="X58" s="1179"/>
      <c r="Y58" s="1179"/>
      <c r="Z58" s="1179"/>
      <c r="AA58" s="1179"/>
      <c r="AB58" s="1179"/>
      <c r="AC58" s="1179"/>
      <c r="AD58" s="1179"/>
      <c r="AE58" s="1179"/>
      <c r="AF58" s="1179"/>
      <c r="AG58" s="1179"/>
      <c r="AH58" s="1179"/>
      <c r="AI58" s="1179"/>
      <c r="AJ58" s="1179"/>
      <c r="AK58" s="1179"/>
      <c r="AL58" s="1179"/>
      <c r="AM58" s="1179"/>
      <c r="AN58" s="1179"/>
      <c r="AO58" s="1179"/>
      <c r="AP58" s="2757"/>
      <c r="BD58" s="2595"/>
      <c r="BE58" s="2595"/>
      <c r="BF58" s="2595"/>
      <c r="BG58" s="2595"/>
      <c r="BH58" s="2595"/>
      <c r="BI58" s="2595"/>
      <c r="BJ58" s="2595"/>
      <c r="BK58" s="2595"/>
      <c r="BL58" s="2595"/>
      <c r="BM58" s="2595"/>
      <c r="BN58" s="2595"/>
    </row>
    <row r="59" spans="1:66">
      <c r="A59" s="2757"/>
      <c r="B59" s="1179"/>
      <c r="C59" s="1262" t="s">
        <v>2144</v>
      </c>
      <c r="D59" s="1179"/>
      <c r="E59" s="1179"/>
      <c r="F59" s="1179"/>
      <c r="G59" s="1179"/>
      <c r="H59" s="1179"/>
      <c r="I59" s="1179"/>
      <c r="J59" s="1179"/>
      <c r="K59" s="1179"/>
      <c r="L59" s="1179"/>
      <c r="M59" s="1179"/>
      <c r="N59" s="1179"/>
      <c r="O59" s="1179"/>
      <c r="P59" s="1179"/>
      <c r="Q59" s="1179"/>
      <c r="R59" s="1179"/>
      <c r="S59" s="1179"/>
      <c r="T59" s="1285"/>
      <c r="U59" s="1179"/>
      <c r="V59" s="1179"/>
      <c r="W59" s="1179"/>
      <c r="X59" s="1179"/>
      <c r="Y59" s="1179"/>
      <c r="Z59" s="1179"/>
      <c r="AA59" s="1179"/>
      <c r="AB59" s="1179"/>
      <c r="AC59" s="1179"/>
      <c r="AD59" s="1179"/>
      <c r="AE59" s="1179"/>
      <c r="AF59" s="1179"/>
      <c r="AG59" s="1179"/>
      <c r="AH59" s="1179"/>
      <c r="AI59" s="1179"/>
      <c r="AJ59" s="1179"/>
      <c r="AK59" s="1179"/>
      <c r="AL59" s="1179"/>
      <c r="AM59" s="1179"/>
      <c r="AN59" s="1179"/>
      <c r="AO59" s="1179"/>
      <c r="AP59" s="2757"/>
      <c r="BD59" s="2595"/>
      <c r="BE59" s="2595"/>
      <c r="BF59" s="2595"/>
      <c r="BG59" s="2595"/>
      <c r="BH59" s="2595"/>
      <c r="BI59" s="2595"/>
      <c r="BJ59" s="2595"/>
      <c r="BK59" s="2595"/>
      <c r="BL59" s="2595"/>
      <c r="BM59" s="2595"/>
      <c r="BN59" s="2595"/>
    </row>
    <row r="60" spans="1:66" s="2528" customFormat="1" ht="18" customHeight="1">
      <c r="A60" s="2948"/>
      <c r="B60" s="3355" t="s">
        <v>4336</v>
      </c>
      <c r="C60" s="2946"/>
      <c r="D60" s="1830"/>
      <c r="E60" s="1830"/>
      <c r="F60" s="1830"/>
      <c r="G60" s="1830"/>
      <c r="H60" s="1830"/>
      <c r="I60" s="1830"/>
      <c r="J60" s="1830"/>
      <c r="K60" s="1830"/>
      <c r="L60" s="1830"/>
      <c r="M60" s="1830"/>
      <c r="N60" s="1830"/>
      <c r="O60" s="1830"/>
      <c r="P60" s="1830"/>
      <c r="Q60" s="1830"/>
      <c r="R60" s="1830"/>
      <c r="S60" s="1830"/>
      <c r="T60" s="1684"/>
      <c r="U60" s="1830"/>
      <c r="V60" s="1830"/>
      <c r="W60" s="1830"/>
      <c r="X60" s="1830"/>
      <c r="Y60" s="1830"/>
      <c r="Z60" s="1830"/>
      <c r="AA60" s="1830"/>
      <c r="AB60" s="1830"/>
      <c r="AC60" s="1830"/>
      <c r="AD60" s="1830"/>
      <c r="AE60" s="1830"/>
      <c r="AF60" s="1830"/>
      <c r="AG60" s="1830"/>
      <c r="AH60" s="1830"/>
      <c r="AI60" s="1830"/>
      <c r="AJ60" s="1830"/>
      <c r="AK60" s="1830"/>
      <c r="AL60" s="1830"/>
      <c r="AM60" s="1830"/>
      <c r="AN60" s="1830"/>
      <c r="AO60" s="1830"/>
      <c r="AP60" s="2948"/>
      <c r="BD60" s="2602"/>
      <c r="BE60" s="2602"/>
      <c r="BF60" s="2602"/>
      <c r="BG60" s="2602"/>
      <c r="BH60" s="2602"/>
      <c r="BI60" s="2602"/>
      <c r="BJ60" s="2602"/>
      <c r="BK60" s="2602"/>
      <c r="BL60" s="2602"/>
      <c r="BM60" s="2602"/>
      <c r="BN60" s="2602"/>
    </row>
    <row r="61" spans="1:66" ht="7.5" customHeight="1">
      <c r="A61" s="2757"/>
      <c r="B61" s="8770">
        <v>3</v>
      </c>
      <c r="C61" s="6869"/>
      <c r="D61" s="7317" t="s">
        <v>2146</v>
      </c>
      <c r="E61" s="6869"/>
      <c r="F61" s="6869"/>
      <c r="G61" s="6869"/>
      <c r="H61" s="6869"/>
      <c r="I61" s="6869"/>
      <c r="J61" s="6869"/>
      <c r="K61" s="6869"/>
      <c r="L61" s="6869"/>
      <c r="M61" s="6869"/>
      <c r="N61" s="6869"/>
      <c r="O61" s="7127"/>
      <c r="P61" s="7261" t="s">
        <v>5438</v>
      </c>
      <c r="Q61" s="6869"/>
      <c r="R61" s="6869"/>
      <c r="S61" s="6869"/>
      <c r="T61" s="6869"/>
      <c r="U61" s="6869"/>
      <c r="V61" s="6869"/>
      <c r="W61" s="6869"/>
      <c r="X61" s="6869"/>
      <c r="Y61" s="6869"/>
      <c r="Z61" s="6869"/>
      <c r="AA61" s="6869"/>
      <c r="AB61" s="6869"/>
      <c r="AC61" s="6869"/>
      <c r="AD61" s="6869"/>
      <c r="AE61" s="6869"/>
      <c r="AF61" s="6869"/>
      <c r="AG61" s="6869"/>
      <c r="AH61" s="6869"/>
      <c r="AI61" s="6869"/>
      <c r="AJ61" s="7127"/>
      <c r="AK61" s="7261" t="s">
        <v>2145</v>
      </c>
      <c r="AL61" s="9043"/>
      <c r="AM61" s="9043"/>
      <c r="AN61" s="9043"/>
      <c r="AO61" s="9043"/>
      <c r="AP61" s="2757"/>
      <c r="BD61" s="2595"/>
      <c r="BE61" s="2595"/>
      <c r="BF61" s="2595"/>
      <c r="BG61" s="2595"/>
      <c r="BH61" s="2595"/>
      <c r="BI61" s="2595"/>
      <c r="BJ61" s="2595"/>
      <c r="BK61" s="2595"/>
      <c r="BL61" s="2595"/>
      <c r="BM61" s="2595"/>
      <c r="BN61" s="2595"/>
    </row>
    <row r="62" spans="1:66">
      <c r="A62" s="2757"/>
      <c r="B62" s="7263"/>
      <c r="C62" s="7263"/>
      <c r="D62" s="7263"/>
      <c r="E62" s="7263"/>
      <c r="F62" s="7263"/>
      <c r="G62" s="7263"/>
      <c r="H62" s="7263"/>
      <c r="I62" s="7263"/>
      <c r="J62" s="7263"/>
      <c r="K62" s="7263"/>
      <c r="L62" s="7263"/>
      <c r="M62" s="7263"/>
      <c r="N62" s="7263"/>
      <c r="O62" s="7130"/>
      <c r="P62" s="7262"/>
      <c r="Q62" s="7263"/>
      <c r="R62" s="7263"/>
      <c r="S62" s="7263"/>
      <c r="T62" s="7263"/>
      <c r="U62" s="7263"/>
      <c r="V62" s="7263"/>
      <c r="W62" s="7263"/>
      <c r="X62" s="7263"/>
      <c r="Y62" s="7263"/>
      <c r="Z62" s="7263"/>
      <c r="AA62" s="7263"/>
      <c r="AB62" s="7263"/>
      <c r="AC62" s="7263"/>
      <c r="AD62" s="7263"/>
      <c r="AE62" s="7263"/>
      <c r="AF62" s="7263"/>
      <c r="AG62" s="7263"/>
      <c r="AH62" s="7263"/>
      <c r="AI62" s="7263"/>
      <c r="AJ62" s="7130"/>
      <c r="AK62" s="9051"/>
      <c r="AL62" s="9045"/>
      <c r="AM62" s="9045"/>
      <c r="AN62" s="9045"/>
      <c r="AO62" s="9045"/>
      <c r="AP62" s="2757"/>
      <c r="BD62" s="2595"/>
      <c r="BE62" s="2595"/>
      <c r="BF62" s="2595"/>
      <c r="BG62" s="2595"/>
      <c r="BH62" s="2595"/>
      <c r="BI62" s="2595"/>
      <c r="BJ62" s="2595"/>
      <c r="BK62" s="2595"/>
      <c r="BL62" s="2595"/>
      <c r="BM62" s="2595"/>
      <c r="BN62" s="2595"/>
    </row>
    <row r="63" spans="1:66">
      <c r="A63" s="2757"/>
      <c r="B63" s="7263"/>
      <c r="C63" s="7263"/>
      <c r="D63" s="7263"/>
      <c r="E63" s="7263"/>
      <c r="F63" s="7263"/>
      <c r="G63" s="7263"/>
      <c r="H63" s="7263"/>
      <c r="I63" s="7263"/>
      <c r="J63" s="7263"/>
      <c r="K63" s="7263"/>
      <c r="L63" s="7263"/>
      <c r="M63" s="7263"/>
      <c r="N63" s="7263"/>
      <c r="O63" s="7130"/>
      <c r="P63" s="7262"/>
      <c r="Q63" s="7263"/>
      <c r="R63" s="7263"/>
      <c r="S63" s="7263"/>
      <c r="T63" s="7263"/>
      <c r="U63" s="7263"/>
      <c r="V63" s="7263"/>
      <c r="W63" s="7263"/>
      <c r="X63" s="7263"/>
      <c r="Y63" s="7263"/>
      <c r="Z63" s="7263"/>
      <c r="AA63" s="7263"/>
      <c r="AB63" s="7263"/>
      <c r="AC63" s="7263"/>
      <c r="AD63" s="7263"/>
      <c r="AE63" s="7263"/>
      <c r="AF63" s="7263"/>
      <c r="AG63" s="7263"/>
      <c r="AH63" s="7263"/>
      <c r="AI63" s="7263"/>
      <c r="AJ63" s="7130"/>
      <c r="AK63" s="9051"/>
      <c r="AL63" s="9045"/>
      <c r="AM63" s="9045"/>
      <c r="AN63" s="9045"/>
      <c r="AO63" s="9045"/>
      <c r="AP63" s="2757"/>
      <c r="AQ63" s="2757"/>
      <c r="AR63" s="2757"/>
      <c r="AS63" s="2757"/>
      <c r="AT63" s="2757"/>
      <c r="AU63" s="2757"/>
      <c r="AV63" s="2757"/>
      <c r="AW63" s="2757"/>
      <c r="AX63" s="2757"/>
      <c r="AY63" s="2757"/>
      <c r="AZ63" s="2757"/>
      <c r="BA63" s="2757"/>
      <c r="BB63" s="2757"/>
      <c r="BD63" s="2595"/>
      <c r="BE63" s="2595"/>
      <c r="BF63" s="2595"/>
      <c r="BG63" s="2595"/>
      <c r="BH63" s="2595"/>
      <c r="BI63" s="2595"/>
      <c r="BJ63" s="2595"/>
      <c r="BK63" s="2595"/>
      <c r="BL63" s="2595"/>
      <c r="BM63" s="2595"/>
      <c r="BN63" s="2595"/>
    </row>
    <row r="64" spans="1:66" ht="6" customHeight="1">
      <c r="A64" s="2757"/>
      <c r="B64" s="7265"/>
      <c r="C64" s="7265"/>
      <c r="D64" s="7265"/>
      <c r="E64" s="7265"/>
      <c r="F64" s="7265"/>
      <c r="G64" s="7265"/>
      <c r="H64" s="7265"/>
      <c r="I64" s="7265"/>
      <c r="J64" s="7265"/>
      <c r="K64" s="7265"/>
      <c r="L64" s="7265"/>
      <c r="M64" s="7265"/>
      <c r="N64" s="7265"/>
      <c r="O64" s="7133"/>
      <c r="P64" s="7264"/>
      <c r="Q64" s="7265"/>
      <c r="R64" s="7265"/>
      <c r="S64" s="7265"/>
      <c r="T64" s="7265"/>
      <c r="U64" s="7265"/>
      <c r="V64" s="7265"/>
      <c r="W64" s="7265"/>
      <c r="X64" s="7265"/>
      <c r="Y64" s="7265"/>
      <c r="Z64" s="7265"/>
      <c r="AA64" s="7265"/>
      <c r="AB64" s="7265"/>
      <c r="AC64" s="7265"/>
      <c r="AD64" s="7265"/>
      <c r="AE64" s="7265"/>
      <c r="AF64" s="7265"/>
      <c r="AG64" s="7265"/>
      <c r="AH64" s="7265"/>
      <c r="AI64" s="7265"/>
      <c r="AJ64" s="7133"/>
      <c r="AK64" s="9052"/>
      <c r="AL64" s="9047"/>
      <c r="AM64" s="9047"/>
      <c r="AN64" s="9047"/>
      <c r="AO64" s="9047"/>
      <c r="AP64" s="2757"/>
      <c r="AQ64" s="2757"/>
      <c r="AR64" s="2757"/>
      <c r="AS64" s="2757"/>
      <c r="AT64" s="2757"/>
      <c r="AU64" s="2757"/>
      <c r="AV64" s="2757"/>
      <c r="AW64" s="2757"/>
      <c r="AX64" s="2757"/>
      <c r="AY64" s="2757"/>
      <c r="AZ64" s="2757"/>
      <c r="BA64" s="2757"/>
      <c r="BB64" s="2757"/>
      <c r="BD64" s="2595"/>
      <c r="BE64" s="2595"/>
      <c r="BF64" s="2595"/>
      <c r="BG64" s="2595"/>
      <c r="BH64" s="2595"/>
      <c r="BI64" s="2595"/>
      <c r="BJ64" s="2595"/>
      <c r="BK64" s="2595"/>
      <c r="BL64" s="2595"/>
      <c r="BM64" s="2595"/>
      <c r="BN64" s="2595"/>
    </row>
    <row r="65" spans="1:67" ht="18" customHeight="1">
      <c r="A65" s="2757"/>
      <c r="B65" s="2744" t="s">
        <v>143</v>
      </c>
      <c r="C65" s="9088"/>
      <c r="D65" s="9089"/>
      <c r="E65" s="9089"/>
      <c r="F65" s="9089"/>
      <c r="G65" s="9089"/>
      <c r="H65" s="9089"/>
      <c r="I65" s="9089"/>
      <c r="J65" s="9089"/>
      <c r="K65" s="9089"/>
      <c r="L65" s="9089"/>
      <c r="M65" s="9089"/>
      <c r="N65" s="9089"/>
      <c r="O65" s="9090"/>
      <c r="P65" s="9081"/>
      <c r="Q65" s="9082"/>
      <c r="R65" s="9082"/>
      <c r="S65" s="9082"/>
      <c r="T65" s="9082"/>
      <c r="U65" s="9082"/>
      <c r="V65" s="9082"/>
      <c r="W65" s="9082"/>
      <c r="X65" s="9082"/>
      <c r="Y65" s="9082"/>
      <c r="Z65" s="9082"/>
      <c r="AA65" s="9082"/>
      <c r="AB65" s="9082"/>
      <c r="AC65" s="9082"/>
      <c r="AD65" s="9082"/>
      <c r="AE65" s="9082"/>
      <c r="AF65" s="9082"/>
      <c r="AG65" s="9082"/>
      <c r="AH65" s="9082"/>
      <c r="AI65" s="9082"/>
      <c r="AJ65" s="9083"/>
      <c r="AK65" s="8987"/>
      <c r="AL65" s="9080"/>
      <c r="AM65" s="9080"/>
      <c r="AN65" s="9080"/>
      <c r="AO65" s="9080"/>
      <c r="AP65" s="2757"/>
      <c r="AQ65" s="2786" t="s">
        <v>2072</v>
      </c>
      <c r="AR65" s="1179"/>
      <c r="AS65" s="1179"/>
      <c r="AT65" s="1179"/>
      <c r="AU65" s="1179"/>
      <c r="AV65" s="1179"/>
      <c r="AW65" s="1179"/>
      <c r="AX65" s="1179"/>
      <c r="AY65" s="1179"/>
      <c r="AZ65" s="1179"/>
      <c r="BA65" s="1179"/>
      <c r="BB65" s="2757"/>
      <c r="BD65" s="2595"/>
      <c r="BE65" s="2595"/>
      <c r="BF65" s="2595"/>
      <c r="BG65" s="2595"/>
      <c r="BH65" s="2595"/>
      <c r="BI65" s="2595"/>
      <c r="BJ65" s="2595"/>
      <c r="BK65" s="2595"/>
      <c r="BL65" s="2595"/>
      <c r="BM65" s="2595"/>
      <c r="BN65" s="2595"/>
    </row>
    <row r="66" spans="1:67" ht="18" customHeight="1">
      <c r="A66" s="2757"/>
      <c r="B66" s="2744" t="s">
        <v>288</v>
      </c>
      <c r="C66" s="9088"/>
      <c r="D66" s="9089"/>
      <c r="E66" s="9089"/>
      <c r="F66" s="9089"/>
      <c r="G66" s="9089"/>
      <c r="H66" s="9089"/>
      <c r="I66" s="9089"/>
      <c r="J66" s="9089"/>
      <c r="K66" s="9089"/>
      <c r="L66" s="9089"/>
      <c r="M66" s="9089"/>
      <c r="N66" s="9089"/>
      <c r="O66" s="9090"/>
      <c r="P66" s="9081"/>
      <c r="Q66" s="9082"/>
      <c r="R66" s="9082"/>
      <c r="S66" s="9082"/>
      <c r="T66" s="9082"/>
      <c r="U66" s="9082"/>
      <c r="V66" s="9082"/>
      <c r="W66" s="9082"/>
      <c r="X66" s="9082"/>
      <c r="Y66" s="9082"/>
      <c r="Z66" s="9082"/>
      <c r="AA66" s="9082"/>
      <c r="AB66" s="9082"/>
      <c r="AC66" s="9082"/>
      <c r="AD66" s="9082"/>
      <c r="AE66" s="9082"/>
      <c r="AF66" s="9082"/>
      <c r="AG66" s="9082"/>
      <c r="AH66" s="9082"/>
      <c r="AI66" s="9082"/>
      <c r="AJ66" s="9083"/>
      <c r="AK66" s="8987"/>
      <c r="AL66" s="9080"/>
      <c r="AM66" s="9080"/>
      <c r="AN66" s="9080"/>
      <c r="AO66" s="9080"/>
      <c r="AP66" s="2757"/>
      <c r="AQ66" s="2757"/>
      <c r="AR66" s="2757"/>
      <c r="AS66" s="2757"/>
      <c r="AT66" s="2757"/>
      <c r="AU66" s="2757"/>
      <c r="AV66" s="2757"/>
      <c r="AW66" s="2757"/>
      <c r="AX66" s="2757"/>
      <c r="AY66" s="2757"/>
      <c r="AZ66" s="2757"/>
      <c r="BA66" s="2757"/>
      <c r="BB66" s="2757"/>
      <c r="BD66" s="2595"/>
      <c r="BE66" s="2595"/>
      <c r="BF66" s="2595"/>
      <c r="BG66" s="2595"/>
      <c r="BH66" s="2595"/>
      <c r="BI66" s="2595"/>
      <c r="BJ66" s="2595"/>
      <c r="BK66" s="2595"/>
      <c r="BL66" s="2595"/>
      <c r="BM66" s="2595"/>
      <c r="BN66" s="2595"/>
    </row>
    <row r="67" spans="1:67" ht="18" customHeight="1">
      <c r="A67" s="2757"/>
      <c r="B67" s="2744" t="s">
        <v>144</v>
      </c>
      <c r="C67" s="9088"/>
      <c r="D67" s="9089"/>
      <c r="E67" s="9089"/>
      <c r="F67" s="9089"/>
      <c r="G67" s="9089"/>
      <c r="H67" s="9089"/>
      <c r="I67" s="9089"/>
      <c r="J67" s="9089"/>
      <c r="K67" s="9089"/>
      <c r="L67" s="9089"/>
      <c r="M67" s="9089"/>
      <c r="N67" s="9089"/>
      <c r="O67" s="9090"/>
      <c r="P67" s="9081"/>
      <c r="Q67" s="9082"/>
      <c r="R67" s="9082"/>
      <c r="S67" s="9082"/>
      <c r="T67" s="9082"/>
      <c r="U67" s="9082"/>
      <c r="V67" s="9082"/>
      <c r="W67" s="9082"/>
      <c r="X67" s="9082"/>
      <c r="Y67" s="9082"/>
      <c r="Z67" s="9082"/>
      <c r="AA67" s="9082"/>
      <c r="AB67" s="9082"/>
      <c r="AC67" s="9082"/>
      <c r="AD67" s="9082"/>
      <c r="AE67" s="9082"/>
      <c r="AF67" s="9082"/>
      <c r="AG67" s="9082"/>
      <c r="AH67" s="9082"/>
      <c r="AI67" s="9082"/>
      <c r="AJ67" s="9083"/>
      <c r="AK67" s="8987"/>
      <c r="AL67" s="9080"/>
      <c r="AM67" s="9080"/>
      <c r="AN67" s="9080"/>
      <c r="AO67" s="9080"/>
      <c r="AP67" s="2757"/>
      <c r="BD67" s="2595"/>
      <c r="BE67" s="2595"/>
      <c r="BF67" s="2595"/>
      <c r="BG67" s="2595"/>
      <c r="BH67" s="2595"/>
      <c r="BI67" s="2595"/>
      <c r="BJ67" s="2595"/>
      <c r="BK67" s="2595"/>
      <c r="BL67" s="2595"/>
      <c r="BM67" s="2595"/>
      <c r="BN67" s="2595"/>
    </row>
    <row r="68" spans="1:67" s="261" customFormat="1" ht="16.5" customHeight="1">
      <c r="A68" s="2774"/>
      <c r="B68" s="2775"/>
      <c r="C68" s="7241" t="s">
        <v>4328</v>
      </c>
      <c r="D68" s="8176"/>
      <c r="E68" s="8176"/>
      <c r="F68" s="8176"/>
      <c r="G68" s="8176"/>
      <c r="H68" s="9091" t="s">
        <v>2147</v>
      </c>
      <c r="I68" s="8176"/>
      <c r="J68" s="8176"/>
      <c r="K68" s="8176"/>
      <c r="L68" s="8176"/>
      <c r="M68" s="8176"/>
      <c r="N68" s="8176"/>
      <c r="O68" s="9092"/>
      <c r="P68" s="7241" t="s">
        <v>2148</v>
      </c>
      <c r="Q68" s="7086"/>
      <c r="R68" s="7086"/>
      <c r="S68" s="7086"/>
      <c r="T68" s="7086"/>
      <c r="U68" s="7086"/>
      <c r="V68" s="7086"/>
      <c r="W68" s="7241" t="s">
        <v>5439</v>
      </c>
      <c r="X68" s="7086"/>
      <c r="Y68" s="7086"/>
      <c r="Z68" s="7086"/>
      <c r="AA68" s="7086"/>
      <c r="AB68" s="7086"/>
      <c r="AC68" s="7086"/>
      <c r="AD68" s="7087"/>
      <c r="AE68" s="7324" t="s">
        <v>4327</v>
      </c>
      <c r="AF68" s="9059"/>
      <c r="AG68" s="9059"/>
      <c r="AH68" s="9059"/>
      <c r="AI68" s="9059"/>
      <c r="AJ68" s="9059"/>
      <c r="AK68" s="7324" t="s">
        <v>5440</v>
      </c>
      <c r="AL68" s="9059"/>
      <c r="AM68" s="9059"/>
      <c r="AN68" s="9059"/>
      <c r="AO68" s="9059"/>
      <c r="AP68" s="2757"/>
      <c r="AQ68" s="42"/>
      <c r="AR68" s="42"/>
      <c r="AS68" s="42"/>
      <c r="AT68" s="42"/>
      <c r="AU68" s="42"/>
      <c r="AV68" s="42"/>
      <c r="AW68" s="42"/>
      <c r="AX68" s="42"/>
      <c r="AY68" s="42"/>
      <c r="AZ68" s="42"/>
      <c r="BA68" s="42"/>
      <c r="BB68" s="42"/>
      <c r="BC68" s="42"/>
      <c r="BD68" s="2595"/>
      <c r="BE68" s="2776"/>
      <c r="BF68" s="2776"/>
      <c r="BG68" s="2776"/>
      <c r="BH68" s="2776"/>
      <c r="BI68" s="2776"/>
      <c r="BJ68" s="2776"/>
      <c r="BK68" s="2776"/>
      <c r="BL68" s="2776"/>
      <c r="BM68" s="2776"/>
      <c r="BN68" s="2776"/>
    </row>
    <row r="69" spans="1:67" s="261" customFormat="1" ht="23.25" customHeight="1">
      <c r="A69" s="2774"/>
      <c r="B69" s="2777"/>
      <c r="C69" s="9084"/>
      <c r="D69" s="9085"/>
      <c r="E69" s="9085"/>
      <c r="F69" s="9085"/>
      <c r="G69" s="9085"/>
      <c r="H69" s="9084"/>
      <c r="I69" s="9085"/>
      <c r="J69" s="9085"/>
      <c r="K69" s="9085"/>
      <c r="L69" s="9085"/>
      <c r="M69" s="9085"/>
      <c r="N69" s="9085"/>
      <c r="O69" s="9093"/>
      <c r="P69" s="8872"/>
      <c r="Q69" s="7088"/>
      <c r="R69" s="7088"/>
      <c r="S69" s="7088"/>
      <c r="T69" s="7088"/>
      <c r="U69" s="7088"/>
      <c r="V69" s="7088"/>
      <c r="W69" s="8872"/>
      <c r="X69" s="7088"/>
      <c r="Y69" s="7088"/>
      <c r="Z69" s="7088"/>
      <c r="AA69" s="7088"/>
      <c r="AB69" s="7088"/>
      <c r="AC69" s="7088"/>
      <c r="AD69" s="7089"/>
      <c r="AE69" s="7909"/>
      <c r="AF69" s="9061"/>
      <c r="AG69" s="9061"/>
      <c r="AH69" s="9061"/>
      <c r="AI69" s="9061"/>
      <c r="AJ69" s="9061"/>
      <c r="AK69" s="7909"/>
      <c r="AL69" s="9061"/>
      <c r="AM69" s="9061"/>
      <c r="AN69" s="9061"/>
      <c r="AO69" s="9061"/>
      <c r="AP69" s="2757"/>
      <c r="AQ69" s="42"/>
      <c r="AR69" s="42"/>
      <c r="AS69" s="42"/>
      <c r="AT69" s="42"/>
      <c r="AU69" s="42"/>
      <c r="AV69" s="42"/>
      <c r="AW69" s="42"/>
      <c r="AX69" s="42"/>
      <c r="AY69" s="42"/>
      <c r="AZ69" s="42"/>
      <c r="BA69" s="42"/>
      <c r="BB69" s="42"/>
      <c r="BC69" s="42"/>
      <c r="BD69" s="2595"/>
      <c r="BE69" s="2776"/>
      <c r="BF69" s="2776"/>
      <c r="BG69" s="2776"/>
      <c r="BH69" s="2776"/>
      <c r="BI69" s="2776"/>
      <c r="BJ69" s="2776"/>
      <c r="BK69" s="2776"/>
      <c r="BL69" s="2776"/>
      <c r="BM69" s="2776"/>
      <c r="BN69" s="2776"/>
      <c r="BO69" s="2776"/>
    </row>
    <row r="70" spans="1:67" ht="18" customHeight="1">
      <c r="A70" s="2757"/>
      <c r="B70" s="2744" t="s">
        <v>143</v>
      </c>
      <c r="C70" s="7709"/>
      <c r="D70" s="7710"/>
      <c r="E70" s="7710"/>
      <c r="F70" s="7710"/>
      <c r="G70" s="7711"/>
      <c r="H70" s="8998"/>
      <c r="I70" s="8999"/>
      <c r="J70" s="8999"/>
      <c r="K70" s="8999"/>
      <c r="L70" s="9000"/>
      <c r="M70" s="9001"/>
      <c r="N70" s="9001"/>
      <c r="O70" s="9002"/>
      <c r="P70" s="8987"/>
      <c r="Q70" s="9003"/>
      <c r="R70" s="9003"/>
      <c r="S70" s="9003"/>
      <c r="T70" s="9003"/>
      <c r="U70" s="9003"/>
      <c r="V70" s="9004"/>
      <c r="W70" s="8987"/>
      <c r="X70" s="8988"/>
      <c r="Y70" s="8988"/>
      <c r="Z70" s="8988"/>
      <c r="AA70" s="8989"/>
      <c r="AB70" s="8990"/>
      <c r="AC70" s="8990"/>
      <c r="AD70" s="8991"/>
      <c r="AE70" s="8987"/>
      <c r="AF70" s="8988"/>
      <c r="AG70" s="8988"/>
      <c r="AH70" s="8988"/>
      <c r="AI70" s="8989"/>
      <c r="AJ70" s="8990"/>
      <c r="AK70" s="7709"/>
      <c r="AL70" s="7710"/>
      <c r="AM70" s="7710"/>
      <c r="AN70" s="7710"/>
      <c r="AO70" s="7711"/>
      <c r="AP70" s="2757"/>
      <c r="BD70" s="2595"/>
      <c r="BE70" s="2595"/>
      <c r="BF70" s="2595"/>
      <c r="BG70" s="2595"/>
      <c r="BH70" s="2595"/>
      <c r="BI70" s="2595"/>
      <c r="BJ70" s="2595"/>
      <c r="BK70" s="2595"/>
      <c r="BL70" s="2595"/>
      <c r="BM70" s="2595"/>
      <c r="BN70" s="2595"/>
    </row>
    <row r="71" spans="1:67" ht="18" customHeight="1">
      <c r="A71" s="2757"/>
      <c r="B71" s="2744" t="s">
        <v>288</v>
      </c>
      <c r="C71" s="7709"/>
      <c r="D71" s="7710"/>
      <c r="E71" s="7710"/>
      <c r="F71" s="7710"/>
      <c r="G71" s="7711"/>
      <c r="H71" s="8998"/>
      <c r="I71" s="8999"/>
      <c r="J71" s="8999"/>
      <c r="K71" s="8999"/>
      <c r="L71" s="9000"/>
      <c r="M71" s="9001"/>
      <c r="N71" s="9001"/>
      <c r="O71" s="9002"/>
      <c r="P71" s="8987"/>
      <c r="Q71" s="9003"/>
      <c r="R71" s="9003"/>
      <c r="S71" s="9003"/>
      <c r="T71" s="9003"/>
      <c r="U71" s="9003"/>
      <c r="V71" s="9004"/>
      <c r="W71" s="8987"/>
      <c r="X71" s="8988"/>
      <c r="Y71" s="8988"/>
      <c r="Z71" s="8988"/>
      <c r="AA71" s="8989"/>
      <c r="AB71" s="8990"/>
      <c r="AC71" s="8990"/>
      <c r="AD71" s="8991"/>
      <c r="AE71" s="8987"/>
      <c r="AF71" s="8988"/>
      <c r="AG71" s="8988"/>
      <c r="AH71" s="8988"/>
      <c r="AI71" s="8989"/>
      <c r="AJ71" s="8990"/>
      <c r="AK71" s="7709"/>
      <c r="AL71" s="7710"/>
      <c r="AM71" s="7710"/>
      <c r="AN71" s="7710"/>
      <c r="AO71" s="7711"/>
      <c r="AP71" s="2757"/>
      <c r="BD71" s="2595"/>
      <c r="BE71" s="2595"/>
      <c r="BF71" s="2595"/>
      <c r="BG71" s="2595"/>
      <c r="BH71" s="2595"/>
      <c r="BI71" s="2595"/>
      <c r="BJ71" s="2595"/>
      <c r="BK71" s="2595"/>
      <c r="BL71" s="2595"/>
      <c r="BM71" s="2595"/>
      <c r="BN71" s="2595"/>
    </row>
    <row r="72" spans="1:67" ht="18" customHeight="1">
      <c r="A72" s="2757"/>
      <c r="B72" s="2744" t="s">
        <v>144</v>
      </c>
      <c r="C72" s="7709"/>
      <c r="D72" s="7710"/>
      <c r="E72" s="7710"/>
      <c r="F72" s="7710"/>
      <c r="G72" s="7711"/>
      <c r="H72" s="8998"/>
      <c r="I72" s="8999"/>
      <c r="J72" s="8999"/>
      <c r="K72" s="8999"/>
      <c r="L72" s="9000"/>
      <c r="M72" s="9001"/>
      <c r="N72" s="9001"/>
      <c r="O72" s="9002"/>
      <c r="P72" s="8987"/>
      <c r="Q72" s="9003"/>
      <c r="R72" s="9003"/>
      <c r="S72" s="9003"/>
      <c r="T72" s="9003"/>
      <c r="U72" s="9003"/>
      <c r="V72" s="9004"/>
      <c r="W72" s="8987"/>
      <c r="X72" s="8988"/>
      <c r="Y72" s="8988"/>
      <c r="Z72" s="8988"/>
      <c r="AA72" s="8989"/>
      <c r="AB72" s="8990"/>
      <c r="AC72" s="8990"/>
      <c r="AD72" s="8991"/>
      <c r="AE72" s="8987"/>
      <c r="AF72" s="8988"/>
      <c r="AG72" s="8988"/>
      <c r="AH72" s="8988"/>
      <c r="AI72" s="8989"/>
      <c r="AJ72" s="8990"/>
      <c r="AK72" s="7709"/>
      <c r="AL72" s="7710"/>
      <c r="AM72" s="7710"/>
      <c r="AN72" s="7710"/>
      <c r="AO72" s="7711"/>
      <c r="AP72" s="2757"/>
      <c r="BD72" s="2595"/>
      <c r="BE72" s="2595"/>
      <c r="BF72" s="2595"/>
      <c r="BG72" s="2595"/>
      <c r="BH72" s="2595"/>
      <c r="BI72" s="2595"/>
      <c r="BJ72" s="2595"/>
      <c r="BK72" s="2595"/>
      <c r="BL72" s="2595"/>
      <c r="BM72" s="2595"/>
      <c r="BN72" s="2595"/>
    </row>
    <row r="73" spans="1:67" ht="18">
      <c r="A73" s="2757"/>
      <c r="B73" s="2975" t="s">
        <v>1766</v>
      </c>
      <c r="C73" s="4779"/>
      <c r="D73" s="1830"/>
      <c r="E73" s="1830"/>
      <c r="F73" s="1830"/>
      <c r="G73" s="1830"/>
      <c r="H73" s="1830"/>
      <c r="I73" s="1830"/>
      <c r="J73" s="1830"/>
      <c r="K73" s="1830"/>
      <c r="L73" s="1830"/>
      <c r="M73" s="1830"/>
      <c r="N73" s="1830"/>
      <c r="O73" s="1830"/>
      <c r="P73" s="1830"/>
      <c r="Q73" s="1830"/>
      <c r="R73" s="1830"/>
      <c r="S73" s="1830"/>
      <c r="T73" s="1830"/>
      <c r="U73" s="1830"/>
      <c r="V73" s="1830"/>
      <c r="W73" s="1830"/>
      <c r="X73" s="1830" t="s">
        <v>2096</v>
      </c>
      <c r="Y73" s="1830"/>
      <c r="Z73" s="1830"/>
      <c r="AA73" s="1830"/>
      <c r="AB73" s="1830"/>
      <c r="AC73" s="1830"/>
      <c r="AD73" s="1830"/>
      <c r="AE73" s="1830"/>
      <c r="AF73" s="1830"/>
      <c r="AG73" s="1830"/>
      <c r="AH73" s="1830"/>
      <c r="AI73" s="1830"/>
      <c r="AJ73" s="1830"/>
      <c r="AK73" s="4780" t="s">
        <v>2097</v>
      </c>
      <c r="AL73" s="1830"/>
      <c r="AM73" s="1830"/>
      <c r="AN73" s="1830"/>
      <c r="AO73" s="4780" t="s">
        <v>5443</v>
      </c>
      <c r="AP73" s="2757"/>
      <c r="BD73" s="2595"/>
      <c r="BE73" s="2595"/>
      <c r="BF73" s="2595"/>
      <c r="BG73" s="2595"/>
      <c r="BH73" s="2595"/>
      <c r="BI73" s="2595"/>
      <c r="BJ73" s="2595"/>
      <c r="BK73" s="2595"/>
      <c r="BL73" s="2595"/>
      <c r="BM73" s="2595"/>
      <c r="BN73" s="2595"/>
    </row>
    <row r="74" spans="1:67" ht="18.75" customHeight="1" thickBot="1">
      <c r="A74" s="2757"/>
      <c r="B74" s="1704" t="s">
        <v>5441</v>
      </c>
      <c r="C74" s="1280"/>
      <c r="D74" s="1280"/>
      <c r="E74" s="1280"/>
      <c r="F74" s="1280"/>
      <c r="G74" s="1280"/>
      <c r="H74" s="1280"/>
      <c r="I74" s="1280"/>
      <c r="J74" s="1280"/>
      <c r="K74" s="1280"/>
      <c r="L74" s="1280"/>
      <c r="M74" s="1280"/>
      <c r="N74" s="1280"/>
      <c r="O74" s="1280"/>
      <c r="P74" s="1280"/>
      <c r="Q74" s="1280"/>
      <c r="R74" s="1280"/>
      <c r="S74" s="1280"/>
      <c r="T74" s="1280"/>
      <c r="U74" s="1280"/>
      <c r="V74" s="1280"/>
      <c r="W74" s="1280"/>
      <c r="X74" s="1280"/>
      <c r="Y74" s="1280"/>
      <c r="Z74" s="1280"/>
      <c r="AA74" s="1280"/>
      <c r="AB74" s="1280"/>
      <c r="AC74" s="1280"/>
      <c r="AD74" s="1280"/>
      <c r="AE74" s="1280"/>
      <c r="AF74" s="1280"/>
      <c r="AG74" s="1280"/>
      <c r="AH74" s="1280"/>
      <c r="AI74" s="1280"/>
      <c r="AJ74" s="1280"/>
      <c r="AK74" s="1280"/>
      <c r="AL74" s="1280"/>
      <c r="AM74" s="1280"/>
      <c r="AN74" s="1280"/>
      <c r="AO74" s="2743" t="s">
        <v>160</v>
      </c>
      <c r="AP74" s="2757"/>
      <c r="BD74" s="2595"/>
      <c r="BE74" s="2595"/>
      <c r="BF74" s="2595"/>
      <c r="BG74" s="2595"/>
      <c r="BH74" s="2595"/>
      <c r="BI74" s="2595"/>
      <c r="BJ74" s="2595"/>
      <c r="BK74" s="2595"/>
      <c r="BL74" s="2595"/>
      <c r="BM74" s="2595"/>
      <c r="BN74" s="2595"/>
    </row>
    <row r="75" spans="1:67">
      <c r="A75" s="2757"/>
      <c r="B75" s="1179" t="s">
        <v>2067</v>
      </c>
      <c r="C75" s="1179"/>
      <c r="D75" s="1179"/>
      <c r="E75" s="1179"/>
      <c r="F75" s="1179"/>
      <c r="G75" s="1179"/>
      <c r="H75" s="1179"/>
      <c r="I75" s="1179"/>
      <c r="J75" s="1179"/>
      <c r="K75" s="1179"/>
      <c r="L75" s="1179"/>
      <c r="M75" s="1179"/>
      <c r="N75" s="1179"/>
      <c r="O75" s="1179"/>
      <c r="P75" s="1179"/>
      <c r="Q75" s="1179"/>
      <c r="R75" s="1179"/>
      <c r="S75" s="1179"/>
      <c r="T75" s="1179"/>
      <c r="U75" s="1179"/>
      <c r="V75" s="1179"/>
      <c r="W75" s="1179"/>
      <c r="X75" s="1179"/>
      <c r="Y75" s="1179"/>
      <c r="Z75" s="1179"/>
      <c r="AA75" s="1179"/>
      <c r="AB75" s="1179"/>
      <c r="AC75" s="1179"/>
      <c r="AD75" s="1179"/>
      <c r="AE75" s="1179"/>
      <c r="AF75" s="1179"/>
      <c r="AG75" s="1179"/>
      <c r="AH75" s="1179"/>
      <c r="AI75" s="4777" t="s">
        <v>1744</v>
      </c>
      <c r="AJ75" s="1274"/>
      <c r="AK75" s="1274"/>
      <c r="AL75" s="1274"/>
      <c r="AM75" s="1274"/>
      <c r="AN75" s="1274"/>
      <c r="AO75" s="1274"/>
      <c r="AP75" s="2757"/>
      <c r="BD75" s="2595"/>
      <c r="BE75" s="2595"/>
      <c r="BF75" s="2595"/>
      <c r="BG75" s="2595"/>
      <c r="BH75" s="2595"/>
      <c r="BI75" s="2595"/>
      <c r="BJ75" s="2595"/>
      <c r="BK75" s="2595"/>
      <c r="BL75" s="2595"/>
      <c r="BM75" s="2595"/>
      <c r="BN75" s="2595"/>
    </row>
    <row r="76" spans="1:67" ht="8.25" customHeight="1">
      <c r="A76" s="2757"/>
      <c r="B76" s="6635" t="str">
        <f>Names</f>
        <v/>
      </c>
      <c r="C76" s="6635"/>
      <c r="D76" s="6635"/>
      <c r="E76" s="6635"/>
      <c r="F76" s="6635"/>
      <c r="G76" s="6635"/>
      <c r="H76" s="6635"/>
      <c r="I76" s="6635"/>
      <c r="J76" s="6635"/>
      <c r="K76" s="6635"/>
      <c r="L76" s="6635"/>
      <c r="M76" s="6635"/>
      <c r="N76" s="6635"/>
      <c r="O76" s="6635"/>
      <c r="P76" s="6635"/>
      <c r="Q76" s="6635"/>
      <c r="R76" s="6635"/>
      <c r="S76" s="6635"/>
      <c r="T76" s="6635"/>
      <c r="U76" s="6635"/>
      <c r="V76" s="6635"/>
      <c r="W76" s="6635"/>
      <c r="X76" s="6635"/>
      <c r="Y76" s="6635"/>
      <c r="Z76" s="6635"/>
      <c r="AA76" s="6635"/>
      <c r="AB76" s="6635"/>
      <c r="AC76" s="6635"/>
      <c r="AD76" s="6635"/>
      <c r="AE76" s="6635"/>
      <c r="AF76" s="6635"/>
      <c r="AG76" s="6635"/>
      <c r="AH76" s="9005"/>
      <c r="AI76" s="9008"/>
      <c r="AJ76" s="9009"/>
      <c r="AK76" s="9009"/>
      <c r="AL76" s="9009"/>
      <c r="AM76" s="9009"/>
      <c r="AN76" s="9009"/>
      <c r="AO76" s="9009"/>
      <c r="AP76" s="2757"/>
      <c r="BD76" s="2595"/>
      <c r="BE76" s="2595"/>
      <c r="BF76" s="2595"/>
      <c r="BG76" s="2595"/>
      <c r="BH76" s="2595"/>
      <c r="BI76" s="2595"/>
      <c r="BJ76" s="2595"/>
      <c r="BK76" s="2595"/>
      <c r="BL76" s="2595"/>
      <c r="BM76" s="2595"/>
      <c r="BN76" s="2595"/>
    </row>
    <row r="77" spans="1:67" ht="8.25" customHeight="1">
      <c r="A77" s="2757"/>
      <c r="B77" s="9006"/>
      <c r="C77" s="9006"/>
      <c r="D77" s="9006"/>
      <c r="E77" s="9006"/>
      <c r="F77" s="9006"/>
      <c r="G77" s="9006"/>
      <c r="H77" s="9006"/>
      <c r="I77" s="9006"/>
      <c r="J77" s="9006"/>
      <c r="K77" s="9006"/>
      <c r="L77" s="9006"/>
      <c r="M77" s="9006"/>
      <c r="N77" s="9006"/>
      <c r="O77" s="9006"/>
      <c r="P77" s="9006"/>
      <c r="Q77" s="9006"/>
      <c r="R77" s="9006"/>
      <c r="S77" s="9006"/>
      <c r="T77" s="9006"/>
      <c r="U77" s="9006"/>
      <c r="V77" s="9006"/>
      <c r="W77" s="9006"/>
      <c r="X77" s="9006"/>
      <c r="Y77" s="9006"/>
      <c r="Z77" s="9006"/>
      <c r="AA77" s="9006"/>
      <c r="AB77" s="9006"/>
      <c r="AC77" s="9006"/>
      <c r="AD77" s="9006"/>
      <c r="AE77" s="9006"/>
      <c r="AF77" s="9006"/>
      <c r="AG77" s="9006"/>
      <c r="AH77" s="9007"/>
      <c r="AI77" s="9010"/>
      <c r="AJ77" s="8957"/>
      <c r="AK77" s="8957"/>
      <c r="AL77" s="8957"/>
      <c r="AM77" s="8957"/>
      <c r="AN77" s="8957"/>
      <c r="AO77" s="8957"/>
      <c r="AP77" s="2757"/>
      <c r="BD77" s="2595"/>
      <c r="BE77" s="2595"/>
      <c r="BF77" s="2595"/>
      <c r="BG77" s="2595"/>
      <c r="BH77" s="2595"/>
      <c r="BI77" s="2595"/>
      <c r="BJ77" s="2595"/>
      <c r="BK77" s="2595"/>
      <c r="BL77" s="2595"/>
      <c r="BM77" s="2595"/>
      <c r="BN77" s="2595"/>
    </row>
    <row r="78" spans="1:67" s="2689" customFormat="1" ht="15.75">
      <c r="A78" s="2758"/>
      <c r="B78" s="8973" t="s">
        <v>118</v>
      </c>
      <c r="C78" s="8973"/>
      <c r="D78" s="8974"/>
      <c r="E78" s="1396"/>
      <c r="F78" s="2699" t="s">
        <v>4329</v>
      </c>
      <c r="G78" s="1396"/>
      <c r="H78" s="1396"/>
      <c r="I78" s="1396"/>
      <c r="J78" s="1396"/>
      <c r="K78" s="1396"/>
      <c r="L78" s="1396"/>
      <c r="M78" s="1396"/>
      <c r="N78" s="1396"/>
      <c r="O78" s="1396"/>
      <c r="P78" s="1396"/>
      <c r="Q78" s="1396"/>
      <c r="R78" s="1396"/>
      <c r="S78" s="1396"/>
      <c r="T78" s="1396"/>
      <c r="U78" s="1396"/>
      <c r="V78" s="1396"/>
      <c r="W78" s="1396"/>
      <c r="X78" s="1396"/>
      <c r="Y78" s="1396"/>
      <c r="Z78" s="1396"/>
      <c r="AA78" s="1396"/>
      <c r="AB78" s="1396"/>
      <c r="AC78" s="1396"/>
      <c r="AD78" s="1396"/>
      <c r="AE78" s="1396"/>
      <c r="AF78" s="1396"/>
      <c r="AG78" s="1396"/>
      <c r="AH78" s="1396"/>
      <c r="AI78" s="1396"/>
      <c r="AJ78" s="1396"/>
      <c r="AK78" s="1396"/>
      <c r="AL78" s="1396"/>
      <c r="AM78" s="1396"/>
      <c r="AN78" s="1396"/>
      <c r="AO78" s="1396"/>
      <c r="AP78" s="2757"/>
      <c r="BD78" s="2595"/>
      <c r="BE78" s="2595"/>
      <c r="BF78" s="2595"/>
      <c r="BG78" s="2595"/>
      <c r="BH78" s="2595"/>
      <c r="BI78" s="2595"/>
      <c r="BJ78" s="2595"/>
      <c r="BK78" s="2595"/>
      <c r="BL78" s="2595"/>
      <c r="BM78" s="2595"/>
      <c r="BN78" s="2595"/>
    </row>
    <row r="79" spans="1:67" s="2689" customFormat="1" ht="15">
      <c r="A79" s="2758"/>
      <c r="B79" s="1179"/>
      <c r="C79" s="1179"/>
      <c r="D79" s="1179"/>
      <c r="E79" s="1540"/>
      <c r="F79" s="1540" t="s">
        <v>4313</v>
      </c>
      <c r="G79" s="1540"/>
      <c r="H79" s="1540"/>
      <c r="I79" s="1540"/>
      <c r="J79" s="1540"/>
      <c r="K79" s="1540"/>
      <c r="L79" s="1540"/>
      <c r="M79" s="1540"/>
      <c r="N79" s="1540"/>
      <c r="O79" s="1540"/>
      <c r="P79" s="1540"/>
      <c r="Q79" s="1540"/>
      <c r="R79" s="1540"/>
      <c r="S79" s="1540"/>
      <c r="T79" s="1540"/>
      <c r="U79" s="1540"/>
      <c r="V79" s="1540"/>
      <c r="W79" s="1540"/>
      <c r="X79" s="1540"/>
      <c r="Y79" s="1540"/>
      <c r="Z79" s="1540"/>
      <c r="AA79" s="1540"/>
      <c r="AB79" s="1540"/>
      <c r="AC79" s="1540"/>
      <c r="AD79" s="1540"/>
      <c r="AE79" s="1540"/>
      <c r="AF79" s="1540"/>
      <c r="AG79" s="1540"/>
      <c r="AH79" s="1540"/>
      <c r="AI79" s="1540"/>
      <c r="AJ79" s="1540"/>
      <c r="AK79" s="1540"/>
      <c r="AL79" s="1540"/>
      <c r="AM79" s="1540"/>
      <c r="AN79" s="1540"/>
      <c r="AO79" s="1540"/>
      <c r="AP79" s="2757"/>
      <c r="BD79" s="2595"/>
      <c r="BE79" s="2595"/>
      <c r="BF79" s="2595"/>
      <c r="BG79" s="2595"/>
      <c r="BH79" s="2595"/>
      <c r="BI79" s="2595"/>
      <c r="BJ79" s="2595"/>
      <c r="BK79" s="2595"/>
      <c r="BL79" s="2595"/>
      <c r="BM79" s="2595"/>
      <c r="BN79" s="2595"/>
    </row>
    <row r="80" spans="1:67" ht="13.5" customHeight="1">
      <c r="A80" s="2757"/>
      <c r="B80" s="1179"/>
      <c r="C80" s="1179"/>
      <c r="D80" s="1179"/>
      <c r="E80" s="1179"/>
      <c r="F80" s="1540" t="s">
        <v>4314</v>
      </c>
      <c r="G80" s="1179"/>
      <c r="H80" s="1179"/>
      <c r="I80" s="1179"/>
      <c r="J80" s="1179"/>
      <c r="K80" s="1179"/>
      <c r="L80" s="1179"/>
      <c r="M80" s="1179"/>
      <c r="N80" s="1179"/>
      <c r="O80" s="1179"/>
      <c r="P80" s="1179"/>
      <c r="Q80" s="1179"/>
      <c r="R80" s="1179"/>
      <c r="S80" s="1179"/>
      <c r="T80" s="1179"/>
      <c r="U80" s="1179"/>
      <c r="V80" s="1179"/>
      <c r="W80" s="1179"/>
      <c r="X80" s="1179"/>
      <c r="Y80" s="1179"/>
      <c r="Z80" s="1179"/>
      <c r="AA80" s="1179"/>
      <c r="AB80" s="1179"/>
      <c r="AC80" s="1179"/>
      <c r="AD80" s="1179"/>
      <c r="AE80" s="1179"/>
      <c r="AF80" s="1179"/>
      <c r="AG80" s="1179"/>
      <c r="AH80" s="1179"/>
      <c r="AI80" s="1179"/>
      <c r="AJ80" s="1179"/>
      <c r="AK80" s="1179"/>
      <c r="AL80" s="1179"/>
      <c r="AM80" s="1179"/>
      <c r="AN80" s="1179"/>
      <c r="AO80" s="1179"/>
      <c r="AP80" s="2757"/>
      <c r="BD80" s="2595"/>
      <c r="BE80" s="2595"/>
      <c r="BF80" s="2595"/>
      <c r="BG80" s="2595"/>
      <c r="BH80" s="2595"/>
      <c r="BI80" s="2595"/>
      <c r="BJ80" s="2595"/>
      <c r="BK80" s="2595"/>
      <c r="BL80" s="2595"/>
      <c r="BM80" s="2595"/>
      <c r="BN80" s="2595"/>
    </row>
    <row r="81" spans="1:66" ht="13.5" customHeight="1">
      <c r="A81" s="2757"/>
      <c r="B81" s="1553"/>
      <c r="C81" s="1553"/>
      <c r="D81" s="1553"/>
      <c r="E81" s="1553"/>
      <c r="F81" s="1397" t="s">
        <v>4315</v>
      </c>
      <c r="G81" s="1553"/>
      <c r="H81" s="1553"/>
      <c r="I81" s="1553"/>
      <c r="J81" s="1553"/>
      <c r="K81" s="1553"/>
      <c r="L81" s="1553"/>
      <c r="M81" s="1553"/>
      <c r="N81" s="1553"/>
      <c r="O81" s="1553"/>
      <c r="P81" s="1553"/>
      <c r="Q81" s="1553"/>
      <c r="R81" s="1553"/>
      <c r="S81" s="1553"/>
      <c r="T81" s="1553"/>
      <c r="U81" s="1553"/>
      <c r="V81" s="1553"/>
      <c r="W81" s="1553"/>
      <c r="X81" s="1553"/>
      <c r="Y81" s="1553"/>
      <c r="Z81" s="1553"/>
      <c r="AA81" s="1553"/>
      <c r="AB81" s="1553"/>
      <c r="AC81" s="1553"/>
      <c r="AD81" s="1553"/>
      <c r="AE81" s="1553"/>
      <c r="AF81" s="1553"/>
      <c r="AG81" s="1553"/>
      <c r="AH81" s="1553"/>
      <c r="AI81" s="1553"/>
      <c r="AJ81" s="1553"/>
      <c r="AK81" s="1553"/>
      <c r="AL81" s="1553"/>
      <c r="AM81" s="1553"/>
      <c r="AN81" s="1553"/>
      <c r="AO81" s="1553"/>
      <c r="AP81" s="2757"/>
      <c r="BD81" s="2595"/>
      <c r="BE81" s="2595"/>
      <c r="BF81" s="2595"/>
      <c r="BG81" s="2595"/>
      <c r="BH81" s="2595"/>
      <c r="BI81" s="2595"/>
      <c r="BJ81" s="2595"/>
      <c r="BK81" s="2595"/>
      <c r="BL81" s="2595"/>
      <c r="BM81" s="2595"/>
      <c r="BN81" s="2595"/>
    </row>
    <row r="82" spans="1:66" ht="15">
      <c r="A82" s="2757"/>
      <c r="B82" s="8992" t="s">
        <v>116</v>
      </c>
      <c r="C82" s="8993"/>
      <c r="D82" s="2686" t="s">
        <v>4330</v>
      </c>
      <c r="E82" s="1179"/>
      <c r="F82" s="1179"/>
      <c r="G82" s="1179"/>
      <c r="H82" s="1179"/>
      <c r="I82" s="1179"/>
      <c r="J82" s="1179"/>
      <c r="K82" s="1179"/>
      <c r="L82" s="1179"/>
      <c r="M82" s="1179"/>
      <c r="N82" s="1179"/>
      <c r="O82" s="1179"/>
      <c r="P82" s="1179"/>
      <c r="Q82" s="1179"/>
      <c r="R82" s="1179"/>
      <c r="S82" s="1179"/>
      <c r="T82" s="1179"/>
      <c r="U82" s="1179"/>
      <c r="V82" s="1179"/>
      <c r="W82" s="1179"/>
      <c r="X82" s="1179"/>
      <c r="Y82" s="1179"/>
      <c r="Z82" s="1179"/>
      <c r="AA82" s="1179"/>
      <c r="AB82" s="1179"/>
      <c r="AC82" s="1179"/>
      <c r="AD82" s="1179"/>
      <c r="AE82" s="1179"/>
      <c r="AF82" s="1179"/>
      <c r="AG82" s="1179"/>
      <c r="AH82" s="1179"/>
      <c r="AI82" s="1179"/>
      <c r="AJ82" s="1179"/>
      <c r="AK82" s="1179"/>
      <c r="AL82" s="1179"/>
      <c r="AM82" s="8995"/>
      <c r="AN82" s="8995"/>
      <c r="AO82" s="8995"/>
      <c r="AP82" s="2757"/>
      <c r="BD82" s="2595"/>
      <c r="BE82" s="2595"/>
      <c r="BF82" s="2595"/>
      <c r="BG82" s="2595"/>
      <c r="BH82" s="2595"/>
      <c r="BI82" s="2595"/>
      <c r="BJ82" s="2595"/>
      <c r="BK82" s="2595"/>
      <c r="BL82" s="2595"/>
      <c r="BM82" s="2595"/>
      <c r="BN82" s="2595"/>
    </row>
    <row r="83" spans="1:66" ht="14.25">
      <c r="A83" s="2757"/>
      <c r="B83" s="2701"/>
      <c r="C83" s="2701"/>
      <c r="D83" s="2686" t="s">
        <v>4331</v>
      </c>
      <c r="E83" s="1179"/>
      <c r="F83" s="1179"/>
      <c r="G83" s="1179"/>
      <c r="H83" s="1179"/>
      <c r="I83" s="1179"/>
      <c r="J83" s="1179"/>
      <c r="K83" s="1179"/>
      <c r="L83" s="1179"/>
      <c r="M83" s="1179"/>
      <c r="N83" s="1179"/>
      <c r="O83" s="1179"/>
      <c r="P83" s="1179"/>
      <c r="Q83" s="1179"/>
      <c r="R83" s="1179"/>
      <c r="S83" s="1179"/>
      <c r="T83" s="1179"/>
      <c r="U83" s="1179"/>
      <c r="V83" s="1179"/>
      <c r="W83" s="1179"/>
      <c r="X83" s="1179"/>
      <c r="Y83" s="1179"/>
      <c r="Z83" s="1179"/>
      <c r="AA83" s="1179"/>
      <c r="AB83" s="1179"/>
      <c r="AC83" s="1179"/>
      <c r="AD83" s="1179"/>
      <c r="AE83" s="1179"/>
      <c r="AF83" s="1179"/>
      <c r="AG83" s="1179"/>
      <c r="AH83" s="1179"/>
      <c r="AI83" s="1179"/>
      <c r="AJ83" s="1179"/>
      <c r="AK83" s="1179"/>
      <c r="AL83" s="1179"/>
      <c r="AM83" s="1179"/>
      <c r="AN83" s="1179"/>
      <c r="AO83" s="1179"/>
      <c r="AP83" s="2757"/>
      <c r="BD83" s="2595"/>
      <c r="BE83" s="2595"/>
      <c r="BF83" s="2595"/>
      <c r="BG83" s="2595"/>
      <c r="BH83" s="2595"/>
      <c r="BI83" s="2595"/>
      <c r="BJ83" s="2595"/>
      <c r="BK83" s="2595"/>
      <c r="BL83" s="2595"/>
      <c r="BM83" s="2595"/>
      <c r="BN83" s="2595"/>
    </row>
    <row r="84" spans="1:66" ht="15">
      <c r="A84" s="2757"/>
      <c r="B84" s="7929" t="s">
        <v>47</v>
      </c>
      <c r="C84" s="7929"/>
      <c r="D84" s="2686" t="s">
        <v>2079</v>
      </c>
      <c r="E84" s="1179"/>
      <c r="F84" s="1179"/>
      <c r="G84" s="1179"/>
      <c r="H84" s="1179"/>
      <c r="I84" s="1179"/>
      <c r="J84" s="1179"/>
      <c r="K84" s="1179"/>
      <c r="L84" s="1179"/>
      <c r="M84" s="1179"/>
      <c r="N84" s="1179"/>
      <c r="O84" s="1179"/>
      <c r="P84" s="1179"/>
      <c r="Q84" s="1179"/>
      <c r="R84" s="1179"/>
      <c r="S84" s="1179"/>
      <c r="T84" s="1179"/>
      <c r="U84" s="1179"/>
      <c r="V84" s="1179"/>
      <c r="W84" s="1179"/>
      <c r="X84" s="1179"/>
      <c r="Y84" s="1179"/>
      <c r="Z84" s="2700" t="s">
        <v>2080</v>
      </c>
      <c r="AA84" s="2686" t="s">
        <v>2081</v>
      </c>
      <c r="AB84" s="2686"/>
      <c r="AC84" s="1179"/>
      <c r="AD84" s="1179"/>
      <c r="AE84" s="1179"/>
      <c r="AF84" s="1179"/>
      <c r="AG84" s="1179"/>
      <c r="AH84" s="1179"/>
      <c r="AI84" s="8994"/>
      <c r="AJ84" s="8994"/>
      <c r="AK84" s="8994"/>
      <c r="AL84" s="8994"/>
      <c r="AM84" s="8994"/>
      <c r="AN84" s="8994"/>
      <c r="AO84" s="8994"/>
      <c r="AP84" s="2757"/>
      <c r="BD84" s="2595"/>
      <c r="BE84" s="2595"/>
      <c r="BF84" s="2595"/>
      <c r="BG84" s="2595"/>
      <c r="BH84" s="2595"/>
      <c r="BI84" s="2595"/>
      <c r="BJ84" s="2595"/>
      <c r="BK84" s="2595"/>
      <c r="BL84" s="2595"/>
      <c r="BM84" s="2595"/>
      <c r="BN84" s="2595"/>
    </row>
    <row r="85" spans="1:66" ht="15">
      <c r="A85" s="2757"/>
      <c r="B85" s="7929"/>
      <c r="C85" s="7929"/>
      <c r="D85" s="2686"/>
      <c r="E85" s="1179"/>
      <c r="F85" s="1179"/>
      <c r="G85" s="1179"/>
      <c r="H85" s="1179"/>
      <c r="I85" s="1179"/>
      <c r="J85" s="1179"/>
      <c r="K85" s="1179"/>
      <c r="L85" s="1179"/>
      <c r="M85" s="1179"/>
      <c r="N85" s="1179"/>
      <c r="O85" s="1179"/>
      <c r="P85" s="1179"/>
      <c r="Q85" s="1179"/>
      <c r="R85" s="1179"/>
      <c r="S85" s="1179"/>
      <c r="T85" s="1179"/>
      <c r="U85" s="1179"/>
      <c r="V85" s="1179"/>
      <c r="W85" s="1179"/>
      <c r="X85" s="1179"/>
      <c r="Y85" s="1179"/>
      <c r="Z85" s="2700" t="s">
        <v>2082</v>
      </c>
      <c r="AA85" s="2686" t="s">
        <v>2083</v>
      </c>
      <c r="AB85" s="2686"/>
      <c r="AC85" s="1179"/>
      <c r="AD85" s="1179"/>
      <c r="AE85" s="1179"/>
      <c r="AF85" s="1179"/>
      <c r="AG85" s="1179"/>
      <c r="AH85" s="1179"/>
      <c r="AI85" s="8995"/>
      <c r="AJ85" s="8995"/>
      <c r="AK85" s="8995"/>
      <c r="AL85" s="8995"/>
      <c r="AM85" s="8995"/>
      <c r="AN85" s="8995"/>
      <c r="AO85" s="8995"/>
      <c r="AP85" s="2757"/>
      <c r="BD85" s="2595"/>
      <c r="BE85" s="2595"/>
      <c r="BF85" s="2595"/>
      <c r="BG85" s="2595"/>
      <c r="BH85" s="2595"/>
      <c r="BI85" s="2595"/>
      <c r="BJ85" s="2595"/>
      <c r="BK85" s="2595"/>
      <c r="BL85" s="2595"/>
      <c r="BM85" s="2595"/>
      <c r="BN85" s="2595"/>
    </row>
    <row r="86" spans="1:66" ht="15">
      <c r="A86" s="2757"/>
      <c r="B86" s="7929" t="s">
        <v>48</v>
      </c>
      <c r="C86" s="7929"/>
      <c r="D86" s="2686" t="s">
        <v>2084</v>
      </c>
      <c r="E86" s="1179"/>
      <c r="F86" s="1179"/>
      <c r="G86" s="1179"/>
      <c r="H86" s="1179"/>
      <c r="I86" s="1179"/>
      <c r="J86" s="1179"/>
      <c r="K86" s="1179"/>
      <c r="L86" s="1179"/>
      <c r="M86" s="1179"/>
      <c r="N86" s="1179"/>
      <c r="O86" s="1179"/>
      <c r="P86" s="1179"/>
      <c r="Q86" s="1179"/>
      <c r="R86" s="1179"/>
      <c r="S86" s="1179"/>
      <c r="T86" s="1179"/>
      <c r="U86" s="1179"/>
      <c r="V86" s="1179"/>
      <c r="W86" s="1179"/>
      <c r="X86" s="1179"/>
      <c r="Y86" s="1179"/>
      <c r="Z86" s="1179"/>
      <c r="AA86" s="1179"/>
      <c r="AB86" s="1179"/>
      <c r="AC86" s="1179"/>
      <c r="AD86" s="1179"/>
      <c r="AE86" s="1179"/>
      <c r="AF86" s="1179"/>
      <c r="AG86" s="1179"/>
      <c r="AH86" s="1179"/>
      <c r="AI86" s="1179"/>
      <c r="AJ86" s="1179"/>
      <c r="AK86" s="1179"/>
      <c r="AL86" s="1179"/>
      <c r="AM86" s="1179"/>
      <c r="AN86" s="1179"/>
      <c r="AO86" s="1179"/>
      <c r="AP86" s="2757"/>
      <c r="BD86" s="2595"/>
      <c r="BE86" s="2595"/>
      <c r="BF86" s="2595"/>
      <c r="BG86" s="2595"/>
      <c r="BH86" s="2595"/>
      <c r="BI86" s="2595"/>
      <c r="BJ86" s="2595"/>
      <c r="BK86" s="2595"/>
      <c r="BL86" s="2595"/>
      <c r="BM86" s="2595"/>
      <c r="BN86" s="2595"/>
    </row>
    <row r="87" spans="1:66" ht="14.25">
      <c r="A87" s="2757"/>
      <c r="B87" s="2701"/>
      <c r="C87" s="2701"/>
      <c r="D87" s="2686" t="s">
        <v>2085</v>
      </c>
      <c r="E87" s="1179"/>
      <c r="F87" s="1179"/>
      <c r="G87" s="1179"/>
      <c r="H87" s="1179"/>
      <c r="I87" s="1179"/>
      <c r="J87" s="1179"/>
      <c r="K87" s="1179"/>
      <c r="L87" s="1179"/>
      <c r="M87" s="1179"/>
      <c r="N87" s="1179"/>
      <c r="O87" s="1179"/>
      <c r="P87" s="1179"/>
      <c r="Q87" s="1179"/>
      <c r="R87" s="1179"/>
      <c r="S87" s="1179"/>
      <c r="T87" s="1179"/>
      <c r="U87" s="1179"/>
      <c r="V87" s="1179"/>
      <c r="W87" s="1179"/>
      <c r="X87" s="1179"/>
      <c r="Y87" s="1179"/>
      <c r="Z87" s="1179"/>
      <c r="AA87" s="1179"/>
      <c r="AB87" s="1179"/>
      <c r="AC87" s="1179"/>
      <c r="AD87" s="1179"/>
      <c r="AE87" s="1179"/>
      <c r="AF87" s="1179"/>
      <c r="AG87" s="1179"/>
      <c r="AH87" s="1179"/>
      <c r="AI87" s="1179"/>
      <c r="AJ87" s="1179"/>
      <c r="AK87" s="1179"/>
      <c r="AL87" s="1179"/>
      <c r="AM87" s="1179"/>
      <c r="AN87" s="1179"/>
      <c r="AO87" s="1179"/>
      <c r="AP87" s="2757"/>
      <c r="BD87" s="2595"/>
      <c r="BE87" s="2595"/>
      <c r="BF87" s="2595"/>
      <c r="BG87" s="2595"/>
      <c r="BH87" s="2595"/>
      <c r="BI87" s="2595"/>
      <c r="BJ87" s="2595"/>
      <c r="BK87" s="2595"/>
      <c r="BL87" s="2595"/>
      <c r="BM87" s="2595"/>
      <c r="BN87" s="2595"/>
    </row>
    <row r="88" spans="1:66">
      <c r="A88" s="2757"/>
      <c r="B88" s="2701"/>
      <c r="C88" s="2701"/>
      <c r="D88" s="1179" t="s">
        <v>2086</v>
      </c>
      <c r="E88" s="1179"/>
      <c r="F88" s="1179"/>
      <c r="G88" s="1179"/>
      <c r="H88" s="1179"/>
      <c r="I88" s="1179"/>
      <c r="J88" s="1179"/>
      <c r="K88" s="1179"/>
      <c r="L88" s="1179"/>
      <c r="M88" s="1179"/>
      <c r="N88" s="1179"/>
      <c r="O88" s="1179"/>
      <c r="P88" s="1179"/>
      <c r="Q88" s="1179"/>
      <c r="R88" s="1179"/>
      <c r="S88" s="1179"/>
      <c r="T88" s="1179"/>
      <c r="U88" s="1179"/>
      <c r="V88" s="1179"/>
      <c r="W88" s="1179"/>
      <c r="X88" s="1179"/>
      <c r="Y88" s="1179"/>
      <c r="Z88" s="1179"/>
      <c r="AA88" s="1179"/>
      <c r="AB88" s="1179"/>
      <c r="AC88" s="1179"/>
      <c r="AD88" s="1179"/>
      <c r="AE88" s="1179"/>
      <c r="AF88" s="1179"/>
      <c r="AG88" s="1179"/>
      <c r="AH88" s="1179"/>
      <c r="AI88" s="1179"/>
      <c r="AJ88" s="1179"/>
      <c r="AK88" s="1179"/>
      <c r="AL88" s="1179"/>
      <c r="AM88" s="1179"/>
      <c r="AN88" s="1179"/>
      <c r="AO88" s="1179"/>
      <c r="AP88" s="2757"/>
      <c r="BD88" s="2595"/>
      <c r="BE88" s="2595"/>
      <c r="BF88" s="2595"/>
      <c r="BG88" s="2595"/>
      <c r="BH88" s="2595"/>
      <c r="BI88" s="2595"/>
      <c r="BJ88" s="2595"/>
      <c r="BK88" s="2595"/>
      <c r="BL88" s="2595"/>
      <c r="BM88" s="2595"/>
      <c r="BN88" s="2595"/>
    </row>
    <row r="89" spans="1:66" ht="16.5" customHeight="1">
      <c r="A89" s="2757"/>
      <c r="B89" s="2701"/>
      <c r="C89" s="2701"/>
      <c r="D89" s="8996"/>
      <c r="E89" s="8997"/>
      <c r="F89" s="8997"/>
      <c r="G89" s="8997"/>
      <c r="H89" s="8997"/>
      <c r="I89" s="8997"/>
      <c r="J89" s="8997"/>
      <c r="K89" s="8997"/>
      <c r="L89" s="8997"/>
      <c r="M89" s="8997"/>
      <c r="N89" s="8997"/>
      <c r="O89" s="8997"/>
      <c r="P89" s="8997"/>
      <c r="Q89" s="8997"/>
      <c r="R89" s="8997"/>
      <c r="S89" s="8997"/>
      <c r="T89" s="8997"/>
      <c r="U89" s="8997"/>
      <c r="V89" s="8997"/>
      <c r="W89" s="8997"/>
      <c r="X89" s="8997"/>
      <c r="Y89" s="8997"/>
      <c r="Z89" s="8997"/>
      <c r="AA89" s="8997"/>
      <c r="AB89" s="8997"/>
      <c r="AC89" s="8997"/>
      <c r="AD89" s="8997"/>
      <c r="AE89" s="8997"/>
      <c r="AF89" s="8997"/>
      <c r="AG89" s="8997"/>
      <c r="AH89" s="8997"/>
      <c r="AI89" s="8997"/>
      <c r="AJ89" s="8997"/>
      <c r="AK89" s="8997"/>
      <c r="AL89" s="8997"/>
      <c r="AM89" s="8997"/>
      <c r="AN89" s="8997"/>
      <c r="AO89" s="8997"/>
      <c r="AP89" s="2757"/>
      <c r="BD89" s="2595"/>
      <c r="BE89" s="2595"/>
      <c r="BF89" s="2595"/>
      <c r="BG89" s="2595"/>
      <c r="BH89" s="2595"/>
      <c r="BI89" s="2595"/>
      <c r="BJ89" s="2595"/>
      <c r="BK89" s="2595"/>
      <c r="BL89" s="2595"/>
      <c r="BM89" s="2595"/>
      <c r="BN89" s="2595"/>
    </row>
    <row r="90" spans="1:66">
      <c r="A90" s="2757"/>
      <c r="B90" s="2701"/>
      <c r="C90" s="2701"/>
      <c r="D90" s="1179" t="s">
        <v>2087</v>
      </c>
      <c r="E90" s="1179"/>
      <c r="F90" s="1179"/>
      <c r="G90" s="1179"/>
      <c r="H90" s="1179"/>
      <c r="I90" s="1179"/>
      <c r="J90" s="1179"/>
      <c r="K90" s="1179"/>
      <c r="L90" s="1179"/>
      <c r="M90" s="1179"/>
      <c r="N90" s="1179"/>
      <c r="O90" s="1179"/>
      <c r="P90" s="1179"/>
      <c r="Q90" s="1179"/>
      <c r="R90" s="1179"/>
      <c r="S90" s="1179"/>
      <c r="T90" s="1179"/>
      <c r="U90" s="1179"/>
      <c r="V90" s="1179"/>
      <c r="W90" s="1575"/>
      <c r="X90" s="1179" t="s">
        <v>2088</v>
      </c>
      <c r="Y90" s="1179"/>
      <c r="Z90" s="1179"/>
      <c r="AA90" s="1179"/>
      <c r="AB90" s="1179"/>
      <c r="AC90" s="1179"/>
      <c r="AD90" s="1179"/>
      <c r="AE90" s="1179"/>
      <c r="AF90" s="1179"/>
      <c r="AG90" s="1179"/>
      <c r="AH90" s="1179"/>
      <c r="AI90" s="1179"/>
      <c r="AJ90" s="1179"/>
      <c r="AK90" s="1179"/>
      <c r="AL90" s="1179"/>
      <c r="AM90" s="1179"/>
      <c r="AN90" s="1179"/>
      <c r="AO90" s="1179"/>
      <c r="AP90" s="2757"/>
      <c r="BD90" s="2595"/>
      <c r="BE90" s="2595"/>
      <c r="BF90" s="2595"/>
      <c r="BG90" s="2595"/>
      <c r="BH90" s="2595"/>
      <c r="BI90" s="2595"/>
      <c r="BJ90" s="2595"/>
      <c r="BK90" s="2595"/>
      <c r="BL90" s="2595"/>
      <c r="BM90" s="2595"/>
      <c r="BN90" s="2595"/>
    </row>
    <row r="91" spans="1:66" ht="16.5" customHeight="1">
      <c r="A91" s="2757"/>
      <c r="B91" s="2701"/>
      <c r="C91" s="2701"/>
      <c r="D91" s="8996"/>
      <c r="E91" s="8996"/>
      <c r="F91" s="8996"/>
      <c r="G91" s="8996"/>
      <c r="H91" s="8996"/>
      <c r="I91" s="8996"/>
      <c r="J91" s="8996"/>
      <c r="K91" s="8996"/>
      <c r="L91" s="8996"/>
      <c r="M91" s="8996"/>
      <c r="N91" s="8996"/>
      <c r="O91" s="8996"/>
      <c r="P91" s="8996"/>
      <c r="Q91" s="8996"/>
      <c r="R91" s="8996"/>
      <c r="S91" s="8996"/>
      <c r="T91" s="8996"/>
      <c r="U91" s="8996"/>
      <c r="V91" s="8996"/>
      <c r="W91" s="9012"/>
      <c r="X91" s="8996"/>
      <c r="Y91" s="8996"/>
      <c r="Z91" s="8996"/>
      <c r="AA91" s="8996"/>
      <c r="AB91" s="8996"/>
      <c r="AC91" s="8996"/>
      <c r="AD91" s="8996"/>
      <c r="AE91" s="8996"/>
      <c r="AF91" s="8996"/>
      <c r="AG91" s="8996"/>
      <c r="AH91" s="8996"/>
      <c r="AI91" s="8996"/>
      <c r="AJ91" s="8996"/>
      <c r="AK91" s="8996"/>
      <c r="AL91" s="8996"/>
      <c r="AM91" s="8996"/>
      <c r="AN91" s="8996"/>
      <c r="AO91" s="8996"/>
      <c r="AP91" s="2757"/>
      <c r="BD91" s="2595"/>
      <c r="BE91" s="2595"/>
      <c r="BF91" s="2595"/>
      <c r="BG91" s="2595"/>
      <c r="BH91" s="2595"/>
      <c r="BI91" s="2595"/>
      <c r="BJ91" s="2595"/>
      <c r="BK91" s="2595"/>
      <c r="BL91" s="2595"/>
      <c r="BM91" s="2595"/>
      <c r="BN91" s="2595"/>
    </row>
    <row r="92" spans="1:66" ht="15">
      <c r="A92" s="2757"/>
      <c r="B92" s="7929" t="s">
        <v>92</v>
      </c>
      <c r="C92" s="7929"/>
      <c r="D92" s="2686" t="s">
        <v>2089</v>
      </c>
      <c r="E92" s="1179"/>
      <c r="F92" s="1179"/>
      <c r="G92" s="1179"/>
      <c r="H92" s="1179"/>
      <c r="I92" s="1179"/>
      <c r="J92" s="1179"/>
      <c r="K92" s="1179"/>
      <c r="L92" s="1179"/>
      <c r="M92" s="1179"/>
      <c r="N92" s="1179"/>
      <c r="O92" s="1179"/>
      <c r="P92" s="1179"/>
      <c r="Q92" s="1179"/>
      <c r="R92" s="1179"/>
      <c r="S92" s="1179"/>
      <c r="T92" s="1179"/>
      <c r="U92" s="1179"/>
      <c r="V92" s="1179"/>
      <c r="W92" s="1179"/>
      <c r="X92" s="1179"/>
      <c r="Y92" s="1179"/>
      <c r="Z92" s="1179"/>
      <c r="AA92" s="1179"/>
      <c r="AB92" s="1179"/>
      <c r="AC92" s="9011"/>
      <c r="AD92" s="9011"/>
      <c r="AE92" s="9011"/>
      <c r="AF92" s="9011"/>
      <c r="AG92" s="9011"/>
      <c r="AH92" s="9011"/>
      <c r="AI92" s="9011"/>
      <c r="AJ92" s="9011"/>
      <c r="AK92" s="9011"/>
      <c r="AL92" s="9011"/>
      <c r="AM92" s="9011"/>
      <c r="AN92" s="9011"/>
      <c r="AO92" s="9011"/>
      <c r="AP92" s="2757"/>
      <c r="BD92" s="2595"/>
      <c r="BE92" s="2595"/>
      <c r="BF92" s="2595"/>
      <c r="BG92" s="2595"/>
      <c r="BH92" s="2595"/>
      <c r="BI92" s="2595"/>
      <c r="BJ92" s="2595"/>
      <c r="BK92" s="2595"/>
      <c r="BL92" s="2595"/>
      <c r="BM92" s="2595"/>
      <c r="BN92" s="2595"/>
    </row>
    <row r="93" spans="1:66" ht="15">
      <c r="A93" s="2757"/>
      <c r="B93" s="7929" t="s">
        <v>964</v>
      </c>
      <c r="C93" s="7929"/>
      <c r="D93" s="2686" t="s">
        <v>2090</v>
      </c>
      <c r="E93" s="1179"/>
      <c r="F93" s="1179"/>
      <c r="G93" s="1179"/>
      <c r="H93" s="1179"/>
      <c r="I93" s="1179"/>
      <c r="J93" s="1179"/>
      <c r="K93" s="1179"/>
      <c r="L93" s="1179"/>
      <c r="M93" s="1179"/>
      <c r="N93" s="1179"/>
      <c r="O93" s="1179"/>
      <c r="P93" s="1179"/>
      <c r="Q93" s="1179"/>
      <c r="R93" s="1179"/>
      <c r="S93" s="1179"/>
      <c r="T93" s="1179"/>
      <c r="U93" s="1179"/>
      <c r="V93" s="1179"/>
      <c r="W93" s="1179"/>
      <c r="X93" s="1179"/>
      <c r="Y93" s="1179"/>
      <c r="Z93" s="1179"/>
      <c r="AA93" s="1179"/>
      <c r="AB93" s="1179"/>
      <c r="AC93" s="1179"/>
      <c r="AD93" s="1179"/>
      <c r="AE93" s="1179"/>
      <c r="AF93" s="1179"/>
      <c r="AG93" s="1179"/>
      <c r="AH93" s="1179"/>
      <c r="AI93" s="9011"/>
      <c r="AJ93" s="9011"/>
      <c r="AK93" s="9011"/>
      <c r="AL93" s="9011"/>
      <c r="AM93" s="9011"/>
      <c r="AN93" s="9011"/>
      <c r="AO93" s="9011"/>
      <c r="AP93" s="2757"/>
      <c r="BD93" s="2595"/>
      <c r="BE93" s="2595"/>
      <c r="BF93" s="2595"/>
      <c r="BG93" s="2595"/>
      <c r="BH93" s="2595"/>
      <c r="BI93" s="2595"/>
      <c r="BJ93" s="2595"/>
      <c r="BK93" s="2595"/>
      <c r="BL93" s="2595"/>
      <c r="BM93" s="2595"/>
      <c r="BN93" s="2595"/>
    </row>
    <row r="94" spans="1:66" ht="16.5" customHeight="1">
      <c r="A94" s="2757"/>
      <c r="B94" s="2701"/>
      <c r="C94" s="2701"/>
      <c r="D94" s="8996"/>
      <c r="E94" s="8997"/>
      <c r="F94" s="8997"/>
      <c r="G94" s="8997"/>
      <c r="H94" s="8997"/>
      <c r="I94" s="8997"/>
      <c r="J94" s="8997"/>
      <c r="K94" s="8997"/>
      <c r="L94" s="8997"/>
      <c r="M94" s="8997"/>
      <c r="N94" s="8997"/>
      <c r="O94" s="8997"/>
      <c r="P94" s="8997"/>
      <c r="Q94" s="8997"/>
      <c r="R94" s="8997"/>
      <c r="S94" s="8997"/>
      <c r="T94" s="8997"/>
      <c r="U94" s="8997"/>
      <c r="V94" s="8997"/>
      <c r="W94" s="8997"/>
      <c r="X94" s="8997"/>
      <c r="Y94" s="8997"/>
      <c r="Z94" s="8997"/>
      <c r="AA94" s="8997"/>
      <c r="AB94" s="8997"/>
      <c r="AC94" s="8997"/>
      <c r="AD94" s="8997"/>
      <c r="AE94" s="8997"/>
      <c r="AF94" s="8997"/>
      <c r="AG94" s="8997"/>
      <c r="AH94" s="8997"/>
      <c r="AI94" s="8997"/>
      <c r="AJ94" s="8997"/>
      <c r="AK94" s="8997"/>
      <c r="AL94" s="8997"/>
      <c r="AM94" s="8997"/>
      <c r="AN94" s="8997"/>
      <c r="AO94" s="8997"/>
      <c r="AP94" s="2757"/>
      <c r="BD94" s="2595"/>
      <c r="BE94" s="2595"/>
      <c r="BF94" s="2595"/>
      <c r="BG94" s="2595"/>
      <c r="BH94" s="2595"/>
      <c r="BI94" s="2595"/>
      <c r="BJ94" s="2595"/>
      <c r="BK94" s="2595"/>
      <c r="BL94" s="2595"/>
      <c r="BM94" s="2595"/>
      <c r="BN94" s="2595"/>
    </row>
    <row r="95" spans="1:66" ht="15">
      <c r="A95" s="2757"/>
      <c r="B95" s="7929"/>
      <c r="C95" s="7929"/>
      <c r="D95" s="2686"/>
      <c r="E95" s="1179"/>
      <c r="F95" s="1179"/>
      <c r="G95" s="1179"/>
      <c r="H95" s="1179"/>
      <c r="I95" s="1179"/>
      <c r="J95" s="1179"/>
      <c r="K95" s="1179"/>
      <c r="L95" s="1179"/>
      <c r="M95" s="1179"/>
      <c r="N95" s="1179"/>
      <c r="O95" s="1179"/>
      <c r="P95" s="1179"/>
      <c r="Q95" s="1179"/>
      <c r="R95" s="1179"/>
      <c r="S95" s="1179"/>
      <c r="T95" s="1179"/>
      <c r="U95" s="1179"/>
      <c r="V95" s="1179"/>
      <c r="W95" s="1179"/>
      <c r="X95" s="1179"/>
      <c r="Y95" s="1179"/>
      <c r="Z95" s="1179"/>
      <c r="AA95" s="1179"/>
      <c r="AB95" s="1179"/>
      <c r="AC95" s="1179"/>
      <c r="AD95" s="1179"/>
      <c r="AE95" s="1179"/>
      <c r="AF95" s="1179"/>
      <c r="AG95" s="1179"/>
      <c r="AH95" s="1179"/>
      <c r="AI95" s="1179"/>
      <c r="AJ95" s="1179"/>
      <c r="AK95" s="1179"/>
      <c r="AL95" s="9018" t="s">
        <v>271</v>
      </c>
      <c r="AM95" s="9019"/>
      <c r="AN95" s="9018" t="s">
        <v>272</v>
      </c>
      <c r="AO95" s="9021"/>
      <c r="AP95" s="2757"/>
      <c r="BD95" s="2595"/>
      <c r="BE95" s="2595"/>
      <c r="BF95" s="2595"/>
      <c r="BG95" s="2595"/>
      <c r="BH95" s="2595"/>
      <c r="BI95" s="2595"/>
      <c r="BJ95" s="2595"/>
      <c r="BK95" s="2595"/>
      <c r="BL95" s="2595"/>
      <c r="BM95" s="2595"/>
      <c r="BN95" s="2595"/>
    </row>
    <row r="96" spans="1:66" ht="15.75" customHeight="1">
      <c r="A96" s="2757"/>
      <c r="B96" s="7929" t="s">
        <v>369</v>
      </c>
      <c r="C96" s="7929"/>
      <c r="D96" s="1276" t="s">
        <v>4332</v>
      </c>
      <c r="E96" s="1179"/>
      <c r="F96" s="1179"/>
      <c r="G96" s="1179"/>
      <c r="H96" s="1179"/>
      <c r="I96" s="1179"/>
      <c r="J96" s="1179"/>
      <c r="K96" s="1179"/>
      <c r="L96" s="1179"/>
      <c r="M96" s="1179"/>
      <c r="N96" s="1179"/>
      <c r="O96" s="1179"/>
      <c r="P96" s="1179"/>
      <c r="Q96" s="1179"/>
      <c r="R96" s="1179"/>
      <c r="S96" s="1179"/>
      <c r="T96" s="1179"/>
      <c r="U96" s="1179"/>
      <c r="V96" s="1179"/>
      <c r="W96" s="1179"/>
      <c r="X96" s="1179"/>
      <c r="Y96" s="1179"/>
      <c r="Z96" s="1179"/>
      <c r="AA96" s="1179"/>
      <c r="AB96" s="1179"/>
      <c r="AC96" s="1179"/>
      <c r="AD96" s="1179"/>
      <c r="AE96" s="1179"/>
      <c r="AF96" s="1179"/>
      <c r="AG96" s="1179"/>
      <c r="AH96" s="1179"/>
      <c r="AI96" s="1179"/>
      <c r="AJ96" s="1179"/>
      <c r="AK96" s="1813"/>
      <c r="AL96" s="8751"/>
      <c r="AM96" s="8752"/>
      <c r="AN96" s="8751"/>
      <c r="AO96" s="8753"/>
      <c r="AP96" s="2757"/>
      <c r="BD96" s="2595"/>
      <c r="BE96" s="2595"/>
      <c r="BF96" s="2595"/>
      <c r="BG96" s="2595"/>
      <c r="BH96" s="2595"/>
      <c r="BI96" s="2595"/>
      <c r="BJ96" s="2595"/>
      <c r="BK96" s="2595"/>
      <c r="BL96" s="2595"/>
      <c r="BM96" s="2595"/>
      <c r="BN96" s="2595"/>
    </row>
    <row r="97" spans="1:66" ht="15">
      <c r="A97" s="2757"/>
      <c r="B97" s="7929" t="s">
        <v>47</v>
      </c>
      <c r="C97" s="7929"/>
      <c r="D97" s="2686" t="s">
        <v>2091</v>
      </c>
      <c r="E97" s="1179"/>
      <c r="F97" s="1179"/>
      <c r="G97" s="1179"/>
      <c r="H97" s="1179"/>
      <c r="I97" s="1179"/>
      <c r="J97" s="1179"/>
      <c r="K97" s="1179"/>
      <c r="L97" s="1179"/>
      <c r="M97" s="1179"/>
      <c r="N97" s="1179"/>
      <c r="O97" s="1179"/>
      <c r="P97" s="1179"/>
      <c r="Q97" s="1179"/>
      <c r="R97" s="1179"/>
      <c r="S97" s="1179"/>
      <c r="T97" s="1179"/>
      <c r="U97" s="1179"/>
      <c r="V97" s="1179"/>
      <c r="W97" s="1179"/>
      <c r="X97" s="1179"/>
      <c r="Y97" s="1179"/>
      <c r="Z97" s="1179"/>
      <c r="AA97" s="1179"/>
      <c r="AB97" s="1179"/>
      <c r="AC97" s="1179"/>
      <c r="AD97" s="1179"/>
      <c r="AE97" s="1179"/>
      <c r="AF97" s="1179"/>
      <c r="AG97" s="1179"/>
      <c r="AH97" s="1179"/>
      <c r="AI97" s="1179"/>
      <c r="AJ97" s="1179"/>
      <c r="AK97" s="1583"/>
      <c r="AL97" s="1825"/>
      <c r="AM97" s="1826"/>
      <c r="AN97" s="1825"/>
      <c r="AO97" s="2705"/>
      <c r="AP97" s="2757"/>
      <c r="BD97" s="2595"/>
      <c r="BE97" s="2595"/>
      <c r="BF97" s="2595"/>
      <c r="BG97" s="2595"/>
      <c r="BH97" s="2595"/>
      <c r="BI97" s="2595"/>
      <c r="BJ97" s="2595"/>
      <c r="BK97" s="2595"/>
      <c r="BL97" s="2595"/>
      <c r="BM97" s="2595"/>
      <c r="BN97" s="2595"/>
    </row>
    <row r="98" spans="1:66" ht="15">
      <c r="A98" s="2757"/>
      <c r="B98" s="2702"/>
      <c r="C98" s="2702"/>
      <c r="D98" s="1276" t="s">
        <v>2092</v>
      </c>
      <c r="E98" s="1179"/>
      <c r="F98" s="1179"/>
      <c r="G98" s="1179"/>
      <c r="H98" s="1179"/>
      <c r="I98" s="1179"/>
      <c r="J98" s="1179"/>
      <c r="K98" s="1179"/>
      <c r="L98" s="1179"/>
      <c r="M98" s="1179"/>
      <c r="N98" s="1179"/>
      <c r="O98" s="1179"/>
      <c r="P98" s="1179"/>
      <c r="Q98" s="1179"/>
      <c r="R98" s="1179"/>
      <c r="S98" s="1179"/>
      <c r="T98" s="1179"/>
      <c r="U98" s="1179"/>
      <c r="V98" s="1179"/>
      <c r="W98" s="1179"/>
      <c r="X98" s="1179"/>
      <c r="Y98" s="1179"/>
      <c r="Z98" s="1179"/>
      <c r="AA98" s="1179"/>
      <c r="AB98" s="1179"/>
      <c r="AC98" s="1179"/>
      <c r="AD98" s="1179"/>
      <c r="AE98" s="1179"/>
      <c r="AF98" s="1179"/>
      <c r="AG98" s="1179"/>
      <c r="AH98" s="1179"/>
      <c r="AI98" s="1179"/>
      <c r="AJ98" s="1179"/>
      <c r="AK98" s="1179"/>
      <c r="AL98" s="1827"/>
      <c r="AM98" s="1828"/>
      <c r="AN98" s="1827"/>
      <c r="AO98" s="1562"/>
      <c r="AP98" s="2757"/>
      <c r="BD98" s="2595"/>
      <c r="BE98" s="2595"/>
      <c r="BF98" s="2595"/>
      <c r="BG98" s="2595"/>
      <c r="BH98" s="2595"/>
      <c r="BI98" s="2595"/>
      <c r="BJ98" s="2595"/>
      <c r="BK98" s="2595"/>
      <c r="BL98" s="2595"/>
      <c r="BM98" s="2595"/>
      <c r="BN98" s="2595"/>
    </row>
    <row r="99" spans="1:66" ht="15">
      <c r="A99" s="2757"/>
      <c r="B99" s="2702"/>
      <c r="C99" s="2702"/>
      <c r="D99" s="2686" t="s">
        <v>2093</v>
      </c>
      <c r="E99" s="1179"/>
      <c r="F99" s="1179"/>
      <c r="G99" s="1179"/>
      <c r="H99" s="1179"/>
      <c r="I99" s="1179"/>
      <c r="J99" s="1179"/>
      <c r="K99" s="1179"/>
      <c r="L99" s="1179"/>
      <c r="M99" s="1179"/>
      <c r="N99" s="1179"/>
      <c r="O99" s="1179"/>
      <c r="P99" s="1179"/>
      <c r="Q99" s="1179"/>
      <c r="R99" s="1179"/>
      <c r="S99" s="1179"/>
      <c r="T99" s="1179"/>
      <c r="U99" s="1179"/>
      <c r="V99" s="1179"/>
      <c r="W99" s="1179"/>
      <c r="X99" s="1179"/>
      <c r="Y99" s="1179"/>
      <c r="Z99" s="1179"/>
      <c r="AA99" s="1179"/>
      <c r="AB99" s="1179"/>
      <c r="AC99" s="1179"/>
      <c r="AD99" s="1179"/>
      <c r="AE99" s="1179"/>
      <c r="AF99" s="1179"/>
      <c r="AG99" s="1179"/>
      <c r="AH99" s="1179"/>
      <c r="AI99" s="1179"/>
      <c r="AJ99" s="1179"/>
      <c r="AK99" s="1179"/>
      <c r="AL99" s="1827"/>
      <c r="AM99" s="1828"/>
      <c r="AN99" s="1827"/>
      <c r="AO99" s="1562"/>
      <c r="AP99" s="2757"/>
      <c r="BD99" s="2595"/>
      <c r="BE99" s="2595"/>
      <c r="BF99" s="2595"/>
      <c r="BG99" s="2595"/>
      <c r="BH99" s="2595"/>
      <c r="BI99" s="2595"/>
      <c r="BJ99" s="2595"/>
      <c r="BK99" s="2595"/>
      <c r="BL99" s="2595"/>
      <c r="BM99" s="2595"/>
      <c r="BN99" s="2595"/>
    </row>
    <row r="100" spans="1:66" ht="15.75">
      <c r="A100" s="2757"/>
      <c r="B100" s="2702"/>
      <c r="C100" s="2702"/>
      <c r="D100" s="2686" t="s">
        <v>2094</v>
      </c>
      <c r="E100" s="1179"/>
      <c r="F100" s="1179"/>
      <c r="G100" s="1179"/>
      <c r="H100" s="1179"/>
      <c r="I100" s="1179"/>
      <c r="J100" s="1179"/>
      <c r="K100" s="1179"/>
      <c r="L100" s="1179"/>
      <c r="M100" s="1179"/>
      <c r="N100" s="1179"/>
      <c r="O100" s="1179"/>
      <c r="P100" s="1179"/>
      <c r="Q100" s="1179"/>
      <c r="R100" s="1179"/>
      <c r="S100" s="1179"/>
      <c r="T100" s="1179"/>
      <c r="U100" s="1179"/>
      <c r="V100" s="1179"/>
      <c r="W100" s="1179"/>
      <c r="X100" s="1179"/>
      <c r="Y100" s="1179"/>
      <c r="Z100" s="1179"/>
      <c r="AA100" s="1179"/>
      <c r="AB100" s="1179"/>
      <c r="AC100" s="1179"/>
      <c r="AD100" s="1179"/>
      <c r="AE100" s="1179"/>
      <c r="AF100" s="1179"/>
      <c r="AG100" s="1179"/>
      <c r="AH100" s="1179"/>
      <c r="AI100" s="1179"/>
      <c r="AJ100" s="1179"/>
      <c r="AK100" s="2708" t="s">
        <v>570</v>
      </c>
      <c r="AL100" s="8964"/>
      <c r="AM100" s="8965"/>
      <c r="AN100" s="8964"/>
      <c r="AO100" s="8966"/>
      <c r="AP100" s="2757"/>
      <c r="BD100" s="2595"/>
      <c r="BE100" s="2595"/>
      <c r="BF100" s="2595"/>
      <c r="BG100" s="2595"/>
      <c r="BH100" s="2595"/>
      <c r="BI100" s="2595"/>
      <c r="BJ100" s="2595"/>
      <c r="BK100" s="2595"/>
      <c r="BL100" s="2595"/>
      <c r="BM100" s="2595"/>
      <c r="BN100" s="2595"/>
    </row>
    <row r="101" spans="1:66" ht="16.5" thickBot="1">
      <c r="A101" s="2757"/>
      <c r="B101" s="8963" t="s">
        <v>48</v>
      </c>
      <c r="C101" s="8963"/>
      <c r="D101" s="2704" t="s">
        <v>2095</v>
      </c>
      <c r="E101" s="1280"/>
      <c r="F101" s="1280"/>
      <c r="G101" s="1280"/>
      <c r="H101" s="1280"/>
      <c r="I101" s="1280"/>
      <c r="J101" s="1280"/>
      <c r="K101" s="1280"/>
      <c r="L101" s="1280"/>
      <c r="M101" s="1280"/>
      <c r="N101" s="1280"/>
      <c r="O101" s="1280"/>
      <c r="P101" s="1280"/>
      <c r="Q101" s="1280"/>
      <c r="R101" s="1280"/>
      <c r="S101" s="1280"/>
      <c r="T101" s="1280"/>
      <c r="U101" s="1280"/>
      <c r="V101" s="1280"/>
      <c r="W101" s="1280"/>
      <c r="X101" s="1280"/>
      <c r="Y101" s="1280"/>
      <c r="Z101" s="1280"/>
      <c r="AA101" s="1280"/>
      <c r="AB101" s="1280"/>
      <c r="AC101" s="1280"/>
      <c r="AD101" s="1280"/>
      <c r="AE101" s="1280"/>
      <c r="AF101" s="1280"/>
      <c r="AG101" s="1280"/>
      <c r="AH101" s="1280"/>
      <c r="AI101" s="1280"/>
      <c r="AJ101" s="1280"/>
      <c r="AK101" s="2707" t="s">
        <v>276</v>
      </c>
      <c r="AL101" s="8967"/>
      <c r="AM101" s="8968"/>
      <c r="AN101" s="8967"/>
      <c r="AO101" s="9020"/>
      <c r="AP101" s="2757"/>
      <c r="BD101" s="2595"/>
      <c r="BE101" s="2595"/>
      <c r="BF101" s="2595"/>
      <c r="BG101" s="2595"/>
      <c r="BH101" s="2595"/>
      <c r="BI101" s="2595"/>
      <c r="BJ101" s="2595"/>
      <c r="BK101" s="2595"/>
      <c r="BL101" s="2595"/>
      <c r="BM101" s="2595"/>
      <c r="BN101" s="2595"/>
    </row>
    <row r="102" spans="1:66" s="2689" customFormat="1" ht="15.75">
      <c r="A102" s="2758"/>
      <c r="B102" s="8973" t="s">
        <v>319</v>
      </c>
      <c r="C102" s="8973"/>
      <c r="D102" s="8974"/>
      <c r="E102" s="1396"/>
      <c r="F102" s="2699" t="s">
        <v>4316</v>
      </c>
      <c r="G102" s="1396"/>
      <c r="H102" s="1396"/>
      <c r="I102" s="1396"/>
      <c r="J102" s="1396"/>
      <c r="K102" s="1396"/>
      <c r="L102" s="1396"/>
      <c r="M102" s="1396"/>
      <c r="N102" s="1396"/>
      <c r="O102" s="1396"/>
      <c r="P102" s="1396"/>
      <c r="Q102" s="1396"/>
      <c r="R102" s="1396"/>
      <c r="S102" s="1396"/>
      <c r="T102" s="1396"/>
      <c r="U102" s="1396"/>
      <c r="V102" s="1396"/>
      <c r="W102" s="1396"/>
      <c r="X102" s="1396"/>
      <c r="Y102" s="1396"/>
      <c r="Z102" s="1396"/>
      <c r="AA102" s="1396"/>
      <c r="AB102" s="1396"/>
      <c r="AC102" s="1396"/>
      <c r="AD102" s="1396"/>
      <c r="AE102" s="1396"/>
      <c r="AF102" s="1396"/>
      <c r="AG102" s="1396"/>
      <c r="AH102" s="1396"/>
      <c r="AI102" s="1396"/>
      <c r="AJ102" s="1396"/>
      <c r="AK102" s="1396"/>
      <c r="AL102" s="1396"/>
      <c r="AM102" s="1396"/>
      <c r="AN102" s="1396"/>
      <c r="AO102" s="1396"/>
      <c r="AP102" s="2757"/>
      <c r="BD102" s="2595"/>
      <c r="BE102" s="2595"/>
      <c r="BF102" s="2595"/>
      <c r="BG102" s="2595"/>
      <c r="BH102" s="2595"/>
      <c r="BI102" s="2595"/>
      <c r="BJ102" s="2595"/>
      <c r="BK102" s="2595"/>
      <c r="BL102" s="2595"/>
      <c r="BM102" s="2595"/>
      <c r="BN102" s="2595"/>
    </row>
    <row r="103" spans="1:66" ht="15">
      <c r="A103" s="2757"/>
      <c r="B103" s="1553"/>
      <c r="C103" s="1553"/>
      <c r="D103" s="1553"/>
      <c r="E103" s="1553"/>
      <c r="F103" s="4453" t="s">
        <v>4317</v>
      </c>
      <c r="G103" s="1553"/>
      <c r="H103" s="1553"/>
      <c r="I103" s="1553"/>
      <c r="J103" s="1553"/>
      <c r="K103" s="1553"/>
      <c r="L103" s="1553"/>
      <c r="M103" s="1553"/>
      <c r="N103" s="1553"/>
      <c r="O103" s="1553"/>
      <c r="P103" s="1553"/>
      <c r="Q103" s="1553"/>
      <c r="R103" s="1553"/>
      <c r="S103" s="1553"/>
      <c r="T103" s="2779"/>
      <c r="U103" s="1553"/>
      <c r="V103" s="1553"/>
      <c r="W103" s="1553"/>
      <c r="X103" s="1553"/>
      <c r="Y103" s="1553"/>
      <c r="Z103" s="1553"/>
      <c r="AA103" s="1553"/>
      <c r="AB103" s="1553"/>
      <c r="AC103" s="1553"/>
      <c r="AD103" s="1553"/>
      <c r="AE103" s="1553"/>
      <c r="AF103" s="1553"/>
      <c r="AG103" s="1553"/>
      <c r="AH103" s="1553"/>
      <c r="AI103" s="1553"/>
      <c r="AJ103" s="1553"/>
      <c r="AK103" s="1553"/>
      <c r="AL103" s="1553"/>
      <c r="AM103" s="1553"/>
      <c r="AN103" s="1553"/>
      <c r="AO103" s="1553"/>
      <c r="AP103" s="2757"/>
      <c r="BD103" s="2595"/>
      <c r="BE103" s="2595"/>
      <c r="BF103" s="2595"/>
      <c r="BG103" s="2595"/>
      <c r="BH103" s="2595"/>
      <c r="BI103" s="2595"/>
      <c r="BJ103" s="2595"/>
      <c r="BK103" s="2595"/>
      <c r="BL103" s="2595"/>
      <c r="BM103" s="2595"/>
      <c r="BN103" s="2595"/>
    </row>
    <row r="104" spans="1:66" ht="14.25">
      <c r="A104" s="2757"/>
      <c r="B104" s="2686" t="s">
        <v>4318</v>
      </c>
      <c r="C104" s="1179"/>
      <c r="D104" s="1179"/>
      <c r="E104" s="1179"/>
      <c r="F104" s="1179"/>
      <c r="G104" s="1179"/>
      <c r="H104" s="1179"/>
      <c r="I104" s="1179"/>
      <c r="J104" s="1179"/>
      <c r="K104" s="1179"/>
      <c r="L104" s="1179"/>
      <c r="M104" s="1179"/>
      <c r="N104" s="1179"/>
      <c r="O104" s="1179"/>
      <c r="P104" s="1179"/>
      <c r="Q104" s="1179"/>
      <c r="R104" s="1179"/>
      <c r="S104" s="1179"/>
      <c r="T104" s="1285"/>
      <c r="U104" s="1179"/>
      <c r="V104" s="1179"/>
      <c r="W104" s="1179"/>
      <c r="X104" s="1179"/>
      <c r="Y104" s="1179"/>
      <c r="Z104" s="1179"/>
      <c r="AA104" s="1179"/>
      <c r="AB104" s="1179"/>
      <c r="AC104" s="1179"/>
      <c r="AD104" s="1179"/>
      <c r="AE104" s="1179"/>
      <c r="AF104" s="1179"/>
      <c r="AG104" s="1179"/>
      <c r="AH104" s="1179"/>
      <c r="AI104" s="1179"/>
      <c r="AJ104" s="1179"/>
      <c r="AK104" s="1179"/>
      <c r="AL104" s="1179"/>
      <c r="AM104" s="1179"/>
      <c r="AN104" s="1179"/>
      <c r="AO104" s="1179"/>
      <c r="AP104" s="2757"/>
      <c r="BD104" s="2595"/>
      <c r="BE104" s="2595"/>
      <c r="BF104" s="2595"/>
      <c r="BG104" s="2595"/>
      <c r="BH104" s="2595"/>
      <c r="BI104" s="2595"/>
      <c r="BJ104" s="2595"/>
      <c r="BK104" s="2595"/>
      <c r="BL104" s="2595"/>
      <c r="BM104" s="2595"/>
      <c r="BN104" s="2595"/>
    </row>
    <row r="105" spans="1:66" ht="14.25">
      <c r="A105" s="2757"/>
      <c r="B105" s="2686" t="s">
        <v>4319</v>
      </c>
      <c r="C105" s="1179"/>
      <c r="D105" s="1179"/>
      <c r="E105" s="1179"/>
      <c r="F105" s="1179"/>
      <c r="G105" s="1179"/>
      <c r="H105" s="1179"/>
      <c r="I105" s="1179"/>
      <c r="J105" s="1179"/>
      <c r="K105" s="1179"/>
      <c r="L105" s="1179"/>
      <c r="M105" s="1179"/>
      <c r="N105" s="1179"/>
      <c r="O105" s="1179"/>
      <c r="P105" s="1179"/>
      <c r="Q105" s="1179"/>
      <c r="R105" s="1179"/>
      <c r="S105" s="1179"/>
      <c r="T105" s="1285"/>
      <c r="U105" s="1179"/>
      <c r="V105" s="1179"/>
      <c r="W105" s="1179"/>
      <c r="X105" s="1179"/>
      <c r="Y105" s="1179"/>
      <c r="Z105" s="1179"/>
      <c r="AA105" s="1179"/>
      <c r="AB105" s="1179"/>
      <c r="AC105" s="1179"/>
      <c r="AD105" s="1179"/>
      <c r="AE105" s="4081"/>
      <c r="AF105" s="4081"/>
      <c r="AG105" s="4081"/>
      <c r="AH105" s="4081"/>
      <c r="AI105" s="4081"/>
      <c r="AJ105" s="4081"/>
      <c r="AK105" s="4081"/>
      <c r="AL105" s="4081"/>
      <c r="AM105" s="4081"/>
      <c r="AN105" s="4081"/>
      <c r="AO105" s="4081"/>
      <c r="AP105" s="2757"/>
      <c r="BD105" s="2595"/>
      <c r="BE105" s="2595"/>
      <c r="BF105" s="2595"/>
      <c r="BG105" s="2595"/>
      <c r="BH105" s="2595"/>
      <c r="BI105" s="2595"/>
      <c r="BJ105" s="2595"/>
      <c r="BK105" s="2595"/>
      <c r="BL105" s="2595"/>
      <c r="BM105" s="2595"/>
      <c r="BN105" s="2595"/>
    </row>
    <row r="106" spans="1:66" ht="12.75" customHeight="1">
      <c r="A106" s="2757"/>
      <c r="B106" s="1179"/>
      <c r="C106" s="8960"/>
      <c r="D106" s="8960"/>
      <c r="E106" s="8960"/>
      <c r="F106" s="8960"/>
      <c r="G106" s="8960"/>
      <c r="H106" s="8960"/>
      <c r="I106" s="8960"/>
      <c r="J106" s="8960"/>
      <c r="K106" s="8960"/>
      <c r="L106" s="8960"/>
      <c r="M106" s="8960"/>
      <c r="N106" s="8960"/>
      <c r="O106" s="8960"/>
      <c r="P106" s="8960"/>
      <c r="Q106" s="8960"/>
      <c r="R106" s="8960"/>
      <c r="S106" s="8960"/>
      <c r="T106" s="8960"/>
      <c r="U106" s="8960"/>
      <c r="V106" s="8960"/>
      <c r="W106" s="8960"/>
      <c r="X106" s="8960"/>
      <c r="Y106" s="8960"/>
      <c r="Z106" s="8960"/>
      <c r="AA106" s="8960"/>
      <c r="AB106" s="8960"/>
      <c r="AC106" s="8960"/>
      <c r="AD106" s="8960"/>
      <c r="AE106" s="8960"/>
      <c r="AF106" s="8960"/>
      <c r="AG106" s="8960"/>
      <c r="AH106" s="8960"/>
      <c r="AI106" s="8960"/>
      <c r="AJ106" s="8960"/>
      <c r="AK106" s="8960"/>
      <c r="AL106" s="8960"/>
      <c r="AM106" s="8960"/>
      <c r="AN106" s="8960"/>
      <c r="AO106" s="8960"/>
      <c r="AP106" s="2757"/>
      <c r="BD106" s="2595"/>
      <c r="BE106" s="2595"/>
      <c r="BF106" s="2595"/>
      <c r="BG106" s="2595"/>
      <c r="BH106" s="2595"/>
      <c r="BI106" s="2595"/>
      <c r="BJ106" s="2595"/>
      <c r="BK106" s="2595"/>
      <c r="BL106" s="2595"/>
      <c r="BM106" s="2595"/>
      <c r="BN106" s="2595"/>
    </row>
    <row r="107" spans="1:66" ht="24.75" customHeight="1">
      <c r="A107" s="2757"/>
      <c r="B107" s="8962" t="s">
        <v>2150</v>
      </c>
      <c r="C107" s="8962"/>
      <c r="D107" s="8962"/>
      <c r="E107" s="8962"/>
      <c r="F107" s="8962"/>
      <c r="G107" s="6591"/>
      <c r="H107" s="6591"/>
      <c r="I107" s="6591"/>
      <c r="J107" s="6591"/>
      <c r="K107" s="6591"/>
      <c r="L107" s="6591"/>
      <c r="M107" s="6591"/>
      <c r="N107" s="6591"/>
      <c r="O107" s="6591"/>
      <c r="P107" s="6591"/>
      <c r="Q107" s="6591"/>
      <c r="R107" s="6591"/>
      <c r="S107" s="6591"/>
      <c r="T107" s="6591"/>
      <c r="U107" s="6591"/>
      <c r="V107" s="6591"/>
      <c r="W107" s="6591"/>
      <c r="X107" s="6591"/>
      <c r="Y107" s="6591"/>
      <c r="Z107" s="6591"/>
      <c r="AA107" s="6591"/>
      <c r="AB107" s="6591"/>
      <c r="AC107" s="6591"/>
      <c r="AD107" s="6591"/>
      <c r="AE107" s="6591"/>
      <c r="AF107" s="6591"/>
      <c r="AG107" s="1925" t="s">
        <v>111</v>
      </c>
      <c r="AH107" s="1560"/>
      <c r="AI107" s="8961"/>
      <c r="AJ107" s="8961"/>
      <c r="AK107" s="8961"/>
      <c r="AL107" s="8961"/>
      <c r="AM107" s="8961"/>
      <c r="AN107" s="8961"/>
      <c r="AO107" s="8961"/>
      <c r="AP107" s="2757"/>
      <c r="BD107" s="2595"/>
      <c r="BE107" s="2595"/>
      <c r="BF107" s="2595"/>
      <c r="BG107" s="2595"/>
      <c r="BH107" s="2595"/>
      <c r="BI107" s="2595"/>
      <c r="BJ107" s="2595"/>
      <c r="BK107" s="2595"/>
      <c r="BL107" s="2595"/>
      <c r="BM107" s="2595"/>
      <c r="BN107" s="2595"/>
    </row>
    <row r="108" spans="1:66" s="2689" customFormat="1" ht="16.5" customHeight="1">
      <c r="A108" s="2758"/>
      <c r="B108" s="7794" t="s">
        <v>470</v>
      </c>
      <c r="C108" s="7794"/>
      <c r="D108" s="7795"/>
      <c r="E108" s="2690"/>
      <c r="F108" s="2778" t="s">
        <v>4320</v>
      </c>
      <c r="G108" s="2690"/>
      <c r="H108" s="2690"/>
      <c r="I108" s="2690"/>
      <c r="J108" s="2690"/>
      <c r="K108" s="2690"/>
      <c r="L108" s="2690"/>
      <c r="M108" s="2690"/>
      <c r="N108" s="2690"/>
      <c r="O108" s="2690"/>
      <c r="P108" s="2690"/>
      <c r="Q108" s="2690"/>
      <c r="R108" s="2690"/>
      <c r="S108" s="2690"/>
      <c r="T108" s="2690"/>
      <c r="U108" s="2690"/>
      <c r="V108" s="2690"/>
      <c r="W108" s="2690"/>
      <c r="X108" s="2690"/>
      <c r="Y108" s="2690"/>
      <c r="Z108" s="2690"/>
      <c r="AA108" s="2690"/>
      <c r="AB108" s="2690"/>
      <c r="AC108" s="2690"/>
      <c r="AD108" s="2690"/>
      <c r="AE108" s="2690"/>
      <c r="AF108" s="2690"/>
      <c r="AG108" s="2690"/>
      <c r="AH108" s="2690"/>
      <c r="AI108" s="2690"/>
      <c r="AJ108" s="2690"/>
      <c r="AK108" s="2690"/>
      <c r="AL108" s="2690"/>
      <c r="AM108" s="2690"/>
      <c r="AN108" s="2690"/>
      <c r="AO108" s="2690"/>
      <c r="AP108" s="2757"/>
      <c r="BD108" s="2595"/>
      <c r="BE108" s="2595"/>
      <c r="BF108" s="2595"/>
      <c r="BG108" s="2595"/>
      <c r="BH108" s="2595"/>
      <c r="BI108" s="2595"/>
      <c r="BJ108" s="2595"/>
      <c r="BK108" s="2595"/>
      <c r="BL108" s="2595"/>
      <c r="BM108" s="2595"/>
      <c r="BN108" s="2595"/>
    </row>
    <row r="109" spans="1:66" s="872" customFormat="1" ht="35.25" customHeight="1">
      <c r="A109" s="2780"/>
      <c r="B109" s="8969" t="s">
        <v>2151</v>
      </c>
      <c r="C109" s="8970"/>
      <c r="D109" s="8970"/>
      <c r="E109" s="8970"/>
      <c r="F109" s="8970"/>
      <c r="G109" s="8970"/>
      <c r="H109" s="8970"/>
      <c r="I109" s="8970"/>
      <c r="J109" s="8970"/>
      <c r="K109" s="8970"/>
      <c r="L109" s="8970"/>
      <c r="M109" s="8970"/>
      <c r="N109" s="8970"/>
      <c r="O109" s="8970"/>
      <c r="P109" s="8970"/>
      <c r="Q109" s="8970"/>
      <c r="R109" s="8970"/>
      <c r="S109" s="8970"/>
      <c r="T109" s="8970"/>
      <c r="U109" s="8970"/>
      <c r="V109" s="8970"/>
      <c r="W109" s="8970"/>
      <c r="X109" s="8970"/>
      <c r="Y109" s="8970"/>
      <c r="Z109" s="8970"/>
      <c r="AA109" s="8970"/>
      <c r="AB109" s="8970"/>
      <c r="AC109" s="8970"/>
      <c r="AD109" s="8970"/>
      <c r="AE109" s="8970"/>
      <c r="AF109" s="8970"/>
      <c r="AG109" s="8970"/>
      <c r="AH109" s="8970"/>
      <c r="AI109" s="8970"/>
      <c r="AJ109" s="8970"/>
      <c r="AK109" s="8970"/>
      <c r="AL109" s="8970"/>
      <c r="AM109" s="8970"/>
      <c r="AN109" s="8970"/>
      <c r="AO109" s="8970"/>
      <c r="AP109" s="2780"/>
      <c r="BD109" s="2781"/>
      <c r="BE109" s="2781"/>
      <c r="BF109" s="2781"/>
      <c r="BG109" s="2781"/>
      <c r="BH109" s="2781"/>
      <c r="BI109" s="2781"/>
      <c r="BJ109" s="2781"/>
      <c r="BK109" s="2781"/>
      <c r="BL109" s="2781"/>
      <c r="BM109" s="2781"/>
      <c r="BN109" s="2781"/>
    </row>
    <row r="110" spans="1:66" ht="78" customHeight="1">
      <c r="A110" s="2757"/>
      <c r="B110" s="8969" t="s">
        <v>3568</v>
      </c>
      <c r="C110" s="8970"/>
      <c r="D110" s="8970"/>
      <c r="E110" s="8970"/>
      <c r="F110" s="8970"/>
      <c r="G110" s="8970"/>
      <c r="H110" s="8970"/>
      <c r="I110" s="8970"/>
      <c r="J110" s="8970"/>
      <c r="K110" s="8970"/>
      <c r="L110" s="8970"/>
      <c r="M110" s="8970"/>
      <c r="N110" s="8970"/>
      <c r="O110" s="8970"/>
      <c r="P110" s="8970"/>
      <c r="Q110" s="8970"/>
      <c r="R110" s="8970"/>
      <c r="S110" s="8970"/>
      <c r="T110" s="8970"/>
      <c r="U110" s="8970"/>
      <c r="V110" s="8970"/>
      <c r="W110" s="8970"/>
      <c r="X110" s="8970"/>
      <c r="Y110" s="8970"/>
      <c r="Z110" s="8970"/>
      <c r="AA110" s="8970"/>
      <c r="AB110" s="8970"/>
      <c r="AC110" s="8970"/>
      <c r="AD110" s="8970"/>
      <c r="AE110" s="8970"/>
      <c r="AF110" s="8970"/>
      <c r="AG110" s="8970"/>
      <c r="AH110" s="8970"/>
      <c r="AI110" s="8970"/>
      <c r="AJ110" s="8970"/>
      <c r="AK110" s="8970"/>
      <c r="AL110" s="8970"/>
      <c r="AM110" s="8970"/>
      <c r="AN110" s="8970"/>
      <c r="AO110" s="8970"/>
      <c r="AP110" s="2757"/>
      <c r="BD110" s="2595"/>
      <c r="BE110" s="2595"/>
      <c r="BF110" s="2595"/>
      <c r="BG110" s="2595"/>
      <c r="BH110" s="2595"/>
      <c r="BI110" s="2595"/>
      <c r="BJ110" s="2595"/>
      <c r="BK110" s="2595"/>
      <c r="BL110" s="2595"/>
      <c r="BM110" s="2595"/>
      <c r="BN110" s="2595"/>
    </row>
    <row r="111" spans="1:66" ht="13.5" customHeight="1">
      <c r="A111" s="2757"/>
      <c r="B111" s="9013" t="s">
        <v>2152</v>
      </c>
      <c r="C111" s="9014"/>
      <c r="D111" s="1582"/>
      <c r="E111" s="1179"/>
      <c r="F111" s="1179"/>
      <c r="G111" s="1179"/>
      <c r="H111" s="1179"/>
      <c r="I111" s="1179"/>
      <c r="J111" s="1179"/>
      <c r="K111" s="1179"/>
      <c r="L111" s="1179"/>
      <c r="M111" s="1179"/>
      <c r="N111" s="1179"/>
      <c r="O111" s="1179"/>
      <c r="P111" s="1179"/>
      <c r="Q111" s="1179"/>
      <c r="R111" s="1179"/>
      <c r="S111" s="1179"/>
      <c r="T111" s="1285"/>
      <c r="U111" s="1285"/>
      <c r="V111" s="1285"/>
      <c r="W111" s="1285"/>
      <c r="X111" s="1285"/>
      <c r="Y111" s="1285"/>
      <c r="Z111" s="1285"/>
      <c r="AA111" s="1285"/>
      <c r="AB111" s="1285"/>
      <c r="AC111" s="1285"/>
      <c r="AD111" s="1285"/>
      <c r="AE111" s="1285"/>
      <c r="AF111" s="1285"/>
      <c r="AG111" s="1179"/>
      <c r="AH111" s="1179"/>
      <c r="AI111" s="1179"/>
      <c r="AJ111" s="1179"/>
      <c r="AK111" s="1179"/>
      <c r="AL111" s="1179"/>
      <c r="AM111" s="1179"/>
      <c r="AN111" s="1179"/>
      <c r="AO111" s="1179"/>
      <c r="AP111" s="2757"/>
      <c r="BD111" s="2595"/>
      <c r="BE111" s="2595"/>
      <c r="BF111" s="2595"/>
      <c r="BG111" s="2595"/>
      <c r="BH111" s="2595"/>
      <c r="BI111" s="2595"/>
      <c r="BJ111" s="2595"/>
      <c r="BK111" s="2595"/>
      <c r="BL111" s="2595"/>
      <c r="BM111" s="2595"/>
      <c r="BN111" s="2595"/>
    </row>
    <row r="112" spans="1:66" ht="13.5" customHeight="1">
      <c r="A112" s="2757"/>
      <c r="B112" s="9013"/>
      <c r="C112" s="9014"/>
      <c r="D112" s="1586" t="s">
        <v>2153</v>
      </c>
      <c r="E112" s="1553"/>
      <c r="F112" s="1553"/>
      <c r="G112" s="9017"/>
      <c r="H112" s="9017"/>
      <c r="I112" s="9017"/>
      <c r="J112" s="9017"/>
      <c r="K112" s="9017"/>
      <c r="L112" s="9017"/>
      <c r="M112" s="9017"/>
      <c r="N112" s="9017"/>
      <c r="O112" s="9017"/>
      <c r="P112" s="9017"/>
      <c r="Q112" s="9017"/>
      <c r="R112" s="9017"/>
      <c r="S112" s="9017"/>
      <c r="T112" s="9017"/>
      <c r="U112" s="9017"/>
      <c r="V112" s="9017"/>
      <c r="W112" s="9017"/>
      <c r="X112" s="9017"/>
      <c r="Y112" s="9017"/>
      <c r="Z112" s="9017"/>
      <c r="AA112" s="9017"/>
      <c r="AB112" s="9017"/>
      <c r="AC112" s="9017"/>
      <c r="AD112" s="9017"/>
      <c r="AE112" s="9017"/>
      <c r="AF112" s="9017"/>
      <c r="AG112" s="1553"/>
      <c r="AH112" s="2670" t="s">
        <v>111</v>
      </c>
      <c r="AI112" s="1179"/>
      <c r="AJ112" s="8971"/>
      <c r="AK112" s="8972"/>
      <c r="AL112" s="8972"/>
      <c r="AM112" s="8972"/>
      <c r="AN112" s="8972"/>
      <c r="AO112" s="8972"/>
      <c r="AP112" s="2757"/>
      <c r="BD112" s="2595"/>
      <c r="BE112" s="2595"/>
      <c r="BF112" s="2595"/>
      <c r="BG112" s="2595"/>
      <c r="BH112" s="2595"/>
      <c r="BI112" s="2595"/>
      <c r="BJ112" s="2595"/>
      <c r="BK112" s="2595"/>
      <c r="BL112" s="2595"/>
      <c r="BM112" s="2595"/>
      <c r="BN112" s="2595"/>
    </row>
    <row r="113" spans="1:66">
      <c r="A113" s="2757"/>
      <c r="B113" s="9015"/>
      <c r="C113" s="9016"/>
      <c r="D113" s="5714" t="s">
        <v>5442</v>
      </c>
      <c r="E113" s="1554"/>
      <c r="F113" s="1554"/>
      <c r="G113" s="1554"/>
      <c r="H113" s="1554"/>
      <c r="I113" s="1554"/>
      <c r="J113" s="1554"/>
      <c r="K113" s="1554"/>
      <c r="L113" s="1554"/>
      <c r="M113" s="1554"/>
      <c r="N113" s="1554"/>
      <c r="O113" s="1554"/>
      <c r="P113" s="1554"/>
      <c r="Q113" s="1554"/>
      <c r="R113" s="1554"/>
      <c r="S113" s="3122"/>
      <c r="T113" s="5715"/>
      <c r="U113" s="4077" t="s">
        <v>2154</v>
      </c>
      <c r="V113" s="1554"/>
      <c r="W113" s="1554"/>
      <c r="X113" s="1554"/>
      <c r="Y113" s="1554"/>
      <c r="Z113" s="1554"/>
      <c r="AA113" s="1554"/>
      <c r="AB113" s="1554"/>
      <c r="AC113" s="1554"/>
      <c r="AD113" s="1554"/>
      <c r="AE113" s="1554"/>
      <c r="AF113" s="1554"/>
      <c r="AG113" s="1554"/>
      <c r="AH113" s="1554"/>
      <c r="AI113" s="1554"/>
      <c r="AJ113" s="1554"/>
      <c r="AK113" s="1554"/>
      <c r="AL113" s="1574"/>
      <c r="AM113" s="1574"/>
      <c r="AN113" s="1574"/>
      <c r="AO113" s="1574"/>
      <c r="AP113" s="2757"/>
      <c r="BD113" s="2595"/>
      <c r="BE113" s="2595"/>
      <c r="BF113" s="2595"/>
      <c r="BG113" s="2595"/>
      <c r="BH113" s="2595"/>
      <c r="BI113" s="2595"/>
      <c r="BJ113" s="2595"/>
      <c r="BK113" s="2595"/>
      <c r="BL113" s="2595"/>
      <c r="BM113" s="2595"/>
      <c r="BN113" s="2595"/>
    </row>
    <row r="114" spans="1:66">
      <c r="A114" s="2757"/>
      <c r="B114" s="1276" t="s">
        <v>2155</v>
      </c>
      <c r="C114" s="1179"/>
      <c r="D114" s="1179"/>
      <c r="E114" s="1179"/>
      <c r="F114" s="1179"/>
      <c r="G114" s="1179"/>
      <c r="H114" s="1179"/>
      <c r="I114" s="1179"/>
      <c r="J114" s="1179"/>
      <c r="K114" s="1179"/>
      <c r="L114" s="1179"/>
      <c r="M114" s="1179"/>
      <c r="N114" s="1179"/>
      <c r="O114" s="1179"/>
      <c r="P114" s="1179"/>
      <c r="Q114" s="1179"/>
      <c r="R114" s="1179"/>
      <c r="S114" s="1179"/>
      <c r="T114" s="1179"/>
      <c r="U114" s="1179"/>
      <c r="V114" s="1179"/>
      <c r="W114" s="1179"/>
      <c r="X114" s="1179"/>
      <c r="Y114" s="1179"/>
      <c r="Z114" s="1179"/>
      <c r="AA114" s="1179"/>
      <c r="AB114" s="1179"/>
      <c r="AC114" s="1179"/>
      <c r="AD114" s="1179"/>
      <c r="AE114" s="1179"/>
      <c r="AF114" s="1179"/>
      <c r="AG114" s="1179"/>
      <c r="AH114" s="1179"/>
      <c r="AI114" s="4778" t="s">
        <v>1744</v>
      </c>
      <c r="AJ114" s="1574"/>
      <c r="AK114" s="1574"/>
      <c r="AL114" s="1574"/>
      <c r="AM114" s="1574"/>
      <c r="AN114" s="1574"/>
      <c r="AO114" s="1574"/>
      <c r="AP114" s="2757"/>
      <c r="BD114" s="2595"/>
      <c r="BE114" s="2595"/>
      <c r="BF114" s="2595"/>
      <c r="BG114" s="2595"/>
      <c r="BH114" s="2595"/>
      <c r="BI114" s="2595"/>
      <c r="BJ114" s="2595"/>
      <c r="BK114" s="2595"/>
      <c r="BL114" s="2595"/>
      <c r="BM114" s="2595"/>
      <c r="BN114" s="2595"/>
    </row>
    <row r="115" spans="1:66" ht="16.5" customHeight="1">
      <c r="A115" s="2757"/>
      <c r="B115" s="8958"/>
      <c r="C115" s="6204"/>
      <c r="D115" s="6204"/>
      <c r="E115" s="6204"/>
      <c r="F115" s="6204"/>
      <c r="G115" s="6204"/>
      <c r="H115" s="6204"/>
      <c r="I115" s="6204"/>
      <c r="J115" s="6204"/>
      <c r="K115" s="6204"/>
      <c r="L115" s="6204"/>
      <c r="M115" s="6204"/>
      <c r="N115" s="6204"/>
      <c r="O115" s="6204"/>
      <c r="P115" s="6204"/>
      <c r="Q115" s="6204"/>
      <c r="R115" s="6204"/>
      <c r="S115" s="6204"/>
      <c r="T115" s="6204"/>
      <c r="U115" s="6204"/>
      <c r="V115" s="6204"/>
      <c r="W115" s="6204"/>
      <c r="X115" s="6204"/>
      <c r="Y115" s="6204"/>
      <c r="Z115" s="6204"/>
      <c r="AA115" s="6204"/>
      <c r="AB115" s="6204"/>
      <c r="AC115" s="6204"/>
      <c r="AD115" s="6204"/>
      <c r="AE115" s="6204"/>
      <c r="AF115" s="6204"/>
      <c r="AG115" s="6204"/>
      <c r="AH115" s="8959"/>
      <c r="AI115" s="8956"/>
      <c r="AJ115" s="8957"/>
      <c r="AK115" s="8957"/>
      <c r="AL115" s="8957"/>
      <c r="AM115" s="8957"/>
      <c r="AN115" s="8957"/>
      <c r="AO115" s="8957"/>
      <c r="AP115" s="2757"/>
      <c r="BD115" s="2595"/>
      <c r="BE115" s="2595"/>
      <c r="BF115" s="2595"/>
      <c r="BG115" s="2595"/>
      <c r="BH115" s="2595"/>
      <c r="BI115" s="2595"/>
      <c r="BJ115" s="2595"/>
      <c r="BK115" s="2595"/>
      <c r="BL115" s="2595"/>
      <c r="BM115" s="2595"/>
      <c r="BN115" s="2595"/>
    </row>
    <row r="116" spans="1:66">
      <c r="A116" s="2757"/>
      <c r="B116" s="1276" t="s">
        <v>2088</v>
      </c>
      <c r="C116" s="1179"/>
      <c r="D116" s="1179"/>
      <c r="E116" s="1179"/>
      <c r="F116" s="1179"/>
      <c r="G116" s="1179"/>
      <c r="H116" s="1179"/>
      <c r="I116" s="1179"/>
      <c r="J116" s="1179"/>
      <c r="K116" s="1179"/>
      <c r="L116" s="1179"/>
      <c r="M116" s="1179"/>
      <c r="N116" s="1179"/>
      <c r="O116" s="1179"/>
      <c r="P116" s="1179"/>
      <c r="Q116" s="1179"/>
      <c r="R116" s="1179"/>
      <c r="S116" s="1179"/>
      <c r="T116" s="1179"/>
      <c r="U116" s="1179"/>
      <c r="V116" s="1179"/>
      <c r="W116" s="1179"/>
      <c r="X116" s="1179"/>
      <c r="Y116" s="1179"/>
      <c r="Z116" s="1179"/>
      <c r="AA116" s="1179"/>
      <c r="AB116" s="1179"/>
      <c r="AC116" s="1179"/>
      <c r="AD116" s="1179"/>
      <c r="AE116" s="1179"/>
      <c r="AF116" s="1179"/>
      <c r="AG116" s="1179"/>
      <c r="AH116" s="1179"/>
      <c r="AI116" s="1179"/>
      <c r="AJ116" s="1179"/>
      <c r="AK116" s="1179"/>
      <c r="AL116" s="1179"/>
      <c r="AM116" s="1179"/>
      <c r="AN116" s="1179"/>
      <c r="AO116" s="1179"/>
      <c r="AP116" s="2757"/>
      <c r="BD116" s="2595"/>
      <c r="BE116" s="2595"/>
      <c r="BF116" s="2595"/>
      <c r="BG116" s="2595"/>
      <c r="BH116" s="2595"/>
      <c r="BI116" s="2595"/>
      <c r="BJ116" s="2595"/>
      <c r="BK116" s="2595"/>
      <c r="BL116" s="2595"/>
      <c r="BM116" s="2595"/>
      <c r="BN116" s="2595"/>
    </row>
    <row r="117" spans="1:66" ht="15" customHeight="1">
      <c r="A117" s="2757"/>
      <c r="B117" s="8975"/>
      <c r="C117" s="8976"/>
      <c r="D117" s="8976"/>
      <c r="E117" s="8976"/>
      <c r="F117" s="8976"/>
      <c r="G117" s="8976"/>
      <c r="H117" s="8976"/>
      <c r="I117" s="8976"/>
      <c r="J117" s="8976"/>
      <c r="K117" s="8976"/>
      <c r="L117" s="8976"/>
      <c r="M117" s="8976"/>
      <c r="N117" s="8976"/>
      <c r="O117" s="8976"/>
      <c r="P117" s="8976"/>
      <c r="Q117" s="8976"/>
      <c r="R117" s="8976"/>
      <c r="S117" s="8976"/>
      <c r="T117" s="8976"/>
      <c r="U117" s="8976"/>
      <c r="V117" s="8976"/>
      <c r="W117" s="8976"/>
      <c r="X117" s="8976"/>
      <c r="Y117" s="8976"/>
      <c r="Z117" s="8976"/>
      <c r="AA117" s="8976"/>
      <c r="AB117" s="8976"/>
      <c r="AC117" s="8976"/>
      <c r="AD117" s="8976"/>
      <c r="AE117" s="8976"/>
      <c r="AF117" s="8976"/>
      <c r="AG117" s="8976"/>
      <c r="AH117" s="8976"/>
      <c r="AI117" s="8976"/>
      <c r="AJ117" s="8976"/>
      <c r="AK117" s="8976"/>
      <c r="AL117" s="8976"/>
      <c r="AM117" s="8976"/>
      <c r="AN117" s="8976"/>
      <c r="AO117" s="8976"/>
      <c r="AP117" s="2757"/>
      <c r="BD117" s="2595"/>
      <c r="BE117" s="2595"/>
      <c r="BF117" s="2595"/>
      <c r="BG117" s="2595"/>
      <c r="BH117" s="2595"/>
      <c r="BI117" s="2595"/>
      <c r="BJ117" s="2595"/>
      <c r="BK117" s="2595"/>
      <c r="BL117" s="2595"/>
      <c r="BM117" s="2595"/>
      <c r="BN117" s="2595"/>
    </row>
    <row r="118" spans="1:66" s="2689" customFormat="1" ht="16.5" customHeight="1">
      <c r="A118" s="2758"/>
      <c r="B118" s="7794" t="s">
        <v>123</v>
      </c>
      <c r="C118" s="7794"/>
      <c r="D118" s="7795"/>
      <c r="E118" s="2690"/>
      <c r="F118" s="2778" t="s">
        <v>4321</v>
      </c>
      <c r="G118" s="2690"/>
      <c r="H118" s="2690"/>
      <c r="I118" s="2690"/>
      <c r="J118" s="2690"/>
      <c r="K118" s="2690"/>
      <c r="L118" s="2690"/>
      <c r="M118" s="2690"/>
      <c r="N118" s="2690"/>
      <c r="O118" s="2690"/>
      <c r="P118" s="2690"/>
      <c r="Q118" s="2690"/>
      <c r="R118" s="2690"/>
      <c r="S118" s="2690"/>
      <c r="T118" s="2690"/>
      <c r="U118" s="2690"/>
      <c r="V118" s="2690"/>
      <c r="W118" s="2690"/>
      <c r="X118" s="2690"/>
      <c r="Y118" s="2690"/>
      <c r="Z118" s="2690"/>
      <c r="AA118" s="2690"/>
      <c r="AB118" s="2690"/>
      <c r="AC118" s="2690"/>
      <c r="AD118" s="2690"/>
      <c r="AE118" s="2690"/>
      <c r="AF118" s="2690"/>
      <c r="AG118" s="2690"/>
      <c r="AH118" s="2690"/>
      <c r="AI118" s="2690"/>
      <c r="AJ118" s="2690"/>
      <c r="AK118" s="2690"/>
      <c r="AL118" s="2690"/>
      <c r="AM118" s="2690"/>
      <c r="AN118" s="2690"/>
      <c r="AO118" s="2690"/>
      <c r="AP118" s="2757"/>
      <c r="BD118" s="2595"/>
      <c r="BE118" s="2595"/>
      <c r="BF118" s="2595"/>
      <c r="BG118" s="2595"/>
      <c r="BH118" s="2595"/>
      <c r="BI118" s="2595"/>
      <c r="BJ118" s="2595"/>
      <c r="BK118" s="2595"/>
      <c r="BL118" s="2595"/>
      <c r="BM118" s="2595"/>
      <c r="BN118" s="2595"/>
    </row>
    <row r="119" spans="1:66">
      <c r="A119" s="2757"/>
      <c r="B119" s="1276" t="s">
        <v>2156</v>
      </c>
      <c r="C119" s="1179"/>
      <c r="D119" s="1179"/>
      <c r="E119" s="1179"/>
      <c r="F119" s="1179"/>
      <c r="G119" s="1179"/>
      <c r="H119" s="1179"/>
      <c r="I119" s="1179"/>
      <c r="J119" s="1179"/>
      <c r="K119" s="1179"/>
      <c r="L119" s="1179"/>
      <c r="M119" s="1179"/>
      <c r="N119" s="1179"/>
      <c r="O119" s="1179"/>
      <c r="P119" s="1179"/>
      <c r="Q119" s="1179"/>
      <c r="R119" s="1179"/>
      <c r="S119" s="1179"/>
      <c r="T119" s="1285"/>
      <c r="U119" s="1179"/>
      <c r="V119" s="1179"/>
      <c r="W119" s="1179"/>
      <c r="X119" s="1179"/>
      <c r="Y119" s="1179"/>
      <c r="Z119" s="1179"/>
      <c r="AA119" s="1179"/>
      <c r="AB119" s="1179"/>
      <c r="AC119" s="1179"/>
      <c r="AD119" s="1179"/>
      <c r="AE119" s="1179"/>
      <c r="AF119" s="1179"/>
      <c r="AG119" s="1179"/>
      <c r="AH119" s="1179"/>
      <c r="AI119" s="1179"/>
      <c r="AJ119" s="1179"/>
      <c r="AK119" s="1179"/>
      <c r="AL119" s="1179"/>
      <c r="AM119" s="1179"/>
      <c r="AN119" s="1179"/>
      <c r="AO119" s="1179"/>
      <c r="AP119" s="2757"/>
      <c r="BD119" s="2595"/>
      <c r="BE119" s="2595"/>
      <c r="BF119" s="2595"/>
      <c r="BG119" s="2595"/>
      <c r="BH119" s="2595"/>
      <c r="BI119" s="2595"/>
      <c r="BJ119" s="2595"/>
      <c r="BK119" s="2595"/>
      <c r="BL119" s="2595"/>
      <c r="BM119" s="2595"/>
      <c r="BN119" s="2595"/>
    </row>
    <row r="120" spans="1:66" ht="14.25" customHeight="1">
      <c r="A120" s="2757"/>
      <c r="B120" s="1926" t="s">
        <v>4322</v>
      </c>
      <c r="C120" s="1179"/>
      <c r="D120" s="1179"/>
      <c r="E120" s="1179"/>
      <c r="F120" s="1179"/>
      <c r="G120" s="1179"/>
      <c r="H120" s="1179"/>
      <c r="I120" s="1179"/>
      <c r="J120" s="1179"/>
      <c r="K120" s="1179"/>
      <c r="L120" s="1179"/>
      <c r="M120" s="1179"/>
      <c r="N120" s="1179"/>
      <c r="O120" s="1179"/>
      <c r="P120" s="1179"/>
      <c r="Q120" s="1179"/>
      <c r="R120" s="1179"/>
      <c r="S120" s="1179"/>
      <c r="T120" s="8984"/>
      <c r="U120" s="8984"/>
      <c r="V120" s="8984"/>
      <c r="W120" s="8984"/>
      <c r="X120" s="8984"/>
      <c r="Y120" s="8984"/>
      <c r="Z120" s="8984"/>
      <c r="AA120" s="8984"/>
      <c r="AB120" s="8984"/>
      <c r="AC120" s="8984"/>
      <c r="AD120" s="8984"/>
      <c r="AE120" s="8984"/>
      <c r="AF120" s="8984"/>
      <c r="AG120" s="8984"/>
      <c r="AH120" s="8984"/>
      <c r="AI120" s="8984"/>
      <c r="AJ120" s="1179"/>
      <c r="AK120" s="1179"/>
      <c r="AL120" s="1179"/>
      <c r="AM120" s="1179"/>
      <c r="AN120" s="1179"/>
      <c r="AO120" s="1179"/>
      <c r="AP120" s="2757"/>
      <c r="BD120" s="2595"/>
      <c r="BE120" s="2595"/>
      <c r="BF120" s="2595"/>
      <c r="BG120" s="2595"/>
      <c r="BH120" s="2595"/>
      <c r="BI120" s="2595"/>
      <c r="BJ120" s="2595"/>
      <c r="BK120" s="2595"/>
      <c r="BL120" s="2595"/>
      <c r="BM120" s="2595"/>
      <c r="BN120" s="2595"/>
    </row>
    <row r="121" spans="1:66" ht="11.25" customHeight="1">
      <c r="A121" s="2757"/>
      <c r="B121" s="1276" t="s">
        <v>4323</v>
      </c>
      <c r="C121" s="1179"/>
      <c r="D121" s="1179"/>
      <c r="E121" s="1179"/>
      <c r="F121" s="1179"/>
      <c r="G121" s="1179"/>
      <c r="H121" s="1179"/>
      <c r="I121" s="1179"/>
      <c r="J121" s="1179"/>
      <c r="K121" s="1179"/>
      <c r="L121" s="1179"/>
      <c r="M121" s="1179"/>
      <c r="N121" s="1179"/>
      <c r="O121" s="1179"/>
      <c r="P121" s="1179"/>
      <c r="Q121" s="1179"/>
      <c r="R121" s="1179"/>
      <c r="S121" s="1179"/>
      <c r="T121" s="1285"/>
      <c r="U121" s="1179"/>
      <c r="V121" s="1179"/>
      <c r="W121" s="1179"/>
      <c r="X121" s="1179"/>
      <c r="Y121" s="1179"/>
      <c r="Z121" s="1179"/>
      <c r="AA121" s="1179"/>
      <c r="AB121" s="1179"/>
      <c r="AC121" s="1179"/>
      <c r="AD121" s="1179"/>
      <c r="AE121" s="1179"/>
      <c r="AF121" s="1179"/>
      <c r="AG121" s="1179"/>
      <c r="AH121" s="1179"/>
      <c r="AI121" s="1179"/>
      <c r="AJ121" s="1179"/>
      <c r="AK121" s="1179"/>
      <c r="AL121" s="1179"/>
      <c r="AM121" s="1179"/>
      <c r="AN121" s="1179"/>
      <c r="AO121" s="1179"/>
      <c r="AP121" s="2757"/>
      <c r="BD121" s="2595"/>
      <c r="BE121" s="2595"/>
      <c r="BF121" s="2595"/>
      <c r="BG121" s="2595"/>
      <c r="BH121" s="2595"/>
      <c r="BI121" s="2595"/>
      <c r="BJ121" s="2595"/>
      <c r="BK121" s="2595"/>
      <c r="BL121" s="2595"/>
      <c r="BM121" s="2595"/>
      <c r="BN121" s="2595"/>
    </row>
    <row r="122" spans="1:66" ht="11.25" customHeight="1">
      <c r="A122" s="2757"/>
      <c r="B122" s="1276" t="s">
        <v>4325</v>
      </c>
      <c r="C122" s="1179"/>
      <c r="D122" s="1179"/>
      <c r="E122" s="1179"/>
      <c r="F122" s="1179"/>
      <c r="G122" s="1179"/>
      <c r="H122" s="1179"/>
      <c r="I122" s="1179"/>
      <c r="J122" s="1179"/>
      <c r="K122" s="1179"/>
      <c r="L122" s="1179"/>
      <c r="M122" s="1179"/>
      <c r="N122" s="1179"/>
      <c r="O122" s="1179"/>
      <c r="P122" s="1179"/>
      <c r="Q122" s="1179"/>
      <c r="R122" s="1179"/>
      <c r="S122" s="1179"/>
      <c r="T122" s="1285"/>
      <c r="U122" s="1179"/>
      <c r="V122" s="1179"/>
      <c r="W122" s="1179"/>
      <c r="X122" s="1179"/>
      <c r="Y122" s="1179"/>
      <c r="Z122" s="1179"/>
      <c r="AA122" s="1179"/>
      <c r="AB122" s="1179"/>
      <c r="AC122" s="1179"/>
      <c r="AD122" s="1179"/>
      <c r="AE122" s="1179"/>
      <c r="AF122" s="1179"/>
      <c r="AG122" s="1179"/>
      <c r="AH122" s="1179"/>
      <c r="AI122" s="1179"/>
      <c r="AJ122" s="1179"/>
      <c r="AK122" s="1179"/>
      <c r="AL122" s="1179"/>
      <c r="AM122" s="1179"/>
      <c r="AN122" s="1179"/>
      <c r="AO122" s="1179"/>
      <c r="AP122" s="2757"/>
      <c r="BD122" s="2595"/>
      <c r="BE122" s="2595"/>
      <c r="BF122" s="2595"/>
      <c r="BG122" s="2595"/>
      <c r="BH122" s="2595"/>
      <c r="BI122" s="2595"/>
      <c r="BJ122" s="2595"/>
      <c r="BK122" s="2595"/>
      <c r="BL122" s="2595"/>
      <c r="BM122" s="2595"/>
      <c r="BN122" s="2595"/>
    </row>
    <row r="123" spans="1:66" ht="11.25" customHeight="1">
      <c r="A123" s="2757"/>
      <c r="B123" s="1276" t="s">
        <v>4324</v>
      </c>
      <c r="C123" s="1179"/>
      <c r="D123" s="1179"/>
      <c r="E123" s="1179"/>
      <c r="F123" s="1179"/>
      <c r="G123" s="1179"/>
      <c r="H123" s="1179"/>
      <c r="I123" s="1179"/>
      <c r="J123" s="1179"/>
      <c r="K123" s="1179"/>
      <c r="L123" s="1179"/>
      <c r="M123" s="1179"/>
      <c r="N123" s="1179"/>
      <c r="O123" s="1179"/>
      <c r="P123" s="1179"/>
      <c r="Q123" s="1179"/>
      <c r="R123" s="1179"/>
      <c r="S123" s="1179"/>
      <c r="T123" s="1285"/>
      <c r="U123" s="1179"/>
      <c r="V123" s="1179"/>
      <c r="W123" s="1179"/>
      <c r="X123" s="1179"/>
      <c r="Y123" s="1179"/>
      <c r="Z123" s="1179"/>
      <c r="AA123" s="1179"/>
      <c r="AB123" s="1179"/>
      <c r="AC123" s="1179"/>
      <c r="AD123" s="1179"/>
      <c r="AE123" s="1179"/>
      <c r="AF123" s="1179"/>
      <c r="AG123" s="1179"/>
      <c r="AH123" s="1179"/>
      <c r="AI123" s="1179"/>
      <c r="AJ123" s="1179"/>
      <c r="AK123" s="2783" t="str">
        <f>IF(SUM(AK124,AL124)=2,"Check only one.",IF(SUM(AK124,AL124)=0,"Check one box.",""))</f>
        <v>Check one box.</v>
      </c>
      <c r="AL123" s="1179"/>
      <c r="AM123" s="1179"/>
      <c r="AN123" s="1179"/>
      <c r="AO123" s="1179"/>
      <c r="AP123" s="2757"/>
      <c r="BD123" s="2595"/>
      <c r="BE123" s="2595"/>
      <c r="BF123" s="2595"/>
      <c r="BG123" s="2595"/>
      <c r="BH123" s="2595"/>
      <c r="BI123" s="2595"/>
      <c r="BJ123" s="2595"/>
      <c r="BK123" s="2595"/>
      <c r="BL123" s="2595"/>
      <c r="BM123" s="2595"/>
      <c r="BN123" s="2595"/>
    </row>
    <row r="124" spans="1:66" ht="11.25" customHeight="1">
      <c r="A124" s="2757"/>
      <c r="B124" s="1276" t="s">
        <v>2157</v>
      </c>
      <c r="C124" s="1179"/>
      <c r="D124" s="1179"/>
      <c r="E124" s="1179"/>
      <c r="F124" s="1179"/>
      <c r="G124" s="1179"/>
      <c r="H124" s="1179"/>
      <c r="I124" s="1179"/>
      <c r="J124" s="1179"/>
      <c r="K124" s="1179"/>
      <c r="L124" s="1179"/>
      <c r="M124" s="1179"/>
      <c r="N124" s="1179"/>
      <c r="O124" s="1179"/>
      <c r="P124" s="1179"/>
      <c r="Q124" s="1179"/>
      <c r="R124" s="1179"/>
      <c r="S124" s="1179"/>
      <c r="T124" s="1285"/>
      <c r="U124" s="1179"/>
      <c r="V124" s="1179"/>
      <c r="W124" s="1179"/>
      <c r="X124" s="1179"/>
      <c r="Y124" s="1179"/>
      <c r="Z124" s="1179"/>
      <c r="AA124" s="1179"/>
      <c r="AB124" s="1179"/>
      <c r="AC124" s="1179"/>
      <c r="AD124" s="1179"/>
      <c r="AE124" s="1179"/>
      <c r="AF124" s="1179"/>
      <c r="AG124" s="1179"/>
      <c r="AH124" s="1180"/>
      <c r="AI124" s="2703" t="s">
        <v>271</v>
      </c>
      <c r="AJ124" s="1179"/>
      <c r="AK124" s="2393">
        <f>IF(AH124&lt;&gt;"",1,0)</f>
        <v>0</v>
      </c>
      <c r="AL124" s="1258">
        <f>IF(AM124&lt;&gt;"",1,0)</f>
        <v>0</v>
      </c>
      <c r="AM124" s="1180"/>
      <c r="AN124" s="2703" t="s">
        <v>272</v>
      </c>
      <c r="AO124" s="1179"/>
      <c r="AP124" s="2757"/>
      <c r="BD124" s="2595"/>
      <c r="BE124" s="2595"/>
      <c r="BF124" s="2595"/>
      <c r="BG124" s="2595"/>
      <c r="BH124" s="2595"/>
      <c r="BI124" s="2595"/>
      <c r="BJ124" s="2595"/>
      <c r="BK124" s="2595"/>
      <c r="BL124" s="2595"/>
      <c r="BM124" s="2595"/>
      <c r="BN124" s="2595"/>
    </row>
    <row r="125" spans="1:66" ht="5.25" customHeight="1">
      <c r="A125" s="2757"/>
      <c r="B125" s="2782"/>
      <c r="C125" s="1553"/>
      <c r="D125" s="1553"/>
      <c r="E125" s="1553"/>
      <c r="F125" s="1553"/>
      <c r="G125" s="1553"/>
      <c r="H125" s="1553"/>
      <c r="I125" s="1553"/>
      <c r="J125" s="1553"/>
      <c r="K125" s="1553"/>
      <c r="L125" s="1553"/>
      <c r="M125" s="1553"/>
      <c r="N125" s="1553"/>
      <c r="O125" s="1553"/>
      <c r="P125" s="1553"/>
      <c r="Q125" s="1553"/>
      <c r="R125" s="1553"/>
      <c r="S125" s="1553"/>
      <c r="T125" s="1553"/>
      <c r="U125" s="1553"/>
      <c r="V125" s="1553"/>
      <c r="W125" s="1553"/>
      <c r="X125" s="1553"/>
      <c r="Y125" s="1553"/>
      <c r="Z125" s="1553"/>
      <c r="AA125" s="1553"/>
      <c r="AB125" s="1553"/>
      <c r="AC125" s="1553"/>
      <c r="AD125" s="1553"/>
      <c r="AE125" s="1553"/>
      <c r="AF125" s="1553"/>
      <c r="AG125" s="1553"/>
      <c r="AH125" s="1553"/>
      <c r="AI125" s="1553"/>
      <c r="AJ125" s="1553"/>
      <c r="AK125" s="1553"/>
      <c r="AL125" s="1553"/>
      <c r="AM125" s="1553"/>
      <c r="AN125" s="1553"/>
      <c r="AO125" s="1553"/>
      <c r="AP125" s="2757"/>
      <c r="BD125" s="2595"/>
      <c r="BE125" s="2595"/>
      <c r="BF125" s="2595"/>
      <c r="BG125" s="2595"/>
      <c r="BH125" s="2595"/>
      <c r="BI125" s="2595"/>
      <c r="BJ125" s="2595"/>
      <c r="BK125" s="2595"/>
      <c r="BL125" s="2595"/>
      <c r="BM125" s="2595"/>
      <c r="BN125" s="2595"/>
    </row>
    <row r="126" spans="1:66">
      <c r="A126" s="2757"/>
      <c r="B126" s="1262" t="s">
        <v>2086</v>
      </c>
      <c r="C126" s="1179"/>
      <c r="D126" s="1179"/>
      <c r="E126" s="1179"/>
      <c r="F126" s="1179"/>
      <c r="G126" s="1179"/>
      <c r="H126" s="1179"/>
      <c r="I126" s="1179"/>
      <c r="J126" s="1179"/>
      <c r="K126" s="1179"/>
      <c r="L126" s="1179"/>
      <c r="M126" s="1179"/>
      <c r="N126" s="1179"/>
      <c r="O126" s="1179"/>
      <c r="P126" s="1179"/>
      <c r="Q126" s="1179"/>
      <c r="R126" s="1179"/>
      <c r="S126" s="1179"/>
      <c r="T126" s="1285"/>
      <c r="U126" s="1179"/>
      <c r="V126" s="2784" t="s">
        <v>2158</v>
      </c>
      <c r="W126" s="1179"/>
      <c r="X126" s="1179"/>
      <c r="Y126" s="1179"/>
      <c r="Z126" s="1179"/>
      <c r="AA126" s="1179"/>
      <c r="AB126" s="1179"/>
      <c r="AC126" s="1179"/>
      <c r="AD126" s="1179"/>
      <c r="AE126" s="1179"/>
      <c r="AF126" s="1179"/>
      <c r="AG126" s="1179"/>
      <c r="AH126" s="1179"/>
      <c r="AI126" s="1179"/>
      <c r="AJ126" s="1179"/>
      <c r="AK126" s="1179"/>
      <c r="AL126" s="1179"/>
      <c r="AM126" s="1179"/>
      <c r="AN126" s="1179"/>
      <c r="AO126" s="1179"/>
      <c r="AP126" s="2757"/>
      <c r="BD126" s="2595"/>
      <c r="BE126" s="2595"/>
      <c r="BF126" s="2595"/>
      <c r="BG126" s="2595"/>
      <c r="BH126" s="2595"/>
      <c r="BI126" s="2595"/>
      <c r="BJ126" s="2595"/>
      <c r="BK126" s="2595"/>
      <c r="BL126" s="2595"/>
      <c r="BM126" s="2595"/>
      <c r="BN126" s="2595"/>
    </row>
    <row r="127" spans="1:66" ht="12.75" customHeight="1">
      <c r="A127" s="2757"/>
      <c r="B127" s="8985"/>
      <c r="C127" s="8985"/>
      <c r="D127" s="8985"/>
      <c r="E127" s="8985"/>
      <c r="F127" s="8985"/>
      <c r="G127" s="8985"/>
      <c r="H127" s="8985"/>
      <c r="I127" s="8985"/>
      <c r="J127" s="8985"/>
      <c r="K127" s="8985"/>
      <c r="L127" s="8985"/>
      <c r="M127" s="8985"/>
      <c r="N127" s="8985"/>
      <c r="O127" s="8985"/>
      <c r="P127" s="8985"/>
      <c r="Q127" s="8985"/>
      <c r="R127" s="8985"/>
      <c r="S127" s="8985"/>
      <c r="T127" s="8985"/>
      <c r="U127" s="8986"/>
      <c r="V127" s="8979"/>
      <c r="W127" s="8985"/>
      <c r="X127" s="8985"/>
      <c r="Y127" s="8985"/>
      <c r="Z127" s="8985"/>
      <c r="AA127" s="8985"/>
      <c r="AB127" s="8985"/>
      <c r="AC127" s="8985"/>
      <c r="AD127" s="8985"/>
      <c r="AE127" s="8985"/>
      <c r="AF127" s="8985"/>
      <c r="AG127" s="8985"/>
      <c r="AH127" s="8985"/>
      <c r="AI127" s="8985"/>
      <c r="AJ127" s="8985"/>
      <c r="AK127" s="8985"/>
      <c r="AL127" s="8985"/>
      <c r="AM127" s="8985"/>
      <c r="AN127" s="8985"/>
      <c r="AO127" s="8985"/>
      <c r="AP127" s="2757"/>
      <c r="BD127" s="2595"/>
      <c r="BE127" s="2595"/>
      <c r="BF127" s="2595"/>
      <c r="BG127" s="2595"/>
      <c r="BH127" s="2595"/>
      <c r="BI127" s="2595"/>
      <c r="BJ127" s="2595"/>
      <c r="BK127" s="2595"/>
      <c r="BL127" s="2595"/>
      <c r="BM127" s="2595"/>
      <c r="BN127" s="2595"/>
    </row>
    <row r="128" spans="1:66">
      <c r="A128" s="2757"/>
      <c r="B128" s="1262" t="s">
        <v>2087</v>
      </c>
      <c r="C128" s="1179"/>
      <c r="D128" s="1179"/>
      <c r="E128" s="1179"/>
      <c r="F128" s="1179"/>
      <c r="G128" s="1179"/>
      <c r="H128" s="1179"/>
      <c r="I128" s="1179"/>
      <c r="J128" s="1179"/>
      <c r="K128" s="1179"/>
      <c r="L128" s="1179"/>
      <c r="M128" s="1179"/>
      <c r="N128" s="1179"/>
      <c r="O128" s="1179"/>
      <c r="P128" s="1179"/>
      <c r="Q128" s="1179"/>
      <c r="R128" s="1179"/>
      <c r="S128" s="1179"/>
      <c r="T128" s="1285"/>
      <c r="U128" s="1179"/>
      <c r="V128" s="2785" t="s">
        <v>2088</v>
      </c>
      <c r="W128" s="1179"/>
      <c r="X128" s="1179"/>
      <c r="Y128" s="1179"/>
      <c r="Z128" s="1179"/>
      <c r="AA128" s="1179"/>
      <c r="AB128" s="1179"/>
      <c r="AC128" s="1179"/>
      <c r="AD128" s="1179"/>
      <c r="AE128" s="1179"/>
      <c r="AF128" s="1179"/>
      <c r="AG128" s="1179"/>
      <c r="AH128" s="1179"/>
      <c r="AI128" s="1179"/>
      <c r="AJ128" s="1179"/>
      <c r="AK128" s="1179"/>
      <c r="AL128" s="1179"/>
      <c r="AM128" s="1179"/>
      <c r="AN128" s="1179"/>
      <c r="AO128" s="1179"/>
      <c r="AP128" s="2757"/>
      <c r="BD128" s="2595"/>
      <c r="BE128" s="2595"/>
      <c r="BF128" s="2595"/>
      <c r="BG128" s="2595"/>
      <c r="BH128" s="2595"/>
      <c r="BI128" s="2595"/>
      <c r="BJ128" s="2595"/>
      <c r="BK128" s="2595"/>
      <c r="BL128" s="2595"/>
      <c r="BM128" s="2595"/>
      <c r="BN128" s="2595"/>
    </row>
    <row r="129" spans="1:66" ht="13.5" customHeight="1">
      <c r="A129" s="2757"/>
      <c r="B129" s="8985"/>
      <c r="C129" s="8985"/>
      <c r="D129" s="8985"/>
      <c r="E129" s="8985"/>
      <c r="F129" s="8985"/>
      <c r="G129" s="8985"/>
      <c r="H129" s="8985"/>
      <c r="I129" s="8985"/>
      <c r="J129" s="8985"/>
      <c r="K129" s="8985"/>
      <c r="L129" s="8985"/>
      <c r="M129" s="8985"/>
      <c r="N129" s="8985"/>
      <c r="O129" s="8985"/>
      <c r="P129" s="8985"/>
      <c r="Q129" s="8985"/>
      <c r="R129" s="8985"/>
      <c r="S129" s="8985"/>
      <c r="T129" s="8985"/>
      <c r="U129" s="8986"/>
      <c r="V129" s="8979"/>
      <c r="W129" s="8985"/>
      <c r="X129" s="8985"/>
      <c r="Y129" s="8985"/>
      <c r="Z129" s="8985"/>
      <c r="AA129" s="8985"/>
      <c r="AB129" s="8985"/>
      <c r="AC129" s="8985"/>
      <c r="AD129" s="8985"/>
      <c r="AE129" s="8985"/>
      <c r="AF129" s="8985"/>
      <c r="AG129" s="8985"/>
      <c r="AH129" s="8985"/>
      <c r="AI129" s="8985"/>
      <c r="AJ129" s="8985"/>
      <c r="AK129" s="8985"/>
      <c r="AL129" s="8985"/>
      <c r="AM129" s="8985"/>
      <c r="AN129" s="8985"/>
      <c r="AO129" s="8985"/>
      <c r="AP129" s="2757"/>
      <c r="BD129" s="2595"/>
      <c r="BE129" s="2595"/>
      <c r="BF129" s="2595"/>
      <c r="BG129" s="2595"/>
      <c r="BH129" s="2595"/>
      <c r="BI129" s="2595"/>
      <c r="BJ129" s="2595"/>
      <c r="BK129" s="2595"/>
      <c r="BL129" s="2595"/>
      <c r="BM129" s="2595"/>
      <c r="BN129" s="2595"/>
    </row>
    <row r="130" spans="1:66">
      <c r="A130" s="2757"/>
      <c r="B130" s="1262" t="s">
        <v>2159</v>
      </c>
      <c r="C130" s="1179"/>
      <c r="D130" s="1179"/>
      <c r="E130" s="1179"/>
      <c r="F130" s="1179"/>
      <c r="G130" s="1179"/>
      <c r="H130" s="1179"/>
      <c r="I130" s="1179"/>
      <c r="J130" s="1179"/>
      <c r="K130" s="1179"/>
      <c r="L130" s="1179"/>
      <c r="M130" s="1179"/>
      <c r="N130" s="1179"/>
      <c r="O130" s="1179"/>
      <c r="P130" s="1179"/>
      <c r="Q130" s="1179"/>
      <c r="R130" s="1179"/>
      <c r="S130" s="1179"/>
      <c r="T130" s="1285"/>
      <c r="U130" s="1575"/>
      <c r="V130" s="1179" t="s">
        <v>2154</v>
      </c>
      <c r="W130" s="1179"/>
      <c r="X130" s="1179"/>
      <c r="Y130" s="1179"/>
      <c r="Z130" s="1179"/>
      <c r="AA130" s="1179"/>
      <c r="AB130" s="1179"/>
      <c r="AC130" s="1179"/>
      <c r="AD130" s="1179"/>
      <c r="AE130" s="1179"/>
      <c r="AF130" s="1179"/>
      <c r="AG130" s="1179"/>
      <c r="AH130" s="1179"/>
      <c r="AI130" s="1581" t="s">
        <v>111</v>
      </c>
      <c r="AJ130" s="1179"/>
      <c r="AK130" s="1179"/>
      <c r="AL130" s="1179"/>
      <c r="AM130" s="1179"/>
      <c r="AN130" s="1179"/>
      <c r="AO130" s="1179"/>
      <c r="AP130" s="2757"/>
      <c r="BD130" s="2595"/>
      <c r="BE130" s="2595"/>
      <c r="BF130" s="2595"/>
      <c r="BG130" s="2595"/>
      <c r="BH130" s="2595"/>
      <c r="BI130" s="2595"/>
      <c r="BJ130" s="2595"/>
      <c r="BK130" s="2595"/>
      <c r="BL130" s="2595"/>
      <c r="BM130" s="2595"/>
      <c r="BN130" s="2595"/>
    </row>
    <row r="131" spans="1:66" ht="13.5" customHeight="1">
      <c r="A131" s="2757"/>
      <c r="B131" s="8977"/>
      <c r="C131" s="8977"/>
      <c r="D131" s="8977"/>
      <c r="E131" s="8977"/>
      <c r="F131" s="8977"/>
      <c r="G131" s="8977"/>
      <c r="H131" s="8977"/>
      <c r="I131" s="8977"/>
      <c r="J131" s="8977"/>
      <c r="K131" s="8977"/>
      <c r="L131" s="8977"/>
      <c r="M131" s="8977"/>
      <c r="N131" s="8977"/>
      <c r="O131" s="8977"/>
      <c r="P131" s="8977"/>
      <c r="Q131" s="8977"/>
      <c r="R131" s="8977"/>
      <c r="S131" s="8977"/>
      <c r="T131" s="8977"/>
      <c r="U131" s="8978"/>
      <c r="V131" s="8979"/>
      <c r="W131" s="8980"/>
      <c r="X131" s="8980"/>
      <c r="Y131" s="8980"/>
      <c r="Z131" s="8980"/>
      <c r="AA131" s="8980"/>
      <c r="AB131" s="8980"/>
      <c r="AC131" s="8980"/>
      <c r="AD131" s="8980"/>
      <c r="AE131" s="8980"/>
      <c r="AF131" s="8980"/>
      <c r="AG131" s="8980"/>
      <c r="AH131" s="8981"/>
      <c r="AI131" s="8982"/>
      <c r="AJ131" s="8983"/>
      <c r="AK131" s="8983"/>
      <c r="AL131" s="8983"/>
      <c r="AM131" s="8983"/>
      <c r="AN131" s="8983"/>
      <c r="AO131" s="8983"/>
      <c r="AP131" s="2757"/>
      <c r="BD131" s="2595"/>
      <c r="BE131" s="2595"/>
      <c r="BF131" s="2595"/>
      <c r="BG131" s="2595"/>
      <c r="BH131" s="2595"/>
      <c r="BI131" s="2595"/>
      <c r="BJ131" s="2595"/>
      <c r="BK131" s="2595"/>
      <c r="BL131" s="2595"/>
      <c r="BM131" s="2595"/>
      <c r="BN131" s="2595"/>
    </row>
    <row r="132" spans="1:66" ht="18">
      <c r="A132" s="2757"/>
      <c r="B132" s="2703"/>
      <c r="C132" s="2701"/>
      <c r="D132" s="1179"/>
      <c r="E132" s="1179"/>
      <c r="F132" s="1179"/>
      <c r="G132" s="1179"/>
      <c r="H132" s="1179"/>
      <c r="I132" s="1179"/>
      <c r="J132" s="1179"/>
      <c r="K132" s="1179"/>
      <c r="L132" s="1179"/>
      <c r="M132" s="1179"/>
      <c r="N132" s="1179"/>
      <c r="O132" s="1179"/>
      <c r="P132" s="1179"/>
      <c r="Q132" s="1179"/>
      <c r="R132" s="1179"/>
      <c r="S132" s="1179"/>
      <c r="T132" s="1179"/>
      <c r="U132" s="1179"/>
      <c r="V132" s="1179"/>
      <c r="W132" s="1179"/>
      <c r="X132" s="1179"/>
      <c r="Y132" s="1179"/>
      <c r="Z132" s="1179"/>
      <c r="AA132" s="1179"/>
      <c r="AB132" s="1179"/>
      <c r="AC132" s="1179"/>
      <c r="AD132" s="1179"/>
      <c r="AE132" s="1179"/>
      <c r="AF132" s="1179"/>
      <c r="AG132" s="1179"/>
      <c r="AH132" s="1179"/>
      <c r="AI132" s="1179"/>
      <c r="AJ132" s="1179"/>
      <c r="AK132" s="2065" t="s">
        <v>2097</v>
      </c>
      <c r="AL132" s="1179"/>
      <c r="AM132" s="1179"/>
      <c r="AN132" s="1179"/>
      <c r="AO132" s="2065" t="s">
        <v>5443</v>
      </c>
      <c r="AP132" s="2757"/>
      <c r="BD132" s="2595"/>
      <c r="BE132" s="2595"/>
      <c r="BF132" s="2595"/>
      <c r="BG132" s="2595"/>
      <c r="BH132" s="2595"/>
      <c r="BI132" s="2595"/>
      <c r="BJ132" s="2595"/>
      <c r="BK132" s="2595"/>
      <c r="BL132" s="2595"/>
      <c r="BM132" s="2595"/>
      <c r="BN132" s="2595"/>
    </row>
    <row r="133" spans="1:66">
      <c r="A133" s="2757"/>
      <c r="B133" s="2757"/>
      <c r="C133" s="2757"/>
      <c r="D133" s="2757"/>
      <c r="E133" s="2757"/>
      <c r="F133" s="2757"/>
      <c r="G133" s="2757"/>
      <c r="H133" s="2757"/>
      <c r="I133" s="2757"/>
      <c r="J133" s="2757"/>
      <c r="K133" s="2757"/>
      <c r="L133" s="2757"/>
      <c r="M133" s="2757"/>
      <c r="N133" s="2757"/>
      <c r="O133" s="2757"/>
      <c r="P133" s="2757"/>
      <c r="Q133" s="2757"/>
      <c r="R133" s="2757"/>
      <c r="S133" s="2757"/>
      <c r="T133" s="2757"/>
      <c r="U133" s="2757"/>
      <c r="V133" s="2757"/>
      <c r="W133" s="2757"/>
      <c r="X133" s="2757"/>
      <c r="Y133" s="2757"/>
      <c r="Z133" s="2757"/>
      <c r="AA133" s="2757"/>
      <c r="AB133" s="2757"/>
      <c r="AC133" s="2757"/>
      <c r="AD133" s="2757"/>
      <c r="AE133" s="2757"/>
      <c r="AF133" s="2757"/>
      <c r="AG133" s="2757"/>
      <c r="AH133" s="2757"/>
      <c r="AI133" s="2757"/>
      <c r="AJ133" s="2757"/>
      <c r="AK133" s="2757"/>
      <c r="AL133" s="2757"/>
      <c r="AM133" s="2757"/>
      <c r="AN133" s="2757"/>
      <c r="AO133" s="2757"/>
      <c r="AP133" s="2757"/>
      <c r="BD133" s="2595"/>
      <c r="BE133" s="2595"/>
      <c r="BF133" s="2595"/>
      <c r="BG133" s="2595"/>
      <c r="BH133" s="2595"/>
      <c r="BI133" s="2595"/>
      <c r="BJ133" s="2595"/>
      <c r="BK133" s="2595"/>
      <c r="BL133" s="2595"/>
      <c r="BM133" s="2595"/>
      <c r="BN133" s="2595"/>
    </row>
  </sheetData>
  <sheetProtection algorithmName="SHA-512" hashValue="ypH7M6gHXMQr1mgqC7fwmKKS+m2cyTjLoWQ8kA3yMYH8IXQ1Ly2LhDvvXwTPX6JnvKG7YRLAXcIIkGOYkL48zQ==" saltValue="7Th4wsOHXYoH2fpdO/hr4w==" spinCount="100000" sheet="1" objects="1" scenarios="1"/>
  <mergeCells count="164">
    <mergeCell ref="C68:G69"/>
    <mergeCell ref="AH40:AO40"/>
    <mergeCell ref="AH41:AO41"/>
    <mergeCell ref="B78:D78"/>
    <mergeCell ref="B48:C48"/>
    <mergeCell ref="C70:G70"/>
    <mergeCell ref="H70:O70"/>
    <mergeCell ref="C65:O65"/>
    <mergeCell ref="C66:O66"/>
    <mergeCell ref="C67:O67"/>
    <mergeCell ref="H68:O69"/>
    <mergeCell ref="AK72:AO72"/>
    <mergeCell ref="H72:O72"/>
    <mergeCell ref="P72:V72"/>
    <mergeCell ref="B41:C41"/>
    <mergeCell ref="D41:G41"/>
    <mergeCell ref="H41:L41"/>
    <mergeCell ref="M41:S41"/>
    <mergeCell ref="T41:Z41"/>
    <mergeCell ref="B56:C56"/>
    <mergeCell ref="AE68:AJ69"/>
    <mergeCell ref="AK68:AO69"/>
    <mergeCell ref="B61:C64"/>
    <mergeCell ref="D61:O64"/>
    <mergeCell ref="AK61:AO64"/>
    <mergeCell ref="AK65:AO65"/>
    <mergeCell ref="AK66:AO66"/>
    <mergeCell ref="AK67:AO67"/>
    <mergeCell ref="P65:AJ65"/>
    <mergeCell ref="P66:AJ66"/>
    <mergeCell ref="P67:AJ67"/>
    <mergeCell ref="P68:V69"/>
    <mergeCell ref="W68:AD69"/>
    <mergeCell ref="P61:AJ64"/>
    <mergeCell ref="B50:C50"/>
    <mergeCell ref="B52:C52"/>
    <mergeCell ref="B54:C54"/>
    <mergeCell ref="B47:D47"/>
    <mergeCell ref="AA41:AG41"/>
    <mergeCell ref="B39:C39"/>
    <mergeCell ref="D39:G39"/>
    <mergeCell ref="H39:L39"/>
    <mergeCell ref="M39:S39"/>
    <mergeCell ref="T39:Z39"/>
    <mergeCell ref="AA39:AG39"/>
    <mergeCell ref="B40:C40"/>
    <mergeCell ref="D40:G40"/>
    <mergeCell ref="H40:L40"/>
    <mergeCell ref="M40:S40"/>
    <mergeCell ref="T40:Z40"/>
    <mergeCell ref="AA40:AG40"/>
    <mergeCell ref="T37:Z37"/>
    <mergeCell ref="D35:G36"/>
    <mergeCell ref="H35:L36"/>
    <mergeCell ref="AA37:AG37"/>
    <mergeCell ref="AH37:AO37"/>
    <mergeCell ref="B38:C38"/>
    <mergeCell ref="D38:G38"/>
    <mergeCell ref="H38:L38"/>
    <mergeCell ref="M38:S38"/>
    <mergeCell ref="T38:Z38"/>
    <mergeCell ref="B22:C24"/>
    <mergeCell ref="D22:L24"/>
    <mergeCell ref="B96:C96"/>
    <mergeCell ref="AD22:AO24"/>
    <mergeCell ref="B25:C27"/>
    <mergeCell ref="D25:L27"/>
    <mergeCell ref="AD25:AO27"/>
    <mergeCell ref="B28:C30"/>
    <mergeCell ref="D28:L30"/>
    <mergeCell ref="AD28:AO30"/>
    <mergeCell ref="AA38:AG38"/>
    <mergeCell ref="AH38:AO38"/>
    <mergeCell ref="AH39:AO39"/>
    <mergeCell ref="B31:C33"/>
    <mergeCell ref="D31:L33"/>
    <mergeCell ref="AD31:AO33"/>
    <mergeCell ref="M35:S36"/>
    <mergeCell ref="T35:Z36"/>
    <mergeCell ref="AA35:AG36"/>
    <mergeCell ref="AH35:AO36"/>
    <mergeCell ref="B37:C37"/>
    <mergeCell ref="D37:G37"/>
    <mergeCell ref="H37:L37"/>
    <mergeCell ref="M37:S37"/>
    <mergeCell ref="AI3:AO3"/>
    <mergeCell ref="AI4:AM6"/>
    <mergeCell ref="AN4:AO6"/>
    <mergeCell ref="D19:L21"/>
    <mergeCell ref="AD19:AO21"/>
    <mergeCell ref="B5:G6"/>
    <mergeCell ref="B8:AH9"/>
    <mergeCell ref="AI8:AO9"/>
    <mergeCell ref="B14:D14"/>
    <mergeCell ref="E15:L18"/>
    <mergeCell ref="B15:D18"/>
    <mergeCell ref="M15:AC18"/>
    <mergeCell ref="AD15:AO18"/>
    <mergeCell ref="B19:C21"/>
    <mergeCell ref="H4:AH4"/>
    <mergeCell ref="B92:C92"/>
    <mergeCell ref="B93:C93"/>
    <mergeCell ref="AC92:AO92"/>
    <mergeCell ref="AI93:AO93"/>
    <mergeCell ref="B97:C97"/>
    <mergeCell ref="X91:AO91"/>
    <mergeCell ref="D91:W91"/>
    <mergeCell ref="B111:C113"/>
    <mergeCell ref="G112:AF112"/>
    <mergeCell ref="B109:AO109"/>
    <mergeCell ref="AL95:AM95"/>
    <mergeCell ref="AL96:AM96"/>
    <mergeCell ref="AN96:AO96"/>
    <mergeCell ref="AN101:AO101"/>
    <mergeCell ref="D94:AO94"/>
    <mergeCell ref="B95:C95"/>
    <mergeCell ref="AN95:AO95"/>
    <mergeCell ref="AE70:AJ70"/>
    <mergeCell ref="W70:AD70"/>
    <mergeCell ref="B82:C82"/>
    <mergeCell ref="B84:C84"/>
    <mergeCell ref="AI84:AO84"/>
    <mergeCell ref="B85:C85"/>
    <mergeCell ref="AI85:AO85"/>
    <mergeCell ref="B86:C86"/>
    <mergeCell ref="D89:AO89"/>
    <mergeCell ref="AK70:AO70"/>
    <mergeCell ref="C71:G71"/>
    <mergeCell ref="H71:O71"/>
    <mergeCell ref="P71:V71"/>
    <mergeCell ref="W71:AD71"/>
    <mergeCell ref="AE71:AJ71"/>
    <mergeCell ref="AK71:AO71"/>
    <mergeCell ref="W72:AD72"/>
    <mergeCell ref="AE72:AJ72"/>
    <mergeCell ref="C72:G72"/>
    <mergeCell ref="P70:V70"/>
    <mergeCell ref="B76:AH77"/>
    <mergeCell ref="AI76:AO77"/>
    <mergeCell ref="AM82:AO82"/>
    <mergeCell ref="B117:AO117"/>
    <mergeCell ref="B131:U131"/>
    <mergeCell ref="V131:AH131"/>
    <mergeCell ref="AI131:AO131"/>
    <mergeCell ref="B118:D118"/>
    <mergeCell ref="T120:AI120"/>
    <mergeCell ref="B127:U127"/>
    <mergeCell ref="V127:AO127"/>
    <mergeCell ref="B129:U129"/>
    <mergeCell ref="V129:AO129"/>
    <mergeCell ref="AI115:AO115"/>
    <mergeCell ref="B115:AH115"/>
    <mergeCell ref="C106:AO106"/>
    <mergeCell ref="AI107:AO107"/>
    <mergeCell ref="B107:F107"/>
    <mergeCell ref="G107:AF107"/>
    <mergeCell ref="B101:C101"/>
    <mergeCell ref="AL100:AM100"/>
    <mergeCell ref="AN100:AO100"/>
    <mergeCell ref="AL101:AM101"/>
    <mergeCell ref="B110:AO110"/>
    <mergeCell ref="AJ112:AO112"/>
    <mergeCell ref="B102:D102"/>
    <mergeCell ref="B108:D108"/>
  </mergeCells>
  <conditionalFormatting sqref="B115 AI115:AO115 B117">
    <cfRule type="expression" dxfId="926" priority="116">
      <formula>NoColor</formula>
    </cfRule>
  </conditionalFormatting>
  <conditionalFormatting sqref="B8:AO9">
    <cfRule type="expression" dxfId="925" priority="115">
      <formula>NoColor</formula>
    </cfRule>
  </conditionalFormatting>
  <conditionalFormatting sqref="B76:AO77">
    <cfRule type="expression" dxfId="924" priority="88">
      <formula>NoColor</formula>
    </cfRule>
  </conditionalFormatting>
  <conditionalFormatting sqref="B127:AO127">
    <cfRule type="expression" dxfId="923" priority="27">
      <formula>NoColor</formula>
    </cfRule>
  </conditionalFormatting>
  <conditionalFormatting sqref="B129:AO129">
    <cfRule type="expression" dxfId="922" priority="25">
      <formula>NoColor</formula>
    </cfRule>
  </conditionalFormatting>
  <conditionalFormatting sqref="B131:AO131">
    <cfRule type="expression" dxfId="921" priority="22">
      <formula>NoColor</formula>
    </cfRule>
  </conditionalFormatting>
  <conditionalFormatting sqref="C65:P67">
    <cfRule type="expression" dxfId="920" priority="52">
      <formula>NoColor</formula>
    </cfRule>
  </conditionalFormatting>
  <conditionalFormatting sqref="C70:P72">
    <cfRule type="expression" dxfId="919" priority="41">
      <formula>NoColor</formula>
    </cfRule>
  </conditionalFormatting>
  <conditionalFormatting sqref="C106:AO106">
    <cfRule type="expression" dxfId="918" priority="16">
      <formula>NoColor</formula>
    </cfRule>
  </conditionalFormatting>
  <conditionalFormatting sqref="D91 X91">
    <cfRule type="expression" dxfId="917" priority="97">
      <formula>NoColor</formula>
    </cfRule>
  </conditionalFormatting>
  <conditionalFormatting sqref="D19:L33">
    <cfRule type="expression" dxfId="916" priority="114">
      <formula>NoColor</formula>
    </cfRule>
  </conditionalFormatting>
  <conditionalFormatting sqref="D37:AO41">
    <cfRule type="expression" dxfId="915" priority="102">
      <formula>NoColor</formula>
    </cfRule>
  </conditionalFormatting>
  <conditionalFormatting sqref="D89:AO89">
    <cfRule type="expression" dxfId="914" priority="98">
      <formula>NoColor</formula>
    </cfRule>
  </conditionalFormatting>
  <conditionalFormatting sqref="D94:AO94">
    <cfRule type="expression" dxfId="913" priority="95">
      <formula>NoColor</formula>
    </cfRule>
  </conditionalFormatting>
  <conditionalFormatting sqref="E50">
    <cfRule type="expression" dxfId="912" priority="86">
      <formula>NoColor</formula>
    </cfRule>
  </conditionalFormatting>
  <conditionalFormatting sqref="E52">
    <cfRule type="expression" dxfId="911" priority="85">
      <formula>NoColor</formula>
    </cfRule>
  </conditionalFormatting>
  <conditionalFormatting sqref="E54">
    <cfRule type="expression" dxfId="910" priority="84">
      <formula>NoColor</formula>
    </cfRule>
  </conditionalFormatting>
  <conditionalFormatting sqref="E56">
    <cfRule type="expression" dxfId="909" priority="14">
      <formula>NoColor</formula>
    </cfRule>
  </conditionalFormatting>
  <conditionalFormatting sqref="G112">
    <cfRule type="expression" dxfId="908" priority="20">
      <formula>NoColor</formula>
    </cfRule>
  </conditionalFormatting>
  <conditionalFormatting sqref="M21:AC21">
    <cfRule type="expression" dxfId="907" priority="113">
      <formula>NoColor</formula>
    </cfRule>
  </conditionalFormatting>
  <conditionalFormatting sqref="M24:AC24">
    <cfRule type="expression" dxfId="906" priority="4">
      <formula>NoColor</formula>
    </cfRule>
  </conditionalFormatting>
  <conditionalFormatting sqref="M27:AC27">
    <cfRule type="expression" dxfId="905" priority="3">
      <formula>NoColor</formula>
    </cfRule>
  </conditionalFormatting>
  <conditionalFormatting sqref="M30:AC30">
    <cfRule type="expression" dxfId="904" priority="2">
      <formula>NoColor</formula>
    </cfRule>
  </conditionalFormatting>
  <conditionalFormatting sqref="M33:AC33">
    <cfRule type="expression" dxfId="903" priority="1">
      <formula>NoColor</formula>
    </cfRule>
  </conditionalFormatting>
  <conditionalFormatting sqref="Q50">
    <cfRule type="expression" dxfId="902" priority="83">
      <formula>NoColor</formula>
    </cfRule>
  </conditionalFormatting>
  <conditionalFormatting sqref="Q52">
    <cfRule type="expression" dxfId="901" priority="11">
      <formula>NoColor</formula>
    </cfRule>
  </conditionalFormatting>
  <conditionalFormatting sqref="Q54">
    <cfRule type="expression" dxfId="900" priority="10">
      <formula>NoColor</formula>
    </cfRule>
  </conditionalFormatting>
  <conditionalFormatting sqref="Q56">
    <cfRule type="expression" dxfId="899" priority="13">
      <formula>NoColor</formula>
    </cfRule>
  </conditionalFormatting>
  <conditionalFormatting sqref="T20">
    <cfRule type="expression" dxfId="898" priority="108">
      <formula>NoColor</formula>
    </cfRule>
  </conditionalFormatting>
  <conditionalFormatting sqref="T23">
    <cfRule type="expression" dxfId="897" priority="107">
      <formula>NoColor</formula>
    </cfRule>
  </conditionalFormatting>
  <conditionalFormatting sqref="T26">
    <cfRule type="expression" dxfId="896" priority="106">
      <formula>NoColor</formula>
    </cfRule>
  </conditionalFormatting>
  <conditionalFormatting sqref="T29">
    <cfRule type="expression" dxfId="895" priority="105">
      <formula>NoColor</formula>
    </cfRule>
  </conditionalFormatting>
  <conditionalFormatting sqref="T32">
    <cfRule type="expression" dxfId="894" priority="104">
      <formula>NoColor</formula>
    </cfRule>
  </conditionalFormatting>
  <conditionalFormatting sqref="T120:AI120">
    <cfRule type="expression" dxfId="893" priority="30">
      <formula>NoColor</formula>
    </cfRule>
  </conditionalFormatting>
  <conditionalFormatting sqref="W70:AO72">
    <cfRule type="expression" dxfId="892" priority="42">
      <formula>NoColor</formula>
    </cfRule>
  </conditionalFormatting>
  <conditionalFormatting sqref="AC92:AO92">
    <cfRule type="expression" dxfId="891" priority="94">
      <formula>NoColor</formula>
    </cfRule>
  </conditionalFormatting>
  <conditionalFormatting sqref="AD19:AO33">
    <cfRule type="expression" dxfId="890" priority="103">
      <formula>NoColor</formula>
    </cfRule>
  </conditionalFormatting>
  <conditionalFormatting sqref="AE50">
    <cfRule type="expression" dxfId="889" priority="80">
      <formula>NoColor</formula>
    </cfRule>
  </conditionalFormatting>
  <conditionalFormatting sqref="AE52">
    <cfRule type="expression" dxfId="888" priority="79">
      <formula>NoColor</formula>
    </cfRule>
  </conditionalFormatting>
  <conditionalFormatting sqref="AE54">
    <cfRule type="expression" dxfId="887" priority="78">
      <formula>NoColor</formula>
    </cfRule>
  </conditionalFormatting>
  <conditionalFormatting sqref="AE105:AO105">
    <cfRule type="expression" dxfId="886" priority="31">
      <formula>NoColor</formula>
    </cfRule>
  </conditionalFormatting>
  <conditionalFormatting sqref="AH124">
    <cfRule type="expression" dxfId="885" priority="29">
      <formula>NoColor</formula>
    </cfRule>
  </conditionalFormatting>
  <conditionalFormatting sqref="AI8:AO9">
    <cfRule type="expression" dxfId="884" priority="19">
      <formula>NoSSN</formula>
    </cfRule>
    <cfRule type="expression" dxfId="883" priority="18">
      <formula>AND(NoSSN,NoColor)</formula>
    </cfRule>
  </conditionalFormatting>
  <conditionalFormatting sqref="AI84:AO85">
    <cfRule type="expression" dxfId="882" priority="99">
      <formula>NoColor</formula>
    </cfRule>
  </conditionalFormatting>
  <conditionalFormatting sqref="AI93:AO93">
    <cfRule type="expression" dxfId="881" priority="93">
      <formula>NoColor</formula>
    </cfRule>
  </conditionalFormatting>
  <conditionalFormatting sqref="AI107:AO107">
    <cfRule type="expression" dxfId="880" priority="15">
      <formula>NoColor</formula>
    </cfRule>
  </conditionalFormatting>
  <conditionalFormatting sqref="AJ112">
    <cfRule type="expression" dxfId="879" priority="37">
      <formula>NoColor</formula>
    </cfRule>
  </conditionalFormatting>
  <conditionalFormatting sqref="AK65:AK67">
    <cfRule type="expression" dxfId="878" priority="49">
      <formula>NoColor</formula>
    </cfRule>
  </conditionalFormatting>
  <conditionalFormatting sqref="AL96:AO96">
    <cfRule type="expression" dxfId="877" priority="92">
      <formula>NoColor</formula>
    </cfRule>
  </conditionalFormatting>
  <conditionalFormatting sqref="AL100:AO101">
    <cfRule type="expression" dxfId="876" priority="90">
      <formula>NoColor</formula>
    </cfRule>
  </conditionalFormatting>
  <conditionalFormatting sqref="AM124">
    <cfRule type="expression" dxfId="875" priority="21">
      <formula>NoColor</formula>
    </cfRule>
  </conditionalFormatting>
  <pageMargins left="0.45" right="0.45" top="0.5" bottom="0.5" header="0" footer="0"/>
  <pageSetup scale="76" fitToHeight="2" orientation="portrait" r:id="rId1"/>
  <rowBreaks count="1" manualBreakCount="1">
    <brk id="73" min="1" max="40" man="1"/>
  </row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BA214"/>
  <sheetViews>
    <sheetView zoomScaleNormal="100" zoomScaleSheetLayoutView="120" workbookViewId="0"/>
  </sheetViews>
  <sheetFormatPr defaultColWidth="9.140625" defaultRowHeight="12.75"/>
  <cols>
    <col min="1" max="1" width="2.7109375" style="42" customWidth="1"/>
    <col min="2" max="2" width="3" style="42" customWidth="1"/>
    <col min="3" max="3" width="5.85546875" style="313" customWidth="1"/>
    <col min="4" max="6" width="3.7109375" style="42" customWidth="1"/>
    <col min="7" max="7" width="5.140625" style="42" customWidth="1"/>
    <col min="8" max="8" width="2.7109375" style="42" customWidth="1"/>
    <col min="9" max="10" width="3.7109375" style="42" customWidth="1"/>
    <col min="11" max="11" width="4.42578125" style="42" customWidth="1"/>
    <col min="12" max="12" width="5.5703125" style="42" customWidth="1"/>
    <col min="13" max="13" width="4.42578125" style="42" customWidth="1"/>
    <col min="14" max="14" width="5" style="42" customWidth="1"/>
    <col min="15" max="15" width="3.7109375" style="42" customWidth="1"/>
    <col min="16" max="16" width="4.85546875" style="42" customWidth="1"/>
    <col min="17" max="17" width="4.28515625" style="42" customWidth="1"/>
    <col min="18" max="19" width="3.42578125" style="42" customWidth="1"/>
    <col min="20" max="21" width="3.7109375" style="42" customWidth="1"/>
    <col min="22" max="23" width="4.42578125" style="42" customWidth="1"/>
    <col min="24" max="29" width="3.5703125" style="42" customWidth="1"/>
    <col min="30" max="30" width="4.7109375" style="42" customWidth="1"/>
    <col min="31" max="31" width="3.5703125" style="42" customWidth="1"/>
    <col min="32" max="32" width="5.140625" style="42" customWidth="1"/>
    <col min="33" max="36" width="3.5703125" style="42" customWidth="1"/>
    <col min="37" max="37" width="9.140625" style="42"/>
    <col min="38" max="38" width="2.85546875" style="42" customWidth="1"/>
    <col min="39" max="39" width="14.42578125" style="42" customWidth="1"/>
    <col min="40" max="40" width="3.28515625" style="42" customWidth="1"/>
    <col min="41" max="49" width="10.7109375" style="2595" customWidth="1"/>
    <col min="50" max="50" width="4.140625" style="2595" customWidth="1"/>
    <col min="51" max="52" width="9.140625" style="42"/>
    <col min="53" max="53" width="10" style="42" customWidth="1"/>
    <col min="54" max="57" width="9.140625" style="42"/>
    <col min="58" max="58" width="9.140625" style="42" customWidth="1"/>
    <col min="59" max="16384" width="9.140625" style="42"/>
  </cols>
  <sheetData>
    <row r="1" spans="1:52">
      <c r="A1" s="1127"/>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79"/>
      <c r="AM1" s="1179"/>
      <c r="AN1" s="1179"/>
    </row>
    <row r="2" spans="1:52">
      <c r="A2" s="1127"/>
      <c r="B2" s="1276"/>
      <c r="C2" s="2057"/>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c r="AD2" s="1276"/>
      <c r="AE2" s="1276"/>
      <c r="AF2" s="1276"/>
      <c r="AG2" s="1276"/>
      <c r="AH2" s="1276"/>
      <c r="AI2" s="1276"/>
      <c r="AJ2" s="1276"/>
      <c r="AK2" s="1127"/>
      <c r="AL2" s="1179"/>
      <c r="AM2" s="1179"/>
      <c r="AN2" s="1179"/>
    </row>
    <row r="3" spans="1:52" ht="15.75">
      <c r="A3" s="1127"/>
      <c r="B3" s="1276"/>
      <c r="C3" s="4058" t="s">
        <v>5706</v>
      </c>
      <c r="D3" s="1276"/>
      <c r="E3" s="1276"/>
      <c r="F3" s="1276"/>
      <c r="G3" s="1276"/>
      <c r="H3" s="1276"/>
      <c r="I3" s="1276"/>
      <c r="J3" s="1276"/>
      <c r="K3" s="1276" t="s">
        <v>5707</v>
      </c>
      <c r="L3" s="1276"/>
      <c r="M3" s="1276"/>
      <c r="N3" s="1276"/>
      <c r="O3" s="1276"/>
      <c r="P3" s="1276"/>
      <c r="Q3" s="1276"/>
      <c r="R3" s="1276"/>
      <c r="S3" s="1276"/>
      <c r="T3" s="1276"/>
      <c r="U3" s="1276"/>
      <c r="V3" s="1276"/>
      <c r="W3" s="1276"/>
      <c r="X3" s="1276"/>
      <c r="Y3" s="1276"/>
      <c r="Z3" s="1276"/>
      <c r="AA3" s="1276"/>
      <c r="AB3" s="1276"/>
      <c r="AC3" s="1276"/>
      <c r="AD3" s="1276"/>
      <c r="AE3" s="1276"/>
      <c r="AF3" s="1276"/>
      <c r="AG3" s="1276"/>
      <c r="AH3" s="1276"/>
      <c r="AI3" s="1276"/>
      <c r="AJ3" s="1276"/>
      <c r="AK3" s="1127"/>
      <c r="AL3" s="1179"/>
      <c r="AM3" s="1179"/>
      <c r="AN3" s="1179"/>
    </row>
    <row r="4" spans="1:52" ht="15.75">
      <c r="A4" s="1127"/>
      <c r="B4" s="1276"/>
      <c r="C4" s="4058"/>
      <c r="D4" s="1276"/>
      <c r="E4" s="1276"/>
      <c r="F4" s="1276"/>
      <c r="G4" s="1276"/>
      <c r="H4" s="1276"/>
      <c r="I4" s="1276"/>
      <c r="J4" s="1276"/>
      <c r="K4" s="1276" t="s">
        <v>5708</v>
      </c>
      <c r="L4" s="1276"/>
      <c r="M4" s="1276"/>
      <c r="N4" s="1276"/>
      <c r="O4" s="1276"/>
      <c r="P4" s="1276"/>
      <c r="Q4" s="1276"/>
      <c r="R4" s="1276"/>
      <c r="S4" s="1276"/>
      <c r="T4" s="1276"/>
      <c r="U4" s="1276"/>
      <c r="V4" s="1276"/>
      <c r="W4" s="1276"/>
      <c r="X4" s="1276"/>
      <c r="Y4" s="1276"/>
      <c r="Z4" s="1276"/>
      <c r="AA4" s="1276"/>
      <c r="AB4" s="1276"/>
      <c r="AC4" s="1276"/>
      <c r="AD4" s="1276"/>
      <c r="AE4" s="1276"/>
      <c r="AF4" s="1276"/>
      <c r="AG4" s="1276"/>
      <c r="AH4" s="1276"/>
      <c r="AI4" s="1276"/>
      <c r="AJ4" s="1276"/>
      <c r="AK4" s="1127"/>
      <c r="AL4" s="1179"/>
      <c r="AM4" s="1179"/>
      <c r="AN4" s="1179"/>
    </row>
    <row r="5" spans="1:52">
      <c r="A5" s="1127"/>
      <c r="B5" s="1179"/>
      <c r="C5" s="1927"/>
      <c r="D5" s="1179"/>
      <c r="E5" s="1179"/>
      <c r="F5" s="1179"/>
      <c r="G5" s="1179"/>
      <c r="H5" s="1179"/>
      <c r="I5" s="1179"/>
      <c r="J5" s="1179"/>
      <c r="K5" s="1179"/>
      <c r="L5" s="1179"/>
      <c r="M5" s="1179"/>
      <c r="N5" s="1179"/>
      <c r="O5" s="1179"/>
      <c r="P5" s="1179"/>
      <c r="Q5" s="1179"/>
      <c r="R5" s="1179"/>
      <c r="S5" s="1179"/>
      <c r="T5" s="1179"/>
      <c r="U5" s="1179"/>
      <c r="V5" s="1179"/>
      <c r="W5" s="1179"/>
      <c r="X5" s="1179"/>
      <c r="Y5" s="1179"/>
      <c r="Z5" s="1179"/>
      <c r="AA5" s="1179"/>
      <c r="AB5" s="1179"/>
      <c r="AC5" s="1179"/>
      <c r="AD5" s="1179"/>
      <c r="AE5" s="1179"/>
      <c r="AF5" s="1179"/>
      <c r="AG5" s="1179"/>
      <c r="AH5" s="1179"/>
      <c r="AI5" s="1179"/>
      <c r="AJ5" s="1179"/>
      <c r="AK5" s="1127"/>
      <c r="AL5" s="1179"/>
      <c r="AM5" s="1179"/>
      <c r="AN5" s="1179"/>
    </row>
    <row r="6" spans="1:52" s="3402" customFormat="1" ht="27.75" customHeight="1">
      <c r="A6" s="1127"/>
      <c r="B6" s="1127"/>
      <c r="C6" s="1127"/>
      <c r="D6" s="1127"/>
      <c r="E6" s="1127"/>
      <c r="F6" s="1127"/>
      <c r="G6" s="1127"/>
      <c r="H6" s="1127"/>
      <c r="I6" s="1127"/>
      <c r="J6" s="1127"/>
      <c r="K6" s="4514" t="s">
        <v>5455</v>
      </c>
      <c r="L6" s="1127"/>
      <c r="M6" s="1127"/>
      <c r="N6" s="1127"/>
      <c r="O6" s="1127"/>
      <c r="P6" s="1127"/>
      <c r="Q6" s="1127"/>
      <c r="R6" s="1127"/>
      <c r="S6" s="1127"/>
      <c r="T6" s="1127"/>
      <c r="U6" s="1127"/>
      <c r="V6" s="1127"/>
      <c r="W6" s="1127"/>
      <c r="X6" s="1127"/>
      <c r="Y6" s="1127"/>
      <c r="Z6" s="1127"/>
      <c r="AA6" s="1127"/>
      <c r="AB6" s="1127"/>
      <c r="AC6" s="1127"/>
      <c r="AD6" s="1127"/>
      <c r="AE6" s="1127"/>
      <c r="AF6" s="1127"/>
      <c r="AG6" s="1127"/>
      <c r="AH6" s="1127"/>
      <c r="AI6" s="1127"/>
      <c r="AJ6" s="1127"/>
      <c r="AK6" s="1127"/>
      <c r="AL6" s="1179"/>
      <c r="AM6" s="1179"/>
      <c r="AN6" s="1179"/>
      <c r="AO6" s="2595"/>
      <c r="AP6" s="2595"/>
      <c r="AQ6" s="2595"/>
      <c r="AR6" s="2595"/>
      <c r="AS6" s="2595"/>
      <c r="AT6" s="2595"/>
      <c r="AU6" s="2595"/>
      <c r="AV6" s="2595"/>
      <c r="AW6" s="2595"/>
      <c r="AX6" s="2595"/>
      <c r="AY6" s="42"/>
      <c r="AZ6" s="42"/>
    </row>
    <row r="7" spans="1:52" s="3402" customFormat="1" ht="24" customHeight="1">
      <c r="A7" s="1127"/>
      <c r="B7" s="1179"/>
      <c r="C7" s="1927"/>
      <c r="D7" s="9177" t="s">
        <v>3782</v>
      </c>
      <c r="E7" s="9178"/>
      <c r="F7" s="9178"/>
      <c r="G7" s="9178"/>
      <c r="H7" s="5718"/>
      <c r="I7" s="9197" t="s">
        <v>5444</v>
      </c>
      <c r="J7" s="9198"/>
      <c r="K7" s="9198"/>
      <c r="L7" s="9198"/>
      <c r="M7" s="9198"/>
      <c r="N7" s="9198"/>
      <c r="O7" s="9198"/>
      <c r="P7" s="9198"/>
      <c r="Q7" s="9198"/>
      <c r="R7" s="9198"/>
      <c r="S7" s="9198"/>
      <c r="T7" s="9198"/>
      <c r="U7" s="9198"/>
      <c r="V7" s="9198"/>
      <c r="W7" s="9198"/>
      <c r="X7" s="9198"/>
      <c r="Y7" s="9198"/>
      <c r="Z7" s="9198"/>
      <c r="AA7" s="9198"/>
      <c r="AB7" s="9198"/>
      <c r="AC7" s="9181" t="s">
        <v>152</v>
      </c>
      <c r="AD7" s="8628"/>
      <c r="AE7" s="8628"/>
      <c r="AF7" s="8628"/>
      <c r="AG7" s="8628"/>
      <c r="AH7" s="8628"/>
      <c r="AI7" s="8628"/>
      <c r="AJ7" s="8628"/>
      <c r="AK7" s="1127"/>
      <c r="AL7" s="1179"/>
      <c r="AM7" s="1179"/>
      <c r="AN7" s="1179"/>
      <c r="AO7" s="2595"/>
      <c r="AP7" s="2595"/>
      <c r="AQ7" s="2595"/>
      <c r="AR7" s="2595"/>
      <c r="AS7" s="2595"/>
      <c r="AT7" s="2595"/>
      <c r="AU7" s="2595"/>
      <c r="AV7" s="2595"/>
      <c r="AW7" s="2595"/>
      <c r="AX7" s="2595"/>
      <c r="AY7" s="42"/>
      <c r="AZ7" s="42"/>
    </row>
    <row r="8" spans="1:52" s="3402" customFormat="1" ht="24" customHeight="1">
      <c r="A8" s="1127"/>
      <c r="B8" s="8629" t="s">
        <v>291</v>
      </c>
      <c r="C8" s="6406"/>
      <c r="D8" s="9178"/>
      <c r="E8" s="9178"/>
      <c r="F8" s="9178"/>
      <c r="G8" s="9178"/>
      <c r="H8" s="5718"/>
      <c r="I8" s="9198"/>
      <c r="J8" s="9198"/>
      <c r="K8" s="9198"/>
      <c r="L8" s="9198"/>
      <c r="M8" s="9198"/>
      <c r="N8" s="9198"/>
      <c r="O8" s="9198"/>
      <c r="P8" s="9198"/>
      <c r="Q8" s="9198"/>
      <c r="R8" s="9198"/>
      <c r="S8" s="9198"/>
      <c r="T8" s="9198"/>
      <c r="U8" s="9198"/>
      <c r="V8" s="9198"/>
      <c r="W8" s="9198"/>
      <c r="X8" s="9198"/>
      <c r="Y8" s="9198"/>
      <c r="Z8" s="9198"/>
      <c r="AA8" s="9198"/>
      <c r="AB8" s="9198"/>
      <c r="AC8" s="9182">
        <f>TaxYear</f>
        <v>2021</v>
      </c>
      <c r="AD8" s="8631"/>
      <c r="AE8" s="8631"/>
      <c r="AF8" s="8631"/>
      <c r="AG8" s="8631"/>
      <c r="AH8" s="8631"/>
      <c r="AI8" s="8631"/>
      <c r="AJ8" s="8631"/>
      <c r="AK8" s="1127"/>
      <c r="AL8" s="1179"/>
      <c r="AM8" s="1179"/>
      <c r="AN8" s="1179"/>
      <c r="AO8" s="2595"/>
      <c r="AP8" s="2595"/>
      <c r="AQ8" s="2595"/>
      <c r="AR8" s="2595"/>
      <c r="AS8" s="2595"/>
      <c r="AT8" s="2595"/>
      <c r="AU8" s="2595"/>
      <c r="AV8" s="2595"/>
      <c r="AW8" s="2595"/>
      <c r="AX8" s="2595"/>
      <c r="AY8" s="42"/>
      <c r="AZ8" s="42"/>
    </row>
    <row r="9" spans="1:52" s="3402" customFormat="1" ht="6.75" customHeight="1">
      <c r="A9" s="1127"/>
      <c r="B9" s="1179"/>
      <c r="C9" s="1927"/>
      <c r="D9" s="1179"/>
      <c r="E9" s="1179"/>
      <c r="F9" s="1179"/>
      <c r="G9" s="1179"/>
      <c r="H9" s="5718"/>
      <c r="I9" s="9204" t="s">
        <v>5445</v>
      </c>
      <c r="J9" s="9204"/>
      <c r="K9" s="9204"/>
      <c r="L9" s="9204"/>
      <c r="M9" s="9204"/>
      <c r="N9" s="9204"/>
      <c r="O9" s="9204"/>
      <c r="P9" s="9204"/>
      <c r="Q9" s="9204"/>
      <c r="R9" s="9204"/>
      <c r="S9" s="9204"/>
      <c r="T9" s="9204"/>
      <c r="U9" s="9204"/>
      <c r="V9" s="9204"/>
      <c r="W9" s="9204"/>
      <c r="X9" s="9204"/>
      <c r="Y9" s="9204"/>
      <c r="Z9" s="9204"/>
      <c r="AA9" s="9204"/>
      <c r="AB9" s="9204"/>
      <c r="AC9" s="8633"/>
      <c r="AD9" s="8633"/>
      <c r="AE9" s="8633"/>
      <c r="AF9" s="8633"/>
      <c r="AG9" s="8633"/>
      <c r="AH9" s="8633"/>
      <c r="AI9" s="8633"/>
      <c r="AJ9" s="8633"/>
      <c r="AK9" s="1127"/>
      <c r="AL9" s="1179"/>
      <c r="AM9" s="1179"/>
      <c r="AN9" s="1179"/>
      <c r="AO9" s="2595"/>
      <c r="AP9" s="2595"/>
      <c r="AQ9" s="2595"/>
      <c r="AR9" s="2595"/>
      <c r="AS9" s="2595"/>
      <c r="AT9" s="2595"/>
      <c r="AU9" s="2595"/>
      <c r="AV9" s="2595"/>
      <c r="AW9" s="2595"/>
      <c r="AX9" s="2595"/>
      <c r="AY9" s="42"/>
      <c r="AZ9" s="42"/>
    </row>
    <row r="10" spans="1:52" s="3402" customFormat="1" ht="12.75" customHeight="1" thickBot="1">
      <c r="A10" s="1127"/>
      <c r="B10" s="1179" t="s">
        <v>176</v>
      </c>
      <c r="C10" s="1927"/>
      <c r="D10" s="1179"/>
      <c r="E10" s="1179"/>
      <c r="F10" s="1179"/>
      <c r="G10" s="1179"/>
      <c r="H10" s="5718"/>
      <c r="I10" s="9204"/>
      <c r="J10" s="9204"/>
      <c r="K10" s="9204"/>
      <c r="L10" s="9204"/>
      <c r="M10" s="9204"/>
      <c r="N10" s="9204"/>
      <c r="O10" s="9204"/>
      <c r="P10" s="9204"/>
      <c r="Q10" s="9204"/>
      <c r="R10" s="9204"/>
      <c r="S10" s="9204"/>
      <c r="T10" s="9204"/>
      <c r="U10" s="9204"/>
      <c r="V10" s="9204"/>
      <c r="W10" s="9204"/>
      <c r="X10" s="9204"/>
      <c r="Y10" s="9204"/>
      <c r="Z10" s="9204"/>
      <c r="AA10" s="9204"/>
      <c r="AB10" s="9204"/>
      <c r="AC10" s="1179"/>
      <c r="AD10" s="8894" t="s">
        <v>781</v>
      </c>
      <c r="AE10" s="6665"/>
      <c r="AF10" s="6665"/>
      <c r="AG10" s="6665"/>
      <c r="AH10" s="7744">
        <v>48</v>
      </c>
      <c r="AI10" s="7744"/>
      <c r="AJ10" s="1179"/>
      <c r="AK10" s="1127"/>
      <c r="AL10" s="1283" t="s">
        <v>3860</v>
      </c>
      <c r="AM10" s="1179"/>
      <c r="AN10" s="1179"/>
      <c r="AO10" s="2595"/>
      <c r="AP10" s="2595"/>
      <c r="AQ10" s="2595"/>
      <c r="AR10" s="2595"/>
      <c r="AS10" s="2595"/>
      <c r="AT10" s="2595"/>
      <c r="AU10" s="2595"/>
      <c r="AV10" s="2595"/>
      <c r="AW10" s="2595"/>
      <c r="AX10" s="2595"/>
      <c r="AY10" s="42"/>
      <c r="AZ10" s="42"/>
    </row>
    <row r="11" spans="1:52" s="3402" customFormat="1" ht="13.5" customHeight="1" thickBot="1">
      <c r="A11" s="1127"/>
      <c r="B11" s="1704" t="s">
        <v>229</v>
      </c>
      <c r="C11" s="4455"/>
      <c r="D11" s="1280"/>
      <c r="E11" s="1280"/>
      <c r="F11" s="1280"/>
      <c r="G11" s="1280"/>
      <c r="H11" s="5719"/>
      <c r="I11" s="9199" t="s">
        <v>3286</v>
      </c>
      <c r="J11" s="9200"/>
      <c r="K11" s="9200"/>
      <c r="L11" s="9200"/>
      <c r="M11" s="9200"/>
      <c r="N11" s="9200"/>
      <c r="O11" s="9200"/>
      <c r="P11" s="9200"/>
      <c r="Q11" s="9200"/>
      <c r="R11" s="9200"/>
      <c r="S11" s="9200"/>
      <c r="T11" s="9200"/>
      <c r="U11" s="9200"/>
      <c r="V11" s="9200"/>
      <c r="W11" s="9200"/>
      <c r="X11" s="9200"/>
      <c r="Y11" s="9200"/>
      <c r="Z11" s="9200"/>
      <c r="AA11" s="9200"/>
      <c r="AB11" s="9200"/>
      <c r="AC11" s="1704"/>
      <c r="AD11" s="8876" t="s">
        <v>1128</v>
      </c>
      <c r="AE11" s="8877"/>
      <c r="AF11" s="8877"/>
      <c r="AG11" s="8877"/>
      <c r="AH11" s="8895"/>
      <c r="AI11" s="8895"/>
      <c r="AJ11" s="1280"/>
      <c r="AK11" s="1127"/>
      <c r="AL11" s="1860" t="str">
        <f>IF(AL12="","X","")</f>
        <v>X</v>
      </c>
      <c r="AM11" s="1276" t="s">
        <v>1720</v>
      </c>
      <c r="AN11" s="1179"/>
      <c r="AO11" s="2595"/>
      <c r="AP11" s="2595"/>
      <c r="AQ11" s="2595"/>
      <c r="AR11" s="2595"/>
      <c r="AS11" s="2595"/>
      <c r="AT11" s="2595"/>
      <c r="AU11" s="2595"/>
      <c r="AV11" s="2595"/>
      <c r="AW11" s="2595"/>
      <c r="AX11" s="2595"/>
      <c r="AY11" s="42"/>
      <c r="AZ11" s="42"/>
    </row>
    <row r="12" spans="1:52" s="3402" customFormat="1" ht="13.5" thickBot="1">
      <c r="A12" s="1127"/>
      <c r="B12" s="1551" t="str">
        <f>"Name. If married, file a separate form for each spouse required to file "&amp;TaxYear&amp;" Form 8606. See instructions."</f>
        <v>Name. If married, file a separate form for each spouse required to file 2021 Form 8606. See instructions.</v>
      </c>
      <c r="C12" s="4461"/>
      <c r="D12" s="1551"/>
      <c r="E12" s="1551"/>
      <c r="F12" s="1551"/>
      <c r="G12" s="1551"/>
      <c r="H12" s="1551"/>
      <c r="I12" s="1551"/>
      <c r="J12" s="1551"/>
      <c r="K12" s="1551"/>
      <c r="L12" s="1551"/>
      <c r="M12" s="1551"/>
      <c r="N12" s="1551"/>
      <c r="O12" s="1551"/>
      <c r="P12" s="1551"/>
      <c r="Q12" s="1551"/>
      <c r="R12" s="1551"/>
      <c r="S12" s="1551"/>
      <c r="T12" s="1551"/>
      <c r="U12" s="1551"/>
      <c r="V12" s="1551"/>
      <c r="W12" s="1551"/>
      <c r="X12" s="1551"/>
      <c r="Y12" s="4451" t="s">
        <v>3783</v>
      </c>
      <c r="Z12" s="1274"/>
      <c r="AA12" s="1274"/>
      <c r="AB12" s="1274"/>
      <c r="AC12" s="1582"/>
      <c r="AD12" s="1702"/>
      <c r="AE12" s="1702"/>
      <c r="AF12" s="1702"/>
      <c r="AG12" s="1702"/>
      <c r="AH12" s="1702"/>
      <c r="AI12" s="1702"/>
      <c r="AJ12" s="1702"/>
      <c r="AK12" s="1127"/>
      <c r="AL12" s="1181"/>
      <c r="AM12" s="1276" t="s">
        <v>1735</v>
      </c>
      <c r="AN12" s="1179"/>
      <c r="AO12" s="2595"/>
      <c r="AP12" s="2595"/>
      <c r="AQ12" s="2595"/>
      <c r="AR12" s="2595"/>
      <c r="AS12" s="2595"/>
      <c r="AT12" s="2595"/>
      <c r="AU12" s="2595"/>
      <c r="AV12" s="2595"/>
      <c r="AW12" s="2595"/>
      <c r="AX12" s="2595"/>
      <c r="AY12" s="42"/>
      <c r="AZ12" s="42"/>
    </row>
    <row r="13" spans="1:52" s="3402" customFormat="1" ht="25.5" customHeight="1">
      <c r="A13" s="1127"/>
      <c r="B13" s="9195" t="str">
        <f>IF(AND(AL11&lt;&gt;"",AL12&lt;&gt;""),Names,IF(AL12&lt;&gt;"",NameSpouse,IF(AL11&lt;&gt;"",NameYours,"")))</f>
        <v xml:space="preserve"> </v>
      </c>
      <c r="C13" s="9195"/>
      <c r="D13" s="9195"/>
      <c r="E13" s="9195"/>
      <c r="F13" s="9195"/>
      <c r="G13" s="9195"/>
      <c r="H13" s="9195"/>
      <c r="I13" s="9195"/>
      <c r="J13" s="9195"/>
      <c r="K13" s="9195"/>
      <c r="L13" s="9195"/>
      <c r="M13" s="9195"/>
      <c r="N13" s="9195"/>
      <c r="O13" s="9195"/>
      <c r="P13" s="9195"/>
      <c r="Q13" s="9195"/>
      <c r="R13" s="9195"/>
      <c r="S13" s="9195"/>
      <c r="T13" s="9195"/>
      <c r="U13" s="9195"/>
      <c r="V13" s="9195"/>
      <c r="W13" s="9195"/>
      <c r="X13" s="9196"/>
      <c r="Y13" s="9188">
        <f>IF(AND(NOT(NoSSN),SS_Yours&lt;&gt;"",OR(AL11&lt;&gt;"",AND(AL11&lt;&gt;"",AL12&lt;&gt;""))),SS_Yours,IF(AND(NOT(NoSSN),SS_Spouse&lt;&gt;"",AL12&lt;&gt;""),SS_Spouse,""))</f>
        <v>1010001</v>
      </c>
      <c r="Z13" s="9189"/>
      <c r="AA13" s="9189"/>
      <c r="AB13" s="9189"/>
      <c r="AC13" s="9189"/>
      <c r="AD13" s="9189"/>
      <c r="AE13" s="9189"/>
      <c r="AF13" s="9189"/>
      <c r="AG13" s="9189"/>
      <c r="AH13" s="9189"/>
      <c r="AI13" s="9189"/>
      <c r="AJ13" s="9189"/>
      <c r="AK13" s="1127"/>
      <c r="AL13" s="1179"/>
      <c r="AM13" s="1284" t="b">
        <f>OR(AND(AL11&lt;&gt;"",IRA_CONV_YOU&gt;0),AND(AL12&lt;&gt;"",IRA_CONV_SPOUSE&gt;0))</f>
        <v>0</v>
      </c>
      <c r="AN13" s="1179"/>
      <c r="AO13" s="2595"/>
      <c r="AP13" s="2595"/>
      <c r="AQ13" s="2595"/>
      <c r="AR13" s="2595"/>
      <c r="AS13" s="2595"/>
      <c r="AT13" s="2595"/>
      <c r="AU13" s="2595"/>
      <c r="AV13" s="2595"/>
      <c r="AW13" s="2595"/>
      <c r="AX13" s="2595"/>
      <c r="AY13" s="42"/>
      <c r="AZ13" s="42"/>
    </row>
    <row r="14" spans="1:52" s="3402" customFormat="1" ht="15.75" customHeight="1">
      <c r="A14" s="1127"/>
      <c r="B14" s="9190" t="s">
        <v>3790</v>
      </c>
      <c r="C14" s="9190"/>
      <c r="D14" s="9190"/>
      <c r="E14" s="9190"/>
      <c r="F14" s="9190"/>
      <c r="G14" s="9190"/>
      <c r="H14" s="9190"/>
      <c r="I14" s="9191"/>
      <c r="J14" s="9201" t="s">
        <v>3786</v>
      </c>
      <c r="K14" s="9202"/>
      <c r="L14" s="9202"/>
      <c r="M14" s="9202"/>
      <c r="N14" s="9202"/>
      <c r="O14" s="9202"/>
      <c r="P14" s="9202"/>
      <c r="Q14" s="9202"/>
      <c r="R14" s="9202"/>
      <c r="S14" s="9202"/>
      <c r="T14" s="9202"/>
      <c r="U14" s="9202"/>
      <c r="V14" s="9202"/>
      <c r="W14" s="9202"/>
      <c r="X14" s="9202"/>
      <c r="Y14" s="9202"/>
      <c r="Z14" s="9202"/>
      <c r="AA14" s="9202"/>
      <c r="AB14" s="9202"/>
      <c r="AC14" s="9203"/>
      <c r="AD14" s="9103" t="s">
        <v>3784</v>
      </c>
      <c r="AE14" s="9104"/>
      <c r="AF14" s="9104"/>
      <c r="AG14" s="9104"/>
      <c r="AH14" s="9104"/>
      <c r="AI14" s="9104"/>
      <c r="AJ14" s="9104"/>
      <c r="AK14" s="1127"/>
      <c r="AL14" s="9105" t="str">
        <f>IF($AM$13,"Because you","")</f>
        <v/>
      </c>
      <c r="AM14" s="9105"/>
      <c r="AN14" s="9105"/>
      <c r="AO14" s="2595"/>
      <c r="AP14" s="2595"/>
      <c r="AQ14" s="2595"/>
      <c r="AR14" s="2595"/>
      <c r="AS14" s="2595"/>
      <c r="AT14" s="2595"/>
      <c r="AU14" s="2595"/>
      <c r="AV14" s="2595"/>
      <c r="AW14" s="2595"/>
      <c r="AX14" s="2595"/>
      <c r="AY14" s="42"/>
      <c r="AZ14" s="42"/>
    </row>
    <row r="15" spans="1:52" s="3402" customFormat="1" ht="18.75" customHeight="1">
      <c r="A15" s="1127"/>
      <c r="B15" s="7441"/>
      <c r="C15" s="7441"/>
      <c r="D15" s="7441"/>
      <c r="E15" s="7441"/>
      <c r="F15" s="7441"/>
      <c r="G15" s="7441"/>
      <c r="H15" s="7441"/>
      <c r="I15" s="9192"/>
      <c r="J15" s="9183"/>
      <c r="K15" s="9184"/>
      <c r="L15" s="9184"/>
      <c r="M15" s="9184"/>
      <c r="N15" s="9184"/>
      <c r="O15" s="9184"/>
      <c r="P15" s="9184"/>
      <c r="Q15" s="9184"/>
      <c r="R15" s="9184"/>
      <c r="S15" s="9184"/>
      <c r="T15" s="9184"/>
      <c r="U15" s="9184"/>
      <c r="V15" s="9184"/>
      <c r="W15" s="9184"/>
      <c r="X15" s="9184"/>
      <c r="Y15" s="9184"/>
      <c r="Z15" s="9184"/>
      <c r="AA15" s="9184"/>
      <c r="AB15" s="9184"/>
      <c r="AC15" s="9185"/>
      <c r="AD15" s="9183"/>
      <c r="AE15" s="9184"/>
      <c r="AF15" s="9184"/>
      <c r="AG15" s="9184"/>
      <c r="AH15" s="9184"/>
      <c r="AI15" s="9184"/>
      <c r="AJ15" s="9184"/>
      <c r="AK15" s="1127"/>
      <c r="AL15" s="9110" t="str">
        <f>IF($AM$13,"converted an IRA to","")</f>
        <v/>
      </c>
      <c r="AM15" s="9110"/>
      <c r="AN15" s="9110"/>
      <c r="AO15" s="2595"/>
      <c r="AP15" s="2595"/>
      <c r="AQ15" s="2595"/>
      <c r="AR15" s="2595"/>
      <c r="AS15" s="2595"/>
      <c r="AT15" s="2595"/>
      <c r="AU15" s="2595"/>
      <c r="AV15" s="2595"/>
      <c r="AW15" s="2595"/>
      <c r="AX15" s="2595"/>
      <c r="AY15" s="42"/>
      <c r="AZ15" s="42"/>
    </row>
    <row r="16" spans="1:52" s="3402" customFormat="1" ht="15.75" customHeight="1">
      <c r="A16" s="1127"/>
      <c r="B16" s="7441"/>
      <c r="C16" s="7441"/>
      <c r="D16" s="7441"/>
      <c r="E16" s="7441"/>
      <c r="F16" s="7441"/>
      <c r="G16" s="7441"/>
      <c r="H16" s="7441"/>
      <c r="I16" s="9192"/>
      <c r="J16" s="9186" t="s">
        <v>3785</v>
      </c>
      <c r="K16" s="9187"/>
      <c r="L16" s="9187"/>
      <c r="M16" s="9187"/>
      <c r="N16" s="9187"/>
      <c r="O16" s="9187"/>
      <c r="P16" s="9187"/>
      <c r="Q16" s="9187"/>
      <c r="R16" s="9187"/>
      <c r="S16" s="9187"/>
      <c r="T16" s="9187"/>
      <c r="U16" s="9187"/>
      <c r="V16" s="9187"/>
      <c r="W16" s="9187"/>
      <c r="X16" s="9187"/>
      <c r="Y16" s="9187"/>
      <c r="Z16" s="9187"/>
      <c r="AA16" s="9187"/>
      <c r="AB16" s="9187"/>
      <c r="AC16" s="9187"/>
      <c r="AD16" s="9187"/>
      <c r="AE16" s="9187"/>
      <c r="AF16" s="9187"/>
      <c r="AG16" s="9187"/>
      <c r="AH16" s="9187"/>
      <c r="AI16" s="9187"/>
      <c r="AJ16" s="9187"/>
      <c r="AK16" s="1127"/>
      <c r="AL16" s="9105" t="str">
        <f>IF($AM$13,"a Roth IRA, be sure","")</f>
        <v/>
      </c>
      <c r="AM16" s="9105"/>
      <c r="AN16" s="9105"/>
      <c r="AO16" s="2595"/>
      <c r="AP16" s="2595"/>
      <c r="AQ16" s="2595"/>
      <c r="AR16" s="2595"/>
      <c r="AS16" s="2595"/>
      <c r="AT16" s="2595"/>
      <c r="AU16" s="2595"/>
      <c r="AV16" s="2595"/>
      <c r="AW16" s="2595"/>
      <c r="AX16" s="2595"/>
      <c r="AY16" s="42"/>
      <c r="AZ16" s="42"/>
    </row>
    <row r="17" spans="1:52" s="3402" customFormat="1" ht="18.75" customHeight="1">
      <c r="A17" s="1127"/>
      <c r="B17" s="7441"/>
      <c r="C17" s="7441"/>
      <c r="D17" s="7441"/>
      <c r="E17" s="7441"/>
      <c r="F17" s="7441"/>
      <c r="G17" s="7441"/>
      <c r="H17" s="7441"/>
      <c r="I17" s="9192"/>
      <c r="J17" s="9183"/>
      <c r="K17" s="9184"/>
      <c r="L17" s="9184"/>
      <c r="M17" s="9184"/>
      <c r="N17" s="9184"/>
      <c r="O17" s="9184"/>
      <c r="P17" s="9184"/>
      <c r="Q17" s="9184"/>
      <c r="R17" s="9184"/>
      <c r="S17" s="9184"/>
      <c r="T17" s="9184"/>
      <c r="U17" s="9184"/>
      <c r="V17" s="9184"/>
      <c r="W17" s="9184"/>
      <c r="X17" s="9184"/>
      <c r="Y17" s="9184"/>
      <c r="Z17" s="9184"/>
      <c r="AA17" s="9184"/>
      <c r="AB17" s="9184"/>
      <c r="AC17" s="9184"/>
      <c r="AD17" s="9184"/>
      <c r="AE17" s="9184"/>
      <c r="AF17" s="9184"/>
      <c r="AG17" s="9184"/>
      <c r="AH17" s="9184"/>
      <c r="AI17" s="9184"/>
      <c r="AJ17" s="9184"/>
      <c r="AK17" s="1127"/>
      <c r="AL17" s="9105" t="str">
        <f>IF($AM$13,"to complete Part I","")</f>
        <v/>
      </c>
      <c r="AM17" s="9105"/>
      <c r="AN17" s="9105"/>
      <c r="AO17" s="2595"/>
      <c r="AP17" s="2595"/>
      <c r="AQ17" s="2595"/>
      <c r="AR17" s="2595"/>
      <c r="AS17" s="2595"/>
      <c r="AT17" s="2595"/>
      <c r="AU17" s="2595"/>
      <c r="AV17" s="2595"/>
      <c r="AW17" s="2595"/>
      <c r="AX17" s="2595"/>
      <c r="AY17" s="42"/>
      <c r="AZ17" s="42"/>
    </row>
    <row r="18" spans="1:52" s="3402" customFormat="1" ht="15.75" customHeight="1">
      <c r="A18" s="1127"/>
      <c r="B18" s="7441"/>
      <c r="C18" s="7441"/>
      <c r="D18" s="7441"/>
      <c r="E18" s="7441"/>
      <c r="F18" s="7441"/>
      <c r="G18" s="7441"/>
      <c r="H18" s="7441"/>
      <c r="I18" s="9192"/>
      <c r="J18" s="3021" t="s">
        <v>3787</v>
      </c>
      <c r="K18" s="2731"/>
      <c r="L18" s="2731"/>
      <c r="M18" s="2731"/>
      <c r="N18" s="2731"/>
      <c r="O18" s="2731"/>
      <c r="P18" s="2731"/>
      <c r="Q18" s="2731"/>
      <c r="R18" s="2731"/>
      <c r="S18" s="2731"/>
      <c r="T18" s="3021" t="s">
        <v>3788</v>
      </c>
      <c r="U18" s="2731"/>
      <c r="V18" s="2731"/>
      <c r="W18" s="2731"/>
      <c r="X18" s="2731"/>
      <c r="Y18" s="2731"/>
      <c r="Z18" s="2731"/>
      <c r="AA18" s="2731"/>
      <c r="AB18" s="2732"/>
      <c r="AC18" s="2731" t="s">
        <v>3789</v>
      </c>
      <c r="AD18" s="2731"/>
      <c r="AE18" s="2731"/>
      <c r="AF18" s="2731"/>
      <c r="AG18" s="2731"/>
      <c r="AH18" s="2731"/>
      <c r="AI18" s="2731"/>
      <c r="AJ18" s="2731"/>
      <c r="AK18" s="1127"/>
      <c r="AL18" s="9105" t="str">
        <f>IF($AM$13,"or Part II of this form.","")</f>
        <v/>
      </c>
      <c r="AM18" s="9105"/>
      <c r="AN18" s="9105"/>
      <c r="AO18" s="2595"/>
      <c r="AP18" s="2595"/>
      <c r="AQ18" s="2595"/>
      <c r="AR18" s="2595"/>
      <c r="AS18" s="2595"/>
      <c r="AT18" s="2595"/>
      <c r="AU18" s="2595"/>
      <c r="AV18" s="2595"/>
      <c r="AW18" s="2595"/>
      <c r="AX18" s="2595"/>
      <c r="AY18" s="42"/>
      <c r="AZ18" s="42"/>
    </row>
    <row r="19" spans="1:52" s="3402" customFormat="1" ht="18.75" customHeight="1">
      <c r="A19" s="1127"/>
      <c r="B19" s="9193"/>
      <c r="C19" s="9193"/>
      <c r="D19" s="9193"/>
      <c r="E19" s="9193"/>
      <c r="F19" s="9193"/>
      <c r="G19" s="9193"/>
      <c r="H19" s="9193"/>
      <c r="I19" s="9194"/>
      <c r="J19" s="9183"/>
      <c r="K19" s="9184"/>
      <c r="L19" s="9184"/>
      <c r="M19" s="9184"/>
      <c r="N19" s="9184"/>
      <c r="O19" s="9184"/>
      <c r="P19" s="9184"/>
      <c r="Q19" s="9184"/>
      <c r="R19" s="9184"/>
      <c r="S19" s="9185"/>
      <c r="T19" s="9183"/>
      <c r="U19" s="9184"/>
      <c r="V19" s="9184"/>
      <c r="W19" s="9184"/>
      <c r="X19" s="9184"/>
      <c r="Y19" s="9184"/>
      <c r="Z19" s="9184"/>
      <c r="AA19" s="9184"/>
      <c r="AB19" s="9185"/>
      <c r="AC19" s="9183"/>
      <c r="AD19" s="9184"/>
      <c r="AE19" s="9184"/>
      <c r="AF19" s="9184"/>
      <c r="AG19" s="9184"/>
      <c r="AH19" s="9184"/>
      <c r="AI19" s="9184"/>
      <c r="AJ19" s="9184"/>
      <c r="AK19" s="1127"/>
      <c r="AL19" s="1179"/>
      <c r="AM19" s="1179"/>
      <c r="AN19" s="1179"/>
      <c r="AO19" s="2595"/>
      <c r="AP19" s="2595"/>
      <c r="AQ19" s="2595"/>
      <c r="AR19" s="2595"/>
      <c r="AS19" s="2595"/>
      <c r="AT19" s="2595"/>
      <c r="AU19" s="2595"/>
      <c r="AV19" s="2595"/>
      <c r="AW19" s="2595"/>
      <c r="AX19" s="2595"/>
      <c r="AY19" s="42"/>
      <c r="AZ19" s="42"/>
    </row>
    <row r="20" spans="1:52" s="3402" customFormat="1" ht="16.5" customHeight="1">
      <c r="A20" s="1127"/>
      <c r="B20" s="8524" t="s">
        <v>51</v>
      </c>
      <c r="C20" s="8524"/>
      <c r="D20" s="4452"/>
      <c r="E20" s="9121" t="s">
        <v>3791</v>
      </c>
      <c r="F20" s="9121"/>
      <c r="G20" s="9121"/>
      <c r="H20" s="9121"/>
      <c r="I20" s="9121"/>
      <c r="J20" s="9121"/>
      <c r="K20" s="9121"/>
      <c r="L20" s="9121"/>
      <c r="M20" s="9121"/>
      <c r="N20" s="9121"/>
      <c r="O20" s="9121"/>
      <c r="P20" s="9121"/>
      <c r="Q20" s="9121"/>
      <c r="R20" s="9121"/>
      <c r="S20" s="9121"/>
      <c r="T20" s="9121"/>
      <c r="U20" s="9121"/>
      <c r="V20" s="9121"/>
      <c r="W20" s="9121"/>
      <c r="X20" s="9121"/>
      <c r="Y20" s="9121"/>
      <c r="Z20" s="9121"/>
      <c r="AA20" s="9121"/>
      <c r="AB20" s="9121"/>
      <c r="AC20" s="9121"/>
      <c r="AD20" s="9121"/>
      <c r="AE20" s="9121"/>
      <c r="AF20" s="9121"/>
      <c r="AG20" s="9121"/>
      <c r="AH20" s="9121"/>
      <c r="AI20" s="9121"/>
      <c r="AJ20" s="9121"/>
      <c r="AK20" s="1127"/>
      <c r="AL20" s="1179"/>
      <c r="AM20" s="1179"/>
      <c r="AN20" s="1179"/>
      <c r="AO20" s="2595"/>
      <c r="AP20" s="4380"/>
      <c r="AQ20" s="2595"/>
      <c r="AR20" s="2595"/>
      <c r="AS20" s="2595"/>
      <c r="AT20" s="2595"/>
      <c r="AU20" s="2595"/>
      <c r="AV20" s="2595"/>
      <c r="AW20" s="2595"/>
      <c r="AX20" s="2595"/>
      <c r="AY20" s="42"/>
      <c r="AZ20" s="42"/>
    </row>
    <row r="21" spans="1:52" s="3402" customFormat="1" ht="16.5" customHeight="1">
      <c r="A21" s="1127"/>
      <c r="B21" s="1553"/>
      <c r="C21" s="4462"/>
      <c r="D21" s="1553"/>
      <c r="E21" s="4453" t="s">
        <v>3792</v>
      </c>
      <c r="F21" s="1553"/>
      <c r="G21" s="1553"/>
      <c r="H21" s="1553"/>
      <c r="I21" s="1553"/>
      <c r="J21" s="1553"/>
      <c r="K21" s="1553"/>
      <c r="L21" s="1553"/>
      <c r="M21" s="1553"/>
      <c r="N21" s="1553"/>
      <c r="O21" s="1553"/>
      <c r="P21" s="1553"/>
      <c r="Q21" s="1553"/>
      <c r="R21" s="1553"/>
      <c r="S21" s="1553"/>
      <c r="T21" s="1553"/>
      <c r="U21" s="1553"/>
      <c r="V21" s="1553"/>
      <c r="W21" s="1553"/>
      <c r="X21" s="1553"/>
      <c r="Y21" s="1553"/>
      <c r="Z21" s="1553"/>
      <c r="AA21" s="1553"/>
      <c r="AB21" s="1553"/>
      <c r="AC21" s="1553"/>
      <c r="AD21" s="1553"/>
      <c r="AE21" s="1553"/>
      <c r="AF21" s="1553"/>
      <c r="AG21" s="1553"/>
      <c r="AH21" s="1553"/>
      <c r="AI21" s="1553"/>
      <c r="AJ21" s="1553"/>
      <c r="AK21" s="1127"/>
      <c r="AL21" s="1179"/>
      <c r="AM21" s="1179"/>
      <c r="AN21" s="1179"/>
      <c r="AO21" s="2595"/>
      <c r="AP21" s="4380"/>
      <c r="AQ21" s="2595"/>
      <c r="AR21" s="2595"/>
      <c r="AS21" s="2595"/>
      <c r="AT21" s="2595"/>
      <c r="AU21" s="2595"/>
      <c r="AV21" s="2595"/>
      <c r="AW21" s="2595"/>
      <c r="AX21" s="2595"/>
      <c r="AY21" s="42"/>
      <c r="AZ21" s="42"/>
    </row>
    <row r="22" spans="1:52" s="3402" customFormat="1" ht="15" customHeight="1">
      <c r="A22" s="1127"/>
      <c r="B22" s="1179"/>
      <c r="C22" s="1556"/>
      <c r="D22" s="2686"/>
      <c r="E22" s="2944" t="s">
        <v>1275</v>
      </c>
      <c r="F22" s="2686" t="str">
        <f>"You made nondeductible contributions to a traditional IRA for "&amp;TaxYear&amp;"."</f>
        <v>You made nondeductible contributions to a traditional IRA for 2021.</v>
      </c>
      <c r="G22" s="1179"/>
      <c r="H22" s="1179"/>
      <c r="I22" s="1179"/>
      <c r="J22" s="1179"/>
      <c r="K22" s="1179"/>
      <c r="L22" s="1179"/>
      <c r="M22" s="1179"/>
      <c r="N22" s="1179"/>
      <c r="O22" s="1179"/>
      <c r="P22" s="1179"/>
      <c r="Q22" s="1179"/>
      <c r="R22" s="1179"/>
      <c r="S22" s="1179"/>
      <c r="T22" s="1179"/>
      <c r="U22" s="1179"/>
      <c r="V22" s="1179"/>
      <c r="W22" s="1179"/>
      <c r="X22" s="1179"/>
      <c r="Y22" s="1179"/>
      <c r="Z22" s="1179"/>
      <c r="AA22" s="1179"/>
      <c r="AB22" s="1179"/>
      <c r="AC22" s="1179"/>
      <c r="AD22" s="1179"/>
      <c r="AE22" s="1179"/>
      <c r="AF22" s="1179"/>
      <c r="AG22" s="1179"/>
      <c r="AH22" s="1179"/>
      <c r="AI22" s="1179"/>
      <c r="AJ22" s="1179"/>
      <c r="AK22" s="1127"/>
      <c r="AL22" s="1179"/>
      <c r="AM22" s="1179"/>
      <c r="AN22" s="1179"/>
      <c r="AO22" s="2595"/>
      <c r="AP22" s="4380"/>
      <c r="AQ22" s="2595"/>
      <c r="AR22" s="2595"/>
      <c r="AS22" s="2595"/>
      <c r="AT22" s="2595"/>
      <c r="AU22" s="2595"/>
      <c r="AV22" s="2595"/>
      <c r="AW22" s="2595"/>
      <c r="AX22" s="2595"/>
      <c r="AY22" s="42"/>
      <c r="AZ22" s="42"/>
    </row>
    <row r="23" spans="1:52" s="3402" customFormat="1" ht="15" customHeight="1">
      <c r="A23" s="1127"/>
      <c r="B23" s="1179"/>
      <c r="C23" s="1556"/>
      <c r="D23" s="2686"/>
      <c r="E23" s="2944" t="s">
        <v>1275</v>
      </c>
      <c r="F23" s="2686" t="str">
        <f>"You took distributions from a traditional,  SEP,  or  SIMPLE IRA in "&amp;TaxYear</f>
        <v>You took distributions from a traditional,  SEP,  or  SIMPLE IRA in 2021</v>
      </c>
      <c r="G23" s="1179"/>
      <c r="H23" s="1179"/>
      <c r="I23" s="1179"/>
      <c r="J23" s="1179"/>
      <c r="K23" s="1179"/>
      <c r="L23" s="1179"/>
      <c r="M23" s="1179"/>
      <c r="N23" s="1179"/>
      <c r="O23" s="1179"/>
      <c r="P23" s="1179"/>
      <c r="Q23" s="1179"/>
      <c r="R23" s="1179"/>
      <c r="S23" s="1179"/>
      <c r="T23" s="1179"/>
      <c r="U23" s="1179"/>
      <c r="V23" s="1179"/>
      <c r="W23" s="2686" t="s">
        <v>3857</v>
      </c>
      <c r="X23" s="1179"/>
      <c r="Y23" s="1179"/>
      <c r="Z23" s="1179"/>
      <c r="AA23" s="1179"/>
      <c r="AB23" s="1179"/>
      <c r="AC23" s="1179"/>
      <c r="AD23" s="1179"/>
      <c r="AE23" s="1179"/>
      <c r="AF23" s="1179"/>
      <c r="AG23" s="1179"/>
      <c r="AH23" s="1179"/>
      <c r="AI23" s="1179"/>
      <c r="AJ23" s="1179"/>
      <c r="AK23" s="1127"/>
      <c r="AL23" s="1179"/>
      <c r="AM23" s="1179"/>
      <c r="AN23" s="1179"/>
      <c r="AO23" s="2595"/>
      <c r="AP23" s="4380"/>
      <c r="AQ23" s="2595"/>
      <c r="AR23" s="2595"/>
      <c r="AS23" s="2595"/>
      <c r="AT23" s="2595"/>
      <c r="AU23" s="2595"/>
      <c r="AV23" s="2595"/>
      <c r="AW23" s="2595"/>
      <c r="AX23" s="2595"/>
      <c r="AY23" s="42"/>
      <c r="AZ23" s="42"/>
    </row>
    <row r="24" spans="1:52" s="3402" customFormat="1" ht="14.25">
      <c r="A24" s="1127"/>
      <c r="B24" s="1179"/>
      <c r="C24" s="1927"/>
      <c r="D24" s="1179"/>
      <c r="E24" s="1179"/>
      <c r="F24" s="2686" t="str">
        <f>"traditional IRA in "&amp;TaxYear&amp;" or an earlier year. For this purpose, a distribution does not include a rollover (other than a"</f>
        <v>traditional IRA in 2021 or an earlier year. For this purpose, a distribution does not include a rollover (other than a</v>
      </c>
      <c r="G24" s="2686"/>
      <c r="H24" s="1179"/>
      <c r="I24" s="1179"/>
      <c r="J24" s="1179"/>
      <c r="K24" s="1179"/>
      <c r="L24" s="1179"/>
      <c r="M24" s="1179"/>
      <c r="N24" s="1179"/>
      <c r="O24" s="1179"/>
      <c r="P24" s="1179"/>
      <c r="Q24" s="1179"/>
      <c r="R24" s="1179"/>
      <c r="S24" s="1179"/>
      <c r="T24" s="1179"/>
      <c r="U24" s="1179"/>
      <c r="V24" s="1179"/>
      <c r="W24" s="1179"/>
      <c r="X24" s="1179"/>
      <c r="Y24" s="1179"/>
      <c r="Z24" s="1179"/>
      <c r="AA24" s="1179"/>
      <c r="AB24" s="1179"/>
      <c r="AC24" s="1179"/>
      <c r="AD24" s="1179"/>
      <c r="AE24" s="1179"/>
      <c r="AF24" s="1179"/>
      <c r="AG24" s="1179"/>
      <c r="AH24" s="1179"/>
      <c r="AI24" s="1179"/>
      <c r="AJ24" s="1179"/>
      <c r="AK24" s="1127"/>
      <c r="AL24" s="1179"/>
      <c r="AM24" s="1179"/>
      <c r="AN24" s="1179"/>
      <c r="AO24" s="2595"/>
      <c r="AP24" s="2595"/>
      <c r="AQ24" s="2595"/>
      <c r="AR24" s="2595"/>
      <c r="AS24" s="2595"/>
      <c r="AT24" s="2595"/>
      <c r="AU24" s="2595"/>
      <c r="AV24" s="2595"/>
      <c r="AW24" s="2595"/>
      <c r="AX24" s="2595"/>
      <c r="AY24" s="42"/>
      <c r="AZ24" s="42"/>
    </row>
    <row r="25" spans="1:52" s="3402" customFormat="1" ht="14.25">
      <c r="A25" s="1127"/>
      <c r="B25" s="1179"/>
      <c r="C25" s="1927"/>
      <c r="D25" s="1179"/>
      <c r="E25" s="1179"/>
      <c r="F25" s="2686" t="str">
        <f>"repayment of a qualified disaster distribution (see "&amp;TaxYear&amp;" Forms 8915-D and 8915-E)), qualified charitable,"</f>
        <v>repayment of a qualified disaster distribution (see 2021 Forms 8915-D and 8915-E)), qualified charitable,</v>
      </c>
      <c r="G25" s="2686"/>
      <c r="H25" s="1179"/>
      <c r="I25" s="1179"/>
      <c r="J25" s="1179"/>
      <c r="K25" s="1179"/>
      <c r="L25" s="1179"/>
      <c r="M25" s="1179"/>
      <c r="N25" s="1179"/>
      <c r="O25" s="1179"/>
      <c r="P25" s="1179"/>
      <c r="Q25" s="1179"/>
      <c r="R25" s="1179"/>
      <c r="S25" s="1179"/>
      <c r="T25" s="1179"/>
      <c r="U25" s="1179"/>
      <c r="V25" s="1179"/>
      <c r="W25" s="1179"/>
      <c r="X25" s="1179"/>
      <c r="Y25" s="1179"/>
      <c r="Z25" s="1179"/>
      <c r="AA25" s="1179"/>
      <c r="AB25" s="1179"/>
      <c r="AC25" s="1179"/>
      <c r="AD25" s="1179"/>
      <c r="AE25" s="1179"/>
      <c r="AF25" s="1179"/>
      <c r="AG25" s="1179"/>
      <c r="AH25" s="1179"/>
      <c r="AI25" s="1179"/>
      <c r="AJ25" s="1179"/>
      <c r="AK25" s="1127"/>
      <c r="AL25" s="1179"/>
      <c r="AM25" s="1179"/>
      <c r="AN25" s="1179"/>
      <c r="AO25" s="2595"/>
      <c r="AP25" s="2595"/>
      <c r="AQ25" s="2595"/>
      <c r="AR25" s="2595"/>
      <c r="AS25" s="2595"/>
      <c r="AT25" s="2595"/>
      <c r="AU25" s="2595"/>
      <c r="AV25" s="2595"/>
      <c r="AW25" s="2595"/>
      <c r="AX25" s="2595"/>
      <c r="AY25" s="42"/>
      <c r="AZ25" s="42"/>
    </row>
    <row r="26" spans="1:52" s="3402" customFormat="1" ht="14.25">
      <c r="A26" s="1127"/>
      <c r="B26" s="1179"/>
      <c r="C26" s="1927"/>
      <c r="D26" s="1179"/>
      <c r="E26" s="1179"/>
      <c r="F26" s="2686" t="s">
        <v>4236</v>
      </c>
      <c r="G26" s="2686"/>
      <c r="H26" s="1179"/>
      <c r="I26" s="1179"/>
      <c r="J26" s="1179"/>
      <c r="K26" s="1179"/>
      <c r="L26" s="1179"/>
      <c r="M26" s="1179"/>
      <c r="N26" s="1179"/>
      <c r="O26" s="1179"/>
      <c r="P26" s="1179"/>
      <c r="Q26" s="1179"/>
      <c r="R26" s="1179"/>
      <c r="S26" s="1179"/>
      <c r="T26" s="1179"/>
      <c r="U26" s="1179"/>
      <c r="V26" s="1179"/>
      <c r="W26" s="1179"/>
      <c r="X26" s="1179"/>
      <c r="Y26" s="1179"/>
      <c r="Z26" s="1179"/>
      <c r="AA26" s="1179"/>
      <c r="AB26" s="1179"/>
      <c r="AC26" s="1179"/>
      <c r="AD26" s="1179"/>
      <c r="AE26" s="1179"/>
      <c r="AF26" s="1179"/>
      <c r="AG26" s="1179"/>
      <c r="AH26" s="1179"/>
      <c r="AI26" s="1179"/>
      <c r="AJ26" s="1179"/>
      <c r="AK26" s="1127"/>
      <c r="AL26" s="1179"/>
      <c r="AM26" s="1179"/>
      <c r="AN26" s="1179"/>
      <c r="AO26" s="2595"/>
      <c r="AP26" s="2595"/>
      <c r="AQ26" s="2595"/>
      <c r="AR26" s="2595"/>
      <c r="AS26" s="2595"/>
      <c r="AT26" s="2595"/>
      <c r="AU26" s="2595"/>
      <c r="AV26" s="2595"/>
      <c r="AW26" s="2595"/>
      <c r="AX26" s="2595"/>
      <c r="AY26" s="42"/>
      <c r="AZ26" s="42"/>
    </row>
    <row r="27" spans="1:52" s="3402" customFormat="1" ht="16.5" customHeight="1">
      <c r="A27" s="1127"/>
      <c r="B27" s="1179"/>
      <c r="C27" s="1927"/>
      <c r="D27" s="1179"/>
      <c r="E27" s="2944" t="s">
        <v>1275</v>
      </c>
      <c r="F27" s="2686" t="str">
        <f>"You converted part, but not all, of your traditional, SEP, and SIMPLE IRAs to Roth IRAs in "&amp;TaxYear</f>
        <v>You converted part, but not all, of your traditional, SEP, and SIMPLE IRAs to Roth IRAs in 2021</v>
      </c>
      <c r="G27" s="2686"/>
      <c r="H27" s="1179"/>
      <c r="I27" s="1179"/>
      <c r="J27" s="1179"/>
      <c r="K27" s="1179"/>
      <c r="L27" s="1179"/>
      <c r="M27" s="1179"/>
      <c r="N27" s="1179"/>
      <c r="O27" s="1179"/>
      <c r="P27" s="1179"/>
      <c r="Q27" s="1179"/>
      <c r="R27" s="1179"/>
      <c r="S27" s="1179"/>
      <c r="T27" s="1179"/>
      <c r="U27" s="1179"/>
      <c r="V27" s="1179"/>
      <c r="W27" s="1179"/>
      <c r="X27" s="1179"/>
      <c r="Y27" s="1179"/>
      <c r="Z27" s="1179"/>
      <c r="AA27" s="1179"/>
      <c r="AB27" s="1179"/>
      <c r="AC27" s="2686" t="s">
        <v>3858</v>
      </c>
      <c r="AD27" s="1179"/>
      <c r="AE27" s="1179"/>
      <c r="AF27" s="1179"/>
      <c r="AG27" s="1179"/>
      <c r="AH27" s="1179"/>
      <c r="AI27" s="1179"/>
      <c r="AJ27" s="1179"/>
      <c r="AK27" s="1127"/>
      <c r="AL27" s="1179"/>
      <c r="AM27" s="1179"/>
      <c r="AN27" s="1179"/>
      <c r="AO27" s="2595"/>
      <c r="AP27" s="2595"/>
      <c r="AQ27" s="2595"/>
      <c r="AR27" s="2595"/>
      <c r="AS27" s="2595"/>
      <c r="AT27" s="2595"/>
      <c r="AU27" s="2595"/>
      <c r="AV27" s="2595"/>
      <c r="AW27" s="2595"/>
      <c r="AX27" s="2595"/>
      <c r="AY27" s="42"/>
      <c r="AZ27" s="42"/>
    </row>
    <row r="28" spans="1:52" s="3402" customFormat="1" ht="14.25">
      <c r="A28" s="1127"/>
      <c r="B28" s="1553"/>
      <c r="C28" s="4462"/>
      <c r="D28" s="1553"/>
      <c r="E28" s="1553"/>
      <c r="F28" s="2791" t="str">
        <f>"nondeductible contributions to a traditional IRA in "&amp;TaxYear&amp;" or an earlier year."</f>
        <v>nondeductible contributions to a traditional IRA in 2021 or an earlier year.</v>
      </c>
      <c r="G28" s="2791"/>
      <c r="H28" s="1553"/>
      <c r="I28" s="1553"/>
      <c r="J28" s="1553"/>
      <c r="K28" s="1553"/>
      <c r="L28" s="1553"/>
      <c r="M28" s="1553"/>
      <c r="N28" s="1553"/>
      <c r="O28" s="1553"/>
      <c r="P28" s="1553"/>
      <c r="Q28" s="1553"/>
      <c r="R28" s="1553"/>
      <c r="S28" s="1553"/>
      <c r="T28" s="1553"/>
      <c r="U28" s="1553"/>
      <c r="V28" s="1553"/>
      <c r="W28" s="1553"/>
      <c r="X28" s="1553"/>
      <c r="Y28" s="1553"/>
      <c r="Z28" s="1553"/>
      <c r="AA28" s="1553"/>
      <c r="AB28" s="1553"/>
      <c r="AC28" s="1553"/>
      <c r="AD28" s="1553"/>
      <c r="AE28" s="1553"/>
      <c r="AF28" s="1553"/>
      <c r="AG28" s="1553"/>
      <c r="AH28" s="1553"/>
      <c r="AI28" s="1553"/>
      <c r="AJ28" s="1553"/>
      <c r="AK28" s="1127"/>
      <c r="AL28" s="1179"/>
      <c r="AM28" s="1179"/>
      <c r="AN28" s="1179"/>
      <c r="AO28" s="2595"/>
      <c r="AP28" s="2595"/>
      <c r="AQ28" s="2595"/>
      <c r="AR28" s="2595"/>
      <c r="AS28" s="2595"/>
      <c r="AT28" s="2595"/>
      <c r="AU28" s="2595"/>
      <c r="AV28" s="2595"/>
      <c r="AW28" s="2595"/>
      <c r="AX28" s="2595"/>
      <c r="AY28" s="42"/>
      <c r="AZ28" s="42"/>
    </row>
    <row r="29" spans="1:52" s="3402" customFormat="1" ht="15.75">
      <c r="A29" s="1127"/>
      <c r="B29" s="1179"/>
      <c r="C29" s="4507" t="s">
        <v>148</v>
      </c>
      <c r="D29" s="2686" t="str">
        <f>"Enter your nondeductible contributions to traditional IRAs for "&amp;TaxYear&amp;", including those made for "&amp;TaxYear</f>
        <v>Enter your nondeductible contributions to traditional IRAs for 2021, including those made for 2021</v>
      </c>
      <c r="E29" s="1179"/>
      <c r="F29" s="2686"/>
      <c r="G29" s="2686"/>
      <c r="H29" s="1179"/>
      <c r="I29" s="1179"/>
      <c r="J29" s="1179"/>
      <c r="K29" s="1179"/>
      <c r="L29" s="1179"/>
      <c r="M29" s="1179"/>
      <c r="N29" s="1179"/>
      <c r="O29" s="1179"/>
      <c r="P29" s="1179"/>
      <c r="Q29" s="1179"/>
      <c r="R29" s="1179"/>
      <c r="S29" s="1179"/>
      <c r="T29" s="1179"/>
      <c r="U29" s="1179"/>
      <c r="V29" s="1179"/>
      <c r="W29" s="1179"/>
      <c r="X29" s="1179"/>
      <c r="Y29" s="1179"/>
      <c r="Z29" s="1179"/>
      <c r="AA29" s="1179"/>
      <c r="AB29" s="1179"/>
      <c r="AC29" s="1179"/>
      <c r="AD29" s="1558"/>
      <c r="AE29" s="9124"/>
      <c r="AF29" s="9125"/>
      <c r="AG29" s="9125"/>
      <c r="AH29" s="9125"/>
      <c r="AI29" s="9125"/>
      <c r="AJ29" s="9125"/>
      <c r="AK29" s="1127"/>
      <c r="AL29" s="1179"/>
      <c r="AM29" s="1179"/>
      <c r="AN29" s="1179"/>
      <c r="AO29" s="2595"/>
      <c r="AP29" s="2595"/>
      <c r="AQ29" s="2595"/>
      <c r="AR29" s="2595"/>
      <c r="AS29" s="2595"/>
      <c r="AT29" s="2595"/>
      <c r="AU29" s="2595"/>
      <c r="AV29" s="2595"/>
      <c r="AW29" s="2595"/>
      <c r="AX29" s="2595"/>
      <c r="AY29" s="42"/>
      <c r="AZ29" s="42"/>
    </row>
    <row r="30" spans="1:52" s="3402" customFormat="1" ht="15" customHeight="1">
      <c r="A30" s="1127"/>
      <c r="B30" s="1179"/>
      <c r="C30" s="3838"/>
      <c r="D30" s="2686" t="str">
        <f>"from January 1, "&amp;TaxYear+1&amp;", through "&amp;TEXT(TaxDay,"mmmm dd")&amp;", "&amp;TaxYear+1&amp;". See instructions"</f>
        <v>from January 1, 2022, through April 18, 2022. See instructions</v>
      </c>
      <c r="E30" s="1179"/>
      <c r="F30" s="1179"/>
      <c r="G30" s="1179"/>
      <c r="H30" s="1179"/>
      <c r="I30" s="1179"/>
      <c r="J30" s="1179"/>
      <c r="K30" s="1179"/>
      <c r="L30" s="1179"/>
      <c r="M30" s="1179"/>
      <c r="N30" s="1179"/>
      <c r="O30" s="1179"/>
      <c r="P30" s="1179"/>
      <c r="Q30" s="1179"/>
      <c r="R30" s="1179"/>
      <c r="S30" s="1179"/>
      <c r="T30" s="1179"/>
      <c r="U30" s="1179"/>
      <c r="V30" s="1179"/>
      <c r="W30" s="1179"/>
      <c r="X30" s="1179"/>
      <c r="Y30" s="1179"/>
      <c r="Z30" s="1179"/>
      <c r="AA30" s="1179"/>
      <c r="AB30" s="1179"/>
      <c r="AC30" s="4099" t="s">
        <v>374</v>
      </c>
      <c r="AD30" s="1557">
        <v>1</v>
      </c>
      <c r="AE30" s="9122"/>
      <c r="AF30" s="9123"/>
      <c r="AG30" s="9123"/>
      <c r="AH30" s="9123"/>
      <c r="AI30" s="9123"/>
      <c r="AJ30" s="9123"/>
      <c r="AK30" s="1127"/>
      <c r="AL30" s="1179"/>
      <c r="AM30" s="1284" t="b">
        <f>AND(AE30="",AE31="")</f>
        <v>1</v>
      </c>
      <c r="AN30" s="1179"/>
      <c r="AO30" s="2595"/>
      <c r="AP30" s="2595"/>
      <c r="AQ30" s="2595"/>
      <c r="AR30" s="2595"/>
      <c r="AS30" s="2595"/>
      <c r="AT30" s="2595"/>
      <c r="AU30" s="2595"/>
      <c r="AV30" s="2595"/>
      <c r="AW30" s="2595"/>
      <c r="AX30" s="2595"/>
      <c r="AY30" s="42"/>
      <c r="AZ30" s="42"/>
    </row>
    <row r="31" spans="1:52" s="3402" customFormat="1" ht="15.75" customHeight="1" thickBot="1">
      <c r="A31" s="1127"/>
      <c r="B31" s="1179"/>
      <c r="C31" s="4507" t="s">
        <v>149</v>
      </c>
      <c r="D31" s="2686" t="s">
        <v>3794</v>
      </c>
      <c r="E31" s="1179"/>
      <c r="F31" s="1179"/>
      <c r="G31" s="1179"/>
      <c r="H31" s="1179"/>
      <c r="I31" s="1179"/>
      <c r="J31" s="1179"/>
      <c r="K31" s="1179"/>
      <c r="L31" s="1179"/>
      <c r="M31" s="1179"/>
      <c r="N31" s="1179"/>
      <c r="O31" s="1179"/>
      <c r="P31" s="1179"/>
      <c r="Q31" s="1179"/>
      <c r="R31" s="1179"/>
      <c r="S31" s="1179"/>
      <c r="T31" s="1179"/>
      <c r="U31" s="1179"/>
      <c r="V31" s="1179"/>
      <c r="W31" s="1179"/>
      <c r="X31" s="1179"/>
      <c r="Y31" s="1179"/>
      <c r="Z31" s="1179"/>
      <c r="AA31" s="1179"/>
      <c r="AB31" s="1179"/>
      <c r="AC31" s="4099" t="s">
        <v>567</v>
      </c>
      <c r="AD31" s="1557">
        <v>2</v>
      </c>
      <c r="AE31" s="9122"/>
      <c r="AF31" s="9123"/>
      <c r="AG31" s="9123"/>
      <c r="AH31" s="9123"/>
      <c r="AI31" s="9123"/>
      <c r="AJ31" s="9123"/>
      <c r="AK31" s="1127"/>
      <c r="AL31" s="1824"/>
      <c r="AM31" s="4281" t="b">
        <f>NOT(AM30)</f>
        <v>0</v>
      </c>
      <c r="AN31" s="1179"/>
      <c r="AO31" s="2595"/>
      <c r="AP31" s="2595"/>
      <c r="AQ31" s="2595"/>
      <c r="AR31" s="2595"/>
      <c r="AS31" s="2595"/>
      <c r="AT31" s="2595"/>
      <c r="AU31" s="2595"/>
      <c r="AV31" s="2595"/>
      <c r="AW31" s="2595"/>
      <c r="AX31" s="2595"/>
      <c r="AY31" s="42"/>
      <c r="AZ31" s="42"/>
    </row>
    <row r="32" spans="1:52" s="3402" customFormat="1" ht="15" customHeight="1" thickBot="1">
      <c r="A32" s="1127"/>
      <c r="B32" s="1179"/>
      <c r="C32" s="4507" t="s">
        <v>150</v>
      </c>
      <c r="D32" s="2686" t="s">
        <v>2103</v>
      </c>
      <c r="E32" s="1179"/>
      <c r="F32" s="1179"/>
      <c r="G32" s="1179"/>
      <c r="H32" s="1179"/>
      <c r="I32" s="1179"/>
      <c r="J32" s="1179"/>
      <c r="K32" s="1179"/>
      <c r="L32" s="1179"/>
      <c r="M32" s="1179"/>
      <c r="N32" s="1179"/>
      <c r="O32" s="1179"/>
      <c r="P32" s="1179"/>
      <c r="Q32" s="1179"/>
      <c r="R32" s="1179"/>
      <c r="S32" s="1179"/>
      <c r="T32" s="1179"/>
      <c r="U32" s="1179"/>
      <c r="V32" s="1179"/>
      <c r="W32" s="1179"/>
      <c r="X32" s="1179"/>
      <c r="Y32" s="1179"/>
      <c r="Z32" s="1179"/>
      <c r="AA32" s="1179"/>
      <c r="AB32" s="1179"/>
      <c r="AC32" s="4099" t="s">
        <v>575</v>
      </c>
      <c r="AD32" s="1557">
        <v>3</v>
      </c>
      <c r="AE32" s="9126" t="str">
        <f>IF(AM30,"",SUM(AE30:AE31))</f>
        <v/>
      </c>
      <c r="AF32" s="9127"/>
      <c r="AG32" s="9127"/>
      <c r="AH32" s="9127"/>
      <c r="AI32" s="9127"/>
      <c r="AJ32" s="9127"/>
      <c r="AK32" s="1127"/>
      <c r="AL32" s="4448"/>
      <c r="AM32" s="1925" t="str">
        <f>IF(OR(AL32&lt;&gt;"",AND(AL36="",NOT(AM34))),"Override 'No.'","")</f>
        <v/>
      </c>
      <c r="AN32" s="1179"/>
      <c r="AO32" s="2595"/>
      <c r="AP32" s="2595"/>
      <c r="AQ32" s="2595"/>
      <c r="AR32" s="2595"/>
      <c r="AS32" s="2595"/>
      <c r="AT32" s="2595"/>
      <c r="AU32" s="2595"/>
      <c r="AV32" s="2595"/>
      <c r="AW32" s="2595"/>
      <c r="AX32" s="2595"/>
      <c r="AY32" s="42"/>
      <c r="AZ32" s="42"/>
    </row>
    <row r="33" spans="1:52" s="3402" customFormat="1" ht="17.25" customHeight="1" thickBot="1">
      <c r="A33" s="1127"/>
      <c r="B33" s="1179"/>
      <c r="C33" s="4507"/>
      <c r="D33" s="4457" t="str">
        <f>"In "&amp;TaxYear&amp;", did you take a distribution"</f>
        <v>In 2021, did you take a distribution</v>
      </c>
      <c r="E33" s="4454"/>
      <c r="F33" s="4454"/>
      <c r="G33" s="4454"/>
      <c r="H33" s="4454"/>
      <c r="I33" s="4454"/>
      <c r="J33" s="4454"/>
      <c r="K33" s="4454"/>
      <c r="L33" s="4454"/>
      <c r="M33" s="4458"/>
      <c r="N33" s="1279"/>
      <c r="O33" s="1280"/>
      <c r="P33" s="7856" t="s">
        <v>272</v>
      </c>
      <c r="Q33" s="7856"/>
      <c r="R33" s="1280"/>
      <c r="S33" s="1280"/>
      <c r="T33" s="1276" t="s">
        <v>5456</v>
      </c>
      <c r="U33" s="1179"/>
      <c r="V33" s="1179"/>
      <c r="W33" s="1179"/>
      <c r="X33" s="1179"/>
      <c r="Y33" s="1179"/>
      <c r="Z33" s="1179"/>
      <c r="AA33" s="1179"/>
      <c r="AB33" s="1179"/>
      <c r="AC33" s="1583"/>
      <c r="AD33" s="1561"/>
      <c r="AE33" s="1284"/>
      <c r="AF33" s="1284"/>
      <c r="AG33" s="1284"/>
      <c r="AH33" s="1284"/>
      <c r="AI33" s="1284"/>
      <c r="AJ33" s="1284"/>
      <c r="AK33" s="1127"/>
      <c r="AL33" s="1860" t="str">
        <f>IF(AL36&lt;&gt;"","",IF(AL32&lt;&gt;"","X",IF(OR(AND(AL11&lt;&gt;"",OR('1099-R'!$M$4&gt;0,IRA_CONV_YOU&gt;0)),AND(AL12&lt;&gt;"",OR('1099-R'!$M$31&gt;0,IRA_CONV_SPOUSE&gt;0))),"","X")))</f>
        <v>X</v>
      </c>
      <c r="AM33" s="1925" t="s">
        <v>414</v>
      </c>
      <c r="AN33" s="1179"/>
      <c r="AO33" s="2595"/>
      <c r="AP33" s="2595"/>
      <c r="AQ33" s="2595"/>
      <c r="AR33" s="2595"/>
      <c r="AS33" s="2595"/>
      <c r="AT33" s="2595"/>
      <c r="AU33" s="2595"/>
      <c r="AV33" s="2595"/>
      <c r="AW33" s="2595"/>
      <c r="AX33" s="2595"/>
      <c r="AY33" s="42"/>
      <c r="AZ33" s="42"/>
    </row>
    <row r="34" spans="1:52" s="3402" customFormat="1" ht="12" customHeight="1" thickBot="1">
      <c r="A34" s="1127"/>
      <c r="B34" s="1179"/>
      <c r="C34" s="3838"/>
      <c r="D34" s="4459" t="s">
        <v>3796</v>
      </c>
      <c r="E34" s="1577"/>
      <c r="F34" s="1283"/>
      <c r="G34" s="1283"/>
      <c r="H34" s="1283"/>
      <c r="I34" s="1283"/>
      <c r="J34" s="1283"/>
      <c r="K34" s="1283"/>
      <c r="L34" s="1283"/>
      <c r="M34" s="4460"/>
      <c r="N34" s="1179"/>
      <c r="O34" s="1179"/>
      <c r="P34" s="7856"/>
      <c r="Q34" s="7856"/>
      <c r="R34" s="1179"/>
      <c r="S34" s="1179"/>
      <c r="T34" s="3355" t="s">
        <v>5457</v>
      </c>
      <c r="U34" s="1179"/>
      <c r="V34" s="1179"/>
      <c r="W34" s="1560"/>
      <c r="X34" s="1179"/>
      <c r="Y34" s="1179"/>
      <c r="Z34" s="1179"/>
      <c r="AA34" s="1179"/>
      <c r="AB34" s="1179"/>
      <c r="AC34" s="1179"/>
      <c r="AD34" s="1561"/>
      <c r="AE34" s="1284"/>
      <c r="AF34" s="1284"/>
      <c r="AG34" s="1284"/>
      <c r="AH34" s="1284"/>
      <c r="AI34" s="1284"/>
      <c r="AJ34" s="1284"/>
      <c r="AK34" s="1127"/>
      <c r="AL34" s="1824"/>
      <c r="AM34" s="4281" t="b">
        <f>(AL33&lt;&gt;"")</f>
        <v>1</v>
      </c>
      <c r="AN34" s="1179"/>
      <c r="AO34" s="2595"/>
      <c r="AP34" s="2595"/>
      <c r="AQ34" s="2595"/>
      <c r="AR34" s="2595"/>
      <c r="AS34" s="2595"/>
      <c r="AT34" s="2595"/>
      <c r="AU34" s="2595"/>
      <c r="AV34" s="2595"/>
      <c r="AW34" s="2595"/>
      <c r="AX34" s="2595"/>
      <c r="AY34" s="42"/>
      <c r="AZ34" s="42"/>
    </row>
    <row r="35" spans="1:52" s="3402" customFormat="1" ht="11.25" customHeight="1" thickBot="1">
      <c r="A35" s="1127"/>
      <c r="B35" s="1179"/>
      <c r="C35" s="3838"/>
      <c r="D35" s="9128" t="s">
        <v>3797</v>
      </c>
      <c r="E35" s="9129"/>
      <c r="F35" s="9129"/>
      <c r="G35" s="9129"/>
      <c r="H35" s="9129"/>
      <c r="I35" s="9129"/>
      <c r="J35" s="9129"/>
      <c r="K35" s="9129"/>
      <c r="L35" s="9129"/>
      <c r="M35" s="9130"/>
      <c r="N35" s="1179"/>
      <c r="O35" s="1179"/>
      <c r="P35" s="7638" t="s">
        <v>271</v>
      </c>
      <c r="Q35" s="7638"/>
      <c r="R35" s="1179"/>
      <c r="S35" s="1179"/>
      <c r="T35" s="9134" t="s">
        <v>3795</v>
      </c>
      <c r="U35" s="9134"/>
      <c r="V35" s="9134"/>
      <c r="W35" s="9134"/>
      <c r="X35" s="9134"/>
      <c r="Y35" s="9134"/>
      <c r="Z35" s="9134"/>
      <c r="AA35" s="9134"/>
      <c r="AB35" s="9134"/>
      <c r="AC35" s="9135"/>
      <c r="AD35" s="1561"/>
      <c r="AE35" s="1284"/>
      <c r="AF35" s="1284"/>
      <c r="AG35" s="1284"/>
      <c r="AH35" s="1284"/>
      <c r="AI35" s="1284"/>
      <c r="AJ35" s="1284"/>
      <c r="AK35" s="1127"/>
      <c r="AL35" s="1860" t="str">
        <f>IF(AL36&lt;&gt;"","X",IF(AM34,"","X"))</f>
        <v/>
      </c>
      <c r="AM35" s="1925" t="s">
        <v>416</v>
      </c>
      <c r="AN35" s="1179"/>
      <c r="AO35" s="2595"/>
      <c r="AP35" s="2595"/>
      <c r="AQ35" s="2595"/>
      <c r="AR35" s="2595"/>
      <c r="AS35" s="2595"/>
      <c r="AT35" s="2595"/>
      <c r="AU35" s="2595"/>
      <c r="AV35" s="2595"/>
      <c r="AW35" s="2595"/>
      <c r="AX35" s="2595"/>
      <c r="AY35" s="42"/>
      <c r="AZ35" s="42"/>
    </row>
    <row r="36" spans="1:52" s="3402" customFormat="1" ht="10.5" customHeight="1" thickBot="1">
      <c r="A36" s="1127"/>
      <c r="B36" s="1179"/>
      <c r="C36" s="3838"/>
      <c r="D36" s="9131"/>
      <c r="E36" s="9132"/>
      <c r="F36" s="9132"/>
      <c r="G36" s="9132"/>
      <c r="H36" s="9132"/>
      <c r="I36" s="9132"/>
      <c r="J36" s="9132"/>
      <c r="K36" s="9132"/>
      <c r="L36" s="9132"/>
      <c r="M36" s="9133"/>
      <c r="N36" s="1273"/>
      <c r="O36" s="1274"/>
      <c r="P36" s="7638"/>
      <c r="Q36" s="7638"/>
      <c r="R36" s="1274"/>
      <c r="S36" s="1274"/>
      <c r="T36" s="9134"/>
      <c r="U36" s="9134"/>
      <c r="V36" s="9134"/>
      <c r="W36" s="9134"/>
      <c r="X36" s="9134"/>
      <c r="Y36" s="9134"/>
      <c r="Z36" s="9134"/>
      <c r="AA36" s="9134"/>
      <c r="AB36" s="9134"/>
      <c r="AC36" s="9135"/>
      <c r="AD36" s="1561"/>
      <c r="AE36" s="1284"/>
      <c r="AF36" s="1284"/>
      <c r="AG36" s="1284"/>
      <c r="AH36" s="1284"/>
      <c r="AI36" s="1284"/>
      <c r="AJ36" s="1284"/>
      <c r="AK36" s="1127"/>
      <c r="AL36" s="4448"/>
      <c r="AM36" s="1925" t="str">
        <f>IF(AND(AL32="",OR(AL36&lt;&gt;"",AM34)),"Override 'Yes.'","")</f>
        <v>Override 'Yes.'</v>
      </c>
      <c r="AN36" s="1179"/>
      <c r="AO36" s="2595"/>
      <c r="AP36" s="2595"/>
      <c r="AQ36" s="2595"/>
      <c r="AR36" s="2595"/>
      <c r="AS36" s="2595"/>
      <c r="AT36" s="2595"/>
      <c r="AU36" s="2595"/>
      <c r="AV36" s="2595"/>
      <c r="AW36" s="2595"/>
      <c r="AX36" s="2595"/>
      <c r="AY36" s="42"/>
      <c r="AZ36" s="42"/>
    </row>
    <row r="37" spans="1:52" s="3402" customFormat="1" ht="15" customHeight="1">
      <c r="A37" s="1127"/>
      <c r="B37" s="1179"/>
      <c r="C37" s="4507" t="s">
        <v>151</v>
      </c>
      <c r="D37" s="2686" t="str">
        <f>"Enter those contributions included on line 1 that were made from January 1, "&amp;TaxYear+1&amp;", through "&amp;TEXT(TaxDay,"mmmm dd")&amp;", "&amp;TaxYear+1</f>
        <v>Enter those contributions included on line 1 that were made from January 1, 2022, through April 18, 2022</v>
      </c>
      <c r="E37" s="2686"/>
      <c r="F37" s="1179"/>
      <c r="G37" s="1179"/>
      <c r="H37" s="1179"/>
      <c r="I37" s="1179"/>
      <c r="J37" s="1179"/>
      <c r="K37" s="1179"/>
      <c r="L37" s="1179"/>
      <c r="M37" s="1179"/>
      <c r="N37" s="1179"/>
      <c r="O37" s="1179"/>
      <c r="P37" s="1179"/>
      <c r="Q37" s="1179"/>
      <c r="R37" s="1179"/>
      <c r="S37" s="1179"/>
      <c r="T37" s="1179"/>
      <c r="U37" s="1179"/>
      <c r="V37" s="1179"/>
      <c r="W37" s="1560"/>
      <c r="X37" s="1179"/>
      <c r="Y37" s="1179"/>
      <c r="Z37" s="1179"/>
      <c r="AA37" s="1179"/>
      <c r="AB37" s="1179"/>
      <c r="AC37" s="1179"/>
      <c r="AD37" s="1557">
        <v>4</v>
      </c>
      <c r="AE37" s="9122"/>
      <c r="AF37" s="9123"/>
      <c r="AG37" s="9123"/>
      <c r="AH37" s="9123"/>
      <c r="AI37" s="9123"/>
      <c r="AJ37" s="9123"/>
      <c r="AK37" s="1127"/>
      <c r="AL37" s="1824"/>
      <c r="AM37" s="1824"/>
      <c r="AN37" s="1179"/>
      <c r="AO37" s="2595"/>
      <c r="AP37" s="2595"/>
      <c r="AQ37" s="2595"/>
      <c r="AR37" s="2595"/>
      <c r="AS37" s="2595"/>
      <c r="AT37" s="2595"/>
      <c r="AU37" s="2595"/>
      <c r="AV37" s="2595"/>
      <c r="AW37" s="2595"/>
      <c r="AX37" s="2595"/>
      <c r="AY37" s="42"/>
      <c r="AZ37" s="42"/>
    </row>
    <row r="38" spans="1:52" s="3402" customFormat="1" ht="15.75" customHeight="1">
      <c r="A38" s="1127"/>
      <c r="B38" s="1179"/>
      <c r="C38" s="4507" t="s">
        <v>200</v>
      </c>
      <c r="D38" s="2686" t="s">
        <v>2648</v>
      </c>
      <c r="E38" s="1179"/>
      <c r="F38" s="1179"/>
      <c r="G38" s="1179"/>
      <c r="H38" s="1179"/>
      <c r="I38" s="1179"/>
      <c r="J38" s="1179"/>
      <c r="K38" s="1179"/>
      <c r="L38" s="1179"/>
      <c r="M38" s="1179"/>
      <c r="N38" s="1179"/>
      <c r="O38" s="1179"/>
      <c r="P38" s="1179"/>
      <c r="Q38" s="1179"/>
      <c r="R38" s="1179"/>
      <c r="S38" s="1179"/>
      <c r="T38" s="1179"/>
      <c r="U38" s="1179"/>
      <c r="V38" s="1179"/>
      <c r="W38" s="1179"/>
      <c r="X38" s="1179"/>
      <c r="Y38" s="1179"/>
      <c r="Z38" s="1179"/>
      <c r="AA38" s="1179"/>
      <c r="AB38" s="1179"/>
      <c r="AC38" s="4099" t="s">
        <v>2969</v>
      </c>
      <c r="AD38" s="1557">
        <v>5</v>
      </c>
      <c r="AE38" s="9126" t="str">
        <f>IF(AM30,"",IF(AM34,"",MAX(0,SUM(AE32,-ROUND(AE37,0)))))</f>
        <v/>
      </c>
      <c r="AF38" s="9127"/>
      <c r="AG38" s="9127"/>
      <c r="AH38" s="9127"/>
      <c r="AI38" s="9127"/>
      <c r="AJ38" s="9127"/>
      <c r="AK38" s="1127"/>
      <c r="AL38" s="4450"/>
      <c r="AM38" s="1824"/>
      <c r="AN38" s="1179"/>
      <c r="AO38" s="2595"/>
      <c r="AP38" s="2595"/>
      <c r="AQ38" s="2595"/>
      <c r="AR38" s="2595"/>
      <c r="AS38" s="2595"/>
      <c r="AT38" s="2595"/>
      <c r="AU38" s="2595"/>
      <c r="AV38" s="2595"/>
      <c r="AW38" s="2595"/>
      <c r="AX38" s="2595"/>
      <c r="AY38" s="42"/>
      <c r="AZ38" s="42"/>
    </row>
    <row r="39" spans="1:52" s="3402" customFormat="1" ht="15" customHeight="1">
      <c r="A39" s="1127"/>
      <c r="B39" s="1179"/>
      <c r="C39" s="4507" t="s">
        <v>101</v>
      </c>
      <c r="D39" s="2686" t="s">
        <v>3853</v>
      </c>
      <c r="E39" s="1179"/>
      <c r="F39" s="1179"/>
      <c r="G39" s="1179"/>
      <c r="H39" s="1179"/>
      <c r="I39" s="1179"/>
      <c r="J39" s="1179"/>
      <c r="K39" s="1179"/>
      <c r="L39" s="1179"/>
      <c r="M39" s="1179"/>
      <c r="N39" s="1179"/>
      <c r="O39" s="1179"/>
      <c r="P39" s="1179"/>
      <c r="Q39" s="1179"/>
      <c r="R39" s="1179"/>
      <c r="S39" s="1179"/>
      <c r="T39" s="1179"/>
      <c r="U39" s="1179"/>
      <c r="V39" s="1179"/>
      <c r="W39" s="1558"/>
      <c r="X39" s="1179"/>
      <c r="Y39" s="1179"/>
      <c r="Z39" s="1179"/>
      <c r="AA39" s="1179"/>
      <c r="AB39" s="1179"/>
      <c r="AC39" s="1179"/>
      <c r="AD39" s="1561"/>
      <c r="AE39" s="4269"/>
      <c r="AF39" s="1284"/>
      <c r="AG39" s="1284"/>
      <c r="AH39" s="1284"/>
      <c r="AI39" s="1284"/>
      <c r="AJ39" s="1284"/>
      <c r="AK39" s="1127"/>
      <c r="AL39" s="4450" t="str">
        <f>IF(AND(OR(AE37&lt;&gt;"",SUM(AL41,AL47,AL49,AL62)&gt;0),AM34)," Do not complete the","")</f>
        <v/>
      </c>
      <c r="AM39" s="1179"/>
      <c r="AN39" s="1179"/>
      <c r="AO39" s="2595"/>
      <c r="AP39" s="2595"/>
      <c r="AQ39" s="2595"/>
      <c r="AR39" s="2595"/>
      <c r="AS39" s="2595"/>
      <c r="AT39" s="2595"/>
      <c r="AU39" s="2595"/>
      <c r="AV39" s="2595"/>
      <c r="AW39" s="2595"/>
      <c r="AX39" s="2595"/>
      <c r="AY39" s="42"/>
      <c r="AZ39" s="42"/>
    </row>
    <row r="40" spans="1:52" s="3402" customFormat="1" ht="15" customHeight="1">
      <c r="A40" s="1127"/>
      <c r="B40" s="1179"/>
      <c r="C40" s="3838"/>
      <c r="D40" s="2686" t="str">
        <f>"31, "&amp;TaxYear&amp;", plus any outstanding rollovers. Subtract any repayments of qualified"</f>
        <v>31, 2021, plus any outstanding rollovers. Subtract any repayments of qualified</v>
      </c>
      <c r="E40" s="1179"/>
      <c r="F40" s="1179"/>
      <c r="G40" s="1179"/>
      <c r="H40" s="1179"/>
      <c r="I40" s="1179"/>
      <c r="J40" s="1179"/>
      <c r="K40" s="1179"/>
      <c r="L40" s="1179"/>
      <c r="M40" s="1179"/>
      <c r="N40" s="1179"/>
      <c r="O40" s="1179"/>
      <c r="P40" s="1179"/>
      <c r="Q40" s="1179"/>
      <c r="R40" s="1179"/>
      <c r="S40" s="1179"/>
      <c r="T40" s="1179"/>
      <c r="U40" s="1179"/>
      <c r="V40" s="1179"/>
      <c r="W40" s="3004"/>
      <c r="X40" s="1179"/>
      <c r="Y40" s="1179"/>
      <c r="Z40" s="1179"/>
      <c r="AA40" s="1179"/>
      <c r="AB40" s="1179"/>
      <c r="AC40" s="1179"/>
      <c r="AD40" s="1561"/>
      <c r="AE40" s="4269"/>
      <c r="AF40" s="1284"/>
      <c r="AG40" s="1284"/>
      <c r="AH40" s="1284"/>
      <c r="AI40" s="1284"/>
      <c r="AJ40" s="1284"/>
      <c r="AK40" s="1127"/>
      <c r="AL40" s="4450" t="str">
        <f>IF(AND(OR(AE37&lt;&gt;"",SUM(AL41,AL47,AL49,AL62)&gt;0),AM34)," rest of Part I.","")</f>
        <v/>
      </c>
      <c r="AM40" s="1179"/>
      <c r="AN40" s="1179"/>
      <c r="AO40" s="2595"/>
      <c r="AP40" s="2595"/>
      <c r="AQ40" s="2595"/>
      <c r="AR40" s="2595"/>
      <c r="AS40" s="2595"/>
      <c r="AT40" s="2595"/>
      <c r="AU40" s="2595"/>
      <c r="AV40" s="2595"/>
      <c r="AW40" s="2595"/>
      <c r="AX40" s="2595"/>
      <c r="AY40" s="42"/>
      <c r="AZ40" s="42"/>
    </row>
    <row r="41" spans="1:52" s="3402" customFormat="1" ht="15" customHeight="1">
      <c r="A41" s="1127"/>
      <c r="B41" s="1179"/>
      <c r="C41" s="4507"/>
      <c r="D41" s="2686" t="str">
        <f>"disaster distributions (see "&amp;TaxYear&amp;" Forms 8915-D, and 8915-F)"</f>
        <v>disaster distributions (see 2021 Forms 8915-D, and 8915-F)</v>
      </c>
      <c r="E41" s="1179"/>
      <c r="F41" s="1179"/>
      <c r="G41" s="1179"/>
      <c r="H41" s="1179"/>
      <c r="I41" s="1179"/>
      <c r="J41" s="1179"/>
      <c r="K41" s="1179"/>
      <c r="L41" s="1179"/>
      <c r="M41" s="1179"/>
      <c r="N41" s="2686"/>
      <c r="O41" s="2686"/>
      <c r="P41" s="1179"/>
      <c r="Q41" s="1179"/>
      <c r="R41" s="1179"/>
      <c r="S41" s="1179"/>
      <c r="T41" s="1179"/>
      <c r="U41" s="1179"/>
      <c r="V41" s="1179"/>
      <c r="W41" s="1557">
        <v>6</v>
      </c>
      <c r="X41" s="9111"/>
      <c r="Y41" s="9112"/>
      <c r="Z41" s="9112"/>
      <c r="AA41" s="9112"/>
      <c r="AB41" s="9112"/>
      <c r="AC41" s="9112"/>
      <c r="AD41" s="1561"/>
      <c r="AE41" s="4269"/>
      <c r="AF41" s="1284"/>
      <c r="AG41" s="1284"/>
      <c r="AH41" s="1284"/>
      <c r="AI41" s="1284"/>
      <c r="AJ41" s="1284"/>
      <c r="AK41" s="1127"/>
      <c r="AL41" s="1284">
        <f>IF(X41&lt;&gt;"",1,0)</f>
        <v>0</v>
      </c>
      <c r="AM41" s="1824"/>
      <c r="AN41" s="1179"/>
      <c r="AO41" s="2595"/>
      <c r="AP41" s="2595"/>
      <c r="AQ41" s="2595"/>
      <c r="AR41" s="2595"/>
      <c r="AS41" s="2595"/>
      <c r="AT41" s="2595"/>
      <c r="AU41" s="2595"/>
      <c r="AV41" s="2595"/>
      <c r="AW41" s="2595"/>
      <c r="AX41" s="2595"/>
      <c r="AY41" s="42"/>
      <c r="AZ41" s="42"/>
    </row>
    <row r="42" spans="1:52" s="3402" customFormat="1" ht="14.25" customHeight="1">
      <c r="A42" s="1127"/>
      <c r="B42" s="1179"/>
      <c r="C42" s="4507" t="s">
        <v>102</v>
      </c>
      <c r="D42" s="2686" t="str">
        <f>"Enter your distributions from traditional, SEP, and SIMPLE IRAs in "&amp;TaxYear&amp;"."</f>
        <v>Enter your distributions from traditional, SEP, and SIMPLE IRAs in 2021.</v>
      </c>
      <c r="E42" s="1179"/>
      <c r="F42" s="1179"/>
      <c r="G42" s="1179"/>
      <c r="H42" s="1179"/>
      <c r="I42" s="1179"/>
      <c r="J42" s="1179"/>
      <c r="K42" s="1179"/>
      <c r="L42" s="1179"/>
      <c r="M42" s="1179"/>
      <c r="N42" s="1179"/>
      <c r="O42" s="1179"/>
      <c r="P42" s="1179"/>
      <c r="Q42" s="1179"/>
      <c r="R42" s="1179"/>
      <c r="S42" s="1179"/>
      <c r="T42" s="1179"/>
      <c r="U42" s="5910" t="s">
        <v>5449</v>
      </c>
      <c r="V42" s="4512"/>
      <c r="W42" s="1558"/>
      <c r="X42" s="1179"/>
      <c r="Y42" s="1179"/>
      <c r="Z42" s="1179"/>
      <c r="AA42" s="1179"/>
      <c r="AB42" s="1179"/>
      <c r="AC42" s="1179"/>
      <c r="AD42" s="1561"/>
      <c r="AE42" s="4269"/>
      <c r="AF42" s="1284"/>
      <c r="AG42" s="1284"/>
      <c r="AH42" s="1284"/>
      <c r="AI42" s="1284"/>
      <c r="AJ42" s="1284"/>
      <c r="AK42" s="1127"/>
      <c r="AL42" s="1284"/>
      <c r="AM42" s="1179"/>
      <c r="AN42" s="1179"/>
      <c r="AO42" s="2595"/>
      <c r="AP42" s="2595"/>
      <c r="AQ42" s="2595"/>
      <c r="AR42" s="2595"/>
      <c r="AS42" s="2595"/>
      <c r="AT42" s="2595"/>
      <c r="AU42" s="2595"/>
      <c r="AV42" s="2595"/>
      <c r="AW42" s="2595"/>
      <c r="AX42" s="2595"/>
      <c r="AY42" s="42"/>
      <c r="AZ42" s="42"/>
    </row>
    <row r="43" spans="1:52" s="3402" customFormat="1" ht="14.25" customHeight="1">
      <c r="A43" s="1127"/>
      <c r="B43" s="1179"/>
      <c r="C43" s="4507"/>
      <c r="D43" s="2686" t="s">
        <v>5450</v>
      </c>
      <c r="E43" s="2686"/>
      <c r="F43" s="1179"/>
      <c r="G43" s="1179"/>
      <c r="H43" s="1179"/>
      <c r="I43" s="1179"/>
      <c r="J43" s="1179"/>
      <c r="K43" s="1179"/>
      <c r="L43" s="1179"/>
      <c r="M43" s="1179"/>
      <c r="N43" s="1179"/>
      <c r="O43" s="1179"/>
      <c r="P43" s="1179"/>
      <c r="Q43" s="1179"/>
      <c r="R43" s="1179"/>
      <c r="S43" s="1179"/>
      <c r="T43" s="1179"/>
      <c r="U43" s="1179"/>
      <c r="V43" s="1179"/>
      <c r="W43" s="1558"/>
      <c r="X43" s="1179"/>
      <c r="Y43" s="1179"/>
      <c r="Z43" s="1179"/>
      <c r="AA43" s="1179"/>
      <c r="AB43" s="1179"/>
      <c r="AC43" s="1179"/>
      <c r="AD43" s="1561"/>
      <c r="AE43" s="4269"/>
      <c r="AF43" s="1284"/>
      <c r="AG43" s="1284"/>
      <c r="AH43" s="1284"/>
      <c r="AI43" s="1284"/>
      <c r="AJ43" s="1284"/>
      <c r="AK43" s="1127"/>
      <c r="AL43" s="1284"/>
      <c r="AM43" s="1179"/>
      <c r="AN43" s="1179"/>
      <c r="AO43" s="2595"/>
      <c r="AP43" s="2595"/>
      <c r="AQ43" s="2595"/>
      <c r="AR43" s="2595"/>
      <c r="AS43" s="2595"/>
      <c r="AT43" s="2595"/>
      <c r="AU43" s="2595"/>
      <c r="AV43" s="2595"/>
      <c r="AW43" s="2595"/>
      <c r="AX43" s="2595"/>
      <c r="AY43" s="42"/>
      <c r="AZ43" s="42"/>
    </row>
    <row r="44" spans="1:52" s="3402" customFormat="1" ht="14.25" customHeight="1">
      <c r="A44" s="1127"/>
      <c r="B44" s="1179"/>
      <c r="C44" s="4507"/>
      <c r="D44" s="2686" t="str">
        <f>"(see "&amp;TaxYear&amp;" Forms 8915-D and 8915-F)), qualified charitable distributions, a one-"</f>
        <v>(see 2021 Forms 8915-D and 8915-F)), qualified charitable distributions, a one-</v>
      </c>
      <c r="E44" s="2686"/>
      <c r="F44" s="1179"/>
      <c r="G44" s="1179"/>
      <c r="H44" s="1179"/>
      <c r="I44" s="1179"/>
      <c r="J44" s="1179"/>
      <c r="K44" s="1179"/>
      <c r="L44" s="1179"/>
      <c r="M44" s="1179"/>
      <c r="N44" s="1179"/>
      <c r="O44" s="1179"/>
      <c r="P44" s="1179"/>
      <c r="Q44" s="1179"/>
      <c r="R44" s="1179"/>
      <c r="S44" s="1179"/>
      <c r="T44" s="1179"/>
      <c r="U44" s="1179"/>
      <c r="V44" s="1179"/>
      <c r="W44" s="1558"/>
      <c r="X44" s="1179"/>
      <c r="Y44" s="1179"/>
      <c r="Z44" s="1179"/>
      <c r="AA44" s="1179"/>
      <c r="AB44" s="1179"/>
      <c r="AC44" s="1179"/>
      <c r="AD44" s="1561"/>
      <c r="AE44" s="4269"/>
      <c r="AF44" s="1284"/>
      <c r="AG44" s="1284"/>
      <c r="AH44" s="1284"/>
      <c r="AI44" s="1284"/>
      <c r="AJ44" s="1284"/>
      <c r="AK44" s="1127"/>
      <c r="AL44" s="1284"/>
      <c r="AM44" s="1179"/>
      <c r="AN44" s="1179"/>
      <c r="AO44" s="2595"/>
      <c r="AP44" s="2595"/>
      <c r="AQ44" s="2595"/>
      <c r="AR44" s="2595"/>
      <c r="AS44" s="2595"/>
      <c r="AT44" s="2595"/>
      <c r="AU44" s="2595"/>
      <c r="AV44" s="2595"/>
      <c r="AW44" s="2595"/>
      <c r="AX44" s="2595"/>
      <c r="AY44" s="42"/>
      <c r="AZ44" s="42"/>
    </row>
    <row r="45" spans="1:52" s="3402" customFormat="1" ht="14.25" customHeight="1">
      <c r="A45" s="1127"/>
      <c r="B45" s="1179"/>
      <c r="C45" s="4507"/>
      <c r="D45" s="2686" t="s">
        <v>5451</v>
      </c>
      <c r="E45" s="2686"/>
      <c r="F45" s="1179"/>
      <c r="G45" s="1179"/>
      <c r="H45" s="1179"/>
      <c r="I45" s="1179"/>
      <c r="J45" s="1179"/>
      <c r="K45" s="1179"/>
      <c r="L45" s="1179"/>
      <c r="M45" s="1179"/>
      <c r="N45" s="1179"/>
      <c r="O45" s="1179"/>
      <c r="P45" s="1179"/>
      <c r="Q45" s="1179"/>
      <c r="R45" s="1179"/>
      <c r="S45" s="1179"/>
      <c r="T45" s="1179"/>
      <c r="U45" s="1179"/>
      <c r="V45" s="1179"/>
      <c r="W45" s="1558"/>
      <c r="X45" s="1179"/>
      <c r="Y45" s="1179"/>
      <c r="Z45" s="1179"/>
      <c r="AA45" s="1179"/>
      <c r="AB45" s="1179"/>
      <c r="AC45" s="1179"/>
      <c r="AD45" s="1561"/>
      <c r="AE45" s="4269"/>
      <c r="AF45" s="1284"/>
      <c r="AG45" s="1284"/>
      <c r="AH45" s="1284"/>
      <c r="AI45" s="1284"/>
      <c r="AJ45" s="1284"/>
      <c r="AK45" s="1127"/>
      <c r="AL45" s="4450"/>
      <c r="AM45" s="1179"/>
      <c r="AN45" s="1179"/>
      <c r="AO45" s="2595"/>
      <c r="AP45" s="2595"/>
      <c r="AQ45" s="2595"/>
      <c r="AR45" s="2595"/>
      <c r="AS45" s="2595"/>
      <c r="AT45" s="2595"/>
      <c r="AU45" s="2595"/>
      <c r="AV45" s="2595"/>
      <c r="AW45" s="2595"/>
      <c r="AX45" s="2595"/>
      <c r="AY45" s="42"/>
      <c r="AZ45" s="42"/>
    </row>
    <row r="46" spans="1:52" s="3402" customFormat="1" ht="14.25" customHeight="1">
      <c r="A46" s="1127"/>
      <c r="B46" s="1179"/>
      <c r="C46" s="4507"/>
      <c r="D46" s="2686" t="s">
        <v>5452</v>
      </c>
      <c r="E46" s="2686"/>
      <c r="F46" s="1179"/>
      <c r="G46" s="1179"/>
      <c r="H46" s="1179"/>
      <c r="I46" s="1179"/>
      <c r="J46" s="1179"/>
      <c r="K46" s="1179"/>
      <c r="L46" s="1179"/>
      <c r="M46" s="1179"/>
      <c r="N46" s="1179"/>
      <c r="O46" s="1179"/>
      <c r="P46" s="1179"/>
      <c r="Q46" s="1179"/>
      <c r="R46" s="1179"/>
      <c r="S46" s="1179"/>
      <c r="T46" s="1179"/>
      <c r="U46" s="1179"/>
      <c r="V46" s="1179"/>
      <c r="W46" s="1558"/>
      <c r="X46" s="1179"/>
      <c r="Y46" s="1179"/>
      <c r="Z46" s="1179"/>
      <c r="AA46" s="1179"/>
      <c r="AB46" s="1179"/>
      <c r="AC46" s="1179"/>
      <c r="AD46" s="1561"/>
      <c r="AE46" s="4269"/>
      <c r="AF46" s="1284"/>
      <c r="AG46" s="1284"/>
      <c r="AH46" s="1284"/>
      <c r="AI46" s="1284"/>
      <c r="AJ46" s="1284"/>
      <c r="AK46" s="1127"/>
      <c r="AL46" s="4450"/>
      <c r="AM46" s="1179"/>
      <c r="AN46" s="1179"/>
      <c r="AO46" s="2595"/>
      <c r="AP46" s="2595"/>
      <c r="AQ46" s="2595"/>
      <c r="AR46" s="2595"/>
      <c r="AS46" s="2595"/>
      <c r="AT46" s="2595"/>
      <c r="AU46" s="2595"/>
      <c r="AV46" s="2595"/>
      <c r="AW46" s="2595"/>
      <c r="AX46" s="2595"/>
      <c r="AY46" s="42"/>
      <c r="AZ46" s="42"/>
    </row>
    <row r="47" spans="1:52" s="3402" customFormat="1" ht="16.5" customHeight="1">
      <c r="A47" s="1127"/>
      <c r="B47" s="1179"/>
      <c r="C47" s="3838"/>
      <c r="D47" s="3719" t="s">
        <v>891</v>
      </c>
      <c r="E47" s="2686"/>
      <c r="F47" s="1179"/>
      <c r="G47" s="1179"/>
      <c r="H47" s="1179"/>
      <c r="I47" s="1179"/>
      <c r="J47" s="1179"/>
      <c r="K47" s="1179"/>
      <c r="L47" s="1179"/>
      <c r="M47" s="1179"/>
      <c r="N47" s="1179"/>
      <c r="O47" s="1179"/>
      <c r="P47" s="1179"/>
      <c r="Q47" s="1179"/>
      <c r="R47" s="1179"/>
      <c r="S47" s="1179"/>
      <c r="T47" s="1179"/>
      <c r="U47" s="1179"/>
      <c r="V47" s="3489" t="s">
        <v>1075</v>
      </c>
      <c r="W47" s="1557">
        <v>7</v>
      </c>
      <c r="X47" s="9111"/>
      <c r="Y47" s="9112"/>
      <c r="Z47" s="9112"/>
      <c r="AA47" s="9112"/>
      <c r="AB47" s="9112"/>
      <c r="AC47" s="9112"/>
      <c r="AD47" s="1561"/>
      <c r="AE47" s="4269"/>
      <c r="AF47" s="1284"/>
      <c r="AG47" s="1284"/>
      <c r="AH47" s="1284"/>
      <c r="AI47" s="1284"/>
      <c r="AJ47" s="1284"/>
      <c r="AK47" s="1127"/>
      <c r="AL47" s="1284">
        <f>IF(X47&lt;&gt;"",1,0)</f>
        <v>0</v>
      </c>
      <c r="AM47" s="24" t="s">
        <v>90</v>
      </c>
      <c r="AN47" s="1179"/>
      <c r="AO47" s="2595"/>
      <c r="AP47" s="2595"/>
      <c r="AQ47" s="2595"/>
      <c r="AR47" s="2595"/>
      <c r="AS47" s="2595"/>
      <c r="AT47" s="2595"/>
      <c r="AU47" s="2595"/>
      <c r="AV47" s="2595"/>
      <c r="AW47" s="2595"/>
      <c r="AX47" s="2595"/>
      <c r="AY47" s="42"/>
      <c r="AZ47" s="42"/>
    </row>
    <row r="48" spans="1:52" s="3402" customFormat="1" ht="16.5" customHeight="1" thickBot="1">
      <c r="A48" s="1127"/>
      <c r="B48" s="1179"/>
      <c r="C48" s="4507" t="s">
        <v>103</v>
      </c>
      <c r="D48" s="2686" t="s">
        <v>3798</v>
      </c>
      <c r="E48" s="2686"/>
      <c r="F48" s="1179"/>
      <c r="G48" s="1179"/>
      <c r="H48" s="1179"/>
      <c r="I48" s="1179"/>
      <c r="J48" s="1179"/>
      <c r="K48" s="1179"/>
      <c r="L48" s="1179"/>
      <c r="M48" s="1179"/>
      <c r="N48" s="1179"/>
      <c r="O48" s="1179"/>
      <c r="P48" s="1179"/>
      <c r="Q48" s="1179"/>
      <c r="R48" s="1179"/>
      <c r="S48" s="1179"/>
      <c r="T48" s="1179"/>
      <c r="U48" s="1179"/>
      <c r="V48" s="1179"/>
      <c r="W48" s="1558"/>
      <c r="X48" s="1179"/>
      <c r="Y48" s="1179"/>
      <c r="Z48" s="1179"/>
      <c r="AA48" s="1179"/>
      <c r="AB48" s="1179"/>
      <c r="AC48" s="1179"/>
      <c r="AD48" s="1561"/>
      <c r="AE48" s="4269"/>
      <c r="AF48" s="1284"/>
      <c r="AG48" s="1284"/>
      <c r="AH48" s="1284"/>
      <c r="AI48" s="1284"/>
      <c r="AJ48" s="1284"/>
      <c r="AK48" s="1127"/>
      <c r="AL48" s="24"/>
      <c r="AM48" s="24" t="s">
        <v>411</v>
      </c>
      <c r="AN48" s="1179"/>
      <c r="AO48" s="2595"/>
      <c r="AP48" s="2595"/>
      <c r="AQ48" s="2595"/>
      <c r="AR48" s="2595"/>
      <c r="AS48" s="2595"/>
      <c r="AT48" s="2595"/>
      <c r="AU48" s="2595"/>
      <c r="AV48" s="2595"/>
      <c r="AW48" s="2595"/>
      <c r="AX48" s="2595"/>
      <c r="AY48" s="42"/>
      <c r="AZ48" s="42"/>
    </row>
    <row r="49" spans="1:52" s="3402" customFormat="1" ht="16.5" customHeight="1" thickBot="1">
      <c r="A49" s="1127"/>
      <c r="B49" s="1179"/>
      <c r="C49" s="4507"/>
      <c r="D49" s="3719" t="str">
        <f>"Roth IRAs in "&amp;TaxYear&amp;". Also enter this amount on line 16"</f>
        <v>Roth IRAs in 2021. Also enter this amount on line 16</v>
      </c>
      <c r="E49" s="3719"/>
      <c r="F49" s="1179"/>
      <c r="G49" s="1179"/>
      <c r="H49" s="1179"/>
      <c r="I49" s="1179"/>
      <c r="J49" s="1179"/>
      <c r="K49" s="1179"/>
      <c r="L49" s="1179"/>
      <c r="M49" s="1179"/>
      <c r="N49" s="4168"/>
      <c r="O49" s="4168"/>
      <c r="P49" s="4168"/>
      <c r="Q49" s="4168"/>
      <c r="R49" s="4168"/>
      <c r="S49" s="4168"/>
      <c r="T49" s="4168"/>
      <c r="U49" s="4168"/>
      <c r="V49" s="4099" t="s">
        <v>698</v>
      </c>
      <c r="W49" s="1557">
        <v>8</v>
      </c>
      <c r="X49" s="9115" t="str">
        <f>IF(AM49&lt;&gt;"",ROUND(AM49,0),IF(OR(AM30,AM34),"",IF(AL11&lt;&gt;"",IRA_CONV_YOU,IF(AL12&lt;&gt;"",IRA_CONV_SPOUSE))))</f>
        <v/>
      </c>
      <c r="Y49" s="9116"/>
      <c r="Z49" s="9116"/>
      <c r="AA49" s="9116"/>
      <c r="AB49" s="9116"/>
      <c r="AC49" s="9116"/>
      <c r="AD49" s="1561"/>
      <c r="AE49" s="4269"/>
      <c r="AF49" s="1284"/>
      <c r="AG49" s="1284"/>
      <c r="AH49" s="1284"/>
      <c r="AI49" s="1284"/>
      <c r="AJ49" s="1284"/>
      <c r="AK49" s="1127"/>
      <c r="AL49" s="1284">
        <f>IF(X49&lt;&gt;"",1,0)</f>
        <v>0</v>
      </c>
      <c r="AM49" s="4377"/>
      <c r="AN49" s="1179"/>
      <c r="AO49" s="2595"/>
      <c r="AP49" s="2595"/>
      <c r="AQ49" s="2595"/>
      <c r="AR49" s="2595"/>
      <c r="AS49" s="2595"/>
      <c r="AT49" s="2595"/>
      <c r="AU49" s="2595"/>
      <c r="AV49" s="2595"/>
      <c r="AW49" s="2595"/>
      <c r="AX49" s="2595"/>
      <c r="AY49" s="42"/>
      <c r="AZ49" s="42"/>
    </row>
    <row r="50" spans="1:52" s="3402" customFormat="1" ht="16.5" customHeight="1">
      <c r="A50" s="1127"/>
      <c r="B50" s="1179"/>
      <c r="C50" s="4507" t="s">
        <v>104</v>
      </c>
      <c r="D50" s="2686" t="s">
        <v>3799</v>
      </c>
      <c r="E50" s="2686"/>
      <c r="F50" s="1179"/>
      <c r="G50" s="1179"/>
      <c r="H50" s="1179"/>
      <c r="I50" s="1179"/>
      <c r="J50" s="1179"/>
      <c r="K50" s="1179"/>
      <c r="L50" s="1179"/>
      <c r="M50" s="1179"/>
      <c r="N50" s="1179"/>
      <c r="O50" s="4099" t="s">
        <v>698</v>
      </c>
      <c r="P50" s="1557">
        <v>9</v>
      </c>
      <c r="Q50" s="9115" t="str">
        <f>IF(AM30,"",IF(NOT(AM34),SUM(X41,X47,X49),""))</f>
        <v/>
      </c>
      <c r="R50" s="9116"/>
      <c r="S50" s="9116"/>
      <c r="T50" s="9116"/>
      <c r="U50" s="9116"/>
      <c r="V50" s="9116"/>
      <c r="W50" s="4466"/>
      <c r="X50" s="1179"/>
      <c r="Y50" s="1179"/>
      <c r="Z50" s="4389"/>
      <c r="AA50" s="4389"/>
      <c r="AB50" s="4389"/>
      <c r="AC50" s="4388"/>
      <c r="AD50" s="1561"/>
      <c r="AE50" s="4269"/>
      <c r="AF50" s="1284"/>
      <c r="AG50" s="1284"/>
      <c r="AH50" s="1284"/>
      <c r="AI50" s="1284"/>
      <c r="AJ50" s="1284"/>
      <c r="AK50" s="1127"/>
      <c r="AL50" s="1284"/>
      <c r="AM50" s="1179"/>
      <c r="AN50" s="1179"/>
      <c r="AO50" s="2595"/>
      <c r="AP50" s="2595"/>
      <c r="AQ50" s="2595"/>
      <c r="AR50" s="2595"/>
      <c r="AS50" s="2595"/>
      <c r="AT50" s="2595"/>
      <c r="AU50" s="2595"/>
      <c r="AV50" s="2595"/>
      <c r="AW50" s="2595"/>
      <c r="AX50" s="2595"/>
      <c r="AY50" s="42"/>
      <c r="AZ50" s="42"/>
    </row>
    <row r="51" spans="1:52" s="3402" customFormat="1" ht="16.5" customHeight="1">
      <c r="A51" s="1127"/>
      <c r="B51" s="1179"/>
      <c r="C51" s="4507" t="s">
        <v>105</v>
      </c>
      <c r="D51" s="2686" t="s">
        <v>3800</v>
      </c>
      <c r="E51" s="2686"/>
      <c r="F51" s="1179"/>
      <c r="G51" s="1179"/>
      <c r="H51" s="1179"/>
      <c r="I51" s="1179"/>
      <c r="J51" s="1179"/>
      <c r="K51" s="1179"/>
      <c r="L51" s="1179"/>
      <c r="M51" s="1179"/>
      <c r="N51" s="1179"/>
      <c r="O51" s="1179"/>
      <c r="P51" s="1179"/>
      <c r="Q51" s="1179"/>
      <c r="R51" s="1179"/>
      <c r="S51" s="1179"/>
      <c r="T51" s="1179"/>
      <c r="U51" s="1179"/>
      <c r="V51" s="1179"/>
      <c r="W51" s="2214"/>
      <c r="X51" s="1582"/>
      <c r="Y51" s="1179"/>
      <c r="Z51" s="7772"/>
      <c r="AA51" s="7772"/>
      <c r="AB51" s="7772"/>
      <c r="AC51" s="7773"/>
      <c r="AD51" s="1561"/>
      <c r="AE51" s="4269"/>
      <c r="AF51" s="1284"/>
      <c r="AG51" s="1284"/>
      <c r="AH51" s="1284"/>
      <c r="AI51" s="1284"/>
      <c r="AJ51" s="1284"/>
      <c r="AK51" s="1127"/>
      <c r="AL51" s="1284"/>
      <c r="AM51" s="1179"/>
      <c r="AN51" s="1179"/>
      <c r="AO51" s="2595"/>
      <c r="AP51" s="2595"/>
      <c r="AQ51" s="2595"/>
      <c r="AR51" s="2595"/>
      <c r="AS51" s="2595"/>
      <c r="AT51" s="2595"/>
      <c r="AU51" s="2595"/>
      <c r="AV51" s="2595"/>
      <c r="AW51" s="2595"/>
      <c r="AX51" s="2595"/>
      <c r="AY51" s="42"/>
      <c r="AZ51" s="42"/>
    </row>
    <row r="52" spans="1:52" s="3402" customFormat="1" ht="16.5" customHeight="1">
      <c r="A52" s="1127"/>
      <c r="B52" s="1179"/>
      <c r="C52" s="3838"/>
      <c r="D52" s="2686" t="s">
        <v>3801</v>
      </c>
      <c r="E52" s="2686"/>
      <c r="F52" s="1179"/>
      <c r="G52" s="1179"/>
      <c r="H52" s="1179"/>
      <c r="I52" s="1179"/>
      <c r="J52" s="1179"/>
      <c r="K52" s="1179"/>
      <c r="L52" s="1179"/>
      <c r="M52" s="1179"/>
      <c r="N52" s="1179"/>
      <c r="O52" s="1179"/>
      <c r="P52" s="1179"/>
      <c r="Q52" s="1179"/>
      <c r="R52" s="1179"/>
      <c r="S52" s="1179"/>
      <c r="T52" s="1179"/>
      <c r="U52" s="1179"/>
      <c r="V52" s="3489" t="s">
        <v>698</v>
      </c>
      <c r="W52" s="2224">
        <v>10</v>
      </c>
      <c r="X52" s="4467"/>
      <c r="Y52" s="4513" t="str">
        <f>"x"</f>
        <v>x</v>
      </c>
      <c r="Z52" s="9140" t="str">
        <f>IF(AM30,"",IF(NOT(AM34),AE52,""))</f>
        <v/>
      </c>
      <c r="AA52" s="9140"/>
      <c r="AB52" s="9140"/>
      <c r="AC52" s="9141"/>
      <c r="AD52" s="1561"/>
      <c r="AE52" s="9113">
        <f>IF(OR(Q50="",Q50=0),0,MIN(1,ROUND(AE38/Q50,5)))</f>
        <v>0</v>
      </c>
      <c r="AF52" s="9114"/>
      <c r="AG52" s="9114"/>
      <c r="AH52" s="9114"/>
      <c r="AI52" s="9114"/>
      <c r="AJ52" s="9114"/>
      <c r="AK52" s="1127"/>
      <c r="AL52" s="1179"/>
      <c r="AM52" s="1179"/>
      <c r="AN52" s="1179"/>
      <c r="AO52" s="2595"/>
      <c r="AP52" s="2595"/>
      <c r="AQ52" s="2595"/>
      <c r="AR52" s="2595"/>
      <c r="AS52" s="2595"/>
      <c r="AT52" s="2595"/>
      <c r="AU52" s="2595"/>
      <c r="AV52" s="2595"/>
      <c r="AW52" s="2595"/>
      <c r="AX52" s="2595"/>
      <c r="AY52" s="42"/>
      <c r="AZ52" s="42"/>
    </row>
    <row r="53" spans="1:52" s="3402" customFormat="1" ht="16.5" customHeight="1">
      <c r="A53" s="1127"/>
      <c r="B53" s="1179"/>
      <c r="C53" s="4507" t="s">
        <v>657</v>
      </c>
      <c r="D53" s="2686" t="s">
        <v>3802</v>
      </c>
      <c r="E53" s="2686"/>
      <c r="F53" s="1179"/>
      <c r="G53" s="1179"/>
      <c r="H53" s="1179"/>
      <c r="I53" s="1179"/>
      <c r="J53" s="1179"/>
      <c r="K53" s="1179"/>
      <c r="L53" s="1179"/>
      <c r="M53" s="1179"/>
      <c r="N53" s="1179"/>
      <c r="O53" s="1179"/>
      <c r="P53" s="1179"/>
      <c r="Q53" s="1179"/>
      <c r="R53" s="1179"/>
      <c r="S53" s="1179"/>
      <c r="T53" s="1179"/>
      <c r="U53" s="1179"/>
      <c r="V53" s="1179"/>
      <c r="W53" s="2214"/>
      <c r="X53" s="1179"/>
      <c r="Y53" s="1179"/>
      <c r="Z53" s="1179"/>
      <c r="AA53" s="1179"/>
      <c r="AB53" s="1179"/>
      <c r="AC53" s="1179"/>
      <c r="AD53" s="1561"/>
      <c r="AE53" s="4269"/>
      <c r="AF53" s="1284"/>
      <c r="AG53" s="1284"/>
      <c r="AH53" s="1284"/>
      <c r="AI53" s="1284"/>
      <c r="AJ53" s="1284"/>
      <c r="AK53" s="1127"/>
      <c r="AL53" s="1179"/>
      <c r="AM53" s="1179"/>
      <c r="AN53" s="1179"/>
      <c r="AO53" s="2595"/>
      <c r="AP53" s="2595"/>
      <c r="AQ53" s="2595"/>
      <c r="AR53" s="2595"/>
      <c r="AS53" s="2595"/>
      <c r="AT53" s="2595"/>
      <c r="AU53" s="2595"/>
      <c r="AV53" s="2595"/>
      <c r="AW53" s="2595"/>
      <c r="AX53" s="2595"/>
      <c r="AY53" s="42"/>
      <c r="AZ53" s="42"/>
    </row>
    <row r="54" spans="1:52" s="3402" customFormat="1" ht="16.5" customHeight="1">
      <c r="A54" s="1127"/>
      <c r="B54" s="1179"/>
      <c r="C54" s="3838"/>
      <c r="D54" s="2686" t="s">
        <v>3803</v>
      </c>
      <c r="E54" s="2686"/>
      <c r="F54" s="1179"/>
      <c r="G54" s="1179"/>
      <c r="H54" s="1179"/>
      <c r="I54" s="1179"/>
      <c r="J54" s="1179"/>
      <c r="K54" s="1179"/>
      <c r="L54" s="1179"/>
      <c r="M54" s="1179"/>
      <c r="N54" s="1179"/>
      <c r="O54" s="1179"/>
      <c r="P54" s="1179"/>
      <c r="Q54" s="1179"/>
      <c r="R54" s="1179"/>
      <c r="S54" s="1179"/>
      <c r="T54" s="1179"/>
      <c r="U54" s="1179"/>
      <c r="V54" s="3489" t="s">
        <v>629</v>
      </c>
      <c r="W54" s="2224">
        <v>11</v>
      </c>
      <c r="X54" s="9115" t="str">
        <f>IF(AM30,"",IF(NOT(AM34),ROUND(X49*Z52,0),""))</f>
        <v/>
      </c>
      <c r="Y54" s="9116"/>
      <c r="Z54" s="9116"/>
      <c r="AA54" s="9116"/>
      <c r="AB54" s="9116"/>
      <c r="AC54" s="9136"/>
      <c r="AD54" s="1561"/>
      <c r="AE54" s="1179"/>
      <c r="AF54" s="1179"/>
      <c r="AG54" s="1179"/>
      <c r="AH54" s="1179"/>
      <c r="AI54" s="1179"/>
      <c r="AJ54" s="1179"/>
      <c r="AK54" s="1127"/>
      <c r="AL54" s="1179"/>
      <c r="AM54" s="1179"/>
      <c r="AN54" s="1179"/>
      <c r="AO54" s="2595"/>
      <c r="AP54" s="2595"/>
      <c r="AQ54" s="2595"/>
      <c r="AR54" s="2595"/>
      <c r="AS54" s="2595"/>
      <c r="AT54" s="2595"/>
      <c r="AU54" s="2595"/>
      <c r="AV54" s="2595"/>
      <c r="AW54" s="2595"/>
      <c r="AX54" s="2595"/>
      <c r="AY54" s="42"/>
      <c r="AZ54" s="42"/>
    </row>
    <row r="55" spans="1:52" s="3402" customFormat="1" ht="16.5" customHeight="1">
      <c r="A55" s="1127"/>
      <c r="B55" s="1179"/>
      <c r="C55" s="4507" t="s">
        <v>220</v>
      </c>
      <c r="D55" s="2686" t="s">
        <v>3804</v>
      </c>
      <c r="E55" s="2686"/>
      <c r="F55" s="1179"/>
      <c r="G55" s="1179"/>
      <c r="H55" s="1179"/>
      <c r="I55" s="1179"/>
      <c r="J55" s="1179"/>
      <c r="K55" s="1179"/>
      <c r="L55" s="1179"/>
      <c r="M55" s="1179"/>
      <c r="N55" s="1179"/>
      <c r="O55" s="1179"/>
      <c r="P55" s="1179"/>
      <c r="Q55" s="1179"/>
      <c r="R55" s="1179"/>
      <c r="S55" s="1179"/>
      <c r="T55" s="1179"/>
      <c r="U55" s="1179"/>
      <c r="V55" s="3489"/>
      <c r="W55" s="2214"/>
      <c r="X55" s="9137"/>
      <c r="Y55" s="9138"/>
      <c r="Z55" s="9138"/>
      <c r="AA55" s="9138"/>
      <c r="AB55" s="9138"/>
      <c r="AC55" s="9139"/>
      <c r="AD55" s="1561"/>
      <c r="AE55" s="1179"/>
      <c r="AF55" s="1179"/>
      <c r="AG55" s="1179"/>
      <c r="AH55" s="1179"/>
      <c r="AI55" s="1179"/>
      <c r="AJ55" s="1179"/>
      <c r="AK55" s="1127"/>
      <c r="AL55" s="1179"/>
      <c r="AM55" s="4281" t="b">
        <f>AND(AE64&lt;&gt;"",AE64&gt;0,OR(AND(AL11&lt;&gt;"",IRA_Taxable_You&gt;0),AND(AL12&lt;&gt;"",IRA_Taxable_Spouse&gt;0)))</f>
        <v>0</v>
      </c>
      <c r="AN55" s="1179"/>
      <c r="AO55" s="2595"/>
      <c r="AP55" s="2595"/>
      <c r="AQ55" s="2595"/>
      <c r="AR55" s="2595"/>
      <c r="AS55" s="2595"/>
      <c r="AT55" s="2595"/>
      <c r="AU55" s="2595"/>
      <c r="AV55" s="2595"/>
      <c r="AW55" s="2595"/>
      <c r="AX55" s="2595"/>
      <c r="AY55" s="42"/>
      <c r="AZ55" s="42"/>
    </row>
    <row r="56" spans="1:52" ht="16.5" customHeight="1">
      <c r="A56" s="1127"/>
      <c r="B56" s="1179"/>
      <c r="C56" s="4507"/>
      <c r="D56" s="3719" t="s">
        <v>3805</v>
      </c>
      <c r="E56" s="2686"/>
      <c r="F56" s="1179"/>
      <c r="G56" s="1179"/>
      <c r="H56" s="1179"/>
      <c r="I56" s="1179"/>
      <c r="J56" s="1179"/>
      <c r="K56" s="1179"/>
      <c r="L56" s="1179"/>
      <c r="M56" s="1179"/>
      <c r="N56" s="1179"/>
      <c r="O56" s="1179"/>
      <c r="P56" s="1179"/>
      <c r="Q56" s="1179"/>
      <c r="R56" s="1179"/>
      <c r="S56" s="1179"/>
      <c r="T56" s="1179"/>
      <c r="U56" s="1179"/>
      <c r="V56" s="3489" t="s">
        <v>802</v>
      </c>
      <c r="W56" s="2224">
        <v>12</v>
      </c>
      <c r="X56" s="9115" t="str">
        <f>IF(AM30,"",IF(NOT(AM34),ROUND(X47*Z52,0),""))</f>
        <v/>
      </c>
      <c r="Y56" s="9116"/>
      <c r="Z56" s="9116"/>
      <c r="AA56" s="9116"/>
      <c r="AB56" s="9116"/>
      <c r="AC56" s="9136"/>
      <c r="AD56" s="1561"/>
      <c r="AE56" s="1179"/>
      <c r="AF56" s="1179"/>
      <c r="AG56" s="1179"/>
      <c r="AH56" s="1179"/>
      <c r="AI56" s="1179"/>
      <c r="AJ56" s="1179"/>
      <c r="AK56" s="1127"/>
      <c r="AL56" s="1179"/>
      <c r="AM56" s="24" t="s">
        <v>90</v>
      </c>
      <c r="AN56" s="1179"/>
      <c r="AY56" s="1731"/>
      <c r="AZ56" s="1731"/>
    </row>
    <row r="57" spans="1:52" ht="16.5" customHeight="1" thickBot="1">
      <c r="A57" s="1127"/>
      <c r="B57" s="1179"/>
      <c r="C57" s="4507" t="s">
        <v>658</v>
      </c>
      <c r="D57" s="2686" t="s">
        <v>3806</v>
      </c>
      <c r="E57" s="2686"/>
      <c r="F57" s="1179"/>
      <c r="G57" s="1179"/>
      <c r="H57" s="1179"/>
      <c r="I57" s="1179"/>
      <c r="J57" s="1179"/>
      <c r="K57" s="1179"/>
      <c r="L57" s="1179"/>
      <c r="M57" s="1179"/>
      <c r="N57" s="1179"/>
      <c r="O57" s="1179"/>
      <c r="P57" s="1179"/>
      <c r="Q57" s="1179"/>
      <c r="R57" s="1179"/>
      <c r="S57" s="1179"/>
      <c r="T57" s="1179"/>
      <c r="U57" s="1179"/>
      <c r="V57" s="1179"/>
      <c r="W57" s="1179"/>
      <c r="X57" s="1179"/>
      <c r="Y57" s="1179"/>
      <c r="Z57" s="1179"/>
      <c r="AA57" s="1179"/>
      <c r="AB57" s="1179"/>
      <c r="AC57" s="3489" t="s">
        <v>2401</v>
      </c>
      <c r="AD57" s="2224">
        <v>13</v>
      </c>
      <c r="AE57" s="9115" t="str">
        <f>IF(AM30,"",IF(NOT(AM34),SUM(X54,X56),""))</f>
        <v/>
      </c>
      <c r="AF57" s="9116"/>
      <c r="AG57" s="9116"/>
      <c r="AH57" s="9116"/>
      <c r="AI57" s="9116"/>
      <c r="AJ57" s="9116"/>
      <c r="AK57" s="1127"/>
      <c r="AL57" s="1179"/>
      <c r="AM57" s="24" t="s">
        <v>411</v>
      </c>
      <c r="AN57" s="1179"/>
      <c r="AY57" s="1731"/>
      <c r="AZ57" s="1731"/>
    </row>
    <row r="58" spans="1:52" ht="16.5" customHeight="1" thickBot="1">
      <c r="A58" s="1127"/>
      <c r="B58" s="1179"/>
      <c r="C58" s="4507" t="s">
        <v>661</v>
      </c>
      <c r="D58" s="2686" t="s">
        <v>3814</v>
      </c>
      <c r="E58" s="2686"/>
      <c r="F58" s="1179"/>
      <c r="G58" s="1179"/>
      <c r="H58" s="1179"/>
      <c r="I58" s="1179"/>
      <c r="J58" s="1179"/>
      <c r="K58" s="1179"/>
      <c r="L58" s="3490" t="s">
        <v>3813</v>
      </c>
      <c r="M58" s="1577" t="str">
        <f>"your total basis in traditional IRAs for "&amp;TaxYear&amp;" and earlier years"</f>
        <v>your total basis in traditional IRAs for 2021 and earlier years</v>
      </c>
      <c r="N58" s="1179"/>
      <c r="O58" s="1179"/>
      <c r="P58" s="1179"/>
      <c r="Q58" s="1179"/>
      <c r="R58" s="1179"/>
      <c r="S58" s="1179"/>
      <c r="T58" s="1179"/>
      <c r="U58" s="1179"/>
      <c r="V58" s="1179"/>
      <c r="W58" s="2214"/>
      <c r="X58" s="1582"/>
      <c r="Y58" s="1179"/>
      <c r="Z58" s="1179"/>
      <c r="AA58" s="1179"/>
      <c r="AB58" s="1179"/>
      <c r="AC58" s="4099" t="s">
        <v>2424</v>
      </c>
      <c r="AD58" s="2224">
        <v>14</v>
      </c>
      <c r="AE58" s="9115" t="str">
        <f>IF(AM58&lt;&gt;"",ROUND(AM58,0),IF(AM30,"",IF(NOT(AM34),MAX(0,SUM(AE32,-AE57)),MAX(0,AE32))))</f>
        <v/>
      </c>
      <c r="AF58" s="9116"/>
      <c r="AG58" s="9116"/>
      <c r="AH58" s="9116"/>
      <c r="AI58" s="9116"/>
      <c r="AJ58" s="9116"/>
      <c r="AK58" s="1127"/>
      <c r="AL58" s="1179"/>
      <c r="AM58" s="4377"/>
      <c r="AN58" s="1179"/>
      <c r="AY58" s="1731"/>
      <c r="AZ58" s="1731"/>
    </row>
    <row r="59" spans="1:52" ht="16.5" customHeight="1">
      <c r="A59" s="1127"/>
      <c r="B59" s="1179"/>
      <c r="C59" s="4507" t="s">
        <v>3855</v>
      </c>
      <c r="D59" s="3355" t="s">
        <v>3807</v>
      </c>
      <c r="E59" s="2686"/>
      <c r="F59" s="1179"/>
      <c r="G59" s="1179"/>
      <c r="H59" s="1179"/>
      <c r="I59" s="1179"/>
      <c r="J59" s="1179"/>
      <c r="K59" s="1179"/>
      <c r="L59" s="1179"/>
      <c r="M59" s="1179"/>
      <c r="N59" s="1179"/>
      <c r="O59" s="1179"/>
      <c r="P59" s="1179"/>
      <c r="Q59" s="1179"/>
      <c r="R59" s="1179"/>
      <c r="S59" s="1179"/>
      <c r="T59" s="1179"/>
      <c r="U59" s="1179"/>
      <c r="V59" s="1179"/>
      <c r="W59" s="1179"/>
      <c r="X59" s="1179"/>
      <c r="Y59" s="1179"/>
      <c r="Z59" s="1179"/>
      <c r="AA59" s="1179"/>
      <c r="AB59" s="1179"/>
      <c r="AC59" s="3489" t="s">
        <v>1044</v>
      </c>
      <c r="AD59" s="2224" t="s">
        <v>3808</v>
      </c>
      <c r="AE59" s="9115" t="str">
        <f>IF(AM30,"",IF(NOT(AM34),SUM(X47,-X56),""))</f>
        <v/>
      </c>
      <c r="AF59" s="9116"/>
      <c r="AG59" s="9116"/>
      <c r="AH59" s="9116"/>
      <c r="AI59" s="9116"/>
      <c r="AJ59" s="9116"/>
      <c r="AK59" s="1127"/>
      <c r="AL59" s="4516"/>
      <c r="AM59" s="4516"/>
      <c r="AN59" s="4516"/>
      <c r="AY59" s="1731"/>
      <c r="AZ59" s="1731"/>
    </row>
    <row r="60" spans="1:52" ht="15" customHeight="1">
      <c r="A60" s="1127"/>
      <c r="B60" s="1179"/>
      <c r="C60" s="4508" t="s">
        <v>47</v>
      </c>
      <c r="D60" s="2686" t="str">
        <f>"Enter the amount on line 15a attributable to qualified disaster distributions from "&amp;TaxYear&amp;" Forms 8915-D,"</f>
        <v>Enter the amount on line 15a attributable to qualified disaster distributions from 2021 Forms 8915-D,</v>
      </c>
      <c r="E60" s="2686"/>
      <c r="F60" s="1179"/>
      <c r="G60" s="1179"/>
      <c r="H60" s="1179"/>
      <c r="I60" s="1179"/>
      <c r="J60" s="1179"/>
      <c r="K60" s="1179"/>
      <c r="L60" s="1179"/>
      <c r="M60" s="1179"/>
      <c r="N60" s="1179"/>
      <c r="O60" s="1179"/>
      <c r="P60" s="1179"/>
      <c r="Q60" s="1179"/>
      <c r="R60" s="1179"/>
      <c r="S60" s="1179"/>
      <c r="T60" s="1179"/>
      <c r="U60" s="1179"/>
      <c r="V60" s="1179"/>
      <c r="W60" s="1179"/>
      <c r="X60" s="1179"/>
      <c r="Y60" s="1179"/>
      <c r="Z60" s="1179"/>
      <c r="AA60" s="1179"/>
      <c r="AB60" s="1179"/>
      <c r="AC60" s="1583"/>
      <c r="AD60" s="1558"/>
      <c r="AE60" s="1179"/>
      <c r="AF60" s="1179"/>
      <c r="AG60" s="1179"/>
      <c r="AH60" s="1179"/>
      <c r="AI60" s="1179"/>
      <c r="AJ60" s="1179"/>
      <c r="AK60" s="1127"/>
      <c r="AL60" s="4516"/>
      <c r="AM60" s="4516"/>
      <c r="AN60" s="4516"/>
    </row>
    <row r="61" spans="1:52" ht="15" customHeight="1">
      <c r="A61" s="1127"/>
      <c r="B61" s="1179"/>
      <c r="C61" s="3838"/>
      <c r="D61" s="2686" t="str">
        <f>"and 8915-F (see instructions). Also, enter this amount on "&amp;TaxYear&amp;" Form 8915-D, line 23,"</f>
        <v>and 8915-F (see instructions). Also, enter this amount on 2021 Form 8915-D, line 23,</v>
      </c>
      <c r="E61" s="1927"/>
      <c r="F61" s="1927"/>
      <c r="G61" s="1927"/>
      <c r="H61" s="1179"/>
      <c r="I61" s="1179"/>
      <c r="J61" s="1179"/>
      <c r="K61" s="1179"/>
      <c r="L61" s="1179"/>
      <c r="M61" s="1179"/>
      <c r="N61" s="1179"/>
      <c r="O61" s="1179"/>
      <c r="P61" s="1179"/>
      <c r="Q61" s="1179"/>
      <c r="R61" s="1179"/>
      <c r="S61" s="1179"/>
      <c r="T61" s="1179"/>
      <c r="U61" s="1179"/>
      <c r="V61" s="1179"/>
      <c r="W61" s="1179"/>
      <c r="X61" s="1577" t="s">
        <v>243</v>
      </c>
      <c r="Y61" s="1179"/>
      <c r="Z61" s="1179"/>
      <c r="AA61" s="1179"/>
      <c r="AB61" s="1179"/>
      <c r="AC61" s="1179"/>
      <c r="AD61" s="1558"/>
      <c r="AE61" s="1179"/>
      <c r="AF61" s="1179"/>
      <c r="AG61" s="1179"/>
      <c r="AH61" s="1179"/>
      <c r="AI61" s="1179"/>
      <c r="AJ61" s="1179"/>
      <c r="AK61" s="1127"/>
      <c r="AL61" s="4516"/>
      <c r="AM61" s="4516"/>
      <c r="AN61" s="4516"/>
    </row>
    <row r="62" spans="1:52" ht="15" customHeight="1">
      <c r="A62" s="1127"/>
      <c r="B62" s="1179"/>
      <c r="C62" s="3838"/>
      <c r="D62" s="2686" t="str">
        <f>TaxYear&amp;" Form 8915-F, line 18, as applicable"</f>
        <v>2021 Form 8915-F, line 18, as applicable</v>
      </c>
      <c r="E62" s="1927"/>
      <c r="F62" s="1927"/>
      <c r="G62" s="1927"/>
      <c r="H62" s="1927"/>
      <c r="I62" s="1179"/>
      <c r="J62" s="1179"/>
      <c r="K62" s="1179"/>
      <c r="L62" s="1179"/>
      <c r="M62" s="1179"/>
      <c r="N62" s="1179"/>
      <c r="O62" s="1179"/>
      <c r="P62" s="1179"/>
      <c r="Q62" s="1179"/>
      <c r="R62" s="1179"/>
      <c r="S62" s="1179"/>
      <c r="T62" s="1179"/>
      <c r="U62" s="1179"/>
      <c r="V62" s="1179"/>
      <c r="W62" s="1179"/>
      <c r="X62" s="1179"/>
      <c r="Y62" s="1179"/>
      <c r="Z62" s="1179"/>
      <c r="AA62" s="1179"/>
      <c r="AB62" s="1179"/>
      <c r="AC62" s="3489" t="s">
        <v>2422</v>
      </c>
      <c r="AD62" s="2224" t="s">
        <v>3809</v>
      </c>
      <c r="AE62" s="9111"/>
      <c r="AF62" s="9112"/>
      <c r="AG62" s="9112"/>
      <c r="AH62" s="9112"/>
      <c r="AI62" s="9112"/>
      <c r="AJ62" s="9112"/>
      <c r="AK62" s="1127"/>
      <c r="AL62" s="5060">
        <f>IF(AE62&lt;&gt;"",1,0)</f>
        <v>0</v>
      </c>
      <c r="AM62" s="24" t="s">
        <v>90</v>
      </c>
      <c r="AN62" s="4516"/>
    </row>
    <row r="63" spans="1:52" ht="16.5" customHeight="1" thickBot="1">
      <c r="A63" s="1127"/>
      <c r="B63" s="1179"/>
      <c r="C63" s="4508" t="s">
        <v>48</v>
      </c>
      <c r="D63" s="1577" t="s">
        <v>3815</v>
      </c>
      <c r="E63" s="1927"/>
      <c r="F63" s="1927"/>
      <c r="G63" s="1927"/>
      <c r="H63" s="2686"/>
      <c r="I63" s="2686" t="str">
        <f>"Subtract line 15b from line 15a. If more than zero, also include this amount on "&amp;TaxYear</f>
        <v>Subtract line 15b from line 15a. If more than zero, also include this amount on 2021</v>
      </c>
      <c r="J63" s="1179"/>
      <c r="K63" s="1179"/>
      <c r="L63" s="1179"/>
      <c r="M63" s="1179"/>
      <c r="N63" s="1179"/>
      <c r="O63" s="1179"/>
      <c r="P63" s="1179"/>
      <c r="Q63" s="1179"/>
      <c r="R63" s="1179"/>
      <c r="S63" s="1179"/>
      <c r="T63" s="1179"/>
      <c r="U63" s="1179"/>
      <c r="V63" s="1179"/>
      <c r="W63" s="1179"/>
      <c r="X63" s="1179"/>
      <c r="Y63" s="1179"/>
      <c r="Z63" s="1179"/>
      <c r="AA63" s="1179"/>
      <c r="AB63" s="1179"/>
      <c r="AC63" s="1560"/>
      <c r="AD63" s="1558"/>
      <c r="AE63" s="1179"/>
      <c r="AF63" s="1179"/>
      <c r="AG63" s="1179"/>
      <c r="AH63" s="1179"/>
      <c r="AI63" s="1179"/>
      <c r="AJ63" s="1179"/>
      <c r="AK63" s="1127"/>
      <c r="AL63" s="4516"/>
      <c r="AM63" s="24" t="s">
        <v>411</v>
      </c>
      <c r="AN63" s="4516"/>
    </row>
    <row r="64" spans="1:52" ht="16.5" customHeight="1" thickBot="1">
      <c r="A64" s="1127"/>
      <c r="B64" s="1179"/>
      <c r="C64" s="4507"/>
      <c r="D64" s="3719" t="s">
        <v>4232</v>
      </c>
      <c r="E64" s="2686"/>
      <c r="F64" s="1179"/>
      <c r="G64" s="1179"/>
      <c r="H64" s="1179"/>
      <c r="I64" s="1179"/>
      <c r="J64" s="1179"/>
      <c r="K64" s="1179"/>
      <c r="L64" s="1179"/>
      <c r="M64" s="1179"/>
      <c r="N64" s="1179"/>
      <c r="O64" s="1179"/>
      <c r="P64" s="1179"/>
      <c r="Q64" s="1179"/>
      <c r="R64" s="1179"/>
      <c r="S64" s="1179"/>
      <c r="T64" s="1179"/>
      <c r="U64" s="1179"/>
      <c r="V64" s="1179"/>
      <c r="W64" s="1179"/>
      <c r="X64" s="1179"/>
      <c r="Y64" s="1179"/>
      <c r="Z64" s="1179"/>
      <c r="AA64" s="1179"/>
      <c r="AB64" s="1179"/>
      <c r="AC64" s="3489" t="s">
        <v>4237</v>
      </c>
      <c r="AD64" s="2224" t="s">
        <v>3282</v>
      </c>
      <c r="AE64" s="9115" t="str">
        <f>IF(AM30,"",IF(AM64&lt;&gt;"",ROUND(AM64,0),IF(NOT(AM34),SUM(AE59,-AE62),"")))</f>
        <v/>
      </c>
      <c r="AF64" s="9116"/>
      <c r="AG64" s="9116"/>
      <c r="AH64" s="9116"/>
      <c r="AI64" s="9116"/>
      <c r="AJ64" s="9116"/>
      <c r="AK64" s="1127"/>
      <c r="AL64" s="1824"/>
      <c r="AM64" s="4377"/>
      <c r="AN64" s="1179"/>
    </row>
    <row r="65" spans="1:53" ht="16.5" customHeight="1">
      <c r="A65" s="1127"/>
      <c r="B65" s="1179"/>
      <c r="C65" s="4507"/>
      <c r="D65" s="2686" t="s">
        <v>3817</v>
      </c>
      <c r="E65" s="2686"/>
      <c r="F65" s="1179"/>
      <c r="G65" s="1179"/>
      <c r="H65" s="1179"/>
      <c r="I65" s="1179"/>
      <c r="J65" s="1179"/>
      <c r="K65" s="1179"/>
      <c r="L65" s="1179"/>
      <c r="M65" s="1179"/>
      <c r="N65" s="1179"/>
      <c r="O65" s="1179"/>
      <c r="P65" s="1179"/>
      <c r="Q65" s="1179"/>
      <c r="R65" s="1179"/>
      <c r="S65" s="1179"/>
      <c r="T65" s="1179"/>
      <c r="U65" s="1179"/>
      <c r="V65" s="1179"/>
      <c r="W65" s="1179"/>
      <c r="X65" s="1179"/>
      <c r="Y65" s="1179"/>
      <c r="Z65" s="1179"/>
      <c r="AA65" s="1179"/>
      <c r="AB65" s="1179"/>
      <c r="AC65" s="1179"/>
      <c r="AD65" s="4468"/>
      <c r="AE65" s="4469"/>
      <c r="AF65" s="4469"/>
      <c r="AG65" s="4469"/>
      <c r="AH65" s="4469"/>
      <c r="AI65" s="4469"/>
      <c r="AJ65" s="4469"/>
      <c r="AK65" s="1127"/>
      <c r="AL65" s="1824"/>
      <c r="AM65" s="3263"/>
      <c r="AN65" s="1179"/>
      <c r="BA65" s="1715"/>
    </row>
    <row r="66" spans="1:53" ht="16.5" customHeight="1" thickBot="1">
      <c r="A66" s="1127"/>
      <c r="B66" s="1179"/>
      <c r="C66" s="3838"/>
      <c r="D66" s="2686" t="s">
        <v>3816</v>
      </c>
      <c r="E66" s="2686"/>
      <c r="F66" s="1179"/>
      <c r="G66" s="1179"/>
      <c r="H66" s="1179"/>
      <c r="I66" s="1179"/>
      <c r="J66" s="1179"/>
      <c r="K66" s="1179"/>
      <c r="L66" s="1179"/>
      <c r="M66" s="1179"/>
      <c r="N66" s="1179"/>
      <c r="O66" s="1179"/>
      <c r="P66" s="1179"/>
      <c r="Q66" s="1179"/>
      <c r="R66" s="1179"/>
      <c r="S66" s="1179"/>
      <c r="T66" s="1179"/>
      <c r="U66" s="1179"/>
      <c r="V66" s="1179"/>
      <c r="W66" s="1179"/>
      <c r="X66" s="1179"/>
      <c r="Y66" s="1179"/>
      <c r="Z66" s="1179"/>
      <c r="AA66" s="1179"/>
      <c r="AB66" s="1179"/>
      <c r="AC66" s="3489"/>
      <c r="AD66" s="4470"/>
      <c r="AE66" s="4471"/>
      <c r="AF66" s="4472"/>
      <c r="AG66" s="4472"/>
      <c r="AH66" s="4472"/>
      <c r="AI66" s="4472"/>
      <c r="AJ66" s="4472"/>
      <c r="AK66" s="1127"/>
      <c r="AL66" s="2770"/>
      <c r="AM66" s="1276"/>
      <c r="AN66" s="1179"/>
    </row>
    <row r="67" spans="1:53" s="3402" customFormat="1" ht="15.75">
      <c r="A67" s="3753"/>
      <c r="B67" s="3750" t="s">
        <v>3810</v>
      </c>
      <c r="C67" s="4463"/>
      <c r="D67" s="1017"/>
      <c r="E67" s="1017"/>
      <c r="F67" s="1017"/>
      <c r="G67" s="1017"/>
      <c r="H67" s="1017"/>
      <c r="I67" s="1017"/>
      <c r="J67" s="1017"/>
      <c r="K67" s="1017"/>
      <c r="L67" s="1017"/>
      <c r="M67" s="1017"/>
      <c r="N67" s="1017"/>
      <c r="O67" s="1017"/>
      <c r="P67" s="1017"/>
      <c r="Q67" s="31"/>
      <c r="R67" s="31"/>
      <c r="S67" s="31"/>
      <c r="T67" s="31"/>
      <c r="U67" s="3751"/>
      <c r="V67" s="31"/>
      <c r="W67" s="3751" t="s">
        <v>3811</v>
      </c>
      <c r="X67" s="31"/>
      <c r="Y67" s="31"/>
      <c r="Z67" s="31"/>
      <c r="AA67" s="31"/>
      <c r="AB67" s="31"/>
      <c r="AC67" s="31"/>
      <c r="AD67" s="31"/>
      <c r="AE67" s="31"/>
      <c r="AF67" s="31"/>
      <c r="AG67" s="31"/>
      <c r="AH67" s="3752" t="s">
        <v>3812</v>
      </c>
      <c r="AI67" s="31"/>
      <c r="AJ67" s="3752" t="str">
        <f>"("&amp;TaxYear&amp;")"</f>
        <v>(2021)</v>
      </c>
      <c r="AK67" s="1127"/>
      <c r="AL67" s="1179"/>
      <c r="AM67" s="1179"/>
      <c r="AN67" s="1179"/>
      <c r="AO67" s="2595"/>
      <c r="AP67" s="2595"/>
      <c r="AQ67" s="2595"/>
      <c r="AR67" s="2595"/>
      <c r="AS67" s="2595"/>
      <c r="AT67" s="2595"/>
      <c r="AU67" s="2595"/>
      <c r="AV67" s="2595"/>
      <c r="AW67" s="2595"/>
      <c r="AX67" s="2595"/>
      <c r="AY67" s="42"/>
      <c r="AZ67" s="42"/>
    </row>
    <row r="68" spans="1:53" s="3402" customFormat="1" ht="18" customHeight="1" thickBot="1">
      <c r="A68" s="1127"/>
      <c r="B68" s="1359" t="str">
        <f>"Form 8606 ("&amp;TaxYear&amp;")"</f>
        <v>Form 8606 (2021)</v>
      </c>
      <c r="C68" s="4464"/>
      <c r="D68" s="1359"/>
      <c r="E68" s="1359"/>
      <c r="F68" s="1359"/>
      <c r="G68" s="1359"/>
      <c r="H68" s="1359"/>
      <c r="I68" s="1359"/>
      <c r="J68" s="1359"/>
      <c r="K68" s="1359"/>
      <c r="L68" s="1359"/>
      <c r="M68" s="1359"/>
      <c r="N68" s="1359"/>
      <c r="O68" s="1359"/>
      <c r="P68" s="1359"/>
      <c r="Q68" s="1359"/>
      <c r="R68" s="1359"/>
      <c r="S68" s="1359"/>
      <c r="T68" s="1359"/>
      <c r="U68" s="1359"/>
      <c r="V68" s="1359"/>
      <c r="W68" s="1359"/>
      <c r="X68" s="1359"/>
      <c r="Y68" s="1359"/>
      <c r="Z68" s="1359"/>
      <c r="AA68" s="1359"/>
      <c r="AB68" s="1359"/>
      <c r="AC68" s="1359"/>
      <c r="AD68" s="1359"/>
      <c r="AE68" s="1359"/>
      <c r="AF68" s="1359"/>
      <c r="AG68" s="1359"/>
      <c r="AH68" s="1359"/>
      <c r="AI68" s="1815" t="s">
        <v>197</v>
      </c>
      <c r="AJ68" s="1816">
        <v>2</v>
      </c>
      <c r="AK68" s="1127"/>
      <c r="AL68" s="1179"/>
      <c r="AM68" s="1179"/>
      <c r="AN68" s="1179"/>
      <c r="AO68" s="2595"/>
      <c r="AP68" s="2595"/>
      <c r="AQ68" s="2595"/>
      <c r="AR68" s="2595"/>
      <c r="AS68" s="2595"/>
      <c r="AT68" s="2595"/>
      <c r="AU68" s="2595"/>
      <c r="AV68" s="2595"/>
      <c r="AW68" s="2595"/>
      <c r="AX68" s="2595"/>
      <c r="AY68" s="42"/>
      <c r="AZ68" s="42"/>
    </row>
    <row r="69" spans="1:53" s="3402" customFormat="1" ht="19.5" customHeight="1" thickTop="1">
      <c r="A69" s="1127"/>
      <c r="B69" s="9166" t="s">
        <v>118</v>
      </c>
      <c r="C69" s="9166"/>
      <c r="D69" s="4474"/>
      <c r="E69" s="4475" t="str">
        <f>TaxYear&amp;" Conversions From Traditional, SEP, or SIMPLE IRAs to Roth IRAs"</f>
        <v>2021 Conversions From Traditional, SEP, or SIMPLE IRAs to Roth IRAs</v>
      </c>
      <c r="F69" s="1358"/>
      <c r="G69" s="1358"/>
      <c r="H69" s="1358"/>
      <c r="I69" s="1358"/>
      <c r="J69" s="1358"/>
      <c r="K69" s="1358"/>
      <c r="L69" s="1358"/>
      <c r="M69" s="1358"/>
      <c r="N69" s="1358"/>
      <c r="O69" s="1358"/>
      <c r="P69" s="1358"/>
      <c r="Q69" s="1358"/>
      <c r="R69" s="1358"/>
      <c r="S69" s="1358"/>
      <c r="T69" s="1358"/>
      <c r="U69" s="1358"/>
      <c r="V69" s="1358"/>
      <c r="W69" s="1358"/>
      <c r="X69" s="1358"/>
      <c r="Y69" s="1358"/>
      <c r="Z69" s="1358"/>
      <c r="AA69" s="1358"/>
      <c r="AB69" s="1358"/>
      <c r="AC69" s="1358"/>
      <c r="AD69" s="1358"/>
      <c r="AE69" s="1358"/>
      <c r="AF69" s="1358"/>
      <c r="AG69" s="1358"/>
      <c r="AH69" s="1358"/>
      <c r="AI69" s="1358"/>
      <c r="AJ69" s="1358"/>
      <c r="AK69" s="1127"/>
      <c r="AL69" s="1179"/>
      <c r="AM69" s="24"/>
      <c r="AN69" s="1179"/>
      <c r="AO69" s="2595"/>
      <c r="AP69" s="2595"/>
      <c r="AQ69" s="2595"/>
      <c r="AR69" s="2595"/>
      <c r="AS69" s="2595"/>
      <c r="AT69" s="2595"/>
      <c r="AU69" s="2595"/>
      <c r="AV69" s="2595"/>
      <c r="AW69" s="2595"/>
      <c r="AX69" s="2595"/>
      <c r="AY69" s="42"/>
      <c r="AZ69" s="42"/>
    </row>
    <row r="70" spans="1:53" s="3402" customFormat="1" ht="16.5" customHeight="1">
      <c r="A70" s="1127"/>
      <c r="B70" s="4360"/>
      <c r="C70" s="4360"/>
      <c r="D70" s="4360"/>
      <c r="E70" s="4476" t="str">
        <f>"Complete this part if you converted part or all of your traditional, SEP, and SIMPLE IRAs to a Roth IRA in "&amp;TaxYear&amp;"."</f>
        <v>Complete this part if you converted part or all of your traditional, SEP, and SIMPLE IRAs to a Roth IRA in 2021.</v>
      </c>
      <c r="F70" s="4360"/>
      <c r="G70" s="4360"/>
      <c r="H70" s="4360"/>
      <c r="I70" s="4360"/>
      <c r="J70" s="4360"/>
      <c r="K70" s="4360"/>
      <c r="L70" s="4360"/>
      <c r="M70" s="4360"/>
      <c r="N70" s="4360"/>
      <c r="O70" s="4360"/>
      <c r="P70" s="4360"/>
      <c r="Q70" s="4360"/>
      <c r="R70" s="4360"/>
      <c r="S70" s="4360"/>
      <c r="T70" s="4360"/>
      <c r="U70" s="4360"/>
      <c r="V70" s="4360"/>
      <c r="W70" s="4360"/>
      <c r="X70" s="4360"/>
      <c r="Y70" s="4360"/>
      <c r="Z70" s="4360"/>
      <c r="AA70" s="4360"/>
      <c r="AB70" s="4360"/>
      <c r="AC70" s="4360"/>
      <c r="AD70" s="4360"/>
      <c r="AE70" s="4360"/>
      <c r="AF70" s="4360"/>
      <c r="AG70" s="4360"/>
      <c r="AH70" s="4360"/>
      <c r="AI70" s="4360"/>
      <c r="AJ70" s="4360"/>
      <c r="AK70" s="1127"/>
      <c r="AL70" s="1179"/>
      <c r="AM70" s="24" t="s">
        <v>90</v>
      </c>
      <c r="AN70" s="1179"/>
      <c r="AO70" s="2595"/>
      <c r="AP70" s="2595"/>
      <c r="AQ70" s="2595"/>
      <c r="AR70" s="2595"/>
      <c r="AS70" s="2595"/>
      <c r="AT70" s="2595"/>
      <c r="AU70" s="2595"/>
      <c r="AV70" s="2595"/>
      <c r="AW70" s="2595"/>
      <c r="AX70" s="2595"/>
      <c r="AY70" s="42"/>
      <c r="AZ70" s="42"/>
    </row>
    <row r="71" spans="1:53" ht="16.5" customHeight="1" thickBot="1">
      <c r="A71" s="1127"/>
      <c r="B71" s="1179"/>
      <c r="C71" s="4507">
        <v>16</v>
      </c>
      <c r="D71" s="2686" t="s">
        <v>3818</v>
      </c>
      <c r="E71" s="1927"/>
      <c r="F71" s="1927"/>
      <c r="G71" s="1927"/>
      <c r="H71" s="1179"/>
      <c r="I71" s="1179"/>
      <c r="J71" s="1179"/>
      <c r="K71" s="1179"/>
      <c r="L71" s="1179"/>
      <c r="M71" s="1179"/>
      <c r="N71" s="1179"/>
      <c r="O71" s="1179"/>
      <c r="P71" s="1179"/>
      <c r="Q71" s="1179"/>
      <c r="R71" s="1179"/>
      <c r="S71" s="1179"/>
      <c r="T71" s="1179"/>
      <c r="U71" s="1179"/>
      <c r="V71" s="1179"/>
      <c r="W71" s="1179"/>
      <c r="X71" s="1179"/>
      <c r="Y71" s="1179"/>
      <c r="Z71" s="1179"/>
      <c r="AA71" s="1179"/>
      <c r="AB71" s="1179"/>
      <c r="AC71" s="1179"/>
      <c r="AD71" s="1558"/>
      <c r="AE71" s="1179"/>
      <c r="AF71" s="1179"/>
      <c r="AG71" s="1179"/>
      <c r="AH71" s="1179"/>
      <c r="AI71" s="1179"/>
      <c r="AJ71" s="1179"/>
      <c r="AK71" s="1127"/>
      <c r="AL71" s="1179"/>
      <c r="AM71" s="24" t="s">
        <v>411</v>
      </c>
      <c r="AN71" s="1179"/>
    </row>
    <row r="72" spans="1:53" ht="16.5" customHeight="1" thickBot="1">
      <c r="A72" s="1127"/>
      <c r="B72" s="1179"/>
      <c r="C72" s="3838"/>
      <c r="D72" s="2686" t="str">
        <f>"from traditional, SEP, and SIMPLE IRAs to Roth IRAs in "&amp;TaxYear</f>
        <v>from traditional, SEP, and SIMPLE IRAs to Roth IRAs in 2021</v>
      </c>
      <c r="E72" s="1927"/>
      <c r="F72" s="1927"/>
      <c r="G72" s="1927"/>
      <c r="H72" s="1927"/>
      <c r="I72" s="1179"/>
      <c r="J72" s="1179"/>
      <c r="K72" s="1179"/>
      <c r="L72" s="1179"/>
      <c r="M72" s="1179"/>
      <c r="N72" s="1179"/>
      <c r="O72" s="1179"/>
      <c r="P72" s="1179"/>
      <c r="Q72" s="1179"/>
      <c r="R72" s="1179"/>
      <c r="S72" s="1179"/>
      <c r="T72" s="1179"/>
      <c r="U72" s="1179"/>
      <c r="V72" s="1179"/>
      <c r="W72" s="1179"/>
      <c r="X72" s="1179"/>
      <c r="Y72" s="1179"/>
      <c r="Z72" s="1179"/>
      <c r="AA72" s="1179"/>
      <c r="AB72" s="1179"/>
      <c r="AC72" s="1560" t="s">
        <v>644</v>
      </c>
      <c r="AD72" s="2224" t="s">
        <v>1105</v>
      </c>
      <c r="AE72" s="9115">
        <f>IF(AM72&lt;&gt;"",ROUND(AM72,0),IF(X49&lt;&gt;"",X49,IF(AL11&lt;&gt;"",IRA_CONV_YOU,IF(AL12&lt;&gt;"",IRA_CONV_SPOUSE))))</f>
        <v>0</v>
      </c>
      <c r="AF72" s="9116"/>
      <c r="AG72" s="9116"/>
      <c r="AH72" s="9116"/>
      <c r="AI72" s="9116"/>
      <c r="AJ72" s="9116"/>
      <c r="AK72" s="1127"/>
      <c r="AL72" s="1824"/>
      <c r="AM72" s="4377"/>
      <c r="AN72" s="1179"/>
    </row>
    <row r="73" spans="1:53" ht="16.5" customHeight="1" thickBot="1">
      <c r="A73" s="1127"/>
      <c r="B73" s="1179"/>
      <c r="C73" s="4507">
        <v>17</v>
      </c>
      <c r="D73" s="2686" t="s">
        <v>3820</v>
      </c>
      <c r="E73" s="1927"/>
      <c r="F73" s="1927"/>
      <c r="G73" s="1927"/>
      <c r="H73" s="1179"/>
      <c r="I73" s="1179"/>
      <c r="J73" s="1179"/>
      <c r="K73" s="1179"/>
      <c r="L73" s="1179"/>
      <c r="M73" s="1179"/>
      <c r="N73" s="1179"/>
      <c r="O73" s="1179"/>
      <c r="P73" s="1179"/>
      <c r="Q73" s="1179"/>
      <c r="R73" s="1179"/>
      <c r="S73" s="1179"/>
      <c r="T73" s="1179"/>
      <c r="U73" s="1179"/>
      <c r="V73" s="1179"/>
      <c r="W73" s="1179"/>
      <c r="X73" s="1179"/>
      <c r="Y73" s="1179"/>
      <c r="Z73" s="1179"/>
      <c r="AA73" s="1179"/>
      <c r="AB73" s="1179"/>
      <c r="AC73" s="1179"/>
      <c r="AD73" s="1558"/>
      <c r="AE73" s="9108">
        <f>IF(AL11&lt;&gt;"",SUM(IRA_CONV_YOU,-IRA_CONV_TAXABLE_YOU),IF(AL12&lt;&gt;"",SUM(IRA_CONV_SPOUSE,-IRA_CONV_TAXABLE_SPOUSE),""))</f>
        <v>0</v>
      </c>
      <c r="AF73" s="9109"/>
      <c r="AG73" s="9109"/>
      <c r="AH73" s="9109"/>
      <c r="AI73" s="9109"/>
      <c r="AJ73" s="9109"/>
      <c r="AK73" s="1127"/>
      <c r="AL73" s="1179"/>
      <c r="AM73" s="24" t="str">
        <f>IF(NOT(AM30),"Bases in Line 16.","")</f>
        <v/>
      </c>
      <c r="AN73" s="1179"/>
    </row>
    <row r="74" spans="1:53" ht="16.5" customHeight="1" thickBot="1">
      <c r="A74" s="1127"/>
      <c r="B74" s="1179"/>
      <c r="C74" s="3838"/>
      <c r="D74" s="2686" t="s">
        <v>3821</v>
      </c>
      <c r="E74" s="1927"/>
      <c r="F74" s="1927"/>
      <c r="G74" s="1927"/>
      <c r="H74" s="1927"/>
      <c r="I74" s="1179"/>
      <c r="J74" s="1179"/>
      <c r="K74" s="1179"/>
      <c r="L74" s="1179"/>
      <c r="M74" s="1179"/>
      <c r="N74" s="1179"/>
      <c r="O74" s="1179"/>
      <c r="P74" s="1179"/>
      <c r="Q74" s="1179"/>
      <c r="R74" s="1179"/>
      <c r="S74" s="1179"/>
      <c r="T74" s="1179"/>
      <c r="U74" s="1179"/>
      <c r="V74" s="1179"/>
      <c r="W74" s="1179"/>
      <c r="X74" s="1179"/>
      <c r="Y74" s="1179"/>
      <c r="Z74" s="1179"/>
      <c r="AA74" s="1179"/>
      <c r="AB74" s="1179"/>
      <c r="AC74" s="1560" t="s">
        <v>2908</v>
      </c>
      <c r="AD74" s="4372" t="s">
        <v>1107</v>
      </c>
      <c r="AE74" s="9119">
        <f>IF(AM74&lt;&gt;"",ROUND(AM74,0),IF(AM31,X54,IF(AE73="- - - -",AE72,IF(OR(AE73="",ISERROR(AE73+1)),"",AE73))))</f>
        <v>0</v>
      </c>
      <c r="AF74" s="9120"/>
      <c r="AG74" s="9120"/>
      <c r="AH74" s="9120"/>
      <c r="AI74" s="9120"/>
      <c r="AJ74" s="9120"/>
      <c r="AK74" s="1127"/>
      <c r="AL74" s="1824"/>
      <c r="AM74" s="4377"/>
      <c r="AN74" s="1179"/>
    </row>
    <row r="75" spans="1:53" ht="16.5" customHeight="1">
      <c r="A75" s="1127"/>
      <c r="B75" s="1179"/>
      <c r="C75" s="4507">
        <v>18</v>
      </c>
      <c r="D75" s="1577" t="s">
        <v>3822</v>
      </c>
      <c r="E75" s="1927"/>
      <c r="F75" s="1927"/>
      <c r="G75" s="1927"/>
      <c r="H75" s="1179"/>
      <c r="I75" s="2686" t="str">
        <f>"Subtract line 17 from line 16. If more than zero, also include this amount on "&amp;TaxYear</f>
        <v>Subtract line 17 from line 16. If more than zero, also include this amount on 2021</v>
      </c>
      <c r="J75" s="1179"/>
      <c r="K75" s="1179"/>
      <c r="L75" s="1179"/>
      <c r="M75" s="1179"/>
      <c r="N75" s="1179"/>
      <c r="O75" s="1179"/>
      <c r="P75" s="1179"/>
      <c r="Q75" s="1179"/>
      <c r="R75" s="1179"/>
      <c r="S75" s="1179"/>
      <c r="T75" s="1179"/>
      <c r="U75" s="1179"/>
      <c r="V75" s="1179"/>
      <c r="W75" s="1179"/>
      <c r="X75" s="1179"/>
      <c r="Y75" s="1179"/>
      <c r="Z75" s="1179"/>
      <c r="AA75" s="1179"/>
      <c r="AB75" s="1179"/>
      <c r="AC75" s="1179"/>
      <c r="AD75" s="1558"/>
      <c r="AE75" s="9106"/>
      <c r="AF75" s="9107"/>
      <c r="AG75" s="9107"/>
      <c r="AH75" s="9107"/>
      <c r="AI75" s="9107"/>
      <c r="AJ75" s="9107"/>
      <c r="AK75" s="1127"/>
      <c r="AL75" s="4516"/>
      <c r="AM75" s="4516"/>
      <c r="AN75" s="4516"/>
    </row>
    <row r="76" spans="1:53" ht="16.5" customHeight="1" thickBot="1">
      <c r="A76" s="1127"/>
      <c r="B76" s="1280"/>
      <c r="C76" s="4455"/>
      <c r="D76" s="2704" t="s">
        <v>4232</v>
      </c>
      <c r="E76" s="4455"/>
      <c r="F76" s="4455"/>
      <c r="G76" s="4455"/>
      <c r="H76" s="4455"/>
      <c r="I76" s="1280"/>
      <c r="J76" s="1280"/>
      <c r="K76" s="1280"/>
      <c r="L76" s="1280"/>
      <c r="M76" s="1280"/>
      <c r="N76" s="1280"/>
      <c r="O76" s="1280"/>
      <c r="P76" s="1280"/>
      <c r="Q76" s="1280"/>
      <c r="R76" s="1280"/>
      <c r="S76" s="1280"/>
      <c r="T76" s="1280"/>
      <c r="U76" s="1280"/>
      <c r="V76" s="1280"/>
      <c r="W76" s="1280"/>
      <c r="X76" s="1280"/>
      <c r="Y76" s="1280"/>
      <c r="Z76" s="1280"/>
      <c r="AA76" s="1280"/>
      <c r="AB76" s="1280"/>
      <c r="AC76" s="4477" t="s">
        <v>4237</v>
      </c>
      <c r="AD76" s="4372" t="s">
        <v>1109</v>
      </c>
      <c r="AE76" s="9119">
        <f>IF(OR(AE72="",AE74=""),"",SUM(AE72,-AE74))</f>
        <v>0</v>
      </c>
      <c r="AF76" s="9120"/>
      <c r="AG76" s="9120"/>
      <c r="AH76" s="9120"/>
      <c r="AI76" s="9120"/>
      <c r="AJ76" s="9120"/>
      <c r="AK76" s="1127"/>
      <c r="AL76" s="4516"/>
      <c r="AM76" s="5112">
        <f>MAX(0,AE76)</f>
        <v>0</v>
      </c>
      <c r="AN76" s="4516"/>
    </row>
    <row r="77" spans="1:53" s="3402" customFormat="1" ht="19.5" customHeight="1">
      <c r="A77" s="1127"/>
      <c r="B77" s="9208" t="s">
        <v>319</v>
      </c>
      <c r="C77" s="9208"/>
      <c r="D77" s="4478"/>
      <c r="E77" s="4496" t="s">
        <v>3823</v>
      </c>
      <c r="F77" s="1274"/>
      <c r="G77" s="1274"/>
      <c r="H77" s="1274"/>
      <c r="I77" s="1274"/>
      <c r="J77" s="1274"/>
      <c r="K77" s="1274"/>
      <c r="L77" s="1274"/>
      <c r="M77" s="1274"/>
      <c r="N77" s="1274"/>
      <c r="O77" s="1274"/>
      <c r="P77" s="1274"/>
      <c r="Q77" s="1274"/>
      <c r="R77" s="1274"/>
      <c r="S77" s="1274"/>
      <c r="T77" s="1274"/>
      <c r="U77" s="1274"/>
      <c r="V77" s="1274"/>
      <c r="W77" s="1274"/>
      <c r="X77" s="1274"/>
      <c r="Y77" s="1274"/>
      <c r="Z77" s="1274"/>
      <c r="AA77" s="1274"/>
      <c r="AB77" s="1274"/>
      <c r="AC77" s="1274"/>
      <c r="AD77" s="1274"/>
      <c r="AE77" s="1274"/>
      <c r="AF77" s="1274"/>
      <c r="AG77" s="1274"/>
      <c r="AH77" s="1274"/>
      <c r="AI77" s="1274"/>
      <c r="AJ77" s="1274"/>
      <c r="AK77" s="1127"/>
      <c r="AL77" s="4516"/>
      <c r="AM77" s="4516"/>
      <c r="AN77" s="4516"/>
      <c r="AO77" s="2595"/>
      <c r="AP77" s="2595"/>
      <c r="AQ77" s="2595"/>
      <c r="AR77" s="2595"/>
      <c r="AS77" s="2595"/>
      <c r="AT77" s="2595"/>
      <c r="AU77" s="2595"/>
      <c r="AV77" s="2595"/>
      <c r="AW77" s="2595"/>
      <c r="AX77" s="2595"/>
      <c r="AY77" s="42"/>
      <c r="AZ77" s="42"/>
    </row>
    <row r="78" spans="1:53" s="3402" customFormat="1" ht="15" customHeight="1">
      <c r="A78" s="1127"/>
      <c r="B78" s="4374"/>
      <c r="C78" s="4465"/>
      <c r="D78" s="3986" t="str">
        <f>"Complete this part only if you took a distribution from a Roth IRA in "&amp;TaxYear&amp;". For this purpose, a distribution does not include"</f>
        <v>Complete this part only if you took a distribution from a Roth IRA in 2021. For this purpose, a distribution does not include</v>
      </c>
      <c r="E78" s="3986"/>
      <c r="F78" s="4374"/>
      <c r="G78" s="4374"/>
      <c r="H78" s="4374"/>
      <c r="I78" s="4374"/>
      <c r="J78" s="4374"/>
      <c r="K78" s="4374"/>
      <c r="L78" s="4374"/>
      <c r="M78" s="4374"/>
      <c r="N78" s="4374"/>
      <c r="O78" s="4374"/>
      <c r="P78" s="4374"/>
      <c r="Q78" s="4374"/>
      <c r="R78" s="4374"/>
      <c r="S78" s="4374"/>
      <c r="T78" s="4374"/>
      <c r="U78" s="4374"/>
      <c r="V78" s="4374"/>
      <c r="W78" s="4374"/>
      <c r="X78" s="4374"/>
      <c r="Y78" s="4374"/>
      <c r="Z78" s="4374"/>
      <c r="AA78" s="4374"/>
      <c r="AB78" s="4374"/>
      <c r="AC78" s="4374"/>
      <c r="AD78" s="4374"/>
      <c r="AE78" s="4374"/>
      <c r="AF78" s="4374"/>
      <c r="AG78" s="4374"/>
      <c r="AH78" s="4374"/>
      <c r="AI78" s="4374"/>
      <c r="AJ78" s="4374"/>
      <c r="AK78" s="1127"/>
      <c r="AL78" s="4516"/>
      <c r="AM78" s="4516"/>
      <c r="AN78" s="4516"/>
      <c r="AO78" s="2595"/>
      <c r="AP78" s="2595"/>
      <c r="AQ78" s="2595"/>
      <c r="AR78" s="2595"/>
      <c r="AS78" s="2595"/>
      <c r="AT78" s="2595"/>
      <c r="AU78" s="2595"/>
      <c r="AV78" s="2595"/>
      <c r="AW78" s="2595"/>
      <c r="AX78" s="2595"/>
      <c r="AY78" s="42"/>
      <c r="AZ78" s="42"/>
    </row>
    <row r="79" spans="1:53" s="4381" customFormat="1" ht="15.75" customHeight="1">
      <c r="A79" s="4353"/>
      <c r="B79" s="4374"/>
      <c r="C79" s="4465"/>
      <c r="D79" s="3986" t="str">
        <f>"a rollover (other than a repayment of a qualified disaster distribution (see "&amp;TaxYear&amp;" Forms 8915-D and 8915-F)), qualfied"</f>
        <v>a rollover (other than a repayment of a qualified disaster distribution (see 2021 Forms 8915-D and 8915-F)), qualfied</v>
      </c>
      <c r="E79" s="3986"/>
      <c r="F79" s="4374"/>
      <c r="G79" s="4374"/>
      <c r="H79" s="4374"/>
      <c r="I79" s="4374"/>
      <c r="J79" s="4374"/>
      <c r="K79" s="4374"/>
      <c r="L79" s="4374"/>
      <c r="M79" s="4374"/>
      <c r="N79" s="4374"/>
      <c r="O79" s="4374"/>
      <c r="P79" s="4374"/>
      <c r="Q79" s="4374"/>
      <c r="R79" s="4374"/>
      <c r="S79" s="4374"/>
      <c r="T79" s="4374"/>
      <c r="U79" s="4374"/>
      <c r="V79" s="4374"/>
      <c r="W79" s="4374"/>
      <c r="X79" s="4374"/>
      <c r="Y79" s="4374"/>
      <c r="Z79" s="4374"/>
      <c r="AA79" s="4374"/>
      <c r="AB79" s="4374"/>
      <c r="AC79" s="4374"/>
      <c r="AD79" s="4374"/>
      <c r="AE79" s="4374"/>
      <c r="AF79" s="4374"/>
      <c r="AG79" s="4374"/>
      <c r="AH79" s="4374"/>
      <c r="AI79" s="4374"/>
      <c r="AJ79" s="4374"/>
      <c r="AK79" s="4353"/>
      <c r="AL79" s="4516"/>
      <c r="AM79" s="4516"/>
      <c r="AN79" s="4516"/>
      <c r="AO79" s="4380"/>
      <c r="AP79" s="4380"/>
      <c r="AQ79" s="4380"/>
      <c r="AR79" s="4380"/>
      <c r="AS79" s="4380"/>
      <c r="AT79" s="4380"/>
      <c r="AU79" s="4380"/>
      <c r="AV79" s="4380"/>
      <c r="AW79" s="4380"/>
      <c r="AX79" s="4380"/>
      <c r="AY79" s="4355"/>
      <c r="AZ79" s="4355"/>
    </row>
    <row r="80" spans="1:53" s="4381" customFormat="1" ht="15.75" customHeight="1">
      <c r="A80" s="4353"/>
      <c r="B80" s="4374"/>
      <c r="C80" s="4465"/>
      <c r="D80" s="3986" t="s">
        <v>5454</v>
      </c>
      <c r="E80" s="3986"/>
      <c r="F80" s="4374"/>
      <c r="G80" s="4374"/>
      <c r="H80" s="4374"/>
      <c r="I80" s="4374"/>
      <c r="J80" s="4374"/>
      <c r="K80" s="4374"/>
      <c r="L80" s="4374"/>
      <c r="M80" s="4374"/>
      <c r="N80" s="4374"/>
      <c r="O80" s="4374"/>
      <c r="P80" s="4374"/>
      <c r="Q80" s="4374"/>
      <c r="R80" s="4374"/>
      <c r="S80" s="4374"/>
      <c r="T80" s="4374"/>
      <c r="U80" s="4374"/>
      <c r="V80" s="4374"/>
      <c r="W80" s="4374"/>
      <c r="X80" s="4374"/>
      <c r="Y80" s="4374"/>
      <c r="Z80" s="4374"/>
      <c r="AA80" s="4374"/>
      <c r="AB80" s="4374"/>
      <c r="AC80" s="4374"/>
      <c r="AD80" s="4374"/>
      <c r="AE80" s="4374"/>
      <c r="AF80" s="4374"/>
      <c r="AG80" s="4374"/>
      <c r="AH80" s="4374"/>
      <c r="AI80" s="4374"/>
      <c r="AJ80" s="4374"/>
      <c r="AK80" s="4353"/>
      <c r="AL80" s="4516"/>
      <c r="AM80" s="4516"/>
      <c r="AN80" s="4516"/>
      <c r="AO80" s="4380"/>
      <c r="AP80" s="4380"/>
      <c r="AQ80" s="4380"/>
      <c r="AR80" s="4380"/>
      <c r="AS80" s="4380"/>
      <c r="AT80" s="4380"/>
      <c r="AU80" s="4380"/>
      <c r="AV80" s="4380"/>
      <c r="AW80" s="4380"/>
      <c r="AX80" s="4380"/>
      <c r="AY80" s="4355"/>
      <c r="AZ80" s="4355"/>
    </row>
    <row r="81" spans="1:52" s="4381" customFormat="1" ht="17.25" customHeight="1" thickBot="1">
      <c r="A81" s="4353"/>
      <c r="B81" s="4489"/>
      <c r="C81" s="4490"/>
      <c r="D81" s="4492" t="s">
        <v>4233</v>
      </c>
      <c r="E81" s="4492"/>
      <c r="F81" s="4489"/>
      <c r="G81" s="4489"/>
      <c r="H81" s="4489"/>
      <c r="I81" s="4489"/>
      <c r="J81" s="4489"/>
      <c r="K81" s="4489"/>
      <c r="L81" s="4489"/>
      <c r="M81" s="4489"/>
      <c r="N81" s="4489"/>
      <c r="O81" s="4489"/>
      <c r="P81" s="4489"/>
      <c r="Q81" s="4489"/>
      <c r="R81" s="4489"/>
      <c r="S81" s="4489"/>
      <c r="T81" s="4489"/>
      <c r="U81" s="4489"/>
      <c r="V81" s="4489"/>
      <c r="W81" s="4489"/>
      <c r="X81" s="4489"/>
      <c r="Y81" s="4489"/>
      <c r="Z81" s="4489"/>
      <c r="AA81" s="4489"/>
      <c r="AB81" s="4489"/>
      <c r="AC81" s="4489"/>
      <c r="AD81" s="4489"/>
      <c r="AE81" s="4489"/>
      <c r="AF81" s="4489"/>
      <c r="AG81" s="4489"/>
      <c r="AH81" s="4489"/>
      <c r="AI81" s="4489"/>
      <c r="AJ81" s="4489"/>
      <c r="AK81" s="4353"/>
      <c r="AL81" s="4516"/>
      <c r="AM81" s="4516"/>
      <c r="AN81" s="4516"/>
      <c r="AO81" s="4380"/>
      <c r="AP81" s="4380"/>
      <c r="AQ81" s="4380"/>
      <c r="AR81" s="4380"/>
      <c r="AS81" s="4380"/>
      <c r="AT81" s="4380"/>
      <c r="AU81" s="4380"/>
      <c r="AV81" s="4380"/>
      <c r="AW81" s="4380"/>
      <c r="AX81" s="4380"/>
      <c r="AY81" s="4355"/>
      <c r="AZ81" s="4355"/>
    </row>
    <row r="82" spans="1:52" s="3402" customFormat="1" ht="16.5" customHeight="1">
      <c r="A82" s="1127"/>
      <c r="B82" s="4493"/>
      <c r="C82" s="4509">
        <v>19</v>
      </c>
      <c r="D82" s="4494" t="str">
        <f>"Enter your total nonqualified distributions from Roth IRAs in "&amp;TaxYear&amp;", including any qualified first-time"</f>
        <v>Enter your total nonqualified distributions from Roth IRAs in 2021, including any qualified first-time</v>
      </c>
      <c r="E82" s="4494"/>
      <c r="F82" s="1551"/>
      <c r="G82" s="1551"/>
      <c r="H82" s="1551"/>
      <c r="I82" s="1551"/>
      <c r="J82" s="1551"/>
      <c r="K82" s="1551"/>
      <c r="L82" s="1551"/>
      <c r="M82" s="1551"/>
      <c r="N82" s="1551"/>
      <c r="O82" s="1551"/>
      <c r="P82" s="1551"/>
      <c r="Q82" s="1551"/>
      <c r="R82" s="1551"/>
      <c r="S82" s="1551"/>
      <c r="T82" s="1551"/>
      <c r="U82" s="1551"/>
      <c r="V82" s="1551"/>
      <c r="W82" s="1551"/>
      <c r="X82" s="1551"/>
      <c r="Y82" s="1551"/>
      <c r="Z82" s="1551"/>
      <c r="AA82" s="1551"/>
      <c r="AB82" s="1551"/>
      <c r="AC82" s="1551"/>
      <c r="AD82" s="4495"/>
      <c r="AE82" s="1551"/>
      <c r="AF82" s="1551"/>
      <c r="AG82" s="1551"/>
      <c r="AH82" s="1551"/>
      <c r="AI82" s="1551"/>
      <c r="AJ82" s="1551"/>
      <c r="AK82" s="1127"/>
      <c r="AL82" s="1179"/>
      <c r="AM82" s="1179"/>
      <c r="AN82" s="1179"/>
      <c r="AO82" s="2595"/>
      <c r="AP82" s="2595"/>
      <c r="AQ82" s="2595"/>
      <c r="AR82" s="2595"/>
      <c r="AS82" s="2595"/>
      <c r="AT82" s="2595"/>
      <c r="AU82" s="2595"/>
      <c r="AV82" s="2595"/>
      <c r="AW82" s="2595"/>
      <c r="AX82" s="2595"/>
      <c r="AY82" s="42"/>
      <c r="AZ82" s="42"/>
    </row>
    <row r="83" spans="1:52" s="3402" customFormat="1" ht="16.5" customHeight="1">
      <c r="A83" s="1127"/>
      <c r="B83" s="4483"/>
      <c r="C83" s="3838"/>
      <c r="D83" s="2686" t="str">
        <f>"homebuyer distributions, and any qualified disaster distributions (see instructions). Also see "&amp;TaxYear</f>
        <v>homebuyer distributions, and any qualified disaster distributions (see instructions). Also see 2021</v>
      </c>
      <c r="E83" s="2686"/>
      <c r="F83" s="1276"/>
      <c r="G83" s="1276"/>
      <c r="H83" s="1276"/>
      <c r="I83" s="1276"/>
      <c r="J83" s="1276"/>
      <c r="K83" s="1276"/>
      <c r="L83" s="1276"/>
      <c r="M83" s="1276"/>
      <c r="N83" s="4484"/>
      <c r="O83" s="1276"/>
      <c r="P83" s="1276"/>
      <c r="Q83" s="1276"/>
      <c r="R83" s="1276"/>
      <c r="S83" s="1276"/>
      <c r="T83" s="4484"/>
      <c r="U83" s="3081"/>
      <c r="V83" s="1276"/>
      <c r="W83" s="1276"/>
      <c r="X83" s="1276"/>
      <c r="Y83" s="1276"/>
      <c r="Z83" s="1276"/>
      <c r="AA83" s="1276"/>
      <c r="AB83" s="4484"/>
      <c r="AC83" s="1276"/>
      <c r="AD83" s="4488"/>
      <c r="AE83" s="1276"/>
      <c r="AF83" s="1276"/>
      <c r="AG83" s="1276"/>
      <c r="AH83" s="1276"/>
      <c r="AI83" s="1276"/>
      <c r="AJ83" s="1276"/>
      <c r="AK83" s="1127"/>
      <c r="AL83" s="1179"/>
      <c r="AM83" s="1179"/>
      <c r="AN83" s="1179"/>
      <c r="AO83" s="2595"/>
      <c r="AP83" s="2595"/>
      <c r="AQ83" s="2595"/>
      <c r="AR83" s="2595"/>
      <c r="AS83" s="2595"/>
      <c r="AT83" s="2595"/>
      <c r="AU83" s="2595"/>
      <c r="AV83" s="2595"/>
      <c r="AW83" s="2595"/>
      <c r="AX83" s="2595"/>
      <c r="AY83" s="42"/>
      <c r="AZ83" s="42"/>
    </row>
    <row r="84" spans="1:52" ht="16.5" customHeight="1">
      <c r="A84" s="1127"/>
      <c r="B84" s="1179"/>
      <c r="C84" s="3838"/>
      <c r="D84" s="2686" t="s">
        <v>5447</v>
      </c>
      <c r="E84" s="1927"/>
      <c r="F84" s="1927"/>
      <c r="G84" s="1927"/>
      <c r="H84" s="1927"/>
      <c r="I84" s="1179"/>
      <c r="J84" s="1179"/>
      <c r="K84" s="1179"/>
      <c r="L84" s="1179"/>
      <c r="M84" s="1179"/>
      <c r="N84" s="1179"/>
      <c r="O84" s="1179"/>
      <c r="P84" s="1179"/>
      <c r="Q84" s="1179"/>
      <c r="R84" s="1179"/>
      <c r="S84" s="1179"/>
      <c r="T84" s="1179"/>
      <c r="U84" s="1179"/>
      <c r="V84" s="1179"/>
      <c r="W84" s="1179"/>
      <c r="X84" s="1179"/>
      <c r="Y84" s="1179"/>
      <c r="Z84" s="1179"/>
      <c r="AA84" s="1179"/>
      <c r="AB84" s="1179"/>
      <c r="AC84" s="1560" t="s">
        <v>1051</v>
      </c>
      <c r="AD84" s="2224" t="s">
        <v>1111</v>
      </c>
      <c r="AE84" s="9111"/>
      <c r="AF84" s="9112"/>
      <c r="AG84" s="9112"/>
      <c r="AH84" s="9112"/>
      <c r="AI84" s="9112"/>
      <c r="AJ84" s="9112"/>
      <c r="AK84" s="1127"/>
      <c r="AL84" s="1824"/>
      <c r="AM84" s="1824"/>
      <c r="AN84" s="1179"/>
    </row>
    <row r="85" spans="1:52" ht="16.5" customHeight="1">
      <c r="A85" s="1127"/>
      <c r="B85" s="1179"/>
      <c r="C85" s="4507" t="s">
        <v>1113</v>
      </c>
      <c r="D85" s="2686" t="s">
        <v>3825</v>
      </c>
      <c r="E85" s="1927"/>
      <c r="F85" s="1927"/>
      <c r="G85" s="1927"/>
      <c r="H85" s="1179"/>
      <c r="I85" s="1179"/>
      <c r="J85" s="1179"/>
      <c r="K85" s="1179"/>
      <c r="L85" s="1179"/>
      <c r="M85" s="1179"/>
      <c r="N85" s="1179"/>
      <c r="O85" s="1179"/>
      <c r="P85" s="1179"/>
      <c r="Q85" s="1179"/>
      <c r="R85" s="2686" t="s">
        <v>3826</v>
      </c>
      <c r="S85" s="1179"/>
      <c r="T85" s="1179"/>
      <c r="U85" s="1179"/>
      <c r="V85" s="1179"/>
      <c r="W85" s="1179"/>
      <c r="X85" s="2686" t="str">
        <f>TEXT(AE85,"$0,000")&amp;" reduced"</f>
        <v>$10,000 reduced</v>
      </c>
      <c r="Y85" s="1179"/>
      <c r="Z85" s="1179"/>
      <c r="AA85" s="1179"/>
      <c r="AB85" s="1179"/>
      <c r="AC85" s="1179"/>
      <c r="AD85" s="1558"/>
      <c r="AE85" s="9171">
        <v>10000</v>
      </c>
      <c r="AF85" s="9172"/>
      <c r="AG85" s="9172"/>
      <c r="AH85" s="9172"/>
      <c r="AI85" s="9172"/>
      <c r="AJ85" s="9172"/>
      <c r="AK85" s="1127"/>
      <c r="AL85" s="1179"/>
      <c r="AM85" s="1179"/>
      <c r="AN85" s="1179"/>
    </row>
    <row r="86" spans="1:52" ht="16.5" customHeight="1">
      <c r="A86" s="1127"/>
      <c r="B86" s="1179"/>
      <c r="C86" s="3838"/>
      <c r="D86" s="3719" t="s">
        <v>3824</v>
      </c>
      <c r="E86" s="1927"/>
      <c r="F86" s="1927"/>
      <c r="G86" s="1927"/>
      <c r="H86" s="1927"/>
      <c r="I86" s="1179"/>
      <c r="J86" s="1179"/>
      <c r="K86" s="1179"/>
      <c r="L86" s="1179"/>
      <c r="M86" s="1179"/>
      <c r="N86" s="1179"/>
      <c r="O86" s="1179"/>
      <c r="P86" s="1179"/>
      <c r="Q86" s="1179"/>
      <c r="R86" s="1179"/>
      <c r="S86" s="1179"/>
      <c r="T86" s="1179"/>
      <c r="U86" s="1179"/>
      <c r="V86" s="1179"/>
      <c r="W86" s="1179"/>
      <c r="X86" s="1179"/>
      <c r="Y86" s="1179"/>
      <c r="Z86" s="1179"/>
      <c r="AA86" s="1179"/>
      <c r="AB86" s="1179"/>
      <c r="AC86" s="1560" t="s">
        <v>2939</v>
      </c>
      <c r="AD86" s="2224" t="s">
        <v>1113</v>
      </c>
      <c r="AE86" s="9111"/>
      <c r="AF86" s="9112"/>
      <c r="AG86" s="9112"/>
      <c r="AH86" s="9112"/>
      <c r="AI86" s="9112"/>
      <c r="AJ86" s="9112"/>
      <c r="AK86" s="1127"/>
      <c r="AL86" s="1824"/>
      <c r="AM86" s="1824"/>
      <c r="AN86" s="1179"/>
    </row>
    <row r="87" spans="1:52" ht="16.5" customHeight="1">
      <c r="A87" s="1127"/>
      <c r="B87" s="1179"/>
      <c r="C87" s="4507" t="s">
        <v>1115</v>
      </c>
      <c r="D87" s="2686" t="s">
        <v>1790</v>
      </c>
      <c r="E87" s="2686"/>
      <c r="F87" s="1179"/>
      <c r="G87" s="1179"/>
      <c r="H87" s="1179"/>
      <c r="I87" s="1179"/>
      <c r="J87" s="1179"/>
      <c r="K87" s="1179"/>
      <c r="L87" s="3490"/>
      <c r="M87" s="2686"/>
      <c r="N87" s="1179"/>
      <c r="O87" s="1179"/>
      <c r="P87" s="1179"/>
      <c r="Q87" s="1179"/>
      <c r="R87" s="1179"/>
      <c r="S87" s="1179"/>
      <c r="T87" s="1179"/>
      <c r="U87" s="1179"/>
      <c r="V87" s="1179"/>
      <c r="W87" s="1179"/>
      <c r="X87" s="1179"/>
      <c r="Y87" s="1179"/>
      <c r="Z87" s="1179"/>
      <c r="AA87" s="1179"/>
      <c r="AB87" s="1179"/>
      <c r="AC87" s="1560" t="s">
        <v>3819</v>
      </c>
      <c r="AD87" s="2225">
        <v>21</v>
      </c>
      <c r="AE87" s="9167" t="str">
        <f>IF(AE84="","",MAX(0,SUM(AE84,-AE86)))</f>
        <v/>
      </c>
      <c r="AF87" s="9168"/>
      <c r="AG87" s="9168"/>
      <c r="AH87" s="9168"/>
      <c r="AI87" s="9168"/>
      <c r="AJ87" s="9168"/>
      <c r="AK87" s="1127"/>
      <c r="AL87" s="1179"/>
      <c r="AM87" s="1284" t="b">
        <f>AND(AE87&lt;&gt;"",AE87=0)</f>
        <v>0</v>
      </c>
      <c r="AN87" s="1179"/>
      <c r="AY87" s="1731"/>
      <c r="AZ87" s="1731"/>
    </row>
    <row r="88" spans="1:52" ht="16.5" customHeight="1">
      <c r="A88" s="1127"/>
      <c r="B88" s="1179"/>
      <c r="C88" s="4507" t="s">
        <v>1117</v>
      </c>
      <c r="D88" s="2686" t="s">
        <v>3827</v>
      </c>
      <c r="E88" s="2686"/>
      <c r="F88" s="1179"/>
      <c r="G88" s="1179"/>
      <c r="H88" s="1179"/>
      <c r="I88" s="1179"/>
      <c r="J88" s="1179"/>
      <c r="K88" s="1179"/>
      <c r="L88" s="3490"/>
      <c r="M88" s="2686"/>
      <c r="N88" s="1179"/>
      <c r="O88" s="1179"/>
      <c r="P88" s="1179"/>
      <c r="Q88" s="1179"/>
      <c r="R88" s="1179"/>
      <c r="S88" s="2686" t="s">
        <v>4234</v>
      </c>
      <c r="T88" s="1179"/>
      <c r="U88" s="1179"/>
      <c r="V88" s="1179"/>
      <c r="W88" s="1179"/>
      <c r="X88" s="1179"/>
      <c r="Y88" s="1179"/>
      <c r="Z88" s="1179"/>
      <c r="AA88" s="1179"/>
      <c r="AB88" s="1179"/>
      <c r="AC88" s="1560" t="s">
        <v>2013</v>
      </c>
      <c r="AD88" s="2225">
        <v>22</v>
      </c>
      <c r="AE88" s="9169"/>
      <c r="AF88" s="9170"/>
      <c r="AG88" s="9170"/>
      <c r="AH88" s="9170"/>
      <c r="AI88" s="9170"/>
      <c r="AJ88" s="9170"/>
      <c r="AK88" s="1127"/>
      <c r="AL88" s="1179"/>
      <c r="AM88" s="1179"/>
      <c r="AN88" s="1179"/>
      <c r="AY88" s="1731"/>
      <c r="AZ88" s="1731"/>
    </row>
    <row r="89" spans="1:52" ht="16.5" customHeight="1">
      <c r="A89" s="1127"/>
      <c r="B89" s="1179"/>
      <c r="C89" s="4507">
        <v>23</v>
      </c>
      <c r="D89" s="2686" t="s">
        <v>3828</v>
      </c>
      <c r="E89" s="1927"/>
      <c r="F89" s="1927"/>
      <c r="G89" s="1927"/>
      <c r="H89" s="1179"/>
      <c r="I89" s="1179"/>
      <c r="J89" s="1179"/>
      <c r="K89" s="1179"/>
      <c r="L89" s="1179"/>
      <c r="M89" s="1179"/>
      <c r="N89" s="1179"/>
      <c r="O89" s="1179"/>
      <c r="P89" s="1179"/>
      <c r="Q89" s="1179"/>
      <c r="R89" s="2686"/>
      <c r="S89" s="1179"/>
      <c r="T89" s="1179"/>
      <c r="U89" s="1179"/>
      <c r="V89" s="1179"/>
      <c r="W89" s="1179"/>
      <c r="X89" s="2686"/>
      <c r="Y89" s="1179"/>
      <c r="Z89" s="1179"/>
      <c r="AA89" s="1179"/>
      <c r="AB89" s="1179"/>
      <c r="AC89" s="1179"/>
      <c r="AD89" s="1558"/>
      <c r="AE89" s="9117"/>
      <c r="AF89" s="9118"/>
      <c r="AG89" s="9118"/>
      <c r="AH89" s="9118"/>
      <c r="AI89" s="9118"/>
      <c r="AJ89" s="9118"/>
      <c r="AK89" s="1127"/>
      <c r="AL89" s="1179"/>
      <c r="AM89" s="1179"/>
      <c r="AN89" s="1179"/>
    </row>
    <row r="90" spans="1:52" ht="16.5" customHeight="1">
      <c r="A90" s="1127"/>
      <c r="B90" s="1179"/>
      <c r="C90" s="3838"/>
      <c r="D90" s="2686" t="s">
        <v>3829</v>
      </c>
      <c r="E90" s="1927"/>
      <c r="F90" s="1927"/>
      <c r="G90" s="1927"/>
      <c r="H90" s="1927"/>
      <c r="I90" s="1179"/>
      <c r="J90" s="1179"/>
      <c r="K90" s="1179"/>
      <c r="L90" s="1179"/>
      <c r="M90" s="1179"/>
      <c r="N90" s="1179"/>
      <c r="O90" s="1179"/>
      <c r="P90" s="1179"/>
      <c r="Q90" s="1179"/>
      <c r="R90" s="1179"/>
      <c r="S90" s="1179"/>
      <c r="T90" s="1179"/>
      <c r="U90" s="1179"/>
      <c r="V90" s="1179"/>
      <c r="W90" s="1179"/>
      <c r="X90" s="1179"/>
      <c r="Y90" s="1179"/>
      <c r="Z90" s="1179"/>
      <c r="AA90" s="1179"/>
      <c r="AB90" s="1179"/>
      <c r="AC90" s="1560" t="s">
        <v>3819</v>
      </c>
      <c r="AD90" s="2224">
        <v>23</v>
      </c>
      <c r="AE90" s="9115" t="str">
        <f>IF(AE84="","",IF(NOT(AM87),MAX(0,SUM(AE87,-AE88)),""))</f>
        <v/>
      </c>
      <c r="AF90" s="9116"/>
      <c r="AG90" s="9116"/>
      <c r="AH90" s="9116"/>
      <c r="AI90" s="9116"/>
      <c r="AJ90" s="9116"/>
      <c r="AK90" s="1127"/>
      <c r="AL90" s="1824"/>
      <c r="AM90" s="1824"/>
      <c r="AN90" s="1179"/>
    </row>
    <row r="91" spans="1:52" ht="16.5" customHeight="1">
      <c r="A91" s="1127"/>
      <c r="B91" s="1179"/>
      <c r="C91" s="4507">
        <v>24</v>
      </c>
      <c r="D91" s="2686" t="s">
        <v>3830</v>
      </c>
      <c r="E91" s="1927"/>
      <c r="F91" s="1927"/>
      <c r="G91" s="1927"/>
      <c r="H91" s="1179"/>
      <c r="I91" s="1179"/>
      <c r="J91" s="1179"/>
      <c r="K91" s="1179"/>
      <c r="L91" s="1179"/>
      <c r="M91" s="1179"/>
      <c r="N91" s="1179"/>
      <c r="O91" s="1179"/>
      <c r="P91" s="1179"/>
      <c r="Q91" s="1179"/>
      <c r="R91" s="2686"/>
      <c r="S91" s="1179"/>
      <c r="T91" s="1179"/>
      <c r="U91" s="1179"/>
      <c r="V91" s="1179"/>
      <c r="W91" s="1179"/>
      <c r="X91" s="2686"/>
      <c r="Y91" s="1179"/>
      <c r="Z91" s="1179"/>
      <c r="AA91" s="1179"/>
      <c r="AB91" s="1179"/>
      <c r="AC91" s="1179"/>
      <c r="AD91" s="1558"/>
      <c r="AE91" s="9117"/>
      <c r="AF91" s="9118"/>
      <c r="AG91" s="9118"/>
      <c r="AH91" s="9118"/>
      <c r="AI91" s="9118"/>
      <c r="AJ91" s="9118"/>
      <c r="AK91" s="1127"/>
      <c r="AL91" s="1179"/>
      <c r="AM91" s="1179"/>
      <c r="AN91" s="1179"/>
    </row>
    <row r="92" spans="1:52" ht="16.5" customHeight="1">
      <c r="A92" s="1127"/>
      <c r="B92" s="1179"/>
      <c r="C92" s="3838"/>
      <c r="D92" s="2686" t="s">
        <v>3831</v>
      </c>
      <c r="E92" s="1927"/>
      <c r="F92" s="1927"/>
      <c r="G92" s="1927"/>
      <c r="H92" s="1927"/>
      <c r="I92" s="1179"/>
      <c r="J92" s="1179"/>
      <c r="K92" s="1179"/>
      <c r="L92" s="1179"/>
      <c r="M92" s="1179"/>
      <c r="N92" s="1179"/>
      <c r="O92" s="1179"/>
      <c r="P92" s="1179"/>
      <c r="Q92" s="1179"/>
      <c r="R92" s="1179"/>
      <c r="S92" s="1179"/>
      <c r="T92" s="1179"/>
      <c r="U92" s="1179"/>
      <c r="V92" s="1179"/>
      <c r="W92" s="1179"/>
      <c r="X92" s="1179"/>
      <c r="Y92" s="1179"/>
      <c r="Z92" s="1179"/>
      <c r="AA92" s="1179"/>
      <c r="AB92" s="1179"/>
      <c r="AC92" s="1560" t="s">
        <v>2883</v>
      </c>
      <c r="AD92" s="2224">
        <v>24</v>
      </c>
      <c r="AE92" s="9111"/>
      <c r="AF92" s="9112"/>
      <c r="AG92" s="9112"/>
      <c r="AH92" s="9112"/>
      <c r="AI92" s="9112"/>
      <c r="AJ92" s="9112"/>
      <c r="AK92" s="1127"/>
      <c r="AL92" s="1824"/>
      <c r="AM92" s="1824"/>
      <c r="AN92" s="1179"/>
    </row>
    <row r="93" spans="1:52" ht="16.5" customHeight="1">
      <c r="A93" s="1127"/>
      <c r="B93" s="1179"/>
      <c r="C93" s="4507" t="s">
        <v>3854</v>
      </c>
      <c r="D93" s="3355" t="s">
        <v>3833</v>
      </c>
      <c r="E93" s="2686"/>
      <c r="F93" s="1179"/>
      <c r="G93" s="1179"/>
      <c r="H93" s="1179"/>
      <c r="I93" s="1179"/>
      <c r="J93" s="1179"/>
      <c r="K93" s="1179"/>
      <c r="L93" s="1179"/>
      <c r="M93" s="1179"/>
      <c r="N93" s="1179"/>
      <c r="O93" s="1179"/>
      <c r="P93" s="1179"/>
      <c r="Q93" s="1179"/>
      <c r="R93" s="1179"/>
      <c r="S93" s="1179"/>
      <c r="T93" s="1179"/>
      <c r="U93" s="1179"/>
      <c r="V93" s="1179"/>
      <c r="W93" s="1179"/>
      <c r="X93" s="1179"/>
      <c r="Y93" s="1179"/>
      <c r="Z93" s="1179"/>
      <c r="AA93" s="1179"/>
      <c r="AB93" s="1179"/>
      <c r="AC93" s="3489" t="s">
        <v>1930</v>
      </c>
      <c r="AD93" s="2224" t="s">
        <v>3832</v>
      </c>
      <c r="AE93" s="9115" t="str">
        <f>IF(AE84="","",IF(NOT(AM87),MAX(0,SUM(AE90,-AE92)),""))</f>
        <v/>
      </c>
      <c r="AF93" s="9116"/>
      <c r="AG93" s="9116"/>
      <c r="AH93" s="9116"/>
      <c r="AI93" s="9116"/>
      <c r="AJ93" s="9116"/>
      <c r="AK93" s="1127"/>
      <c r="AL93" s="1179"/>
      <c r="AM93" s="1179"/>
      <c r="AN93" s="1179"/>
      <c r="AY93" s="1731"/>
      <c r="AZ93" s="1731"/>
    </row>
    <row r="94" spans="1:52" ht="16.5" customHeight="1">
      <c r="A94" s="1127"/>
      <c r="B94" s="1179"/>
      <c r="C94" s="4508" t="s">
        <v>47</v>
      </c>
      <c r="D94" s="2686" t="str">
        <f>"Enter the amount on line 25a attributable to qualified disaster distributions from "&amp;TaxYear&amp;" Forms 8915-D,"</f>
        <v>Enter the amount on line 25a attributable to qualified disaster distributions from 2021 Forms 8915-D,</v>
      </c>
      <c r="E94" s="2686"/>
      <c r="F94" s="1179"/>
      <c r="G94" s="1179"/>
      <c r="H94" s="1179"/>
      <c r="I94" s="1179"/>
      <c r="J94" s="1179"/>
      <c r="K94" s="1179"/>
      <c r="L94" s="1179"/>
      <c r="M94" s="1179"/>
      <c r="N94" s="1179"/>
      <c r="O94" s="1179"/>
      <c r="P94" s="1179"/>
      <c r="Q94" s="1179"/>
      <c r="R94" s="1179"/>
      <c r="S94" s="1179"/>
      <c r="T94" s="1179"/>
      <c r="U94" s="1179"/>
      <c r="V94" s="1179"/>
      <c r="W94" s="1179"/>
      <c r="X94" s="1179"/>
      <c r="Y94" s="1179"/>
      <c r="Z94" s="2686"/>
      <c r="AA94" s="1179"/>
      <c r="AB94" s="1179"/>
      <c r="AC94" s="1583"/>
      <c r="AD94" s="1558"/>
      <c r="AE94" s="1179"/>
      <c r="AF94" s="1179"/>
      <c r="AG94" s="1179"/>
      <c r="AH94" s="1179"/>
      <c r="AI94" s="1179"/>
      <c r="AJ94" s="1179"/>
      <c r="AK94" s="1127"/>
      <c r="AL94" s="1179"/>
      <c r="AM94" s="1179"/>
      <c r="AN94" s="1179"/>
    </row>
    <row r="95" spans="1:52" ht="16.5" customHeight="1">
      <c r="A95" s="1127"/>
      <c r="B95" s="1179"/>
      <c r="C95" s="3838"/>
      <c r="D95" s="2686" t="str">
        <f>"and 8915-F (see instructions).   Also, enter this amount on "&amp;TaxYear&amp;" Form 8915D, line 24;"</f>
        <v>and 8915-F (see instructions).   Also, enter this amount on 2021 Form 8915D, line 24;</v>
      </c>
      <c r="E95" s="1927"/>
      <c r="F95" s="1927"/>
      <c r="G95" s="1927"/>
      <c r="H95" s="1179"/>
      <c r="I95" s="1179"/>
      <c r="J95" s="1179"/>
      <c r="K95" s="1179"/>
      <c r="L95" s="1179"/>
      <c r="M95" s="1179"/>
      <c r="N95" s="1179"/>
      <c r="O95" s="1179"/>
      <c r="P95" s="1179"/>
      <c r="Q95" s="1179"/>
      <c r="R95" s="1179"/>
      <c r="S95" s="1179"/>
      <c r="T95" s="1179"/>
      <c r="U95" s="1179"/>
      <c r="V95" s="1179"/>
      <c r="W95" s="1179"/>
      <c r="X95" s="3082" t="s">
        <v>243</v>
      </c>
      <c r="Y95" s="2686" t="str">
        <f>TaxYear&amp;" Form"</f>
        <v>2021 Form</v>
      </c>
      <c r="Z95" s="1179"/>
      <c r="AA95" s="2686"/>
      <c r="AB95" s="2686"/>
      <c r="AC95" s="5726"/>
      <c r="AD95" s="1558"/>
      <c r="AE95" s="1179"/>
      <c r="AF95" s="1179"/>
      <c r="AG95" s="1179"/>
      <c r="AH95" s="1179"/>
      <c r="AI95" s="1179"/>
      <c r="AJ95" s="1179"/>
      <c r="AK95" s="1127"/>
      <c r="AL95" s="1179"/>
      <c r="AM95" s="1179"/>
      <c r="AN95" s="1179"/>
    </row>
    <row r="96" spans="1:52" ht="16.5" customHeight="1">
      <c r="A96" s="1127"/>
      <c r="B96" s="1179"/>
      <c r="C96" s="3838"/>
      <c r="D96" s="2686" t="s">
        <v>5448</v>
      </c>
      <c r="E96" s="1927"/>
      <c r="F96" s="1927"/>
      <c r="G96" s="1927"/>
      <c r="H96" s="1927"/>
      <c r="I96" s="1179"/>
      <c r="J96" s="1179"/>
      <c r="K96" s="2686"/>
      <c r="L96" s="1179"/>
      <c r="M96" s="1179"/>
      <c r="N96" s="1179"/>
      <c r="O96" s="1179"/>
      <c r="P96" s="1179"/>
      <c r="Q96" s="1179"/>
      <c r="R96" s="1179"/>
      <c r="S96" s="1179"/>
      <c r="T96" s="1179"/>
      <c r="U96" s="1179"/>
      <c r="V96" s="1179"/>
      <c r="W96" s="1179"/>
      <c r="X96" s="1179"/>
      <c r="Y96" s="1179"/>
      <c r="Z96" s="1179"/>
      <c r="AA96" s="1179"/>
      <c r="AB96" s="1179"/>
      <c r="AC96" s="1560" t="s">
        <v>2971</v>
      </c>
      <c r="AD96" s="2224" t="s">
        <v>3834</v>
      </c>
      <c r="AE96" s="9111"/>
      <c r="AF96" s="9112"/>
      <c r="AG96" s="9112"/>
      <c r="AH96" s="9112"/>
      <c r="AI96" s="9112"/>
      <c r="AJ96" s="9112"/>
      <c r="AK96" s="1127"/>
      <c r="AL96" s="1824"/>
      <c r="AM96" s="1824"/>
      <c r="AN96" s="1179"/>
    </row>
    <row r="97" spans="1:52" ht="16.5" customHeight="1">
      <c r="A97" s="1127"/>
      <c r="B97" s="1179"/>
      <c r="C97" s="4508" t="s">
        <v>48</v>
      </c>
      <c r="D97" s="1577" t="s">
        <v>3822</v>
      </c>
      <c r="E97" s="1927"/>
      <c r="F97" s="1927"/>
      <c r="G97" s="1927"/>
      <c r="H97" s="1179"/>
      <c r="I97" s="2686" t="str">
        <f>"Subtract line 25b from line 25a. If more than zero, also include this amount on "&amp;TaxYear</f>
        <v>Subtract line 25b from line 25a. If more than zero, also include this amount on 2021</v>
      </c>
      <c r="J97" s="1179"/>
      <c r="K97" s="1179"/>
      <c r="L97" s="1179"/>
      <c r="M97" s="1179"/>
      <c r="N97" s="1179"/>
      <c r="O97" s="1179"/>
      <c r="P97" s="1179"/>
      <c r="Q97" s="1179"/>
      <c r="R97" s="1179"/>
      <c r="S97" s="1179"/>
      <c r="T97" s="1179"/>
      <c r="U97" s="1179"/>
      <c r="V97" s="1179"/>
      <c r="W97" s="1179"/>
      <c r="X97" s="1179"/>
      <c r="Y97" s="1179"/>
      <c r="Z97" s="1179"/>
      <c r="AA97" s="1179"/>
      <c r="AB97" s="1179"/>
      <c r="AC97" s="1179"/>
      <c r="AD97" s="1558"/>
      <c r="AE97" s="1179"/>
      <c r="AF97" s="1179"/>
      <c r="AG97" s="1179"/>
      <c r="AH97" s="1179"/>
      <c r="AI97" s="1179"/>
      <c r="AJ97" s="1179"/>
      <c r="AK97" s="1127"/>
      <c r="AL97" s="1179"/>
      <c r="AM97" s="1179"/>
      <c r="AN97" s="1179"/>
    </row>
    <row r="98" spans="1:52" ht="16.5" customHeight="1" thickBot="1">
      <c r="A98" s="1127"/>
      <c r="B98" s="1280"/>
      <c r="C98" s="4510"/>
      <c r="D98" s="2704" t="s">
        <v>4235</v>
      </c>
      <c r="E98" s="4455"/>
      <c r="F98" s="4455"/>
      <c r="G98" s="4455"/>
      <c r="H98" s="4455"/>
      <c r="I98" s="1280"/>
      <c r="J98" s="1280"/>
      <c r="K98" s="1280"/>
      <c r="L98" s="1280"/>
      <c r="M98" s="1280"/>
      <c r="N98" s="1280"/>
      <c r="O98" s="1280"/>
      <c r="P98" s="1280"/>
      <c r="Q98" s="1280"/>
      <c r="R98" s="1280"/>
      <c r="S98" s="1280"/>
      <c r="T98" s="1280"/>
      <c r="U98" s="1280"/>
      <c r="V98" s="1280"/>
      <c r="W98" s="1280"/>
      <c r="X98" s="1280"/>
      <c r="Y98" s="1280"/>
      <c r="Z98" s="1280"/>
      <c r="AA98" s="1280"/>
      <c r="AB98" s="1280"/>
      <c r="AC98" s="4477" t="s">
        <v>3348</v>
      </c>
      <c r="AD98" s="4372" t="s">
        <v>3835</v>
      </c>
      <c r="AE98" s="9119" t="str">
        <f>IF(AE84="","",IF(NOT(AM87),MAX(0,SUM(AE93,-AE96)),""))</f>
        <v/>
      </c>
      <c r="AF98" s="9120"/>
      <c r="AG98" s="9120"/>
      <c r="AH98" s="9120"/>
      <c r="AI98" s="9120"/>
      <c r="AJ98" s="9120"/>
      <c r="AK98" s="1127"/>
      <c r="AL98" s="1824"/>
      <c r="AM98" s="1824"/>
      <c r="AN98" s="1179"/>
    </row>
    <row r="99" spans="1:52" s="3402" customFormat="1" ht="12" customHeight="1">
      <c r="A99" s="1127"/>
      <c r="B99" s="9173" t="s">
        <v>3838</v>
      </c>
      <c r="C99" s="9173"/>
      <c r="D99" s="9173"/>
      <c r="E99" s="9173"/>
      <c r="F99" s="9173"/>
      <c r="G99" s="9173"/>
      <c r="H99" s="9174"/>
      <c r="I99" s="1446" t="s">
        <v>3836</v>
      </c>
      <c r="J99" s="3083"/>
      <c r="K99" s="3083"/>
      <c r="L99" s="3083"/>
      <c r="M99" s="3083"/>
      <c r="N99" s="3083"/>
      <c r="O99" s="1276"/>
      <c r="P99" s="1276"/>
      <c r="Q99" s="1276"/>
      <c r="R99" s="1276"/>
      <c r="S99" s="1276"/>
      <c r="T99" s="1276"/>
      <c r="U99" s="4485"/>
      <c r="V99" s="3083"/>
      <c r="W99" s="3083"/>
      <c r="X99" s="3083"/>
      <c r="Y99" s="3083"/>
      <c r="Z99" s="3083"/>
      <c r="AA99" s="3083"/>
      <c r="AB99" s="3083"/>
      <c r="AC99" s="3083"/>
      <c r="AD99" s="3083"/>
      <c r="AE99" s="3083"/>
      <c r="AF99" s="1276"/>
      <c r="AG99" s="1276"/>
      <c r="AH99" s="1276"/>
      <c r="AI99" s="1276"/>
      <c r="AJ99" s="1276"/>
      <c r="AK99" s="1127"/>
      <c r="AL99" s="1179"/>
      <c r="AM99" s="1179"/>
      <c r="AN99" s="1179"/>
      <c r="AO99" s="2595"/>
      <c r="AP99" s="2595"/>
      <c r="AQ99" s="2595"/>
      <c r="AR99" s="2595"/>
      <c r="AS99" s="2595"/>
      <c r="AT99" s="2595"/>
      <c r="AU99" s="2595"/>
      <c r="AV99" s="2595"/>
      <c r="AW99" s="2595"/>
      <c r="AX99" s="2595"/>
      <c r="AY99" s="42"/>
      <c r="AZ99" s="42"/>
    </row>
    <row r="100" spans="1:52" s="3402" customFormat="1" ht="9" customHeight="1">
      <c r="A100" s="1127"/>
      <c r="B100" s="9175"/>
      <c r="C100" s="9175"/>
      <c r="D100" s="9175"/>
      <c r="E100" s="9175"/>
      <c r="F100" s="9175"/>
      <c r="G100" s="9175"/>
      <c r="H100" s="9176"/>
      <c r="I100" s="3063" t="s">
        <v>3837</v>
      </c>
      <c r="J100" s="3083"/>
      <c r="K100" s="3083"/>
      <c r="L100" s="3083"/>
      <c r="M100" s="3083"/>
      <c r="N100" s="3083"/>
      <c r="O100" s="4486"/>
      <c r="P100" s="1276"/>
      <c r="Q100" s="1276"/>
      <c r="R100" s="4486"/>
      <c r="S100" s="1276"/>
      <c r="T100" s="1276"/>
      <c r="U100" s="1276"/>
      <c r="V100" s="3083"/>
      <c r="W100" s="3083"/>
      <c r="X100" s="3083"/>
      <c r="Y100" s="3083"/>
      <c r="Z100" s="3083"/>
      <c r="AA100" s="3083"/>
      <c r="AB100" s="3083"/>
      <c r="AC100" s="3083"/>
      <c r="AD100" s="3083"/>
      <c r="AE100" s="3083"/>
      <c r="AF100" s="4486"/>
      <c r="AG100" s="1276"/>
      <c r="AH100" s="1276"/>
      <c r="AI100" s="4486"/>
      <c r="AJ100" s="1276"/>
      <c r="AK100" s="1127"/>
      <c r="AL100" s="1179"/>
      <c r="AM100" s="1179"/>
      <c r="AN100" s="1179"/>
      <c r="AO100" s="2595"/>
      <c r="AP100" s="2595"/>
      <c r="AQ100" s="2595"/>
      <c r="AR100" s="2595"/>
      <c r="AS100" s="2595"/>
      <c r="AT100" s="2595"/>
      <c r="AU100" s="2595"/>
      <c r="AV100" s="2595"/>
      <c r="AW100" s="2595"/>
      <c r="AX100" s="2595"/>
      <c r="AY100" s="42"/>
      <c r="AZ100" s="42"/>
    </row>
    <row r="101" spans="1:52" s="3402" customFormat="1" ht="15.75" customHeight="1">
      <c r="A101" s="1127"/>
      <c r="B101" s="3988" t="s">
        <v>3839</v>
      </c>
      <c r="C101" s="3838"/>
      <c r="D101" s="1540"/>
      <c r="E101" s="3084"/>
      <c r="F101" s="3084"/>
      <c r="G101" s="3084"/>
      <c r="H101" s="4511"/>
      <c r="I101" s="3083"/>
      <c r="J101" s="3083"/>
      <c r="K101" s="3083"/>
      <c r="L101" s="3083"/>
      <c r="M101" s="3083"/>
      <c r="N101" s="3083"/>
      <c r="O101" s="1276"/>
      <c r="P101" s="1276"/>
      <c r="Q101" s="1276"/>
      <c r="R101" s="1276"/>
      <c r="S101" s="1276"/>
      <c r="T101" s="1276"/>
      <c r="U101" s="1276"/>
      <c r="V101" s="3083"/>
      <c r="W101" s="3083"/>
      <c r="X101" s="3083"/>
      <c r="Y101" s="3083"/>
      <c r="Z101" s="3083"/>
      <c r="AA101" s="3083"/>
      <c r="AB101" s="3083"/>
      <c r="AC101" s="3083"/>
      <c r="AD101" s="3083"/>
      <c r="AE101" s="3083"/>
      <c r="AF101" s="1276"/>
      <c r="AG101" s="1276"/>
      <c r="AH101" s="1276"/>
      <c r="AI101" s="1276"/>
      <c r="AJ101" s="1276"/>
      <c r="AK101" s="1127"/>
      <c r="AL101" s="1179"/>
      <c r="AM101" s="1179"/>
      <c r="AN101" s="1179"/>
      <c r="AO101" s="2599"/>
      <c r="AP101" s="2599"/>
      <c r="AQ101" s="2599"/>
      <c r="AR101" s="2599"/>
      <c r="AS101" s="2599"/>
      <c r="AT101" s="2599"/>
      <c r="AU101" s="2599"/>
      <c r="AV101" s="2599"/>
      <c r="AW101" s="2599"/>
      <c r="AX101" s="2599"/>
      <c r="AY101" s="42"/>
      <c r="AZ101" s="42"/>
    </row>
    <row r="102" spans="1:52" s="3402" customFormat="1" ht="15.75" customHeight="1">
      <c r="A102" s="1127"/>
      <c r="B102" s="3988" t="s">
        <v>3840</v>
      </c>
      <c r="C102" s="3838"/>
      <c r="D102" s="4482"/>
      <c r="E102" s="3084"/>
      <c r="F102" s="3084"/>
      <c r="G102" s="3084"/>
      <c r="H102" s="4511"/>
      <c r="I102" s="3083"/>
      <c r="J102" s="3083"/>
      <c r="K102" s="3083"/>
      <c r="L102" s="3083"/>
      <c r="M102" s="3083"/>
      <c r="N102" s="3083"/>
      <c r="O102" s="1276"/>
      <c r="P102" s="1276"/>
      <c r="Q102" s="1276"/>
      <c r="R102" s="1276"/>
      <c r="S102" s="1276"/>
      <c r="T102" s="1276"/>
      <c r="U102" s="4487"/>
      <c r="V102" s="3083"/>
      <c r="W102" s="3083"/>
      <c r="X102" s="3083"/>
      <c r="Y102" s="3083"/>
      <c r="Z102" s="3083"/>
      <c r="AA102" s="3083"/>
      <c r="AB102" s="3083"/>
      <c r="AC102" s="3083"/>
      <c r="AD102" s="3083"/>
      <c r="AE102" s="3083"/>
      <c r="AF102" s="1276"/>
      <c r="AG102" s="1276"/>
      <c r="AH102" s="1276"/>
      <c r="AI102" s="1276"/>
      <c r="AJ102" s="1276"/>
      <c r="AK102" s="1127"/>
      <c r="AL102" s="1179"/>
      <c r="AM102" s="1179"/>
      <c r="AN102" s="1179"/>
      <c r="AO102" s="2595"/>
      <c r="AP102" s="2595"/>
      <c r="AQ102" s="2595"/>
      <c r="AR102" s="2595"/>
      <c r="AS102" s="2595"/>
      <c r="AT102" s="2595"/>
      <c r="AU102" s="2595"/>
      <c r="AV102" s="2595"/>
      <c r="AW102" s="2595"/>
      <c r="AX102" s="2595"/>
      <c r="AY102" s="42"/>
      <c r="AZ102" s="42"/>
    </row>
    <row r="103" spans="1:52" s="3402" customFormat="1" ht="15.75" customHeight="1">
      <c r="A103" s="1127"/>
      <c r="B103" s="3988" t="s">
        <v>3841</v>
      </c>
      <c r="C103" s="3838"/>
      <c r="D103" s="1540"/>
      <c r="E103" s="3084"/>
      <c r="F103" s="3084"/>
      <c r="G103" s="3084"/>
      <c r="H103" s="4511"/>
      <c r="I103" s="4498"/>
      <c r="J103" s="3137"/>
      <c r="K103" s="3137"/>
      <c r="L103" s="3137"/>
      <c r="M103" s="3137"/>
      <c r="N103" s="3137"/>
      <c r="O103" s="4500"/>
      <c r="P103" s="1707"/>
      <c r="Q103" s="1707"/>
      <c r="R103" s="4500"/>
      <c r="S103" s="1707"/>
      <c r="T103" s="1707"/>
      <c r="U103" s="1707"/>
      <c r="V103" s="3137"/>
      <c r="W103" s="3137"/>
      <c r="X103" s="3137"/>
      <c r="Y103" s="3137"/>
      <c r="Z103" s="3137"/>
      <c r="AA103" s="3137"/>
      <c r="AB103" s="3083"/>
      <c r="AC103" s="3083"/>
      <c r="AD103" s="3137"/>
      <c r="AE103" s="3137"/>
      <c r="AF103" s="4500"/>
      <c r="AG103" s="1707"/>
      <c r="AH103" s="1707"/>
      <c r="AI103" s="4500"/>
      <c r="AJ103" s="1707"/>
      <c r="AK103" s="1127"/>
      <c r="AL103" s="1179"/>
      <c r="AM103" s="1179"/>
      <c r="AN103" s="1179"/>
      <c r="AO103" s="2595"/>
      <c r="AP103" s="2595"/>
      <c r="AQ103" s="2595"/>
      <c r="AR103" s="2595"/>
      <c r="AS103" s="2595"/>
      <c r="AT103" s="2595"/>
      <c r="AU103" s="2595"/>
      <c r="AV103" s="2595"/>
      <c r="AW103" s="2595"/>
      <c r="AX103" s="2595"/>
      <c r="AY103" s="42"/>
      <c r="AZ103" s="42"/>
    </row>
    <row r="104" spans="1:52" s="3402" customFormat="1" ht="11.25" customHeight="1">
      <c r="A104" s="1127"/>
      <c r="B104" s="1707"/>
      <c r="C104" s="4481"/>
      <c r="D104" s="1707"/>
      <c r="E104" s="3137"/>
      <c r="F104" s="3137"/>
      <c r="G104" s="3137"/>
      <c r="H104" s="4497"/>
      <c r="I104" s="4499"/>
      <c r="J104" s="2217" t="s">
        <v>110</v>
      </c>
      <c r="K104" s="3137"/>
      <c r="L104" s="3137"/>
      <c r="M104" s="3137"/>
      <c r="N104" s="3137"/>
      <c r="O104" s="1707"/>
      <c r="P104" s="1707"/>
      <c r="Q104" s="1707"/>
      <c r="R104" s="1707"/>
      <c r="S104" s="1707"/>
      <c r="T104" s="1707"/>
      <c r="U104" s="1707"/>
      <c r="V104" s="3137"/>
      <c r="W104" s="3137"/>
      <c r="X104" s="3137"/>
      <c r="Y104" s="3137"/>
      <c r="Z104" s="3137"/>
      <c r="AA104" s="3137"/>
      <c r="AB104" s="3137"/>
      <c r="AC104" s="3137"/>
      <c r="AD104" s="2217" t="s">
        <v>111</v>
      </c>
      <c r="AE104" s="3137"/>
      <c r="AF104" s="1707"/>
      <c r="AG104" s="1707"/>
      <c r="AH104" s="1707"/>
      <c r="AI104" s="1707"/>
      <c r="AJ104" s="1707"/>
      <c r="AK104" s="1127"/>
      <c r="AL104" s="1179"/>
      <c r="AM104" s="1179"/>
      <c r="AN104" s="1179"/>
      <c r="AO104" s="2595"/>
      <c r="AP104" s="2595"/>
      <c r="AQ104" s="2595"/>
      <c r="AR104" s="2595"/>
      <c r="AS104" s="2595"/>
      <c r="AT104" s="2595"/>
      <c r="AU104" s="2595"/>
      <c r="AV104" s="2595"/>
      <c r="AW104" s="2595"/>
      <c r="AX104" s="2595"/>
      <c r="AY104" s="42"/>
      <c r="AZ104" s="42"/>
    </row>
    <row r="105" spans="1:52" s="3402" customFormat="1" ht="12.75" customHeight="1">
      <c r="A105" s="1127"/>
      <c r="B105" s="9142" t="s">
        <v>3856</v>
      </c>
      <c r="C105" s="9142"/>
      <c r="D105" s="9142"/>
      <c r="E105" s="9143"/>
      <c r="F105" s="3098" t="s">
        <v>3842</v>
      </c>
      <c r="G105" s="4479"/>
      <c r="H105" s="4479"/>
      <c r="I105" s="4479"/>
      <c r="J105" s="4479"/>
      <c r="K105" s="4479"/>
      <c r="L105" s="4479"/>
      <c r="M105" s="4479"/>
      <c r="N105" s="4479"/>
      <c r="O105" s="4480"/>
      <c r="P105" s="3098" t="s">
        <v>3843</v>
      </c>
      <c r="Q105" s="4479"/>
      <c r="R105" s="4479"/>
      <c r="S105" s="4479"/>
      <c r="T105" s="1706"/>
      <c r="U105" s="4501"/>
      <c r="V105" s="4479"/>
      <c r="W105" s="4479"/>
      <c r="X105" s="4479"/>
      <c r="Y105" s="4480"/>
      <c r="Z105" s="3098" t="s">
        <v>3844</v>
      </c>
      <c r="AA105" s="4479"/>
      <c r="AB105" s="4479"/>
      <c r="AC105" s="4480"/>
      <c r="AD105" s="3098" t="s">
        <v>3845</v>
      </c>
      <c r="AE105" s="4479"/>
      <c r="AF105" s="4479" t="s">
        <v>3847</v>
      </c>
      <c r="AG105" s="3098" t="s">
        <v>3848</v>
      </c>
      <c r="AH105" s="4479"/>
      <c r="AI105" s="4479"/>
      <c r="AJ105" s="4479"/>
      <c r="AK105" s="1127"/>
      <c r="AL105" s="1179"/>
      <c r="AM105" s="1179"/>
      <c r="AN105" s="1179"/>
      <c r="AO105" s="2595"/>
      <c r="AP105" s="2595"/>
      <c r="AQ105" s="2595"/>
      <c r="AR105" s="2595"/>
      <c r="AS105" s="2595"/>
      <c r="AT105" s="2595"/>
      <c r="AU105" s="2595"/>
      <c r="AV105" s="2595"/>
      <c r="AW105" s="2595"/>
      <c r="AX105" s="2595"/>
      <c r="AY105" s="42"/>
      <c r="AZ105" s="42"/>
    </row>
    <row r="106" spans="1:52" s="3402" customFormat="1" ht="13.5" customHeight="1">
      <c r="A106" s="1127"/>
      <c r="B106" s="9144"/>
      <c r="C106" s="9144"/>
      <c r="D106" s="9144"/>
      <c r="E106" s="9145"/>
      <c r="F106" s="9148"/>
      <c r="G106" s="9149"/>
      <c r="H106" s="9149"/>
      <c r="I106" s="9149"/>
      <c r="J106" s="9149"/>
      <c r="K106" s="9149"/>
      <c r="L106" s="9149"/>
      <c r="M106" s="9149"/>
      <c r="N106" s="9149"/>
      <c r="O106" s="9150"/>
      <c r="P106" s="4498"/>
      <c r="Q106" s="3083"/>
      <c r="R106" s="3083"/>
      <c r="S106" s="3083"/>
      <c r="T106" s="1276"/>
      <c r="U106" s="1276"/>
      <c r="V106" s="3083"/>
      <c r="W106" s="3083"/>
      <c r="X106" s="3083"/>
      <c r="Y106" s="4456"/>
      <c r="Z106" s="9153"/>
      <c r="AA106" s="9154"/>
      <c r="AB106" s="9154"/>
      <c r="AC106" s="9155"/>
      <c r="AD106" s="2950"/>
      <c r="AE106" s="1546"/>
      <c r="AF106" s="3083"/>
      <c r="AG106" s="9159"/>
      <c r="AH106" s="9160"/>
      <c r="AI106" s="9160"/>
      <c r="AJ106" s="9160"/>
      <c r="AK106" s="1127"/>
      <c r="AL106" s="1179"/>
      <c r="AM106" s="1179"/>
      <c r="AN106" s="1179"/>
      <c r="AO106" s="2595"/>
      <c r="AP106" s="2595"/>
      <c r="AQ106" s="2595"/>
      <c r="AR106" s="2595"/>
      <c r="AS106" s="2595"/>
      <c r="AT106" s="2595"/>
      <c r="AU106" s="2595"/>
      <c r="AV106" s="2595"/>
      <c r="AW106" s="2595"/>
      <c r="AX106" s="2595"/>
      <c r="AY106" s="42"/>
      <c r="AZ106" s="42"/>
    </row>
    <row r="107" spans="1:52" s="3402" customFormat="1" ht="13.5" customHeight="1">
      <c r="A107" s="1127"/>
      <c r="B107" s="9144"/>
      <c r="C107" s="9144"/>
      <c r="D107" s="9144"/>
      <c r="E107" s="9145"/>
      <c r="F107" s="9151"/>
      <c r="G107" s="6443"/>
      <c r="H107" s="6443"/>
      <c r="I107" s="6443"/>
      <c r="J107" s="6443"/>
      <c r="K107" s="6443"/>
      <c r="L107" s="6443"/>
      <c r="M107" s="6443"/>
      <c r="N107" s="6443"/>
      <c r="O107" s="9152"/>
      <c r="P107" s="4499"/>
      <c r="Q107" s="3137"/>
      <c r="R107" s="3137"/>
      <c r="S107" s="3137"/>
      <c r="T107" s="1707"/>
      <c r="U107" s="1707"/>
      <c r="V107" s="3137"/>
      <c r="W107" s="3137"/>
      <c r="X107" s="3137"/>
      <c r="Y107" s="4497"/>
      <c r="Z107" s="9156"/>
      <c r="AA107" s="9157"/>
      <c r="AB107" s="9157"/>
      <c r="AC107" s="9158"/>
      <c r="AD107" s="3811" t="s">
        <v>3846</v>
      </c>
      <c r="AE107" s="3137"/>
      <c r="AF107" s="3137"/>
      <c r="AG107" s="9161"/>
      <c r="AH107" s="9162"/>
      <c r="AI107" s="9162"/>
      <c r="AJ107" s="9162"/>
      <c r="AK107" s="1127"/>
      <c r="AL107" s="1179"/>
      <c r="AM107" s="1179"/>
      <c r="AN107" s="1179"/>
      <c r="AO107" s="2595"/>
      <c r="AP107" s="2595"/>
      <c r="AQ107" s="2595"/>
      <c r="AR107" s="2595"/>
      <c r="AS107" s="2595"/>
      <c r="AT107" s="2595"/>
      <c r="AU107" s="2595"/>
      <c r="AV107" s="2595"/>
      <c r="AW107" s="2595"/>
      <c r="AX107" s="2595"/>
      <c r="AY107" s="42"/>
      <c r="AZ107" s="42"/>
    </row>
    <row r="108" spans="1:52" s="3402" customFormat="1" ht="14.25" customHeight="1">
      <c r="A108" s="1127"/>
      <c r="B108" s="9144"/>
      <c r="C108" s="9144"/>
      <c r="D108" s="9144"/>
      <c r="E108" s="9145"/>
      <c r="F108" s="4502" t="s">
        <v>3849</v>
      </c>
      <c r="G108" s="4503"/>
      <c r="H108" s="4504"/>
      <c r="I108" s="4504"/>
      <c r="J108" s="4504"/>
      <c r="K108" s="9163"/>
      <c r="L108" s="9163"/>
      <c r="M108" s="9163"/>
      <c r="N108" s="9163"/>
      <c r="O108" s="9163"/>
      <c r="P108" s="9163"/>
      <c r="Q108" s="9163"/>
      <c r="R108" s="9163"/>
      <c r="S108" s="9163"/>
      <c r="T108" s="9163"/>
      <c r="U108" s="9163"/>
      <c r="V108" s="9163"/>
      <c r="W108" s="9163"/>
      <c r="X108" s="9163"/>
      <c r="Y108" s="9163"/>
      <c r="Z108" s="9163"/>
      <c r="AA108" s="9163"/>
      <c r="AB108" s="9163"/>
      <c r="AC108" s="9163"/>
      <c r="AD108" s="4502" t="s">
        <v>3851</v>
      </c>
      <c r="AE108" s="4504"/>
      <c r="AF108" s="2789"/>
      <c r="AG108" s="7211"/>
      <c r="AH108" s="7211"/>
      <c r="AI108" s="7211"/>
      <c r="AJ108" s="7211"/>
      <c r="AK108" s="1127"/>
      <c r="AL108" s="1179"/>
      <c r="AM108" s="1179"/>
      <c r="AN108" s="1179"/>
      <c r="AO108" s="2595"/>
      <c r="AP108" s="2595"/>
      <c r="AQ108" s="2595"/>
      <c r="AR108" s="2595"/>
      <c r="AS108" s="2595"/>
      <c r="AT108" s="2595"/>
      <c r="AU108" s="2595"/>
      <c r="AV108" s="2595"/>
      <c r="AW108" s="2595"/>
      <c r="AX108" s="2595"/>
      <c r="AY108" s="42"/>
      <c r="AZ108" s="42"/>
    </row>
    <row r="109" spans="1:52" s="3402" customFormat="1" ht="14.25" customHeight="1" thickBot="1">
      <c r="A109" s="1127"/>
      <c r="B109" s="9146"/>
      <c r="C109" s="9146"/>
      <c r="D109" s="9146"/>
      <c r="E109" s="9147"/>
      <c r="F109" s="4505" t="s">
        <v>3850</v>
      </c>
      <c r="G109" s="4506"/>
      <c r="H109" s="4506"/>
      <c r="I109" s="4506"/>
      <c r="J109" s="4506"/>
      <c r="K109" s="9164"/>
      <c r="L109" s="9164"/>
      <c r="M109" s="9164"/>
      <c r="N109" s="9164"/>
      <c r="O109" s="9164"/>
      <c r="P109" s="9164"/>
      <c r="Q109" s="9164"/>
      <c r="R109" s="9164"/>
      <c r="S109" s="9164"/>
      <c r="T109" s="9164"/>
      <c r="U109" s="9164"/>
      <c r="V109" s="9164"/>
      <c r="W109" s="9164"/>
      <c r="X109" s="9164"/>
      <c r="Y109" s="9164"/>
      <c r="Z109" s="9164"/>
      <c r="AA109" s="9164"/>
      <c r="AB109" s="9164"/>
      <c r="AC109" s="9164"/>
      <c r="AD109" s="4505" t="s">
        <v>3852</v>
      </c>
      <c r="AE109" s="4506"/>
      <c r="AF109" s="4506"/>
      <c r="AG109" s="9165"/>
      <c r="AH109" s="9165"/>
      <c r="AI109" s="9165"/>
      <c r="AJ109" s="9165"/>
      <c r="AK109" s="1127"/>
      <c r="AL109" s="1179"/>
      <c r="AM109" s="1179"/>
      <c r="AN109" s="1179"/>
      <c r="AO109" s="2595"/>
      <c r="AP109" s="2595"/>
      <c r="AQ109" s="2595"/>
      <c r="AR109" s="2595"/>
      <c r="AS109" s="2595"/>
      <c r="AT109" s="2595"/>
      <c r="AU109" s="2595"/>
      <c r="AV109" s="2595"/>
      <c r="AW109" s="2595"/>
      <c r="AX109" s="2595"/>
      <c r="AY109" s="42"/>
      <c r="AZ109" s="42"/>
    </row>
    <row r="110" spans="1:52" s="3402" customFormat="1" ht="16.5" thickTop="1">
      <c r="A110" s="1127"/>
      <c r="B110" s="1709"/>
      <c r="C110" s="1771"/>
      <c r="D110" s="70"/>
      <c r="E110" s="70"/>
      <c r="F110" s="70"/>
      <c r="G110" s="70"/>
      <c r="H110" s="70"/>
      <c r="I110" s="70"/>
      <c r="J110" s="70"/>
      <c r="K110" s="70"/>
      <c r="L110" s="70"/>
      <c r="M110" s="70"/>
      <c r="N110" s="70"/>
      <c r="O110" s="70"/>
      <c r="P110" s="70"/>
      <c r="Q110" s="23"/>
      <c r="R110" s="23"/>
      <c r="S110" s="23"/>
      <c r="T110" s="23"/>
      <c r="U110" s="501"/>
      <c r="V110" s="23"/>
      <c r="W110" s="501"/>
      <c r="X110" s="23"/>
      <c r="Y110" s="23"/>
      <c r="Z110" s="23"/>
      <c r="AA110" s="23"/>
      <c r="AB110" s="23"/>
      <c r="AC110" s="23"/>
      <c r="AD110" s="23"/>
      <c r="AE110" s="23"/>
      <c r="AF110" s="23"/>
      <c r="AG110" s="23"/>
      <c r="AH110" s="1035" t="s">
        <v>3812</v>
      </c>
      <c r="AI110" s="23"/>
      <c r="AJ110" s="1035" t="str">
        <f>"("&amp;TaxYear&amp;")"</f>
        <v>(2021)</v>
      </c>
      <c r="AK110" s="1127"/>
      <c r="AL110" s="1927"/>
      <c r="AM110" s="1927"/>
      <c r="AN110" s="1179"/>
      <c r="AO110" s="2595"/>
      <c r="AP110" s="2595"/>
      <c r="AQ110" s="2595"/>
      <c r="AR110" s="2595"/>
      <c r="AS110" s="2595"/>
      <c r="AT110" s="2595"/>
      <c r="AU110" s="2595"/>
      <c r="AV110" s="2595"/>
      <c r="AW110" s="2595"/>
      <c r="AX110" s="2595"/>
      <c r="AY110" s="42"/>
      <c r="AZ110" s="42"/>
    </row>
    <row r="111" spans="1:52" s="3402" customFormat="1" ht="24" customHeight="1">
      <c r="A111" s="1127"/>
      <c r="B111" s="1179"/>
      <c r="C111" s="1927"/>
      <c r="D111" s="9177" t="s">
        <v>3782</v>
      </c>
      <c r="E111" s="9178"/>
      <c r="F111" s="9178"/>
      <c r="G111" s="9178"/>
      <c r="H111" s="5718"/>
      <c r="I111" s="9179" t="s">
        <v>5444</v>
      </c>
      <c r="J111" s="6371"/>
      <c r="K111" s="6371"/>
      <c r="L111" s="6371"/>
      <c r="M111" s="6371"/>
      <c r="N111" s="6371"/>
      <c r="O111" s="6371"/>
      <c r="P111" s="6371"/>
      <c r="Q111" s="6371"/>
      <c r="R111" s="6371"/>
      <c r="S111" s="6371"/>
      <c r="T111" s="6371"/>
      <c r="U111" s="6371"/>
      <c r="V111" s="6371"/>
      <c r="W111" s="6371"/>
      <c r="X111" s="6371"/>
      <c r="Y111" s="6371"/>
      <c r="Z111" s="6371"/>
      <c r="AA111" s="6371"/>
      <c r="AB111" s="8426"/>
      <c r="AC111" s="9181" t="s">
        <v>152</v>
      </c>
      <c r="AD111" s="8628"/>
      <c r="AE111" s="8628"/>
      <c r="AF111" s="8628"/>
      <c r="AG111" s="8628"/>
      <c r="AH111" s="8628"/>
      <c r="AI111" s="8628"/>
      <c r="AJ111" s="8628"/>
      <c r="AK111" s="1127"/>
      <c r="AL111" s="1179"/>
      <c r="AM111" s="1179"/>
      <c r="AN111" s="1179"/>
      <c r="AO111" s="2595"/>
      <c r="AP111" s="2595"/>
      <c r="AQ111" s="2595"/>
      <c r="AR111" s="2595"/>
      <c r="AS111" s="2595"/>
      <c r="AT111" s="2595"/>
      <c r="AU111" s="2595"/>
      <c r="AV111" s="2595"/>
      <c r="AW111" s="2595"/>
      <c r="AX111" s="2595"/>
      <c r="AY111" s="42"/>
      <c r="AZ111" s="42"/>
    </row>
    <row r="112" spans="1:52" s="3402" customFormat="1" ht="24" customHeight="1">
      <c r="A112" s="1127"/>
      <c r="B112" s="8629" t="s">
        <v>291</v>
      </c>
      <c r="C112" s="6406"/>
      <c r="D112" s="9178"/>
      <c r="E112" s="9178"/>
      <c r="F112" s="9178"/>
      <c r="G112" s="9178"/>
      <c r="H112" s="5718"/>
      <c r="I112" s="9180"/>
      <c r="J112" s="6371"/>
      <c r="K112" s="6371"/>
      <c r="L112" s="6371"/>
      <c r="M112" s="6371"/>
      <c r="N112" s="6371"/>
      <c r="O112" s="6371"/>
      <c r="P112" s="6371"/>
      <c r="Q112" s="6371"/>
      <c r="R112" s="6371"/>
      <c r="S112" s="6371"/>
      <c r="T112" s="6371"/>
      <c r="U112" s="6371"/>
      <c r="V112" s="6371"/>
      <c r="W112" s="6371"/>
      <c r="X112" s="6371"/>
      <c r="Y112" s="6371"/>
      <c r="Z112" s="6371"/>
      <c r="AA112" s="6371"/>
      <c r="AB112" s="8426"/>
      <c r="AC112" s="9182">
        <f>TaxYear</f>
        <v>2021</v>
      </c>
      <c r="AD112" s="8631"/>
      <c r="AE112" s="8631"/>
      <c r="AF112" s="8631"/>
      <c r="AG112" s="8631"/>
      <c r="AH112" s="8631"/>
      <c r="AI112" s="8631"/>
      <c r="AJ112" s="8631"/>
      <c r="AK112" s="1127"/>
      <c r="AL112" s="1179"/>
      <c r="AM112" s="1179"/>
      <c r="AN112" s="1179"/>
      <c r="AO112" s="2595"/>
      <c r="AP112" s="2595"/>
      <c r="AQ112" s="2595"/>
      <c r="AR112" s="2595"/>
      <c r="AS112" s="2595"/>
      <c r="AT112" s="2595"/>
      <c r="AU112" s="2595"/>
      <c r="AV112" s="2595"/>
      <c r="AW112" s="2595"/>
      <c r="AX112" s="2595"/>
      <c r="AY112" s="42"/>
      <c r="AZ112" s="42"/>
    </row>
    <row r="113" spans="1:52" s="3402" customFormat="1" ht="6.75" customHeight="1">
      <c r="A113" s="1127"/>
      <c r="B113" s="1179"/>
      <c r="C113" s="1927"/>
      <c r="D113" s="1179"/>
      <c r="E113" s="1179"/>
      <c r="F113" s="1179"/>
      <c r="G113" s="1179"/>
      <c r="H113" s="5718"/>
      <c r="I113" s="9205" t="s">
        <v>5445</v>
      </c>
      <c r="J113" s="9206"/>
      <c r="K113" s="9206"/>
      <c r="L113" s="9206"/>
      <c r="M113" s="9206"/>
      <c r="N113" s="9206"/>
      <c r="O113" s="9206"/>
      <c r="P113" s="9206"/>
      <c r="Q113" s="9206"/>
      <c r="R113" s="9206"/>
      <c r="S113" s="9206"/>
      <c r="T113" s="9206"/>
      <c r="U113" s="9206"/>
      <c r="V113" s="9206"/>
      <c r="W113" s="9206"/>
      <c r="X113" s="9206"/>
      <c r="Y113" s="9206"/>
      <c r="Z113" s="9206"/>
      <c r="AA113" s="9206"/>
      <c r="AB113" s="9207"/>
      <c r="AC113" s="8633"/>
      <c r="AD113" s="8633"/>
      <c r="AE113" s="8633"/>
      <c r="AF113" s="8633"/>
      <c r="AG113" s="8633"/>
      <c r="AH113" s="8633"/>
      <c r="AI113" s="8633"/>
      <c r="AJ113" s="8633"/>
      <c r="AK113" s="1127"/>
      <c r="AL113" s="1179"/>
      <c r="AM113" s="1179"/>
      <c r="AN113" s="1179"/>
      <c r="AO113" s="2595"/>
      <c r="AP113" s="2595"/>
      <c r="AQ113" s="2595"/>
      <c r="AR113" s="2595"/>
      <c r="AS113" s="2595"/>
      <c r="AT113" s="2595"/>
      <c r="AU113" s="2595"/>
      <c r="AV113" s="2595"/>
      <c r="AW113" s="2595"/>
      <c r="AX113" s="2595"/>
      <c r="AY113" s="42"/>
      <c r="AZ113" s="42"/>
    </row>
    <row r="114" spans="1:52" s="3402" customFormat="1" ht="12.75" customHeight="1" thickBot="1">
      <c r="A114" s="1127"/>
      <c r="B114" s="1179" t="s">
        <v>176</v>
      </c>
      <c r="C114" s="1927"/>
      <c r="D114" s="1179"/>
      <c r="E114" s="1179"/>
      <c r="F114" s="1179"/>
      <c r="G114" s="1179"/>
      <c r="H114" s="5718"/>
      <c r="I114" s="9205"/>
      <c r="J114" s="9206"/>
      <c r="K114" s="9206"/>
      <c r="L114" s="9206"/>
      <c r="M114" s="9206"/>
      <c r="N114" s="9206"/>
      <c r="O114" s="9206"/>
      <c r="P114" s="9206"/>
      <c r="Q114" s="9206"/>
      <c r="R114" s="9206"/>
      <c r="S114" s="9206"/>
      <c r="T114" s="9206"/>
      <c r="U114" s="9206"/>
      <c r="V114" s="9206"/>
      <c r="W114" s="9206"/>
      <c r="X114" s="9206"/>
      <c r="Y114" s="9206"/>
      <c r="Z114" s="9206"/>
      <c r="AA114" s="9206"/>
      <c r="AB114" s="9207"/>
      <c r="AC114" s="1179"/>
      <c r="AD114" s="8894" t="s">
        <v>781</v>
      </c>
      <c r="AE114" s="6665"/>
      <c r="AF114" s="6665"/>
      <c r="AG114" s="6665"/>
      <c r="AH114" s="7744">
        <v>48</v>
      </c>
      <c r="AI114" s="7744"/>
      <c r="AJ114" s="1179"/>
      <c r="AK114" s="1127"/>
      <c r="AL114" s="1283" t="s">
        <v>3860</v>
      </c>
      <c r="AM114" s="1179"/>
      <c r="AN114" s="1179"/>
      <c r="AO114" s="2595"/>
      <c r="AP114" s="2595"/>
      <c r="AQ114" s="2595"/>
      <c r="AR114" s="2595"/>
      <c r="AS114" s="2595"/>
      <c r="AT114" s="2595"/>
      <c r="AU114" s="2595"/>
      <c r="AV114" s="2595"/>
      <c r="AW114" s="2595"/>
      <c r="AX114" s="2595"/>
      <c r="AY114" s="42"/>
      <c r="AZ114" s="42"/>
    </row>
    <row r="115" spans="1:52" s="3402" customFormat="1" ht="13.5" customHeight="1" thickBot="1">
      <c r="A115" s="1127"/>
      <c r="B115" s="1704" t="s">
        <v>229</v>
      </c>
      <c r="C115" s="4455"/>
      <c r="D115" s="1280"/>
      <c r="E115" s="1280"/>
      <c r="F115" s="1280"/>
      <c r="G115" s="1280"/>
      <c r="H115" s="5719"/>
      <c r="I115" s="9209" t="s">
        <v>3286</v>
      </c>
      <c r="J115" s="9210"/>
      <c r="K115" s="9210"/>
      <c r="L115" s="9210"/>
      <c r="M115" s="9210"/>
      <c r="N115" s="9210"/>
      <c r="O115" s="9210"/>
      <c r="P115" s="9210"/>
      <c r="Q115" s="9210"/>
      <c r="R115" s="9210"/>
      <c r="S115" s="9210"/>
      <c r="T115" s="9210"/>
      <c r="U115" s="9210"/>
      <c r="V115" s="9210"/>
      <c r="W115" s="9210"/>
      <c r="X115" s="9210"/>
      <c r="Y115" s="9210"/>
      <c r="Z115" s="9210"/>
      <c r="AA115" s="9210"/>
      <c r="AB115" s="9211"/>
      <c r="AC115" s="1704"/>
      <c r="AD115" s="8876" t="s">
        <v>1128</v>
      </c>
      <c r="AE115" s="8877"/>
      <c r="AF115" s="8877"/>
      <c r="AG115" s="8877"/>
      <c r="AH115" s="8895"/>
      <c r="AI115" s="8895"/>
      <c r="AJ115" s="1280"/>
      <c r="AK115" s="1127"/>
      <c r="AL115" s="1860" t="str">
        <f>IF(AL11="","X","")</f>
        <v/>
      </c>
      <c r="AM115" s="1276" t="s">
        <v>1720</v>
      </c>
      <c r="AN115" s="1179"/>
      <c r="AO115" s="2595"/>
      <c r="AP115" s="2595"/>
      <c r="AQ115" s="2595"/>
      <c r="AR115" s="2595"/>
      <c r="AS115" s="2595"/>
      <c r="AT115" s="2595"/>
      <c r="AU115" s="2595"/>
      <c r="AV115" s="2595"/>
      <c r="AW115" s="2595"/>
      <c r="AX115" s="2595"/>
      <c r="AY115" s="42"/>
      <c r="AZ115" s="42"/>
    </row>
    <row r="116" spans="1:52" s="3402" customFormat="1" ht="13.5" thickBot="1">
      <c r="A116" s="1127"/>
      <c r="B116" s="1551" t="str">
        <f>"Name. If married, file a separate form for each spouse required to file "&amp;TaxYear&amp;" Form 8606. See instructions."</f>
        <v>Name. If married, file a separate form for each spouse required to file 2021 Form 8606. See instructions.</v>
      </c>
      <c r="C116" s="4461"/>
      <c r="D116" s="1551"/>
      <c r="E116" s="1551"/>
      <c r="F116" s="1551"/>
      <c r="G116" s="1551"/>
      <c r="H116" s="1551"/>
      <c r="I116" s="1551"/>
      <c r="J116" s="1551"/>
      <c r="K116" s="1551"/>
      <c r="L116" s="1551"/>
      <c r="M116" s="1551"/>
      <c r="N116" s="1551"/>
      <c r="O116" s="1551"/>
      <c r="P116" s="1551"/>
      <c r="Q116" s="1551"/>
      <c r="R116" s="1551"/>
      <c r="S116" s="1551"/>
      <c r="T116" s="1551"/>
      <c r="U116" s="1551"/>
      <c r="V116" s="1551"/>
      <c r="W116" s="1551"/>
      <c r="X116" s="1551"/>
      <c r="Y116" s="4451" t="s">
        <v>3783</v>
      </c>
      <c r="Z116" s="1274"/>
      <c r="AA116" s="1274"/>
      <c r="AB116" s="1274"/>
      <c r="AC116" s="1582"/>
      <c r="AD116" s="1702"/>
      <c r="AE116" s="1702"/>
      <c r="AF116" s="1702"/>
      <c r="AG116" s="1702"/>
      <c r="AH116" s="1702"/>
      <c r="AI116" s="1702"/>
      <c r="AJ116" s="1702"/>
      <c r="AK116" s="1127"/>
      <c r="AL116" s="1860" t="str">
        <f>IF(AL12="","X","")</f>
        <v>X</v>
      </c>
      <c r="AM116" s="1276" t="s">
        <v>1735</v>
      </c>
      <c r="AN116" s="1179"/>
      <c r="AO116" s="2595"/>
      <c r="AP116" s="2595"/>
      <c r="AQ116" s="2595"/>
      <c r="AR116" s="2595"/>
      <c r="AS116" s="2595"/>
      <c r="AT116" s="2595"/>
      <c r="AU116" s="2595"/>
      <c r="AV116" s="2595"/>
      <c r="AW116" s="2595"/>
      <c r="AX116" s="2595"/>
      <c r="AY116" s="42"/>
      <c r="AZ116" s="42"/>
    </row>
    <row r="117" spans="1:52" s="3402" customFormat="1" ht="25.5" customHeight="1">
      <c r="A117" s="1127"/>
      <c r="B117" s="9195" t="str">
        <f>IF(AND(AL115&lt;&gt;"",AL116&lt;&gt;""),Names,IF(AL116&lt;&gt;"",NameSpouse,IF(AL115&lt;&gt;"",NameYours,"")))</f>
        <v xml:space="preserve"> </v>
      </c>
      <c r="C117" s="9195"/>
      <c r="D117" s="9195"/>
      <c r="E117" s="9195"/>
      <c r="F117" s="9195"/>
      <c r="G117" s="9195"/>
      <c r="H117" s="9195"/>
      <c r="I117" s="9195"/>
      <c r="J117" s="9195"/>
      <c r="K117" s="9195"/>
      <c r="L117" s="9195"/>
      <c r="M117" s="9195"/>
      <c r="N117" s="9195"/>
      <c r="O117" s="9195"/>
      <c r="P117" s="9195"/>
      <c r="Q117" s="9195"/>
      <c r="R117" s="9195"/>
      <c r="S117" s="9195"/>
      <c r="T117" s="9195"/>
      <c r="U117" s="9195"/>
      <c r="V117" s="9195"/>
      <c r="W117" s="9195"/>
      <c r="X117" s="9196"/>
      <c r="Y117" s="9188">
        <f>IF(AND(NOT(NoSSN),SS_Yours&lt;&gt;"",OR(AL115&lt;&gt;"",AND(AL115&lt;&gt;"",AL116&lt;&gt;""))),SS_Yours,IF(AND(NOT(NoSSN),SS_Spouse&lt;&gt;"",AL116&lt;&gt;""),SS_Spouse,""))</f>
        <v>1010002</v>
      </c>
      <c r="Z117" s="9189"/>
      <c r="AA117" s="9189"/>
      <c r="AB117" s="9189"/>
      <c r="AC117" s="9189"/>
      <c r="AD117" s="9189"/>
      <c r="AE117" s="9189"/>
      <c r="AF117" s="9189"/>
      <c r="AG117" s="9189"/>
      <c r="AH117" s="9189"/>
      <c r="AI117" s="9189"/>
      <c r="AJ117" s="9189"/>
      <c r="AK117" s="1127"/>
      <c r="AL117" s="1179"/>
      <c r="AM117" s="1284" t="b">
        <f>OR(AND(AL115&lt;&gt;"",IRA_CONV_YOU&gt;0),AND(AL116&lt;&gt;"",IRA_CONV_SPOUSE&gt;0))</f>
        <v>0</v>
      </c>
      <c r="AN117" s="1179"/>
      <c r="AO117" s="2595"/>
      <c r="AP117" s="2595"/>
      <c r="AQ117" s="2595"/>
      <c r="AR117" s="2595"/>
      <c r="AS117" s="2595"/>
      <c r="AT117" s="2595"/>
      <c r="AU117" s="2595"/>
      <c r="AV117" s="2595"/>
      <c r="AW117" s="2595"/>
      <c r="AX117" s="2595"/>
      <c r="AY117" s="42"/>
      <c r="AZ117" s="42"/>
    </row>
    <row r="118" spans="1:52" s="3402" customFormat="1" ht="15.75" customHeight="1">
      <c r="A118" s="1127"/>
      <c r="B118" s="9190" t="s">
        <v>3790</v>
      </c>
      <c r="C118" s="9190"/>
      <c r="D118" s="9190"/>
      <c r="E118" s="9190"/>
      <c r="F118" s="9190"/>
      <c r="G118" s="9190"/>
      <c r="H118" s="9190"/>
      <c r="I118" s="9191"/>
      <c r="J118" s="9201" t="s">
        <v>3786</v>
      </c>
      <c r="K118" s="9202"/>
      <c r="L118" s="9202"/>
      <c r="M118" s="9202"/>
      <c r="N118" s="9202"/>
      <c r="O118" s="9202"/>
      <c r="P118" s="9202"/>
      <c r="Q118" s="9202"/>
      <c r="R118" s="9202"/>
      <c r="S118" s="9202"/>
      <c r="T118" s="9202"/>
      <c r="U118" s="9202"/>
      <c r="V118" s="9202"/>
      <c r="W118" s="9202"/>
      <c r="X118" s="9202"/>
      <c r="Y118" s="9202"/>
      <c r="Z118" s="9202"/>
      <c r="AA118" s="9202"/>
      <c r="AB118" s="9202"/>
      <c r="AC118" s="9203"/>
      <c r="AD118" s="9103" t="s">
        <v>3784</v>
      </c>
      <c r="AE118" s="9104"/>
      <c r="AF118" s="9104"/>
      <c r="AG118" s="9104"/>
      <c r="AH118" s="9104"/>
      <c r="AI118" s="9104"/>
      <c r="AJ118" s="9104"/>
      <c r="AK118" s="1127"/>
      <c r="AL118" s="9105" t="str">
        <f>IF($AM$117,"Because you","")</f>
        <v/>
      </c>
      <c r="AM118" s="9105"/>
      <c r="AN118" s="9105"/>
      <c r="AO118" s="2595"/>
      <c r="AP118" s="2595"/>
      <c r="AQ118" s="2595"/>
      <c r="AR118" s="2595"/>
      <c r="AS118" s="2595"/>
      <c r="AT118" s="2595"/>
      <c r="AU118" s="2595"/>
      <c r="AV118" s="2595"/>
      <c r="AW118" s="2595"/>
      <c r="AX118" s="2595"/>
      <c r="AY118" s="42"/>
      <c r="AZ118" s="42"/>
    </row>
    <row r="119" spans="1:52" s="3402" customFormat="1" ht="18.75" customHeight="1">
      <c r="A119" s="1127"/>
      <c r="B119" s="7441"/>
      <c r="C119" s="7441"/>
      <c r="D119" s="7441"/>
      <c r="E119" s="7441"/>
      <c r="F119" s="7441"/>
      <c r="G119" s="7441"/>
      <c r="H119" s="7441"/>
      <c r="I119" s="9192"/>
      <c r="J119" s="9183"/>
      <c r="K119" s="9184"/>
      <c r="L119" s="9184"/>
      <c r="M119" s="9184"/>
      <c r="N119" s="9184"/>
      <c r="O119" s="9184"/>
      <c r="P119" s="9184"/>
      <c r="Q119" s="9184"/>
      <c r="R119" s="9184"/>
      <c r="S119" s="9184"/>
      <c r="T119" s="9184"/>
      <c r="U119" s="9184"/>
      <c r="V119" s="9184"/>
      <c r="W119" s="9184"/>
      <c r="X119" s="9184"/>
      <c r="Y119" s="9184"/>
      <c r="Z119" s="9184"/>
      <c r="AA119" s="9184"/>
      <c r="AB119" s="9184"/>
      <c r="AC119" s="9185"/>
      <c r="AD119" s="9183"/>
      <c r="AE119" s="9184"/>
      <c r="AF119" s="9184"/>
      <c r="AG119" s="9184"/>
      <c r="AH119" s="9184"/>
      <c r="AI119" s="9184"/>
      <c r="AJ119" s="9184"/>
      <c r="AK119" s="1127"/>
      <c r="AL119" s="9110" t="str">
        <f>IF($AM$117,"converted an IRA to","")</f>
        <v/>
      </c>
      <c r="AM119" s="9110"/>
      <c r="AN119" s="9110"/>
      <c r="AO119" s="2595"/>
      <c r="AP119" s="2595"/>
      <c r="AQ119" s="2595"/>
      <c r="AR119" s="2595"/>
      <c r="AS119" s="2595"/>
      <c r="AT119" s="2595"/>
      <c r="AU119" s="2595"/>
      <c r="AV119" s="2595"/>
      <c r="AW119" s="2595"/>
      <c r="AX119" s="2595"/>
      <c r="AY119" s="42"/>
      <c r="AZ119" s="42"/>
    </row>
    <row r="120" spans="1:52" s="3402" customFormat="1" ht="15.75" customHeight="1">
      <c r="A120" s="1127"/>
      <c r="B120" s="7441"/>
      <c r="C120" s="7441"/>
      <c r="D120" s="7441"/>
      <c r="E120" s="7441"/>
      <c r="F120" s="7441"/>
      <c r="G120" s="7441"/>
      <c r="H120" s="7441"/>
      <c r="I120" s="9192"/>
      <c r="J120" s="9186" t="s">
        <v>3785</v>
      </c>
      <c r="K120" s="9187"/>
      <c r="L120" s="9187"/>
      <c r="M120" s="9187"/>
      <c r="N120" s="9187"/>
      <c r="O120" s="9187"/>
      <c r="P120" s="9187"/>
      <c r="Q120" s="9187"/>
      <c r="R120" s="9187"/>
      <c r="S120" s="9187"/>
      <c r="T120" s="9187"/>
      <c r="U120" s="9187"/>
      <c r="V120" s="9187"/>
      <c r="W120" s="9187"/>
      <c r="X120" s="9187"/>
      <c r="Y120" s="9187"/>
      <c r="Z120" s="9187"/>
      <c r="AA120" s="9187"/>
      <c r="AB120" s="9187"/>
      <c r="AC120" s="9187"/>
      <c r="AD120" s="9187"/>
      <c r="AE120" s="9187"/>
      <c r="AF120" s="9187"/>
      <c r="AG120" s="9187"/>
      <c r="AH120" s="9187"/>
      <c r="AI120" s="9187"/>
      <c r="AJ120" s="9187"/>
      <c r="AK120" s="1127"/>
      <c r="AL120" s="9105" t="str">
        <f>IF($AM$117,"a Roth IRA, be sure","")</f>
        <v/>
      </c>
      <c r="AM120" s="9105"/>
      <c r="AN120" s="9105"/>
      <c r="AO120" s="2595"/>
      <c r="AP120" s="2595"/>
      <c r="AQ120" s="2595"/>
      <c r="AR120" s="2595"/>
      <c r="AS120" s="2595"/>
      <c r="AT120" s="2595"/>
      <c r="AU120" s="2595"/>
      <c r="AV120" s="2595"/>
      <c r="AW120" s="2595"/>
      <c r="AX120" s="2595"/>
      <c r="AY120" s="42"/>
      <c r="AZ120" s="42"/>
    </row>
    <row r="121" spans="1:52" s="3402" customFormat="1" ht="18.75" customHeight="1">
      <c r="A121" s="1127"/>
      <c r="B121" s="7441"/>
      <c r="C121" s="7441"/>
      <c r="D121" s="7441"/>
      <c r="E121" s="7441"/>
      <c r="F121" s="7441"/>
      <c r="G121" s="7441"/>
      <c r="H121" s="7441"/>
      <c r="I121" s="9192"/>
      <c r="J121" s="9183"/>
      <c r="K121" s="9184"/>
      <c r="L121" s="9184"/>
      <c r="M121" s="9184"/>
      <c r="N121" s="9184"/>
      <c r="O121" s="9184"/>
      <c r="P121" s="9184"/>
      <c r="Q121" s="9184"/>
      <c r="R121" s="9184"/>
      <c r="S121" s="9184"/>
      <c r="T121" s="9184"/>
      <c r="U121" s="9184"/>
      <c r="V121" s="9184"/>
      <c r="W121" s="9184"/>
      <c r="X121" s="9184"/>
      <c r="Y121" s="9184"/>
      <c r="Z121" s="9184"/>
      <c r="AA121" s="9184"/>
      <c r="AB121" s="9184"/>
      <c r="AC121" s="9184"/>
      <c r="AD121" s="9184"/>
      <c r="AE121" s="9184"/>
      <c r="AF121" s="9184"/>
      <c r="AG121" s="9184"/>
      <c r="AH121" s="9184"/>
      <c r="AI121" s="9184"/>
      <c r="AJ121" s="9184"/>
      <c r="AK121" s="1127"/>
      <c r="AL121" s="9105" t="str">
        <f>IF($AM$117,"to complete Part I","")</f>
        <v/>
      </c>
      <c r="AM121" s="9105"/>
      <c r="AN121" s="9105"/>
      <c r="AO121" s="2595"/>
      <c r="AP121" s="2595"/>
      <c r="AQ121" s="2595"/>
      <c r="AR121" s="2595"/>
      <c r="AS121" s="2595"/>
      <c r="AT121" s="2595"/>
      <c r="AU121" s="2595"/>
      <c r="AV121" s="2595"/>
      <c r="AW121" s="2595"/>
      <c r="AX121" s="2595"/>
      <c r="AY121" s="42"/>
      <c r="AZ121" s="42"/>
    </row>
    <row r="122" spans="1:52" s="3402" customFormat="1" ht="15.75" customHeight="1">
      <c r="A122" s="1127"/>
      <c r="B122" s="7441"/>
      <c r="C122" s="7441"/>
      <c r="D122" s="7441"/>
      <c r="E122" s="7441"/>
      <c r="F122" s="7441"/>
      <c r="G122" s="7441"/>
      <c r="H122" s="7441"/>
      <c r="I122" s="9192"/>
      <c r="J122" s="3021" t="s">
        <v>3787</v>
      </c>
      <c r="K122" s="2731"/>
      <c r="L122" s="2731"/>
      <c r="M122" s="2731"/>
      <c r="N122" s="2731"/>
      <c r="O122" s="2731"/>
      <c r="P122" s="2731"/>
      <c r="Q122" s="2731"/>
      <c r="R122" s="2731"/>
      <c r="S122" s="2731"/>
      <c r="T122" s="3021" t="s">
        <v>3788</v>
      </c>
      <c r="U122" s="2731"/>
      <c r="V122" s="2731"/>
      <c r="W122" s="2731"/>
      <c r="X122" s="2731"/>
      <c r="Y122" s="2731"/>
      <c r="Z122" s="2731"/>
      <c r="AA122" s="2731"/>
      <c r="AB122" s="2732"/>
      <c r="AC122" s="2731" t="s">
        <v>3789</v>
      </c>
      <c r="AD122" s="2731"/>
      <c r="AE122" s="2731"/>
      <c r="AF122" s="2731"/>
      <c r="AG122" s="2731"/>
      <c r="AH122" s="2731"/>
      <c r="AI122" s="2731"/>
      <c r="AJ122" s="2731"/>
      <c r="AK122" s="1127"/>
      <c r="AL122" s="9105" t="str">
        <f>IF($AM$117,"or Part II of this form.","")</f>
        <v/>
      </c>
      <c r="AM122" s="9105"/>
      <c r="AN122" s="9105"/>
      <c r="AO122" s="2595"/>
      <c r="AP122" s="2595"/>
      <c r="AQ122" s="2595"/>
      <c r="AR122" s="2595"/>
      <c r="AS122" s="2595"/>
      <c r="AT122" s="2595"/>
      <c r="AU122" s="2595"/>
      <c r="AV122" s="2595"/>
      <c r="AW122" s="2595"/>
      <c r="AX122" s="2595"/>
      <c r="AY122" s="42"/>
      <c r="AZ122" s="42"/>
    </row>
    <row r="123" spans="1:52" s="3402" customFormat="1" ht="18.75" customHeight="1">
      <c r="A123" s="1127"/>
      <c r="B123" s="9193"/>
      <c r="C123" s="9193"/>
      <c r="D123" s="9193"/>
      <c r="E123" s="9193"/>
      <c r="F123" s="9193"/>
      <c r="G123" s="9193"/>
      <c r="H123" s="9193"/>
      <c r="I123" s="9194"/>
      <c r="J123" s="9183"/>
      <c r="K123" s="9184"/>
      <c r="L123" s="9184"/>
      <c r="M123" s="9184"/>
      <c r="N123" s="9184"/>
      <c r="O123" s="9184"/>
      <c r="P123" s="9184"/>
      <c r="Q123" s="9184"/>
      <c r="R123" s="9184"/>
      <c r="S123" s="9185"/>
      <c r="T123" s="9183"/>
      <c r="U123" s="9184"/>
      <c r="V123" s="9184"/>
      <c r="W123" s="9184"/>
      <c r="X123" s="9184"/>
      <c r="Y123" s="9184"/>
      <c r="Z123" s="9184"/>
      <c r="AA123" s="9184"/>
      <c r="AB123" s="9185"/>
      <c r="AC123" s="9183"/>
      <c r="AD123" s="9184"/>
      <c r="AE123" s="9184"/>
      <c r="AF123" s="9184"/>
      <c r="AG123" s="9184"/>
      <c r="AH123" s="9184"/>
      <c r="AI123" s="9184"/>
      <c r="AJ123" s="9184"/>
      <c r="AK123" s="1127"/>
      <c r="AL123" s="1179"/>
      <c r="AM123" s="1179"/>
      <c r="AN123" s="1179"/>
      <c r="AO123" s="2595"/>
      <c r="AP123" s="2595"/>
      <c r="AQ123" s="2595"/>
      <c r="AR123" s="2595"/>
      <c r="AS123" s="2595"/>
      <c r="AT123" s="2595"/>
      <c r="AU123" s="2595"/>
      <c r="AV123" s="2595"/>
      <c r="AW123" s="2595"/>
      <c r="AX123" s="2595"/>
      <c r="AY123" s="42"/>
      <c r="AZ123" s="42"/>
    </row>
    <row r="124" spans="1:52" s="3402" customFormat="1" ht="16.5" customHeight="1">
      <c r="A124" s="1127"/>
      <c r="B124" s="8524" t="s">
        <v>51</v>
      </c>
      <c r="C124" s="8524"/>
      <c r="D124" s="4452"/>
      <c r="E124" s="9121" t="s">
        <v>3791</v>
      </c>
      <c r="F124" s="9121"/>
      <c r="G124" s="9121"/>
      <c r="H124" s="9121"/>
      <c r="I124" s="9121"/>
      <c r="J124" s="9121"/>
      <c r="K124" s="9121"/>
      <c r="L124" s="9121"/>
      <c r="M124" s="9121"/>
      <c r="N124" s="9121"/>
      <c r="O124" s="9121"/>
      <c r="P124" s="9121"/>
      <c r="Q124" s="9121"/>
      <c r="R124" s="9121"/>
      <c r="S124" s="9121"/>
      <c r="T124" s="9121"/>
      <c r="U124" s="9121"/>
      <c r="V124" s="9121"/>
      <c r="W124" s="9121"/>
      <c r="X124" s="9121"/>
      <c r="Y124" s="9121"/>
      <c r="Z124" s="9121"/>
      <c r="AA124" s="9121"/>
      <c r="AB124" s="9121"/>
      <c r="AC124" s="9121"/>
      <c r="AD124" s="9121"/>
      <c r="AE124" s="9121"/>
      <c r="AF124" s="9121"/>
      <c r="AG124" s="9121"/>
      <c r="AH124" s="9121"/>
      <c r="AI124" s="9121"/>
      <c r="AJ124" s="9121"/>
      <c r="AK124" s="1127"/>
      <c r="AL124" s="1179"/>
      <c r="AM124" s="1179"/>
      <c r="AN124" s="1179"/>
      <c r="AO124" s="2595"/>
      <c r="AP124" s="4380"/>
      <c r="AQ124" s="2595"/>
      <c r="AR124" s="2595"/>
      <c r="AS124" s="2595"/>
      <c r="AT124" s="2595"/>
      <c r="AU124" s="2595"/>
      <c r="AV124" s="2595"/>
      <c r="AW124" s="2595"/>
      <c r="AX124" s="2595"/>
      <c r="AY124" s="42"/>
      <c r="AZ124" s="42"/>
    </row>
    <row r="125" spans="1:52" s="3402" customFormat="1" ht="16.5" customHeight="1">
      <c r="A125" s="1127"/>
      <c r="B125" s="1553"/>
      <c r="C125" s="4462"/>
      <c r="D125" s="1553"/>
      <c r="E125" s="4453" t="s">
        <v>3792</v>
      </c>
      <c r="F125" s="1553"/>
      <c r="G125" s="1553"/>
      <c r="H125" s="1553"/>
      <c r="I125" s="1553"/>
      <c r="J125" s="1553"/>
      <c r="K125" s="1553"/>
      <c r="L125" s="1553"/>
      <c r="M125" s="1553"/>
      <c r="N125" s="1553"/>
      <c r="O125" s="1553"/>
      <c r="P125" s="1553"/>
      <c r="Q125" s="1553"/>
      <c r="R125" s="1553"/>
      <c r="S125" s="1553"/>
      <c r="T125" s="1553"/>
      <c r="U125" s="1553"/>
      <c r="V125" s="1553"/>
      <c r="W125" s="1553"/>
      <c r="X125" s="1553"/>
      <c r="Y125" s="1553"/>
      <c r="Z125" s="1553"/>
      <c r="AA125" s="1553"/>
      <c r="AB125" s="1553"/>
      <c r="AC125" s="1553"/>
      <c r="AD125" s="1553"/>
      <c r="AE125" s="1553"/>
      <c r="AF125" s="1553"/>
      <c r="AG125" s="1553"/>
      <c r="AH125" s="1553"/>
      <c r="AI125" s="1553"/>
      <c r="AJ125" s="1553"/>
      <c r="AK125" s="1127"/>
      <c r="AL125" s="1179"/>
      <c r="AM125" s="1179"/>
      <c r="AN125" s="1179"/>
      <c r="AO125" s="2595"/>
      <c r="AP125" s="4380"/>
      <c r="AQ125" s="2595"/>
      <c r="AR125" s="2595"/>
      <c r="AS125" s="2595"/>
      <c r="AT125" s="2595"/>
      <c r="AU125" s="2595"/>
      <c r="AV125" s="2595"/>
      <c r="AW125" s="2595"/>
      <c r="AX125" s="2595"/>
      <c r="AY125" s="42"/>
      <c r="AZ125" s="42"/>
    </row>
    <row r="126" spans="1:52" s="3402" customFormat="1" ht="15" customHeight="1">
      <c r="A126" s="1127"/>
      <c r="B126" s="1179"/>
      <c r="C126" s="1556"/>
      <c r="D126" s="2686"/>
      <c r="E126" s="2944" t="s">
        <v>1275</v>
      </c>
      <c r="F126" s="2686" t="str">
        <f>"You made nondeductible contributions to a traditional IRA for "&amp;TaxYear&amp;"."</f>
        <v>You made nondeductible contributions to a traditional IRA for 2021.</v>
      </c>
      <c r="G126" s="1179"/>
      <c r="H126" s="1179"/>
      <c r="I126" s="1179"/>
      <c r="J126" s="1179"/>
      <c r="K126" s="1179"/>
      <c r="L126" s="1179"/>
      <c r="M126" s="1179"/>
      <c r="N126" s="1179"/>
      <c r="O126" s="1179"/>
      <c r="P126" s="1179"/>
      <c r="Q126" s="1179"/>
      <c r="R126" s="1179"/>
      <c r="S126" s="1179"/>
      <c r="T126" s="1179"/>
      <c r="U126" s="1179"/>
      <c r="V126" s="1179"/>
      <c r="W126" s="1179"/>
      <c r="X126" s="1179"/>
      <c r="Y126" s="1179"/>
      <c r="Z126" s="1179"/>
      <c r="AA126" s="1179"/>
      <c r="AB126" s="1179"/>
      <c r="AC126" s="1179"/>
      <c r="AD126" s="1179"/>
      <c r="AE126" s="1179"/>
      <c r="AF126" s="1179"/>
      <c r="AG126" s="1179"/>
      <c r="AH126" s="1179"/>
      <c r="AI126" s="1179"/>
      <c r="AJ126" s="1179"/>
      <c r="AK126" s="1127"/>
      <c r="AL126" s="1179"/>
      <c r="AM126" s="1179"/>
      <c r="AN126" s="1179"/>
      <c r="AO126" s="2595"/>
      <c r="AP126" s="4380"/>
      <c r="AQ126" s="2595"/>
      <c r="AR126" s="2595"/>
      <c r="AS126" s="2595"/>
      <c r="AT126" s="2595"/>
      <c r="AU126" s="2595"/>
      <c r="AV126" s="2595"/>
      <c r="AW126" s="2595"/>
      <c r="AX126" s="2595"/>
      <c r="AY126" s="42"/>
      <c r="AZ126" s="42"/>
    </row>
    <row r="127" spans="1:52" s="3402" customFormat="1" ht="15" customHeight="1">
      <c r="A127" s="1127"/>
      <c r="B127" s="1179"/>
      <c r="C127" s="1556"/>
      <c r="D127" s="2686"/>
      <c r="E127" s="2944" t="s">
        <v>1275</v>
      </c>
      <c r="F127" s="2686" t="str">
        <f>"You took distributions from a traditional,  SEP,  or  SIMPLE IRA in "&amp;TaxYear</f>
        <v>You took distributions from a traditional,  SEP,  or  SIMPLE IRA in 2021</v>
      </c>
      <c r="G127" s="1179"/>
      <c r="H127" s="1179"/>
      <c r="I127" s="1179"/>
      <c r="J127" s="1179"/>
      <c r="K127" s="1179"/>
      <c r="L127" s="1179"/>
      <c r="M127" s="1179"/>
      <c r="N127" s="1179"/>
      <c r="O127" s="1179"/>
      <c r="P127" s="1179"/>
      <c r="Q127" s="1179"/>
      <c r="R127" s="1179"/>
      <c r="S127" s="1179"/>
      <c r="T127" s="1179"/>
      <c r="U127" s="1179"/>
      <c r="V127" s="1179"/>
      <c r="W127" s="2686" t="s">
        <v>3857</v>
      </c>
      <c r="X127" s="1179"/>
      <c r="Y127" s="1179"/>
      <c r="Z127" s="1179"/>
      <c r="AA127" s="1179"/>
      <c r="AB127" s="1179"/>
      <c r="AC127" s="1179"/>
      <c r="AD127" s="1179"/>
      <c r="AE127" s="1179"/>
      <c r="AF127" s="1179"/>
      <c r="AG127" s="1179"/>
      <c r="AH127" s="1179"/>
      <c r="AI127" s="1179"/>
      <c r="AJ127" s="1179"/>
      <c r="AK127" s="1127"/>
      <c r="AL127" s="1179"/>
      <c r="AM127" s="1179"/>
      <c r="AN127" s="1179"/>
      <c r="AO127" s="2595"/>
      <c r="AP127" s="4380"/>
      <c r="AQ127" s="2595"/>
      <c r="AR127" s="2595"/>
      <c r="AS127" s="2595"/>
      <c r="AT127" s="2595"/>
      <c r="AU127" s="2595"/>
      <c r="AV127" s="2595"/>
      <c r="AW127" s="2595"/>
      <c r="AX127" s="2595"/>
      <c r="AY127" s="42"/>
      <c r="AZ127" s="42"/>
    </row>
    <row r="128" spans="1:52" s="3402" customFormat="1" ht="14.25">
      <c r="A128" s="1127"/>
      <c r="B128" s="1179"/>
      <c r="C128" s="1927"/>
      <c r="D128" s="1179"/>
      <c r="E128" s="1179"/>
      <c r="F128" s="2686" t="str">
        <f>"traditional IRA in "&amp;TaxYear&amp;" or an earlier year. For this purpose, a distribution does not include a rollover (other than a"</f>
        <v>traditional IRA in 2021 or an earlier year. For this purpose, a distribution does not include a rollover (other than a</v>
      </c>
      <c r="G128" s="2686"/>
      <c r="H128" s="1179"/>
      <c r="I128" s="1179"/>
      <c r="J128" s="1179"/>
      <c r="K128" s="1179"/>
      <c r="L128" s="1179"/>
      <c r="M128" s="1179"/>
      <c r="N128" s="1179"/>
      <c r="O128" s="1179"/>
      <c r="P128" s="1179"/>
      <c r="Q128" s="1179"/>
      <c r="R128" s="1179"/>
      <c r="S128" s="1179"/>
      <c r="T128" s="1179"/>
      <c r="U128" s="1179"/>
      <c r="V128" s="1179"/>
      <c r="W128" s="1179"/>
      <c r="X128" s="1179"/>
      <c r="Y128" s="1179"/>
      <c r="Z128" s="1179"/>
      <c r="AA128" s="1179"/>
      <c r="AB128" s="1179"/>
      <c r="AC128" s="1179"/>
      <c r="AD128" s="1179"/>
      <c r="AE128" s="1179"/>
      <c r="AF128" s="1179"/>
      <c r="AG128" s="1179"/>
      <c r="AH128" s="1179"/>
      <c r="AI128" s="1179"/>
      <c r="AJ128" s="1179"/>
      <c r="AK128" s="1127"/>
      <c r="AL128" s="1179"/>
      <c r="AM128" s="1179"/>
      <c r="AN128" s="1179"/>
      <c r="AO128" s="2595"/>
      <c r="AP128" s="2595"/>
      <c r="AQ128" s="2595"/>
      <c r="AR128" s="2595"/>
      <c r="AS128" s="2595"/>
      <c r="AT128" s="2595"/>
      <c r="AU128" s="2595"/>
      <c r="AV128" s="2595"/>
      <c r="AW128" s="2595"/>
      <c r="AX128" s="2595"/>
      <c r="AY128" s="42"/>
      <c r="AZ128" s="42"/>
    </row>
    <row r="129" spans="1:52" s="3402" customFormat="1" ht="14.25">
      <c r="A129" s="1127"/>
      <c r="B129" s="1179"/>
      <c r="C129" s="1927"/>
      <c r="D129" s="1179"/>
      <c r="E129" s="1179"/>
      <c r="F129" s="2686" t="str">
        <f>"repayment of a qualified disaster distribution (see "&amp;TaxYear&amp;" Forms 8915-D and 8915-E)), qualified charitable,"</f>
        <v>repayment of a qualified disaster distribution (see 2021 Forms 8915-D and 8915-E)), qualified charitable,</v>
      </c>
      <c r="G129" s="2686"/>
      <c r="H129" s="1179"/>
      <c r="I129" s="1179"/>
      <c r="J129" s="1179"/>
      <c r="K129" s="1179"/>
      <c r="L129" s="1179"/>
      <c r="M129" s="1179"/>
      <c r="N129" s="1179"/>
      <c r="O129" s="1179"/>
      <c r="P129" s="1179"/>
      <c r="Q129" s="1179"/>
      <c r="R129" s="1179"/>
      <c r="S129" s="1179"/>
      <c r="T129" s="1179"/>
      <c r="U129" s="1179"/>
      <c r="V129" s="1179"/>
      <c r="W129" s="1179"/>
      <c r="X129" s="1179"/>
      <c r="Y129" s="1179"/>
      <c r="Z129" s="1179"/>
      <c r="AA129" s="1179"/>
      <c r="AB129" s="1179"/>
      <c r="AC129" s="1179"/>
      <c r="AD129" s="1179"/>
      <c r="AE129" s="1179"/>
      <c r="AF129" s="1179"/>
      <c r="AG129" s="1179"/>
      <c r="AH129" s="1179"/>
      <c r="AI129" s="1179"/>
      <c r="AJ129" s="1179"/>
      <c r="AK129" s="1127"/>
      <c r="AL129" s="1179"/>
      <c r="AM129" s="1179"/>
      <c r="AN129" s="1179"/>
      <c r="AO129" s="2595"/>
      <c r="AP129" s="2595"/>
      <c r="AQ129" s="2595"/>
      <c r="AR129" s="2595"/>
      <c r="AS129" s="2595"/>
      <c r="AT129" s="2595"/>
      <c r="AU129" s="2595"/>
      <c r="AV129" s="2595"/>
      <c r="AW129" s="2595"/>
      <c r="AX129" s="2595"/>
      <c r="AY129" s="42"/>
      <c r="AZ129" s="42"/>
    </row>
    <row r="130" spans="1:52" s="3402" customFormat="1" ht="14.25">
      <c r="A130" s="1127"/>
      <c r="B130" s="1179"/>
      <c r="C130" s="1927"/>
      <c r="D130" s="1179"/>
      <c r="E130" s="1179"/>
      <c r="F130" s="2686" t="s">
        <v>3793</v>
      </c>
      <c r="G130" s="2686"/>
      <c r="H130" s="1179"/>
      <c r="I130" s="1179"/>
      <c r="J130" s="1179"/>
      <c r="K130" s="1179"/>
      <c r="L130" s="1179"/>
      <c r="M130" s="1179"/>
      <c r="N130" s="1179"/>
      <c r="O130" s="1179"/>
      <c r="P130" s="1179"/>
      <c r="Q130" s="1179"/>
      <c r="R130" s="1179"/>
      <c r="S130" s="1179"/>
      <c r="T130" s="1179"/>
      <c r="U130" s="1179"/>
      <c r="V130" s="1179"/>
      <c r="W130" s="1179"/>
      <c r="X130" s="1179"/>
      <c r="Y130" s="1179"/>
      <c r="Z130" s="1179"/>
      <c r="AA130" s="1179"/>
      <c r="AB130" s="1179"/>
      <c r="AC130" s="1179"/>
      <c r="AD130" s="1179"/>
      <c r="AE130" s="1179"/>
      <c r="AF130" s="1179"/>
      <c r="AG130" s="1179"/>
      <c r="AH130" s="1179"/>
      <c r="AI130" s="1179"/>
      <c r="AJ130" s="1179"/>
      <c r="AK130" s="1127"/>
      <c r="AL130" s="1179"/>
      <c r="AM130" s="1179"/>
      <c r="AN130" s="1179"/>
      <c r="AO130" s="2595"/>
      <c r="AP130" s="2595"/>
      <c r="AQ130" s="2595"/>
      <c r="AR130" s="2595"/>
      <c r="AS130" s="2595"/>
      <c r="AT130" s="2595"/>
      <c r="AU130" s="2595"/>
      <c r="AV130" s="2595"/>
      <c r="AW130" s="2595"/>
      <c r="AX130" s="2595"/>
      <c r="AY130" s="42"/>
      <c r="AZ130" s="42"/>
    </row>
    <row r="131" spans="1:52" s="3402" customFormat="1" ht="16.5" customHeight="1">
      <c r="A131" s="1127"/>
      <c r="B131" s="1179"/>
      <c r="C131" s="1927"/>
      <c r="D131" s="1179"/>
      <c r="E131" s="2944" t="s">
        <v>1275</v>
      </c>
      <c r="F131" s="2686" t="str">
        <f>"You converted part, but not all, of your traditional, SEP, and SIMPLE IRAs to Roth IRAs in "&amp;TaxYear</f>
        <v>You converted part, but not all, of your traditional, SEP, and SIMPLE IRAs to Roth IRAs in 2021</v>
      </c>
      <c r="G131" s="2686"/>
      <c r="H131" s="1179"/>
      <c r="I131" s="1179"/>
      <c r="J131" s="1179"/>
      <c r="K131" s="1179"/>
      <c r="L131" s="1179"/>
      <c r="M131" s="1179"/>
      <c r="N131" s="1179"/>
      <c r="O131" s="1179"/>
      <c r="P131" s="1179"/>
      <c r="Q131" s="1179"/>
      <c r="R131" s="1179"/>
      <c r="S131" s="1179"/>
      <c r="T131" s="1179"/>
      <c r="U131" s="1179"/>
      <c r="V131" s="1179"/>
      <c r="W131" s="1179"/>
      <c r="X131" s="1179"/>
      <c r="Y131" s="1179"/>
      <c r="Z131" s="1179"/>
      <c r="AA131" s="1179"/>
      <c r="AB131" s="1179"/>
      <c r="AC131" s="2686" t="s">
        <v>3858</v>
      </c>
      <c r="AD131" s="1179"/>
      <c r="AE131" s="1179"/>
      <c r="AF131" s="1179"/>
      <c r="AG131" s="1179"/>
      <c r="AH131" s="1179"/>
      <c r="AI131" s="1179"/>
      <c r="AJ131" s="1179"/>
      <c r="AK131" s="1127"/>
      <c r="AL131" s="1179"/>
      <c r="AM131" s="1179"/>
      <c r="AN131" s="1179"/>
      <c r="AO131" s="2595"/>
      <c r="AP131" s="2595"/>
      <c r="AQ131" s="2595"/>
      <c r="AR131" s="2595"/>
      <c r="AS131" s="2595"/>
      <c r="AT131" s="2595"/>
      <c r="AU131" s="2595"/>
      <c r="AV131" s="2595"/>
      <c r="AW131" s="2595"/>
      <c r="AX131" s="2595"/>
      <c r="AY131" s="42"/>
      <c r="AZ131" s="42"/>
    </row>
    <row r="132" spans="1:52" s="3402" customFormat="1" ht="14.25">
      <c r="A132" s="1127"/>
      <c r="B132" s="1553"/>
      <c r="C132" s="4462"/>
      <c r="D132" s="1553"/>
      <c r="E132" s="1553"/>
      <c r="F132" s="2791" t="str">
        <f>"nondeductible contributions to a traditional IRA in "&amp;TaxYear&amp;" or an earlier year."</f>
        <v>nondeductible contributions to a traditional IRA in 2021 or an earlier year.</v>
      </c>
      <c r="G132" s="2791"/>
      <c r="H132" s="1553"/>
      <c r="I132" s="1553"/>
      <c r="J132" s="1553"/>
      <c r="K132" s="1553"/>
      <c r="L132" s="1553"/>
      <c r="M132" s="1553"/>
      <c r="N132" s="1553"/>
      <c r="O132" s="1553"/>
      <c r="P132" s="1553"/>
      <c r="Q132" s="1553"/>
      <c r="R132" s="1553"/>
      <c r="S132" s="1553"/>
      <c r="T132" s="1553"/>
      <c r="U132" s="1553"/>
      <c r="V132" s="1553"/>
      <c r="W132" s="1553"/>
      <c r="X132" s="1553"/>
      <c r="Y132" s="1553"/>
      <c r="Z132" s="1553"/>
      <c r="AA132" s="1553"/>
      <c r="AB132" s="1553"/>
      <c r="AC132" s="1553"/>
      <c r="AD132" s="1553"/>
      <c r="AE132" s="1553"/>
      <c r="AF132" s="1553"/>
      <c r="AG132" s="1553"/>
      <c r="AH132" s="1553"/>
      <c r="AI132" s="1553"/>
      <c r="AJ132" s="1553"/>
      <c r="AK132" s="1127"/>
      <c r="AL132" s="1179"/>
      <c r="AM132" s="1179"/>
      <c r="AN132" s="1179"/>
      <c r="AO132" s="2595"/>
      <c r="AP132" s="2595"/>
      <c r="AQ132" s="2595"/>
      <c r="AR132" s="2595"/>
      <c r="AS132" s="2595"/>
      <c r="AT132" s="2595"/>
      <c r="AU132" s="2595"/>
      <c r="AV132" s="2595"/>
      <c r="AW132" s="2595"/>
      <c r="AX132" s="2595"/>
      <c r="AY132" s="42"/>
      <c r="AZ132" s="42"/>
    </row>
    <row r="133" spans="1:52" s="3402" customFormat="1" ht="15.75">
      <c r="A133" s="1127"/>
      <c r="B133" s="1179"/>
      <c r="C133" s="4507" t="s">
        <v>148</v>
      </c>
      <c r="D133" s="2686" t="str">
        <f>"Enter your nondeductible contributions to traditional IRAs for "&amp;TaxYear&amp;", including those made for "&amp;TaxYear</f>
        <v>Enter your nondeductible contributions to traditional IRAs for 2021, including those made for 2021</v>
      </c>
      <c r="E133" s="1179"/>
      <c r="F133" s="2686"/>
      <c r="G133" s="2686"/>
      <c r="H133" s="1179"/>
      <c r="I133" s="1179"/>
      <c r="J133" s="1179"/>
      <c r="K133" s="1179"/>
      <c r="L133" s="1179"/>
      <c r="M133" s="1179"/>
      <c r="N133" s="1179"/>
      <c r="O133" s="1179"/>
      <c r="P133" s="1179"/>
      <c r="Q133" s="1179"/>
      <c r="R133" s="1179"/>
      <c r="S133" s="1179"/>
      <c r="T133" s="1179"/>
      <c r="U133" s="1179"/>
      <c r="V133" s="1179"/>
      <c r="W133" s="1179"/>
      <c r="X133" s="1179"/>
      <c r="Y133" s="1179"/>
      <c r="Z133" s="1179"/>
      <c r="AA133" s="1179"/>
      <c r="AB133" s="1179"/>
      <c r="AC133" s="1179"/>
      <c r="AD133" s="1558"/>
      <c r="AE133" s="9124"/>
      <c r="AF133" s="9125"/>
      <c r="AG133" s="9125"/>
      <c r="AH133" s="9125"/>
      <c r="AI133" s="9125"/>
      <c r="AJ133" s="9125"/>
      <c r="AK133" s="1127"/>
      <c r="AL133" s="1179"/>
      <c r="AM133" s="1179"/>
      <c r="AN133" s="1179"/>
      <c r="AO133" s="2595"/>
      <c r="AP133" s="2595"/>
      <c r="AQ133" s="2595"/>
      <c r="AR133" s="2595"/>
      <c r="AS133" s="2595"/>
      <c r="AT133" s="2595"/>
      <c r="AU133" s="2595"/>
      <c r="AV133" s="2595"/>
      <c r="AW133" s="2595"/>
      <c r="AX133" s="2595"/>
      <c r="AY133" s="42"/>
      <c r="AZ133" s="42"/>
    </row>
    <row r="134" spans="1:52" s="3402" customFormat="1" ht="15" customHeight="1">
      <c r="A134" s="1127"/>
      <c r="B134" s="1179"/>
      <c r="C134" s="3838"/>
      <c r="D134" s="2686" t="str">
        <f>"from January 1, "&amp;TaxYear+1&amp;", through "&amp;TEXT(TaxDay,"mmmm dd")&amp;", "&amp;TaxYear+1&amp;". See instructions"</f>
        <v>from January 1, 2022, through April 18, 2022. See instructions</v>
      </c>
      <c r="E134" s="1179"/>
      <c r="F134" s="1179"/>
      <c r="G134" s="1179"/>
      <c r="H134" s="1179"/>
      <c r="I134" s="1179"/>
      <c r="J134" s="1179"/>
      <c r="K134" s="1179"/>
      <c r="L134" s="1179"/>
      <c r="M134" s="1179"/>
      <c r="N134" s="1179"/>
      <c r="O134" s="1179"/>
      <c r="P134" s="1179"/>
      <c r="Q134" s="1179"/>
      <c r="R134" s="1179"/>
      <c r="S134" s="1179"/>
      <c r="T134" s="1179"/>
      <c r="U134" s="1179"/>
      <c r="V134" s="1179"/>
      <c r="W134" s="1179"/>
      <c r="X134" s="1179"/>
      <c r="Y134" s="1179"/>
      <c r="Z134" s="1179"/>
      <c r="AA134" s="1179"/>
      <c r="AB134" s="1179"/>
      <c r="AC134" s="4099" t="s">
        <v>374</v>
      </c>
      <c r="AD134" s="1557">
        <v>1</v>
      </c>
      <c r="AE134" s="9122"/>
      <c r="AF134" s="9123"/>
      <c r="AG134" s="9123"/>
      <c r="AH134" s="9123"/>
      <c r="AI134" s="9123"/>
      <c r="AJ134" s="9123"/>
      <c r="AK134" s="1127"/>
      <c r="AL134" s="1179"/>
      <c r="AM134" s="1284" t="b">
        <f>AND(AE134="",AE135="")</f>
        <v>1</v>
      </c>
      <c r="AN134" s="1179"/>
      <c r="AO134" s="2595"/>
      <c r="AP134" s="2595"/>
      <c r="AQ134" s="2595"/>
      <c r="AR134" s="2595"/>
      <c r="AS134" s="2595"/>
      <c r="AT134" s="2595"/>
      <c r="AU134" s="2595"/>
      <c r="AV134" s="2595"/>
      <c r="AW134" s="2595"/>
      <c r="AX134" s="2595"/>
      <c r="AY134" s="42"/>
      <c r="AZ134" s="42"/>
    </row>
    <row r="135" spans="1:52" s="3402" customFormat="1" ht="15.75" customHeight="1" thickBot="1">
      <c r="A135" s="1127"/>
      <c r="B135" s="1179"/>
      <c r="C135" s="4507" t="s">
        <v>149</v>
      </c>
      <c r="D135" s="2686" t="s">
        <v>3794</v>
      </c>
      <c r="E135" s="1179"/>
      <c r="F135" s="1179"/>
      <c r="G135" s="1179"/>
      <c r="H135" s="1179"/>
      <c r="I135" s="1179"/>
      <c r="J135" s="1179"/>
      <c r="K135" s="1179"/>
      <c r="L135" s="1179"/>
      <c r="M135" s="1179"/>
      <c r="N135" s="1179"/>
      <c r="O135" s="1179"/>
      <c r="P135" s="1179"/>
      <c r="Q135" s="1179"/>
      <c r="R135" s="1179"/>
      <c r="S135" s="1179"/>
      <c r="T135" s="1179"/>
      <c r="U135" s="1179"/>
      <c r="V135" s="1179"/>
      <c r="W135" s="1179"/>
      <c r="X135" s="1179"/>
      <c r="Y135" s="1179"/>
      <c r="Z135" s="1179"/>
      <c r="AA135" s="1179"/>
      <c r="AB135" s="1179"/>
      <c r="AC135" s="4099" t="s">
        <v>567</v>
      </c>
      <c r="AD135" s="1557">
        <v>2</v>
      </c>
      <c r="AE135" s="9122"/>
      <c r="AF135" s="9123"/>
      <c r="AG135" s="9123"/>
      <c r="AH135" s="9123"/>
      <c r="AI135" s="9123"/>
      <c r="AJ135" s="9123"/>
      <c r="AK135" s="1127"/>
      <c r="AL135" s="1824"/>
      <c r="AM135" s="4281" t="b">
        <f>NOT(AM134)</f>
        <v>0</v>
      </c>
      <c r="AN135" s="1179"/>
      <c r="AO135" s="2595"/>
      <c r="AP135" s="2595"/>
      <c r="AQ135" s="2595"/>
      <c r="AR135" s="2595"/>
      <c r="AS135" s="2595"/>
      <c r="AT135" s="2595"/>
      <c r="AU135" s="2595"/>
      <c r="AV135" s="2595"/>
      <c r="AW135" s="2595"/>
      <c r="AX135" s="2595"/>
      <c r="AY135" s="42"/>
      <c r="AZ135" s="42"/>
    </row>
    <row r="136" spans="1:52" s="3402" customFormat="1" ht="15" customHeight="1" thickBot="1">
      <c r="A136" s="1127"/>
      <c r="B136" s="1179"/>
      <c r="C136" s="4507" t="s">
        <v>150</v>
      </c>
      <c r="D136" s="2686" t="s">
        <v>2103</v>
      </c>
      <c r="E136" s="1179"/>
      <c r="F136" s="1179"/>
      <c r="G136" s="1179"/>
      <c r="H136" s="1179"/>
      <c r="I136" s="1179"/>
      <c r="J136" s="1179"/>
      <c r="K136" s="1179"/>
      <c r="L136" s="1179"/>
      <c r="M136" s="1179"/>
      <c r="N136" s="1179"/>
      <c r="O136" s="1179"/>
      <c r="P136" s="1179"/>
      <c r="Q136" s="1179"/>
      <c r="R136" s="1179"/>
      <c r="S136" s="1179"/>
      <c r="T136" s="1179"/>
      <c r="U136" s="1179"/>
      <c r="V136" s="1179"/>
      <c r="W136" s="1179"/>
      <c r="X136" s="1179"/>
      <c r="Y136" s="1179"/>
      <c r="Z136" s="1179"/>
      <c r="AA136" s="1179"/>
      <c r="AB136" s="1179"/>
      <c r="AC136" s="4099" t="s">
        <v>575</v>
      </c>
      <c r="AD136" s="1557">
        <v>3</v>
      </c>
      <c r="AE136" s="9126" t="str">
        <f>IF(AM134,"",SUM(AE134:AE135))</f>
        <v/>
      </c>
      <c r="AF136" s="9127"/>
      <c r="AG136" s="9127"/>
      <c r="AH136" s="9127"/>
      <c r="AI136" s="9127"/>
      <c r="AJ136" s="9127"/>
      <c r="AK136" s="1127"/>
      <c r="AL136" s="4448"/>
      <c r="AM136" s="1925" t="str">
        <f>IF(OR(AL136&lt;&gt;"",AND(AL140="",NOT(AM138))),"Override 'No.'","")</f>
        <v/>
      </c>
      <c r="AN136" s="1179"/>
      <c r="AO136" s="2595"/>
      <c r="AP136" s="2595"/>
      <c r="AQ136" s="2595"/>
      <c r="AR136" s="2595"/>
      <c r="AS136" s="2595"/>
      <c r="AT136" s="2595"/>
      <c r="AU136" s="2595"/>
      <c r="AV136" s="2595"/>
      <c r="AW136" s="2595"/>
      <c r="AX136" s="2595"/>
      <c r="AY136" s="42"/>
      <c r="AZ136" s="42"/>
    </row>
    <row r="137" spans="1:52" s="3402" customFormat="1" ht="17.25" customHeight="1" thickBot="1">
      <c r="A137" s="1127"/>
      <c r="B137" s="1179"/>
      <c r="C137" s="4507"/>
      <c r="D137" s="4457" t="str">
        <f>"In "&amp;TaxYear&amp;", did you take a distribution"</f>
        <v>In 2021, did you take a distribution</v>
      </c>
      <c r="E137" s="4454"/>
      <c r="F137" s="4454"/>
      <c r="G137" s="4454"/>
      <c r="H137" s="4454"/>
      <c r="I137" s="4454"/>
      <c r="J137" s="4454"/>
      <c r="K137" s="4454"/>
      <c r="L137" s="4454"/>
      <c r="M137" s="4458"/>
      <c r="N137" s="1279"/>
      <c r="O137" s="1280"/>
      <c r="P137" s="7856" t="s">
        <v>272</v>
      </c>
      <c r="Q137" s="7856"/>
      <c r="R137" s="1280"/>
      <c r="S137" s="1280"/>
      <c r="T137" s="1276" t="s">
        <v>5456</v>
      </c>
      <c r="U137" s="1179"/>
      <c r="V137" s="1179"/>
      <c r="W137" s="1179"/>
      <c r="X137" s="1179"/>
      <c r="Y137" s="1179"/>
      <c r="Z137" s="1179"/>
      <c r="AA137" s="1179"/>
      <c r="AB137" s="1179"/>
      <c r="AC137" s="1179"/>
      <c r="AD137" s="1561"/>
      <c r="AE137" s="1284"/>
      <c r="AF137" s="1284"/>
      <c r="AG137" s="1284"/>
      <c r="AH137" s="1284"/>
      <c r="AI137" s="1284"/>
      <c r="AJ137" s="1284"/>
      <c r="AK137" s="1127"/>
      <c r="AL137" s="1860" t="str">
        <f>IF(AL140&lt;&gt;"","",IF(AL136&lt;&gt;"","X",IF(OR(AND(AL115&lt;&gt;"",OR('1099-R'!$M$4&gt;0,IRA_CONV_YOU&gt;0)),AND(AL116&lt;&gt;"",OR('1099-R'!$M$31&gt;0,IRA_CONV_SPOUSE&gt;0))),"","X")))</f>
        <v>X</v>
      </c>
      <c r="AM137" s="1925" t="s">
        <v>414</v>
      </c>
      <c r="AN137" s="1179"/>
      <c r="AO137" s="2595"/>
      <c r="AP137" s="2595"/>
      <c r="AQ137" s="2595"/>
      <c r="AR137" s="2595"/>
      <c r="AS137" s="2595"/>
      <c r="AT137" s="2595"/>
      <c r="AU137" s="2595"/>
      <c r="AV137" s="2595"/>
      <c r="AW137" s="2595"/>
      <c r="AX137" s="2595"/>
      <c r="AY137" s="42"/>
      <c r="AZ137" s="42"/>
    </row>
    <row r="138" spans="1:52" s="3402" customFormat="1" ht="12" customHeight="1" thickBot="1">
      <c r="A138" s="1127"/>
      <c r="B138" s="1179"/>
      <c r="C138" s="3838"/>
      <c r="D138" s="4459" t="s">
        <v>5453</v>
      </c>
      <c r="E138" s="1577"/>
      <c r="F138" s="1283"/>
      <c r="G138" s="1283"/>
      <c r="H138" s="1283"/>
      <c r="I138" s="1283"/>
      <c r="J138" s="1283"/>
      <c r="K138" s="1283"/>
      <c r="L138" s="1283"/>
      <c r="M138" s="4460"/>
      <c r="N138" s="1179"/>
      <c r="O138" s="1179"/>
      <c r="P138" s="7856"/>
      <c r="Q138" s="7856"/>
      <c r="R138" s="1179"/>
      <c r="S138" s="1179"/>
      <c r="T138" s="3355" t="s">
        <v>5457</v>
      </c>
      <c r="U138" s="1179"/>
      <c r="V138" s="1179"/>
      <c r="W138" s="1560"/>
      <c r="X138" s="1179"/>
      <c r="Y138" s="1179"/>
      <c r="Z138" s="1179"/>
      <c r="AA138" s="1179"/>
      <c r="AB138" s="1179"/>
      <c r="AC138" s="1179"/>
      <c r="AD138" s="1561"/>
      <c r="AE138" s="1284"/>
      <c r="AF138" s="1284"/>
      <c r="AG138" s="1284"/>
      <c r="AH138" s="1284"/>
      <c r="AI138" s="1284"/>
      <c r="AJ138" s="1284"/>
      <c r="AK138" s="1127"/>
      <c r="AL138" s="1824"/>
      <c r="AM138" s="4281" t="b">
        <f>(AL137&lt;&gt;"")</f>
        <v>1</v>
      </c>
      <c r="AN138" s="1179"/>
      <c r="AO138" s="2595"/>
      <c r="AP138" s="2595"/>
      <c r="AQ138" s="2595"/>
      <c r="AR138" s="2595"/>
      <c r="AS138" s="2595"/>
      <c r="AT138" s="2595"/>
      <c r="AU138" s="2595"/>
      <c r="AV138" s="2595"/>
      <c r="AW138" s="2595"/>
      <c r="AX138" s="2595"/>
      <c r="AY138" s="42"/>
      <c r="AZ138" s="42"/>
    </row>
    <row r="139" spans="1:52" s="3402" customFormat="1" ht="11.25" customHeight="1" thickBot="1">
      <c r="A139" s="1127"/>
      <c r="B139" s="1179"/>
      <c r="C139" s="3838"/>
      <c r="D139" s="9128" t="s">
        <v>3797</v>
      </c>
      <c r="E139" s="9129"/>
      <c r="F139" s="9129"/>
      <c r="G139" s="9129"/>
      <c r="H139" s="9129"/>
      <c r="I139" s="9129"/>
      <c r="J139" s="9129"/>
      <c r="K139" s="9129"/>
      <c r="L139" s="9129"/>
      <c r="M139" s="9130"/>
      <c r="N139" s="1179"/>
      <c r="O139" s="1179"/>
      <c r="P139" s="7638" t="s">
        <v>271</v>
      </c>
      <c r="Q139" s="7638"/>
      <c r="R139" s="1179"/>
      <c r="S139" s="1179"/>
      <c r="T139" s="9134" t="s">
        <v>3795</v>
      </c>
      <c r="U139" s="9134"/>
      <c r="V139" s="9134"/>
      <c r="W139" s="9134"/>
      <c r="X139" s="9134"/>
      <c r="Y139" s="9134"/>
      <c r="Z139" s="9134"/>
      <c r="AA139" s="9134"/>
      <c r="AB139" s="9134"/>
      <c r="AC139" s="9135"/>
      <c r="AD139" s="1561"/>
      <c r="AE139" s="1284"/>
      <c r="AF139" s="1284"/>
      <c r="AG139" s="1284"/>
      <c r="AH139" s="1284"/>
      <c r="AI139" s="1284"/>
      <c r="AJ139" s="1284"/>
      <c r="AK139" s="1127"/>
      <c r="AL139" s="1860" t="str">
        <f>IF(AL140&lt;&gt;"","X",IF(AM138,"","X"))</f>
        <v/>
      </c>
      <c r="AM139" s="1925" t="s">
        <v>416</v>
      </c>
      <c r="AN139" s="1179"/>
      <c r="AO139" s="2595"/>
      <c r="AP139" s="2595"/>
      <c r="AQ139" s="2595"/>
      <c r="AR139" s="2595"/>
      <c r="AS139" s="2595"/>
      <c r="AT139" s="2595"/>
      <c r="AU139" s="2595"/>
      <c r="AV139" s="2595"/>
      <c r="AW139" s="2595"/>
      <c r="AX139" s="2595"/>
      <c r="AY139" s="42"/>
      <c r="AZ139" s="42"/>
    </row>
    <row r="140" spans="1:52" s="3402" customFormat="1" ht="10.5" customHeight="1" thickBot="1">
      <c r="A140" s="1127"/>
      <c r="B140" s="1179"/>
      <c r="C140" s="3838"/>
      <c r="D140" s="9131"/>
      <c r="E140" s="9132"/>
      <c r="F140" s="9132"/>
      <c r="G140" s="9132"/>
      <c r="H140" s="9132"/>
      <c r="I140" s="9132"/>
      <c r="J140" s="9132"/>
      <c r="K140" s="9132"/>
      <c r="L140" s="9132"/>
      <c r="M140" s="9133"/>
      <c r="N140" s="1273"/>
      <c r="O140" s="1274"/>
      <c r="P140" s="7638"/>
      <c r="Q140" s="7638"/>
      <c r="R140" s="1274"/>
      <c r="S140" s="1274"/>
      <c r="T140" s="9134"/>
      <c r="U140" s="9134"/>
      <c r="V140" s="9134"/>
      <c r="W140" s="9134"/>
      <c r="X140" s="9134"/>
      <c r="Y140" s="9134"/>
      <c r="Z140" s="9134"/>
      <c r="AA140" s="9134"/>
      <c r="AB140" s="9134"/>
      <c r="AC140" s="9135"/>
      <c r="AD140" s="1561"/>
      <c r="AE140" s="1284"/>
      <c r="AF140" s="1284"/>
      <c r="AG140" s="1284"/>
      <c r="AH140" s="1284"/>
      <c r="AI140" s="1284"/>
      <c r="AJ140" s="1284"/>
      <c r="AK140" s="1127"/>
      <c r="AL140" s="4448"/>
      <c r="AM140" s="1925" t="str">
        <f>IF(AND(AL136="",OR(AL140&lt;&gt;"",AM138)),"Override 'Yes.'","")</f>
        <v>Override 'Yes.'</v>
      </c>
      <c r="AN140" s="1179"/>
      <c r="AO140" s="2595"/>
      <c r="AP140" s="2595"/>
      <c r="AQ140" s="2595"/>
      <c r="AR140" s="2595"/>
      <c r="AS140" s="2595"/>
      <c r="AT140" s="2595"/>
      <c r="AU140" s="2595"/>
      <c r="AV140" s="2595"/>
      <c r="AW140" s="2595"/>
      <c r="AX140" s="2595"/>
      <c r="AY140" s="42"/>
      <c r="AZ140" s="42"/>
    </row>
    <row r="141" spans="1:52" s="3402" customFormat="1" ht="15" customHeight="1">
      <c r="A141" s="1127"/>
      <c r="B141" s="1179"/>
      <c r="C141" s="4507" t="s">
        <v>151</v>
      </c>
      <c r="D141" s="2686" t="str">
        <f>"Enter those contributions included on line 1 that were made from January 1, "&amp;TaxYear+1&amp;", through "&amp;TEXT(TaxDay,"mmmm dd")&amp;", "&amp;TaxYear+1</f>
        <v>Enter those contributions included on line 1 that were made from January 1, 2022, through April 18, 2022</v>
      </c>
      <c r="E141" s="2686"/>
      <c r="F141" s="1179"/>
      <c r="G141" s="1179"/>
      <c r="H141" s="1179"/>
      <c r="I141" s="1179"/>
      <c r="J141" s="1179"/>
      <c r="K141" s="1179"/>
      <c r="L141" s="1179"/>
      <c r="M141" s="1179"/>
      <c r="N141" s="1179"/>
      <c r="O141" s="1179"/>
      <c r="P141" s="1179"/>
      <c r="Q141" s="1179"/>
      <c r="R141" s="1179"/>
      <c r="S141" s="1179"/>
      <c r="T141" s="1179"/>
      <c r="U141" s="1179"/>
      <c r="V141" s="1179"/>
      <c r="W141" s="1560"/>
      <c r="X141" s="1179"/>
      <c r="Y141" s="1179"/>
      <c r="Z141" s="1179"/>
      <c r="AA141" s="1179"/>
      <c r="AB141" s="1179"/>
      <c r="AC141" s="1179"/>
      <c r="AD141" s="1557">
        <v>4</v>
      </c>
      <c r="AE141" s="9122"/>
      <c r="AF141" s="9123"/>
      <c r="AG141" s="9123"/>
      <c r="AH141" s="9123"/>
      <c r="AI141" s="9123"/>
      <c r="AJ141" s="9123"/>
      <c r="AK141" s="1127"/>
      <c r="AL141" s="1824"/>
      <c r="AM141" s="1824"/>
      <c r="AN141" s="1179"/>
      <c r="AO141" s="2595"/>
      <c r="AP141" s="2595"/>
      <c r="AQ141" s="2595"/>
      <c r="AR141" s="2595"/>
      <c r="AS141" s="2595"/>
      <c r="AT141" s="2595"/>
      <c r="AU141" s="2595"/>
      <c r="AV141" s="2595"/>
      <c r="AW141" s="2595"/>
      <c r="AX141" s="2595"/>
      <c r="AY141" s="42"/>
      <c r="AZ141" s="42"/>
    </row>
    <row r="142" spans="1:52" s="3402" customFormat="1" ht="15.75" customHeight="1">
      <c r="A142" s="1127"/>
      <c r="B142" s="1179"/>
      <c r="C142" s="4507" t="s">
        <v>200</v>
      </c>
      <c r="D142" s="2686" t="s">
        <v>2648</v>
      </c>
      <c r="E142" s="1179"/>
      <c r="F142" s="1179"/>
      <c r="G142" s="1179"/>
      <c r="H142" s="1179"/>
      <c r="I142" s="1179"/>
      <c r="J142" s="1179"/>
      <c r="K142" s="1179"/>
      <c r="L142" s="1179"/>
      <c r="M142" s="1179"/>
      <c r="N142" s="1179"/>
      <c r="O142" s="1179"/>
      <c r="P142" s="1179"/>
      <c r="Q142" s="1179"/>
      <c r="R142" s="1179"/>
      <c r="S142" s="1179"/>
      <c r="T142" s="1179"/>
      <c r="U142" s="1179"/>
      <c r="V142" s="1179"/>
      <c r="W142" s="1179"/>
      <c r="X142" s="1179"/>
      <c r="Y142" s="1179"/>
      <c r="Z142" s="1179"/>
      <c r="AA142" s="1179"/>
      <c r="AB142" s="1179"/>
      <c r="AC142" s="4099" t="s">
        <v>2969</v>
      </c>
      <c r="AD142" s="1557">
        <v>5</v>
      </c>
      <c r="AE142" s="9126" t="str">
        <f>IF(AM134,"",IF(AM138,"",MAX(0,SUM(AE136,-ROUND(AE141,0)))))</f>
        <v/>
      </c>
      <c r="AF142" s="9127"/>
      <c r="AG142" s="9127"/>
      <c r="AH142" s="9127"/>
      <c r="AI142" s="9127"/>
      <c r="AJ142" s="9127"/>
      <c r="AK142" s="1127"/>
      <c r="AL142" s="4734"/>
      <c r="AM142" s="1179"/>
      <c r="AN142" s="1179"/>
      <c r="AO142" s="2595"/>
      <c r="AP142" s="2595"/>
      <c r="AQ142" s="2595"/>
      <c r="AR142" s="2595"/>
      <c r="AS142" s="2595"/>
      <c r="AT142" s="2595"/>
      <c r="AU142" s="2595"/>
      <c r="AV142" s="2595"/>
      <c r="AW142" s="2595"/>
      <c r="AX142" s="2595"/>
      <c r="AY142" s="42"/>
      <c r="AZ142" s="42"/>
    </row>
    <row r="143" spans="1:52" s="3402" customFormat="1" ht="15" customHeight="1">
      <c r="A143" s="1127"/>
      <c r="B143" s="1179"/>
      <c r="C143" s="4507" t="s">
        <v>101</v>
      </c>
      <c r="D143" s="2686" t="s">
        <v>3853</v>
      </c>
      <c r="E143" s="1179"/>
      <c r="F143" s="1179"/>
      <c r="G143" s="1179"/>
      <c r="H143" s="1179"/>
      <c r="I143" s="1179"/>
      <c r="J143" s="1179"/>
      <c r="K143" s="1179"/>
      <c r="L143" s="1179"/>
      <c r="M143" s="1179"/>
      <c r="N143" s="1179"/>
      <c r="O143" s="1179"/>
      <c r="P143" s="1179"/>
      <c r="Q143" s="1179"/>
      <c r="R143" s="1179"/>
      <c r="S143" s="1179"/>
      <c r="T143" s="1179"/>
      <c r="U143" s="1179"/>
      <c r="V143" s="1179"/>
      <c r="W143" s="1558"/>
      <c r="X143" s="1179"/>
      <c r="Y143" s="1179"/>
      <c r="Z143" s="1179"/>
      <c r="AA143" s="1179"/>
      <c r="AB143" s="1179"/>
      <c r="AC143" s="1179"/>
      <c r="AD143" s="1561"/>
      <c r="AE143" s="4269"/>
      <c r="AF143" s="1284"/>
      <c r="AG143" s="1284"/>
      <c r="AH143" s="1284"/>
      <c r="AI143" s="1284"/>
      <c r="AJ143" s="1284"/>
      <c r="AK143" s="1127"/>
      <c r="AL143" s="4450" t="str">
        <f>IF(AND(OR(AE141&lt;&gt;"",SUM(AL145,AL153,AL154,AL166)&gt;0),AM138)," Do not complete the","")</f>
        <v/>
      </c>
      <c r="AM143" s="1824"/>
      <c r="AN143" s="1179"/>
      <c r="AO143" s="2595"/>
      <c r="AP143" s="2595"/>
      <c r="AQ143" s="2595"/>
      <c r="AR143" s="2595"/>
      <c r="AS143" s="2595"/>
      <c r="AT143" s="2595"/>
      <c r="AU143" s="2595"/>
      <c r="AV143" s="2595"/>
      <c r="AW143" s="2595"/>
      <c r="AX143" s="2595"/>
      <c r="AY143" s="42"/>
      <c r="AZ143" s="42"/>
    </row>
    <row r="144" spans="1:52" s="3402" customFormat="1" ht="15" customHeight="1">
      <c r="A144" s="1127"/>
      <c r="B144" s="1179"/>
      <c r="C144" s="3838"/>
      <c r="D144" s="2686" t="str">
        <f>"31, "&amp;TaxYear&amp;", plus any outstanding rollovers. Subtract any repayments of qualified"</f>
        <v>31, 2021, plus any outstanding rollovers. Subtract any repayments of qualified</v>
      </c>
      <c r="E144" s="1179"/>
      <c r="F144" s="1179"/>
      <c r="G144" s="1179"/>
      <c r="H144" s="1179"/>
      <c r="I144" s="1179"/>
      <c r="J144" s="1179"/>
      <c r="K144" s="1179"/>
      <c r="L144" s="1179"/>
      <c r="M144" s="1179"/>
      <c r="N144" s="1179"/>
      <c r="O144" s="1179"/>
      <c r="P144" s="1179"/>
      <c r="Q144" s="1179"/>
      <c r="R144" s="1179"/>
      <c r="S144" s="1179"/>
      <c r="T144" s="1179"/>
      <c r="U144" s="1179"/>
      <c r="V144" s="1179"/>
      <c r="W144" s="1558"/>
      <c r="X144" s="1179"/>
      <c r="Y144" s="1179"/>
      <c r="Z144" s="1179"/>
      <c r="AA144" s="1179"/>
      <c r="AB144" s="1179"/>
      <c r="AC144" s="1179"/>
      <c r="AD144" s="1561"/>
      <c r="AE144" s="4269"/>
      <c r="AF144" s="1284"/>
      <c r="AG144" s="1284"/>
      <c r="AH144" s="1284"/>
      <c r="AI144" s="1284"/>
      <c r="AJ144" s="1284"/>
      <c r="AK144" s="1127"/>
      <c r="AL144" s="4450" t="str">
        <f>IF(AND(OR(AE141&lt;&gt;"",SUM(AL145,AL153,AL154,AL166)&gt;0),AM138)," rest of Part I.","")</f>
        <v/>
      </c>
      <c r="AM144" s="1179"/>
      <c r="AN144" s="1179"/>
      <c r="AO144" s="2595"/>
      <c r="AP144" s="2595"/>
      <c r="AQ144" s="2595"/>
      <c r="AR144" s="2595"/>
      <c r="AS144" s="2595"/>
      <c r="AT144" s="2595"/>
      <c r="AU144" s="2595"/>
      <c r="AV144" s="2595"/>
      <c r="AW144" s="2595"/>
      <c r="AX144" s="2595"/>
      <c r="AY144" s="42"/>
      <c r="AZ144" s="42"/>
    </row>
    <row r="145" spans="1:52" s="3402" customFormat="1" ht="15" customHeight="1">
      <c r="A145" s="1127"/>
      <c r="B145" s="1179"/>
      <c r="C145" s="4507"/>
      <c r="D145" s="2686" t="str">
        <f>"disaster distributions (see "&amp;TaxYear&amp;" Forms 8915-D, and 8915-F)"</f>
        <v>disaster distributions (see 2021 Forms 8915-D, and 8915-F)</v>
      </c>
      <c r="E145" s="1179"/>
      <c r="F145" s="1179"/>
      <c r="G145" s="1179"/>
      <c r="H145" s="1179"/>
      <c r="I145" s="1179"/>
      <c r="J145" s="1179"/>
      <c r="K145" s="1179"/>
      <c r="L145" s="1179"/>
      <c r="M145" s="1179"/>
      <c r="N145" s="2686"/>
      <c r="O145" s="2686"/>
      <c r="P145" s="1179"/>
      <c r="Q145" s="1179"/>
      <c r="R145" s="1179"/>
      <c r="S145" s="1179"/>
      <c r="T145" s="1179"/>
      <c r="U145" s="1179"/>
      <c r="V145" s="1179"/>
      <c r="W145" s="1557">
        <v>6</v>
      </c>
      <c r="X145" s="9111"/>
      <c r="Y145" s="9112"/>
      <c r="Z145" s="9112"/>
      <c r="AA145" s="9112"/>
      <c r="AB145" s="9112"/>
      <c r="AC145" s="9112"/>
      <c r="AD145" s="1561"/>
      <c r="AE145" s="4269"/>
      <c r="AF145" s="1284"/>
      <c r="AG145" s="1284"/>
      <c r="AH145" s="1284"/>
      <c r="AI145" s="1284"/>
      <c r="AJ145" s="1284"/>
      <c r="AK145" s="1127"/>
      <c r="AL145" s="1284">
        <f>IF(X145&lt;&gt;"",1,0)</f>
        <v>0</v>
      </c>
      <c r="AM145" s="1824"/>
      <c r="AN145" s="1179"/>
      <c r="AO145" s="2595"/>
      <c r="AP145" s="2595"/>
      <c r="AQ145" s="2595"/>
      <c r="AR145" s="2595"/>
      <c r="AS145" s="2595"/>
      <c r="AT145" s="2595"/>
      <c r="AU145" s="2595"/>
      <c r="AV145" s="2595"/>
      <c r="AW145" s="2595"/>
      <c r="AX145" s="2595"/>
      <c r="AY145" s="42"/>
      <c r="AZ145" s="42"/>
    </row>
    <row r="146" spans="1:52" s="3402" customFormat="1" ht="14.25" customHeight="1">
      <c r="A146" s="1127"/>
      <c r="B146" s="1179"/>
      <c r="C146" s="4507" t="s">
        <v>102</v>
      </c>
      <c r="D146" s="2686" t="str">
        <f>"Enter your distributions from traditional, SEP, and SIMPLE IRAs in "&amp;TaxYear&amp;"."</f>
        <v>Enter your distributions from traditional, SEP, and SIMPLE IRAs in 2021.</v>
      </c>
      <c r="E146" s="1179"/>
      <c r="F146" s="1179"/>
      <c r="G146" s="1179"/>
      <c r="H146" s="1179"/>
      <c r="I146" s="1179"/>
      <c r="J146" s="1179"/>
      <c r="K146" s="1179"/>
      <c r="L146" s="1179"/>
      <c r="M146" s="1179"/>
      <c r="N146" s="1179"/>
      <c r="O146" s="1179"/>
      <c r="P146" s="1179"/>
      <c r="Q146" s="1179"/>
      <c r="R146" s="1179"/>
      <c r="S146" s="1179"/>
      <c r="T146" s="1179"/>
      <c r="U146" s="4473" t="s">
        <v>5449</v>
      </c>
      <c r="V146" s="4512"/>
      <c r="W146" s="1558"/>
      <c r="X146" s="1179"/>
      <c r="Y146" s="1179"/>
      <c r="Z146" s="1179"/>
      <c r="AA146" s="1179"/>
      <c r="AB146" s="1179"/>
      <c r="AC146" s="1179"/>
      <c r="AD146" s="1561"/>
      <c r="AE146" s="4269"/>
      <c r="AF146" s="1284"/>
      <c r="AG146" s="1284"/>
      <c r="AH146" s="1284"/>
      <c r="AI146" s="1284"/>
      <c r="AJ146" s="1284"/>
      <c r="AK146" s="1127"/>
      <c r="AL146" s="1284"/>
      <c r="AM146" s="1824"/>
      <c r="AN146" s="1179"/>
      <c r="AO146" s="2595"/>
      <c r="AP146" s="2595"/>
      <c r="AQ146" s="2595"/>
      <c r="AR146" s="2595"/>
      <c r="AS146" s="2595"/>
      <c r="AT146" s="2595"/>
      <c r="AU146" s="2595"/>
      <c r="AV146" s="2595"/>
      <c r="AW146" s="2595"/>
      <c r="AX146" s="2595"/>
      <c r="AY146" s="42"/>
      <c r="AZ146" s="42"/>
    </row>
    <row r="147" spans="1:52" s="3402" customFormat="1" ht="14.25" customHeight="1">
      <c r="A147" s="1127"/>
      <c r="B147" s="1179"/>
      <c r="C147" s="4507"/>
      <c r="D147" s="2686" t="s">
        <v>5450</v>
      </c>
      <c r="E147" s="2686"/>
      <c r="F147" s="1179"/>
      <c r="G147" s="1179"/>
      <c r="H147" s="1179"/>
      <c r="I147" s="1179"/>
      <c r="J147" s="1179"/>
      <c r="K147" s="1179"/>
      <c r="L147" s="1179"/>
      <c r="M147" s="1179"/>
      <c r="N147" s="1179"/>
      <c r="O147" s="1179"/>
      <c r="P147" s="1179"/>
      <c r="Q147" s="1179"/>
      <c r="R147" s="1179"/>
      <c r="S147" s="1179"/>
      <c r="T147" s="1179"/>
      <c r="U147" s="1179"/>
      <c r="V147" s="1179"/>
      <c r="W147" s="1558"/>
      <c r="X147" s="1179"/>
      <c r="Y147" s="1179"/>
      <c r="Z147" s="1179"/>
      <c r="AA147" s="1179"/>
      <c r="AB147" s="1179"/>
      <c r="AC147" s="1179"/>
      <c r="AD147" s="1561"/>
      <c r="AE147" s="4269"/>
      <c r="AF147" s="1284"/>
      <c r="AG147" s="1284"/>
      <c r="AH147" s="1284"/>
      <c r="AI147" s="1284"/>
      <c r="AJ147" s="1284"/>
      <c r="AK147" s="1127"/>
      <c r="AL147" s="1284"/>
      <c r="AM147" s="1179"/>
      <c r="AN147" s="1179"/>
      <c r="AO147" s="2595"/>
      <c r="AP147" s="2595"/>
      <c r="AQ147" s="2595"/>
      <c r="AR147" s="2595"/>
      <c r="AS147" s="2595"/>
      <c r="AT147" s="2595"/>
      <c r="AU147" s="2595"/>
      <c r="AV147" s="2595"/>
      <c r="AW147" s="2595"/>
      <c r="AX147" s="2595"/>
      <c r="AY147" s="42"/>
      <c r="AZ147" s="42"/>
    </row>
    <row r="148" spans="1:52" s="3402" customFormat="1" ht="14.25" customHeight="1">
      <c r="A148" s="1127"/>
      <c r="B148" s="1179"/>
      <c r="C148" s="4507"/>
      <c r="D148" s="2686" t="str">
        <f>"(see "&amp;TaxYear&amp;" Forms 8915-D and 8915-F)), qualified charitable distributions, a one-"</f>
        <v>(see 2021 Forms 8915-D and 8915-F)), qualified charitable distributions, a one-</v>
      </c>
      <c r="E148" s="2686"/>
      <c r="F148" s="1179"/>
      <c r="G148" s="1179"/>
      <c r="H148" s="1179"/>
      <c r="I148" s="1179"/>
      <c r="J148" s="1179"/>
      <c r="K148" s="1179"/>
      <c r="L148" s="1179"/>
      <c r="M148" s="1179"/>
      <c r="N148" s="1179"/>
      <c r="O148" s="1179"/>
      <c r="P148" s="1179"/>
      <c r="Q148" s="1179"/>
      <c r="R148" s="1179"/>
      <c r="S148" s="1179"/>
      <c r="T148" s="1179"/>
      <c r="U148" s="1179"/>
      <c r="V148" s="1179"/>
      <c r="W148" s="1558"/>
      <c r="X148" s="1179"/>
      <c r="Y148" s="1179"/>
      <c r="Z148" s="1179"/>
      <c r="AA148" s="1179"/>
      <c r="AB148" s="1179"/>
      <c r="AC148" s="1179"/>
      <c r="AD148" s="1561"/>
      <c r="AE148" s="4269"/>
      <c r="AF148" s="1284"/>
      <c r="AG148" s="1284"/>
      <c r="AH148" s="1284"/>
      <c r="AI148" s="1284"/>
      <c r="AJ148" s="1284"/>
      <c r="AK148" s="1127"/>
      <c r="AL148" s="1284"/>
      <c r="AM148" s="1179"/>
      <c r="AN148" s="1179"/>
      <c r="AO148" s="2595"/>
      <c r="AP148" s="2595"/>
      <c r="AQ148" s="2595"/>
      <c r="AR148" s="2595"/>
      <c r="AS148" s="2595"/>
      <c r="AT148" s="2595"/>
      <c r="AU148" s="2595"/>
      <c r="AV148" s="2595"/>
      <c r="AW148" s="2595"/>
      <c r="AX148" s="2595"/>
      <c r="AY148" s="42"/>
      <c r="AZ148" s="42"/>
    </row>
    <row r="149" spans="1:52" s="3402" customFormat="1" ht="14.25" customHeight="1">
      <c r="A149" s="1127"/>
      <c r="B149" s="1179"/>
      <c r="C149" s="4507"/>
      <c r="D149" s="2686" t="s">
        <v>5451</v>
      </c>
      <c r="E149" s="2686"/>
      <c r="F149" s="1179"/>
      <c r="G149" s="1179"/>
      <c r="H149" s="1179"/>
      <c r="I149" s="1179"/>
      <c r="J149" s="1179"/>
      <c r="K149" s="1179"/>
      <c r="L149" s="1179"/>
      <c r="M149" s="1179"/>
      <c r="N149" s="1179"/>
      <c r="O149" s="1179"/>
      <c r="P149" s="1179"/>
      <c r="Q149" s="1179"/>
      <c r="R149" s="1179"/>
      <c r="S149" s="1179"/>
      <c r="T149" s="1179"/>
      <c r="U149" s="1179"/>
      <c r="V149" s="1179"/>
      <c r="W149" s="1558"/>
      <c r="X149" s="1179"/>
      <c r="Y149" s="1179"/>
      <c r="Z149" s="1179"/>
      <c r="AA149" s="1179"/>
      <c r="AB149" s="1179"/>
      <c r="AC149" s="1179"/>
      <c r="AD149" s="1561"/>
      <c r="AE149" s="4269"/>
      <c r="AF149" s="1284"/>
      <c r="AG149" s="1284"/>
      <c r="AH149" s="1284"/>
      <c r="AI149" s="1284"/>
      <c r="AJ149" s="1284"/>
      <c r="AK149" s="1127"/>
      <c r="AL149" s="1284"/>
      <c r="AM149" s="1179"/>
      <c r="AN149" s="1179"/>
      <c r="AO149" s="2595"/>
      <c r="AP149" s="2595"/>
      <c r="AQ149" s="2595"/>
      <c r="AR149" s="2595"/>
      <c r="AS149" s="2595"/>
      <c r="AT149" s="2595"/>
      <c r="AU149" s="2595"/>
      <c r="AV149" s="2595"/>
      <c r="AW149" s="2595"/>
      <c r="AX149" s="2595"/>
      <c r="AY149" s="42"/>
      <c r="AZ149" s="42"/>
    </row>
    <row r="150" spans="1:52" s="3402" customFormat="1" ht="14.25" customHeight="1">
      <c r="A150" s="1127"/>
      <c r="B150" s="1179"/>
      <c r="C150" s="4507"/>
      <c r="D150" s="2686" t="s">
        <v>5452</v>
      </c>
      <c r="E150" s="2686"/>
      <c r="F150" s="1179"/>
      <c r="G150" s="1179"/>
      <c r="H150" s="1179"/>
      <c r="I150" s="1179"/>
      <c r="J150" s="1179"/>
      <c r="K150" s="1179"/>
      <c r="L150" s="1179"/>
      <c r="M150" s="1179"/>
      <c r="N150" s="1179"/>
      <c r="O150" s="1179"/>
      <c r="P150" s="1179"/>
      <c r="Q150" s="1179"/>
      <c r="R150" s="1179"/>
      <c r="S150" s="1179"/>
      <c r="T150" s="1179"/>
      <c r="U150" s="1179"/>
      <c r="V150" s="1179"/>
      <c r="W150" s="1558"/>
      <c r="X150" s="1179"/>
      <c r="Y150" s="1179"/>
      <c r="Z150" s="1179"/>
      <c r="AA150" s="1179"/>
      <c r="AB150" s="1179"/>
      <c r="AC150" s="1179"/>
      <c r="AD150" s="1561"/>
      <c r="AE150" s="4269"/>
      <c r="AF150" s="1284"/>
      <c r="AG150" s="1284"/>
      <c r="AH150" s="1284"/>
      <c r="AI150" s="1284"/>
      <c r="AJ150" s="1284"/>
      <c r="AK150" s="1127"/>
      <c r="AL150" s="1284"/>
      <c r="AM150" s="1179"/>
      <c r="AN150" s="1179"/>
      <c r="AO150" s="2595"/>
      <c r="AP150" s="2595"/>
      <c r="AQ150" s="2595"/>
      <c r="AR150" s="2595"/>
      <c r="AS150" s="2595"/>
      <c r="AT150" s="2595"/>
      <c r="AU150" s="2595"/>
      <c r="AV150" s="2595"/>
      <c r="AW150" s="2595"/>
      <c r="AX150" s="2595"/>
      <c r="AY150" s="42"/>
      <c r="AZ150" s="42"/>
    </row>
    <row r="151" spans="1:52" s="3402" customFormat="1" ht="16.5" customHeight="1">
      <c r="A151" s="1127"/>
      <c r="B151" s="1179"/>
      <c r="C151" s="3838"/>
      <c r="D151" s="3719" t="s">
        <v>891</v>
      </c>
      <c r="E151" s="2686"/>
      <c r="F151" s="1179"/>
      <c r="G151" s="1179"/>
      <c r="H151" s="1179"/>
      <c r="I151" s="1179"/>
      <c r="J151" s="1179"/>
      <c r="K151" s="1179"/>
      <c r="L151" s="1179"/>
      <c r="M151" s="1179"/>
      <c r="N151" s="1179"/>
      <c r="O151" s="1179"/>
      <c r="P151" s="1179"/>
      <c r="Q151" s="1179"/>
      <c r="R151" s="1179"/>
      <c r="S151" s="1179"/>
      <c r="T151" s="1179"/>
      <c r="U151" s="1179"/>
      <c r="V151" s="3489" t="s">
        <v>428</v>
      </c>
      <c r="W151" s="1557">
        <v>7</v>
      </c>
      <c r="X151" s="9111"/>
      <c r="Y151" s="9112"/>
      <c r="Z151" s="9112"/>
      <c r="AA151" s="9112"/>
      <c r="AB151" s="9112"/>
      <c r="AC151" s="9112"/>
      <c r="AD151" s="1561"/>
      <c r="AE151" s="4269"/>
      <c r="AF151" s="1284"/>
      <c r="AG151" s="1284"/>
      <c r="AH151" s="1284"/>
      <c r="AI151" s="1284"/>
      <c r="AJ151" s="1284"/>
      <c r="AK151" s="1127"/>
      <c r="AL151" s="4450"/>
      <c r="AM151" s="24" t="s">
        <v>90</v>
      </c>
      <c r="AN151" s="1179"/>
      <c r="AO151" s="2595"/>
      <c r="AP151" s="2595"/>
      <c r="AQ151" s="2595"/>
      <c r="AR151" s="2595"/>
      <c r="AS151" s="2595"/>
      <c r="AT151" s="2595"/>
      <c r="AU151" s="2595"/>
      <c r="AV151" s="2595"/>
      <c r="AW151" s="2595"/>
      <c r="AX151" s="2595"/>
      <c r="AY151" s="42"/>
      <c r="AZ151" s="42"/>
    </row>
    <row r="152" spans="1:52" s="3402" customFormat="1" ht="16.5" customHeight="1" thickBot="1">
      <c r="A152" s="1127"/>
      <c r="B152" s="1179"/>
      <c r="C152" s="4507" t="s">
        <v>103</v>
      </c>
      <c r="D152" s="2686" t="s">
        <v>3798</v>
      </c>
      <c r="E152" s="2686"/>
      <c r="F152" s="1179"/>
      <c r="G152" s="1179"/>
      <c r="H152" s="1179"/>
      <c r="I152" s="1179"/>
      <c r="J152" s="1179"/>
      <c r="K152" s="1179"/>
      <c r="L152" s="1179"/>
      <c r="M152" s="1179"/>
      <c r="N152" s="1179"/>
      <c r="O152" s="1179"/>
      <c r="P152" s="1179"/>
      <c r="Q152" s="1179"/>
      <c r="R152" s="1179"/>
      <c r="S152" s="1179"/>
      <c r="T152" s="1179"/>
      <c r="U152" s="1179"/>
      <c r="V152" s="1179"/>
      <c r="W152" s="1558"/>
      <c r="X152" s="1179"/>
      <c r="Y152" s="1179"/>
      <c r="Z152" s="1179"/>
      <c r="AA152" s="1179"/>
      <c r="AB152" s="1179"/>
      <c r="AC152" s="1179"/>
      <c r="AD152" s="1561"/>
      <c r="AE152" s="4269"/>
      <c r="AF152" s="1284"/>
      <c r="AG152" s="1284"/>
      <c r="AH152" s="1284"/>
      <c r="AI152" s="1284"/>
      <c r="AJ152" s="1284"/>
      <c r="AK152" s="1127"/>
      <c r="AL152" s="4450"/>
      <c r="AM152" s="24" t="s">
        <v>411</v>
      </c>
      <c r="AN152" s="1179"/>
      <c r="AO152" s="2595"/>
      <c r="AP152" s="2595"/>
      <c r="AQ152" s="2595"/>
      <c r="AR152" s="2595"/>
      <c r="AS152" s="2595"/>
      <c r="AT152" s="2595"/>
      <c r="AU152" s="2595"/>
      <c r="AV152" s="2595"/>
      <c r="AW152" s="2595"/>
      <c r="AX152" s="2595"/>
      <c r="AY152" s="42"/>
      <c r="AZ152" s="42"/>
    </row>
    <row r="153" spans="1:52" s="3402" customFormat="1" ht="16.5" customHeight="1" thickBot="1">
      <c r="A153" s="1127"/>
      <c r="B153" s="1179"/>
      <c r="C153" s="4507"/>
      <c r="D153" s="3719" t="str">
        <f>"Roth IRAs in "&amp;TaxYear&amp;". Also enter this amount on line 16"</f>
        <v>Roth IRAs in 2021. Also enter this amount on line 16</v>
      </c>
      <c r="E153" s="3719"/>
      <c r="F153" s="1179"/>
      <c r="G153" s="1179"/>
      <c r="H153" s="1179"/>
      <c r="I153" s="1179"/>
      <c r="J153" s="1179"/>
      <c r="K153" s="1179"/>
      <c r="L153" s="1179"/>
      <c r="M153" s="1179"/>
      <c r="N153" s="4168"/>
      <c r="O153" s="4168"/>
      <c r="P153" s="4168"/>
      <c r="Q153" s="4168"/>
      <c r="R153" s="4168"/>
      <c r="S153" s="4168"/>
      <c r="T153" s="4168"/>
      <c r="U153" s="4168"/>
      <c r="V153" s="4099" t="s">
        <v>698</v>
      </c>
      <c r="W153" s="1557">
        <v>8</v>
      </c>
      <c r="X153" s="9115" t="str">
        <f>IF(AM153&lt;&gt;"",ROUND(AM153,0),IF(OR(AM134,AM138),"",IF(AL115&lt;&gt;"",IRA_CONV_YOU,IF(AL116&lt;&gt;"",IRA_CONV_SPOUSE))))</f>
        <v/>
      </c>
      <c r="Y153" s="9116"/>
      <c r="Z153" s="9116"/>
      <c r="AA153" s="9116"/>
      <c r="AB153" s="9116"/>
      <c r="AC153" s="9116"/>
      <c r="AD153" s="1561"/>
      <c r="AE153" s="4269"/>
      <c r="AF153" s="1284"/>
      <c r="AG153" s="1284"/>
      <c r="AH153" s="1284"/>
      <c r="AI153" s="1284"/>
      <c r="AJ153" s="1284"/>
      <c r="AK153" s="1127"/>
      <c r="AL153" s="1284">
        <f>IF(X151&lt;&gt;"",1,0)</f>
        <v>0</v>
      </c>
      <c r="AM153" s="4377"/>
      <c r="AN153" s="1179"/>
      <c r="AO153" s="2595"/>
      <c r="AP153" s="2595"/>
      <c r="AQ153" s="2595"/>
      <c r="AR153" s="2595"/>
      <c r="AS153" s="2595"/>
      <c r="AT153" s="2595"/>
      <c r="AU153" s="2595"/>
      <c r="AV153" s="2595"/>
      <c r="AW153" s="2595"/>
      <c r="AX153" s="2595"/>
      <c r="AY153" s="42"/>
      <c r="AZ153" s="42"/>
    </row>
    <row r="154" spans="1:52" s="3402" customFormat="1" ht="16.5" customHeight="1">
      <c r="A154" s="1127"/>
      <c r="B154" s="1179"/>
      <c r="C154" s="4507" t="s">
        <v>104</v>
      </c>
      <c r="D154" s="2686" t="s">
        <v>3799</v>
      </c>
      <c r="E154" s="2686"/>
      <c r="F154" s="1179"/>
      <c r="G154" s="1179"/>
      <c r="H154" s="1179"/>
      <c r="I154" s="1179"/>
      <c r="J154" s="1179"/>
      <c r="K154" s="1179"/>
      <c r="L154" s="1179"/>
      <c r="M154" s="1179"/>
      <c r="N154" s="1179"/>
      <c r="O154" s="4099" t="s">
        <v>698</v>
      </c>
      <c r="P154" s="1557">
        <v>9</v>
      </c>
      <c r="Q154" s="9115" t="str">
        <f>IF(AM134,"",IF(NOT(AM138),SUM(X145,X151,X153),""))</f>
        <v/>
      </c>
      <c r="R154" s="9116"/>
      <c r="S154" s="9116"/>
      <c r="T154" s="9116"/>
      <c r="U154" s="9116"/>
      <c r="V154" s="9116"/>
      <c r="W154" s="4466"/>
      <c r="X154" s="1179"/>
      <c r="Y154" s="1179"/>
      <c r="Z154" s="4389"/>
      <c r="AA154" s="4389"/>
      <c r="AB154" s="4389"/>
      <c r="AC154" s="4388"/>
      <c r="AD154" s="1561"/>
      <c r="AE154" s="4269"/>
      <c r="AF154" s="1284"/>
      <c r="AG154" s="1284"/>
      <c r="AH154" s="1284"/>
      <c r="AI154" s="1284"/>
      <c r="AJ154" s="1284"/>
      <c r="AK154" s="1127"/>
      <c r="AL154" s="1284">
        <f>IF(Q154&lt;&gt;"",1,0)</f>
        <v>0</v>
      </c>
      <c r="AM154" s="1179"/>
      <c r="AN154" s="1179"/>
      <c r="AO154" s="2595"/>
      <c r="AP154" s="2595"/>
      <c r="AQ154" s="2595"/>
      <c r="AR154" s="2595"/>
      <c r="AS154" s="2595"/>
      <c r="AT154" s="2595"/>
      <c r="AU154" s="2595"/>
      <c r="AV154" s="2595"/>
      <c r="AW154" s="2595"/>
      <c r="AX154" s="2595"/>
      <c r="AY154" s="42"/>
      <c r="AZ154" s="42"/>
    </row>
    <row r="155" spans="1:52" s="3402" customFormat="1" ht="16.5" customHeight="1">
      <c r="A155" s="1127"/>
      <c r="B155" s="1179"/>
      <c r="C155" s="4507" t="s">
        <v>105</v>
      </c>
      <c r="D155" s="2686" t="s">
        <v>3800</v>
      </c>
      <c r="E155" s="2686"/>
      <c r="F155" s="1179"/>
      <c r="G155" s="1179"/>
      <c r="H155" s="1179"/>
      <c r="I155" s="1179"/>
      <c r="J155" s="1179"/>
      <c r="K155" s="1179"/>
      <c r="L155" s="1179"/>
      <c r="M155" s="1179"/>
      <c r="N155" s="1179"/>
      <c r="O155" s="1179"/>
      <c r="P155" s="1179"/>
      <c r="Q155" s="1179"/>
      <c r="R155" s="1179"/>
      <c r="S155" s="1179"/>
      <c r="T155" s="1179"/>
      <c r="U155" s="1179"/>
      <c r="V155" s="1179"/>
      <c r="W155" s="2214"/>
      <c r="X155" s="1582"/>
      <c r="Y155" s="1179"/>
      <c r="Z155" s="7772"/>
      <c r="AA155" s="7772"/>
      <c r="AB155" s="7772"/>
      <c r="AC155" s="7773"/>
      <c r="AD155" s="1561"/>
      <c r="AE155" s="4269"/>
      <c r="AF155" s="1284"/>
      <c r="AG155" s="1284"/>
      <c r="AH155" s="1284"/>
      <c r="AI155" s="1284"/>
      <c r="AJ155" s="1284"/>
      <c r="AK155" s="1127"/>
      <c r="AL155" s="1284"/>
      <c r="AM155" s="1179"/>
      <c r="AN155" s="1179"/>
      <c r="AO155" s="2595"/>
      <c r="AP155" s="2595"/>
      <c r="AQ155" s="2595"/>
      <c r="AR155" s="2595"/>
      <c r="AS155" s="2595"/>
      <c r="AT155" s="2595"/>
      <c r="AU155" s="2595"/>
      <c r="AV155" s="2595"/>
      <c r="AW155" s="2595"/>
      <c r="AX155" s="2595"/>
      <c r="AY155" s="42"/>
      <c r="AZ155" s="42"/>
    </row>
    <row r="156" spans="1:52" s="3402" customFormat="1" ht="16.5" customHeight="1">
      <c r="A156" s="1127"/>
      <c r="B156" s="1179"/>
      <c r="C156" s="3838"/>
      <c r="D156" s="2686" t="s">
        <v>3801</v>
      </c>
      <c r="E156" s="2686"/>
      <c r="F156" s="1179"/>
      <c r="G156" s="1179"/>
      <c r="H156" s="1179"/>
      <c r="I156" s="1179"/>
      <c r="J156" s="1179"/>
      <c r="K156" s="1179"/>
      <c r="L156" s="1179"/>
      <c r="M156" s="1179"/>
      <c r="N156" s="1179"/>
      <c r="O156" s="1179"/>
      <c r="P156" s="1179"/>
      <c r="Q156" s="1179"/>
      <c r="R156" s="1179"/>
      <c r="S156" s="1179"/>
      <c r="T156" s="1179"/>
      <c r="U156" s="1179"/>
      <c r="V156" s="3489" t="s">
        <v>698</v>
      </c>
      <c r="W156" s="2224">
        <v>10</v>
      </c>
      <c r="X156" s="4467"/>
      <c r="Y156" s="4513" t="str">
        <f>"x"</f>
        <v>x</v>
      </c>
      <c r="Z156" s="9140" t="str">
        <f>IF(AM134,"",IF(NOT(AM138),AE156,""))</f>
        <v/>
      </c>
      <c r="AA156" s="9140"/>
      <c r="AB156" s="9140"/>
      <c r="AC156" s="9141"/>
      <c r="AD156" s="1561"/>
      <c r="AE156" s="9212">
        <f>IF(OR(Q154="",Q154=0),0,MIN(1,ROUND(AE142/Q154,5)))</f>
        <v>0</v>
      </c>
      <c r="AF156" s="9213"/>
      <c r="AG156" s="9213"/>
      <c r="AH156" s="9213"/>
      <c r="AI156" s="9213"/>
      <c r="AJ156" s="9213"/>
      <c r="AK156" s="1127"/>
      <c r="AL156" s="1179"/>
      <c r="AM156" s="1179"/>
      <c r="AN156" s="1179"/>
      <c r="AO156" s="2595"/>
      <c r="AP156" s="2595"/>
      <c r="AQ156" s="2595"/>
      <c r="AR156" s="2595"/>
      <c r="AS156" s="2595"/>
      <c r="AT156" s="2595"/>
      <c r="AU156" s="2595"/>
      <c r="AV156" s="2595"/>
      <c r="AW156" s="2595"/>
      <c r="AX156" s="2595"/>
      <c r="AY156" s="42"/>
      <c r="AZ156" s="42"/>
    </row>
    <row r="157" spans="1:52" s="3402" customFormat="1" ht="16.5" customHeight="1">
      <c r="A157" s="1127"/>
      <c r="B157" s="1179"/>
      <c r="C157" s="4507" t="s">
        <v>657</v>
      </c>
      <c r="D157" s="2686" t="s">
        <v>3802</v>
      </c>
      <c r="E157" s="2686"/>
      <c r="F157" s="1179"/>
      <c r="G157" s="1179"/>
      <c r="H157" s="1179"/>
      <c r="I157" s="1179"/>
      <c r="J157" s="1179"/>
      <c r="K157" s="1179"/>
      <c r="L157" s="1179"/>
      <c r="M157" s="1179"/>
      <c r="N157" s="1179"/>
      <c r="O157" s="1179"/>
      <c r="P157" s="1179"/>
      <c r="Q157" s="1179"/>
      <c r="R157" s="1179"/>
      <c r="S157" s="1179"/>
      <c r="T157" s="1179"/>
      <c r="U157" s="1179"/>
      <c r="V157" s="1179"/>
      <c r="W157" s="2214"/>
      <c r="X157" s="1179"/>
      <c r="Y157" s="1179"/>
      <c r="Z157" s="1179"/>
      <c r="AA157" s="1179"/>
      <c r="AB157" s="1179"/>
      <c r="AC157" s="1179"/>
      <c r="AD157" s="1561"/>
      <c r="AE157" s="4269"/>
      <c r="AF157" s="1284"/>
      <c r="AG157" s="1284"/>
      <c r="AH157" s="1284"/>
      <c r="AI157" s="1284"/>
      <c r="AJ157" s="1284"/>
      <c r="AK157" s="1127"/>
      <c r="AL157" s="1179"/>
      <c r="AM157" s="1179"/>
      <c r="AN157" s="1179"/>
      <c r="AO157" s="2595"/>
      <c r="AP157" s="2595"/>
      <c r="AQ157" s="2595"/>
      <c r="AR157" s="2595"/>
      <c r="AS157" s="2595"/>
      <c r="AT157" s="2595"/>
      <c r="AU157" s="2595"/>
      <c r="AV157" s="2595"/>
      <c r="AW157" s="2595"/>
      <c r="AX157" s="2595"/>
      <c r="AY157" s="42"/>
      <c r="AZ157" s="42"/>
    </row>
    <row r="158" spans="1:52" s="3402" customFormat="1" ht="16.5" customHeight="1">
      <c r="A158" s="1127"/>
      <c r="B158" s="1179"/>
      <c r="C158" s="3838"/>
      <c r="D158" s="2686" t="s">
        <v>3803</v>
      </c>
      <c r="E158" s="2686"/>
      <c r="F158" s="1179"/>
      <c r="G158" s="1179"/>
      <c r="H158" s="1179"/>
      <c r="I158" s="1179"/>
      <c r="J158" s="1179"/>
      <c r="K158" s="1179"/>
      <c r="L158" s="1179"/>
      <c r="M158" s="1179"/>
      <c r="N158" s="1179"/>
      <c r="O158" s="1179"/>
      <c r="P158" s="1179"/>
      <c r="Q158" s="1179"/>
      <c r="R158" s="1179"/>
      <c r="S158" s="1179"/>
      <c r="T158" s="1179"/>
      <c r="U158" s="1179"/>
      <c r="V158" s="3489" t="s">
        <v>629</v>
      </c>
      <c r="W158" s="2224">
        <v>11</v>
      </c>
      <c r="X158" s="9115" t="str">
        <f>IF(AM134,"",IF(NOT(AM138),ROUND(X153*Z156,0),""))</f>
        <v/>
      </c>
      <c r="Y158" s="9116"/>
      <c r="Z158" s="9116"/>
      <c r="AA158" s="9116"/>
      <c r="AB158" s="9116"/>
      <c r="AC158" s="9136"/>
      <c r="AD158" s="1561"/>
      <c r="AE158" s="1179"/>
      <c r="AF158" s="1179"/>
      <c r="AG158" s="1179"/>
      <c r="AH158" s="1179"/>
      <c r="AI158" s="1179"/>
      <c r="AJ158" s="1179"/>
      <c r="AK158" s="1127"/>
      <c r="AL158" s="1179"/>
      <c r="AM158" s="1179"/>
      <c r="AN158" s="1179"/>
      <c r="AO158" s="2595"/>
      <c r="AP158" s="2595"/>
      <c r="AQ158" s="2595"/>
      <c r="AR158" s="2595"/>
      <c r="AS158" s="2595"/>
      <c r="AT158" s="2595"/>
      <c r="AU158" s="2595"/>
      <c r="AV158" s="2595"/>
      <c r="AW158" s="2595"/>
      <c r="AX158" s="2595"/>
      <c r="AY158" s="42"/>
      <c r="AZ158" s="42"/>
    </row>
    <row r="159" spans="1:52" s="3402" customFormat="1" ht="16.5" customHeight="1">
      <c r="A159" s="1127"/>
      <c r="B159" s="1179"/>
      <c r="C159" s="4507" t="s">
        <v>220</v>
      </c>
      <c r="D159" s="2686" t="s">
        <v>3804</v>
      </c>
      <c r="E159" s="2686"/>
      <c r="F159" s="1179"/>
      <c r="G159" s="1179"/>
      <c r="H159" s="1179"/>
      <c r="I159" s="1179"/>
      <c r="J159" s="1179"/>
      <c r="K159" s="1179"/>
      <c r="L159" s="1179"/>
      <c r="M159" s="1179"/>
      <c r="N159" s="1179"/>
      <c r="O159" s="1179"/>
      <c r="P159" s="1179"/>
      <c r="Q159" s="1179"/>
      <c r="R159" s="1179"/>
      <c r="S159" s="1179"/>
      <c r="T159" s="1179"/>
      <c r="U159" s="1179"/>
      <c r="V159" s="3489"/>
      <c r="W159" s="2214"/>
      <c r="X159" s="9137"/>
      <c r="Y159" s="9138"/>
      <c r="Z159" s="9138"/>
      <c r="AA159" s="9138"/>
      <c r="AB159" s="9138"/>
      <c r="AC159" s="9139"/>
      <c r="AD159" s="1561"/>
      <c r="AE159" s="1179"/>
      <c r="AF159" s="1179"/>
      <c r="AG159" s="1179"/>
      <c r="AH159" s="1179"/>
      <c r="AI159" s="1179"/>
      <c r="AJ159" s="1179"/>
      <c r="AK159" s="1127"/>
      <c r="AL159" s="1179"/>
      <c r="AM159" s="4281" t="b">
        <f>AND(AE168&lt;&gt;"",AE168&gt;0,OR(AND(AL115&lt;&gt;"",IRA_Taxable_You&gt;0),AND(AL116&lt;&gt;"",IRA_Taxable_Spouse&gt;0)))</f>
        <v>0</v>
      </c>
      <c r="AN159" s="1179"/>
      <c r="AO159" s="2595"/>
      <c r="AP159" s="2595"/>
      <c r="AQ159" s="2595"/>
      <c r="AR159" s="2595"/>
      <c r="AS159" s="2595"/>
      <c r="AT159" s="2595"/>
      <c r="AU159" s="2595"/>
      <c r="AV159" s="2595"/>
      <c r="AW159" s="2595"/>
      <c r="AX159" s="2595"/>
      <c r="AY159" s="42"/>
      <c r="AZ159" s="42"/>
    </row>
    <row r="160" spans="1:52" ht="16.5" customHeight="1">
      <c r="A160" s="1127"/>
      <c r="B160" s="1179"/>
      <c r="C160" s="4507"/>
      <c r="D160" s="3719" t="s">
        <v>3805</v>
      </c>
      <c r="E160" s="2686"/>
      <c r="F160" s="1179"/>
      <c r="G160" s="1179"/>
      <c r="H160" s="1179"/>
      <c r="I160" s="1179"/>
      <c r="J160" s="1179"/>
      <c r="K160" s="1179"/>
      <c r="L160" s="1179"/>
      <c r="M160" s="1179"/>
      <c r="N160" s="1179"/>
      <c r="O160" s="1179"/>
      <c r="P160" s="1179"/>
      <c r="Q160" s="1179"/>
      <c r="R160" s="1179"/>
      <c r="S160" s="1179"/>
      <c r="T160" s="1179"/>
      <c r="U160" s="1179"/>
      <c r="V160" s="3489" t="s">
        <v>802</v>
      </c>
      <c r="W160" s="2224">
        <v>12</v>
      </c>
      <c r="X160" s="9115" t="str">
        <f>IF(AM134,"",IF(NOT(AM138),ROUND(X151*Z156,0),""))</f>
        <v/>
      </c>
      <c r="Y160" s="9116"/>
      <c r="Z160" s="9116"/>
      <c r="AA160" s="9116"/>
      <c r="AB160" s="9116"/>
      <c r="AC160" s="9136"/>
      <c r="AD160" s="1561"/>
      <c r="AE160" s="1179"/>
      <c r="AF160" s="1179"/>
      <c r="AG160" s="1179"/>
      <c r="AH160" s="1179"/>
      <c r="AI160" s="1179"/>
      <c r="AJ160" s="1179"/>
      <c r="AK160" s="1127"/>
      <c r="AL160" s="1179"/>
      <c r="AM160" s="24" t="s">
        <v>90</v>
      </c>
      <c r="AN160" s="1179"/>
      <c r="AY160" s="1731"/>
      <c r="AZ160" s="1731"/>
    </row>
    <row r="161" spans="1:52" ht="16.5" customHeight="1" thickBot="1">
      <c r="A161" s="1127"/>
      <c r="B161" s="1179"/>
      <c r="C161" s="4507" t="s">
        <v>658</v>
      </c>
      <c r="D161" s="2686" t="s">
        <v>3806</v>
      </c>
      <c r="E161" s="2686"/>
      <c r="F161" s="1179"/>
      <c r="G161" s="1179"/>
      <c r="H161" s="1179"/>
      <c r="I161" s="1179"/>
      <c r="J161" s="1179"/>
      <c r="K161" s="1179"/>
      <c r="L161" s="1179"/>
      <c r="M161" s="1179"/>
      <c r="N161" s="1179"/>
      <c r="O161" s="1179"/>
      <c r="P161" s="1179"/>
      <c r="Q161" s="1179"/>
      <c r="R161" s="1179"/>
      <c r="S161" s="1179"/>
      <c r="T161" s="1179"/>
      <c r="U161" s="1179"/>
      <c r="V161" s="1179"/>
      <c r="W161" s="1179"/>
      <c r="X161" s="1179"/>
      <c r="Y161" s="1179"/>
      <c r="Z161" s="1179"/>
      <c r="AA161" s="1179"/>
      <c r="AB161" s="1179"/>
      <c r="AC161" s="3489" t="s">
        <v>2401</v>
      </c>
      <c r="AD161" s="2224">
        <v>13</v>
      </c>
      <c r="AE161" s="9115" t="str">
        <f>IF(AM134,"",IF(NOT(AM138),SUM(X158,X160),""))</f>
        <v/>
      </c>
      <c r="AF161" s="9116"/>
      <c r="AG161" s="9116"/>
      <c r="AH161" s="9116"/>
      <c r="AI161" s="9116"/>
      <c r="AJ161" s="9116"/>
      <c r="AK161" s="1127"/>
      <c r="AL161" s="1179"/>
      <c r="AM161" s="24" t="s">
        <v>411</v>
      </c>
      <c r="AN161" s="1179"/>
      <c r="AY161" s="1731"/>
      <c r="AZ161" s="1731"/>
    </row>
    <row r="162" spans="1:52" ht="16.5" customHeight="1" thickBot="1">
      <c r="A162" s="1127"/>
      <c r="B162" s="1179"/>
      <c r="C162" s="4507" t="s">
        <v>661</v>
      </c>
      <c r="D162" s="2686" t="s">
        <v>3814</v>
      </c>
      <c r="E162" s="2686"/>
      <c r="F162" s="1179"/>
      <c r="G162" s="1179"/>
      <c r="H162" s="1179"/>
      <c r="I162" s="1179"/>
      <c r="J162" s="1179"/>
      <c r="K162" s="1179"/>
      <c r="L162" s="3490" t="s">
        <v>3813</v>
      </c>
      <c r="M162" s="1577" t="str">
        <f>"your total basis in traditional IRAs for "&amp;TaxYear&amp;" and earlier years"</f>
        <v>your total basis in traditional IRAs for 2021 and earlier years</v>
      </c>
      <c r="N162" s="1179"/>
      <c r="O162" s="1179"/>
      <c r="P162" s="1179"/>
      <c r="Q162" s="1179"/>
      <c r="R162" s="1179"/>
      <c r="S162" s="1179"/>
      <c r="T162" s="1179"/>
      <c r="U162" s="1179"/>
      <c r="V162" s="1179"/>
      <c r="W162" s="2214"/>
      <c r="X162" s="1582"/>
      <c r="Y162" s="1179"/>
      <c r="Z162" s="1179"/>
      <c r="AA162" s="1179"/>
      <c r="AB162" s="1179"/>
      <c r="AC162" s="4099" t="s">
        <v>2424</v>
      </c>
      <c r="AD162" s="2224">
        <v>14</v>
      </c>
      <c r="AE162" s="9115" t="str">
        <f>IF(AM162&lt;&gt;"",ROUND(AM162,0),IF(AM134,"",IF(NOT(AM138),MAX(0,SUM(AE136,-AE161)),MAX(0,AE136))))</f>
        <v/>
      </c>
      <c r="AF162" s="9116"/>
      <c r="AG162" s="9116"/>
      <c r="AH162" s="9116"/>
      <c r="AI162" s="9116"/>
      <c r="AJ162" s="9116"/>
      <c r="AK162" s="1127"/>
      <c r="AL162" s="1179"/>
      <c r="AM162" s="4377"/>
      <c r="AN162" s="1179"/>
      <c r="AY162" s="1731"/>
      <c r="AZ162" s="1731"/>
    </row>
    <row r="163" spans="1:52" ht="16.5" customHeight="1">
      <c r="A163" s="1127"/>
      <c r="B163" s="1179"/>
      <c r="C163" s="4507" t="s">
        <v>3855</v>
      </c>
      <c r="D163" s="3355" t="s">
        <v>3807</v>
      </c>
      <c r="E163" s="2686"/>
      <c r="F163" s="1179"/>
      <c r="G163" s="1179"/>
      <c r="H163" s="1179"/>
      <c r="I163" s="1179"/>
      <c r="J163" s="1179"/>
      <c r="K163" s="1179"/>
      <c r="L163" s="1179"/>
      <c r="M163" s="1179"/>
      <c r="N163" s="1179"/>
      <c r="O163" s="1179"/>
      <c r="P163" s="1179"/>
      <c r="Q163" s="1179"/>
      <c r="R163" s="1179"/>
      <c r="S163" s="1179"/>
      <c r="T163" s="1179"/>
      <c r="U163" s="1179"/>
      <c r="V163" s="1179"/>
      <c r="W163" s="1179"/>
      <c r="X163" s="1179"/>
      <c r="Y163" s="1179"/>
      <c r="Z163" s="1179"/>
      <c r="AA163" s="1179"/>
      <c r="AB163" s="1179"/>
      <c r="AC163" s="3489" t="s">
        <v>1044</v>
      </c>
      <c r="AD163" s="2224" t="s">
        <v>3808</v>
      </c>
      <c r="AE163" s="9115" t="str">
        <f>IF(AM134,"",IF(NOT(AM138),SUM(X151,-X160),""))</f>
        <v/>
      </c>
      <c r="AF163" s="9116"/>
      <c r="AG163" s="9116"/>
      <c r="AH163" s="9116"/>
      <c r="AI163" s="9116"/>
      <c r="AJ163" s="9116"/>
      <c r="AK163" s="1127"/>
      <c r="AL163" s="4516"/>
      <c r="AM163" s="4516"/>
      <c r="AN163" s="4516"/>
      <c r="AY163" s="1731"/>
      <c r="AZ163" s="1731"/>
    </row>
    <row r="164" spans="1:52" ht="15" customHeight="1">
      <c r="A164" s="1127"/>
      <c r="B164" s="1179"/>
      <c r="C164" s="4508" t="s">
        <v>47</v>
      </c>
      <c r="D164" s="2686" t="str">
        <f>"Enter the amount on line 15a attributable to qualified disaster distributions from "&amp;TaxYear&amp;" Forms 8915-D,"</f>
        <v>Enter the amount on line 15a attributable to qualified disaster distributions from 2021 Forms 8915-D,</v>
      </c>
      <c r="E164" s="2686"/>
      <c r="F164" s="1179"/>
      <c r="G164" s="1179"/>
      <c r="H164" s="1179"/>
      <c r="I164" s="1179"/>
      <c r="J164" s="1179"/>
      <c r="K164" s="1179"/>
      <c r="L164" s="1179"/>
      <c r="M164" s="1179"/>
      <c r="N164" s="1179"/>
      <c r="O164" s="1179"/>
      <c r="P164" s="1179"/>
      <c r="Q164" s="1179"/>
      <c r="R164" s="1179"/>
      <c r="S164" s="1179"/>
      <c r="T164" s="1179"/>
      <c r="U164" s="1179"/>
      <c r="V164" s="1179"/>
      <c r="W164" s="1179"/>
      <c r="X164" s="1179"/>
      <c r="Y164" s="1179"/>
      <c r="Z164" s="1179"/>
      <c r="AA164" s="1179"/>
      <c r="AB164" s="1179"/>
      <c r="AC164" s="1583"/>
      <c r="AD164" s="1558"/>
      <c r="AE164" s="1179"/>
      <c r="AF164" s="1179"/>
      <c r="AG164" s="1179"/>
      <c r="AH164" s="1179"/>
      <c r="AI164" s="1179"/>
      <c r="AJ164" s="1179"/>
      <c r="AK164" s="1127"/>
      <c r="AL164" s="4516"/>
      <c r="AM164" s="4516"/>
      <c r="AN164" s="4516"/>
    </row>
    <row r="165" spans="1:52" ht="15" customHeight="1">
      <c r="A165" s="1127"/>
      <c r="B165" s="1179"/>
      <c r="C165" s="3838"/>
      <c r="D165" s="2686" t="str">
        <f>"and 8915-F (see instructions). Also, enter this amount on "&amp;TaxYear&amp;" Form 8915-D, line 23,"</f>
        <v>and 8915-F (see instructions). Also, enter this amount on 2021 Form 8915-D, line 23,</v>
      </c>
      <c r="E165" s="1927"/>
      <c r="F165" s="1927"/>
      <c r="G165" s="1927"/>
      <c r="H165" s="1179"/>
      <c r="I165" s="1179"/>
      <c r="J165" s="1179"/>
      <c r="K165" s="1179"/>
      <c r="L165" s="1179"/>
      <c r="M165" s="1179"/>
      <c r="N165" s="1179"/>
      <c r="O165" s="1179"/>
      <c r="P165" s="1179"/>
      <c r="Q165" s="1179"/>
      <c r="R165" s="1179"/>
      <c r="S165" s="1179"/>
      <c r="T165" s="1179"/>
      <c r="U165" s="1179"/>
      <c r="V165" s="1179"/>
      <c r="W165" s="1179"/>
      <c r="X165" s="1577" t="s">
        <v>243</v>
      </c>
      <c r="Y165" s="1179"/>
      <c r="Z165" s="1179"/>
      <c r="AA165" s="1179"/>
      <c r="AB165" s="1179"/>
      <c r="AC165" s="1179"/>
      <c r="AD165" s="1558"/>
      <c r="AE165" s="1179"/>
      <c r="AF165" s="1179"/>
      <c r="AG165" s="1179"/>
      <c r="AH165" s="1179"/>
      <c r="AI165" s="1179"/>
      <c r="AJ165" s="1179"/>
      <c r="AK165" s="1127"/>
      <c r="AL165" s="4516"/>
      <c r="AM165" s="4516"/>
      <c r="AN165" s="4516"/>
    </row>
    <row r="166" spans="1:52" ht="15" customHeight="1">
      <c r="A166" s="1127"/>
      <c r="B166" s="1179"/>
      <c r="C166" s="3838"/>
      <c r="D166" s="2686" t="str">
        <f>TaxYear&amp;" Form 8915-F, line 18, as applicable"</f>
        <v>2021 Form 8915-F, line 18, as applicable</v>
      </c>
      <c r="E166" s="1927"/>
      <c r="F166" s="1927"/>
      <c r="G166" s="1927"/>
      <c r="H166" s="1927"/>
      <c r="I166" s="1179"/>
      <c r="J166" s="1179"/>
      <c r="K166" s="1179"/>
      <c r="L166" s="1179"/>
      <c r="M166" s="1179"/>
      <c r="N166" s="1179"/>
      <c r="O166" s="1179"/>
      <c r="P166" s="1179"/>
      <c r="Q166" s="1179"/>
      <c r="R166" s="1179"/>
      <c r="S166" s="1179"/>
      <c r="T166" s="1179"/>
      <c r="U166" s="1179"/>
      <c r="V166" s="1179"/>
      <c r="W166" s="1179"/>
      <c r="X166" s="1179"/>
      <c r="Y166" s="1179"/>
      <c r="Z166" s="1179"/>
      <c r="AA166" s="1179"/>
      <c r="AB166" s="1179"/>
      <c r="AC166" s="3489" t="s">
        <v>2780</v>
      </c>
      <c r="AD166" s="2224" t="s">
        <v>3809</v>
      </c>
      <c r="AE166" s="9111"/>
      <c r="AF166" s="9112"/>
      <c r="AG166" s="9112"/>
      <c r="AH166" s="9112"/>
      <c r="AI166" s="9112"/>
      <c r="AJ166" s="9112"/>
      <c r="AK166" s="1127"/>
      <c r="AL166" s="1284">
        <f>IF(AE166&lt;&gt;"",1,0)</f>
        <v>0</v>
      </c>
      <c r="AM166" s="24" t="s">
        <v>90</v>
      </c>
      <c r="AN166" s="4516"/>
    </row>
    <row r="167" spans="1:52" ht="16.5" customHeight="1" thickBot="1">
      <c r="A167" s="1127"/>
      <c r="B167" s="1179"/>
      <c r="C167" s="4508" t="s">
        <v>48</v>
      </c>
      <c r="D167" s="1577" t="s">
        <v>3815</v>
      </c>
      <c r="E167" s="1927"/>
      <c r="F167" s="1927"/>
      <c r="G167" s="1927"/>
      <c r="H167" s="2686"/>
      <c r="I167" s="2686" t="str">
        <f>"Subtract line 15b from line 15a. If more than zero, also include this amount on "&amp;TaxYear</f>
        <v>Subtract line 15b from line 15a. If more than zero, also include this amount on 2021</v>
      </c>
      <c r="J167" s="1179"/>
      <c r="K167" s="1179"/>
      <c r="L167" s="1179"/>
      <c r="M167" s="1179"/>
      <c r="N167" s="1179"/>
      <c r="O167" s="1179"/>
      <c r="P167" s="1179"/>
      <c r="Q167" s="1179"/>
      <c r="R167" s="1179"/>
      <c r="S167" s="1179"/>
      <c r="T167" s="1179"/>
      <c r="U167" s="1179"/>
      <c r="V167" s="1179"/>
      <c r="W167" s="1179"/>
      <c r="X167" s="1179"/>
      <c r="Y167" s="1179"/>
      <c r="Z167" s="1179"/>
      <c r="AA167" s="1179"/>
      <c r="AB167" s="1179"/>
      <c r="AC167" s="1560"/>
      <c r="AD167" s="1558"/>
      <c r="AE167" s="1179"/>
      <c r="AF167" s="1179"/>
      <c r="AG167" s="1179"/>
      <c r="AH167" s="1179"/>
      <c r="AI167" s="1179"/>
      <c r="AJ167" s="1179"/>
      <c r="AK167" s="1127"/>
      <c r="AL167" s="4516"/>
      <c r="AM167" s="24" t="s">
        <v>411</v>
      </c>
      <c r="AN167" s="4516"/>
    </row>
    <row r="168" spans="1:52" ht="16.5" customHeight="1" thickBot="1">
      <c r="A168" s="1127"/>
      <c r="B168" s="1179"/>
      <c r="C168" s="4507"/>
      <c r="D168" s="3719" t="s">
        <v>4232</v>
      </c>
      <c r="E168" s="2686"/>
      <c r="F168" s="1179"/>
      <c r="G168" s="1179"/>
      <c r="H168" s="1179"/>
      <c r="I168" s="1179"/>
      <c r="J168" s="1179"/>
      <c r="K168" s="1179"/>
      <c r="L168" s="1179"/>
      <c r="M168" s="1179"/>
      <c r="N168" s="1179"/>
      <c r="O168" s="1179"/>
      <c r="P168" s="1179"/>
      <c r="Q168" s="1179"/>
      <c r="R168" s="1179"/>
      <c r="S168" s="1179"/>
      <c r="T168" s="1179"/>
      <c r="U168" s="1179"/>
      <c r="V168" s="1179"/>
      <c r="W168" s="1179"/>
      <c r="X168" s="1179"/>
      <c r="Y168" s="1179"/>
      <c r="Z168" s="1179"/>
      <c r="AA168" s="1179"/>
      <c r="AB168" s="1179"/>
      <c r="AC168" s="3489" t="s">
        <v>4237</v>
      </c>
      <c r="AD168" s="2224" t="s">
        <v>3282</v>
      </c>
      <c r="AE168" s="9115" t="str">
        <f>IF(AM134,"",IF(AM168&lt;&gt;"",ROUND(AM168,0),IF(NOT(AM138),SUM(AE163,-AE166),"")))</f>
        <v/>
      </c>
      <c r="AF168" s="9116"/>
      <c r="AG168" s="9116"/>
      <c r="AH168" s="9116"/>
      <c r="AI168" s="9116"/>
      <c r="AJ168" s="9116"/>
      <c r="AK168" s="1127"/>
      <c r="AL168" s="1824"/>
      <c r="AM168" s="4377"/>
      <c r="AN168" s="1179"/>
    </row>
    <row r="169" spans="1:52" ht="16.5" customHeight="1">
      <c r="A169" s="1127"/>
      <c r="B169" s="1179"/>
      <c r="C169" s="4507"/>
      <c r="D169" s="2686" t="s">
        <v>3817</v>
      </c>
      <c r="E169" s="2686"/>
      <c r="F169" s="1179"/>
      <c r="G169" s="1179"/>
      <c r="H169" s="1179"/>
      <c r="I169" s="1179"/>
      <c r="J169" s="1179"/>
      <c r="K169" s="1179"/>
      <c r="L169" s="1179"/>
      <c r="M169" s="1179"/>
      <c r="N169" s="1179"/>
      <c r="O169" s="1179"/>
      <c r="P169" s="1179"/>
      <c r="Q169" s="1179"/>
      <c r="R169" s="1179"/>
      <c r="S169" s="1179"/>
      <c r="T169" s="1179"/>
      <c r="U169" s="1179"/>
      <c r="V169" s="1179"/>
      <c r="W169" s="1179"/>
      <c r="X169" s="1179"/>
      <c r="Y169" s="1179"/>
      <c r="Z169" s="1179"/>
      <c r="AA169" s="1179"/>
      <c r="AB169" s="1179"/>
      <c r="AC169" s="1179"/>
      <c r="AD169" s="4468"/>
      <c r="AE169" s="4469"/>
      <c r="AF169" s="4469"/>
      <c r="AG169" s="4469"/>
      <c r="AH169" s="4469"/>
      <c r="AI169" s="4469"/>
      <c r="AJ169" s="4469"/>
      <c r="AK169" s="1127"/>
      <c r="AL169" s="1824"/>
      <c r="AM169" s="1176"/>
      <c r="AN169" s="1179"/>
    </row>
    <row r="170" spans="1:52" ht="16.5" customHeight="1" thickBot="1">
      <c r="A170" s="1127"/>
      <c r="B170" s="1179"/>
      <c r="C170" s="3838"/>
      <c r="D170" s="2686" t="s">
        <v>3816</v>
      </c>
      <c r="E170" s="2686"/>
      <c r="F170" s="1179"/>
      <c r="G170" s="1179"/>
      <c r="H170" s="1179"/>
      <c r="I170" s="1179"/>
      <c r="J170" s="1179"/>
      <c r="K170" s="1179"/>
      <c r="L170" s="1179"/>
      <c r="M170" s="1179"/>
      <c r="N170" s="1179"/>
      <c r="O170" s="1179"/>
      <c r="P170" s="1179"/>
      <c r="Q170" s="1179"/>
      <c r="R170" s="1179"/>
      <c r="S170" s="1179"/>
      <c r="T170" s="1179"/>
      <c r="U170" s="1179"/>
      <c r="V170" s="1179"/>
      <c r="W170" s="1179"/>
      <c r="X170" s="1179"/>
      <c r="Y170" s="1179"/>
      <c r="Z170" s="1179"/>
      <c r="AA170" s="1179"/>
      <c r="AB170" s="1179"/>
      <c r="AC170" s="3489"/>
      <c r="AD170" s="4470"/>
      <c r="AE170" s="4471"/>
      <c r="AF170" s="4472"/>
      <c r="AG170" s="4472"/>
      <c r="AH170" s="4472"/>
      <c r="AI170" s="4472"/>
      <c r="AJ170" s="4472"/>
      <c r="AK170" s="1127"/>
      <c r="AL170" s="2770"/>
      <c r="AM170" s="1276"/>
      <c r="AN170" s="1179"/>
    </row>
    <row r="171" spans="1:52" s="3402" customFormat="1" ht="15.75">
      <c r="A171" s="3753"/>
      <c r="B171" s="3750" t="s">
        <v>3810</v>
      </c>
      <c r="C171" s="4463"/>
      <c r="D171" s="1017"/>
      <c r="E171" s="1017"/>
      <c r="F171" s="1017"/>
      <c r="G171" s="1017"/>
      <c r="H171" s="1017"/>
      <c r="I171" s="1017"/>
      <c r="J171" s="1017"/>
      <c r="K171" s="1017"/>
      <c r="L171" s="1017"/>
      <c r="M171" s="1017"/>
      <c r="N171" s="1017"/>
      <c r="O171" s="1017"/>
      <c r="P171" s="1017"/>
      <c r="Q171" s="31"/>
      <c r="R171" s="31"/>
      <c r="S171" s="31"/>
      <c r="T171" s="31"/>
      <c r="U171" s="3751"/>
      <c r="V171" s="31"/>
      <c r="W171" s="3751" t="s">
        <v>3811</v>
      </c>
      <c r="X171" s="31"/>
      <c r="Y171" s="31"/>
      <c r="Z171" s="31"/>
      <c r="AA171" s="31"/>
      <c r="AB171" s="31"/>
      <c r="AC171" s="31"/>
      <c r="AD171" s="31"/>
      <c r="AE171" s="31"/>
      <c r="AF171" s="31"/>
      <c r="AG171" s="31"/>
      <c r="AH171" s="3752" t="s">
        <v>3812</v>
      </c>
      <c r="AI171" s="31"/>
      <c r="AJ171" s="3752" t="str">
        <f>"("&amp;TaxYear&amp;")"</f>
        <v>(2021)</v>
      </c>
      <c r="AK171" s="1127"/>
      <c r="AL171" s="1179"/>
      <c r="AM171" s="1179"/>
      <c r="AN171" s="1179"/>
      <c r="AO171" s="2595"/>
      <c r="AP171" s="2595"/>
      <c r="AQ171" s="2595"/>
      <c r="AR171" s="2595"/>
      <c r="AS171" s="2595"/>
      <c r="AT171" s="2595"/>
      <c r="AU171" s="2595"/>
      <c r="AV171" s="2595"/>
      <c r="AW171" s="2595"/>
      <c r="AX171" s="2595"/>
      <c r="AY171" s="42"/>
      <c r="AZ171" s="42"/>
    </row>
    <row r="172" spans="1:52" s="3402" customFormat="1" ht="18" customHeight="1" thickBot="1">
      <c r="A172" s="1127"/>
      <c r="B172" s="1359" t="str">
        <f>"Form 8606 ("&amp;TaxYear&amp;")"</f>
        <v>Form 8606 (2021)</v>
      </c>
      <c r="C172" s="4464"/>
      <c r="D172" s="1359"/>
      <c r="E172" s="1359"/>
      <c r="F172" s="1359"/>
      <c r="G172" s="1359"/>
      <c r="H172" s="1359"/>
      <c r="I172" s="1359"/>
      <c r="J172" s="1359"/>
      <c r="K172" s="1359"/>
      <c r="L172" s="1359"/>
      <c r="M172" s="1359"/>
      <c r="N172" s="1359"/>
      <c r="O172" s="1359"/>
      <c r="P172" s="1359"/>
      <c r="Q172" s="1359"/>
      <c r="R172" s="1359"/>
      <c r="S172" s="1359"/>
      <c r="T172" s="1359"/>
      <c r="U172" s="1359"/>
      <c r="V172" s="1359"/>
      <c r="W172" s="1359"/>
      <c r="X172" s="1359"/>
      <c r="Y172" s="1359"/>
      <c r="Z172" s="1359"/>
      <c r="AA172" s="1359"/>
      <c r="AB172" s="1359"/>
      <c r="AC172" s="1359"/>
      <c r="AD172" s="1359"/>
      <c r="AE172" s="1359"/>
      <c r="AF172" s="1359"/>
      <c r="AG172" s="1359"/>
      <c r="AH172" s="1359"/>
      <c r="AI172" s="1815" t="s">
        <v>197</v>
      </c>
      <c r="AJ172" s="1816">
        <v>2</v>
      </c>
      <c r="AK172" s="1127"/>
      <c r="AL172" s="1179"/>
      <c r="AM172" s="1179"/>
      <c r="AN172" s="1179"/>
      <c r="AO172" s="2595"/>
      <c r="AP172" s="2595"/>
      <c r="AQ172" s="2595"/>
      <c r="AR172" s="2595"/>
      <c r="AS172" s="2595"/>
      <c r="AT172" s="2595"/>
      <c r="AU172" s="2595"/>
      <c r="AV172" s="2595"/>
      <c r="AW172" s="2595"/>
      <c r="AX172" s="2595"/>
      <c r="AY172" s="42"/>
      <c r="AZ172" s="42"/>
    </row>
    <row r="173" spans="1:52" s="3402" customFormat="1" ht="19.5" customHeight="1" thickTop="1">
      <c r="A173" s="1127"/>
      <c r="B173" s="9166" t="s">
        <v>118</v>
      </c>
      <c r="C173" s="9166"/>
      <c r="D173" s="4474"/>
      <c r="E173" s="4475" t="str">
        <f>TaxYear&amp;" Conversions From Traditional, SEP, or SIMPLE IRAs to Roth IRAs"</f>
        <v>2021 Conversions From Traditional, SEP, or SIMPLE IRAs to Roth IRAs</v>
      </c>
      <c r="F173" s="1358"/>
      <c r="G173" s="1358"/>
      <c r="H173" s="1358"/>
      <c r="I173" s="1358"/>
      <c r="J173" s="1358"/>
      <c r="K173" s="1358"/>
      <c r="L173" s="1358"/>
      <c r="M173" s="1358"/>
      <c r="N173" s="1358"/>
      <c r="O173" s="1358"/>
      <c r="P173" s="1358"/>
      <c r="Q173" s="1358"/>
      <c r="R173" s="1358"/>
      <c r="S173" s="1358"/>
      <c r="T173" s="1358"/>
      <c r="U173" s="1358"/>
      <c r="V173" s="1358"/>
      <c r="W173" s="1358"/>
      <c r="X173" s="1358"/>
      <c r="Y173" s="1358"/>
      <c r="Z173" s="1358"/>
      <c r="AA173" s="1358"/>
      <c r="AB173" s="1358"/>
      <c r="AC173" s="1358"/>
      <c r="AD173" s="1358"/>
      <c r="AE173" s="1358"/>
      <c r="AF173" s="1358"/>
      <c r="AG173" s="1358"/>
      <c r="AH173" s="1358"/>
      <c r="AI173" s="1358"/>
      <c r="AJ173" s="1358"/>
      <c r="AK173" s="1127"/>
      <c r="AL173" s="1179"/>
      <c r="AM173" s="24"/>
      <c r="AN173" s="1179"/>
      <c r="AO173" s="2595"/>
      <c r="AP173" s="2595"/>
      <c r="AQ173" s="2595"/>
      <c r="AR173" s="2595"/>
      <c r="AS173" s="2595"/>
      <c r="AT173" s="2595"/>
      <c r="AU173" s="2595"/>
      <c r="AV173" s="2595"/>
      <c r="AW173" s="2595"/>
      <c r="AX173" s="2595"/>
      <c r="AY173" s="42"/>
      <c r="AZ173" s="42"/>
    </row>
    <row r="174" spans="1:52" s="3402" customFormat="1" ht="16.5" customHeight="1">
      <c r="A174" s="1127"/>
      <c r="B174" s="4360"/>
      <c r="C174" s="4360"/>
      <c r="D174" s="4360"/>
      <c r="E174" s="4476" t="str">
        <f>"Complete this part if you converted part or all of your traditional, SEP, and SIMPLE IRAs to a Roth IRA in "&amp;TaxYear&amp;"."</f>
        <v>Complete this part if you converted part or all of your traditional, SEP, and SIMPLE IRAs to a Roth IRA in 2021.</v>
      </c>
      <c r="F174" s="4360"/>
      <c r="G174" s="4360"/>
      <c r="H174" s="4360"/>
      <c r="I174" s="4360"/>
      <c r="J174" s="4360"/>
      <c r="K174" s="4360"/>
      <c r="L174" s="4360"/>
      <c r="M174" s="4360"/>
      <c r="N174" s="4360"/>
      <c r="O174" s="4360"/>
      <c r="P174" s="4360"/>
      <c r="Q174" s="4360"/>
      <c r="R174" s="4360"/>
      <c r="S174" s="4360"/>
      <c r="T174" s="4360"/>
      <c r="U174" s="4360"/>
      <c r="V174" s="4360"/>
      <c r="W174" s="4360"/>
      <c r="X174" s="4360"/>
      <c r="Y174" s="4360"/>
      <c r="Z174" s="4360"/>
      <c r="AA174" s="4360"/>
      <c r="AB174" s="4360"/>
      <c r="AC174" s="4360"/>
      <c r="AD174" s="4360"/>
      <c r="AE174" s="4360"/>
      <c r="AF174" s="4360"/>
      <c r="AG174" s="4360"/>
      <c r="AH174" s="4360"/>
      <c r="AI174" s="4360"/>
      <c r="AJ174" s="4360"/>
      <c r="AK174" s="1127"/>
      <c r="AL174" s="1179"/>
      <c r="AM174" s="24" t="s">
        <v>90</v>
      </c>
      <c r="AN174" s="1179"/>
      <c r="AO174" s="2595"/>
      <c r="AP174" s="2595"/>
      <c r="AQ174" s="2595"/>
      <c r="AR174" s="2595"/>
      <c r="AS174" s="2595"/>
      <c r="AT174" s="2595"/>
      <c r="AU174" s="2595"/>
      <c r="AV174" s="2595"/>
      <c r="AW174" s="2595"/>
      <c r="AX174" s="2595"/>
      <c r="AY174" s="42"/>
      <c r="AZ174" s="42"/>
    </row>
    <row r="175" spans="1:52" ht="16.5" customHeight="1" thickBot="1">
      <c r="A175" s="1127"/>
      <c r="B175" s="1179"/>
      <c r="C175" s="4507">
        <v>16</v>
      </c>
      <c r="D175" s="2686" t="s">
        <v>3818</v>
      </c>
      <c r="E175" s="1927"/>
      <c r="F175" s="1927"/>
      <c r="G175" s="1927"/>
      <c r="H175" s="1179"/>
      <c r="I175" s="1179"/>
      <c r="J175" s="1179"/>
      <c r="K175" s="1179"/>
      <c r="L175" s="1179"/>
      <c r="M175" s="1179"/>
      <c r="N175" s="1179"/>
      <c r="O175" s="1179"/>
      <c r="P175" s="1179"/>
      <c r="Q175" s="1179"/>
      <c r="R175" s="1179"/>
      <c r="S175" s="1179"/>
      <c r="T175" s="1179"/>
      <c r="U175" s="1179"/>
      <c r="V175" s="1179"/>
      <c r="W175" s="1179"/>
      <c r="X175" s="1179"/>
      <c r="Y175" s="1179"/>
      <c r="Z175" s="1179"/>
      <c r="AA175" s="1179"/>
      <c r="AB175" s="1179"/>
      <c r="AC175" s="1179"/>
      <c r="AD175" s="1558"/>
      <c r="AE175" s="1179"/>
      <c r="AF175" s="1179"/>
      <c r="AG175" s="1179"/>
      <c r="AH175" s="1179"/>
      <c r="AI175" s="1179"/>
      <c r="AJ175" s="1179"/>
      <c r="AK175" s="1127"/>
      <c r="AL175" s="1179"/>
      <c r="AM175" s="24" t="s">
        <v>411</v>
      </c>
      <c r="AN175" s="1179"/>
    </row>
    <row r="176" spans="1:52" ht="16.5" customHeight="1" thickBot="1">
      <c r="A176" s="1127"/>
      <c r="B176" s="1179"/>
      <c r="C176" s="3838"/>
      <c r="D176" s="2686" t="str">
        <f>"from traditional, SEP, and SIMPLE IRAs to Roth IRAs in "&amp;TaxYear</f>
        <v>from traditional, SEP, and SIMPLE IRAs to Roth IRAs in 2021</v>
      </c>
      <c r="E176" s="1927"/>
      <c r="F176" s="1927"/>
      <c r="G176" s="1927"/>
      <c r="H176" s="1927"/>
      <c r="I176" s="1179"/>
      <c r="J176" s="1179"/>
      <c r="K176" s="1179"/>
      <c r="L176" s="1179"/>
      <c r="M176" s="1179"/>
      <c r="N176" s="1179"/>
      <c r="O176" s="1179"/>
      <c r="P176" s="1179"/>
      <c r="Q176" s="1179"/>
      <c r="R176" s="1179"/>
      <c r="S176" s="1179"/>
      <c r="T176" s="1179"/>
      <c r="U176" s="1179"/>
      <c r="V176" s="1179"/>
      <c r="W176" s="1179"/>
      <c r="X176" s="1179"/>
      <c r="Y176" s="1179"/>
      <c r="Z176" s="1179"/>
      <c r="AA176" s="1179"/>
      <c r="AB176" s="1179"/>
      <c r="AC176" s="1560" t="s">
        <v>644</v>
      </c>
      <c r="AD176" s="2224" t="s">
        <v>1105</v>
      </c>
      <c r="AE176" s="9115">
        <f>IF(AM176&lt;&gt;"",ROUND(AM176,0),IF(X153&lt;&gt;"",X153,IF(AL115&lt;&gt;"",IRA_CONV_YOU,IF(AL116&lt;&gt;"",IRA_CONV_SPOUSE))))</f>
        <v>0</v>
      </c>
      <c r="AF176" s="9116"/>
      <c r="AG176" s="9116"/>
      <c r="AH176" s="9116"/>
      <c r="AI176" s="9116"/>
      <c r="AJ176" s="9116"/>
      <c r="AK176" s="1127"/>
      <c r="AL176" s="1824"/>
      <c r="AM176" s="4377"/>
      <c r="AN176" s="1179"/>
    </row>
    <row r="177" spans="1:52" ht="16.5" customHeight="1" thickBot="1">
      <c r="A177" s="1127"/>
      <c r="B177" s="1179"/>
      <c r="C177" s="4507">
        <v>17</v>
      </c>
      <c r="D177" s="2686" t="s">
        <v>3820</v>
      </c>
      <c r="E177" s="1927"/>
      <c r="F177" s="1927"/>
      <c r="G177" s="1927"/>
      <c r="H177" s="1179"/>
      <c r="I177" s="1179"/>
      <c r="J177" s="1179"/>
      <c r="K177" s="1179"/>
      <c r="L177" s="1179"/>
      <c r="M177" s="1179"/>
      <c r="N177" s="1179"/>
      <c r="O177" s="1179"/>
      <c r="P177" s="1179"/>
      <c r="Q177" s="1179"/>
      <c r="R177" s="1179"/>
      <c r="S177" s="1179"/>
      <c r="T177" s="1179"/>
      <c r="U177" s="1179"/>
      <c r="V177" s="1179"/>
      <c r="W177" s="1179"/>
      <c r="X177" s="1179"/>
      <c r="Y177" s="1179"/>
      <c r="Z177" s="1179"/>
      <c r="AA177" s="1179"/>
      <c r="AB177" s="1179"/>
      <c r="AC177" s="1179"/>
      <c r="AD177" s="1558"/>
      <c r="AE177" s="9108">
        <f>IF(AL115&lt;&gt;"",SUM(IRA_CONV_YOU,-IRA_CONV_TAXABLE_YOU),IF(AL116&lt;&gt;"",SUM(IRA_CONV_SPOUSE,-IRA_CONV_TAXABLE_SPOUSE),""))</f>
        <v>0</v>
      </c>
      <c r="AF177" s="9109"/>
      <c r="AG177" s="9109"/>
      <c r="AH177" s="9109"/>
      <c r="AI177" s="9109"/>
      <c r="AJ177" s="9109"/>
      <c r="AK177" s="1127"/>
      <c r="AL177" s="1179"/>
      <c r="AM177" s="24" t="str">
        <f>IF(NOT(AM134),"Bases in Line 16.","")</f>
        <v/>
      </c>
      <c r="AN177" s="1179"/>
    </row>
    <row r="178" spans="1:52" ht="16.5" customHeight="1" thickBot="1">
      <c r="A178" s="1127"/>
      <c r="B178" s="1179"/>
      <c r="C178" s="3838"/>
      <c r="D178" s="2686" t="s">
        <v>3821</v>
      </c>
      <c r="E178" s="1927"/>
      <c r="F178" s="1927"/>
      <c r="G178" s="1927"/>
      <c r="H178" s="1927"/>
      <c r="I178" s="1179"/>
      <c r="J178" s="1179"/>
      <c r="K178" s="1179"/>
      <c r="L178" s="1179"/>
      <c r="M178" s="1179"/>
      <c r="N178" s="1179"/>
      <c r="O178" s="1179"/>
      <c r="P178" s="1179"/>
      <c r="Q178" s="1179"/>
      <c r="R178" s="1179"/>
      <c r="S178" s="1179"/>
      <c r="T178" s="1179"/>
      <c r="U178" s="1179"/>
      <c r="V178" s="1179"/>
      <c r="W178" s="1179"/>
      <c r="X178" s="1179"/>
      <c r="Y178" s="1179"/>
      <c r="Z178" s="1179"/>
      <c r="AA178" s="1179"/>
      <c r="AB178" s="1179"/>
      <c r="AC178" s="1560" t="s">
        <v>2908</v>
      </c>
      <c r="AD178" s="4372" t="s">
        <v>1107</v>
      </c>
      <c r="AE178" s="9119">
        <f>IF(AM178&lt;&gt;"",ROUND(AM178,0),IF(AM135,X158,IF(AE177="- - - -",AE176,IF(OR(AE177="",ISERROR(AE177+1)),"",AE177))))</f>
        <v>0</v>
      </c>
      <c r="AF178" s="9120"/>
      <c r="AG178" s="9120"/>
      <c r="AH178" s="9120"/>
      <c r="AI178" s="9120"/>
      <c r="AJ178" s="9120"/>
      <c r="AK178" s="1127"/>
      <c r="AL178" s="1824"/>
      <c r="AM178" s="4377"/>
      <c r="AN178" s="1179"/>
    </row>
    <row r="179" spans="1:52" ht="16.5" customHeight="1">
      <c r="A179" s="1127"/>
      <c r="B179" s="1179"/>
      <c r="C179" s="4507">
        <v>18</v>
      </c>
      <c r="D179" s="1577" t="s">
        <v>3822</v>
      </c>
      <c r="E179" s="1927"/>
      <c r="F179" s="1927"/>
      <c r="G179" s="1927"/>
      <c r="H179" s="1179"/>
      <c r="I179" s="2686" t="str">
        <f>"Subtract line 17 from line 16. If more than zero, also include this amount on "&amp;TaxYear</f>
        <v>Subtract line 17 from line 16. If more than zero, also include this amount on 2021</v>
      </c>
      <c r="J179" s="1179"/>
      <c r="K179" s="1179"/>
      <c r="L179" s="1179"/>
      <c r="M179" s="1179"/>
      <c r="N179" s="1179"/>
      <c r="O179" s="1179"/>
      <c r="P179" s="1179"/>
      <c r="Q179" s="1179"/>
      <c r="R179" s="1179"/>
      <c r="S179" s="1179"/>
      <c r="T179" s="1179"/>
      <c r="U179" s="1179"/>
      <c r="V179" s="1179"/>
      <c r="W179" s="1179"/>
      <c r="X179" s="1179"/>
      <c r="Y179" s="1179"/>
      <c r="Z179" s="1179"/>
      <c r="AA179" s="1179"/>
      <c r="AB179" s="1179"/>
      <c r="AC179" s="1179"/>
      <c r="AD179" s="1558"/>
      <c r="AE179" s="1179"/>
      <c r="AF179" s="1179"/>
      <c r="AG179" s="1179"/>
      <c r="AH179" s="1179"/>
      <c r="AI179" s="1179"/>
      <c r="AJ179" s="1179"/>
      <c r="AK179" s="1127"/>
      <c r="AL179" s="4516"/>
      <c r="AM179" s="4516"/>
      <c r="AN179" s="4516"/>
    </row>
    <row r="180" spans="1:52" ht="16.5" customHeight="1" thickBot="1">
      <c r="A180" s="1127"/>
      <c r="B180" s="1280"/>
      <c r="C180" s="4455"/>
      <c r="D180" s="2704" t="s">
        <v>4232</v>
      </c>
      <c r="E180" s="4455"/>
      <c r="F180" s="4455"/>
      <c r="G180" s="4455"/>
      <c r="H180" s="4455"/>
      <c r="I180" s="1280"/>
      <c r="J180" s="1280"/>
      <c r="K180" s="1280"/>
      <c r="L180" s="1280"/>
      <c r="M180" s="1280"/>
      <c r="N180" s="1280"/>
      <c r="O180" s="1280"/>
      <c r="P180" s="1280"/>
      <c r="Q180" s="1280"/>
      <c r="R180" s="1280"/>
      <c r="S180" s="1280"/>
      <c r="T180" s="1280"/>
      <c r="U180" s="1280"/>
      <c r="V180" s="1280"/>
      <c r="W180" s="1280"/>
      <c r="X180" s="1280"/>
      <c r="Y180" s="1280"/>
      <c r="Z180" s="1280"/>
      <c r="AA180" s="1280"/>
      <c r="AB180" s="1280"/>
      <c r="AC180" s="4477" t="s">
        <v>4237</v>
      </c>
      <c r="AD180" s="4372" t="s">
        <v>1109</v>
      </c>
      <c r="AE180" s="9119">
        <f>IF(OR(AE176="",AE178=""),"",SUM(AE176,-AE178))</f>
        <v>0</v>
      </c>
      <c r="AF180" s="9120"/>
      <c r="AG180" s="9120"/>
      <c r="AH180" s="9120"/>
      <c r="AI180" s="9120"/>
      <c r="AJ180" s="9120"/>
      <c r="AK180" s="1127"/>
      <c r="AL180" s="4516"/>
      <c r="AM180" s="5112">
        <f>MAX(0,AE180)</f>
        <v>0</v>
      </c>
      <c r="AN180" s="4516"/>
    </row>
    <row r="181" spans="1:52" s="3402" customFormat="1" ht="19.5" customHeight="1">
      <c r="A181" s="1127"/>
      <c r="B181" s="9208" t="s">
        <v>319</v>
      </c>
      <c r="C181" s="9208"/>
      <c r="D181" s="4478"/>
      <c r="E181" s="4496" t="s">
        <v>3823</v>
      </c>
      <c r="F181" s="1274"/>
      <c r="G181" s="1274"/>
      <c r="H181" s="1274"/>
      <c r="I181" s="1274"/>
      <c r="J181" s="1274"/>
      <c r="K181" s="1274"/>
      <c r="L181" s="1274"/>
      <c r="M181" s="1274"/>
      <c r="N181" s="1274"/>
      <c r="O181" s="1274"/>
      <c r="P181" s="1274"/>
      <c r="Q181" s="1274"/>
      <c r="R181" s="1274"/>
      <c r="S181" s="1274"/>
      <c r="T181" s="1274"/>
      <c r="U181" s="1274"/>
      <c r="V181" s="1274"/>
      <c r="W181" s="1274"/>
      <c r="X181" s="1274"/>
      <c r="Y181" s="1274"/>
      <c r="Z181" s="1274"/>
      <c r="AA181" s="1274"/>
      <c r="AB181" s="1274"/>
      <c r="AC181" s="1274"/>
      <c r="AD181" s="1274"/>
      <c r="AE181" s="1274"/>
      <c r="AF181" s="1274"/>
      <c r="AG181" s="1274"/>
      <c r="AH181" s="1274"/>
      <c r="AI181" s="1274"/>
      <c r="AJ181" s="1274"/>
      <c r="AK181" s="1127"/>
      <c r="AL181" s="4516"/>
      <c r="AM181" s="4516"/>
      <c r="AN181" s="4516"/>
      <c r="AO181" s="2595"/>
      <c r="AP181" s="2595"/>
      <c r="AQ181" s="2595"/>
      <c r="AR181" s="2595"/>
      <c r="AS181" s="2595"/>
      <c r="AT181" s="2595"/>
      <c r="AU181" s="2595"/>
      <c r="AV181" s="2595"/>
      <c r="AW181" s="2595"/>
      <c r="AX181" s="2595"/>
      <c r="AY181" s="42"/>
      <c r="AZ181" s="42"/>
    </row>
    <row r="182" spans="1:52" s="3402" customFormat="1" ht="15" customHeight="1">
      <c r="A182" s="1127"/>
      <c r="B182" s="4374"/>
      <c r="C182" s="4465"/>
      <c r="D182" s="4374" t="s">
        <v>3770</v>
      </c>
      <c r="E182" s="3986" t="str">
        <f>"Complete this part only if you took a distribution from a Roth IRA in "&amp;TaxYear&amp;". For this purpose, a distribution does not include"</f>
        <v>Complete this part only if you took a distribution from a Roth IRA in 2021. For this purpose, a distribution does not include</v>
      </c>
      <c r="F182" s="4374"/>
      <c r="G182" s="4374"/>
      <c r="H182" s="4374"/>
      <c r="I182" s="4374"/>
      <c r="J182" s="4374"/>
      <c r="K182" s="4374"/>
      <c r="L182" s="4374"/>
      <c r="M182" s="4374"/>
      <c r="N182" s="4374"/>
      <c r="O182" s="4374"/>
      <c r="P182" s="4374"/>
      <c r="Q182" s="4374"/>
      <c r="R182" s="4374"/>
      <c r="S182" s="4374"/>
      <c r="T182" s="4374"/>
      <c r="U182" s="4374"/>
      <c r="V182" s="4374"/>
      <c r="W182" s="4374"/>
      <c r="X182" s="4374"/>
      <c r="Y182" s="4374"/>
      <c r="Z182" s="4374"/>
      <c r="AA182" s="4374"/>
      <c r="AB182" s="4374"/>
      <c r="AC182" s="4374"/>
      <c r="AD182" s="4374"/>
      <c r="AE182" s="4374"/>
      <c r="AF182" s="4374"/>
      <c r="AG182" s="4374"/>
      <c r="AH182" s="4374"/>
      <c r="AI182" s="4374"/>
      <c r="AJ182" s="4374"/>
      <c r="AK182" s="1127"/>
      <c r="AL182" s="4516"/>
      <c r="AM182" s="4516"/>
      <c r="AN182" s="4516"/>
      <c r="AO182" s="2595"/>
      <c r="AP182" s="2595"/>
      <c r="AQ182" s="2595"/>
      <c r="AR182" s="2595"/>
      <c r="AS182" s="2595"/>
      <c r="AT182" s="2595"/>
      <c r="AU182" s="2595"/>
      <c r="AV182" s="2595"/>
      <c r="AW182" s="2595"/>
      <c r="AX182" s="2595"/>
      <c r="AY182" s="42"/>
      <c r="AZ182" s="42"/>
    </row>
    <row r="183" spans="1:52" s="4381" customFormat="1" ht="15.75" customHeight="1">
      <c r="A183" s="4353"/>
      <c r="B183" s="4374"/>
      <c r="C183" s="4465"/>
      <c r="D183" s="4393"/>
      <c r="E183" s="3986" t="str">
        <f>"a rollover (other than a repayment of a qualified disaster distribution (see "&amp;TaxYear&amp;" Forms 8915-D and 8915-F)), qualfied"</f>
        <v>a rollover (other than a repayment of a qualified disaster distribution (see 2021 Forms 8915-D and 8915-F)), qualfied</v>
      </c>
      <c r="F183" s="4374"/>
      <c r="G183" s="4374"/>
      <c r="H183" s="4374"/>
      <c r="I183" s="4374"/>
      <c r="J183" s="4374"/>
      <c r="K183" s="4374"/>
      <c r="L183" s="4374"/>
      <c r="M183" s="4374"/>
      <c r="N183" s="4374"/>
      <c r="O183" s="4374"/>
      <c r="P183" s="4374"/>
      <c r="Q183" s="4374"/>
      <c r="R183" s="4374"/>
      <c r="S183" s="4374"/>
      <c r="T183" s="4374"/>
      <c r="U183" s="4374"/>
      <c r="V183" s="4374"/>
      <c r="W183" s="4374"/>
      <c r="X183" s="4374"/>
      <c r="Y183" s="4374"/>
      <c r="Z183" s="4374"/>
      <c r="AA183" s="4374"/>
      <c r="AB183" s="4374"/>
      <c r="AC183" s="4374"/>
      <c r="AD183" s="4374"/>
      <c r="AE183" s="4374"/>
      <c r="AF183" s="4374"/>
      <c r="AG183" s="4374"/>
      <c r="AH183" s="4374"/>
      <c r="AI183" s="4374"/>
      <c r="AJ183" s="4374"/>
      <c r="AK183" s="4353"/>
      <c r="AL183" s="4516"/>
      <c r="AM183" s="4516"/>
      <c r="AN183" s="4516"/>
      <c r="AO183" s="4380"/>
      <c r="AP183" s="4380"/>
      <c r="AQ183" s="4380"/>
      <c r="AR183" s="4380"/>
      <c r="AS183" s="4380"/>
      <c r="AT183" s="4380"/>
      <c r="AU183" s="4380"/>
      <c r="AV183" s="4380"/>
      <c r="AW183" s="4380"/>
      <c r="AX183" s="4380"/>
      <c r="AY183" s="4355"/>
      <c r="AZ183" s="4355"/>
    </row>
    <row r="184" spans="1:52" s="4381" customFormat="1" ht="15.75" customHeight="1">
      <c r="A184" s="4353"/>
      <c r="B184" s="4374"/>
      <c r="C184" s="4465"/>
      <c r="D184" s="4393"/>
      <c r="E184" s="3986" t="s">
        <v>5454</v>
      </c>
      <c r="F184" s="4374"/>
      <c r="G184" s="4374"/>
      <c r="H184" s="4374"/>
      <c r="I184" s="4374"/>
      <c r="J184" s="4374"/>
      <c r="K184" s="4374"/>
      <c r="L184" s="4374"/>
      <c r="M184" s="4374"/>
      <c r="N184" s="4374"/>
      <c r="O184" s="4374"/>
      <c r="P184" s="4374"/>
      <c r="Q184" s="4374"/>
      <c r="R184" s="4374"/>
      <c r="S184" s="4374"/>
      <c r="T184" s="4374"/>
      <c r="U184" s="4374"/>
      <c r="V184" s="4374"/>
      <c r="W184" s="4374"/>
      <c r="X184" s="4374"/>
      <c r="Y184" s="4374"/>
      <c r="Z184" s="4374"/>
      <c r="AA184" s="4374"/>
      <c r="AB184" s="4374"/>
      <c r="AC184" s="4374"/>
      <c r="AD184" s="4374"/>
      <c r="AE184" s="4374"/>
      <c r="AF184" s="4374"/>
      <c r="AG184" s="4374"/>
      <c r="AH184" s="4374"/>
      <c r="AI184" s="4374"/>
      <c r="AJ184" s="4374"/>
      <c r="AK184" s="4353"/>
      <c r="AL184" s="4354"/>
      <c r="AM184" s="4354"/>
      <c r="AN184" s="2051"/>
      <c r="AO184" s="4380"/>
      <c r="AP184" s="4380"/>
      <c r="AQ184" s="4380"/>
      <c r="AR184" s="4380"/>
      <c r="AS184" s="4380"/>
      <c r="AT184" s="4380"/>
      <c r="AU184" s="4380"/>
      <c r="AV184" s="4380"/>
      <c r="AW184" s="4380"/>
      <c r="AX184" s="4380"/>
      <c r="AY184" s="4355"/>
      <c r="AZ184" s="4355"/>
    </row>
    <row r="185" spans="1:52" s="4381" customFormat="1" ht="17.25" customHeight="1" thickBot="1">
      <c r="A185" s="4353"/>
      <c r="B185" s="4489"/>
      <c r="C185" s="4490"/>
      <c r="D185" s="4491"/>
      <c r="E185" s="4492" t="s">
        <v>4233</v>
      </c>
      <c r="F185" s="4489"/>
      <c r="G185" s="4489"/>
      <c r="H185" s="4489"/>
      <c r="I185" s="4489"/>
      <c r="J185" s="4489"/>
      <c r="K185" s="4489"/>
      <c r="L185" s="4489"/>
      <c r="M185" s="4489"/>
      <c r="N185" s="4489"/>
      <c r="O185" s="4489"/>
      <c r="P185" s="4489"/>
      <c r="Q185" s="4489"/>
      <c r="R185" s="4489"/>
      <c r="S185" s="4489"/>
      <c r="T185" s="4489"/>
      <c r="U185" s="4489"/>
      <c r="V185" s="4489"/>
      <c r="W185" s="4489"/>
      <c r="X185" s="4489"/>
      <c r="Y185" s="4489"/>
      <c r="Z185" s="4489"/>
      <c r="AA185" s="4489"/>
      <c r="AB185" s="4489"/>
      <c r="AC185" s="4489"/>
      <c r="AD185" s="4489"/>
      <c r="AE185" s="4489"/>
      <c r="AF185" s="4489"/>
      <c r="AG185" s="4489"/>
      <c r="AH185" s="4489"/>
      <c r="AI185" s="4489"/>
      <c r="AJ185" s="4489"/>
      <c r="AK185" s="4353"/>
      <c r="AL185" s="4354"/>
      <c r="AM185" s="4354"/>
      <c r="AN185" s="2051"/>
      <c r="AO185" s="4380"/>
      <c r="AP185" s="4380"/>
      <c r="AQ185" s="4380"/>
      <c r="AR185" s="4380"/>
      <c r="AS185" s="4380"/>
      <c r="AT185" s="4380"/>
      <c r="AU185" s="4380"/>
      <c r="AV185" s="4380"/>
      <c r="AW185" s="4380"/>
      <c r="AX185" s="4380"/>
      <c r="AY185" s="4355"/>
      <c r="AZ185" s="4355"/>
    </row>
    <row r="186" spans="1:52" s="3402" customFormat="1" ht="16.5" customHeight="1">
      <c r="A186" s="1127"/>
      <c r="B186" s="4493"/>
      <c r="C186" s="4509">
        <v>19</v>
      </c>
      <c r="D186" s="4494" t="str">
        <f>"Enter your total nonqualified distributions from Roth IRAs in "&amp;TaxYear&amp;", including any qualified first-time"</f>
        <v>Enter your total nonqualified distributions from Roth IRAs in 2021, including any qualified first-time</v>
      </c>
      <c r="E186" s="4494"/>
      <c r="F186" s="1551"/>
      <c r="G186" s="1551"/>
      <c r="H186" s="1551"/>
      <c r="I186" s="1551"/>
      <c r="J186" s="1551"/>
      <c r="K186" s="1551"/>
      <c r="L186" s="1551"/>
      <c r="M186" s="1551"/>
      <c r="N186" s="1551"/>
      <c r="O186" s="1551"/>
      <c r="P186" s="1551"/>
      <c r="Q186" s="1551"/>
      <c r="R186" s="1551"/>
      <c r="S186" s="1551"/>
      <c r="T186" s="1551"/>
      <c r="U186" s="1551"/>
      <c r="V186" s="1551"/>
      <c r="W186" s="1551"/>
      <c r="X186" s="1551"/>
      <c r="Y186" s="1551"/>
      <c r="Z186" s="1551"/>
      <c r="AA186" s="1551"/>
      <c r="AB186" s="1551"/>
      <c r="AC186" s="1551"/>
      <c r="AD186" s="4495"/>
      <c r="AE186" s="1551"/>
      <c r="AF186" s="1551"/>
      <c r="AG186" s="1551"/>
      <c r="AH186" s="1551"/>
      <c r="AI186" s="1551"/>
      <c r="AJ186" s="1551"/>
      <c r="AK186" s="1127"/>
      <c r="AL186" s="1179"/>
      <c r="AM186" s="1179"/>
      <c r="AN186" s="1179"/>
      <c r="AO186" s="2595"/>
      <c r="AP186" s="2595"/>
      <c r="AQ186" s="2595"/>
      <c r="AR186" s="2595"/>
      <c r="AS186" s="2595"/>
      <c r="AT186" s="2595"/>
      <c r="AU186" s="2595"/>
      <c r="AV186" s="2595"/>
      <c r="AW186" s="2595"/>
      <c r="AX186" s="2595"/>
      <c r="AY186" s="42"/>
      <c r="AZ186" s="42"/>
    </row>
    <row r="187" spans="1:52" s="3402" customFormat="1" ht="16.5" customHeight="1">
      <c r="A187" s="1127"/>
      <c r="B187" s="4483"/>
      <c r="C187" s="3838"/>
      <c r="D187" s="2686" t="str">
        <f>"homebuyer distributions, and any qualified disaster distributions (see instructions). Also see "&amp;TaxYear</f>
        <v>homebuyer distributions, and any qualified disaster distributions (see instructions). Also see 2021</v>
      </c>
      <c r="E187" s="2686"/>
      <c r="F187" s="1276"/>
      <c r="G187" s="1276"/>
      <c r="H187" s="1276"/>
      <c r="I187" s="1276"/>
      <c r="J187" s="1276"/>
      <c r="K187" s="1276"/>
      <c r="L187" s="1276"/>
      <c r="M187" s="1276"/>
      <c r="N187" s="4484"/>
      <c r="O187" s="1276"/>
      <c r="P187" s="1276"/>
      <c r="Q187" s="1276"/>
      <c r="R187" s="1276"/>
      <c r="S187" s="1276"/>
      <c r="T187" s="4484"/>
      <c r="U187" s="3081"/>
      <c r="V187" s="1276"/>
      <c r="W187" s="1276"/>
      <c r="X187" s="1276"/>
      <c r="Y187" s="1276"/>
      <c r="Z187" s="1276"/>
      <c r="AA187" s="1276"/>
      <c r="AB187" s="4484"/>
      <c r="AC187" s="1276"/>
      <c r="AD187" s="4488"/>
      <c r="AE187" s="1276"/>
      <c r="AF187" s="1276"/>
      <c r="AG187" s="1276"/>
      <c r="AH187" s="1276"/>
      <c r="AI187" s="1276"/>
      <c r="AJ187" s="1276"/>
      <c r="AK187" s="1127"/>
      <c r="AL187" s="1179"/>
      <c r="AM187" s="1179"/>
      <c r="AN187" s="1179"/>
      <c r="AO187" s="2595"/>
      <c r="AP187" s="2595"/>
      <c r="AQ187" s="2595"/>
      <c r="AR187" s="2595"/>
      <c r="AS187" s="2595"/>
      <c r="AT187" s="2595"/>
      <c r="AU187" s="2595"/>
      <c r="AV187" s="2595"/>
      <c r="AW187" s="2595"/>
      <c r="AX187" s="2595"/>
      <c r="AY187" s="42"/>
      <c r="AZ187" s="42"/>
    </row>
    <row r="188" spans="1:52" ht="16.5" customHeight="1">
      <c r="A188" s="1127"/>
      <c r="B188" s="1179"/>
      <c r="C188" s="3838"/>
      <c r="D188" s="2686" t="s">
        <v>5447</v>
      </c>
      <c r="E188" s="1927"/>
      <c r="F188" s="1927"/>
      <c r="G188" s="1927"/>
      <c r="H188" s="1927"/>
      <c r="I188" s="1179"/>
      <c r="J188" s="1179"/>
      <c r="K188" s="1179"/>
      <c r="L188" s="1179"/>
      <c r="M188" s="1179"/>
      <c r="N188" s="1179"/>
      <c r="O188" s="1179"/>
      <c r="P188" s="1179"/>
      <c r="Q188" s="1179"/>
      <c r="R188" s="1179"/>
      <c r="S188" s="1179"/>
      <c r="T188" s="1179"/>
      <c r="U188" s="1179"/>
      <c r="V188" s="1179"/>
      <c r="W188" s="1179"/>
      <c r="X188" s="1179"/>
      <c r="Y188" s="1179"/>
      <c r="Z188" s="1179"/>
      <c r="AA188" s="1179"/>
      <c r="AB188" s="1179"/>
      <c r="AC188" s="1560" t="s">
        <v>4238</v>
      </c>
      <c r="AD188" s="2224" t="s">
        <v>1111</v>
      </c>
      <c r="AE188" s="9111"/>
      <c r="AF188" s="9112"/>
      <c r="AG188" s="9112"/>
      <c r="AH188" s="9112"/>
      <c r="AI188" s="9112"/>
      <c r="AJ188" s="9112"/>
      <c r="AK188" s="1127"/>
      <c r="AL188" s="1824"/>
      <c r="AM188" s="1824"/>
      <c r="AN188" s="1179"/>
    </row>
    <row r="189" spans="1:52" ht="16.5" customHeight="1">
      <c r="A189" s="1127"/>
      <c r="B189" s="1179"/>
      <c r="C189" s="4507" t="s">
        <v>1113</v>
      </c>
      <c r="D189" s="2686" t="s">
        <v>3825</v>
      </c>
      <c r="E189" s="1927"/>
      <c r="F189" s="1927"/>
      <c r="G189" s="1927"/>
      <c r="H189" s="1179"/>
      <c r="I189" s="1179"/>
      <c r="J189" s="1179"/>
      <c r="K189" s="1179"/>
      <c r="L189" s="1179"/>
      <c r="M189" s="1179"/>
      <c r="N189" s="1179"/>
      <c r="O189" s="1179"/>
      <c r="P189" s="1179"/>
      <c r="Q189" s="1179"/>
      <c r="R189" s="2686" t="s">
        <v>3826</v>
      </c>
      <c r="S189" s="1179"/>
      <c r="T189" s="1179"/>
      <c r="U189" s="1179"/>
      <c r="V189" s="1179"/>
      <c r="W189" s="1179"/>
      <c r="X189" s="2686" t="str">
        <f>TEXT(AE189,"$0,000")&amp;" reduced"</f>
        <v>$10,000 reduced</v>
      </c>
      <c r="Y189" s="1179"/>
      <c r="Z189" s="1179"/>
      <c r="AA189" s="1179"/>
      <c r="AB189" s="1179"/>
      <c r="AC189" s="1179"/>
      <c r="AD189" s="1558"/>
      <c r="AE189" s="9171">
        <v>10000</v>
      </c>
      <c r="AF189" s="9172"/>
      <c r="AG189" s="9172"/>
      <c r="AH189" s="9172"/>
      <c r="AI189" s="9172"/>
      <c r="AJ189" s="9172"/>
      <c r="AK189" s="1127"/>
      <c r="AL189" s="1179"/>
      <c r="AM189" s="1179"/>
      <c r="AN189" s="1179"/>
    </row>
    <row r="190" spans="1:52" ht="16.5" customHeight="1">
      <c r="A190" s="1127"/>
      <c r="B190" s="1179"/>
      <c r="C190" s="3838"/>
      <c r="D190" s="3719" t="s">
        <v>3824</v>
      </c>
      <c r="E190" s="1927"/>
      <c r="F190" s="1927"/>
      <c r="G190" s="1927"/>
      <c r="H190" s="1927"/>
      <c r="I190" s="1179"/>
      <c r="J190" s="1179"/>
      <c r="K190" s="1179"/>
      <c r="L190" s="1179"/>
      <c r="M190" s="1179"/>
      <c r="N190" s="1179"/>
      <c r="O190" s="1179"/>
      <c r="P190" s="1179"/>
      <c r="Q190" s="1179"/>
      <c r="R190" s="1179"/>
      <c r="S190" s="1179"/>
      <c r="T190" s="1179"/>
      <c r="U190" s="1179"/>
      <c r="V190" s="1179"/>
      <c r="W190" s="1179"/>
      <c r="X190" s="1179"/>
      <c r="Y190" s="1179"/>
      <c r="Z190" s="1179"/>
      <c r="AA190" s="1179"/>
      <c r="AB190" s="1179"/>
      <c r="AC190" s="1560" t="s">
        <v>2939</v>
      </c>
      <c r="AD190" s="2224" t="s">
        <v>1113</v>
      </c>
      <c r="AE190" s="9111"/>
      <c r="AF190" s="9112"/>
      <c r="AG190" s="9112"/>
      <c r="AH190" s="9112"/>
      <c r="AI190" s="9112"/>
      <c r="AJ190" s="9112"/>
      <c r="AK190" s="1127"/>
      <c r="AL190" s="1824"/>
      <c r="AM190" s="1824"/>
      <c r="AN190" s="1179"/>
    </row>
    <row r="191" spans="1:52" ht="16.5" customHeight="1">
      <c r="A191" s="1127"/>
      <c r="B191" s="1179"/>
      <c r="C191" s="4507" t="s">
        <v>1115</v>
      </c>
      <c r="D191" s="2686" t="s">
        <v>1790</v>
      </c>
      <c r="E191" s="2686"/>
      <c r="F191" s="1179"/>
      <c r="G191" s="1179"/>
      <c r="H191" s="1179"/>
      <c r="I191" s="1179"/>
      <c r="J191" s="1179"/>
      <c r="K191" s="1179"/>
      <c r="L191" s="3490"/>
      <c r="M191" s="2686"/>
      <c r="N191" s="1179"/>
      <c r="O191" s="1179"/>
      <c r="P191" s="1179"/>
      <c r="Q191" s="1179"/>
      <c r="R191" s="1179"/>
      <c r="S191" s="1179"/>
      <c r="T191" s="1179"/>
      <c r="U191" s="1179"/>
      <c r="V191" s="1179"/>
      <c r="W191" s="1179"/>
      <c r="X191" s="1179"/>
      <c r="Y191" s="1179"/>
      <c r="Z191" s="1179"/>
      <c r="AA191" s="1179"/>
      <c r="AB191" s="1179"/>
      <c r="AC191" s="1560" t="s">
        <v>3819</v>
      </c>
      <c r="AD191" s="2225">
        <v>21</v>
      </c>
      <c r="AE191" s="9167" t="str">
        <f>IF(AE188="","",MAX(0,SUM(AE188,-AE190)))</f>
        <v/>
      </c>
      <c r="AF191" s="9168"/>
      <c r="AG191" s="9168"/>
      <c r="AH191" s="9168"/>
      <c r="AI191" s="9168"/>
      <c r="AJ191" s="9168"/>
      <c r="AK191" s="1127"/>
      <c r="AL191" s="1179"/>
      <c r="AM191" s="1284" t="b">
        <f>AND(AE191&lt;&gt;"",AE191=0)</f>
        <v>0</v>
      </c>
      <c r="AN191" s="1179"/>
      <c r="AY191" s="1731"/>
      <c r="AZ191" s="1731"/>
    </row>
    <row r="192" spans="1:52" ht="16.5" customHeight="1">
      <c r="A192" s="1127"/>
      <c r="B192" s="1179"/>
      <c r="C192" s="4507" t="s">
        <v>1117</v>
      </c>
      <c r="D192" s="2686" t="s">
        <v>3827</v>
      </c>
      <c r="E192" s="2686"/>
      <c r="F192" s="1179"/>
      <c r="G192" s="1179"/>
      <c r="H192" s="1179"/>
      <c r="I192" s="1179"/>
      <c r="J192" s="1179"/>
      <c r="K192" s="1179"/>
      <c r="L192" s="3490"/>
      <c r="M192" s="2686"/>
      <c r="N192" s="1179"/>
      <c r="O192" s="1179"/>
      <c r="P192" s="1179"/>
      <c r="Q192" s="1179"/>
      <c r="R192" s="1179"/>
      <c r="S192" s="2686" t="s">
        <v>4234</v>
      </c>
      <c r="T192" s="1179"/>
      <c r="U192" s="1179"/>
      <c r="V192" s="1179"/>
      <c r="W192" s="1179"/>
      <c r="X192" s="1179"/>
      <c r="Y192" s="1179"/>
      <c r="Z192" s="1179"/>
      <c r="AA192" s="1179"/>
      <c r="AB192" s="1179"/>
      <c r="AC192" s="1560" t="s">
        <v>2013</v>
      </c>
      <c r="AD192" s="2225">
        <v>22</v>
      </c>
      <c r="AE192" s="9169"/>
      <c r="AF192" s="9170"/>
      <c r="AG192" s="9170"/>
      <c r="AH192" s="9170"/>
      <c r="AI192" s="9170"/>
      <c r="AJ192" s="9170"/>
      <c r="AK192" s="1127"/>
      <c r="AL192" s="1179"/>
      <c r="AM192" s="1179"/>
      <c r="AN192" s="1179"/>
      <c r="AY192" s="1731"/>
      <c r="AZ192" s="1731"/>
    </row>
    <row r="193" spans="1:52" ht="16.5" customHeight="1">
      <c r="A193" s="1127"/>
      <c r="B193" s="1179"/>
      <c r="C193" s="4507">
        <v>23</v>
      </c>
      <c r="D193" s="2686" t="s">
        <v>3828</v>
      </c>
      <c r="E193" s="1927"/>
      <c r="F193" s="1927"/>
      <c r="G193" s="1927"/>
      <c r="H193" s="1179"/>
      <c r="I193" s="1179"/>
      <c r="J193" s="1179"/>
      <c r="K193" s="1179"/>
      <c r="L193" s="1179"/>
      <c r="M193" s="1179"/>
      <c r="N193" s="1179"/>
      <c r="O193" s="1179"/>
      <c r="P193" s="1179"/>
      <c r="Q193" s="1179"/>
      <c r="R193" s="2686"/>
      <c r="S193" s="1179"/>
      <c r="T193" s="1179"/>
      <c r="U193" s="1179"/>
      <c r="V193" s="1179"/>
      <c r="W193" s="1179"/>
      <c r="X193" s="2686"/>
      <c r="Y193" s="1179"/>
      <c r="Z193" s="1179"/>
      <c r="AA193" s="1179"/>
      <c r="AB193" s="1179"/>
      <c r="AC193" s="1179"/>
      <c r="AD193" s="1558"/>
      <c r="AE193" s="9117"/>
      <c r="AF193" s="9118"/>
      <c r="AG193" s="9118"/>
      <c r="AH193" s="9118"/>
      <c r="AI193" s="9118"/>
      <c r="AJ193" s="9118"/>
      <c r="AK193" s="1127"/>
      <c r="AL193" s="1179"/>
      <c r="AM193" s="1179"/>
      <c r="AN193" s="1179"/>
    </row>
    <row r="194" spans="1:52" ht="16.5" customHeight="1">
      <c r="A194" s="1127"/>
      <c r="B194" s="1179"/>
      <c r="C194" s="3838"/>
      <c r="D194" s="2686" t="s">
        <v>3829</v>
      </c>
      <c r="E194" s="1927"/>
      <c r="F194" s="1927"/>
      <c r="G194" s="1927"/>
      <c r="H194" s="1927"/>
      <c r="I194" s="1179"/>
      <c r="J194" s="1179"/>
      <c r="K194" s="1179"/>
      <c r="L194" s="1179"/>
      <c r="M194" s="1179"/>
      <c r="N194" s="1179"/>
      <c r="O194" s="1179"/>
      <c r="P194" s="1179"/>
      <c r="Q194" s="1179"/>
      <c r="R194" s="1179"/>
      <c r="S194" s="1179"/>
      <c r="T194" s="1179"/>
      <c r="U194" s="1179"/>
      <c r="V194" s="1179"/>
      <c r="W194" s="1179"/>
      <c r="X194" s="1179"/>
      <c r="Y194" s="1179"/>
      <c r="Z194" s="1179"/>
      <c r="AA194" s="1179"/>
      <c r="AB194" s="1179"/>
      <c r="AC194" s="1560" t="s">
        <v>3819</v>
      </c>
      <c r="AD194" s="2224">
        <v>23</v>
      </c>
      <c r="AE194" s="9115" t="str">
        <f>IF(AE188="","",IF(NOT(AM191),MAX(0,SUM(AE191,-AE192)),""))</f>
        <v/>
      </c>
      <c r="AF194" s="9116"/>
      <c r="AG194" s="9116"/>
      <c r="AH194" s="9116"/>
      <c r="AI194" s="9116"/>
      <c r="AJ194" s="9116"/>
      <c r="AK194" s="1127"/>
      <c r="AL194" s="1824"/>
      <c r="AM194" s="1824"/>
      <c r="AN194" s="1179"/>
    </row>
    <row r="195" spans="1:52" ht="16.5" customHeight="1">
      <c r="A195" s="1127"/>
      <c r="B195" s="1179"/>
      <c r="C195" s="4507">
        <v>24</v>
      </c>
      <c r="D195" s="2686" t="s">
        <v>3830</v>
      </c>
      <c r="E195" s="1927"/>
      <c r="F195" s="1927"/>
      <c r="G195" s="1927"/>
      <c r="H195" s="1179"/>
      <c r="I195" s="1179"/>
      <c r="J195" s="1179"/>
      <c r="K195" s="1179"/>
      <c r="L195" s="1179"/>
      <c r="M195" s="1179"/>
      <c r="N195" s="1179"/>
      <c r="O195" s="1179"/>
      <c r="P195" s="1179"/>
      <c r="Q195" s="1179"/>
      <c r="R195" s="2686"/>
      <c r="S195" s="1179"/>
      <c r="T195" s="1179"/>
      <c r="U195" s="1179"/>
      <c r="V195" s="1179"/>
      <c r="W195" s="1179"/>
      <c r="X195" s="2686"/>
      <c r="Y195" s="1179"/>
      <c r="Z195" s="1179"/>
      <c r="AA195" s="1179"/>
      <c r="AB195" s="1179"/>
      <c r="AC195" s="1179"/>
      <c r="AD195" s="1558"/>
      <c r="AE195" s="9117"/>
      <c r="AF195" s="9118"/>
      <c r="AG195" s="9118"/>
      <c r="AH195" s="9118"/>
      <c r="AI195" s="9118"/>
      <c r="AJ195" s="9118"/>
      <c r="AK195" s="1127"/>
      <c r="AL195" s="1179"/>
      <c r="AM195" s="1179"/>
      <c r="AN195" s="1179"/>
    </row>
    <row r="196" spans="1:52" ht="16.5" customHeight="1">
      <c r="A196" s="1127"/>
      <c r="B196" s="1179"/>
      <c r="C196" s="3838"/>
      <c r="D196" s="2686" t="s">
        <v>3831</v>
      </c>
      <c r="E196" s="1927"/>
      <c r="F196" s="1927"/>
      <c r="G196" s="1927"/>
      <c r="H196" s="1927"/>
      <c r="I196" s="1179"/>
      <c r="J196" s="1179"/>
      <c r="K196" s="1179"/>
      <c r="L196" s="1179"/>
      <c r="M196" s="1179"/>
      <c r="N196" s="1179"/>
      <c r="O196" s="1179"/>
      <c r="P196" s="1179"/>
      <c r="Q196" s="1179"/>
      <c r="R196" s="1179"/>
      <c r="S196" s="1179"/>
      <c r="T196" s="1179"/>
      <c r="U196" s="1179"/>
      <c r="V196" s="1179"/>
      <c r="W196" s="1179"/>
      <c r="X196" s="1179"/>
      <c r="Y196" s="1179"/>
      <c r="Z196" s="1179"/>
      <c r="AA196" s="1179"/>
      <c r="AB196" s="1179"/>
      <c r="AC196" s="1560" t="s">
        <v>2883</v>
      </c>
      <c r="AD196" s="2224">
        <v>24</v>
      </c>
      <c r="AE196" s="9111"/>
      <c r="AF196" s="9112"/>
      <c r="AG196" s="9112"/>
      <c r="AH196" s="9112"/>
      <c r="AI196" s="9112"/>
      <c r="AJ196" s="9112"/>
      <c r="AK196" s="1127"/>
      <c r="AL196" s="1824"/>
      <c r="AM196" s="1824"/>
      <c r="AN196" s="1179"/>
    </row>
    <row r="197" spans="1:52" ht="16.5" customHeight="1">
      <c r="A197" s="1127"/>
      <c r="B197" s="1179"/>
      <c r="C197" s="4507" t="s">
        <v>3854</v>
      </c>
      <c r="D197" s="3355" t="s">
        <v>3833</v>
      </c>
      <c r="E197" s="2686"/>
      <c r="F197" s="1179"/>
      <c r="G197" s="1179"/>
      <c r="H197" s="1179"/>
      <c r="I197" s="1179"/>
      <c r="J197" s="1179"/>
      <c r="K197" s="1179"/>
      <c r="L197" s="1179"/>
      <c r="M197" s="1179"/>
      <c r="N197" s="1179"/>
      <c r="O197" s="1179"/>
      <c r="P197" s="1179"/>
      <c r="Q197" s="1179"/>
      <c r="R197" s="1179"/>
      <c r="S197" s="1179"/>
      <c r="T197" s="1179"/>
      <c r="U197" s="1179"/>
      <c r="V197" s="1179"/>
      <c r="W197" s="1179"/>
      <c r="X197" s="1179"/>
      <c r="Y197" s="1179"/>
      <c r="Z197" s="1179"/>
      <c r="AA197" s="1179"/>
      <c r="AB197" s="1179"/>
      <c r="AC197" s="3489" t="s">
        <v>1930</v>
      </c>
      <c r="AD197" s="2224" t="s">
        <v>3832</v>
      </c>
      <c r="AE197" s="9115" t="str">
        <f>IF(AE188="","",IF(NOT(AM191),MAX(0,SUM(AE194,-AE196)),""))</f>
        <v/>
      </c>
      <c r="AF197" s="9116"/>
      <c r="AG197" s="9116"/>
      <c r="AH197" s="9116"/>
      <c r="AI197" s="9116"/>
      <c r="AJ197" s="9116"/>
      <c r="AK197" s="1127"/>
      <c r="AL197" s="1179"/>
      <c r="AM197" s="1179"/>
      <c r="AN197" s="1179"/>
      <c r="AY197" s="1731"/>
      <c r="AZ197" s="1731"/>
    </row>
    <row r="198" spans="1:52" ht="16.5" customHeight="1">
      <c r="A198" s="1127"/>
      <c r="B198" s="1179"/>
      <c r="C198" s="4508" t="s">
        <v>47</v>
      </c>
      <c r="D198" s="2686" t="str">
        <f>"Enter the amount on line 25a attributable to qualified disaster distributions from "&amp;TaxYear&amp;" Forms 8915-D,"</f>
        <v>Enter the amount on line 25a attributable to qualified disaster distributions from 2021 Forms 8915-D,</v>
      </c>
      <c r="E198" s="2686"/>
      <c r="F198" s="1179"/>
      <c r="G198" s="1179"/>
      <c r="H198" s="1179"/>
      <c r="I198" s="1179"/>
      <c r="J198" s="1179"/>
      <c r="K198" s="1179"/>
      <c r="L198" s="1179"/>
      <c r="M198" s="1179"/>
      <c r="N198" s="1179"/>
      <c r="O198" s="1179"/>
      <c r="P198" s="1179"/>
      <c r="Q198" s="1179"/>
      <c r="R198" s="1179"/>
      <c r="S198" s="1179"/>
      <c r="T198" s="1179"/>
      <c r="U198" s="1179"/>
      <c r="V198" s="1179"/>
      <c r="W198" s="1179"/>
      <c r="X198" s="1179"/>
      <c r="Y198" s="1179"/>
      <c r="Z198" s="2686"/>
      <c r="AA198" s="1179"/>
      <c r="AB198" s="1179"/>
      <c r="AC198" s="1583"/>
      <c r="AD198" s="1558"/>
      <c r="AE198" s="1179"/>
      <c r="AF198" s="1179"/>
      <c r="AG198" s="1179"/>
      <c r="AH198" s="1179"/>
      <c r="AI198" s="1179"/>
      <c r="AJ198" s="1179"/>
      <c r="AK198" s="1127"/>
      <c r="AL198" s="1179"/>
      <c r="AM198" s="1179"/>
      <c r="AN198" s="1179"/>
    </row>
    <row r="199" spans="1:52" ht="16.5" customHeight="1">
      <c r="A199" s="1127"/>
      <c r="B199" s="1179"/>
      <c r="C199" s="3838"/>
      <c r="D199" s="2686" t="str">
        <f>"and 8915-F (see instructions).   Also, enter this amount on "&amp;TaxYear&amp;" Form 8915D, line 24;"</f>
        <v>and 8915-F (see instructions).   Also, enter this amount on 2021 Form 8915D, line 24;</v>
      </c>
      <c r="E199" s="1927"/>
      <c r="F199" s="1927"/>
      <c r="G199" s="1927"/>
      <c r="H199" s="1179"/>
      <c r="I199" s="1179"/>
      <c r="J199" s="1179"/>
      <c r="K199" s="1179"/>
      <c r="L199" s="1179"/>
      <c r="M199" s="1179"/>
      <c r="N199" s="1179"/>
      <c r="O199" s="1179"/>
      <c r="P199" s="1179"/>
      <c r="Q199" s="1179"/>
      <c r="R199" s="1179"/>
      <c r="S199" s="1179"/>
      <c r="T199" s="1179"/>
      <c r="U199" s="1179"/>
      <c r="V199" s="1179"/>
      <c r="W199" s="1179"/>
      <c r="X199" s="3082" t="s">
        <v>243</v>
      </c>
      <c r="Y199" s="2686" t="str">
        <f>TaxYear&amp;" Form"</f>
        <v>2021 Form</v>
      </c>
      <c r="Z199" s="1179"/>
      <c r="AA199" s="2686"/>
      <c r="AB199" s="2686"/>
      <c r="AC199" s="5726"/>
      <c r="AD199" s="1558"/>
      <c r="AE199" s="1179"/>
      <c r="AF199" s="1179"/>
      <c r="AG199" s="1179"/>
      <c r="AH199" s="1179"/>
      <c r="AI199" s="1179"/>
      <c r="AJ199" s="1179"/>
      <c r="AK199" s="1127"/>
      <c r="AL199" s="1179"/>
      <c r="AM199" s="1179"/>
      <c r="AN199" s="1179"/>
    </row>
    <row r="200" spans="1:52" ht="16.5" customHeight="1">
      <c r="A200" s="1127"/>
      <c r="B200" s="1179"/>
      <c r="C200" s="3838"/>
      <c r="D200" s="2686" t="s">
        <v>5448</v>
      </c>
      <c r="E200" s="1927"/>
      <c r="F200" s="1927"/>
      <c r="G200" s="1927"/>
      <c r="H200" s="1927"/>
      <c r="I200" s="1179"/>
      <c r="J200" s="1179"/>
      <c r="K200" s="2686"/>
      <c r="L200" s="1179"/>
      <c r="M200" s="1179"/>
      <c r="N200" s="1179"/>
      <c r="O200" s="1179"/>
      <c r="P200" s="1179"/>
      <c r="Q200" s="1179"/>
      <c r="R200" s="1179"/>
      <c r="S200" s="1179"/>
      <c r="T200" s="1179"/>
      <c r="U200" s="1179"/>
      <c r="V200" s="1179"/>
      <c r="W200" s="1179"/>
      <c r="X200" s="1179"/>
      <c r="Y200" s="1179"/>
      <c r="Z200" s="1179"/>
      <c r="AA200" s="1179"/>
      <c r="AB200" s="1179"/>
      <c r="AC200" s="1560" t="s">
        <v>1055</v>
      </c>
      <c r="AD200" s="2224" t="s">
        <v>3834</v>
      </c>
      <c r="AE200" s="9111"/>
      <c r="AF200" s="9112"/>
      <c r="AG200" s="9112"/>
      <c r="AH200" s="9112"/>
      <c r="AI200" s="9112"/>
      <c r="AJ200" s="9112"/>
      <c r="AK200" s="1127"/>
      <c r="AL200" s="1824"/>
      <c r="AM200" s="1824"/>
      <c r="AN200" s="1179"/>
    </row>
    <row r="201" spans="1:52" ht="16.5" customHeight="1">
      <c r="A201" s="1127"/>
      <c r="B201" s="1179"/>
      <c r="C201" s="4508" t="s">
        <v>48</v>
      </c>
      <c r="D201" s="1577" t="s">
        <v>3822</v>
      </c>
      <c r="E201" s="1927"/>
      <c r="F201" s="1927"/>
      <c r="G201" s="1927"/>
      <c r="H201" s="1179"/>
      <c r="I201" s="2686" t="str">
        <f>"Subtract line 25b from line 25a. If more than zero, also include this amount on "&amp;TaxYear</f>
        <v>Subtract line 25b from line 25a. If more than zero, also include this amount on 2021</v>
      </c>
      <c r="J201" s="1179"/>
      <c r="K201" s="1179"/>
      <c r="L201" s="1179"/>
      <c r="M201" s="1179"/>
      <c r="N201" s="1179"/>
      <c r="O201" s="1179"/>
      <c r="P201" s="1179"/>
      <c r="Q201" s="1179"/>
      <c r="R201" s="1179"/>
      <c r="S201" s="1179"/>
      <c r="T201" s="1179"/>
      <c r="U201" s="1179"/>
      <c r="V201" s="1179"/>
      <c r="W201" s="1179"/>
      <c r="X201" s="1179"/>
      <c r="Y201" s="1179"/>
      <c r="Z201" s="1179"/>
      <c r="AA201" s="1179"/>
      <c r="AB201" s="1179"/>
      <c r="AC201" s="1179"/>
      <c r="AD201" s="1558"/>
      <c r="AE201" s="1179"/>
      <c r="AF201" s="1179"/>
      <c r="AG201" s="1179"/>
      <c r="AH201" s="1179"/>
      <c r="AI201" s="1179"/>
      <c r="AJ201" s="1179"/>
      <c r="AK201" s="1127"/>
      <c r="AL201" s="1179"/>
      <c r="AM201" s="1179"/>
      <c r="AN201" s="1179"/>
    </row>
    <row r="202" spans="1:52" ht="16.5" customHeight="1" thickBot="1">
      <c r="A202" s="1127"/>
      <c r="B202" s="1280"/>
      <c r="C202" s="4510"/>
      <c r="D202" s="2704" t="s">
        <v>4235</v>
      </c>
      <c r="E202" s="4455"/>
      <c r="F202" s="4455"/>
      <c r="G202" s="4455"/>
      <c r="H202" s="4455"/>
      <c r="I202" s="1280"/>
      <c r="J202" s="1280"/>
      <c r="K202" s="1280"/>
      <c r="L202" s="1280"/>
      <c r="M202" s="1280"/>
      <c r="N202" s="1280"/>
      <c r="O202" s="1280"/>
      <c r="P202" s="1280"/>
      <c r="Q202" s="1280"/>
      <c r="R202" s="1280"/>
      <c r="S202" s="1280"/>
      <c r="T202" s="1280"/>
      <c r="U202" s="1280"/>
      <c r="V202" s="1280"/>
      <c r="W202" s="1280"/>
      <c r="X202" s="1280"/>
      <c r="Y202" s="1280"/>
      <c r="Z202" s="1280"/>
      <c r="AA202" s="1280"/>
      <c r="AB202" s="1280"/>
      <c r="AC202" s="4477" t="s">
        <v>3348</v>
      </c>
      <c r="AD202" s="4372" t="s">
        <v>3835</v>
      </c>
      <c r="AE202" s="9119" t="str">
        <f>IF(AE188="","",IF(NOT(AM191),MAX(0,SUM(AE197,-AE200)),""))</f>
        <v/>
      </c>
      <c r="AF202" s="9120"/>
      <c r="AG202" s="9120"/>
      <c r="AH202" s="9120"/>
      <c r="AI202" s="9120"/>
      <c r="AJ202" s="9120"/>
      <c r="AK202" s="1127"/>
      <c r="AL202" s="1824"/>
      <c r="AM202" s="1824"/>
      <c r="AN202" s="1179"/>
    </row>
    <row r="203" spans="1:52" s="3402" customFormat="1" ht="12" customHeight="1">
      <c r="A203" s="1127"/>
      <c r="B203" s="9173" t="s">
        <v>3838</v>
      </c>
      <c r="C203" s="9173"/>
      <c r="D203" s="9173"/>
      <c r="E203" s="9173"/>
      <c r="F203" s="9173"/>
      <c r="G203" s="9173"/>
      <c r="H203" s="9174"/>
      <c r="I203" s="1446" t="s">
        <v>3836</v>
      </c>
      <c r="J203" s="3083"/>
      <c r="K203" s="3083"/>
      <c r="L203" s="3083"/>
      <c r="M203" s="3083"/>
      <c r="N203" s="3083"/>
      <c r="O203" s="1276"/>
      <c r="P203" s="1276"/>
      <c r="Q203" s="1276"/>
      <c r="R203" s="1276"/>
      <c r="S203" s="1276"/>
      <c r="T203" s="1276"/>
      <c r="U203" s="4485"/>
      <c r="V203" s="3083"/>
      <c r="W203" s="3083"/>
      <c r="X203" s="3083"/>
      <c r="Y203" s="3083"/>
      <c r="Z203" s="3083"/>
      <c r="AA203" s="3083"/>
      <c r="AB203" s="3083"/>
      <c r="AC203" s="3083"/>
      <c r="AD203" s="3083"/>
      <c r="AE203" s="3083"/>
      <c r="AF203" s="1276"/>
      <c r="AG203" s="1276"/>
      <c r="AH203" s="1276"/>
      <c r="AI203" s="1276"/>
      <c r="AJ203" s="1276"/>
      <c r="AK203" s="1127"/>
      <c r="AL203" s="1179"/>
      <c r="AM203" s="1179"/>
      <c r="AN203" s="1179"/>
      <c r="AO203" s="2595"/>
      <c r="AP203" s="2595"/>
      <c r="AQ203" s="2595"/>
      <c r="AR203" s="2595"/>
      <c r="AS203" s="2595"/>
      <c r="AT203" s="2595"/>
      <c r="AU203" s="2595"/>
      <c r="AV203" s="2595"/>
      <c r="AW203" s="2595"/>
      <c r="AX203" s="2595"/>
      <c r="AY203" s="42"/>
      <c r="AZ203" s="42"/>
    </row>
    <row r="204" spans="1:52" s="3402" customFormat="1" ht="9" customHeight="1">
      <c r="A204" s="1127"/>
      <c r="B204" s="9175"/>
      <c r="C204" s="9175"/>
      <c r="D204" s="9175"/>
      <c r="E204" s="9175"/>
      <c r="F204" s="9175"/>
      <c r="G204" s="9175"/>
      <c r="H204" s="9176"/>
      <c r="I204" s="3063" t="s">
        <v>3837</v>
      </c>
      <c r="J204" s="3083"/>
      <c r="K204" s="3083"/>
      <c r="L204" s="3083"/>
      <c r="M204" s="3083"/>
      <c r="N204" s="3083"/>
      <c r="O204" s="4486"/>
      <c r="P204" s="1276"/>
      <c r="Q204" s="1276"/>
      <c r="R204" s="4486"/>
      <c r="S204" s="1276"/>
      <c r="T204" s="1276"/>
      <c r="U204" s="1276"/>
      <c r="V204" s="3083"/>
      <c r="W204" s="3083"/>
      <c r="X204" s="3083"/>
      <c r="Y204" s="3083"/>
      <c r="Z204" s="3083"/>
      <c r="AA204" s="3083"/>
      <c r="AB204" s="3083"/>
      <c r="AC204" s="3083"/>
      <c r="AD204" s="3083"/>
      <c r="AE204" s="3083"/>
      <c r="AF204" s="4486"/>
      <c r="AG204" s="1276"/>
      <c r="AH204" s="1276"/>
      <c r="AI204" s="4486"/>
      <c r="AJ204" s="1276"/>
      <c r="AK204" s="1127"/>
      <c r="AL204" s="1179"/>
      <c r="AM204" s="1179"/>
      <c r="AN204" s="1179"/>
      <c r="AO204" s="2595"/>
      <c r="AP204" s="2595"/>
      <c r="AQ204" s="2595"/>
      <c r="AR204" s="2595"/>
      <c r="AS204" s="2595"/>
      <c r="AT204" s="2595"/>
      <c r="AU204" s="2595"/>
      <c r="AV204" s="2595"/>
      <c r="AW204" s="2595"/>
      <c r="AX204" s="2595"/>
      <c r="AY204" s="42"/>
      <c r="AZ204" s="42"/>
    </row>
    <row r="205" spans="1:52" s="3402" customFormat="1" ht="15.75" customHeight="1">
      <c r="A205" s="1127"/>
      <c r="B205" s="3988" t="s">
        <v>3839</v>
      </c>
      <c r="C205" s="3838"/>
      <c r="D205" s="1540"/>
      <c r="E205" s="3084"/>
      <c r="F205" s="3084"/>
      <c r="G205" s="3084"/>
      <c r="H205" s="4511"/>
      <c r="I205" s="3083"/>
      <c r="J205" s="3083"/>
      <c r="K205" s="3083"/>
      <c r="L205" s="3083"/>
      <c r="M205" s="3083"/>
      <c r="N205" s="3083"/>
      <c r="O205" s="1276"/>
      <c r="P205" s="1276"/>
      <c r="Q205" s="1276"/>
      <c r="R205" s="1276"/>
      <c r="S205" s="1276"/>
      <c r="T205" s="1276"/>
      <c r="U205" s="1276"/>
      <c r="V205" s="3083"/>
      <c r="W205" s="3083"/>
      <c r="X205" s="3083"/>
      <c r="Y205" s="3083"/>
      <c r="Z205" s="3083"/>
      <c r="AA205" s="3083"/>
      <c r="AB205" s="3083"/>
      <c r="AC205" s="3083"/>
      <c r="AD205" s="3083"/>
      <c r="AE205" s="3083"/>
      <c r="AF205" s="1276"/>
      <c r="AG205" s="1276"/>
      <c r="AH205" s="1276"/>
      <c r="AI205" s="1276"/>
      <c r="AJ205" s="1276"/>
      <c r="AK205" s="1127"/>
      <c r="AL205" s="1179"/>
      <c r="AM205" s="1179"/>
      <c r="AN205" s="1179"/>
      <c r="AO205" s="2599"/>
      <c r="AP205" s="2599"/>
      <c r="AQ205" s="2599"/>
      <c r="AR205" s="2599"/>
      <c r="AS205" s="2599"/>
      <c r="AT205" s="2599"/>
      <c r="AU205" s="2599"/>
      <c r="AV205" s="2599"/>
      <c r="AW205" s="2599"/>
      <c r="AX205" s="2599"/>
      <c r="AY205" s="42"/>
      <c r="AZ205" s="42"/>
    </row>
    <row r="206" spans="1:52" s="3402" customFormat="1" ht="15.75" customHeight="1">
      <c r="A206" s="1127"/>
      <c r="B206" s="3988" t="s">
        <v>3840</v>
      </c>
      <c r="C206" s="3838"/>
      <c r="D206" s="4482"/>
      <c r="E206" s="3084"/>
      <c r="F206" s="3084"/>
      <c r="G206" s="3084"/>
      <c r="H206" s="4511"/>
      <c r="I206" s="3083"/>
      <c r="J206" s="3083"/>
      <c r="K206" s="3083"/>
      <c r="L206" s="3083"/>
      <c r="M206" s="3083"/>
      <c r="N206" s="3083"/>
      <c r="O206" s="1276"/>
      <c r="P206" s="1276"/>
      <c r="Q206" s="1276"/>
      <c r="R206" s="1276"/>
      <c r="S206" s="1276"/>
      <c r="T206" s="1276"/>
      <c r="U206" s="4487"/>
      <c r="V206" s="3083"/>
      <c r="W206" s="3083"/>
      <c r="X206" s="3083"/>
      <c r="Y206" s="3083"/>
      <c r="Z206" s="3083"/>
      <c r="AA206" s="3083"/>
      <c r="AB206" s="3083"/>
      <c r="AC206" s="3083"/>
      <c r="AD206" s="3083"/>
      <c r="AE206" s="3083"/>
      <c r="AF206" s="1276"/>
      <c r="AG206" s="1276"/>
      <c r="AH206" s="1276"/>
      <c r="AI206" s="1276"/>
      <c r="AJ206" s="1276"/>
      <c r="AK206" s="1127"/>
      <c r="AL206" s="1179"/>
      <c r="AM206" s="1179"/>
      <c r="AN206" s="1179"/>
      <c r="AO206" s="2595"/>
      <c r="AP206" s="2595"/>
      <c r="AQ206" s="2595"/>
      <c r="AR206" s="2595"/>
      <c r="AS206" s="2595"/>
      <c r="AT206" s="2595"/>
      <c r="AU206" s="2595"/>
      <c r="AV206" s="2595"/>
      <c r="AW206" s="2595"/>
      <c r="AX206" s="2595"/>
      <c r="AY206" s="42"/>
      <c r="AZ206" s="42"/>
    </row>
    <row r="207" spans="1:52" s="3402" customFormat="1" ht="15.75" customHeight="1">
      <c r="A207" s="1127"/>
      <c r="B207" s="3988" t="s">
        <v>3841</v>
      </c>
      <c r="C207" s="3838"/>
      <c r="D207" s="1540"/>
      <c r="E207" s="3084"/>
      <c r="F207" s="3084"/>
      <c r="G207" s="3084"/>
      <c r="H207" s="4511"/>
      <c r="I207" s="4498"/>
      <c r="J207" s="3137"/>
      <c r="K207" s="3137"/>
      <c r="L207" s="3137"/>
      <c r="M207" s="3137"/>
      <c r="N207" s="3137"/>
      <c r="O207" s="4500"/>
      <c r="P207" s="1707"/>
      <c r="Q207" s="1707"/>
      <c r="R207" s="4500"/>
      <c r="S207" s="1707"/>
      <c r="T207" s="1707"/>
      <c r="U207" s="1707"/>
      <c r="V207" s="3137"/>
      <c r="W207" s="3137"/>
      <c r="X207" s="3137"/>
      <c r="Y207" s="3137"/>
      <c r="Z207" s="3137"/>
      <c r="AA207" s="3137"/>
      <c r="AB207" s="3083"/>
      <c r="AC207" s="3083"/>
      <c r="AD207" s="3137"/>
      <c r="AE207" s="3137"/>
      <c r="AF207" s="4500"/>
      <c r="AG207" s="1707"/>
      <c r="AH207" s="1707"/>
      <c r="AI207" s="4500"/>
      <c r="AJ207" s="1707"/>
      <c r="AK207" s="1127"/>
      <c r="AL207" s="1179"/>
      <c r="AM207" s="1179"/>
      <c r="AN207" s="1179"/>
      <c r="AO207" s="2595"/>
      <c r="AP207" s="2595"/>
      <c r="AQ207" s="2595"/>
      <c r="AR207" s="2595"/>
      <c r="AS207" s="2595"/>
      <c r="AT207" s="2595"/>
      <c r="AU207" s="2595"/>
      <c r="AV207" s="2595"/>
      <c r="AW207" s="2595"/>
      <c r="AX207" s="2595"/>
      <c r="AY207" s="42"/>
      <c r="AZ207" s="42"/>
    </row>
    <row r="208" spans="1:52" s="3402" customFormat="1" ht="11.25" customHeight="1">
      <c r="A208" s="1127"/>
      <c r="B208" s="1707"/>
      <c r="C208" s="4481"/>
      <c r="D208" s="1707"/>
      <c r="E208" s="3137"/>
      <c r="F208" s="3137"/>
      <c r="G208" s="3137"/>
      <c r="H208" s="4497"/>
      <c r="I208" s="4499"/>
      <c r="J208" s="2217" t="s">
        <v>110</v>
      </c>
      <c r="K208" s="3137"/>
      <c r="L208" s="3137"/>
      <c r="M208" s="3137"/>
      <c r="N208" s="3137"/>
      <c r="O208" s="1707"/>
      <c r="P208" s="1707"/>
      <c r="Q208" s="1707"/>
      <c r="R208" s="1707"/>
      <c r="S208" s="1707"/>
      <c r="T208" s="1707"/>
      <c r="U208" s="1707"/>
      <c r="V208" s="3137"/>
      <c r="W208" s="3137"/>
      <c r="X208" s="3137"/>
      <c r="Y208" s="3137"/>
      <c r="Z208" s="3137"/>
      <c r="AA208" s="3137"/>
      <c r="AB208" s="3137"/>
      <c r="AC208" s="3137"/>
      <c r="AD208" s="2217" t="s">
        <v>111</v>
      </c>
      <c r="AE208" s="3137"/>
      <c r="AF208" s="1707"/>
      <c r="AG208" s="1707"/>
      <c r="AH208" s="1707"/>
      <c r="AI208" s="1707"/>
      <c r="AJ208" s="1707"/>
      <c r="AK208" s="1127"/>
      <c r="AL208" s="1179"/>
      <c r="AM208" s="1179"/>
      <c r="AN208" s="1179"/>
      <c r="AO208" s="2595"/>
      <c r="AP208" s="2595"/>
      <c r="AQ208" s="2595"/>
      <c r="AR208" s="2595"/>
      <c r="AS208" s="2595"/>
      <c r="AT208" s="2595"/>
      <c r="AU208" s="2595"/>
      <c r="AV208" s="2595"/>
      <c r="AW208" s="2595"/>
      <c r="AX208" s="2595"/>
      <c r="AY208" s="42"/>
      <c r="AZ208" s="42"/>
    </row>
    <row r="209" spans="1:52" s="3402" customFormat="1" ht="12.75" customHeight="1">
      <c r="A209" s="1127"/>
      <c r="B209" s="9142" t="s">
        <v>3856</v>
      </c>
      <c r="C209" s="9142"/>
      <c r="D209" s="9142"/>
      <c r="E209" s="9143"/>
      <c r="F209" s="3098" t="s">
        <v>3842</v>
      </c>
      <c r="G209" s="4479"/>
      <c r="H209" s="4479"/>
      <c r="I209" s="4479"/>
      <c r="J209" s="4479"/>
      <c r="K209" s="4479"/>
      <c r="L209" s="4479"/>
      <c r="M209" s="4479"/>
      <c r="N209" s="4479"/>
      <c r="O209" s="4480"/>
      <c r="P209" s="3098" t="s">
        <v>3843</v>
      </c>
      <c r="Q209" s="4479"/>
      <c r="R209" s="4479"/>
      <c r="S209" s="4479"/>
      <c r="T209" s="1706"/>
      <c r="U209" s="4501"/>
      <c r="V209" s="4479"/>
      <c r="W209" s="4479"/>
      <c r="X209" s="4479"/>
      <c r="Y209" s="4480"/>
      <c r="Z209" s="3098" t="s">
        <v>3844</v>
      </c>
      <c r="AA209" s="4479"/>
      <c r="AB209" s="4479"/>
      <c r="AC209" s="4480"/>
      <c r="AD209" s="3098" t="s">
        <v>3845</v>
      </c>
      <c r="AE209" s="4479"/>
      <c r="AF209" s="4479" t="s">
        <v>3847</v>
      </c>
      <c r="AG209" s="3098" t="s">
        <v>3848</v>
      </c>
      <c r="AH209" s="4479"/>
      <c r="AI209" s="4479"/>
      <c r="AJ209" s="4479"/>
      <c r="AK209" s="1127"/>
      <c r="AL209" s="1179"/>
      <c r="AM209" s="1179"/>
      <c r="AN209" s="1179"/>
      <c r="AO209" s="2595"/>
      <c r="AP209" s="2595"/>
      <c r="AQ209" s="2595"/>
      <c r="AR209" s="2595"/>
      <c r="AS209" s="2595"/>
      <c r="AT209" s="2595"/>
      <c r="AU209" s="2595"/>
      <c r="AV209" s="2595"/>
      <c r="AW209" s="2595"/>
      <c r="AX209" s="2595"/>
      <c r="AY209" s="42"/>
      <c r="AZ209" s="42"/>
    </row>
    <row r="210" spans="1:52" s="3402" customFormat="1" ht="13.5" customHeight="1">
      <c r="A210" s="1127"/>
      <c r="B210" s="9144"/>
      <c r="C210" s="9144"/>
      <c r="D210" s="9144"/>
      <c r="E210" s="9145"/>
      <c r="F210" s="9148"/>
      <c r="G210" s="9149"/>
      <c r="H210" s="9149"/>
      <c r="I210" s="9149"/>
      <c r="J210" s="9149"/>
      <c r="K210" s="9149"/>
      <c r="L210" s="9149"/>
      <c r="M210" s="9149"/>
      <c r="N210" s="9149"/>
      <c r="O210" s="9150"/>
      <c r="P210" s="4498"/>
      <c r="Q210" s="3083"/>
      <c r="R210" s="3083"/>
      <c r="S210" s="3083"/>
      <c r="T210" s="1276"/>
      <c r="U210" s="1276"/>
      <c r="V210" s="3083"/>
      <c r="W210" s="3083"/>
      <c r="X210" s="3083"/>
      <c r="Y210" s="4456"/>
      <c r="Z210" s="9153"/>
      <c r="AA210" s="9154"/>
      <c r="AB210" s="9154"/>
      <c r="AC210" s="9155"/>
      <c r="AD210" s="2950"/>
      <c r="AE210" s="1546"/>
      <c r="AF210" s="3083"/>
      <c r="AG210" s="9159"/>
      <c r="AH210" s="9160"/>
      <c r="AI210" s="9160"/>
      <c r="AJ210" s="9160"/>
      <c r="AK210" s="1127"/>
      <c r="AL210" s="1179"/>
      <c r="AM210" s="1179"/>
      <c r="AN210" s="1179"/>
      <c r="AO210" s="2595"/>
      <c r="AP210" s="2595"/>
      <c r="AQ210" s="2595"/>
      <c r="AR210" s="2595"/>
      <c r="AS210" s="2595"/>
      <c r="AT210" s="2595"/>
      <c r="AU210" s="2595"/>
      <c r="AV210" s="2595"/>
      <c r="AW210" s="2595"/>
      <c r="AX210" s="2595"/>
      <c r="AY210" s="42"/>
      <c r="AZ210" s="42"/>
    </row>
    <row r="211" spans="1:52" s="3402" customFormat="1" ht="13.5" customHeight="1">
      <c r="A211" s="1127"/>
      <c r="B211" s="9144"/>
      <c r="C211" s="9144"/>
      <c r="D211" s="9144"/>
      <c r="E211" s="9145"/>
      <c r="F211" s="9151"/>
      <c r="G211" s="6443"/>
      <c r="H211" s="6443"/>
      <c r="I211" s="6443"/>
      <c r="J211" s="6443"/>
      <c r="K211" s="6443"/>
      <c r="L211" s="6443"/>
      <c r="M211" s="6443"/>
      <c r="N211" s="6443"/>
      <c r="O211" s="9152"/>
      <c r="P211" s="4499"/>
      <c r="Q211" s="3137"/>
      <c r="R211" s="3137"/>
      <c r="S211" s="3137"/>
      <c r="T211" s="1707"/>
      <c r="U211" s="1707"/>
      <c r="V211" s="3137"/>
      <c r="W211" s="3137"/>
      <c r="X211" s="3137"/>
      <c r="Y211" s="4497"/>
      <c r="Z211" s="9156"/>
      <c r="AA211" s="9157"/>
      <c r="AB211" s="9157"/>
      <c r="AC211" s="9158"/>
      <c r="AD211" s="3811" t="s">
        <v>3846</v>
      </c>
      <c r="AE211" s="3137"/>
      <c r="AF211" s="3137"/>
      <c r="AG211" s="9161"/>
      <c r="AH211" s="9162"/>
      <c r="AI211" s="9162"/>
      <c r="AJ211" s="9162"/>
      <c r="AK211" s="1127"/>
      <c r="AL211" s="1179"/>
      <c r="AM211" s="1179"/>
      <c r="AN211" s="1179"/>
      <c r="AO211" s="2595"/>
      <c r="AP211" s="2595"/>
      <c r="AQ211" s="2595"/>
      <c r="AR211" s="2595"/>
      <c r="AS211" s="2595"/>
      <c r="AT211" s="2595"/>
      <c r="AU211" s="2595"/>
      <c r="AV211" s="2595"/>
      <c r="AW211" s="2595"/>
      <c r="AX211" s="2595"/>
      <c r="AY211" s="42"/>
      <c r="AZ211" s="42"/>
    </row>
    <row r="212" spans="1:52" s="3402" customFormat="1" ht="14.25" customHeight="1">
      <c r="A212" s="1127"/>
      <c r="B212" s="9144"/>
      <c r="C212" s="9144"/>
      <c r="D212" s="9144"/>
      <c r="E212" s="9145"/>
      <c r="F212" s="4502" t="s">
        <v>3849</v>
      </c>
      <c r="G212" s="4503"/>
      <c r="H212" s="4504"/>
      <c r="I212" s="4504"/>
      <c r="J212" s="4504"/>
      <c r="K212" s="9163"/>
      <c r="L212" s="9163"/>
      <c r="M212" s="9163"/>
      <c r="N212" s="9163"/>
      <c r="O212" s="9163"/>
      <c r="P212" s="9163"/>
      <c r="Q212" s="9163"/>
      <c r="R212" s="9163"/>
      <c r="S212" s="9163"/>
      <c r="T212" s="9163"/>
      <c r="U212" s="9163"/>
      <c r="V212" s="9163"/>
      <c r="W212" s="9163"/>
      <c r="X212" s="9163"/>
      <c r="Y212" s="9163"/>
      <c r="Z212" s="9163"/>
      <c r="AA212" s="9163"/>
      <c r="AB212" s="9163"/>
      <c r="AC212" s="9163"/>
      <c r="AD212" s="4502" t="s">
        <v>3851</v>
      </c>
      <c r="AE212" s="4504"/>
      <c r="AF212" s="2789"/>
      <c r="AG212" s="7211"/>
      <c r="AH212" s="7211"/>
      <c r="AI212" s="7211"/>
      <c r="AJ212" s="7211"/>
      <c r="AK212" s="1127"/>
      <c r="AL212" s="1179"/>
      <c r="AM212" s="1179"/>
      <c r="AN212" s="1179"/>
      <c r="AO212" s="2595"/>
      <c r="AP212" s="2595"/>
      <c r="AQ212" s="2595"/>
      <c r="AR212" s="2595"/>
      <c r="AS212" s="2595"/>
      <c r="AT212" s="2595"/>
      <c r="AU212" s="2595"/>
      <c r="AV212" s="2595"/>
      <c r="AW212" s="2595"/>
      <c r="AX212" s="2595"/>
      <c r="AY212" s="42"/>
      <c r="AZ212" s="42"/>
    </row>
    <row r="213" spans="1:52" s="3402" customFormat="1" ht="14.25" customHeight="1" thickBot="1">
      <c r="A213" s="1127"/>
      <c r="B213" s="9146"/>
      <c r="C213" s="9146"/>
      <c r="D213" s="9146"/>
      <c r="E213" s="9147"/>
      <c r="F213" s="4505" t="s">
        <v>3850</v>
      </c>
      <c r="G213" s="4506"/>
      <c r="H213" s="4506"/>
      <c r="I213" s="4506"/>
      <c r="J213" s="4506"/>
      <c r="K213" s="9164"/>
      <c r="L213" s="9164"/>
      <c r="M213" s="9164"/>
      <c r="N213" s="9164"/>
      <c r="O213" s="9164"/>
      <c r="P213" s="9164"/>
      <c r="Q213" s="9164"/>
      <c r="R213" s="9164"/>
      <c r="S213" s="9164"/>
      <c r="T213" s="9164"/>
      <c r="U213" s="9164"/>
      <c r="V213" s="9164"/>
      <c r="W213" s="9164"/>
      <c r="X213" s="9164"/>
      <c r="Y213" s="9164"/>
      <c r="Z213" s="9164"/>
      <c r="AA213" s="9164"/>
      <c r="AB213" s="9164"/>
      <c r="AC213" s="9164"/>
      <c r="AD213" s="4505" t="s">
        <v>3852</v>
      </c>
      <c r="AE213" s="4506"/>
      <c r="AF213" s="4506"/>
      <c r="AG213" s="9165"/>
      <c r="AH213" s="9165"/>
      <c r="AI213" s="9165"/>
      <c r="AJ213" s="9165"/>
      <c r="AK213" s="1127"/>
      <c r="AL213" s="1179"/>
      <c r="AM213" s="1179"/>
      <c r="AN213" s="1179"/>
      <c r="AO213" s="2595"/>
      <c r="AP213" s="2595"/>
      <c r="AQ213" s="2595"/>
      <c r="AR213" s="2595"/>
      <c r="AS213" s="2595"/>
      <c r="AT213" s="2595"/>
      <c r="AU213" s="2595"/>
      <c r="AV213" s="2595"/>
      <c r="AW213" s="2595"/>
      <c r="AX213" s="2595"/>
      <c r="AY213" s="42"/>
      <c r="AZ213" s="42"/>
    </row>
    <row r="214" spans="1:52" s="3402" customFormat="1" ht="16.5" thickTop="1">
      <c r="A214" s="1127"/>
      <c r="B214" s="1709"/>
      <c r="C214" s="1771"/>
      <c r="D214" s="70"/>
      <c r="E214" s="70"/>
      <c r="F214" s="70"/>
      <c r="G214" s="70"/>
      <c r="H214" s="70"/>
      <c r="I214" s="70"/>
      <c r="J214" s="70"/>
      <c r="K214" s="70"/>
      <c r="L214" s="70"/>
      <c r="M214" s="70"/>
      <c r="N214" s="70"/>
      <c r="O214" s="70"/>
      <c r="P214" s="70"/>
      <c r="Q214" s="23"/>
      <c r="R214" s="23"/>
      <c r="S214" s="23"/>
      <c r="T214" s="23"/>
      <c r="U214" s="501"/>
      <c r="V214" s="23"/>
      <c r="W214" s="501"/>
      <c r="X214" s="23"/>
      <c r="Y214" s="23"/>
      <c r="Z214" s="23"/>
      <c r="AA214" s="23"/>
      <c r="AB214" s="23"/>
      <c r="AC214" s="23"/>
      <c r="AD214" s="23"/>
      <c r="AE214" s="23"/>
      <c r="AF214" s="23"/>
      <c r="AG214" s="23"/>
      <c r="AH214" s="1035" t="s">
        <v>3812</v>
      </c>
      <c r="AI214" s="23"/>
      <c r="AJ214" s="1035" t="str">
        <f>"("&amp;TaxYear&amp;")"</f>
        <v>(2021)</v>
      </c>
      <c r="AK214" s="1127"/>
      <c r="AL214" s="1927"/>
      <c r="AM214" s="1927"/>
      <c r="AN214" s="1179"/>
      <c r="AO214" s="2595"/>
      <c r="AP214" s="2595"/>
      <c r="AQ214" s="2595"/>
      <c r="AR214" s="2595"/>
      <c r="AS214" s="2595"/>
      <c r="AT214" s="2595"/>
      <c r="AU214" s="2595"/>
      <c r="AV214" s="2595"/>
      <c r="AW214" s="2595"/>
      <c r="AX214" s="2595"/>
      <c r="AY214" s="42"/>
      <c r="AZ214" s="42"/>
    </row>
  </sheetData>
  <sheetProtection password="F7BE" sheet="1" objects="1" scenarios="1"/>
  <mergeCells count="165">
    <mergeCell ref="B181:C181"/>
    <mergeCell ref="AE177:AJ177"/>
    <mergeCell ref="Q154:V154"/>
    <mergeCell ref="Z155:AA155"/>
    <mergeCell ref="AD114:AG114"/>
    <mergeCell ref="AH114:AI115"/>
    <mergeCell ref="I115:AB115"/>
    <mergeCell ref="AD115:AG115"/>
    <mergeCell ref="AE176:AJ176"/>
    <mergeCell ref="AE178:AJ178"/>
    <mergeCell ref="B117:X117"/>
    <mergeCell ref="AE163:AJ163"/>
    <mergeCell ref="AE166:AJ166"/>
    <mergeCell ref="AB155:AC155"/>
    <mergeCell ref="Z156:AC156"/>
    <mergeCell ref="AE156:AJ156"/>
    <mergeCell ref="X158:AC158"/>
    <mergeCell ref="X159:AC159"/>
    <mergeCell ref="X160:AC160"/>
    <mergeCell ref="X151:AC151"/>
    <mergeCell ref="X153:AC153"/>
    <mergeCell ref="X145:AC145"/>
    <mergeCell ref="J118:AC118"/>
    <mergeCell ref="AD119:AJ119"/>
    <mergeCell ref="B20:C20"/>
    <mergeCell ref="AE133:AJ133"/>
    <mergeCell ref="AE142:AJ142"/>
    <mergeCell ref="E124:AJ124"/>
    <mergeCell ref="I113:AB114"/>
    <mergeCell ref="B69:C69"/>
    <mergeCell ref="AE72:AJ72"/>
    <mergeCell ref="AE74:AJ74"/>
    <mergeCell ref="AE76:AJ76"/>
    <mergeCell ref="B77:C77"/>
    <mergeCell ref="AE84:AJ84"/>
    <mergeCell ref="AE86:AJ86"/>
    <mergeCell ref="AE85:AJ85"/>
    <mergeCell ref="AE87:AJ87"/>
    <mergeCell ref="J119:AC119"/>
    <mergeCell ref="AE136:AJ136"/>
    <mergeCell ref="P137:Q138"/>
    <mergeCell ref="D139:M140"/>
    <mergeCell ref="P139:Q140"/>
    <mergeCell ref="T139:AC140"/>
    <mergeCell ref="AE141:AJ141"/>
    <mergeCell ref="AE88:AJ88"/>
    <mergeCell ref="AE134:AJ134"/>
    <mergeCell ref="B99:H100"/>
    <mergeCell ref="B13:X13"/>
    <mergeCell ref="Y13:AJ13"/>
    <mergeCell ref="AD14:AJ14"/>
    <mergeCell ref="D7:G8"/>
    <mergeCell ref="I7:AB8"/>
    <mergeCell ref="AC7:AJ7"/>
    <mergeCell ref="B8:C8"/>
    <mergeCell ref="AC8:AJ9"/>
    <mergeCell ref="AD10:AG10"/>
    <mergeCell ref="AH10:AI11"/>
    <mergeCell ref="I11:AB11"/>
    <mergeCell ref="AD11:AG11"/>
    <mergeCell ref="B14:I19"/>
    <mergeCell ref="J14:AC14"/>
    <mergeCell ref="J15:AC15"/>
    <mergeCell ref="AD15:AJ15"/>
    <mergeCell ref="J16:AJ16"/>
    <mergeCell ref="J17:AJ17"/>
    <mergeCell ref="J19:S19"/>
    <mergeCell ref="T19:AB19"/>
    <mergeCell ref="AC19:AJ19"/>
    <mergeCell ref="I9:AB10"/>
    <mergeCell ref="B203:H204"/>
    <mergeCell ref="AE180:AJ180"/>
    <mergeCell ref="B105:E109"/>
    <mergeCell ref="F106:O107"/>
    <mergeCell ref="AG106:AJ107"/>
    <mergeCell ref="Z106:AC107"/>
    <mergeCell ref="K109:AC109"/>
    <mergeCell ref="K108:AC108"/>
    <mergeCell ref="AG108:AJ108"/>
    <mergeCell ref="AG109:AJ109"/>
    <mergeCell ref="D111:G112"/>
    <mergeCell ref="I111:AB112"/>
    <mergeCell ref="AC111:AJ111"/>
    <mergeCell ref="B112:C112"/>
    <mergeCell ref="AC112:AJ113"/>
    <mergeCell ref="J123:S123"/>
    <mergeCell ref="T123:AB123"/>
    <mergeCell ref="J120:AJ120"/>
    <mergeCell ref="J121:AJ121"/>
    <mergeCell ref="AC123:AJ123"/>
    <mergeCell ref="Y117:AJ117"/>
    <mergeCell ref="B118:I123"/>
    <mergeCell ref="AE162:AJ162"/>
    <mergeCell ref="AE188:AJ188"/>
    <mergeCell ref="B209:E213"/>
    <mergeCell ref="F210:O211"/>
    <mergeCell ref="Z210:AC211"/>
    <mergeCell ref="AG210:AJ211"/>
    <mergeCell ref="K212:AC212"/>
    <mergeCell ref="AG212:AJ212"/>
    <mergeCell ref="K213:AC213"/>
    <mergeCell ref="AG213:AJ213"/>
    <mergeCell ref="B124:C124"/>
    <mergeCell ref="AE168:AJ168"/>
    <mergeCell ref="B173:C173"/>
    <mergeCell ref="AE202:AJ202"/>
    <mergeCell ref="AE190:AJ190"/>
    <mergeCell ref="AE191:AJ191"/>
    <mergeCell ref="AE192:AJ192"/>
    <mergeCell ref="AE193:AJ193"/>
    <mergeCell ref="AE194:AJ194"/>
    <mergeCell ref="AE195:AJ195"/>
    <mergeCell ref="AE196:AJ196"/>
    <mergeCell ref="AE197:AJ197"/>
    <mergeCell ref="AE200:AJ200"/>
    <mergeCell ref="AE189:AJ189"/>
    <mergeCell ref="AE161:AJ161"/>
    <mergeCell ref="AE135:AJ135"/>
    <mergeCell ref="AE89:AJ89"/>
    <mergeCell ref="E20:AJ20"/>
    <mergeCell ref="AE30:AJ30"/>
    <mergeCell ref="AE37:AJ37"/>
    <mergeCell ref="P33:Q34"/>
    <mergeCell ref="AE29:AJ29"/>
    <mergeCell ref="AE31:AJ31"/>
    <mergeCell ref="AE32:AJ32"/>
    <mergeCell ref="D35:M36"/>
    <mergeCell ref="P35:Q36"/>
    <mergeCell ref="T35:AC36"/>
    <mergeCell ref="AE57:AJ57"/>
    <mergeCell ref="AE58:AJ58"/>
    <mergeCell ref="AE59:AJ59"/>
    <mergeCell ref="AE38:AJ38"/>
    <mergeCell ref="X47:AC47"/>
    <mergeCell ref="Q50:V50"/>
    <mergeCell ref="X49:AC49"/>
    <mergeCell ref="X56:AC56"/>
    <mergeCell ref="X55:AC55"/>
    <mergeCell ref="Z52:AC52"/>
    <mergeCell ref="X54:AC54"/>
    <mergeCell ref="X41:AC41"/>
    <mergeCell ref="AD118:AJ118"/>
    <mergeCell ref="AL120:AN120"/>
    <mergeCell ref="AL121:AN121"/>
    <mergeCell ref="AL122:AN122"/>
    <mergeCell ref="AE75:AJ75"/>
    <mergeCell ref="Z51:AA51"/>
    <mergeCell ref="AB51:AC51"/>
    <mergeCell ref="AE73:AJ73"/>
    <mergeCell ref="AL14:AN14"/>
    <mergeCell ref="AL15:AN15"/>
    <mergeCell ref="AL16:AN16"/>
    <mergeCell ref="AL17:AN17"/>
    <mergeCell ref="AL18:AN18"/>
    <mergeCell ref="AL118:AN118"/>
    <mergeCell ref="AL119:AN119"/>
    <mergeCell ref="AE62:AJ62"/>
    <mergeCell ref="AE52:AJ52"/>
    <mergeCell ref="AE64:AJ64"/>
    <mergeCell ref="AE90:AJ90"/>
    <mergeCell ref="AE91:AJ91"/>
    <mergeCell ref="AE92:AJ92"/>
    <mergeCell ref="AE93:AJ93"/>
    <mergeCell ref="AE96:AJ96"/>
    <mergeCell ref="AE98:AJ98"/>
  </mergeCells>
  <conditionalFormatting sqref="B13">
    <cfRule type="expression" dxfId="874" priority="52">
      <formula>IF(NoColor,1,0)</formula>
    </cfRule>
  </conditionalFormatting>
  <conditionalFormatting sqref="B78">
    <cfRule type="expression" dxfId="873" priority="535">
      <formula>IF(AND(File_Marr_Sep&lt;&gt;"",#REF!=""),1,0)</formula>
    </cfRule>
  </conditionalFormatting>
  <conditionalFormatting sqref="B117">
    <cfRule type="expression" dxfId="872" priority="147">
      <formula>IF(NoColor,1,0)</formula>
    </cfRule>
  </conditionalFormatting>
  <conditionalFormatting sqref="B182">
    <cfRule type="expression" dxfId="871" priority="143">
      <formula>IF(AND(File_Marr_Sep&lt;&gt;"",#REF!=""),1,0)</formula>
    </cfRule>
  </conditionalFormatting>
  <conditionalFormatting sqref="D86">
    <cfRule type="expression" dxfId="870" priority="159">
      <formula>$AE$86&gt;$AE$85</formula>
    </cfRule>
  </conditionalFormatting>
  <conditionalFormatting sqref="D182">
    <cfRule type="expression" dxfId="869" priority="142">
      <formula>IF(AND(File_Marr_Sep&lt;&gt;"",#REF!=""),1,0)</formula>
    </cfRule>
  </conditionalFormatting>
  <conditionalFormatting sqref="D190">
    <cfRule type="expression" dxfId="868" priority="62">
      <formula>$AE$86&gt;$AE$85</formula>
    </cfRule>
  </conditionalFormatting>
  <conditionalFormatting sqref="F108">
    <cfRule type="expression" dxfId="867" priority="486">
      <formula>NoColor</formula>
    </cfRule>
  </conditionalFormatting>
  <conditionalFormatting sqref="F212">
    <cfRule type="expression" dxfId="866" priority="133">
      <formula>NoColor</formula>
    </cfRule>
  </conditionalFormatting>
  <conditionalFormatting sqref="F106:O107">
    <cfRule type="expression" dxfId="865" priority="168">
      <formula>NoColor</formula>
    </cfRule>
  </conditionalFormatting>
  <conditionalFormatting sqref="F210:O211">
    <cfRule type="expression" dxfId="864" priority="71">
      <formula>NoColor</formula>
    </cfRule>
  </conditionalFormatting>
  <conditionalFormatting sqref="H108:J108">
    <cfRule type="expression" dxfId="863" priority="483">
      <formula>NoColor</formula>
    </cfRule>
  </conditionalFormatting>
  <conditionalFormatting sqref="H212:J212">
    <cfRule type="expression" dxfId="862" priority="130">
      <formula>NoColor</formula>
    </cfRule>
  </conditionalFormatting>
  <conditionalFormatting sqref="J15:AJ15">
    <cfRule type="expression" dxfId="861" priority="157">
      <formula>NoColor</formula>
    </cfRule>
  </conditionalFormatting>
  <conditionalFormatting sqref="J17:AJ17">
    <cfRule type="expression" dxfId="860" priority="156">
      <formula>NoColor</formula>
    </cfRule>
  </conditionalFormatting>
  <conditionalFormatting sqref="J19:AJ19">
    <cfRule type="expression" dxfId="859" priority="153">
      <formula>NoColor</formula>
    </cfRule>
  </conditionalFormatting>
  <conditionalFormatting sqref="J119:AJ119">
    <cfRule type="expression" dxfId="858" priority="60">
      <formula>NoColor</formula>
    </cfRule>
  </conditionalFormatting>
  <conditionalFormatting sqref="J121:AJ121">
    <cfRule type="expression" dxfId="857" priority="59">
      <formula>NoColor</formula>
    </cfRule>
  </conditionalFormatting>
  <conditionalFormatting sqref="J123:AJ123">
    <cfRule type="expression" dxfId="856" priority="56">
      <formula>NoColor</formula>
    </cfRule>
  </conditionalFormatting>
  <conditionalFormatting sqref="K108:AC109">
    <cfRule type="expression" dxfId="855" priority="164">
      <formula>NoColor</formula>
    </cfRule>
  </conditionalFormatting>
  <conditionalFormatting sqref="K212:AC213">
    <cfRule type="expression" dxfId="854" priority="67">
      <formula>NoColor</formula>
    </cfRule>
  </conditionalFormatting>
  <conditionalFormatting sqref="O100">
    <cfRule type="expression" dxfId="853" priority="495">
      <formula>NoColor</formula>
    </cfRule>
  </conditionalFormatting>
  <conditionalFormatting sqref="O103">
    <cfRule type="expression" dxfId="852" priority="493">
      <formula>NoColor</formula>
    </cfRule>
  </conditionalFormatting>
  <conditionalFormatting sqref="O204">
    <cfRule type="expression" dxfId="851" priority="141">
      <formula>NoColor</formula>
    </cfRule>
  </conditionalFormatting>
  <conditionalFormatting sqref="O207">
    <cfRule type="expression" dxfId="850" priority="139">
      <formula>NoColor</formula>
    </cfRule>
  </conditionalFormatting>
  <conditionalFormatting sqref="Q50:V50">
    <cfRule type="expression" dxfId="849" priority="210">
      <formula>IF(NoColor,1,0)</formula>
    </cfRule>
  </conditionalFormatting>
  <conditionalFormatting sqref="Q154:V154">
    <cfRule type="expression" dxfId="848" priority="113">
      <formula>IF(NoColor,1,0)</formula>
    </cfRule>
  </conditionalFormatting>
  <conditionalFormatting sqref="R85">
    <cfRule type="expression" dxfId="847" priority="161">
      <formula>$AE$86&gt;$AE$85</formula>
    </cfRule>
  </conditionalFormatting>
  <conditionalFormatting sqref="R100">
    <cfRule type="expression" dxfId="846" priority="494">
      <formula>NoColor</formula>
    </cfRule>
  </conditionalFormatting>
  <conditionalFormatting sqref="R103">
    <cfRule type="expression" dxfId="845" priority="492">
      <formula>NoColor</formula>
    </cfRule>
  </conditionalFormatting>
  <conditionalFormatting sqref="R189">
    <cfRule type="expression" dxfId="844" priority="64">
      <formula>$AE$86&gt;$AE$85</formula>
    </cfRule>
  </conditionalFormatting>
  <conditionalFormatting sqref="R204">
    <cfRule type="expression" dxfId="843" priority="140">
      <formula>NoColor</formula>
    </cfRule>
  </conditionalFormatting>
  <conditionalFormatting sqref="R207">
    <cfRule type="expression" dxfId="842" priority="138">
      <formula>NoColor</formula>
    </cfRule>
  </conditionalFormatting>
  <conditionalFormatting sqref="X85">
    <cfRule type="expression" dxfId="841" priority="160">
      <formula>$AE$86&gt;$AE$85</formula>
    </cfRule>
  </conditionalFormatting>
  <conditionalFormatting sqref="X189">
    <cfRule type="expression" dxfId="840" priority="63">
      <formula>$AE$86&gt;$AE$85</formula>
    </cfRule>
  </conditionalFormatting>
  <conditionalFormatting sqref="X52:Y52">
    <cfRule type="expression" dxfId="839" priority="162">
      <formula>IF(NoColor,1,0)</formula>
    </cfRule>
  </conditionalFormatting>
  <conditionalFormatting sqref="X156:Y156">
    <cfRule type="expression" dxfId="838" priority="65">
      <formula>IF(NoColor,1,0)</formula>
    </cfRule>
  </conditionalFormatting>
  <conditionalFormatting sqref="X41:AC41">
    <cfRule type="expression" dxfId="837" priority="5">
      <formula>IF(NoColor,1,0)</formula>
    </cfRule>
  </conditionalFormatting>
  <conditionalFormatting sqref="X47:AC47">
    <cfRule type="expression" dxfId="836" priority="212">
      <formula>IF(NoColor,1,0)</formula>
    </cfRule>
  </conditionalFormatting>
  <conditionalFormatting sqref="X49:AC49">
    <cfRule type="expression" dxfId="835" priority="208">
      <formula>IF(NoColor,1,0)</formula>
    </cfRule>
  </conditionalFormatting>
  <conditionalFormatting sqref="X54:AC54">
    <cfRule type="expression" dxfId="834" priority="206">
      <formula>IF(NoColor,1,0)</formula>
    </cfRule>
  </conditionalFormatting>
  <conditionalFormatting sqref="X56:AC56">
    <cfRule type="expression" dxfId="833" priority="204">
      <formula>IF(NoColor,1,0)</formula>
    </cfRule>
  </conditionalFormatting>
  <conditionalFormatting sqref="X145:AC145">
    <cfRule type="expression" dxfId="832" priority="7">
      <formula>IF(NoColor,1,0)</formula>
    </cfRule>
  </conditionalFormatting>
  <conditionalFormatting sqref="X151:AC151">
    <cfRule type="expression" dxfId="831" priority="115">
      <formula>IF(NoColor,1,0)</formula>
    </cfRule>
  </conditionalFormatting>
  <conditionalFormatting sqref="X153:AC153">
    <cfRule type="expression" dxfId="830" priority="43">
      <formula>IF(NoColor,1,0)</formula>
    </cfRule>
  </conditionalFormatting>
  <conditionalFormatting sqref="X158:AC158">
    <cfRule type="expression" dxfId="829" priority="109">
      <formula>IF(NoColor,1,0)</formula>
    </cfRule>
  </conditionalFormatting>
  <conditionalFormatting sqref="X160:AC160">
    <cfRule type="expression" dxfId="828" priority="107">
      <formula>IF(NoColor,1,0)</formula>
    </cfRule>
  </conditionalFormatting>
  <conditionalFormatting sqref="Y13">
    <cfRule type="expression" dxfId="827" priority="49">
      <formula>IF(NoColor,1,0)</formula>
    </cfRule>
  </conditionalFormatting>
  <conditionalFormatting sqref="Y117">
    <cfRule type="expression" dxfId="826" priority="50">
      <formula>IF(NoColor,1,0)</formula>
    </cfRule>
  </conditionalFormatting>
  <conditionalFormatting sqref="Z52:AC52">
    <cfRule type="expression" dxfId="825" priority="150">
      <formula>NoColor</formula>
    </cfRule>
  </conditionalFormatting>
  <conditionalFormatting sqref="Z106:AC107">
    <cfRule type="expression" dxfId="824" priority="167">
      <formula>NoColor</formula>
    </cfRule>
  </conditionalFormatting>
  <conditionalFormatting sqref="Z156:AC156">
    <cfRule type="expression" dxfId="823" priority="53">
      <formula>NoColor</formula>
    </cfRule>
  </conditionalFormatting>
  <conditionalFormatting sqref="Z210:AC211">
    <cfRule type="expression" dxfId="822" priority="70">
      <formula>NoColor</formula>
    </cfRule>
  </conditionalFormatting>
  <conditionalFormatting sqref="AD108:AE108">
    <cfRule type="expression" dxfId="821" priority="169">
      <formula>NoColor</formula>
    </cfRule>
  </conditionalFormatting>
  <conditionalFormatting sqref="AD212:AE212">
    <cfRule type="expression" dxfId="820" priority="72">
      <formula>NoColor</formula>
    </cfRule>
  </conditionalFormatting>
  <conditionalFormatting sqref="AE106">
    <cfRule type="expression" dxfId="819" priority="165">
      <formula>NoColor</formula>
    </cfRule>
  </conditionalFormatting>
  <conditionalFormatting sqref="AE210">
    <cfRule type="expression" dxfId="818" priority="68">
      <formula>NoColor</formula>
    </cfRule>
  </conditionalFormatting>
  <conditionalFormatting sqref="AE30:AJ32">
    <cfRule type="expression" dxfId="817" priority="220">
      <formula>IF(NoColor,1,0)</formula>
    </cfRule>
  </conditionalFormatting>
  <conditionalFormatting sqref="AE37:AJ38">
    <cfRule type="expression" dxfId="816" priority="214">
      <formula>IF(NoColor,1,0)</formula>
    </cfRule>
  </conditionalFormatting>
  <conditionalFormatting sqref="AE57:AJ59">
    <cfRule type="expression" dxfId="815" priority="198">
      <formula>IF(NoColor,1,0)</formula>
    </cfRule>
  </conditionalFormatting>
  <conditionalFormatting sqref="AE62:AJ62">
    <cfRule type="expression" dxfId="814" priority="196">
      <formula>IF(NoColor,1,0)</formula>
    </cfRule>
  </conditionalFormatting>
  <conditionalFormatting sqref="AE64:AJ64">
    <cfRule type="expression" dxfId="813" priority="194">
      <formula>IF(NoColor,1,0)</formula>
    </cfRule>
  </conditionalFormatting>
  <conditionalFormatting sqref="AE72:AJ72">
    <cfRule type="expression" dxfId="812" priority="192">
      <formula>IF(NoColor,1,0)</formula>
    </cfRule>
  </conditionalFormatting>
  <conditionalFormatting sqref="AE74:AJ74">
    <cfRule type="expression" dxfId="811" priority="190">
      <formula>IF(NoColor,1,0)</formula>
    </cfRule>
  </conditionalFormatting>
  <conditionalFormatting sqref="AE76:AJ76">
    <cfRule type="expression" dxfId="810" priority="188">
      <formula>IF(NoColor,1,0)</formula>
    </cfRule>
  </conditionalFormatting>
  <conditionalFormatting sqref="AE84:AJ84">
    <cfRule type="expression" dxfId="809" priority="186">
      <formula>IF(NoColor,1,0)</formula>
    </cfRule>
  </conditionalFormatting>
  <conditionalFormatting sqref="AE86:AJ88">
    <cfRule type="expression" dxfId="808" priority="180">
      <formula>IF(NoColor,1,0)</formula>
    </cfRule>
  </conditionalFormatting>
  <conditionalFormatting sqref="AE90:AJ90">
    <cfRule type="expression" dxfId="807" priority="178">
      <formula>IF(NoColor,1,0)</formula>
    </cfRule>
  </conditionalFormatting>
  <conditionalFormatting sqref="AE92:AJ93">
    <cfRule type="expression" dxfId="806" priority="174">
      <formula>IF(NoColor,1,0)</formula>
    </cfRule>
  </conditionalFormatting>
  <conditionalFormatting sqref="AE96:AJ96">
    <cfRule type="expression" dxfId="805" priority="172">
      <formula>IF(NoColor,1,0)</formula>
    </cfRule>
  </conditionalFormatting>
  <conditionalFormatting sqref="AE98:AJ98">
    <cfRule type="expression" dxfId="804" priority="170">
      <formula>IF(NoColor,1,0)</formula>
    </cfRule>
  </conditionalFormatting>
  <conditionalFormatting sqref="AE134:AJ136">
    <cfRule type="expression" dxfId="803" priority="123">
      <formula>IF(NoColor,1,0)</formula>
    </cfRule>
  </conditionalFormatting>
  <conditionalFormatting sqref="AE141:AJ142">
    <cfRule type="expression" dxfId="802" priority="11">
      <formula>IF(NoColor,1,0)</formula>
    </cfRule>
  </conditionalFormatting>
  <conditionalFormatting sqref="AE161:AJ163">
    <cfRule type="expression" dxfId="801" priority="45">
      <formula>IF(NoColor,1,0)</formula>
    </cfRule>
  </conditionalFormatting>
  <conditionalFormatting sqref="AE166:AJ166">
    <cfRule type="expression" dxfId="800" priority="99">
      <formula>IF(NoColor,1,0)</formula>
    </cfRule>
  </conditionalFormatting>
  <conditionalFormatting sqref="AE168:AJ168">
    <cfRule type="expression" dxfId="799" priority="97">
      <formula>IF(NoColor,1,0)</formula>
    </cfRule>
  </conditionalFormatting>
  <conditionalFormatting sqref="AE176:AJ176">
    <cfRule type="expression" dxfId="798" priority="39">
      <formula>IF(NoColor,1,0)</formula>
    </cfRule>
  </conditionalFormatting>
  <conditionalFormatting sqref="AE178:AJ178">
    <cfRule type="expression" dxfId="797" priority="1">
      <formula>IF(NoColor,1,0)</formula>
    </cfRule>
  </conditionalFormatting>
  <conditionalFormatting sqref="AE180:AJ180">
    <cfRule type="expression" dxfId="796" priority="91">
      <formula>IF(NoColor,1,0)</formula>
    </cfRule>
  </conditionalFormatting>
  <conditionalFormatting sqref="AE188:AJ188">
    <cfRule type="expression" dxfId="795" priority="89">
      <formula>IF(NoColor,1,0)</formula>
    </cfRule>
  </conditionalFormatting>
  <conditionalFormatting sqref="AE190:AJ192">
    <cfRule type="expression" dxfId="794" priority="83">
      <formula>IF(NoColor,1,0)</formula>
    </cfRule>
  </conditionalFormatting>
  <conditionalFormatting sqref="AE194:AJ194">
    <cfRule type="expression" dxfId="793" priority="81">
      <formula>IF(NoColor,1,0)</formula>
    </cfRule>
  </conditionalFormatting>
  <conditionalFormatting sqref="AE196:AJ197">
    <cfRule type="expression" dxfId="792" priority="77">
      <formula>IF(NoColor,1,0)</formula>
    </cfRule>
  </conditionalFormatting>
  <conditionalFormatting sqref="AE200:AJ200">
    <cfRule type="expression" dxfId="791" priority="75">
      <formula>IF(NoColor,1,0)</formula>
    </cfRule>
  </conditionalFormatting>
  <conditionalFormatting sqref="AE202:AJ202">
    <cfRule type="expression" dxfId="790" priority="73">
      <formula>IF(NoColor,1,0)</formula>
    </cfRule>
  </conditionalFormatting>
  <conditionalFormatting sqref="AF100">
    <cfRule type="expression" dxfId="789" priority="491">
      <formula>NoColor</formula>
    </cfRule>
  </conditionalFormatting>
  <conditionalFormatting sqref="AF103">
    <cfRule type="expression" dxfId="788" priority="489">
      <formula>NoColor</formula>
    </cfRule>
  </conditionalFormatting>
  <conditionalFormatting sqref="AF204">
    <cfRule type="expression" dxfId="787" priority="137">
      <formula>NoColor</formula>
    </cfRule>
  </conditionalFormatting>
  <conditionalFormatting sqref="AF207">
    <cfRule type="expression" dxfId="786" priority="135">
      <formula>NoColor</formula>
    </cfRule>
  </conditionalFormatting>
  <conditionalFormatting sqref="AG106:AJ109">
    <cfRule type="expression" dxfId="785" priority="163">
      <formula>NoColor</formula>
    </cfRule>
  </conditionalFormatting>
  <conditionalFormatting sqref="AG210:AJ213">
    <cfRule type="expression" dxfId="784" priority="66">
      <formula>NoColor</formula>
    </cfRule>
  </conditionalFormatting>
  <conditionalFormatting sqref="AI100">
    <cfRule type="expression" dxfId="783" priority="490">
      <formula>NoColor</formula>
    </cfRule>
  </conditionalFormatting>
  <conditionalFormatting sqref="AI103">
    <cfRule type="expression" dxfId="782" priority="488">
      <formula>NoColor</formula>
    </cfRule>
  </conditionalFormatting>
  <conditionalFormatting sqref="AI204">
    <cfRule type="expression" dxfId="781" priority="136">
      <formula>NoColor</formula>
    </cfRule>
  </conditionalFormatting>
  <conditionalFormatting sqref="AI207">
    <cfRule type="expression" dxfId="780" priority="134">
      <formula>NoColor</formula>
    </cfRule>
  </conditionalFormatting>
  <conditionalFormatting sqref="AL32">
    <cfRule type="expression" dxfId="779" priority="22">
      <formula>AND(AL32="",OR(AL36&lt;&gt;"",(AM34)))</formula>
    </cfRule>
  </conditionalFormatting>
  <conditionalFormatting sqref="AL33">
    <cfRule type="expression" dxfId="778" priority="24">
      <formula>NoColor</formula>
    </cfRule>
  </conditionalFormatting>
  <conditionalFormatting sqref="AL35">
    <cfRule type="expression" dxfId="777" priority="23">
      <formula>NoColor</formula>
    </cfRule>
  </conditionalFormatting>
  <conditionalFormatting sqref="AL36">
    <cfRule type="expression" dxfId="776" priority="21">
      <formula>OR(AL32&lt;&gt;"",AND(AL36="",NOT(AM34)))</formula>
    </cfRule>
  </conditionalFormatting>
  <conditionalFormatting sqref="AL66">
    <cfRule type="expression" dxfId="775" priority="36">
      <formula>$AM$65</formula>
    </cfRule>
  </conditionalFormatting>
  <conditionalFormatting sqref="AL136">
    <cfRule type="expression" dxfId="774" priority="18">
      <formula>AND(AL136="",OR(AL140&lt;&gt;"",(AM138)))</formula>
    </cfRule>
  </conditionalFormatting>
  <conditionalFormatting sqref="AL137">
    <cfRule type="expression" dxfId="773" priority="20">
      <formula>NoColor</formula>
    </cfRule>
  </conditionalFormatting>
  <conditionalFormatting sqref="AL139">
    <cfRule type="expression" dxfId="772" priority="19">
      <formula>NoColor</formula>
    </cfRule>
  </conditionalFormatting>
  <conditionalFormatting sqref="AL140">
    <cfRule type="expression" dxfId="771" priority="17">
      <formula>OR(AL136&lt;&gt;"",AND(AL140="",NOT(AM138)))</formula>
    </cfRule>
  </conditionalFormatting>
  <conditionalFormatting sqref="AL170">
    <cfRule type="expression" dxfId="770" priority="30">
      <formula>$AM$169</formula>
    </cfRule>
  </conditionalFormatting>
  <conditionalFormatting sqref="AL184:AM185">
    <cfRule type="expression" dxfId="769" priority="148">
      <formula>IF(AND(File_Marr_Sep&lt;&gt;"",#REF!&lt;&gt;""),TRUE,FALSE)</formula>
    </cfRule>
    <cfRule type="expression" dxfId="768" priority="149">
      <formula>OR(File_Marr_Sep&lt;&gt;"",AND(File_Marr_Sep="",AI184&lt;&gt;""))</formula>
    </cfRule>
  </conditionalFormatting>
  <conditionalFormatting sqref="AM66">
    <cfRule type="expression" dxfId="767" priority="34">
      <formula>AND($AM$65,$AL$66="")</formula>
    </cfRule>
  </conditionalFormatting>
  <conditionalFormatting sqref="AM170">
    <cfRule type="expression" dxfId="766" priority="29">
      <formula>AND($AM$169,$AL$170="")</formula>
    </cfRule>
  </conditionalFormatting>
  <pageMargins left="0.45" right="0.2" top="0.5" bottom="0.25" header="0" footer="0"/>
  <pageSetup scale="73" fitToHeight="0" orientation="portrait" r:id="rId1"/>
  <rowBreaks count="3" manualBreakCount="3">
    <brk id="67" min="1" max="35" man="1"/>
    <brk id="110" min="1" max="35" man="1"/>
    <brk id="171" min="1" max="35"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BH337"/>
  <sheetViews>
    <sheetView topLeftCell="A18" zoomScale="110" zoomScaleNormal="110" zoomScaleSheetLayoutView="130" workbookViewId="0"/>
  </sheetViews>
  <sheetFormatPr defaultColWidth="3.42578125" defaultRowHeight="12.75"/>
  <cols>
    <col min="1" max="1" width="3.42578125" style="42"/>
    <col min="2" max="2" width="3.85546875" style="42" customWidth="1"/>
    <col min="3" max="3" width="2.5703125" style="42" customWidth="1"/>
    <col min="4" max="4" width="2.85546875" style="42" customWidth="1"/>
    <col min="5" max="10" width="3" style="42" customWidth="1"/>
    <col min="11" max="11" width="4.28515625" style="42" customWidth="1"/>
    <col min="12" max="33" width="3" style="42" customWidth="1"/>
    <col min="34" max="34" width="3.140625" style="42" customWidth="1"/>
    <col min="35" max="35" width="3.42578125" style="42"/>
    <col min="36" max="36" width="3" style="42" customWidth="1"/>
    <col min="37" max="38" width="3.42578125" style="42" customWidth="1"/>
    <col min="39" max="39" width="3.85546875" style="42" customWidth="1"/>
    <col min="40" max="40" width="4.140625" style="42" customWidth="1"/>
    <col min="41" max="41" width="2.7109375" style="42" customWidth="1"/>
    <col min="42" max="42" width="2" style="42" customWidth="1"/>
    <col min="43" max="44" width="3.42578125" style="42"/>
    <col min="45" max="45" width="14.5703125" style="42" customWidth="1"/>
    <col min="46" max="46" width="8.42578125" style="42" customWidth="1"/>
    <col min="47" max="47" width="2.28515625" style="42" customWidth="1"/>
    <col min="48" max="48" width="10.28515625" style="42" customWidth="1"/>
    <col min="49" max="49" width="2.28515625" style="42" customWidth="1"/>
    <col min="50" max="60" width="10.7109375" style="2595" customWidth="1"/>
    <col min="61" max="16384" width="3.42578125" style="42"/>
  </cols>
  <sheetData>
    <row r="1" spans="1:60" ht="15">
      <c r="A1" s="2757"/>
      <c r="B1" s="2757"/>
      <c r="C1" s="2757"/>
      <c r="D1" s="2757"/>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I1" s="2757"/>
      <c r="AJ1" s="2757"/>
      <c r="AK1" s="2757"/>
      <c r="AL1" s="2757"/>
      <c r="AM1" s="2757"/>
      <c r="AN1" s="2757"/>
      <c r="AO1" s="2757"/>
      <c r="AP1" s="2757"/>
      <c r="AQ1" s="2757"/>
      <c r="AR1" s="2757"/>
      <c r="AS1" s="2757"/>
      <c r="AT1" s="2757"/>
      <c r="AX1" s="2594" t="s">
        <v>2033</v>
      </c>
    </row>
    <row r="2" spans="1:60" ht="15.75" customHeight="1">
      <c r="A2" s="2757"/>
      <c r="B2" s="9346" t="s">
        <v>2292</v>
      </c>
      <c r="C2" s="9347"/>
      <c r="D2" s="9347"/>
      <c r="E2" s="9347"/>
      <c r="F2" s="9347"/>
      <c r="G2" s="9347"/>
      <c r="H2" s="9348"/>
      <c r="I2" s="1278"/>
      <c r="J2" s="1179"/>
      <c r="K2" s="9356" t="s">
        <v>4968</v>
      </c>
      <c r="L2" s="9356"/>
      <c r="M2" s="9356"/>
      <c r="N2" s="9356"/>
      <c r="O2" s="9356"/>
      <c r="P2" s="9356"/>
      <c r="Q2" s="9356"/>
      <c r="R2" s="9356"/>
      <c r="S2" s="9356"/>
      <c r="T2" s="9356"/>
      <c r="U2" s="9356"/>
      <c r="V2" s="9356"/>
      <c r="W2" s="9356"/>
      <c r="X2" s="9356"/>
      <c r="Y2" s="9356"/>
      <c r="Z2" s="9356"/>
      <c r="AA2" s="9356"/>
      <c r="AB2" s="9356"/>
      <c r="AC2" s="9356"/>
      <c r="AD2" s="1179"/>
      <c r="AE2" s="1179"/>
      <c r="AF2" s="1179"/>
      <c r="AG2" s="1179"/>
      <c r="AH2" s="1179"/>
      <c r="AI2" s="1179"/>
      <c r="AJ2" s="7413" t="s">
        <v>152</v>
      </c>
      <c r="AK2" s="7414"/>
      <c r="AL2" s="7414"/>
      <c r="AM2" s="7414"/>
      <c r="AN2" s="7414"/>
      <c r="AO2" s="7414"/>
      <c r="AP2" s="7414"/>
      <c r="AQ2" s="2757"/>
      <c r="AR2" s="2757"/>
      <c r="AS2" s="2757"/>
      <c r="AT2" s="2757"/>
    </row>
    <row r="3" spans="1:60" ht="14.25" customHeight="1">
      <c r="A3" s="2757"/>
      <c r="B3" s="9349" t="s">
        <v>3973</v>
      </c>
      <c r="C3" s="9350"/>
      <c r="D3" s="9350"/>
      <c r="E3" s="9350"/>
      <c r="F3" s="9350"/>
      <c r="G3" s="9350"/>
      <c r="H3" s="9351"/>
      <c r="I3" s="1278"/>
      <c r="J3" s="1179"/>
      <c r="K3" s="9356"/>
      <c r="L3" s="9356"/>
      <c r="M3" s="9356"/>
      <c r="N3" s="9356"/>
      <c r="O3" s="9356"/>
      <c r="P3" s="9356"/>
      <c r="Q3" s="9356"/>
      <c r="R3" s="9356"/>
      <c r="S3" s="9356"/>
      <c r="T3" s="9356"/>
      <c r="U3" s="9356"/>
      <c r="V3" s="9356"/>
      <c r="W3" s="9356"/>
      <c r="X3" s="9356"/>
      <c r="Y3" s="9356"/>
      <c r="Z3" s="9356"/>
      <c r="AA3" s="9356"/>
      <c r="AB3" s="9356"/>
      <c r="AC3" s="9356"/>
      <c r="AD3" s="1179"/>
      <c r="AE3" s="1179"/>
      <c r="AF3" s="1179"/>
      <c r="AG3" s="1179"/>
      <c r="AH3" s="1179"/>
      <c r="AI3" s="1179"/>
      <c r="AJ3" s="7755">
        <f>TaxYear</f>
        <v>2021</v>
      </c>
      <c r="AK3" s="9270"/>
      <c r="AL3" s="9270"/>
      <c r="AM3" s="9270"/>
      <c r="AN3" s="9270"/>
      <c r="AO3" s="9270"/>
      <c r="AP3" s="9270"/>
      <c r="AQ3" s="2757"/>
      <c r="AR3" s="2757"/>
      <c r="AS3" s="2757"/>
      <c r="AT3" s="2757"/>
    </row>
    <row r="4" spans="1:60" ht="9.75" customHeight="1">
      <c r="A4" s="2757"/>
      <c r="B4" s="9276"/>
      <c r="C4" s="9277"/>
      <c r="D4" s="9277"/>
      <c r="E4" s="9277"/>
      <c r="F4" s="9277"/>
      <c r="G4" s="9277"/>
      <c r="H4" s="9278"/>
      <c r="I4" s="1278"/>
      <c r="J4" s="1179"/>
      <c r="K4" s="9356"/>
      <c r="L4" s="9356"/>
      <c r="M4" s="9356"/>
      <c r="N4" s="9356"/>
      <c r="O4" s="9356"/>
      <c r="P4" s="9356"/>
      <c r="Q4" s="9356"/>
      <c r="R4" s="9356"/>
      <c r="S4" s="9356"/>
      <c r="T4" s="9356"/>
      <c r="U4" s="9356"/>
      <c r="V4" s="9356"/>
      <c r="W4" s="9356"/>
      <c r="X4" s="9356"/>
      <c r="Y4" s="9356"/>
      <c r="Z4" s="9356"/>
      <c r="AA4" s="9356"/>
      <c r="AB4" s="9356"/>
      <c r="AC4" s="9356"/>
      <c r="AD4" s="1179"/>
      <c r="AE4" s="1179"/>
      <c r="AF4" s="1179"/>
      <c r="AG4" s="1179"/>
      <c r="AH4" s="1179"/>
      <c r="AI4" s="1179"/>
      <c r="AJ4" s="9271"/>
      <c r="AK4" s="9272"/>
      <c r="AL4" s="9272"/>
      <c r="AM4" s="9272"/>
      <c r="AN4" s="9272"/>
      <c r="AO4" s="9272"/>
      <c r="AP4" s="9272"/>
      <c r="AQ4" s="2757"/>
      <c r="AR4" s="2757"/>
      <c r="AS4" s="2757"/>
      <c r="AT4" s="2757"/>
    </row>
    <row r="5" spans="1:60" ht="13.5" customHeight="1">
      <c r="A5" s="2757"/>
      <c r="B5" s="9277"/>
      <c r="C5" s="9277"/>
      <c r="D5" s="9277"/>
      <c r="E5" s="9277"/>
      <c r="F5" s="9277"/>
      <c r="G5" s="9277"/>
      <c r="H5" s="9278"/>
      <c r="I5" s="1278"/>
      <c r="J5" s="1179"/>
      <c r="K5" s="1179"/>
      <c r="L5" s="1577"/>
      <c r="M5" s="1283" t="s">
        <v>3463</v>
      </c>
      <c r="N5" s="1276"/>
      <c r="O5" s="1179"/>
      <c r="P5" s="1179"/>
      <c r="Q5" s="1179"/>
      <c r="R5" s="1179"/>
      <c r="S5" s="1179"/>
      <c r="T5" s="1179"/>
      <c r="U5" s="1179"/>
      <c r="V5" s="1179"/>
      <c r="W5" s="1179"/>
      <c r="X5" s="1179"/>
      <c r="Y5" s="1179"/>
      <c r="Z5" s="1179"/>
      <c r="AA5" s="1179"/>
      <c r="AB5" s="1179"/>
      <c r="AC5" s="1179"/>
      <c r="AD5" s="1179"/>
      <c r="AE5" s="1179"/>
      <c r="AF5" s="1179"/>
      <c r="AG5" s="1179"/>
      <c r="AH5" s="1179"/>
      <c r="AI5" s="1179"/>
      <c r="AJ5" s="9271"/>
      <c r="AK5" s="9272"/>
      <c r="AL5" s="9272"/>
      <c r="AM5" s="9272"/>
      <c r="AN5" s="9272"/>
      <c r="AO5" s="9272"/>
      <c r="AP5" s="9272"/>
      <c r="AQ5" s="2757"/>
      <c r="AR5" s="2757"/>
      <c r="AS5" s="2757"/>
      <c r="AT5" s="2757"/>
    </row>
    <row r="6" spans="1:60" ht="12" customHeight="1">
      <c r="A6" s="2757"/>
      <c r="B6" s="7422" t="s">
        <v>2122</v>
      </c>
      <c r="C6" s="6764"/>
      <c r="D6" s="6764"/>
      <c r="E6" s="6764"/>
      <c r="F6" s="6764"/>
      <c r="G6" s="6764"/>
      <c r="H6" s="7423"/>
      <c r="I6" s="1278"/>
      <c r="J6" s="9256" t="s">
        <v>5083</v>
      </c>
      <c r="K6" s="9256"/>
      <c r="L6" s="9256"/>
      <c r="M6" s="9256"/>
      <c r="N6" s="9256"/>
      <c r="O6" s="9256"/>
      <c r="P6" s="9256"/>
      <c r="Q6" s="9256"/>
      <c r="R6" s="9256"/>
      <c r="S6" s="9256"/>
      <c r="T6" s="9256"/>
      <c r="U6" s="9256"/>
      <c r="V6" s="9256"/>
      <c r="W6" s="9256"/>
      <c r="X6" s="9256"/>
      <c r="Y6" s="9256"/>
      <c r="Z6" s="9256"/>
      <c r="AA6" s="9256"/>
      <c r="AB6" s="9256"/>
      <c r="AC6" s="9256"/>
      <c r="AD6" s="9256"/>
      <c r="AE6" s="1179"/>
      <c r="AF6" s="1179"/>
      <c r="AG6" s="1179"/>
      <c r="AH6" s="1179"/>
      <c r="AI6" s="1179"/>
      <c r="AJ6" s="2940"/>
      <c r="AK6" s="7422" t="s">
        <v>2070</v>
      </c>
      <c r="AL6" s="7189"/>
      <c r="AM6" s="7189"/>
      <c r="AN6" s="9354">
        <v>47</v>
      </c>
      <c r="AO6" s="9352"/>
      <c r="AP6" s="5348"/>
      <c r="AQ6" s="2757"/>
      <c r="AR6" s="2757"/>
      <c r="AS6" s="2757"/>
      <c r="AT6" s="2757"/>
    </row>
    <row r="7" spans="1:60" ht="12" customHeight="1" thickBot="1">
      <c r="A7" s="2757"/>
      <c r="B7" s="9340"/>
      <c r="C7" s="9340"/>
      <c r="D7" s="9340"/>
      <c r="E7" s="9340"/>
      <c r="F7" s="9340"/>
      <c r="G7" s="9340"/>
      <c r="H7" s="9341"/>
      <c r="I7" s="5349"/>
      <c r="J7" s="9269"/>
      <c r="K7" s="9269"/>
      <c r="L7" s="9269"/>
      <c r="M7" s="9269"/>
      <c r="N7" s="9269"/>
      <c r="O7" s="9269"/>
      <c r="P7" s="9269"/>
      <c r="Q7" s="9269"/>
      <c r="R7" s="9269"/>
      <c r="S7" s="9269"/>
      <c r="T7" s="9269"/>
      <c r="U7" s="9269"/>
      <c r="V7" s="9269"/>
      <c r="W7" s="9269"/>
      <c r="X7" s="9269"/>
      <c r="Y7" s="9269"/>
      <c r="Z7" s="9269"/>
      <c r="AA7" s="9269"/>
      <c r="AB7" s="9269"/>
      <c r="AC7" s="9269"/>
      <c r="AD7" s="9269"/>
      <c r="AE7" s="1359"/>
      <c r="AF7" s="1359"/>
      <c r="AG7" s="1359"/>
      <c r="AH7" s="1359"/>
      <c r="AI7" s="1359"/>
      <c r="AJ7" s="5350"/>
      <c r="AK7" s="9353"/>
      <c r="AL7" s="9353"/>
      <c r="AM7" s="9353"/>
      <c r="AN7" s="9355"/>
      <c r="AO7" s="9353"/>
      <c r="AP7" s="5351"/>
      <c r="AQ7" s="2757"/>
      <c r="AR7" s="2757"/>
      <c r="AS7" s="2757"/>
      <c r="AT7" s="2757"/>
    </row>
    <row r="8" spans="1:60" ht="13.5" thickTop="1">
      <c r="A8" s="2757"/>
      <c r="B8" s="1262" t="s">
        <v>55</v>
      </c>
      <c r="C8" s="1179"/>
      <c r="D8" s="1179"/>
      <c r="E8" s="1179"/>
      <c r="F8" s="1179"/>
      <c r="G8" s="1179"/>
      <c r="H8" s="1179"/>
      <c r="I8" s="1179"/>
      <c r="J8" s="1179"/>
      <c r="K8" s="1179"/>
      <c r="L8" s="1179"/>
      <c r="M8" s="1179"/>
      <c r="N8" s="9279"/>
      <c r="O8" s="9279"/>
      <c r="P8" s="9279"/>
      <c r="Q8" s="9279"/>
      <c r="R8" s="9279"/>
      <c r="S8" s="9279"/>
      <c r="T8" s="9279"/>
      <c r="U8" s="9279"/>
      <c r="V8" s="9279"/>
      <c r="W8" s="9279"/>
      <c r="X8" s="9279"/>
      <c r="Y8" s="9279"/>
      <c r="Z8" s="9279"/>
      <c r="AA8" s="1179"/>
      <c r="AB8" s="1179"/>
      <c r="AC8" s="1179"/>
      <c r="AD8" s="1179"/>
      <c r="AE8" s="1179"/>
      <c r="AF8" s="1179"/>
      <c r="AG8" s="1179"/>
      <c r="AH8" s="1179"/>
      <c r="AI8" s="1179"/>
      <c r="AJ8" s="2642" t="s">
        <v>89</v>
      </c>
      <c r="AK8" s="1179"/>
      <c r="AL8" s="1179"/>
      <c r="AM8" s="1179"/>
      <c r="AN8" s="1179"/>
      <c r="AO8" s="1179"/>
      <c r="AP8" s="1179"/>
      <c r="AQ8" s="2757"/>
      <c r="AR8" s="2757"/>
      <c r="AS8" s="5934" t="s">
        <v>91</v>
      </c>
      <c r="AT8" s="2757"/>
    </row>
    <row r="9" spans="1:60" ht="9.75" customHeight="1">
      <c r="A9" s="2757"/>
      <c r="B9" s="6635" t="str">
        <f>Names</f>
        <v/>
      </c>
      <c r="C9" s="6635"/>
      <c r="D9" s="6635"/>
      <c r="E9" s="6635"/>
      <c r="F9" s="6635"/>
      <c r="G9" s="6635"/>
      <c r="H9" s="6635"/>
      <c r="I9" s="6635"/>
      <c r="J9" s="6635"/>
      <c r="K9" s="6635"/>
      <c r="L9" s="6635"/>
      <c r="M9" s="6635"/>
      <c r="N9" s="6635"/>
      <c r="O9" s="6635"/>
      <c r="P9" s="6635"/>
      <c r="Q9" s="6635"/>
      <c r="R9" s="6635"/>
      <c r="S9" s="6635"/>
      <c r="T9" s="6635"/>
      <c r="U9" s="6635"/>
      <c r="V9" s="6635"/>
      <c r="W9" s="6635"/>
      <c r="X9" s="6635"/>
      <c r="Y9" s="6635"/>
      <c r="Z9" s="6635"/>
      <c r="AA9" s="6635"/>
      <c r="AB9" s="6635"/>
      <c r="AC9" s="6635"/>
      <c r="AD9" s="6635"/>
      <c r="AE9" s="6635"/>
      <c r="AF9" s="6635"/>
      <c r="AG9" s="6635"/>
      <c r="AH9" s="6635"/>
      <c r="AI9" s="6635"/>
      <c r="AJ9" s="9342">
        <f>IF(NoSSN,"",SS_Yours)</f>
        <v>1010001</v>
      </c>
      <c r="AK9" s="9343"/>
      <c r="AL9" s="9343"/>
      <c r="AM9" s="9343"/>
      <c r="AN9" s="9343"/>
      <c r="AO9" s="9343"/>
      <c r="AP9" s="9343"/>
      <c r="AQ9" s="2757"/>
      <c r="AR9" s="2757"/>
      <c r="AS9" s="2757"/>
      <c r="AT9" s="2757"/>
    </row>
    <row r="10" spans="1:60" ht="9.75" customHeight="1">
      <c r="A10" s="2757"/>
      <c r="B10" s="6635"/>
      <c r="C10" s="6635"/>
      <c r="D10" s="6635"/>
      <c r="E10" s="6635"/>
      <c r="F10" s="6635"/>
      <c r="G10" s="6635"/>
      <c r="H10" s="6635"/>
      <c r="I10" s="6635"/>
      <c r="J10" s="6635"/>
      <c r="K10" s="6635"/>
      <c r="L10" s="6635"/>
      <c r="M10" s="6635"/>
      <c r="N10" s="6635"/>
      <c r="O10" s="6635"/>
      <c r="P10" s="6635"/>
      <c r="Q10" s="6635"/>
      <c r="R10" s="6635"/>
      <c r="S10" s="6635"/>
      <c r="T10" s="6635"/>
      <c r="U10" s="6635"/>
      <c r="V10" s="6635"/>
      <c r="W10" s="6635"/>
      <c r="X10" s="6635"/>
      <c r="Y10" s="6635"/>
      <c r="Z10" s="6635"/>
      <c r="AA10" s="6635"/>
      <c r="AB10" s="6635"/>
      <c r="AC10" s="6635"/>
      <c r="AD10" s="6635"/>
      <c r="AE10" s="6635"/>
      <c r="AF10" s="6635"/>
      <c r="AG10" s="6635"/>
      <c r="AH10" s="6635"/>
      <c r="AI10" s="6635"/>
      <c r="AJ10" s="9344"/>
      <c r="AK10" s="9345"/>
      <c r="AL10" s="9345"/>
      <c r="AM10" s="9345"/>
      <c r="AN10" s="9345"/>
      <c r="AO10" s="9345"/>
      <c r="AP10" s="9345"/>
      <c r="AQ10" s="2757"/>
      <c r="AR10" s="2757"/>
      <c r="AS10" s="2757"/>
      <c r="AT10" s="2757"/>
    </row>
    <row r="11" spans="1:60" s="2689" customFormat="1" ht="16.5" customHeight="1">
      <c r="A11" s="2758"/>
      <c r="B11" s="7794" t="s">
        <v>4969</v>
      </c>
      <c r="C11" s="7794"/>
      <c r="D11" s="7795"/>
      <c r="E11" s="2690"/>
      <c r="F11" s="2690"/>
      <c r="G11" s="2968" t="s">
        <v>4970</v>
      </c>
      <c r="H11" s="2690"/>
      <c r="I11" s="2690"/>
      <c r="J11" s="2690"/>
      <c r="K11" s="2690"/>
      <c r="L11" s="2690"/>
      <c r="M11" s="2690"/>
      <c r="N11" s="2690"/>
      <c r="O11" s="2690"/>
      <c r="P11" s="2690"/>
      <c r="Q11" s="2690"/>
      <c r="R11" s="2690"/>
      <c r="S11" s="2690"/>
      <c r="T11" s="2690"/>
      <c r="U11" s="2690"/>
      <c r="V11" s="2690"/>
      <c r="W11" s="2690"/>
      <c r="X11" s="2690"/>
      <c r="Y11" s="2690"/>
      <c r="Z11" s="2690"/>
      <c r="AA11" s="2690"/>
      <c r="AB11" s="2690"/>
      <c r="AC11" s="2690"/>
      <c r="AD11" s="2690"/>
      <c r="AE11" s="2690"/>
      <c r="AF11" s="2690"/>
      <c r="AG11" s="2690"/>
      <c r="AH11" s="2690"/>
      <c r="AI11" s="2690"/>
      <c r="AJ11" s="2690"/>
      <c r="AK11" s="2690"/>
      <c r="AL11" s="2690"/>
      <c r="AM11" s="2690"/>
      <c r="AN11" s="2690"/>
      <c r="AO11" s="2690"/>
      <c r="AP11" s="2690"/>
      <c r="AQ11" s="2757"/>
      <c r="AR11" s="2757"/>
      <c r="AS11" s="2757"/>
      <c r="AT11" s="2757"/>
      <c r="AX11" s="2595"/>
      <c r="AY11" s="2595"/>
      <c r="AZ11" s="2595"/>
      <c r="BA11" s="2595"/>
      <c r="BB11" s="2595"/>
      <c r="BC11" s="2595"/>
      <c r="BD11" s="2595"/>
      <c r="BE11" s="2595"/>
      <c r="BF11" s="2595"/>
      <c r="BG11" s="2595"/>
      <c r="BH11" s="2595"/>
    </row>
    <row r="12" spans="1:60" ht="14.25" customHeight="1">
      <c r="A12" s="2757"/>
      <c r="B12" s="5461" t="s">
        <v>148</v>
      </c>
      <c r="C12" s="5518" t="s">
        <v>4971</v>
      </c>
      <c r="D12" s="2962"/>
      <c r="E12" s="2962"/>
      <c r="F12" s="2962"/>
      <c r="G12" s="2962"/>
      <c r="H12" s="2962"/>
      <c r="I12" s="2962"/>
      <c r="J12" s="2962"/>
      <c r="K12" s="2962"/>
      <c r="L12" s="2962"/>
      <c r="M12" s="2962"/>
      <c r="N12" s="2962"/>
      <c r="O12" s="2962"/>
      <c r="P12" s="2962"/>
      <c r="Q12" s="2962"/>
      <c r="R12" s="2962"/>
      <c r="S12" s="2962"/>
      <c r="T12" s="2962"/>
      <c r="U12" s="2962"/>
      <c r="V12" s="2962"/>
      <c r="W12" s="2962"/>
      <c r="X12" s="2962"/>
      <c r="Y12" s="2962"/>
      <c r="Z12" s="2962"/>
      <c r="AA12" s="2962"/>
      <c r="AB12" s="2962"/>
      <c r="AC12" s="2962"/>
      <c r="AD12" s="2962"/>
      <c r="AE12" s="2962"/>
      <c r="AF12" s="2962"/>
      <c r="AG12" s="2962"/>
      <c r="AH12" s="2962"/>
      <c r="AI12" s="1560" t="s">
        <v>2211</v>
      </c>
      <c r="AJ12" s="9282" t="s">
        <v>148</v>
      </c>
      <c r="AK12" s="7260"/>
      <c r="AL12" s="9334">
        <f>IF(AS12&lt;&gt;"",ROUND(AS12,0),Adj_Gross_Inc)</f>
        <v>0</v>
      </c>
      <c r="AM12" s="9335"/>
      <c r="AN12" s="9335"/>
      <c r="AO12" s="9335"/>
      <c r="AP12" s="9335"/>
      <c r="AQ12" s="2757"/>
      <c r="AR12" s="1562"/>
      <c r="AS12" s="3278"/>
      <c r="AT12" s="1562"/>
    </row>
    <row r="13" spans="1:60" ht="14.25">
      <c r="A13" s="2757"/>
      <c r="B13" s="1560" t="s">
        <v>341</v>
      </c>
      <c r="C13" s="5518" t="s">
        <v>4972</v>
      </c>
      <c r="D13" s="2963"/>
      <c r="E13" s="2963"/>
      <c r="F13" s="2963"/>
      <c r="G13" s="2963"/>
      <c r="H13" s="2963"/>
      <c r="I13" s="2963"/>
      <c r="J13" s="2963"/>
      <c r="K13" s="2963"/>
      <c r="L13" s="2963"/>
      <c r="M13" s="2963"/>
      <c r="N13" s="2963"/>
      <c r="O13" s="2963"/>
      <c r="P13" s="2963"/>
      <c r="Q13" s="2963"/>
      <c r="R13" s="2963"/>
      <c r="S13" s="2963"/>
      <c r="T13" s="2963"/>
      <c r="U13" s="2963"/>
      <c r="V13" s="2963"/>
      <c r="W13" s="2963"/>
      <c r="X13" s="2963"/>
      <c r="Y13" s="2963"/>
      <c r="Z13" s="2963"/>
      <c r="AA13" s="2963"/>
      <c r="AB13" s="1560" t="s">
        <v>1055</v>
      </c>
      <c r="AC13" s="9303" t="s">
        <v>341</v>
      </c>
      <c r="AD13" s="9370"/>
      <c r="AE13" s="9400"/>
      <c r="AF13" s="9401"/>
      <c r="AG13" s="9401"/>
      <c r="AH13" s="9401"/>
      <c r="AI13" s="9402"/>
      <c r="AJ13" s="9382"/>
      <c r="AK13" s="9383"/>
      <c r="AL13" s="2213"/>
      <c r="AM13" s="2213"/>
      <c r="AN13" s="2213"/>
      <c r="AO13" s="2213"/>
      <c r="AP13" s="2213"/>
      <c r="AQ13" s="2757"/>
      <c r="AR13" s="2757"/>
      <c r="AS13" s="2757"/>
      <c r="AT13" s="2757"/>
    </row>
    <row r="14" spans="1:60" ht="14.25" customHeight="1">
      <c r="A14" s="2757"/>
      <c r="B14" s="1560" t="s">
        <v>47</v>
      </c>
      <c r="C14" s="5518" t="s">
        <v>4973</v>
      </c>
      <c r="D14" s="2964"/>
      <c r="E14" s="2964"/>
      <c r="F14" s="2964"/>
      <c r="G14" s="2964"/>
      <c r="H14" s="2964"/>
      <c r="I14" s="2964"/>
      <c r="J14" s="2964"/>
      <c r="K14" s="2964"/>
      <c r="L14" s="2964"/>
      <c r="M14" s="2964"/>
      <c r="N14" s="2964"/>
      <c r="O14" s="2964"/>
      <c r="P14" s="2964"/>
      <c r="Q14" s="2964"/>
      <c r="R14" s="2964"/>
      <c r="S14" s="2964"/>
      <c r="T14" s="2964"/>
      <c r="U14" s="2964"/>
      <c r="V14" s="2964"/>
      <c r="W14" s="2964"/>
      <c r="X14" s="2964"/>
      <c r="Y14" s="2964"/>
      <c r="Z14" s="2964"/>
      <c r="AA14" s="2964"/>
      <c r="AB14" s="1560" t="s">
        <v>2513</v>
      </c>
      <c r="AC14" s="9303" t="s">
        <v>342</v>
      </c>
      <c r="AD14" s="7260"/>
      <c r="AE14" s="9326">
        <f>IF(AS14&lt;&gt;"",ROUND(AS14,0),SUM(F2555_Line45,ForeignHousingDeduction))</f>
        <v>0</v>
      </c>
      <c r="AF14" s="9327"/>
      <c r="AG14" s="9327"/>
      <c r="AH14" s="9327"/>
      <c r="AI14" s="9327"/>
      <c r="AJ14" s="9384"/>
      <c r="AK14" s="9385"/>
      <c r="AL14" s="5365"/>
      <c r="AM14" s="5366"/>
      <c r="AN14" s="5366"/>
      <c r="AO14" s="5366"/>
      <c r="AP14" s="5366"/>
      <c r="AQ14" s="2757"/>
      <c r="AR14" s="2757"/>
      <c r="AS14" s="3278"/>
      <c r="AT14" s="2757"/>
    </row>
    <row r="15" spans="1:60" ht="12.75" customHeight="1">
      <c r="A15" s="2757"/>
      <c r="B15" s="1560" t="s">
        <v>48</v>
      </c>
      <c r="C15" s="5518" t="s">
        <v>4974</v>
      </c>
      <c r="D15" s="2963"/>
      <c r="E15" s="2964"/>
      <c r="F15" s="2964"/>
      <c r="G15" s="2964"/>
      <c r="H15" s="2246"/>
      <c r="I15" s="2964"/>
      <c r="J15" s="2964"/>
      <c r="K15" s="2964"/>
      <c r="L15" s="2964"/>
      <c r="M15" s="2965"/>
      <c r="N15" s="2966"/>
      <c r="O15" s="2966"/>
      <c r="P15" s="2966"/>
      <c r="Q15" s="2966"/>
      <c r="R15" s="2966"/>
      <c r="S15" s="2966"/>
      <c r="T15" s="2966"/>
      <c r="U15" s="2966"/>
      <c r="V15" s="2966"/>
      <c r="W15" s="2966"/>
      <c r="X15" s="2966"/>
      <c r="Y15" s="2966"/>
      <c r="Z15" s="2966"/>
      <c r="AA15" s="2966"/>
      <c r="AB15" s="1560" t="s">
        <v>1055</v>
      </c>
      <c r="AC15" s="9303" t="s">
        <v>1873</v>
      </c>
      <c r="AD15" s="7260"/>
      <c r="AE15" s="9361"/>
      <c r="AF15" s="9362"/>
      <c r="AG15" s="9362"/>
      <c r="AH15" s="9362"/>
      <c r="AI15" s="9362"/>
      <c r="AJ15" s="2949"/>
      <c r="AK15" s="2234"/>
      <c r="AL15" s="1691"/>
      <c r="AM15" s="1692"/>
      <c r="AN15" s="1692"/>
      <c r="AO15" s="1692"/>
      <c r="AP15" s="1692"/>
      <c r="AQ15" s="2757"/>
      <c r="AR15" s="2757"/>
      <c r="AS15" s="2757"/>
      <c r="AT15" s="2757"/>
    </row>
    <row r="16" spans="1:60" ht="15.75" customHeight="1" thickBot="1">
      <c r="A16" s="2757"/>
      <c r="B16" s="5345" t="s">
        <v>92</v>
      </c>
      <c r="C16" s="5518" t="s">
        <v>4975</v>
      </c>
      <c r="D16" s="2963"/>
      <c r="E16" s="2964"/>
      <c r="F16" s="2964"/>
      <c r="G16" s="2964"/>
      <c r="H16" s="2964"/>
      <c r="I16" s="2964"/>
      <c r="J16" s="2964"/>
      <c r="K16" s="2964"/>
      <c r="L16" s="2964"/>
      <c r="M16" s="2965"/>
      <c r="N16" s="2966"/>
      <c r="O16" s="2966"/>
      <c r="P16" s="2966"/>
      <c r="Q16" s="2966"/>
      <c r="R16" s="2966"/>
      <c r="S16" s="2966"/>
      <c r="T16" s="2966"/>
      <c r="U16" s="2966"/>
      <c r="V16" s="2966"/>
      <c r="W16" s="2966"/>
      <c r="X16" s="2966"/>
      <c r="Y16" s="2966"/>
      <c r="Z16" s="2966"/>
      <c r="AA16" s="2966"/>
      <c r="AB16" s="2966"/>
      <c r="AC16" s="2966"/>
      <c r="AD16" s="2966"/>
      <c r="AE16" s="2967"/>
      <c r="AF16" s="2967"/>
      <c r="AG16" s="2967"/>
      <c r="AH16" s="2967"/>
      <c r="AI16" s="1560" t="s">
        <v>562</v>
      </c>
      <c r="AJ16" s="9330" t="s">
        <v>1874</v>
      </c>
      <c r="AK16" s="9331"/>
      <c r="AL16" s="9363">
        <f>SUM(ROUND(AE13,0),AE14,ROUND(AE15,0))</f>
        <v>0</v>
      </c>
      <c r="AM16" s="9364"/>
      <c r="AN16" s="9364"/>
      <c r="AO16" s="9364"/>
      <c r="AP16" s="9364"/>
      <c r="AQ16" s="2757"/>
      <c r="AR16" s="2757"/>
      <c r="AS16" s="5355"/>
      <c r="AT16" s="2757"/>
    </row>
    <row r="17" spans="1:60" ht="15.75" customHeight="1">
      <c r="A17" s="2757"/>
      <c r="B17" s="5461" t="s">
        <v>150</v>
      </c>
      <c r="C17" s="5518" t="s">
        <v>4976</v>
      </c>
      <c r="D17" s="2964"/>
      <c r="E17" s="2964"/>
      <c r="F17" s="2964"/>
      <c r="G17" s="2964"/>
      <c r="H17" s="2964"/>
      <c r="I17" s="2964"/>
      <c r="J17" s="2964"/>
      <c r="K17" s="2246"/>
      <c r="L17" s="2964"/>
      <c r="M17" s="2965"/>
      <c r="N17" s="2965"/>
      <c r="O17" s="2965"/>
      <c r="P17" s="2965"/>
      <c r="Q17" s="2965"/>
      <c r="R17" s="2965"/>
      <c r="S17" s="2965"/>
      <c r="T17" s="2965"/>
      <c r="U17" s="2967"/>
      <c r="V17" s="2965"/>
      <c r="W17" s="2965"/>
      <c r="X17" s="2965"/>
      <c r="Y17" s="2965"/>
      <c r="Z17" s="2965"/>
      <c r="AA17" s="2965"/>
      <c r="AB17" s="2965"/>
      <c r="AC17" s="2965"/>
      <c r="AD17" s="2965"/>
      <c r="AE17" s="2967"/>
      <c r="AF17" s="2967"/>
      <c r="AG17" s="2967"/>
      <c r="AH17" s="2961"/>
      <c r="AI17" s="1560" t="s">
        <v>2975</v>
      </c>
      <c r="AJ17" s="9282" t="s">
        <v>150</v>
      </c>
      <c r="AK17" s="7260"/>
      <c r="AL17" s="9326">
        <f>SUM(AL12,AL16)</f>
        <v>0</v>
      </c>
      <c r="AM17" s="9327"/>
      <c r="AN17" s="9327"/>
      <c r="AO17" s="9327"/>
      <c r="AP17" s="9327"/>
      <c r="AQ17" s="2757"/>
      <c r="AR17" s="2757"/>
      <c r="AS17" s="5355"/>
      <c r="AT17" s="2757"/>
      <c r="AV17" s="1177" t="b">
        <f>(AL17=0)</f>
        <v>1</v>
      </c>
    </row>
    <row r="18" spans="1:60" ht="15.75" customHeight="1">
      <c r="A18" s="2757"/>
      <c r="B18" s="4697" t="s">
        <v>116</v>
      </c>
      <c r="C18" s="5519" t="s">
        <v>5002</v>
      </c>
      <c r="D18" s="2963"/>
      <c r="E18" s="2964"/>
      <c r="F18" s="2964"/>
      <c r="G18" s="2964"/>
      <c r="H18" s="2964"/>
      <c r="I18" s="2964"/>
      <c r="J18" s="2964"/>
      <c r="K18" s="2964"/>
      <c r="L18" s="2964"/>
      <c r="M18" s="2965"/>
      <c r="N18" s="2966"/>
      <c r="O18" s="2966"/>
      <c r="P18" s="2966"/>
      <c r="Q18" s="2966"/>
      <c r="R18" s="2966"/>
      <c r="S18" s="2966"/>
      <c r="T18" s="2966"/>
      <c r="U18" s="2966"/>
      <c r="V18" s="2966"/>
      <c r="W18" s="2966"/>
      <c r="X18" s="2966"/>
      <c r="Y18" s="2966"/>
      <c r="Z18" s="2966"/>
      <c r="AA18" s="2966"/>
      <c r="AB18" s="1560" t="s">
        <v>2472</v>
      </c>
      <c r="AC18" s="9303" t="s">
        <v>116</v>
      </c>
      <c r="AD18" s="9370"/>
      <c r="AE18" s="9371">
        <f>IF(AS18&lt;&gt;"",ROUND(AS18,0),DependUnder18SSN)</f>
        <v>0</v>
      </c>
      <c r="AF18" s="9372"/>
      <c r="AG18" s="9372"/>
      <c r="AH18" s="9372"/>
      <c r="AI18" s="9373"/>
      <c r="AJ18" s="9382"/>
      <c r="AK18" s="9383"/>
      <c r="AL18" s="9380">
        <v>1400</v>
      </c>
      <c r="AM18" s="9381"/>
      <c r="AN18" s="9381"/>
      <c r="AO18" s="9381"/>
      <c r="AP18" s="9381"/>
      <c r="AQ18" s="2757"/>
      <c r="AR18" s="2757"/>
      <c r="AS18" s="3278"/>
      <c r="AT18" s="2757"/>
    </row>
    <row r="19" spans="1:60" ht="15.75" customHeight="1" thickBot="1">
      <c r="A19" s="2757"/>
      <c r="B19" s="5352" t="s">
        <v>47</v>
      </c>
      <c r="C19" s="5519" t="str">
        <f>"Number of qualifying children on line 4a who were under age 6 at the end of "&amp;TaxYear</f>
        <v>Number of qualifying children on line 4a who were under age 6 at the end of 2021</v>
      </c>
      <c r="D19" s="2963"/>
      <c r="E19" s="2963"/>
      <c r="F19" s="2963"/>
      <c r="G19" s="2963"/>
      <c r="H19" s="2963"/>
      <c r="I19" s="2963"/>
      <c r="J19" s="2963"/>
      <c r="K19" s="2963"/>
      <c r="L19" s="2963"/>
      <c r="M19" s="2963"/>
      <c r="N19" s="2963"/>
      <c r="O19" s="2963"/>
      <c r="P19" s="2963"/>
      <c r="Q19" s="2963"/>
      <c r="R19" s="2963"/>
      <c r="S19" s="2963"/>
      <c r="T19" s="2963"/>
      <c r="U19" s="2963"/>
      <c r="V19" s="2963"/>
      <c r="W19" s="2963"/>
      <c r="X19" s="2963"/>
      <c r="Y19" s="2966"/>
      <c r="Z19" s="2966"/>
      <c r="AA19" s="2966"/>
      <c r="AB19" s="1560" t="s">
        <v>2910</v>
      </c>
      <c r="AC19" s="9322" t="s">
        <v>99</v>
      </c>
      <c r="AD19" s="9374"/>
      <c r="AE19" s="9375">
        <f>IF(AS19&lt;&gt;"",ROUND(AS19,0),DependUnder6)</f>
        <v>0</v>
      </c>
      <c r="AF19" s="9376"/>
      <c r="AG19" s="9376"/>
      <c r="AH19" s="9376"/>
      <c r="AI19" s="9377"/>
      <c r="AJ19" s="9384"/>
      <c r="AK19" s="9385"/>
      <c r="AL19" s="9378">
        <v>1400</v>
      </c>
      <c r="AM19" s="9379"/>
      <c r="AN19" s="9379"/>
      <c r="AO19" s="9379"/>
      <c r="AP19" s="9379"/>
      <c r="AQ19" s="2757"/>
      <c r="AR19" s="2757"/>
      <c r="AS19" s="3278"/>
      <c r="AT19" s="2757"/>
      <c r="AV19" s="1177" t="b">
        <f>(AL19=0)</f>
        <v>0</v>
      </c>
    </row>
    <row r="20" spans="1:60" ht="15.75" customHeight="1">
      <c r="A20" s="2757"/>
      <c r="B20" s="5352" t="s">
        <v>48</v>
      </c>
      <c r="C20" s="5519" t="s">
        <v>4977</v>
      </c>
      <c r="D20" s="2942"/>
      <c r="E20" s="2942"/>
      <c r="F20" s="2942"/>
      <c r="G20" s="2942"/>
      <c r="H20" s="2942"/>
      <c r="I20" s="2942"/>
      <c r="J20" s="2942"/>
      <c r="K20" s="2942"/>
      <c r="L20" s="2942"/>
      <c r="M20" s="2942"/>
      <c r="N20" s="2942"/>
      <c r="O20" s="2942"/>
      <c r="P20" s="2942"/>
      <c r="Q20" s="2942"/>
      <c r="R20" s="2942"/>
      <c r="S20" s="2942"/>
      <c r="T20" s="2942"/>
      <c r="U20" s="2966"/>
      <c r="V20" s="2966"/>
      <c r="W20" s="2966"/>
      <c r="X20" s="2966"/>
      <c r="Y20" s="2966"/>
      <c r="Z20" s="2966"/>
      <c r="AA20" s="2966"/>
      <c r="AB20" s="1560" t="s">
        <v>2883</v>
      </c>
      <c r="AC20" s="9365" t="s">
        <v>98</v>
      </c>
      <c r="AD20" s="9366"/>
      <c r="AE20" s="9367">
        <f>SUM(AE18,-AE19)</f>
        <v>0</v>
      </c>
      <c r="AF20" s="9368"/>
      <c r="AG20" s="9368"/>
      <c r="AH20" s="9368"/>
      <c r="AI20" s="9369"/>
      <c r="AJ20" s="2953"/>
      <c r="AK20" s="5354"/>
      <c r="AL20" s="9386"/>
      <c r="AM20" s="9387"/>
      <c r="AN20" s="9387"/>
      <c r="AO20" s="9387"/>
      <c r="AP20" s="9387"/>
      <c r="AQ20" s="2757"/>
      <c r="AR20" s="2757"/>
      <c r="AS20" s="2757"/>
      <c r="AT20" s="2757"/>
    </row>
    <row r="21" spans="1:60" ht="15.75" customHeight="1">
      <c r="A21" s="2757"/>
      <c r="B21" s="5462" t="s">
        <v>200</v>
      </c>
      <c r="C21" s="5518" t="s">
        <v>5145</v>
      </c>
      <c r="D21" s="2963"/>
      <c r="E21" s="2964"/>
      <c r="F21" s="2964"/>
      <c r="G21" s="2964"/>
      <c r="H21" s="2964"/>
      <c r="I21" s="2964"/>
      <c r="J21" s="2964"/>
      <c r="K21" s="2964"/>
      <c r="L21" s="2964"/>
      <c r="M21" s="2965"/>
      <c r="N21" s="2966"/>
      <c r="O21" s="2966"/>
      <c r="P21" s="2966"/>
      <c r="Q21" s="2966"/>
      <c r="R21" s="2966"/>
      <c r="S21" s="2966"/>
      <c r="T21" s="2966"/>
      <c r="U21" s="2966"/>
      <c r="V21" s="2966"/>
      <c r="W21" s="2966"/>
      <c r="X21" s="2966"/>
      <c r="Y21" s="2966"/>
      <c r="Z21" s="2966"/>
      <c r="AA21" s="2966"/>
      <c r="AB21" s="2966"/>
      <c r="AC21" s="2966"/>
      <c r="AD21" s="2966"/>
      <c r="AE21" s="2967"/>
      <c r="AF21" s="2967"/>
      <c r="AG21" s="2967"/>
      <c r="AH21" s="2967"/>
      <c r="AI21" s="1560" t="s">
        <v>2514</v>
      </c>
      <c r="AJ21" s="9358" t="s">
        <v>200</v>
      </c>
      <c r="AK21" s="9359"/>
      <c r="AL21" s="9326">
        <f>IF(OR(AE18=0,AE18=""),0,AK181)</f>
        <v>0</v>
      </c>
      <c r="AM21" s="9327"/>
      <c r="AN21" s="9327"/>
      <c r="AO21" s="9327"/>
      <c r="AP21" s="9327"/>
      <c r="AQ21" s="2757"/>
      <c r="AR21" s="2757"/>
      <c r="AS21" s="3278"/>
      <c r="AT21" s="2757"/>
    </row>
    <row r="22" spans="1:60" ht="15.75" customHeight="1">
      <c r="A22" s="2757"/>
      <c r="B22" s="5462" t="s">
        <v>101</v>
      </c>
      <c r="C22" s="5518" t="s">
        <v>4978</v>
      </c>
      <c r="D22" s="2963"/>
      <c r="E22" s="2964"/>
      <c r="F22" s="2964"/>
      <c r="G22" s="2964"/>
      <c r="H22" s="2964"/>
      <c r="I22" s="2964"/>
      <c r="J22" s="2964"/>
      <c r="K22" s="2964"/>
      <c r="L22" s="2964"/>
      <c r="M22" s="2965"/>
      <c r="N22" s="2966"/>
      <c r="O22" s="2966"/>
      <c r="P22" s="2966"/>
      <c r="Q22" s="2966"/>
      <c r="R22" s="2966"/>
      <c r="S22" s="2966"/>
      <c r="T22" s="2966"/>
      <c r="U22" s="2966"/>
      <c r="V22" s="2966"/>
      <c r="W22" s="2966"/>
      <c r="X22" s="2966"/>
      <c r="Y22" s="2966"/>
      <c r="Z22" s="2966"/>
      <c r="AA22" s="2966"/>
      <c r="AB22" s="2966"/>
      <c r="AC22" s="2966"/>
      <c r="AD22" s="2966"/>
      <c r="AE22" s="2967"/>
      <c r="AF22" s="2967"/>
      <c r="AG22" s="2967"/>
      <c r="AH22" s="2967"/>
      <c r="AI22" s="2961"/>
      <c r="AJ22" s="2955"/>
      <c r="AK22" s="2958"/>
      <c r="AL22" s="2949"/>
      <c r="AM22" s="2233"/>
      <c r="AN22" s="2233"/>
      <c r="AO22" s="2233"/>
      <c r="AP22" s="2233"/>
      <c r="AQ22" s="2757"/>
      <c r="AR22" s="2757"/>
      <c r="AS22" s="5355"/>
      <c r="AT22" s="2757"/>
    </row>
    <row r="23" spans="1:60" ht="15.75" customHeight="1">
      <c r="A23" s="2757"/>
      <c r="B23" s="2941"/>
      <c r="C23" s="5518" t="s">
        <v>4979</v>
      </c>
      <c r="D23" s="2246"/>
      <c r="E23" s="2246"/>
      <c r="F23" s="2246"/>
      <c r="G23" s="2246"/>
      <c r="H23" s="2246"/>
      <c r="I23" s="2246"/>
      <c r="J23" s="2246"/>
      <c r="K23" s="2246"/>
      <c r="L23" s="2246"/>
      <c r="M23" s="1276"/>
      <c r="N23" s="1824"/>
      <c r="O23" s="1824"/>
      <c r="P23" s="1824"/>
      <c r="Q23" s="1824"/>
      <c r="R23" s="1824"/>
      <c r="S23" s="1824"/>
      <c r="T23" s="1824"/>
      <c r="U23" s="1824"/>
      <c r="V23" s="1824"/>
      <c r="W23" s="1824"/>
      <c r="X23" s="1824"/>
      <c r="Y23" s="1824"/>
      <c r="Z23" s="1824"/>
      <c r="AA23" s="1824"/>
      <c r="AB23" s="1560" t="s">
        <v>2513</v>
      </c>
      <c r="AC23" s="9282" t="s">
        <v>101</v>
      </c>
      <c r="AD23" s="7260"/>
      <c r="AE23" s="9371">
        <f>IF(AS23&lt;&gt;"",ROUND(AS23,0),DependOther)</f>
        <v>0</v>
      </c>
      <c r="AF23" s="9372"/>
      <c r="AG23" s="9372"/>
      <c r="AH23" s="9372"/>
      <c r="AI23" s="9373"/>
      <c r="AJ23" s="2956"/>
      <c r="AK23" s="2959"/>
      <c r="AL23" s="9388">
        <v>500</v>
      </c>
      <c r="AM23" s="9389"/>
      <c r="AN23" s="9389"/>
      <c r="AO23" s="9389"/>
      <c r="AP23" s="9389"/>
      <c r="AQ23" s="2757"/>
      <c r="AR23" s="2757"/>
      <c r="AS23" s="3277"/>
      <c r="AT23" s="2757"/>
    </row>
    <row r="24" spans="1:60" ht="15.75" customHeight="1">
      <c r="A24" s="2757"/>
      <c r="B24" s="5462" t="s">
        <v>102</v>
      </c>
      <c r="C24" s="5518" t="str">
        <f>"Multiply line 6 by "&amp;TEXT(AL23,"$0")</f>
        <v>Multiply line 6 by $500</v>
      </c>
      <c r="D24" s="2943"/>
      <c r="E24" s="1276"/>
      <c r="F24" s="1276"/>
      <c r="G24" s="1276"/>
      <c r="H24" s="1276"/>
      <c r="I24" s="1276"/>
      <c r="J24" s="1276"/>
      <c r="K24" s="1276"/>
      <c r="L24" s="1276"/>
      <c r="M24" s="1276"/>
      <c r="N24" s="2944"/>
      <c r="O24" s="2944"/>
      <c r="P24" s="2944"/>
      <c r="Q24" s="2944"/>
      <c r="R24" s="2944"/>
      <c r="S24" s="2965"/>
      <c r="T24" s="2965"/>
      <c r="U24" s="2967"/>
      <c r="V24" s="2965"/>
      <c r="W24" s="2965"/>
      <c r="X24" s="2965"/>
      <c r="Y24" s="2965"/>
      <c r="Z24" s="2965"/>
      <c r="AA24" s="2965"/>
      <c r="AB24" s="2965"/>
      <c r="AC24" s="2965"/>
      <c r="AD24" s="2965"/>
      <c r="AE24" s="2967"/>
      <c r="AF24" s="2967"/>
      <c r="AG24" s="2967"/>
      <c r="AH24" s="2961"/>
      <c r="AI24" s="1560" t="s">
        <v>562</v>
      </c>
      <c r="AJ24" s="9358" t="s">
        <v>102</v>
      </c>
      <c r="AK24" s="9359"/>
      <c r="AL24" s="9326">
        <f>AE23*AL23</f>
        <v>0</v>
      </c>
      <c r="AM24" s="9327"/>
      <c r="AN24" s="9327"/>
      <c r="AO24" s="9327"/>
      <c r="AP24" s="9327"/>
      <c r="AQ24" s="2757"/>
      <c r="AR24" s="2757"/>
      <c r="AS24" s="2757"/>
      <c r="AT24" s="2757"/>
    </row>
    <row r="25" spans="1:60" ht="15.75" customHeight="1">
      <c r="A25" s="2757"/>
      <c r="B25" s="5462" t="s">
        <v>103</v>
      </c>
      <c r="C25" s="5518" t="s">
        <v>4980</v>
      </c>
      <c r="D25" s="1276"/>
      <c r="E25" s="1276"/>
      <c r="F25" s="1276"/>
      <c r="G25" s="1276"/>
      <c r="H25" s="1276"/>
      <c r="I25" s="1276"/>
      <c r="J25" s="1276"/>
      <c r="K25" s="1276"/>
      <c r="L25" s="1276"/>
      <c r="M25" s="1276"/>
      <c r="N25" s="2944"/>
      <c r="O25" s="2944"/>
      <c r="P25" s="2944"/>
      <c r="Q25" s="2944"/>
      <c r="R25" s="2944"/>
      <c r="S25" s="2965"/>
      <c r="T25" s="2965"/>
      <c r="U25" s="2967"/>
      <c r="V25" s="2965"/>
      <c r="W25" s="2965"/>
      <c r="X25" s="2965"/>
      <c r="Y25" s="2965"/>
      <c r="Z25" s="2965"/>
      <c r="AA25" s="2965"/>
      <c r="AB25" s="2965"/>
      <c r="AC25" s="2965"/>
      <c r="AD25" s="2965"/>
      <c r="AE25" s="2967"/>
      <c r="AF25" s="2967"/>
      <c r="AG25" s="2967"/>
      <c r="AH25" s="2961"/>
      <c r="AI25" s="1560" t="s">
        <v>2975</v>
      </c>
      <c r="AJ25" s="9358" t="s">
        <v>103</v>
      </c>
      <c r="AK25" s="9359"/>
      <c r="AL25" s="9326">
        <f>SUM(AL21,AL24)</f>
        <v>0</v>
      </c>
      <c r="AM25" s="9327"/>
      <c r="AN25" s="9327"/>
      <c r="AO25" s="9327"/>
      <c r="AP25" s="9327"/>
      <c r="AQ25" s="2757"/>
      <c r="AR25" s="2757"/>
      <c r="AS25" s="3277"/>
      <c r="AT25" s="2757"/>
    </row>
    <row r="26" spans="1:60" s="2528" customFormat="1">
      <c r="A26" s="2948"/>
      <c r="B26" s="5462" t="s">
        <v>104</v>
      </c>
      <c r="C26" s="5518" t="s">
        <v>188</v>
      </c>
      <c r="D26" s="2946"/>
      <c r="E26" s="2946"/>
      <c r="F26" s="2946"/>
      <c r="G26" s="2946"/>
      <c r="H26" s="2946"/>
      <c r="I26" s="2946"/>
      <c r="J26" s="2946"/>
      <c r="K26" s="2946"/>
      <c r="L26" s="2946"/>
      <c r="M26" s="2946"/>
      <c r="N26" s="2943"/>
      <c r="O26" s="2943"/>
      <c r="P26" s="2943"/>
      <c r="Q26" s="2943"/>
      <c r="R26" s="2943"/>
      <c r="S26" s="2943"/>
      <c r="T26" s="2943"/>
      <c r="U26" s="2943"/>
      <c r="V26" s="2943"/>
      <c r="W26" s="2943"/>
      <c r="X26" s="2943"/>
      <c r="Y26" s="2943"/>
      <c r="Z26" s="2943"/>
      <c r="AA26" s="2943"/>
      <c r="AB26" s="2943"/>
      <c r="AC26" s="2943"/>
      <c r="AD26" s="2943"/>
      <c r="AE26" s="2943"/>
      <c r="AF26" s="2943"/>
      <c r="AG26" s="2943"/>
      <c r="AH26" s="2943"/>
      <c r="AI26" s="2943"/>
      <c r="AJ26" s="2957"/>
      <c r="AK26" s="2960"/>
      <c r="AL26" s="2201"/>
      <c r="AM26" s="2201"/>
      <c r="AN26" s="2201"/>
      <c r="AO26" s="2201"/>
      <c r="AP26" s="2201"/>
      <c r="AQ26" s="2948"/>
      <c r="AR26" s="2757"/>
      <c r="AS26" s="5355"/>
      <c r="AT26" s="2757"/>
      <c r="AX26" s="2602"/>
      <c r="AY26" s="2602"/>
      <c r="AZ26" s="2602"/>
      <c r="BA26" s="2602"/>
      <c r="BB26" s="2602"/>
      <c r="BC26" s="2602"/>
      <c r="BD26" s="2602"/>
      <c r="BE26" s="2602"/>
      <c r="BF26" s="2602"/>
      <c r="BG26" s="2602"/>
      <c r="BH26" s="2602"/>
    </row>
    <row r="27" spans="1:60" ht="11.25" customHeight="1">
      <c r="A27" s="2757"/>
      <c r="B27" s="2943"/>
      <c r="C27" s="5041" t="s">
        <v>593</v>
      </c>
      <c r="D27" s="5520" t="s">
        <v>5079</v>
      </c>
      <c r="E27" s="1276"/>
      <c r="F27" s="1276"/>
      <c r="G27" s="1276"/>
      <c r="H27" s="1276"/>
      <c r="I27" s="1276"/>
      <c r="J27" s="5424"/>
      <c r="K27" s="9281">
        <v>400000</v>
      </c>
      <c r="L27" s="9281"/>
      <c r="M27" s="9281"/>
      <c r="N27" s="9281"/>
      <c r="O27" s="2944"/>
      <c r="P27" s="2944"/>
      <c r="Q27" s="2944"/>
      <c r="R27" s="2944"/>
      <c r="S27" s="2944"/>
      <c r="T27" s="2944"/>
      <c r="U27" s="2944"/>
      <c r="V27" s="2944"/>
      <c r="W27" s="2944"/>
      <c r="X27" s="2944"/>
      <c r="Y27" s="2944"/>
      <c r="Z27" s="2944"/>
      <c r="AA27" s="2944"/>
      <c r="AB27" s="2944"/>
      <c r="AC27" s="2944"/>
      <c r="AD27" s="2944"/>
      <c r="AE27" s="2944"/>
      <c r="AF27" s="2944"/>
      <c r="AG27" s="2944"/>
      <c r="AH27" s="2944"/>
      <c r="AI27" s="2944"/>
      <c r="AJ27" s="2957"/>
      <c r="AK27" s="2960"/>
      <c r="AL27" s="2201"/>
      <c r="AM27" s="2201"/>
      <c r="AN27" s="2201"/>
      <c r="AO27" s="2201"/>
      <c r="AP27" s="2201"/>
      <c r="AQ27" s="2757"/>
      <c r="AR27" s="2757"/>
      <c r="AS27" s="5355"/>
      <c r="AT27" s="2757"/>
    </row>
    <row r="28" spans="1:60" ht="15">
      <c r="A28" s="2757"/>
      <c r="B28" s="2944"/>
      <c r="C28" s="5041" t="s">
        <v>593</v>
      </c>
      <c r="D28" s="5520" t="s">
        <v>5008</v>
      </c>
      <c r="E28" s="1276"/>
      <c r="F28" s="1276"/>
      <c r="G28" s="2965"/>
      <c r="H28" s="1276"/>
      <c r="I28" s="1276"/>
      <c r="J28" s="3432"/>
      <c r="K28" s="5424"/>
      <c r="L28" s="9281">
        <v>200000</v>
      </c>
      <c r="M28" s="9281"/>
      <c r="N28" s="9281"/>
      <c r="O28" s="9281"/>
      <c r="P28" s="1276"/>
      <c r="Q28" s="1276"/>
      <c r="R28" s="1276"/>
      <c r="S28" s="1276"/>
      <c r="T28" s="1276"/>
      <c r="U28" s="2943"/>
      <c r="V28" s="1276"/>
      <c r="W28" s="1276"/>
      <c r="X28" s="1276"/>
      <c r="Y28" s="1276"/>
      <c r="Z28" s="1276"/>
      <c r="AA28" s="1276"/>
      <c r="AB28" s="1276"/>
      <c r="AC28" s="1276"/>
      <c r="AD28" s="1276"/>
      <c r="AE28" s="1276"/>
      <c r="AF28" s="1276"/>
      <c r="AG28" s="1276"/>
      <c r="AH28" s="1276"/>
      <c r="AI28" s="1560" t="s">
        <v>2524</v>
      </c>
      <c r="AJ28" s="9358" t="s">
        <v>104</v>
      </c>
      <c r="AK28" s="9359"/>
      <c r="AL28" s="9326" t="str">
        <f>IF(AV28,"Filing status?",IF(File_Marr_Joint&lt;&gt;"",K27,L28))</f>
        <v>Filing status?</v>
      </c>
      <c r="AM28" s="9360"/>
      <c r="AN28" s="9360"/>
      <c r="AO28" s="9360"/>
      <c r="AP28" s="9360"/>
      <c r="AQ28" s="2757"/>
      <c r="AR28" s="2757"/>
      <c r="AS28" s="5355"/>
      <c r="AT28" s="2757"/>
      <c r="AV28" s="1286" t="b">
        <f>NumFileStatusBoxes=0</f>
        <v>1</v>
      </c>
    </row>
    <row r="29" spans="1:60" ht="11.25" customHeight="1">
      <c r="A29" s="2757"/>
      <c r="B29" s="5462" t="s">
        <v>105</v>
      </c>
      <c r="C29" s="5518" t="s">
        <v>4981</v>
      </c>
      <c r="D29" s="2703"/>
      <c r="E29" s="1276"/>
      <c r="F29" s="1276"/>
      <c r="G29" s="1276"/>
      <c r="H29" s="1276"/>
      <c r="I29" s="1276"/>
      <c r="J29" s="1276"/>
      <c r="K29" s="1276"/>
      <c r="L29" s="1276"/>
      <c r="M29" s="1276"/>
      <c r="N29" s="1824"/>
      <c r="O29" s="1824"/>
      <c r="P29" s="1824"/>
      <c r="Q29" s="1824"/>
      <c r="R29" s="1824"/>
      <c r="S29" s="1824"/>
      <c r="T29" s="1824"/>
      <c r="U29" s="1824"/>
      <c r="V29" s="1824"/>
      <c r="W29" s="1824"/>
      <c r="X29" s="1824"/>
      <c r="Y29" s="1824"/>
      <c r="Z29" s="1824"/>
      <c r="AA29" s="1824"/>
      <c r="AB29" s="1824"/>
      <c r="AC29" s="1824"/>
      <c r="AD29" s="1824"/>
      <c r="AE29" s="1824"/>
      <c r="AF29" s="1824"/>
      <c r="AG29" s="1824"/>
      <c r="AH29" s="1824"/>
      <c r="AI29" s="1824"/>
      <c r="AJ29" s="2957"/>
      <c r="AK29" s="2960"/>
      <c r="AL29" s="9394"/>
      <c r="AM29" s="7257"/>
      <c r="AN29" s="7257"/>
      <c r="AO29" s="7257"/>
      <c r="AP29" s="7257"/>
      <c r="AQ29" s="2757"/>
      <c r="AR29" s="2757"/>
      <c r="AS29" s="5355"/>
      <c r="AT29" s="2757"/>
    </row>
    <row r="30" spans="1:60" ht="15">
      <c r="A30" s="2757"/>
      <c r="B30" s="1283"/>
      <c r="C30" s="5041" t="s">
        <v>593</v>
      </c>
      <c r="D30" s="5520" t="s">
        <v>2581</v>
      </c>
      <c r="E30" s="1276"/>
      <c r="F30" s="1276"/>
      <c r="G30" s="2965"/>
      <c r="H30" s="1276"/>
      <c r="I30" s="1276"/>
      <c r="J30" s="1276"/>
      <c r="K30" s="1276"/>
      <c r="L30" s="1276"/>
      <c r="M30" s="1276"/>
      <c r="N30" s="1276"/>
      <c r="O30" s="1276"/>
      <c r="P30" s="1276"/>
      <c r="Q30" s="1276"/>
      <c r="R30" s="1276"/>
      <c r="S30" s="1276"/>
      <c r="T30" s="1276"/>
      <c r="U30" s="1276"/>
      <c r="V30" s="1276"/>
      <c r="W30" s="1276"/>
      <c r="X30" s="1276"/>
      <c r="Y30" s="1276"/>
      <c r="Z30" s="1276"/>
      <c r="AA30" s="1276"/>
      <c r="AB30" s="1276"/>
      <c r="AC30" s="1276"/>
      <c r="AD30" s="1276"/>
      <c r="AE30" s="1276"/>
      <c r="AF30" s="1276"/>
      <c r="AG30" s="1276"/>
      <c r="AH30" s="1276"/>
      <c r="AI30" s="1276"/>
      <c r="AJ30" s="2957"/>
      <c r="AK30" s="2960"/>
      <c r="AL30" s="9392" t="e">
        <f>IF(SUM(AL17,-AL28)=ROUND(SUM(AL17,-AL28),-3),SUM(AL17,-AL28),ROUNDUP(SUM(AL17,-AL28),-3))</f>
        <v>#VALUE!</v>
      </c>
      <c r="AM30" s="9393"/>
      <c r="AN30" s="9393"/>
      <c r="AO30" s="9393"/>
      <c r="AP30" s="9393"/>
      <c r="AQ30" s="2757"/>
      <c r="AR30" s="2757"/>
      <c r="AS30" s="5355"/>
      <c r="AT30" s="2757"/>
    </row>
    <row r="31" spans="1:60" ht="15">
      <c r="A31" s="2757"/>
      <c r="B31" s="1283"/>
      <c r="C31" s="5041" t="s">
        <v>593</v>
      </c>
      <c r="D31" s="5520" t="s">
        <v>4982</v>
      </c>
      <c r="E31" s="1276"/>
      <c r="F31" s="1276"/>
      <c r="G31" s="2965"/>
      <c r="H31" s="1276"/>
      <c r="I31" s="1276"/>
      <c r="J31" s="1276"/>
      <c r="K31" s="1276"/>
      <c r="L31" s="1276"/>
      <c r="M31" s="1276"/>
      <c r="N31" s="1276"/>
      <c r="O31" s="1276"/>
      <c r="P31" s="1276"/>
      <c r="Q31" s="1276"/>
      <c r="R31" s="1276"/>
      <c r="S31" s="1276"/>
      <c r="T31" s="1276"/>
      <c r="U31" s="1276"/>
      <c r="V31" s="1276"/>
      <c r="W31" s="1276"/>
      <c r="X31" s="1276"/>
      <c r="Y31" s="1276"/>
      <c r="Z31" s="1276"/>
      <c r="AA31" s="1276"/>
      <c r="AB31" s="1276"/>
      <c r="AC31" s="1276"/>
      <c r="AD31" s="1276"/>
      <c r="AE31" s="1276"/>
      <c r="AF31" s="1276"/>
      <c r="AG31" s="1276"/>
      <c r="AH31" s="1276"/>
      <c r="AI31" s="1276"/>
      <c r="AJ31" s="2957"/>
      <c r="AK31" s="2960"/>
      <c r="AL31" s="9390">
        <v>0.05</v>
      </c>
      <c r="AM31" s="9391"/>
      <c r="AN31" s="9391"/>
      <c r="AO31" s="9391"/>
      <c r="AP31" s="9391"/>
      <c r="AQ31" s="2757"/>
      <c r="AR31" s="2757"/>
      <c r="AS31" s="5355"/>
      <c r="AT31" s="2757"/>
    </row>
    <row r="32" spans="1:60" ht="14.25">
      <c r="A32" s="3256" t="s">
        <v>660</v>
      </c>
      <c r="B32" s="1283"/>
      <c r="C32" s="5518" t="s">
        <v>4983</v>
      </c>
      <c r="D32" s="1276"/>
      <c r="E32" s="1276"/>
      <c r="F32" s="1276"/>
      <c r="G32" s="2965"/>
      <c r="H32" s="1276"/>
      <c r="I32" s="1276"/>
      <c r="J32" s="1276"/>
      <c r="K32" s="1276"/>
      <c r="L32" s="1276"/>
      <c r="M32" s="1276"/>
      <c r="N32" s="1276"/>
      <c r="O32" s="1276"/>
      <c r="P32" s="1276"/>
      <c r="Q32" s="1276"/>
      <c r="R32" s="1276"/>
      <c r="S32" s="1276"/>
      <c r="T32" s="1276"/>
      <c r="U32" s="1276"/>
      <c r="V32" s="1276"/>
      <c r="W32" s="1276"/>
      <c r="X32" s="1276"/>
      <c r="Y32" s="1276"/>
      <c r="Z32" s="1276"/>
      <c r="AA32" s="1276"/>
      <c r="AB32" s="1276"/>
      <c r="AC32" s="1276"/>
      <c r="AD32" s="1276"/>
      <c r="AE32" s="1276"/>
      <c r="AF32" s="1276"/>
      <c r="AG32" s="1276"/>
      <c r="AH32" s="1276"/>
      <c r="AI32" s="1560" t="s">
        <v>1930</v>
      </c>
      <c r="AJ32" s="9282" t="s">
        <v>105</v>
      </c>
      <c r="AK32" s="7260"/>
      <c r="AL32" s="9326" t="str">
        <f>IF(AV28,"",IF(SUM(AL17,-AL28)&lt;=0,0,AL30))</f>
        <v/>
      </c>
      <c r="AM32" s="9327"/>
      <c r="AN32" s="9327"/>
      <c r="AO32" s="9327"/>
      <c r="AP32" s="9327"/>
      <c r="AQ32" s="2757"/>
      <c r="AR32" s="2757"/>
      <c r="AS32" s="5355"/>
      <c r="AT32" s="2757"/>
    </row>
    <row r="33" spans="1:60" ht="14.25">
      <c r="A33" s="2757"/>
      <c r="B33" s="5463" t="s">
        <v>657</v>
      </c>
      <c r="C33" s="5518" t="str">
        <f>"Multiply line 10 by "&amp;TEXT(AL31,"0%")&amp;" ("&amp;TEXT(AL31,"0.00")&amp;")"</f>
        <v>Multiply line 10 by 5% (0.05)</v>
      </c>
      <c r="D33" s="1276"/>
      <c r="E33" s="1276"/>
      <c r="F33" s="1276"/>
      <c r="G33" s="2965"/>
      <c r="H33" s="1276"/>
      <c r="I33" s="1276"/>
      <c r="J33" s="1276"/>
      <c r="K33" s="1276"/>
      <c r="L33" s="1276"/>
      <c r="M33" s="1276"/>
      <c r="N33" s="1276"/>
      <c r="O33" s="1276"/>
      <c r="P33" s="1276"/>
      <c r="Q33" s="1276"/>
      <c r="R33" s="1276"/>
      <c r="S33" s="1276"/>
      <c r="T33" s="1276"/>
      <c r="U33" s="1276"/>
      <c r="V33" s="1276"/>
      <c r="W33" s="1276"/>
      <c r="X33" s="1276"/>
      <c r="Y33" s="1276"/>
      <c r="Z33" s="1276"/>
      <c r="AA33" s="1276"/>
      <c r="AB33" s="1276"/>
      <c r="AC33" s="1276"/>
      <c r="AD33" s="1276"/>
      <c r="AE33" s="9283" t="s">
        <v>2524</v>
      </c>
      <c r="AF33" s="9283"/>
      <c r="AG33" s="9283"/>
      <c r="AH33" s="9283"/>
      <c r="AI33" s="9284"/>
      <c r="AJ33" s="9282" t="s">
        <v>657</v>
      </c>
      <c r="AK33" s="7260"/>
      <c r="AL33" s="9326" t="str">
        <f>IF(AV28,"",ROUND(SUM(AL32*AL31),0))</f>
        <v/>
      </c>
      <c r="AM33" s="9327"/>
      <c r="AN33" s="9327"/>
      <c r="AO33" s="9327"/>
      <c r="AP33" s="9327"/>
      <c r="AQ33" s="2757"/>
      <c r="AR33" s="2757"/>
      <c r="AS33" s="5355"/>
      <c r="AT33" s="2757"/>
    </row>
    <row r="34" spans="1:60" ht="15" customHeight="1">
      <c r="A34" s="2757"/>
      <c r="B34" s="5463" t="s">
        <v>220</v>
      </c>
      <c r="C34" s="5518" t="s">
        <v>1902</v>
      </c>
      <c r="D34" s="2966"/>
      <c r="E34" s="2966"/>
      <c r="F34" s="2966"/>
      <c r="G34" s="2944"/>
      <c r="H34" s="2944"/>
      <c r="I34" s="2944"/>
      <c r="J34" s="2944"/>
      <c r="K34" s="2944"/>
      <c r="L34" s="2944"/>
      <c r="M34" s="1276"/>
      <c r="N34" s="2944"/>
      <c r="O34" s="2944"/>
      <c r="P34" s="2944"/>
      <c r="Q34" s="2944"/>
      <c r="R34" s="2944"/>
      <c r="S34" s="2944"/>
      <c r="T34" s="2944"/>
      <c r="U34" s="2944"/>
      <c r="V34" s="2944"/>
      <c r="W34" s="2944"/>
      <c r="X34" s="2944"/>
      <c r="Y34" s="2944"/>
      <c r="Z34" s="2944"/>
      <c r="AA34" s="2944"/>
      <c r="AB34" s="2944"/>
      <c r="AC34" s="2944"/>
      <c r="AD34" s="2944"/>
      <c r="AE34" s="2944"/>
      <c r="AF34" s="2944"/>
      <c r="AG34" s="2944"/>
      <c r="AH34" s="2944"/>
      <c r="AI34" s="1560" t="s">
        <v>1930</v>
      </c>
      <c r="AJ34" s="9282" t="s">
        <v>220</v>
      </c>
      <c r="AK34" s="7260"/>
      <c r="AL34" s="9326" t="str">
        <f>IF(AV28,"",IF(SUM(AL25,-AL33)&lt;=0,0,SUM(AL25,-AL33)))</f>
        <v/>
      </c>
      <c r="AM34" s="9327"/>
      <c r="AN34" s="9327"/>
      <c r="AO34" s="9327"/>
      <c r="AP34" s="9327"/>
      <c r="AQ34" s="2757"/>
      <c r="AR34" s="2757"/>
      <c r="AS34" s="5355"/>
      <c r="AT34" s="2757"/>
      <c r="AV34" s="1177" t="b">
        <f>(AL34=0)</f>
        <v>0</v>
      </c>
    </row>
    <row r="35" spans="1:60" s="2528" customFormat="1" ht="14.25">
      <c r="A35" s="2948"/>
      <c r="B35" s="5461" t="s">
        <v>658</v>
      </c>
      <c r="C35" s="5518" t="s">
        <v>4984</v>
      </c>
      <c r="D35" s="2966"/>
      <c r="E35" s="2213"/>
      <c r="F35" s="2966"/>
      <c r="G35" s="2944"/>
      <c r="H35" s="2944"/>
      <c r="I35" s="2944"/>
      <c r="J35" s="2944"/>
      <c r="K35" s="2944"/>
      <c r="L35" s="2944"/>
      <c r="M35" s="2946"/>
      <c r="N35" s="2944"/>
      <c r="O35" s="2944"/>
      <c r="P35" s="2944"/>
      <c r="Q35" s="2944"/>
      <c r="R35" s="2944"/>
      <c r="S35" s="2944"/>
      <c r="T35" s="2944"/>
      <c r="U35" s="2944"/>
      <c r="V35" s="2944"/>
      <c r="W35" s="2944"/>
      <c r="X35" s="2944"/>
      <c r="Y35" s="2944"/>
      <c r="Z35" s="2944"/>
      <c r="AA35" s="2944"/>
      <c r="AB35" s="2944"/>
      <c r="AC35" s="2944"/>
      <c r="AD35" s="9397"/>
      <c r="AE35" s="9398"/>
      <c r="AF35" s="9285"/>
      <c r="AG35" s="9396"/>
      <c r="AH35" s="9285"/>
      <c r="AI35" s="9399"/>
      <c r="AJ35" s="2953"/>
      <c r="AK35" s="2954"/>
      <c r="AL35" s="2954"/>
      <c r="AM35" s="2954"/>
      <c r="AN35" s="2954"/>
      <c r="AO35" s="2954"/>
      <c r="AP35" s="2954"/>
      <c r="AQ35" s="2948"/>
      <c r="AR35" s="2954"/>
      <c r="AS35" s="5355"/>
      <c r="AT35" s="2757"/>
      <c r="AX35" s="2602"/>
      <c r="AY35" s="2602"/>
      <c r="AZ35" s="2602"/>
      <c r="BA35" s="2602"/>
      <c r="BB35" s="2602"/>
      <c r="BC35" s="2602"/>
      <c r="BD35" s="2602"/>
      <c r="BE35" s="2602"/>
      <c r="BF35" s="2602"/>
      <c r="BG35" s="2602"/>
      <c r="BH35" s="2602"/>
    </row>
    <row r="36" spans="1:60" ht="12" customHeight="1" thickBot="1">
      <c r="A36" s="2757"/>
      <c r="B36" s="2943"/>
      <c r="C36" s="2975" t="s">
        <v>143</v>
      </c>
      <c r="D36" s="5518" t="s">
        <v>5144</v>
      </c>
      <c r="E36" s="5518"/>
      <c r="F36" s="2965"/>
      <c r="G36" s="5520"/>
      <c r="H36" s="5520"/>
      <c r="I36" s="5520"/>
      <c r="J36" s="5520"/>
      <c r="K36" s="5520"/>
      <c r="L36" s="5520"/>
      <c r="M36" s="5520"/>
      <c r="N36" s="5521"/>
      <c r="O36" s="5521"/>
      <c r="P36" s="5521"/>
      <c r="Q36" s="5521"/>
      <c r="R36" s="5521"/>
      <c r="S36" s="5521"/>
      <c r="T36" s="5521"/>
      <c r="U36" s="5521"/>
      <c r="V36" s="5518"/>
      <c r="W36" s="5521"/>
      <c r="X36" s="5521"/>
      <c r="Y36" s="5521"/>
      <c r="Z36" s="5521"/>
      <c r="AA36" s="5521"/>
      <c r="AB36" s="5521"/>
      <c r="AC36" s="5521"/>
      <c r="AD36" s="5521"/>
      <c r="AE36" s="5522"/>
      <c r="AF36" s="5522"/>
      <c r="AG36" s="2943"/>
      <c r="AH36" s="2943"/>
      <c r="AI36" s="4262"/>
      <c r="AJ36" s="2953"/>
      <c r="AK36" s="2954"/>
      <c r="AL36" s="2954"/>
      <c r="AM36" s="2954"/>
      <c r="AN36" s="2954"/>
      <c r="AO36" s="2954"/>
      <c r="AP36" s="2954"/>
      <c r="AQ36" s="2954"/>
      <c r="AR36" s="2954"/>
      <c r="AS36" s="5355"/>
      <c r="AT36" s="2954"/>
    </row>
    <row r="37" spans="1:60" ht="13.5" customHeight="1" thickBot="1">
      <c r="A37" s="2757"/>
      <c r="B37" s="2213"/>
      <c r="C37" s="2213"/>
      <c r="D37" s="9357" t="str">
        <f>"for more than half of "&amp;TaxYear</f>
        <v>for more than half of 2021</v>
      </c>
      <c r="E37" s="9357"/>
      <c r="F37" s="9357"/>
      <c r="G37" s="9357"/>
      <c r="H37" s="9357"/>
      <c r="I37" s="9357"/>
      <c r="J37" s="9357"/>
      <c r="K37" s="9357"/>
      <c r="L37" s="9357"/>
      <c r="M37" s="9357"/>
      <c r="N37" s="9357"/>
      <c r="O37" s="9357"/>
      <c r="P37" s="9357"/>
      <c r="Q37" s="9357"/>
      <c r="R37" s="9357"/>
      <c r="S37" s="9357"/>
      <c r="T37" s="9357"/>
      <c r="U37" s="9357"/>
      <c r="V37" s="9357"/>
      <c r="W37" s="9357"/>
      <c r="X37" s="9357"/>
      <c r="Y37" s="9357"/>
      <c r="Z37" s="9357"/>
      <c r="AA37" s="9357"/>
      <c r="AB37" s="9357"/>
      <c r="AC37" s="9357"/>
      <c r="AD37" s="9357"/>
      <c r="AE37" s="9357"/>
      <c r="AF37" s="9357"/>
      <c r="AG37" s="2213"/>
      <c r="AH37" s="2151" t="str">
        <f>IF(AND(AQ37="",AH39=""),"X","")</f>
        <v>X</v>
      </c>
      <c r="AI37" s="2213"/>
      <c r="AJ37" s="2953"/>
      <c r="AK37" s="2954"/>
      <c r="AL37" s="2954"/>
      <c r="AM37" s="2954"/>
      <c r="AN37" s="2954"/>
      <c r="AO37" s="2954"/>
      <c r="AP37" s="2954"/>
      <c r="AQ37" s="1181"/>
      <c r="AR37" s="5542" t="s">
        <v>5096</v>
      </c>
      <c r="AS37" s="2954"/>
      <c r="AT37" s="2954"/>
    </row>
    <row r="38" spans="1:60" ht="3" customHeight="1">
      <c r="A38" s="2757"/>
      <c r="B38" s="2213"/>
      <c r="C38" s="2213"/>
      <c r="D38" s="9357"/>
      <c r="E38" s="9357"/>
      <c r="F38" s="9357"/>
      <c r="G38" s="9357"/>
      <c r="H38" s="9357"/>
      <c r="I38" s="9357"/>
      <c r="J38" s="9357"/>
      <c r="K38" s="9357"/>
      <c r="L38" s="9357"/>
      <c r="M38" s="9357"/>
      <c r="N38" s="9357"/>
      <c r="O38" s="9357"/>
      <c r="P38" s="9357"/>
      <c r="Q38" s="9357"/>
      <c r="R38" s="9357"/>
      <c r="S38" s="9357"/>
      <c r="T38" s="9357"/>
      <c r="U38" s="9357"/>
      <c r="V38" s="9357"/>
      <c r="W38" s="9357"/>
      <c r="X38" s="9357"/>
      <c r="Y38" s="9357"/>
      <c r="Z38" s="9357"/>
      <c r="AA38" s="9357"/>
      <c r="AB38" s="9357"/>
      <c r="AC38" s="9357"/>
      <c r="AD38" s="9357"/>
      <c r="AE38" s="9357"/>
      <c r="AF38" s="9357"/>
      <c r="AG38" s="2213"/>
      <c r="AH38" s="2213"/>
      <c r="AI38" s="2213"/>
      <c r="AJ38" s="2953"/>
      <c r="AK38" s="2954"/>
      <c r="AL38" s="2954"/>
      <c r="AM38" s="2954"/>
      <c r="AN38" s="2954"/>
      <c r="AO38" s="2954"/>
      <c r="AP38" s="2954"/>
      <c r="AQ38" s="2954"/>
      <c r="AR38" s="2954"/>
      <c r="AS38" s="5355"/>
      <c r="AT38" s="2954"/>
    </row>
    <row r="39" spans="1:60">
      <c r="A39" s="2757"/>
      <c r="B39" s="2213"/>
      <c r="C39" s="2975" t="s">
        <v>288</v>
      </c>
      <c r="D39" s="5518" t="str">
        <f>"Check here if you (or your spouse if married filing jointly) are a bona fide resident of Puerto Rico for "&amp;TaxYear</f>
        <v>Check here if you (or your spouse if married filing jointly) are a bona fide resident of Puerto Rico for 2021</v>
      </c>
      <c r="E39" s="5518"/>
      <c r="F39" s="5518"/>
      <c r="G39" s="5518"/>
      <c r="H39" s="5518"/>
      <c r="I39" s="5518"/>
      <c r="J39" s="5518"/>
      <c r="K39" s="5518"/>
      <c r="L39" s="5518"/>
      <c r="M39" s="5518"/>
      <c r="N39" s="5518"/>
      <c r="O39" s="5518"/>
      <c r="P39" s="5518"/>
      <c r="Q39" s="5518"/>
      <c r="R39" s="5518"/>
      <c r="S39" s="5518"/>
      <c r="T39" s="5518"/>
      <c r="U39" s="5518"/>
      <c r="V39" s="5518"/>
      <c r="W39" s="5518"/>
      <c r="X39" s="5518"/>
      <c r="Y39" s="5518"/>
      <c r="Z39" s="5518"/>
      <c r="AA39" s="5518"/>
      <c r="AB39" s="5518"/>
      <c r="AC39" s="5518"/>
      <c r="AD39" s="5518"/>
      <c r="AE39" s="5518"/>
      <c r="AF39" s="5518"/>
      <c r="AG39" s="2213"/>
      <c r="AH39" s="1180"/>
      <c r="AI39" s="2213"/>
      <c r="AJ39" s="2953"/>
      <c r="AK39" s="2954"/>
      <c r="AL39" s="2954"/>
      <c r="AM39" s="2954"/>
      <c r="AN39" s="2954"/>
      <c r="AO39" s="2954"/>
      <c r="AP39" s="2954"/>
      <c r="AQ39" s="2757"/>
      <c r="AR39" s="2757"/>
      <c r="AS39" s="5355"/>
      <c r="AT39" s="2757"/>
    </row>
    <row r="40" spans="1:60" ht="5.25" customHeight="1">
      <c r="A40" s="2757"/>
      <c r="B40" s="2213"/>
      <c r="C40" s="2975"/>
      <c r="D40" s="2213"/>
      <c r="E40" s="2213"/>
      <c r="F40" s="2213"/>
      <c r="G40" s="2213"/>
      <c r="H40" s="2213"/>
      <c r="I40" s="2213"/>
      <c r="J40" s="2213"/>
      <c r="K40" s="2213"/>
      <c r="L40" s="2213"/>
      <c r="M40" s="2213"/>
      <c r="N40" s="2213"/>
      <c r="O40" s="2213"/>
      <c r="P40" s="2213"/>
      <c r="Q40" s="2213"/>
      <c r="R40" s="2213"/>
      <c r="S40" s="2213"/>
      <c r="T40" s="2213"/>
      <c r="U40" s="2213"/>
      <c r="V40" s="2213"/>
      <c r="W40" s="2213"/>
      <c r="X40" s="2213"/>
      <c r="Y40" s="2213"/>
      <c r="Z40" s="2213"/>
      <c r="AA40" s="2213"/>
      <c r="AB40" s="2213"/>
      <c r="AC40" s="2213"/>
      <c r="AD40" s="2213"/>
      <c r="AE40" s="2213"/>
      <c r="AF40" s="2213"/>
      <c r="AG40" s="2213"/>
      <c r="AH40" s="2213"/>
      <c r="AI40" s="5364"/>
      <c r="AJ40" s="5353"/>
      <c r="AK40" s="2954"/>
      <c r="AL40" s="2954"/>
      <c r="AM40" s="2954"/>
      <c r="AN40" s="2954"/>
      <c r="AO40" s="2954"/>
      <c r="AP40" s="2954"/>
      <c r="AQ40" s="2757"/>
      <c r="AR40" s="2757"/>
      <c r="AS40" s="5355"/>
      <c r="AT40" s="2757"/>
    </row>
    <row r="41" spans="1:60" s="2689" customFormat="1" ht="15.75">
      <c r="A41" s="2758"/>
      <c r="B41" s="7794" t="s">
        <v>4986</v>
      </c>
      <c r="C41" s="7794"/>
      <c r="D41" s="7795"/>
      <c r="E41" s="2690"/>
      <c r="F41" s="2690"/>
      <c r="G41" s="2778" t="s">
        <v>4985</v>
      </c>
      <c r="H41" s="2690"/>
      <c r="I41" s="2690"/>
      <c r="J41" s="2690"/>
      <c r="K41" s="2690"/>
      <c r="L41" s="2690"/>
      <c r="M41" s="2690"/>
      <c r="N41" s="2690"/>
      <c r="O41" s="2690"/>
      <c r="P41" s="2690"/>
      <c r="Q41" s="2690"/>
      <c r="R41" s="2690"/>
      <c r="S41" s="2690"/>
      <c r="T41" s="2690"/>
      <c r="U41" s="2690"/>
      <c r="V41" s="2690"/>
      <c r="W41" s="2690"/>
      <c r="X41" s="2690"/>
      <c r="Y41" s="2690"/>
      <c r="Z41" s="2690"/>
      <c r="AA41" s="2690"/>
      <c r="AB41" s="2690"/>
      <c r="AC41" s="2690"/>
      <c r="AD41" s="2690"/>
      <c r="AE41" s="2690"/>
      <c r="AF41" s="2690"/>
      <c r="AG41" s="2690"/>
      <c r="AH41" s="2690"/>
      <c r="AI41" s="2690"/>
      <c r="AJ41" s="2690"/>
      <c r="AK41" s="2690"/>
      <c r="AL41" s="9233" t="b">
        <f>OR(AH37&lt;&gt;"",AH39&lt;&gt;"")</f>
        <v>1</v>
      </c>
      <c r="AM41" s="9233"/>
      <c r="AN41" s="9233"/>
      <c r="AO41" s="9233"/>
      <c r="AP41" s="9233"/>
      <c r="AQ41" s="2757"/>
      <c r="AR41" s="2757"/>
      <c r="AS41" s="5934" t="s">
        <v>91</v>
      </c>
      <c r="AT41" s="2757"/>
      <c r="AU41" s="42"/>
      <c r="AV41" s="42"/>
      <c r="AW41" s="42"/>
      <c r="AX41" s="2595"/>
      <c r="AY41" s="2595"/>
      <c r="AZ41" s="2595"/>
      <c r="BA41" s="2595"/>
      <c r="BB41" s="2595"/>
      <c r="BC41" s="2595"/>
      <c r="BD41" s="2595"/>
      <c r="BE41" s="2595"/>
      <c r="BF41" s="2595"/>
      <c r="BG41" s="2595"/>
      <c r="BH41" s="2595"/>
    </row>
    <row r="42" spans="1:60" ht="17.25" customHeight="1">
      <c r="A42" s="2757"/>
      <c r="B42" s="5523" t="s">
        <v>5146</v>
      </c>
      <c r="C42" s="5375"/>
      <c r="D42" s="4782"/>
      <c r="E42" s="4782"/>
      <c r="F42" s="4782"/>
      <c r="G42" s="4782"/>
      <c r="H42" s="4782"/>
      <c r="I42" s="4782"/>
      <c r="J42" s="4782"/>
      <c r="K42" s="4782"/>
      <c r="L42" s="4782"/>
      <c r="M42" s="4782"/>
      <c r="N42" s="4782"/>
      <c r="O42" s="4782"/>
      <c r="P42" s="4782"/>
      <c r="Q42" s="4782"/>
      <c r="R42" s="4782"/>
      <c r="S42" s="4782"/>
      <c r="T42" s="4782"/>
      <c r="U42" s="4782"/>
      <c r="V42" s="4782"/>
      <c r="W42" s="4782"/>
      <c r="X42" s="4782"/>
      <c r="Y42" s="5376"/>
      <c r="Z42" s="5377"/>
      <c r="AA42" s="5376"/>
      <c r="AB42" s="4782"/>
      <c r="AC42" s="4782"/>
      <c r="AD42" s="4782"/>
      <c r="AE42" s="4782"/>
      <c r="AF42" s="4782"/>
      <c r="AG42" s="4782"/>
      <c r="AH42" s="9232"/>
      <c r="AI42" s="9232"/>
      <c r="AJ42" s="9232"/>
      <c r="AK42" s="9232"/>
      <c r="AL42" s="9274" t="b">
        <f>NOT(AL41)</f>
        <v>0</v>
      </c>
      <c r="AM42" s="9274"/>
      <c r="AN42" s="9274"/>
      <c r="AO42" s="9274"/>
      <c r="AP42" s="9274"/>
      <c r="AQ42" s="2757"/>
      <c r="AR42" s="2757"/>
      <c r="AS42" s="2757"/>
      <c r="AT42" s="2757"/>
    </row>
    <row r="43" spans="1:60" s="2689" customFormat="1" ht="14.25" customHeight="1" thickBot="1">
      <c r="A43" s="2758"/>
      <c r="B43" s="9273" t="s">
        <v>5080</v>
      </c>
      <c r="C43" s="9273"/>
      <c r="D43" s="5518" t="s">
        <v>4987</v>
      </c>
      <c r="E43" s="2969"/>
      <c r="F43" s="2969"/>
      <c r="G43" s="2969"/>
      <c r="H43" s="2969"/>
      <c r="I43" s="2969"/>
      <c r="J43" s="2969"/>
      <c r="K43" s="2969"/>
      <c r="L43" s="2969"/>
      <c r="M43" s="2969"/>
      <c r="N43" s="2969"/>
      <c r="O43" s="2969"/>
      <c r="P43" s="2969"/>
      <c r="Q43" s="2969"/>
      <c r="R43" s="2969"/>
      <c r="S43" s="2969"/>
      <c r="T43" s="2969"/>
      <c r="U43" s="2969"/>
      <c r="V43" s="2969"/>
      <c r="W43" s="2969"/>
      <c r="X43" s="2969"/>
      <c r="Y43" s="2969"/>
      <c r="Z43" s="2969"/>
      <c r="AA43" s="2969"/>
      <c r="AB43" s="2961"/>
      <c r="AC43" s="2944"/>
      <c r="AD43" s="2944"/>
      <c r="AE43" s="2943"/>
      <c r="AF43" s="2943"/>
      <c r="AG43" s="2943"/>
      <c r="AH43" s="2943"/>
      <c r="AI43" s="5933" t="s">
        <v>1587</v>
      </c>
      <c r="AJ43" s="9322" t="s">
        <v>1907</v>
      </c>
      <c r="AK43" s="9323"/>
      <c r="AL43" s="9324">
        <f>IF(AL42,"",MIN(AL24,AL34))</f>
        <v>0</v>
      </c>
      <c r="AM43" s="9325"/>
      <c r="AN43" s="9325"/>
      <c r="AO43" s="9325"/>
      <c r="AP43" s="9325"/>
      <c r="AQ43" s="2758"/>
      <c r="AR43" s="2757"/>
      <c r="AS43" s="2757"/>
      <c r="AT43" s="2757"/>
      <c r="AX43" s="2606"/>
      <c r="AY43" s="2606"/>
      <c r="AZ43" s="2606"/>
      <c r="BA43" s="2606"/>
      <c r="BB43" s="2606"/>
      <c r="BC43" s="2606"/>
      <c r="BD43" s="2606"/>
      <c r="BE43" s="2606"/>
      <c r="BF43" s="2606"/>
      <c r="BG43" s="2606"/>
      <c r="BH43" s="2606"/>
    </row>
    <row r="44" spans="1:60" s="2689" customFormat="1" ht="14.25" customHeight="1">
      <c r="A44" s="2758"/>
      <c r="B44" s="5352" t="s">
        <v>47</v>
      </c>
      <c r="C44" s="2970"/>
      <c r="D44" s="5518" t="s">
        <v>4988</v>
      </c>
      <c r="E44" s="2970"/>
      <c r="F44" s="2970"/>
      <c r="G44" s="2970"/>
      <c r="H44" s="2970"/>
      <c r="I44" s="2970"/>
      <c r="J44" s="2970"/>
      <c r="K44" s="2970"/>
      <c r="L44" s="2970"/>
      <c r="M44" s="2970"/>
      <c r="N44" s="2970"/>
      <c r="O44" s="2970"/>
      <c r="P44" s="2970"/>
      <c r="Q44" s="2970"/>
      <c r="R44" s="2970"/>
      <c r="S44" s="2970"/>
      <c r="T44" s="2970"/>
      <c r="U44" s="2970"/>
      <c r="V44" s="2970"/>
      <c r="W44" s="2970"/>
      <c r="X44" s="2970"/>
      <c r="Y44" s="2970"/>
      <c r="Z44" s="2970"/>
      <c r="AA44" s="2970"/>
      <c r="AB44" s="2961"/>
      <c r="AC44" s="2944"/>
      <c r="AD44" s="2944"/>
      <c r="AE44" s="2943"/>
      <c r="AF44" s="2943"/>
      <c r="AG44" s="2943"/>
      <c r="AH44" s="2943"/>
      <c r="AI44" s="5933" t="s">
        <v>1584</v>
      </c>
      <c r="AJ44" s="9303" t="s">
        <v>1908</v>
      </c>
      <c r="AK44" s="7260"/>
      <c r="AL44" s="9326">
        <f>IF(AL42,"",SUM(AL34,-AL43))</f>
        <v>0</v>
      </c>
      <c r="AM44" s="9327"/>
      <c r="AN44" s="9327"/>
      <c r="AO44" s="9327"/>
      <c r="AP44" s="9327"/>
      <c r="AQ44" s="2758"/>
      <c r="AR44" s="2757"/>
      <c r="AS44" s="5355"/>
      <c r="AT44" s="2757"/>
      <c r="AX44" s="2606"/>
      <c r="AY44" s="2606"/>
      <c r="AZ44" s="2606"/>
      <c r="BA44" s="2606"/>
      <c r="BB44" s="2606"/>
      <c r="BC44" s="2606"/>
      <c r="BD44" s="2606"/>
      <c r="BE44" s="2606"/>
      <c r="BF44" s="2606"/>
      <c r="BG44" s="2606"/>
      <c r="BH44" s="2606"/>
    </row>
    <row r="45" spans="1:60" s="2689" customFormat="1" ht="14.25" customHeight="1">
      <c r="A45" s="2758"/>
      <c r="B45" s="5352" t="s">
        <v>48</v>
      </c>
      <c r="C45" s="2970"/>
      <c r="D45" s="5518" t="s">
        <v>5147</v>
      </c>
      <c r="E45" s="2970"/>
      <c r="F45" s="2970"/>
      <c r="G45" s="2970"/>
      <c r="H45" s="2970"/>
      <c r="I45" s="2970"/>
      <c r="J45" s="2970"/>
      <c r="K45" s="2970"/>
      <c r="L45" s="2970"/>
      <c r="M45" s="2970"/>
      <c r="N45" s="2970"/>
      <c r="O45" s="2970"/>
      <c r="P45" s="2970"/>
      <c r="Q45" s="2970"/>
      <c r="R45" s="2970"/>
      <c r="S45" s="2970"/>
      <c r="T45" s="2970"/>
      <c r="U45" s="2970"/>
      <c r="V45" s="2970"/>
      <c r="W45" s="2970"/>
      <c r="X45" s="2970"/>
      <c r="Y45" s="2970"/>
      <c r="Z45" s="2970"/>
      <c r="AA45" s="2970"/>
      <c r="AB45" s="2970"/>
      <c r="AC45" s="2944"/>
      <c r="AD45" s="2944"/>
      <c r="AE45" s="2943"/>
      <c r="AF45" s="2943"/>
      <c r="AG45" s="2943"/>
      <c r="AH45" s="2943"/>
      <c r="AI45" s="5517" t="s">
        <v>629</v>
      </c>
      <c r="AJ45" s="9303" t="s">
        <v>1912</v>
      </c>
      <c r="AK45" s="7260"/>
      <c r="AL45" s="9326">
        <f>IF(AL42,"",IF(AL43=0,0,AK217))</f>
        <v>0</v>
      </c>
      <c r="AM45" s="9327"/>
      <c r="AN45" s="9327"/>
      <c r="AO45" s="9327"/>
      <c r="AP45" s="9327"/>
      <c r="AQ45" s="2757"/>
      <c r="AR45" s="2757"/>
      <c r="AS45" s="2757"/>
      <c r="AT45" s="2757"/>
      <c r="AX45" s="2606"/>
      <c r="AY45" s="2606"/>
      <c r="AZ45" s="2606"/>
      <c r="BA45" s="2606"/>
      <c r="BB45" s="2606"/>
      <c r="BC45" s="2606"/>
      <c r="BD45" s="2606"/>
      <c r="BE45" s="2606"/>
      <c r="BF45" s="2606"/>
      <c r="BG45" s="2606"/>
      <c r="BH45" s="2606"/>
    </row>
    <row r="46" spans="1:60" s="2689" customFormat="1" ht="14.25" customHeight="1" thickBot="1">
      <c r="A46" s="2758"/>
      <c r="B46" s="5352" t="s">
        <v>92</v>
      </c>
      <c r="C46" s="2971"/>
      <c r="D46" s="5518" t="s">
        <v>4989</v>
      </c>
      <c r="E46" s="2970"/>
      <c r="F46" s="2971"/>
      <c r="G46" s="2971"/>
      <c r="H46" s="2971"/>
      <c r="I46" s="2971"/>
      <c r="J46" s="2971"/>
      <c r="K46" s="2971"/>
      <c r="L46" s="2971"/>
      <c r="M46" s="2972"/>
      <c r="N46" s="2973"/>
      <c r="O46" s="2973"/>
      <c r="P46" s="2973"/>
      <c r="Q46" s="2973"/>
      <c r="R46" s="2973"/>
      <c r="S46" s="2973"/>
      <c r="T46" s="2973"/>
      <c r="U46" s="2973"/>
      <c r="V46" s="2973"/>
      <c r="W46" s="2973"/>
      <c r="X46" s="2973"/>
      <c r="Y46" s="2973"/>
      <c r="Z46" s="2973"/>
      <c r="AA46" s="2973"/>
      <c r="AB46" s="2961"/>
      <c r="AC46" s="2943"/>
      <c r="AD46" s="2335"/>
      <c r="AE46" s="5356"/>
      <c r="AF46" s="5357"/>
      <c r="AG46" s="5357"/>
      <c r="AH46" s="5357"/>
      <c r="AI46" s="5933" t="s">
        <v>921</v>
      </c>
      <c r="AJ46" s="9322" t="s">
        <v>3097</v>
      </c>
      <c r="AK46" s="9323"/>
      <c r="AL46" s="9324">
        <f>IF(AL41,MIN(AL43,AL45),"")</f>
        <v>0</v>
      </c>
      <c r="AM46" s="9325"/>
      <c r="AN46" s="9325"/>
      <c r="AO46" s="9325"/>
      <c r="AP46" s="9325"/>
      <c r="AQ46" s="2757"/>
      <c r="AR46" s="2757"/>
      <c r="AS46" s="3277"/>
      <c r="AT46" s="2757"/>
      <c r="AX46" s="2606"/>
      <c r="AY46" s="2606"/>
      <c r="AZ46" s="2606"/>
      <c r="BA46" s="2606"/>
      <c r="BB46" s="2606"/>
      <c r="BC46" s="2606"/>
      <c r="BD46" s="2606"/>
      <c r="BE46" s="2606"/>
      <c r="BF46" s="2606"/>
      <c r="BG46" s="2606"/>
      <c r="BH46" s="2606"/>
    </row>
    <row r="47" spans="1:60" ht="14.25" customHeight="1">
      <c r="A47" s="2757"/>
      <c r="B47" s="5352" t="s">
        <v>964</v>
      </c>
      <c r="C47" s="2964"/>
      <c r="D47" s="5518" t="s">
        <v>4990</v>
      </c>
      <c r="E47" s="2213"/>
      <c r="F47" s="2213"/>
      <c r="G47" s="2213"/>
      <c r="H47" s="2213"/>
      <c r="I47" s="2964"/>
      <c r="J47" s="2964"/>
      <c r="K47" s="2964"/>
      <c r="L47" s="2964"/>
      <c r="M47" s="2965"/>
      <c r="N47" s="2965"/>
      <c r="O47" s="2965"/>
      <c r="P47" s="2965"/>
      <c r="Q47" s="2965"/>
      <c r="R47" s="2965"/>
      <c r="S47" s="2965"/>
      <c r="T47" s="2965"/>
      <c r="U47" s="2967"/>
      <c r="V47" s="2965"/>
      <c r="W47" s="2965"/>
      <c r="X47" s="2965"/>
      <c r="Y47" s="2965"/>
      <c r="Z47" s="2965"/>
      <c r="AA47" s="2965"/>
      <c r="AB47" s="2965"/>
      <c r="AC47" s="2944"/>
      <c r="AD47" s="2944"/>
      <c r="AE47" s="2943"/>
      <c r="AF47" s="2943"/>
      <c r="AG47" s="2943"/>
      <c r="AH47" s="2943"/>
      <c r="AI47" s="5933" t="s">
        <v>1585</v>
      </c>
      <c r="AJ47" s="9303" t="s">
        <v>4993</v>
      </c>
      <c r="AK47" s="7260"/>
      <c r="AL47" s="9326">
        <f>IF(AL42,"",SUM(AL44,AL46))</f>
        <v>0</v>
      </c>
      <c r="AM47" s="9327"/>
      <c r="AN47" s="9327"/>
      <c r="AO47" s="9327"/>
      <c r="AP47" s="9327"/>
      <c r="AQ47" s="2757"/>
      <c r="AR47" s="2757"/>
      <c r="AS47" s="2757"/>
      <c r="AT47" s="2757"/>
      <c r="AV47" s="1286">
        <f>IF(AL47="",0,AL47)</f>
        <v>0</v>
      </c>
    </row>
    <row r="48" spans="1:60" ht="14.25" customHeight="1" thickBot="1">
      <c r="A48" s="2757"/>
      <c r="B48" s="5352" t="s">
        <v>965</v>
      </c>
      <c r="C48" s="2977"/>
      <c r="D48" s="5518" t="s">
        <v>4991</v>
      </c>
      <c r="E48" s="2213"/>
      <c r="F48" s="2213"/>
      <c r="G48" s="2213"/>
      <c r="H48" s="2213"/>
      <c r="I48" s="2246"/>
      <c r="J48" s="1453"/>
      <c r="K48" s="1453"/>
      <c r="L48" s="1453"/>
      <c r="M48" s="1453"/>
      <c r="N48" s="1453"/>
      <c r="O48" s="1453"/>
      <c r="P48" s="1453"/>
      <c r="Q48" s="1453"/>
      <c r="R48" s="1453"/>
      <c r="S48" s="1453"/>
      <c r="T48" s="1453"/>
      <c r="U48" s="1453"/>
      <c r="V48" s="1453"/>
      <c r="W48" s="1453"/>
      <c r="X48" s="1453"/>
      <c r="Y48" s="1453"/>
      <c r="Z48" s="1453"/>
      <c r="AA48" s="1453"/>
      <c r="AB48" s="1453"/>
      <c r="AC48" s="2944"/>
      <c r="AD48" s="2944"/>
      <c r="AE48" s="2943"/>
      <c r="AF48" s="2943"/>
      <c r="AG48" s="2943"/>
      <c r="AH48" s="2943"/>
      <c r="AI48" s="2943"/>
      <c r="AJ48" s="2952"/>
      <c r="AK48" s="5360"/>
      <c r="AL48" s="5358"/>
      <c r="AM48" s="5359"/>
      <c r="AN48" s="5359"/>
      <c r="AO48" s="5359"/>
      <c r="AP48" s="5359"/>
      <c r="AQ48" s="2757"/>
      <c r="AR48" s="2757"/>
      <c r="AS48" s="2757"/>
      <c r="AT48" s="2757"/>
    </row>
    <row r="49" spans="1:60" ht="14.25" customHeight="1">
      <c r="A49" s="2757"/>
      <c r="B49" s="5352"/>
      <c r="C49" s="2977"/>
      <c r="D49" s="5518" t="str">
        <f>"for "&amp;TaxYear&amp;"."</f>
        <v>for 2021.</v>
      </c>
      <c r="E49" s="2213"/>
      <c r="F49" s="2213"/>
      <c r="G49" s="5518" t="s">
        <v>5081</v>
      </c>
      <c r="H49" s="2213"/>
      <c r="I49" s="2246"/>
      <c r="J49" s="1453"/>
      <c r="K49" s="1453"/>
      <c r="L49" s="1453"/>
      <c r="M49" s="1453"/>
      <c r="N49" s="1453"/>
      <c r="O49" s="1453"/>
      <c r="P49" s="1453"/>
      <c r="Q49" s="1453"/>
      <c r="R49" s="1453"/>
      <c r="S49" s="1453"/>
      <c r="T49" s="1453"/>
      <c r="U49" s="1453"/>
      <c r="V49" s="1453"/>
      <c r="W49" s="1453"/>
      <c r="X49" s="1453"/>
      <c r="Y49" s="1453"/>
      <c r="Z49" s="1453"/>
      <c r="AA49" s="1453"/>
      <c r="AB49" s="1453"/>
      <c r="AC49" s="2944"/>
      <c r="AD49" s="2944"/>
      <c r="AE49" s="2943"/>
      <c r="AF49" s="2943"/>
      <c r="AG49" s="2943"/>
      <c r="AH49" s="2943"/>
      <c r="AI49" s="2943"/>
      <c r="AJ49" s="2822"/>
      <c r="AK49" s="2823"/>
      <c r="AL49" s="2822"/>
      <c r="AM49" s="1276"/>
      <c r="AN49" s="1276"/>
      <c r="AO49" s="1276"/>
      <c r="AP49" s="1276"/>
      <c r="AQ49" s="5929"/>
      <c r="AR49" s="5923" t="str">
        <f>IF(AL42,"","Enter the total of Advance")</f>
        <v>Enter the total of Advance</v>
      </c>
      <c r="AS49" s="5929"/>
      <c r="AT49" s="5924"/>
    </row>
    <row r="50" spans="1:60" ht="14.25" customHeight="1">
      <c r="A50" s="2757"/>
      <c r="B50" s="5352"/>
      <c r="C50" s="2977"/>
      <c r="D50" s="5518" t="s">
        <v>5151</v>
      </c>
      <c r="E50" s="2213"/>
      <c r="F50" s="2213"/>
      <c r="G50" s="5518"/>
      <c r="H50" s="2213"/>
      <c r="I50" s="2246"/>
      <c r="J50" s="1453"/>
      <c r="K50" s="1453"/>
      <c r="L50" s="1453"/>
      <c r="M50" s="1453"/>
      <c r="N50" s="1453"/>
      <c r="O50" s="1453"/>
      <c r="P50" s="1453"/>
      <c r="Q50" s="1453"/>
      <c r="R50" s="1453"/>
      <c r="S50" s="1453"/>
      <c r="T50" s="1453"/>
      <c r="U50" s="1453"/>
      <c r="V50" s="1453"/>
      <c r="W50" s="1453"/>
      <c r="X50" s="1453"/>
      <c r="Y50" s="1453"/>
      <c r="Z50" s="1453"/>
      <c r="AA50" s="1453"/>
      <c r="AB50" s="1453"/>
      <c r="AC50" s="2944"/>
      <c r="AD50" s="2944"/>
      <c r="AE50" s="2943"/>
      <c r="AF50" s="2943"/>
      <c r="AG50" s="2943"/>
      <c r="AH50" s="2943"/>
      <c r="AI50" s="2943"/>
      <c r="AJ50" s="2822"/>
      <c r="AK50" s="2823"/>
      <c r="AL50" s="2822"/>
      <c r="AM50" s="1276"/>
      <c r="AN50" s="1276"/>
      <c r="AO50" s="1276"/>
      <c r="AP50" s="1276"/>
      <c r="AQ50" s="3256"/>
      <c r="AR50" s="3906" t="str">
        <f>IF(AL42,"","Child Tax credits received")</f>
        <v>Child Tax credits received</v>
      </c>
      <c r="AS50" s="2757"/>
      <c r="AT50" s="5925"/>
    </row>
    <row r="51" spans="1:60" ht="14.25" customHeight="1" thickBot="1">
      <c r="A51" s="2757"/>
      <c r="B51" s="5352"/>
      <c r="C51" s="1276"/>
      <c r="D51" s="5518" t="str">
        <f>"for "&amp;TaxYear&amp;", enter -0-"</f>
        <v>for 2021, enter -0-</v>
      </c>
      <c r="E51" s="2213"/>
      <c r="F51" s="2213"/>
      <c r="G51" s="2213"/>
      <c r="H51" s="2213"/>
      <c r="I51" s="2246"/>
      <c r="J51" s="1276"/>
      <c r="K51" s="1276"/>
      <c r="L51" s="1276"/>
      <c r="M51" s="1276"/>
      <c r="N51" s="1276"/>
      <c r="O51" s="1276"/>
      <c r="P51" s="1276"/>
      <c r="Q51" s="1276"/>
      <c r="R51" s="1276"/>
      <c r="S51" s="1276"/>
      <c r="T51" s="1276"/>
      <c r="U51" s="1276"/>
      <c r="V51" s="1276"/>
      <c r="W51" s="1276"/>
      <c r="X51" s="1276"/>
      <c r="Y51" s="1276"/>
      <c r="Z51" s="1276"/>
      <c r="AA51" s="2945"/>
      <c r="AB51" s="2961"/>
      <c r="AC51" s="2943"/>
      <c r="AD51" s="2335"/>
      <c r="AE51" s="5356"/>
      <c r="AF51" s="5357"/>
      <c r="AG51" s="5357"/>
      <c r="AH51" s="5357"/>
      <c r="AI51" s="5517" t="s">
        <v>2980</v>
      </c>
      <c r="AJ51" s="9330" t="s">
        <v>4994</v>
      </c>
      <c r="AK51" s="9331"/>
      <c r="AL51" s="9332"/>
      <c r="AM51" s="9333"/>
      <c r="AN51" s="9333"/>
      <c r="AO51" s="9333"/>
      <c r="AP51" s="9333"/>
      <c r="AQ51" s="5930" t="str">
        <f>IF(AL42,"","←")</f>
        <v>←</v>
      </c>
      <c r="AR51" s="5926" t="str">
        <f>IF(AL42,"","in "&amp;TaxYear&amp;" here.")</f>
        <v>in 2021 here.</v>
      </c>
      <c r="AS51" s="5927"/>
      <c r="AT51" s="5928"/>
      <c r="AV51" s="1286">
        <f>IF(AL51="",0,AL51)</f>
        <v>0</v>
      </c>
    </row>
    <row r="52" spans="1:60" ht="14.25" customHeight="1">
      <c r="A52" s="2757"/>
      <c r="B52" s="5352"/>
      <c r="C52" s="1276"/>
      <c r="D52" s="5518" t="s">
        <v>5148</v>
      </c>
      <c r="E52" s="2213"/>
      <c r="F52" s="2213"/>
      <c r="G52" s="2213"/>
      <c r="H52" s="2213"/>
      <c r="I52" s="2246"/>
      <c r="J52" s="1276"/>
      <c r="K52" s="1276"/>
      <c r="L52" s="1276"/>
      <c r="M52" s="1276"/>
      <c r="N52" s="1276"/>
      <c r="O52" s="1276"/>
      <c r="P52" s="1276"/>
      <c r="Q52" s="1276"/>
      <c r="R52" s="1276"/>
      <c r="S52" s="1276"/>
      <c r="T52" s="1276"/>
      <c r="U52" s="1276"/>
      <c r="V52" s="1276"/>
      <c r="W52" s="1276"/>
      <c r="X52" s="1276"/>
      <c r="Y52" s="1276"/>
      <c r="Z52" s="1276"/>
      <c r="AA52" s="2945"/>
      <c r="AB52" s="2961"/>
      <c r="AC52" s="2943"/>
      <c r="AD52" s="2335"/>
      <c r="AE52" s="5356"/>
      <c r="AF52" s="5357"/>
      <c r="AG52" s="5357"/>
      <c r="AH52" s="5357"/>
      <c r="AI52" s="2961"/>
      <c r="AJ52" s="2953"/>
      <c r="AK52" s="5361"/>
      <c r="AL52" s="3067"/>
      <c r="AM52" s="5362"/>
      <c r="AN52" s="5362"/>
      <c r="AO52" s="5362"/>
      <c r="AP52" s="5362"/>
      <c r="AQ52" s="2757"/>
      <c r="AR52" s="2757"/>
      <c r="AS52" s="3256"/>
      <c r="AT52" s="2757"/>
    </row>
    <row r="53" spans="1:60" ht="14.25" customHeight="1">
      <c r="A53" s="2757"/>
      <c r="B53" s="5352"/>
      <c r="C53" s="1276"/>
      <c r="D53" s="5518" t="s">
        <v>4999</v>
      </c>
      <c r="E53" s="2213"/>
      <c r="F53" s="2213"/>
      <c r="G53" s="2213"/>
      <c r="H53" s="2213"/>
      <c r="I53" s="2246"/>
      <c r="J53" s="1276"/>
      <c r="K53" s="1276"/>
      <c r="L53" s="1276"/>
      <c r="M53" s="1276"/>
      <c r="N53" s="1276"/>
      <c r="O53" s="1276"/>
      <c r="P53" s="1276"/>
      <c r="Q53" s="1276"/>
      <c r="R53" s="1276"/>
      <c r="S53" s="1276"/>
      <c r="T53" s="1276"/>
      <c r="U53" s="1276"/>
      <c r="V53" s="1276"/>
      <c r="W53" s="1276"/>
      <c r="X53" s="1276"/>
      <c r="Y53" s="1276"/>
      <c r="Z53" s="1276"/>
      <c r="AA53" s="2945"/>
      <c r="AB53" s="2961"/>
      <c r="AC53" s="2943"/>
      <c r="AD53" s="2335"/>
      <c r="AE53" s="5356"/>
      <c r="AF53" s="5357"/>
      <c r="AG53" s="5357"/>
      <c r="AH53" s="5357"/>
      <c r="AI53" s="2961"/>
      <c r="AJ53" s="2953"/>
      <c r="AK53" s="5361"/>
      <c r="AL53" s="2822"/>
      <c r="AM53" s="1276"/>
      <c r="AN53" s="1276"/>
      <c r="AO53" s="1276"/>
      <c r="AP53" s="1276"/>
      <c r="AQ53" s="2757"/>
      <c r="AR53" s="2757"/>
      <c r="AS53" s="3256"/>
      <c r="AT53" s="2757"/>
    </row>
    <row r="54" spans="1:60" ht="14.25" customHeight="1">
      <c r="A54" s="2757"/>
      <c r="B54" s="5352" t="s">
        <v>2133</v>
      </c>
      <c r="C54" s="1276"/>
      <c r="D54" s="5518" t="s">
        <v>4995</v>
      </c>
      <c r="E54" s="1276"/>
      <c r="F54" s="1276"/>
      <c r="G54" s="1276"/>
      <c r="H54" s="1276"/>
      <c r="I54" s="1276"/>
      <c r="J54" s="1276"/>
      <c r="K54" s="1276"/>
      <c r="L54" s="1276"/>
      <c r="M54" s="1276"/>
      <c r="N54" s="1276"/>
      <c r="O54" s="1276"/>
      <c r="P54" s="1276"/>
      <c r="Q54" s="1276"/>
      <c r="R54" s="1276"/>
      <c r="S54" s="1276"/>
      <c r="T54" s="1276"/>
      <c r="U54" s="1276"/>
      <c r="V54" s="1276"/>
      <c r="W54" s="1276"/>
      <c r="X54" s="1276"/>
      <c r="Y54" s="1276"/>
      <c r="Z54" s="1276"/>
      <c r="AA54" s="1276"/>
      <c r="AB54" s="2961"/>
      <c r="AC54" s="2943"/>
      <c r="AD54" s="2335"/>
      <c r="AE54" s="5356"/>
      <c r="AF54" s="5357"/>
      <c r="AG54" s="5357"/>
      <c r="AH54" s="5357"/>
      <c r="AI54" s="2961" t="s">
        <v>573</v>
      </c>
      <c r="AJ54" s="9303" t="s">
        <v>4997</v>
      </c>
      <c r="AK54" s="7260"/>
      <c r="AL54" s="9334">
        <f>IF(AS54&lt;&gt;"",ROUND(AS54,0),IF(AL42,"",IF(SUM(AL47,-ROUND(AL51,0))&lt;=0,0,SUM(AL47,-ROUND(AL51,0)))))</f>
        <v>0</v>
      </c>
      <c r="AM54" s="9335"/>
      <c r="AN54" s="9335"/>
      <c r="AO54" s="9335"/>
      <c r="AP54" s="9335"/>
      <c r="AQ54" s="2757"/>
      <c r="AR54" s="2757"/>
      <c r="AS54" s="3277"/>
      <c r="AT54" s="2757"/>
      <c r="AV54" s="1286">
        <f>IF(AL54="",0,AL54)</f>
        <v>0</v>
      </c>
    </row>
    <row r="55" spans="1:60" ht="14.25" customHeight="1">
      <c r="A55" s="2757"/>
      <c r="B55" s="5352" t="s">
        <v>120</v>
      </c>
      <c r="C55" s="5346"/>
      <c r="D55" s="5519" t="s">
        <v>5149</v>
      </c>
      <c r="E55" s="5346"/>
      <c r="F55" s="5346"/>
      <c r="G55" s="5346"/>
      <c r="H55" s="5346"/>
      <c r="I55" s="5346"/>
      <c r="J55" s="5346"/>
      <c r="K55" s="5346"/>
      <c r="L55" s="5346"/>
      <c r="M55" s="5346"/>
      <c r="N55" s="5346"/>
      <c r="O55" s="5346"/>
      <c r="P55" s="5346"/>
      <c r="Q55" s="5346"/>
      <c r="R55" s="5346"/>
      <c r="S55" s="5346"/>
      <c r="T55" s="5346"/>
      <c r="U55" s="5346"/>
      <c r="V55" s="5346"/>
      <c r="W55" s="5346"/>
      <c r="X55" s="5346"/>
      <c r="Y55" s="5346"/>
      <c r="Z55" s="5346"/>
      <c r="AA55" s="5346"/>
      <c r="AB55" s="5346"/>
      <c r="AC55" s="5346"/>
      <c r="AD55" s="5346"/>
      <c r="AE55" s="5346"/>
      <c r="AF55" s="5346"/>
      <c r="AG55" s="5346"/>
      <c r="AH55" s="5346"/>
      <c r="AI55" s="5346"/>
      <c r="AJ55" s="5347"/>
      <c r="AK55" s="5363"/>
      <c r="AL55" s="2785"/>
      <c r="AM55" s="1276"/>
      <c r="AN55" s="1276"/>
      <c r="AO55" s="1276"/>
      <c r="AP55" s="1276"/>
      <c r="AQ55" s="2757"/>
      <c r="AR55" s="2757"/>
      <c r="AS55" s="2757"/>
      <c r="AT55" s="2757"/>
      <c r="AV55" s="1286" t="b">
        <f>AND(AL41,AV54=0)</f>
        <v>1</v>
      </c>
    </row>
    <row r="56" spans="1:60" ht="14.25" customHeight="1" thickBot="1">
      <c r="A56" s="2757"/>
      <c r="B56" s="5352"/>
      <c r="C56" s="2977"/>
      <c r="D56" s="5524" t="s">
        <v>4996</v>
      </c>
      <c r="E56" s="1276"/>
      <c r="F56" s="1276"/>
      <c r="G56" s="1276"/>
      <c r="H56" s="1276"/>
      <c r="I56" s="2246"/>
      <c r="J56" s="1453"/>
      <c r="K56" s="1453"/>
      <c r="L56" s="1453"/>
      <c r="M56" s="1453"/>
      <c r="N56" s="1453"/>
      <c r="O56" s="1453"/>
      <c r="P56" s="1453"/>
      <c r="Q56" s="1453"/>
      <c r="R56" s="1453"/>
      <c r="S56" s="1453"/>
      <c r="T56" s="1453"/>
      <c r="U56" s="1453"/>
      <c r="V56" s="1453"/>
      <c r="W56" s="1453"/>
      <c r="X56" s="1453"/>
      <c r="Y56" s="1453"/>
      <c r="Z56" s="1453"/>
      <c r="AA56" s="1453"/>
      <c r="AB56" s="1453"/>
      <c r="AC56" s="2944"/>
      <c r="AD56" s="2944"/>
      <c r="AE56" s="2943"/>
      <c r="AF56" s="2943"/>
      <c r="AG56" s="2943"/>
      <c r="AH56" s="2943"/>
      <c r="AI56" s="5517" t="s">
        <v>2969</v>
      </c>
      <c r="AJ56" s="9330" t="s">
        <v>4998</v>
      </c>
      <c r="AK56" s="9331"/>
      <c r="AL56" s="9328">
        <f>IF(AL42,"",IF(AL54=0,0,MIN(AL46,AL54)))</f>
        <v>0</v>
      </c>
      <c r="AM56" s="9329"/>
      <c r="AN56" s="9329"/>
      <c r="AO56" s="9329"/>
      <c r="AP56" s="9329"/>
      <c r="AQ56" s="2757"/>
      <c r="AR56" s="2757"/>
      <c r="AS56" s="2757"/>
      <c r="AT56" s="2757"/>
    </row>
    <row r="57" spans="1:60" ht="14.25" customHeight="1">
      <c r="A57" s="2757"/>
      <c r="B57" s="5352" t="s">
        <v>2142</v>
      </c>
      <c r="C57" s="2977"/>
      <c r="D57" s="5518" t="s">
        <v>5150</v>
      </c>
      <c r="E57" s="2964"/>
      <c r="F57" s="2964"/>
      <c r="G57" s="2964"/>
      <c r="H57" s="2964"/>
      <c r="I57" s="2246"/>
      <c r="J57" s="1453"/>
      <c r="K57" s="1453"/>
      <c r="L57" s="1453"/>
      <c r="M57" s="1453"/>
      <c r="N57" s="1453"/>
      <c r="O57" s="1453"/>
      <c r="P57" s="1453"/>
      <c r="Q57" s="1453"/>
      <c r="R57" s="1453"/>
      <c r="S57" s="1453"/>
      <c r="T57" s="1453"/>
      <c r="U57" s="1453"/>
      <c r="V57" s="1453"/>
      <c r="W57" s="1453"/>
      <c r="X57" s="1453"/>
      <c r="Y57" s="1453"/>
      <c r="Z57" s="1453"/>
      <c r="AA57" s="1453"/>
      <c r="AB57" s="1453"/>
      <c r="AC57" s="2943"/>
      <c r="AD57" s="2335"/>
      <c r="AE57" s="5356"/>
      <c r="AF57" s="5357"/>
      <c r="AG57" s="5357"/>
      <c r="AH57" s="5357"/>
      <c r="AI57" s="5357"/>
      <c r="AJ57" s="2822"/>
      <c r="AK57" s="2823"/>
      <c r="AL57" s="2822"/>
      <c r="AM57" s="1276"/>
      <c r="AN57" s="1276"/>
      <c r="AO57" s="1276"/>
      <c r="AP57" s="1276"/>
      <c r="AQ57" s="2757"/>
      <c r="AR57" s="2757"/>
      <c r="AS57" s="3277"/>
      <c r="AT57" s="2757"/>
    </row>
    <row r="58" spans="1:60" ht="14.25" customHeight="1" thickBot="1">
      <c r="A58" s="2757"/>
      <c r="B58" s="5352"/>
      <c r="C58" s="1453"/>
      <c r="D58" s="5524" t="s">
        <v>5000</v>
      </c>
      <c r="E58" s="1276"/>
      <c r="F58" s="1276"/>
      <c r="G58" s="1276"/>
      <c r="H58" s="1276"/>
      <c r="I58" s="2964"/>
      <c r="J58" s="1453"/>
      <c r="K58" s="1453"/>
      <c r="L58" s="1453"/>
      <c r="M58" s="1453"/>
      <c r="N58" s="1453"/>
      <c r="O58" s="1453"/>
      <c r="P58" s="1453"/>
      <c r="Q58" s="1453"/>
      <c r="R58" s="1453"/>
      <c r="S58" s="1453"/>
      <c r="T58" s="1453"/>
      <c r="U58" s="1453"/>
      <c r="V58" s="1453"/>
      <c r="W58" s="1453"/>
      <c r="X58" s="1453"/>
      <c r="Y58" s="1453"/>
      <c r="Z58" s="1453"/>
      <c r="AA58" s="1453"/>
      <c r="AB58" s="1453"/>
      <c r="AC58" s="2944"/>
      <c r="AD58" s="2944"/>
      <c r="AE58" s="2943"/>
      <c r="AF58" s="2943"/>
      <c r="AG58" s="2943"/>
      <c r="AH58" s="2943"/>
      <c r="AI58" s="5517" t="s">
        <v>2969</v>
      </c>
      <c r="AJ58" s="9330" t="s">
        <v>5001</v>
      </c>
      <c r="AK58" s="9331"/>
      <c r="AL58" s="9328">
        <f>IF(AL42,"",IF(AL54=0,0,SUM(AL54,-AL56)))</f>
        <v>0</v>
      </c>
      <c r="AM58" s="9329"/>
      <c r="AN58" s="9329"/>
      <c r="AO58" s="9329"/>
      <c r="AP58" s="9329"/>
      <c r="AQ58" s="2757"/>
      <c r="AR58" s="2757"/>
      <c r="AS58" s="3277"/>
      <c r="AT58" s="2757"/>
    </row>
    <row r="59" spans="1:60" ht="17.25" customHeight="1">
      <c r="A59" s="2757"/>
      <c r="B59" s="2991" t="s">
        <v>484</v>
      </c>
      <c r="C59" s="2992"/>
      <c r="D59" s="2993"/>
      <c r="E59" s="2993"/>
      <c r="F59" s="2993"/>
      <c r="G59" s="2993"/>
      <c r="H59" s="2993"/>
      <c r="I59" s="2993"/>
      <c r="J59" s="2993"/>
      <c r="K59" s="2993"/>
      <c r="L59" s="2993"/>
      <c r="M59" s="2993"/>
      <c r="N59" s="2993"/>
      <c r="O59" s="2993"/>
      <c r="P59" s="2993"/>
      <c r="Q59" s="2993"/>
      <c r="R59" s="2993"/>
      <c r="S59" s="2993"/>
      <c r="T59" s="2993"/>
      <c r="U59" s="2993"/>
      <c r="V59" s="2993"/>
      <c r="W59" s="2993"/>
      <c r="X59" s="2993"/>
      <c r="Y59" s="2994"/>
      <c r="Z59" s="4271" t="s">
        <v>2293</v>
      </c>
      <c r="AA59" s="2994"/>
      <c r="AB59" s="2993"/>
      <c r="AC59" s="2993"/>
      <c r="AD59" s="2993"/>
      <c r="AE59" s="2993"/>
      <c r="AF59" s="2993"/>
      <c r="AG59" s="2993"/>
      <c r="AH59" s="2993"/>
      <c r="AI59" s="2993"/>
      <c r="AJ59" s="2993"/>
      <c r="AK59" s="2993"/>
      <c r="AL59" s="2995"/>
      <c r="AM59" s="2993"/>
      <c r="AN59" s="2993"/>
      <c r="AO59" s="2993"/>
      <c r="AP59" s="2990" t="str">
        <f>"Schedule 8812 (Form 1040) "&amp;TaxYear</f>
        <v>Schedule 8812 (Form 1040) 2021</v>
      </c>
      <c r="AQ59" s="2757"/>
      <c r="AR59" s="2757"/>
      <c r="AS59" s="2757"/>
      <c r="AT59" s="2757"/>
    </row>
    <row r="60" spans="1:60" ht="20.25" customHeight="1" thickBot="1">
      <c r="A60" s="2757"/>
      <c r="B60" s="5180" t="str">
        <f>"Schedule 8812 (Form 1040) "&amp;TaxYear</f>
        <v>Schedule 8812 (Form 1040) 2021</v>
      </c>
      <c r="C60" s="5401"/>
      <c r="D60" s="5402"/>
      <c r="E60" s="5402"/>
      <c r="F60" s="5402"/>
      <c r="G60" s="5402"/>
      <c r="H60" s="5402"/>
      <c r="I60" s="5402"/>
      <c r="J60" s="5402"/>
      <c r="K60" s="5402"/>
      <c r="L60" s="5402"/>
      <c r="M60" s="5402"/>
      <c r="N60" s="5402"/>
      <c r="O60" s="5402"/>
      <c r="P60" s="5402"/>
      <c r="Q60" s="5402"/>
      <c r="R60" s="5402"/>
      <c r="S60" s="5402"/>
      <c r="T60" s="5402"/>
      <c r="U60" s="5402"/>
      <c r="V60" s="5402"/>
      <c r="W60" s="5402"/>
      <c r="X60" s="5402"/>
      <c r="Y60" s="5403"/>
      <c r="Z60" s="5404"/>
      <c r="AA60" s="5403"/>
      <c r="AB60" s="5402"/>
      <c r="AC60" s="5402"/>
      <c r="AD60" s="5402"/>
      <c r="AE60" s="5402"/>
      <c r="AF60" s="5402"/>
      <c r="AG60" s="5402"/>
      <c r="AH60" s="5402"/>
      <c r="AI60" s="5402"/>
      <c r="AJ60" s="5402"/>
      <c r="AK60" s="5402"/>
      <c r="AL60" s="5405"/>
      <c r="AM60" s="5402"/>
      <c r="AN60" s="5402"/>
      <c r="AO60" s="5402"/>
      <c r="AP60" s="5406" t="s">
        <v>5166</v>
      </c>
      <c r="AQ60" s="2757"/>
      <c r="AR60" s="2757"/>
      <c r="AS60" s="2757"/>
      <c r="AT60" s="2757"/>
    </row>
    <row r="61" spans="1:60" s="2689" customFormat="1" ht="16.5" thickTop="1">
      <c r="A61" s="2758"/>
      <c r="B61" s="9312" t="s">
        <v>5038</v>
      </c>
      <c r="C61" s="9312"/>
      <c r="D61" s="9313"/>
      <c r="E61" s="5407"/>
      <c r="F61" s="5407"/>
      <c r="G61" s="5408" t="s">
        <v>5039</v>
      </c>
      <c r="H61" s="5407"/>
      <c r="I61" s="5407"/>
      <c r="J61" s="5407"/>
      <c r="K61" s="5407"/>
      <c r="L61" s="5407"/>
      <c r="M61" s="5407"/>
      <c r="N61" s="5407"/>
      <c r="O61" s="5407"/>
      <c r="P61" s="5407"/>
      <c r="Q61" s="5407"/>
      <c r="R61" s="5407"/>
      <c r="S61" s="5407"/>
      <c r="T61" s="5407"/>
      <c r="U61" s="5407"/>
      <c r="V61" s="5407"/>
      <c r="W61" s="5407"/>
      <c r="X61" s="5407"/>
      <c r="Y61" s="5407"/>
      <c r="Z61" s="5407"/>
      <c r="AA61" s="5407"/>
      <c r="AB61" s="5407"/>
      <c r="AC61" s="5407"/>
      <c r="AD61" s="5407"/>
      <c r="AE61" s="5407"/>
      <c r="AF61" s="5407"/>
      <c r="AG61" s="9235"/>
      <c r="AH61" s="9235"/>
      <c r="AI61" s="9235"/>
      <c r="AJ61" s="9235"/>
      <c r="AK61" s="9235"/>
      <c r="AL61" s="9275" t="b">
        <f>NOT(AL41)</f>
        <v>0</v>
      </c>
      <c r="AM61" s="9275"/>
      <c r="AN61" s="9275"/>
      <c r="AO61" s="9275"/>
      <c r="AP61" s="9275"/>
      <c r="AQ61" s="2757"/>
      <c r="AR61" s="2757"/>
      <c r="AS61" s="3256"/>
      <c r="AT61" s="2757"/>
      <c r="AU61" s="42"/>
      <c r="AV61" s="42"/>
      <c r="AW61" s="42"/>
      <c r="AX61" s="2595"/>
      <c r="AY61" s="2595"/>
      <c r="AZ61" s="2595"/>
      <c r="BA61" s="2595"/>
      <c r="BB61" s="2595"/>
      <c r="BC61" s="2595"/>
      <c r="BD61" s="2595"/>
      <c r="BE61" s="2595"/>
      <c r="BF61" s="2595"/>
      <c r="BG61" s="2595"/>
      <c r="BH61" s="2595"/>
    </row>
    <row r="62" spans="1:60" ht="17.25" customHeight="1">
      <c r="A62" s="2757"/>
      <c r="B62" s="5523" t="s">
        <v>5152</v>
      </c>
      <c r="C62" s="5375"/>
      <c r="D62" s="4782"/>
      <c r="E62" s="4782"/>
      <c r="F62" s="4782"/>
      <c r="G62" s="4782"/>
      <c r="H62" s="4782"/>
      <c r="I62" s="4782"/>
      <c r="J62" s="4782"/>
      <c r="K62" s="4782"/>
      <c r="L62" s="4782"/>
      <c r="M62" s="4782"/>
      <c r="N62" s="4782"/>
      <c r="O62" s="4782"/>
      <c r="P62" s="4782"/>
      <c r="Q62" s="4782"/>
      <c r="R62" s="4782"/>
      <c r="S62" s="4782"/>
      <c r="T62" s="4782"/>
      <c r="U62" s="4782"/>
      <c r="V62" s="4782"/>
      <c r="W62" s="4782"/>
      <c r="X62" s="4782"/>
      <c r="Y62" s="5376"/>
      <c r="Z62" s="5377"/>
      <c r="AA62" s="5376"/>
      <c r="AB62" s="4782"/>
      <c r="AC62" s="4782"/>
      <c r="AD62" s="4782"/>
      <c r="AE62" s="4782"/>
      <c r="AF62" s="4782"/>
      <c r="AG62" s="4782"/>
      <c r="AH62" s="9274"/>
      <c r="AI62" s="9274"/>
      <c r="AJ62" s="9274"/>
      <c r="AK62" s="9274"/>
      <c r="AL62" s="9274" t="b">
        <f>NOT(AL61)</f>
        <v>1</v>
      </c>
      <c r="AM62" s="9274"/>
      <c r="AN62" s="9274"/>
      <c r="AO62" s="9274"/>
      <c r="AP62" s="9274"/>
      <c r="AQ62" s="2757"/>
      <c r="AR62" s="2757"/>
      <c r="AS62" s="2757"/>
      <c r="AT62" s="2757"/>
    </row>
    <row r="63" spans="1:60" ht="14.25" customHeight="1">
      <c r="A63" s="2757"/>
      <c r="B63" s="2945" t="s">
        <v>3808</v>
      </c>
      <c r="C63" s="2213"/>
      <c r="D63" s="5518" t="s">
        <v>5153</v>
      </c>
      <c r="E63" s="5378"/>
      <c r="F63" s="5378"/>
      <c r="G63" s="5378"/>
      <c r="H63" s="5378"/>
      <c r="I63" s="5378"/>
      <c r="J63" s="5378"/>
      <c r="K63" s="5378"/>
      <c r="L63" s="5378"/>
      <c r="M63" s="5378"/>
      <c r="N63" s="5378"/>
      <c r="O63" s="5378"/>
      <c r="P63" s="5378"/>
      <c r="Q63" s="5378"/>
      <c r="R63" s="5378"/>
      <c r="S63" s="5378"/>
      <c r="T63" s="5378"/>
      <c r="U63" s="5378"/>
      <c r="V63" s="5378"/>
      <c r="W63" s="5378"/>
      <c r="X63" s="5378"/>
      <c r="Y63" s="2212"/>
      <c r="Z63" s="2212"/>
      <c r="AA63" s="2212"/>
      <c r="AB63" s="5378"/>
      <c r="AC63" s="5378"/>
      <c r="AD63" s="5378"/>
      <c r="AE63" s="5378"/>
      <c r="AF63" s="5378"/>
      <c r="AG63" s="5378"/>
      <c r="AH63" s="5378"/>
      <c r="AI63" s="5517" t="s">
        <v>1075</v>
      </c>
      <c r="AJ63" s="9258" t="s">
        <v>3808</v>
      </c>
      <c r="AK63" s="9259"/>
      <c r="AL63" s="9260" t="str">
        <f>IF(AL62,"",AK217)</f>
        <v/>
      </c>
      <c r="AM63" s="9261"/>
      <c r="AN63" s="9261"/>
      <c r="AO63" s="9261"/>
      <c r="AP63" s="9262"/>
      <c r="AQ63" s="2757"/>
      <c r="AR63" s="2757"/>
      <c r="AS63" s="2757"/>
      <c r="AT63" s="2757"/>
    </row>
    <row r="64" spans="1:60" ht="14.25" customHeight="1">
      <c r="A64" s="2757"/>
      <c r="B64" s="2945" t="s">
        <v>47</v>
      </c>
      <c r="C64" s="2213"/>
      <c r="D64" s="5518" t="s">
        <v>5040</v>
      </c>
      <c r="E64" s="5378"/>
      <c r="F64" s="5378"/>
      <c r="G64" s="5378"/>
      <c r="H64" s="5378"/>
      <c r="I64" s="5378"/>
      <c r="J64" s="5378"/>
      <c r="K64" s="5378"/>
      <c r="L64" s="5378"/>
      <c r="M64" s="5378"/>
      <c r="N64" s="5378"/>
      <c r="O64" s="5378"/>
      <c r="P64" s="5378"/>
      <c r="Q64" s="5378"/>
      <c r="R64" s="5378"/>
      <c r="S64" s="5378"/>
      <c r="T64" s="5378"/>
      <c r="U64" s="5378"/>
      <c r="V64" s="5378"/>
      <c r="W64" s="5378"/>
      <c r="X64" s="5378"/>
      <c r="Y64" s="2212"/>
      <c r="Z64" s="2212"/>
      <c r="AA64" s="2212"/>
      <c r="AB64" s="5378"/>
      <c r="AC64" s="5378"/>
      <c r="AD64" s="5378"/>
      <c r="AE64" s="5378"/>
      <c r="AF64" s="5378"/>
      <c r="AG64" s="5378"/>
      <c r="AH64" s="5378"/>
      <c r="AI64" s="5517" t="s">
        <v>1584</v>
      </c>
      <c r="AJ64" s="9258" t="s">
        <v>3809</v>
      </c>
      <c r="AK64" s="9259"/>
      <c r="AL64" s="9265" t="str">
        <f>IF(AL62,"",MIN(AL34,AL63))</f>
        <v/>
      </c>
      <c r="AM64" s="9266"/>
      <c r="AN64" s="9266"/>
      <c r="AO64" s="9266"/>
      <c r="AP64" s="9267"/>
      <c r="AQ64" s="2757"/>
      <c r="AR64" s="2757"/>
      <c r="AS64" s="3256"/>
      <c r="AT64" s="2757"/>
    </row>
    <row r="65" spans="1:48" ht="14.25" customHeight="1">
      <c r="A65" s="2757"/>
      <c r="B65" s="2945"/>
      <c r="C65" s="2213"/>
      <c r="D65" s="5518" t="s">
        <v>5041</v>
      </c>
      <c r="E65" s="5378"/>
      <c r="F65" s="5378"/>
      <c r="G65" s="5378"/>
      <c r="H65" s="5378"/>
      <c r="I65" s="5378"/>
      <c r="J65" s="5378"/>
      <c r="K65" s="5378"/>
      <c r="L65" s="5378"/>
      <c r="M65" s="5378"/>
      <c r="N65" s="5378"/>
      <c r="O65" s="5378"/>
      <c r="P65" s="5378"/>
      <c r="Q65" s="5378"/>
      <c r="R65" s="5378"/>
      <c r="S65" s="5378"/>
      <c r="T65" s="5378"/>
      <c r="U65" s="5378"/>
      <c r="V65" s="5378"/>
      <c r="W65" s="5378"/>
      <c r="X65" s="5378"/>
      <c r="Y65" s="2212"/>
      <c r="Z65" s="2212"/>
      <c r="AA65" s="2212"/>
      <c r="AB65" s="5378"/>
      <c r="AC65" s="5378"/>
      <c r="AD65" s="5378"/>
      <c r="AE65" s="5378"/>
      <c r="AF65" s="5378"/>
      <c r="AG65" s="5378"/>
      <c r="AH65" s="5378"/>
      <c r="AI65" s="5378"/>
      <c r="AJ65" s="5382"/>
      <c r="AK65" s="5383"/>
      <c r="AL65" s="9425"/>
      <c r="AM65" s="9426"/>
      <c r="AN65" s="9426"/>
      <c r="AO65" s="9426"/>
      <c r="AP65" s="9426"/>
      <c r="AQ65" s="2757"/>
      <c r="AR65" s="2757"/>
      <c r="AS65" s="2757"/>
      <c r="AT65" s="2757"/>
    </row>
    <row r="66" spans="1:48" ht="14.25" customHeight="1">
      <c r="A66" s="2757"/>
      <c r="B66" s="2945"/>
      <c r="C66" s="2213"/>
      <c r="D66" s="4367" t="s">
        <v>294</v>
      </c>
      <c r="E66" s="5518" t="s">
        <v>5199</v>
      </c>
      <c r="F66" s="5378"/>
      <c r="G66" s="5378"/>
      <c r="H66" s="5378"/>
      <c r="I66" s="5378"/>
      <c r="J66" s="5378"/>
      <c r="K66" s="5378"/>
      <c r="L66" s="5378"/>
      <c r="M66" s="5378"/>
      <c r="N66" s="5378"/>
      <c r="O66" s="5378"/>
      <c r="P66" s="5378"/>
      <c r="Q66" s="5378"/>
      <c r="R66" s="5378"/>
      <c r="S66" s="5378"/>
      <c r="T66" s="5378"/>
      <c r="U66" s="5378"/>
      <c r="V66" s="5378"/>
      <c r="W66" s="5378"/>
      <c r="X66" s="5378"/>
      <c r="Y66" s="2212"/>
      <c r="Z66" s="2212"/>
      <c r="AA66" s="2212"/>
      <c r="AB66" s="5378"/>
      <c r="AC66" s="5378"/>
      <c r="AD66" s="5378"/>
      <c r="AE66" s="5378"/>
      <c r="AF66" s="5378"/>
      <c r="AG66" s="5378"/>
      <c r="AH66" s="5378"/>
      <c r="AI66" s="5378"/>
      <c r="AJ66" s="5384"/>
      <c r="AK66" s="5385"/>
      <c r="AL66" s="2213"/>
      <c r="AM66" s="5378"/>
      <c r="AN66" s="5378"/>
      <c r="AO66" s="5378"/>
      <c r="AP66" s="5169"/>
      <c r="AQ66" s="3256"/>
      <c r="AR66" s="5553" t="s">
        <v>5203</v>
      </c>
      <c r="AS66" s="5543" t="b">
        <f>NOT(Form2555_Used)</f>
        <v>1</v>
      </c>
      <c r="AT66" s="2757"/>
    </row>
    <row r="67" spans="1:48" ht="14.25" customHeight="1">
      <c r="A67" s="2757"/>
      <c r="B67" s="2945"/>
      <c r="C67" s="2213"/>
      <c r="D67" s="4367" t="s">
        <v>0</v>
      </c>
      <c r="E67" s="5518" t="s">
        <v>5042</v>
      </c>
      <c r="F67" s="5378"/>
      <c r="G67" s="5378"/>
      <c r="H67" s="5378"/>
      <c r="I67" s="5378"/>
      <c r="J67" s="5378"/>
      <c r="K67" s="5378"/>
      <c r="L67" s="5378"/>
      <c r="M67" s="5378"/>
      <c r="N67" s="5378"/>
      <c r="O67" s="5378"/>
      <c r="P67" s="5378"/>
      <c r="Q67" s="5378"/>
      <c r="R67" s="5378"/>
      <c r="S67" s="5378"/>
      <c r="T67" s="5378"/>
      <c r="U67" s="5378"/>
      <c r="V67" s="5378"/>
      <c r="W67" s="5378"/>
      <c r="X67" s="5378"/>
      <c r="Y67" s="2212"/>
      <c r="Z67" s="2212"/>
      <c r="AA67" s="2212"/>
      <c r="AB67" s="5378"/>
      <c r="AC67" s="5378"/>
      <c r="AD67" s="5378"/>
      <c r="AE67" s="5378"/>
      <c r="AF67" s="5378"/>
      <c r="AG67" s="5378"/>
      <c r="AH67" s="5378"/>
      <c r="AI67" s="5378"/>
      <c r="AJ67" s="5384"/>
      <c r="AK67" s="5385"/>
      <c r="AL67" s="2213"/>
      <c r="AM67" s="5378"/>
      <c r="AN67" s="5378"/>
      <c r="AO67" s="5378"/>
      <c r="AP67" s="5169"/>
      <c r="AQ67" s="3256"/>
      <c r="AR67" s="5553" t="s">
        <v>5204</v>
      </c>
      <c r="AS67" s="5543" t="b">
        <f>AE18&gt;0</f>
        <v>0</v>
      </c>
      <c r="AT67" s="3906" t="s">
        <v>5200</v>
      </c>
    </row>
    <row r="68" spans="1:48" ht="14.25" customHeight="1" thickBot="1">
      <c r="A68" s="2757"/>
      <c r="B68" s="2945"/>
      <c r="C68" s="2213"/>
      <c r="D68" s="4367" t="s">
        <v>1</v>
      </c>
      <c r="E68" s="5518" t="s">
        <v>5043</v>
      </c>
      <c r="F68" s="5378"/>
      <c r="G68" s="5378"/>
      <c r="H68" s="5378"/>
      <c r="I68" s="5378"/>
      <c r="J68" s="5378"/>
      <c r="K68" s="5378"/>
      <c r="L68" s="5378"/>
      <c r="M68" s="5378"/>
      <c r="N68" s="5378"/>
      <c r="O68" s="5378"/>
      <c r="P68" s="5378"/>
      <c r="Q68" s="5378"/>
      <c r="R68" s="5378"/>
      <c r="S68" s="5378"/>
      <c r="T68" s="5378"/>
      <c r="U68" s="5378"/>
      <c r="V68" s="5378"/>
      <c r="W68" s="5378"/>
      <c r="X68" s="5378"/>
      <c r="Y68" s="2212"/>
      <c r="Z68" s="2212"/>
      <c r="AA68" s="2212"/>
      <c r="AB68" s="5378"/>
      <c r="AC68" s="5378"/>
      <c r="AD68" s="5378"/>
      <c r="AE68" s="5378"/>
      <c r="AF68" s="5378"/>
      <c r="AG68" s="5378"/>
      <c r="AH68" s="5378"/>
      <c r="AI68" s="5378"/>
      <c r="AJ68" s="5384"/>
      <c r="AK68" s="5385"/>
      <c r="AL68" s="2213"/>
      <c r="AM68" s="5378"/>
      <c r="AN68" s="5378"/>
      <c r="AO68" s="5378"/>
      <c r="AP68" s="5169"/>
      <c r="AQ68" s="3256"/>
      <c r="AR68" s="5553" t="s">
        <v>5205</v>
      </c>
      <c r="AS68" s="5544" t="b">
        <f>AL34&gt;AL63</f>
        <v>0</v>
      </c>
      <c r="AT68" s="2757"/>
    </row>
    <row r="69" spans="1:48" ht="14.25" customHeight="1" thickTop="1">
      <c r="A69" s="2757"/>
      <c r="B69" s="2945" t="s">
        <v>48</v>
      </c>
      <c r="C69" s="2213"/>
      <c r="D69" s="5518" t="s">
        <v>5082</v>
      </c>
      <c r="E69" s="5378"/>
      <c r="F69" s="5378"/>
      <c r="G69" s="5378"/>
      <c r="H69" s="5378"/>
      <c r="I69" s="5378"/>
      <c r="J69" s="5378"/>
      <c r="K69" s="5378"/>
      <c r="L69" s="5378"/>
      <c r="M69" s="5378"/>
      <c r="N69" s="5378"/>
      <c r="O69" s="5378"/>
      <c r="P69" s="5378"/>
      <c r="Q69" s="5378"/>
      <c r="R69" s="5378"/>
      <c r="S69" s="5378"/>
      <c r="T69" s="5378"/>
      <c r="U69" s="5378"/>
      <c r="V69" s="5378"/>
      <c r="W69" s="5378"/>
      <c r="X69" s="5378"/>
      <c r="Y69" s="2212"/>
      <c r="Z69" s="2212"/>
      <c r="AA69" s="2212"/>
      <c r="AB69" s="5378"/>
      <c r="AC69" s="5378"/>
      <c r="AD69" s="5378"/>
      <c r="AE69" s="5378"/>
      <c r="AF69" s="5378"/>
      <c r="AG69" s="5378"/>
      <c r="AH69" s="5378"/>
      <c r="AI69" s="5517" t="s">
        <v>698</v>
      </c>
      <c r="AJ69" s="9263" t="s">
        <v>3282</v>
      </c>
      <c r="AK69" s="9264"/>
      <c r="AL69" s="9253" t="str">
        <f>IF(AL62,"",IF(AD98,0,IF(AL116,AL117,0)))</f>
        <v/>
      </c>
      <c r="AM69" s="9254"/>
      <c r="AN69" s="9254"/>
      <c r="AO69" s="9254"/>
      <c r="AP69" s="9255"/>
      <c r="AQ69" s="2757"/>
      <c r="AR69" s="5553" t="s">
        <v>5748</v>
      </c>
      <c r="AS69" s="5545" t="b">
        <f>AND(AS66,AS67,AS68)</f>
        <v>0</v>
      </c>
      <c r="AT69" s="2757"/>
      <c r="AV69" s="5501"/>
    </row>
    <row r="70" spans="1:48" ht="14.25" customHeight="1" thickBot="1">
      <c r="A70" s="2757"/>
      <c r="B70" s="2945" t="s">
        <v>92</v>
      </c>
      <c r="C70" s="2213"/>
      <c r="D70" s="5518" t="s">
        <v>5044</v>
      </c>
      <c r="E70" s="5378"/>
      <c r="F70" s="5378"/>
      <c r="G70" s="5378"/>
      <c r="H70" s="5378"/>
      <c r="I70" s="5378"/>
      <c r="J70" s="5378"/>
      <c r="K70" s="5378"/>
      <c r="L70" s="5378"/>
      <c r="M70" s="5378"/>
      <c r="N70" s="5378"/>
      <c r="O70" s="5378"/>
      <c r="P70" s="5378"/>
      <c r="Q70" s="5378"/>
      <c r="R70" s="5378"/>
      <c r="S70" s="5378"/>
      <c r="T70" s="5378"/>
      <c r="U70" s="5378"/>
      <c r="V70" s="5378"/>
      <c r="W70" s="5378"/>
      <c r="X70" s="5378"/>
      <c r="Y70" s="2212"/>
      <c r="Z70" s="2212"/>
      <c r="AA70" s="2212"/>
      <c r="AB70" s="5378"/>
      <c r="AC70" s="5378"/>
      <c r="AD70" s="5378"/>
      <c r="AE70" s="5378"/>
      <c r="AF70" s="5378"/>
      <c r="AG70" s="5378"/>
      <c r="AH70" s="5378"/>
      <c r="AI70" s="5517" t="s">
        <v>5201</v>
      </c>
      <c r="AJ70" s="9258" t="s">
        <v>5072</v>
      </c>
      <c r="AK70" s="9259"/>
      <c r="AL70" s="9260" t="str">
        <f>IF(AL62,"",SUM(AL64,AL69))</f>
        <v/>
      </c>
      <c r="AM70" s="9261"/>
      <c r="AN70" s="9261"/>
      <c r="AO70" s="9261"/>
      <c r="AP70" s="9262"/>
      <c r="AQ70" s="2757"/>
      <c r="AR70" s="2757"/>
      <c r="AS70" s="2757"/>
      <c r="AT70" s="2757"/>
      <c r="AV70" s="1286">
        <f>IF(AL70="",0,AL70)</f>
        <v>0</v>
      </c>
    </row>
    <row r="71" spans="1:48" ht="15.75" customHeight="1">
      <c r="A71" s="2757"/>
      <c r="B71" s="2945" t="s">
        <v>964</v>
      </c>
      <c r="C71" s="2213"/>
      <c r="D71" s="5518" t="s">
        <v>4991</v>
      </c>
      <c r="E71" s="5378"/>
      <c r="F71" s="5378"/>
      <c r="G71" s="5378"/>
      <c r="H71" s="5378"/>
      <c r="I71" s="5378"/>
      <c r="J71" s="5378"/>
      <c r="K71" s="5378"/>
      <c r="L71" s="5378"/>
      <c r="M71" s="5378"/>
      <c r="N71" s="5378"/>
      <c r="O71" s="5378"/>
      <c r="P71" s="5378"/>
      <c r="Q71" s="5378"/>
      <c r="R71" s="5378"/>
      <c r="S71" s="5378"/>
      <c r="T71" s="5378"/>
      <c r="U71" s="5378"/>
      <c r="V71" s="5378"/>
      <c r="W71" s="5378"/>
      <c r="X71" s="5378"/>
      <c r="Y71" s="2212"/>
      <c r="Z71" s="2212"/>
      <c r="AA71" s="2212"/>
      <c r="AB71" s="5378"/>
      <c r="AC71" s="5378"/>
      <c r="AD71" s="5378"/>
      <c r="AE71" s="5378"/>
      <c r="AF71" s="5378"/>
      <c r="AG71" s="5378"/>
      <c r="AH71" s="5378"/>
      <c r="AI71" s="5378"/>
      <c r="AJ71" s="5386"/>
      <c r="AK71" s="5387"/>
      <c r="AL71" s="2213"/>
      <c r="AM71" s="5378"/>
      <c r="AN71" s="5378"/>
      <c r="AO71" s="5378"/>
      <c r="AP71" s="5169"/>
      <c r="AQ71" s="5929"/>
      <c r="AR71" s="5923" t="str">
        <f>IF(AL62,"","Enter the total of Advance")</f>
        <v/>
      </c>
      <c r="AS71" s="5929"/>
      <c r="AT71" s="5924"/>
    </row>
    <row r="72" spans="1:48" ht="15.75" customHeight="1">
      <c r="A72" s="2757"/>
      <c r="B72" s="2945"/>
      <c r="C72" s="4780"/>
      <c r="D72" s="5525" t="str">
        <f>"for "&amp;TaxYear&amp;"."</f>
        <v>for 2021.</v>
      </c>
      <c r="E72" s="1830"/>
      <c r="F72" s="1830"/>
      <c r="G72" s="5525" t="s">
        <v>5045</v>
      </c>
      <c r="H72" s="1830"/>
      <c r="I72" s="1830"/>
      <c r="J72" s="1830"/>
      <c r="K72" s="1830"/>
      <c r="L72" s="1830"/>
      <c r="M72" s="1830"/>
      <c r="N72" s="1830"/>
      <c r="O72" s="1830"/>
      <c r="P72" s="1830"/>
      <c r="Q72" s="1830"/>
      <c r="R72" s="1830"/>
      <c r="S72" s="1830"/>
      <c r="T72" s="1830"/>
      <c r="U72" s="1830"/>
      <c r="V72" s="1830"/>
      <c r="W72" s="1830"/>
      <c r="X72" s="1830"/>
      <c r="Y72" s="4065"/>
      <c r="Z72" s="1776"/>
      <c r="AA72" s="4065"/>
      <c r="AB72" s="1830"/>
      <c r="AC72" s="1830"/>
      <c r="AD72" s="1830"/>
      <c r="AE72" s="1830"/>
      <c r="AF72" s="1830"/>
      <c r="AG72" s="1830"/>
      <c r="AH72" s="1830"/>
      <c r="AI72" s="1830"/>
      <c r="AJ72" s="4717"/>
      <c r="AK72" s="4718"/>
      <c r="AL72" s="4780"/>
      <c r="AM72" s="1830"/>
      <c r="AN72" s="1830"/>
      <c r="AO72" s="1830"/>
      <c r="AP72" s="5374"/>
      <c r="AQ72" s="3256"/>
      <c r="AR72" s="3906" t="str">
        <f>IF(AL62,"","Child Tax credits received")</f>
        <v/>
      </c>
      <c r="AS72" s="2757"/>
      <c r="AT72" s="5925"/>
    </row>
    <row r="73" spans="1:48" ht="15.75" customHeight="1" thickBot="1">
      <c r="A73" s="2757"/>
      <c r="B73" s="2945"/>
      <c r="C73" s="4780"/>
      <c r="D73" s="5525" t="s">
        <v>4992</v>
      </c>
      <c r="E73" s="1830"/>
      <c r="F73" s="1830"/>
      <c r="G73" s="1830"/>
      <c r="H73" s="1830"/>
      <c r="I73" s="1830"/>
      <c r="J73" s="1830"/>
      <c r="K73" s="1830"/>
      <c r="L73" s="1830"/>
      <c r="M73" s="1830"/>
      <c r="N73" s="1830"/>
      <c r="O73" s="1830"/>
      <c r="P73" s="1830"/>
      <c r="Q73" s="1830"/>
      <c r="R73" s="1830"/>
      <c r="S73" s="1830"/>
      <c r="T73" s="1830"/>
      <c r="U73" s="1830"/>
      <c r="V73" s="1830"/>
      <c r="W73" s="1830"/>
      <c r="X73" s="1830"/>
      <c r="Y73" s="4065"/>
      <c r="Z73" s="1776"/>
      <c r="AA73" s="4065"/>
      <c r="AB73" s="1830"/>
      <c r="AC73" s="1830"/>
      <c r="AD73" s="1830"/>
      <c r="AE73" s="1830"/>
      <c r="AF73" s="1830"/>
      <c r="AG73" s="1830"/>
      <c r="AH73" s="1830"/>
      <c r="AI73" s="5517" t="s">
        <v>634</v>
      </c>
      <c r="AJ73" s="9263" t="s">
        <v>5073</v>
      </c>
      <c r="AK73" s="9264"/>
      <c r="AL73" s="9296"/>
      <c r="AM73" s="9297"/>
      <c r="AN73" s="9297"/>
      <c r="AO73" s="9297"/>
      <c r="AP73" s="9298"/>
      <c r="AQ73" s="5930" t="str">
        <f>IF(AL62,"","←")</f>
        <v/>
      </c>
      <c r="AR73" s="5926" t="str">
        <f>IF(AL62,"","in "&amp;TaxYear&amp;" here.")</f>
        <v/>
      </c>
      <c r="AS73" s="5927"/>
      <c r="AT73" s="5928"/>
      <c r="AV73" s="1286">
        <f>IF(AL73="",0,AL73)</f>
        <v>0</v>
      </c>
    </row>
    <row r="74" spans="1:48" ht="15.75" customHeight="1">
      <c r="A74" s="2757"/>
      <c r="B74" s="2945"/>
      <c r="C74" s="4780"/>
      <c r="D74" s="5525" t="s">
        <v>5155</v>
      </c>
      <c r="E74" s="1830"/>
      <c r="F74" s="1830"/>
      <c r="G74" s="1830"/>
      <c r="H74" s="1830"/>
      <c r="I74" s="1830"/>
      <c r="J74" s="1830"/>
      <c r="K74" s="1830"/>
      <c r="L74" s="1830"/>
      <c r="M74" s="1830"/>
      <c r="N74" s="1830"/>
      <c r="O74" s="1830"/>
      <c r="P74" s="1830"/>
      <c r="Q74" s="1830"/>
      <c r="R74" s="1830"/>
      <c r="S74" s="1830"/>
      <c r="T74" s="1830"/>
      <c r="U74" s="1830"/>
      <c r="V74" s="1830"/>
      <c r="W74" s="1830"/>
      <c r="X74" s="1830"/>
      <c r="Y74" s="4065"/>
      <c r="Z74" s="1776"/>
      <c r="AA74" s="4065"/>
      <c r="AB74" s="1830"/>
      <c r="AC74" s="1830"/>
      <c r="AD74" s="1830"/>
      <c r="AE74" s="1830"/>
      <c r="AF74" s="1830"/>
      <c r="AG74" s="1830"/>
      <c r="AH74" s="1830"/>
      <c r="AI74" s="1830"/>
      <c r="AJ74" s="5382"/>
      <c r="AK74" s="5383"/>
      <c r="AL74" s="4780"/>
      <c r="AM74" s="1830"/>
      <c r="AN74" s="1830"/>
      <c r="AO74" s="1830"/>
      <c r="AP74" s="5374"/>
      <c r="AQ74" s="5929"/>
      <c r="AR74" s="5929"/>
      <c r="AS74" s="5929"/>
      <c r="AT74" s="5929"/>
    </row>
    <row r="75" spans="1:48" ht="15.75" customHeight="1">
      <c r="A75" s="2757"/>
      <c r="B75" s="2945"/>
      <c r="C75" s="4780"/>
      <c r="D75" s="5525" t="s">
        <v>4999</v>
      </c>
      <c r="E75" s="1830"/>
      <c r="F75" s="1830"/>
      <c r="G75" s="1830"/>
      <c r="H75" s="1830"/>
      <c r="I75" s="1830"/>
      <c r="J75" s="1830"/>
      <c r="K75" s="1830"/>
      <c r="L75" s="1830"/>
      <c r="M75" s="1830"/>
      <c r="N75" s="1830"/>
      <c r="O75" s="1830"/>
      <c r="P75" s="1830"/>
      <c r="Q75" s="1830"/>
      <c r="R75" s="1830"/>
      <c r="S75" s="1830"/>
      <c r="T75" s="1830"/>
      <c r="U75" s="1830"/>
      <c r="V75" s="1830"/>
      <c r="W75" s="1830"/>
      <c r="X75" s="1830"/>
      <c r="Y75" s="4065"/>
      <c r="Z75" s="1776"/>
      <c r="AA75" s="4065"/>
      <c r="AB75" s="1830"/>
      <c r="AC75" s="1830"/>
      <c r="AD75" s="1830"/>
      <c r="AE75" s="1830"/>
      <c r="AF75" s="1830"/>
      <c r="AG75" s="1830"/>
      <c r="AH75" s="1830"/>
      <c r="AI75" s="1830"/>
      <c r="AJ75" s="5384"/>
      <c r="AK75" s="5385"/>
      <c r="AL75" s="9301" t="str">
        <f>IF(AL73="",AL70,SUM(AL70,-AL73))</f>
        <v/>
      </c>
      <c r="AM75" s="9302"/>
      <c r="AN75" s="9302"/>
      <c r="AO75" s="9302"/>
      <c r="AP75" s="9302"/>
      <c r="AQ75" s="2757"/>
      <c r="AR75" s="2757"/>
      <c r="AS75" s="2757"/>
      <c r="AT75" s="2757"/>
    </row>
    <row r="76" spans="1:48" ht="15.75" customHeight="1">
      <c r="A76" s="2757"/>
      <c r="B76" s="2945" t="s">
        <v>965</v>
      </c>
      <c r="C76" s="4780"/>
      <c r="D76" s="5525" t="s">
        <v>5046</v>
      </c>
      <c r="E76" s="1830"/>
      <c r="F76" s="1830"/>
      <c r="G76" s="1830"/>
      <c r="H76" s="1830"/>
      <c r="I76" s="1830"/>
      <c r="J76" s="1830"/>
      <c r="K76" s="1830"/>
      <c r="L76" s="1830"/>
      <c r="M76" s="1830"/>
      <c r="N76" s="1830"/>
      <c r="O76" s="1830"/>
      <c r="P76" s="1830"/>
      <c r="Q76" s="1830"/>
      <c r="R76" s="1830"/>
      <c r="S76" s="1830"/>
      <c r="T76" s="1830"/>
      <c r="U76" s="1830"/>
      <c r="V76" s="1830"/>
      <c r="W76" s="1830"/>
      <c r="X76" s="1830"/>
      <c r="Y76" s="4065"/>
      <c r="Z76" s="1776"/>
      <c r="AA76" s="4065"/>
      <c r="AB76" s="1830"/>
      <c r="AC76" s="1830"/>
      <c r="AD76" s="1830"/>
      <c r="AE76" s="1830"/>
      <c r="AF76" s="1830"/>
      <c r="AG76" s="1830"/>
      <c r="AH76" s="1830"/>
      <c r="AI76" s="5517" t="s">
        <v>629</v>
      </c>
      <c r="AJ76" s="9263" t="s">
        <v>5074</v>
      </c>
      <c r="AK76" s="9264"/>
      <c r="AL76" s="9293" t="str">
        <f>IF(AL62,"",IF(AL75&lt;=0,0,AL75))</f>
        <v/>
      </c>
      <c r="AM76" s="9294"/>
      <c r="AN76" s="9294"/>
      <c r="AO76" s="9294"/>
      <c r="AP76" s="9295"/>
      <c r="AQ76" s="2757"/>
      <c r="AR76" s="2757"/>
      <c r="AS76" s="2757"/>
      <c r="AT76" s="2757"/>
      <c r="AV76" s="1286">
        <f>IF(AL76="",0,AL76)</f>
        <v>0</v>
      </c>
    </row>
    <row r="77" spans="1:48" ht="15.75" customHeight="1">
      <c r="A77" s="2757"/>
      <c r="B77" s="2945" t="s">
        <v>2133</v>
      </c>
      <c r="C77" s="4780"/>
      <c r="D77" s="5525" t="s">
        <v>5154</v>
      </c>
      <c r="E77" s="1830"/>
      <c r="F77" s="1830"/>
      <c r="G77" s="1830"/>
      <c r="H77" s="1830"/>
      <c r="I77" s="1830"/>
      <c r="J77" s="1830"/>
      <c r="K77" s="1830"/>
      <c r="L77" s="1830"/>
      <c r="M77" s="1830"/>
      <c r="N77" s="1830"/>
      <c r="O77" s="1830"/>
      <c r="P77" s="1830"/>
      <c r="Q77" s="1830"/>
      <c r="R77" s="1830"/>
      <c r="S77" s="1830"/>
      <c r="T77" s="1830"/>
      <c r="U77" s="1830"/>
      <c r="V77" s="1830"/>
      <c r="W77" s="1830"/>
      <c r="X77" s="1830"/>
      <c r="Y77" s="4065"/>
      <c r="Z77" s="1776"/>
      <c r="AA77" s="4065"/>
      <c r="AB77" s="1830"/>
      <c r="AC77" s="1830"/>
      <c r="AD77" s="1830"/>
      <c r="AE77" s="1830"/>
      <c r="AF77" s="1830"/>
      <c r="AG77" s="1830"/>
      <c r="AH77" s="1830"/>
      <c r="AI77" s="1830"/>
      <c r="AJ77" s="5386"/>
      <c r="AK77" s="5387"/>
      <c r="AL77" s="4780"/>
      <c r="AM77" s="1830"/>
      <c r="AN77" s="1830"/>
      <c r="AO77" s="1830"/>
      <c r="AP77" s="5374"/>
      <c r="AQ77" s="2757"/>
      <c r="AR77" s="2757"/>
      <c r="AS77" s="2757"/>
      <c r="AT77" s="2757"/>
      <c r="AV77" s="1286" t="b">
        <f>AND(AL61,AV76=0)</f>
        <v>0</v>
      </c>
    </row>
    <row r="78" spans="1:48" ht="15.75" customHeight="1">
      <c r="A78" s="2757"/>
      <c r="B78" s="2945"/>
      <c r="C78" s="4780"/>
      <c r="D78" s="5526" t="s">
        <v>5047</v>
      </c>
      <c r="E78" s="1830"/>
      <c r="F78" s="1830"/>
      <c r="G78" s="1830"/>
      <c r="H78" s="1830"/>
      <c r="I78" s="1830"/>
      <c r="J78" s="1830"/>
      <c r="K78" s="1830"/>
      <c r="L78" s="1830"/>
      <c r="M78" s="1830"/>
      <c r="N78" s="1830"/>
      <c r="O78" s="1830"/>
      <c r="P78" s="1830"/>
      <c r="Q78" s="1830"/>
      <c r="R78" s="1830"/>
      <c r="S78" s="1830"/>
      <c r="T78" s="1830"/>
      <c r="U78" s="1830"/>
      <c r="V78" s="1830"/>
      <c r="W78" s="1830"/>
      <c r="X78" s="1830"/>
      <c r="Y78" s="4065"/>
      <c r="Z78" s="1776"/>
      <c r="AA78" s="4065"/>
      <c r="AB78" s="1830"/>
      <c r="AC78" s="1830"/>
      <c r="AD78" s="1830"/>
      <c r="AE78" s="1830"/>
      <c r="AF78" s="1830"/>
      <c r="AG78" s="1830"/>
      <c r="AH78" s="1830"/>
      <c r="AI78" s="5517" t="s">
        <v>571</v>
      </c>
      <c r="AJ78" s="9263" t="s">
        <v>5075</v>
      </c>
      <c r="AK78" s="9264"/>
      <c r="AL78" s="9293" t="str">
        <f>IF(AL62,"",IF(AL75&lt;=0,0,MIN(AL64,AV76)))</f>
        <v/>
      </c>
      <c r="AM78" s="9294"/>
      <c r="AN78" s="9294"/>
      <c r="AO78" s="9294"/>
      <c r="AP78" s="9295"/>
      <c r="AQ78" s="2757"/>
      <c r="AR78" s="2757"/>
      <c r="AS78" s="2757"/>
      <c r="AT78" s="2757"/>
    </row>
    <row r="79" spans="1:48" ht="15.75" customHeight="1">
      <c r="A79" s="2757"/>
      <c r="B79" s="2945" t="s">
        <v>120</v>
      </c>
      <c r="C79" s="4780"/>
      <c r="D79" s="5525" t="s">
        <v>5158</v>
      </c>
      <c r="E79" s="1830"/>
      <c r="F79" s="1830"/>
      <c r="G79" s="1830"/>
      <c r="H79" s="1830"/>
      <c r="I79" s="1830"/>
      <c r="J79" s="1830"/>
      <c r="K79" s="1830"/>
      <c r="L79" s="1830"/>
      <c r="M79" s="1830"/>
      <c r="N79" s="1830"/>
      <c r="O79" s="1830"/>
      <c r="P79" s="1830"/>
      <c r="Q79" s="1830"/>
      <c r="R79" s="1830"/>
      <c r="S79" s="1830"/>
      <c r="T79" s="1830"/>
      <c r="U79" s="1830"/>
      <c r="V79" s="1830"/>
      <c r="W79" s="1830"/>
      <c r="X79" s="1830"/>
      <c r="Y79" s="4065"/>
      <c r="Z79" s="1776"/>
      <c r="AA79" s="4065"/>
      <c r="AB79" s="1830"/>
      <c r="AC79" s="1830"/>
      <c r="AD79" s="1830"/>
      <c r="AE79" s="1830"/>
      <c r="AF79" s="1830"/>
      <c r="AG79" s="1830"/>
      <c r="AH79" s="1830"/>
      <c r="AI79" s="1830"/>
      <c r="AJ79" s="5386"/>
      <c r="AK79" s="5387"/>
      <c r="AL79" s="4780"/>
      <c r="AM79" s="1830"/>
      <c r="AN79" s="1830"/>
      <c r="AO79" s="1830"/>
      <c r="AP79" s="5374"/>
      <c r="AQ79" s="2757"/>
      <c r="AR79" s="2757"/>
      <c r="AS79" s="5551" t="s">
        <v>5050</v>
      </c>
      <c r="AT79" s="2757"/>
    </row>
    <row r="80" spans="1:48" ht="15.75" customHeight="1" thickBot="1">
      <c r="A80" s="2757"/>
      <c r="B80" s="4270"/>
      <c r="C80" s="5388"/>
      <c r="D80" s="5527" t="s">
        <v>5048</v>
      </c>
      <c r="E80" s="5389"/>
      <c r="F80" s="5389"/>
      <c r="G80" s="5389"/>
      <c r="H80" s="5389"/>
      <c r="I80" s="5389"/>
      <c r="J80" s="5389"/>
      <c r="K80" s="5389"/>
      <c r="L80" s="5389"/>
      <c r="M80" s="5389"/>
      <c r="N80" s="5389"/>
      <c r="O80" s="5389"/>
      <c r="P80" s="5389"/>
      <c r="Q80" s="5389"/>
      <c r="R80" s="5389"/>
      <c r="S80" s="5389"/>
      <c r="T80" s="5389"/>
      <c r="U80" s="5389"/>
      <c r="V80" s="5389"/>
      <c r="W80" s="5389"/>
      <c r="X80" s="5389"/>
      <c r="Y80" s="5390"/>
      <c r="Z80" s="5391"/>
      <c r="AA80" s="5390"/>
      <c r="AB80" s="5389"/>
      <c r="AC80" s="5389"/>
      <c r="AD80" s="5389"/>
      <c r="AE80" s="5389"/>
      <c r="AF80" s="5389"/>
      <c r="AG80" s="5389"/>
      <c r="AH80" s="5389"/>
      <c r="AI80" s="5548" t="s">
        <v>1584</v>
      </c>
      <c r="AJ80" s="9251" t="s">
        <v>5076</v>
      </c>
      <c r="AK80" s="9252"/>
      <c r="AL80" s="9337" t="str">
        <f>IF(AL62,"",IF(AL75&lt;=0,0,SUM(AV76,-AL78)))</f>
        <v/>
      </c>
      <c r="AM80" s="9338"/>
      <c r="AN80" s="9338"/>
      <c r="AO80" s="9338"/>
      <c r="AP80" s="9339"/>
      <c r="AQ80" s="2757"/>
      <c r="AR80" s="2757"/>
      <c r="AS80" s="5550">
        <f>IF(AL58&lt;&gt;"",AL58,IF(AL80&lt;&gt;"",AL80,""))</f>
        <v>0</v>
      </c>
      <c r="AT80" s="2757"/>
    </row>
    <row r="81" spans="1:60" s="2689" customFormat="1" ht="15.75">
      <c r="A81" s="2758"/>
      <c r="B81" s="9317" t="s">
        <v>5049</v>
      </c>
      <c r="C81" s="9317"/>
      <c r="D81" s="9318"/>
      <c r="E81" s="1397"/>
      <c r="F81" s="1397"/>
      <c r="G81" s="3493" t="s">
        <v>5050</v>
      </c>
      <c r="H81" s="1397"/>
      <c r="I81" s="1397"/>
      <c r="J81" s="1397"/>
      <c r="K81" s="1397"/>
      <c r="L81" s="1397"/>
      <c r="M81" s="1397"/>
      <c r="N81" s="1397"/>
      <c r="O81" s="1397"/>
      <c r="P81" s="1397"/>
      <c r="Q81" s="1397"/>
      <c r="R81" s="1397" t="s">
        <v>5051</v>
      </c>
      <c r="S81" s="1397"/>
      <c r="T81" s="1397"/>
      <c r="U81" s="1397"/>
      <c r="V81" s="1397"/>
      <c r="W81" s="1397"/>
      <c r="X81" s="1397"/>
      <c r="Y81" s="1397"/>
      <c r="Z81" s="1397"/>
      <c r="AA81" s="1397"/>
      <c r="AB81" s="1397"/>
      <c r="AC81" s="1397"/>
      <c r="AD81" s="1397"/>
      <c r="AE81" s="1397"/>
      <c r="AF81" s="1397"/>
      <c r="AG81" s="1397"/>
      <c r="AH81" s="1397"/>
      <c r="AI81" s="5549"/>
      <c r="AJ81" s="1397"/>
      <c r="AK81" s="1397"/>
      <c r="AL81" s="9234" t="b">
        <f>AND(AL61,AS69)</f>
        <v>0</v>
      </c>
      <c r="AM81" s="9234"/>
      <c r="AN81" s="9234"/>
      <c r="AO81" s="9234"/>
      <c r="AP81" s="9234"/>
      <c r="AQ81" s="2757"/>
      <c r="AR81" s="2757"/>
      <c r="AS81" s="5552" t="s">
        <v>5202</v>
      </c>
      <c r="AT81" s="2757"/>
      <c r="AU81" s="42"/>
      <c r="AV81" s="42"/>
      <c r="AW81" s="42"/>
      <c r="AX81" s="2595"/>
      <c r="AY81" s="2595"/>
      <c r="AZ81" s="2595"/>
      <c r="BA81" s="2595"/>
      <c r="BB81" s="2595"/>
      <c r="BC81" s="2595"/>
      <c r="BD81" s="2595"/>
      <c r="BE81" s="2595"/>
      <c r="BF81" s="2595"/>
      <c r="BG81" s="2595"/>
      <c r="BH81" s="2595"/>
    </row>
    <row r="82" spans="1:60" ht="17.25" customHeight="1">
      <c r="A82" s="2757"/>
      <c r="B82" s="5523" t="s">
        <v>5156</v>
      </c>
      <c r="C82" s="5375"/>
      <c r="D82" s="4782"/>
      <c r="E82" s="4782"/>
      <c r="F82" s="4782"/>
      <c r="G82" s="4782"/>
      <c r="H82" s="4782"/>
      <c r="I82" s="4782"/>
      <c r="J82" s="4782"/>
      <c r="K82" s="4782"/>
      <c r="L82" s="4782"/>
      <c r="M82" s="4782"/>
      <c r="N82" s="4782"/>
      <c r="O82" s="4782"/>
      <c r="P82" s="4782"/>
      <c r="Q82" s="4782"/>
      <c r="R82" s="4782"/>
      <c r="S82" s="4782"/>
      <c r="T82" s="4782"/>
      <c r="U82" s="4782"/>
      <c r="V82" s="4782"/>
      <c r="W82" s="4782"/>
      <c r="X82" s="4782"/>
      <c r="Y82" s="5376"/>
      <c r="Z82" s="5377"/>
      <c r="AA82" s="5376"/>
      <c r="AB82" s="4782"/>
      <c r="AC82" s="4782"/>
      <c r="AD82" s="4782"/>
      <c r="AE82" s="4782"/>
      <c r="AF82" s="4782"/>
      <c r="AG82" s="4782"/>
      <c r="AH82" s="4782"/>
      <c r="AI82" s="4782"/>
      <c r="AJ82" s="4782"/>
      <c r="AK82" s="4782"/>
      <c r="AL82" s="9274" t="b">
        <f>Form2555_Used</f>
        <v>0</v>
      </c>
      <c r="AM82" s="9274"/>
      <c r="AN82" s="9274"/>
      <c r="AO82" s="9274"/>
      <c r="AP82" s="9274"/>
      <c r="AQ82" s="2757"/>
      <c r="AR82" s="2757"/>
      <c r="AS82" s="2757"/>
      <c r="AT82" s="2757"/>
    </row>
    <row r="83" spans="1:60" ht="17.25" customHeight="1">
      <c r="A83" s="2757"/>
      <c r="B83" s="5523" t="s">
        <v>5157</v>
      </c>
      <c r="C83" s="5375"/>
      <c r="D83" s="4782"/>
      <c r="E83" s="4782"/>
      <c r="F83" s="4782"/>
      <c r="G83" s="4782"/>
      <c r="H83" s="4782"/>
      <c r="I83" s="4782"/>
      <c r="J83" s="4782"/>
      <c r="K83" s="4782"/>
      <c r="L83" s="4782"/>
      <c r="M83" s="4782"/>
      <c r="N83" s="4782"/>
      <c r="O83" s="4782"/>
      <c r="P83" s="4782"/>
      <c r="Q83" s="4782"/>
      <c r="R83" s="4782"/>
      <c r="S83" s="4782"/>
      <c r="T83" s="4782"/>
      <c r="U83" s="4782"/>
      <c r="V83" s="4782"/>
      <c r="W83" s="4782"/>
      <c r="X83" s="4782"/>
      <c r="Y83" s="5376"/>
      <c r="Z83" s="5377"/>
      <c r="AA83" s="5376"/>
      <c r="AB83" s="4782"/>
      <c r="AC83" s="4782"/>
      <c r="AD83" s="4782"/>
      <c r="AE83" s="4782"/>
      <c r="AF83" s="4782"/>
      <c r="AG83" s="4782"/>
      <c r="AH83" s="4782"/>
      <c r="AI83" s="4782"/>
      <c r="AJ83" s="4782"/>
      <c r="AK83" s="4782"/>
      <c r="AL83" s="9274" t="b">
        <f>OR(AH37&lt;&gt;"",AH39&lt;&gt;"")</f>
        <v>1</v>
      </c>
      <c r="AM83" s="9274"/>
      <c r="AN83" s="9274"/>
      <c r="AO83" s="9274"/>
      <c r="AP83" s="9274"/>
      <c r="AQ83" s="2757"/>
      <c r="AR83" s="2757"/>
      <c r="AS83" s="5931" t="s">
        <v>91</v>
      </c>
      <c r="AT83" s="2757"/>
    </row>
    <row r="84" spans="1:60" ht="15.75" customHeight="1">
      <c r="A84" s="2757"/>
      <c r="B84" s="2945" t="s">
        <v>216</v>
      </c>
      <c r="C84" s="2213"/>
      <c r="D84" s="5518" t="s">
        <v>5750</v>
      </c>
      <c r="E84" s="1830"/>
      <c r="F84" s="1830"/>
      <c r="G84" s="1830"/>
      <c r="H84" s="1830"/>
      <c r="I84" s="1830"/>
      <c r="J84" s="1830"/>
      <c r="K84" s="1830"/>
      <c r="L84" s="5525" t="s">
        <v>5751</v>
      </c>
      <c r="M84" s="2946"/>
      <c r="N84" s="1830"/>
      <c r="O84" s="1830"/>
      <c r="P84" s="1830"/>
      <c r="Q84" s="1830"/>
      <c r="R84" s="1830"/>
      <c r="S84" s="1830"/>
      <c r="T84" s="1830"/>
      <c r="U84" s="1830"/>
      <c r="V84" s="1830"/>
      <c r="W84" s="1830"/>
      <c r="X84" s="1830"/>
      <c r="Y84" s="4065"/>
      <c r="Z84" s="1776"/>
      <c r="AA84" s="5932"/>
      <c r="AB84" s="5932"/>
      <c r="AC84" s="5932"/>
      <c r="AD84" s="9428" t="str">
        <f>IF(AL64="",AL34,SUM(AL34,-AL64))</f>
        <v/>
      </c>
      <c r="AE84" s="9428"/>
      <c r="AF84" s="9428"/>
      <c r="AG84" s="9300" t="b">
        <f>IF(AS84&lt;&gt;"",AS84=0,AD84&lt;=0)</f>
        <v>0</v>
      </c>
      <c r="AH84" s="9300"/>
      <c r="AI84" s="9427"/>
      <c r="AJ84" s="9258" t="s">
        <v>216</v>
      </c>
      <c r="AK84" s="9259"/>
      <c r="AL84" s="9260" t="str">
        <f>IF(AS84&lt;&gt;"",ROUND(AS84,0),IF(NOT(AL81),"",IF(AG84,0,AD84)))</f>
        <v/>
      </c>
      <c r="AM84" s="9261"/>
      <c r="AN84" s="9261"/>
      <c r="AO84" s="9261"/>
      <c r="AP84" s="9262"/>
      <c r="AQ84" s="2757"/>
      <c r="AR84" s="2757"/>
      <c r="AS84" s="6104"/>
      <c r="AT84" s="2757"/>
    </row>
    <row r="85" spans="1:60" ht="15.75" customHeight="1">
      <c r="A85" s="2757"/>
      <c r="B85" s="2945" t="s">
        <v>47</v>
      </c>
      <c r="C85" s="4780"/>
      <c r="D85" s="5525" t="s">
        <v>5052</v>
      </c>
      <c r="E85" s="1830"/>
      <c r="F85" s="1830"/>
      <c r="G85" s="1830"/>
      <c r="H85" s="1830"/>
      <c r="I85" s="1830"/>
      <c r="J85" s="1830"/>
      <c r="K85" s="1830"/>
      <c r="L85" s="1830"/>
      <c r="M85" s="1830"/>
      <c r="N85" s="1830"/>
      <c r="O85" s="1830"/>
      <c r="P85" s="1830"/>
      <c r="Q85" s="1830"/>
      <c r="R85" s="1830"/>
      <c r="S85" s="1830"/>
      <c r="T85" s="1830"/>
      <c r="U85" s="1830"/>
      <c r="V85" s="1830"/>
      <c r="W85" s="1830"/>
      <c r="X85" s="1830"/>
      <c r="Y85" s="4065"/>
      <c r="Z85" s="1776"/>
      <c r="AA85" s="4065"/>
      <c r="AB85" s="9319" t="str">
        <f>IF(AS85&lt;&gt;"",ROUND(AS85,0),IF(AG84,"",IF(AL81,AE18,"")))</f>
        <v/>
      </c>
      <c r="AC85" s="9319"/>
      <c r="AD85" s="9319"/>
      <c r="AE85" s="2944" t="s">
        <v>1202</v>
      </c>
      <c r="AF85" s="9320">
        <v>1400</v>
      </c>
      <c r="AG85" s="9321"/>
      <c r="AH85" s="9321"/>
      <c r="AI85" s="1830"/>
      <c r="AJ85" s="5409"/>
      <c r="AK85" s="5410"/>
      <c r="AL85" s="9299" t="b">
        <f>OR(AS69,AL82,AL83)</f>
        <v>1</v>
      </c>
      <c r="AM85" s="9300"/>
      <c r="AN85" s="9300"/>
      <c r="AO85" s="9300"/>
      <c r="AP85" s="9300"/>
      <c r="AQ85" s="2757"/>
      <c r="AR85" s="2757"/>
      <c r="AS85" s="6104"/>
      <c r="AT85" s="2757"/>
    </row>
    <row r="86" spans="1:60" ht="15.75" customHeight="1">
      <c r="A86" s="2757"/>
      <c r="B86" s="2945"/>
      <c r="C86" s="4780"/>
      <c r="D86" s="5525" t="s">
        <v>659</v>
      </c>
      <c r="E86" s="1830"/>
      <c r="F86" s="1830"/>
      <c r="G86" s="1830"/>
      <c r="H86" s="1830"/>
      <c r="I86" s="5525" t="s">
        <v>5751</v>
      </c>
      <c r="J86" s="1830"/>
      <c r="K86" s="1830"/>
      <c r="L86" s="1830"/>
      <c r="M86" s="1830"/>
      <c r="N86" s="1830"/>
      <c r="O86" s="1830"/>
      <c r="P86" s="1830"/>
      <c r="Q86" s="1830"/>
      <c r="R86" s="1830"/>
      <c r="S86" s="1830"/>
      <c r="T86" s="1830"/>
      <c r="U86" s="1830"/>
      <c r="V86" s="1830"/>
      <c r="W86" s="1830"/>
      <c r="X86" s="1830"/>
      <c r="Y86" s="4065"/>
      <c r="Z86" s="1776"/>
      <c r="AA86" s="4065"/>
      <c r="AB86" s="1830"/>
      <c r="AC86" s="1830"/>
      <c r="AD86" s="1830"/>
      <c r="AE86" s="1830"/>
      <c r="AF86" s="1830"/>
      <c r="AG86" s="9285" t="b">
        <f>IF(AS86&lt;&gt;"",AS86=0,AL86&lt;=0)</f>
        <v>0</v>
      </c>
      <c r="AH86" s="9285"/>
      <c r="AI86" s="9286"/>
      <c r="AJ86" s="9263" t="s">
        <v>217</v>
      </c>
      <c r="AK86" s="9264"/>
      <c r="AL86" s="9253" t="str">
        <f>IF(AS86&lt;&gt;"",ROUND(AS86,0),IF(OR(NOT(AL81),AG84),"",ROUND(AB85*AF85,0)))</f>
        <v/>
      </c>
      <c r="AM86" s="9254"/>
      <c r="AN86" s="9254"/>
      <c r="AO86" s="9254"/>
      <c r="AP86" s="9255"/>
      <c r="AQ86" s="2757"/>
      <c r="AR86" s="2757"/>
      <c r="AS86" s="6104"/>
      <c r="AT86" s="2757"/>
    </row>
    <row r="87" spans="1:60" ht="15.75" customHeight="1">
      <c r="A87" s="2757"/>
      <c r="B87" s="2945"/>
      <c r="C87" s="4780"/>
      <c r="D87" s="5525" t="s">
        <v>5159</v>
      </c>
      <c r="E87" s="1830"/>
      <c r="F87" s="1830"/>
      <c r="G87" s="1830"/>
      <c r="H87" s="1830"/>
      <c r="I87" s="1830"/>
      <c r="J87" s="1830"/>
      <c r="K87" s="1830"/>
      <c r="L87" s="1830"/>
      <c r="M87" s="1830"/>
      <c r="N87" s="1830"/>
      <c r="O87" s="1830"/>
      <c r="P87" s="1830"/>
      <c r="Q87" s="1830"/>
      <c r="R87" s="1830"/>
      <c r="S87" s="1830"/>
      <c r="T87" s="1830"/>
      <c r="U87" s="1830"/>
      <c r="V87" s="1830"/>
      <c r="W87" s="1830"/>
      <c r="X87" s="1830"/>
      <c r="Y87" s="4065"/>
      <c r="Z87" s="1776"/>
      <c r="AA87" s="4065"/>
      <c r="AB87" s="1830"/>
      <c r="AC87" s="1830"/>
      <c r="AD87" s="1830"/>
      <c r="AE87" s="1830"/>
      <c r="AF87" s="1830"/>
      <c r="AG87" s="1830"/>
      <c r="AH87" s="1830"/>
      <c r="AI87" s="1830"/>
      <c r="AJ87" s="5384"/>
      <c r="AK87" s="5385"/>
      <c r="AL87" s="4780"/>
      <c r="AM87" s="1830"/>
      <c r="AN87" s="1830"/>
      <c r="AO87" s="1830"/>
      <c r="AP87" s="5374"/>
      <c r="AQ87" s="2757"/>
      <c r="AR87" s="2757"/>
      <c r="AS87" s="2757"/>
      <c r="AT87" s="2757"/>
    </row>
    <row r="88" spans="1:60" ht="15.75" customHeight="1">
      <c r="A88" s="2757"/>
      <c r="B88" s="5458" t="s">
        <v>1107</v>
      </c>
      <c r="C88" s="4780"/>
      <c r="D88" s="5525" t="s">
        <v>5160</v>
      </c>
      <c r="E88" s="1830"/>
      <c r="F88" s="1830"/>
      <c r="G88" s="1830"/>
      <c r="H88" s="1830"/>
      <c r="I88" s="1830"/>
      <c r="J88" s="1830"/>
      <c r="K88" s="1830"/>
      <c r="L88" s="1830"/>
      <c r="M88" s="1830"/>
      <c r="N88" s="1830"/>
      <c r="O88" s="1830"/>
      <c r="P88" s="1830"/>
      <c r="Q88" s="1830"/>
      <c r="R88" s="1830"/>
      <c r="S88" s="1830"/>
      <c r="T88" s="1830"/>
      <c r="U88" s="1830"/>
      <c r="V88" s="1830"/>
      <c r="W88" s="1830"/>
      <c r="X88" s="1830"/>
      <c r="Y88" s="4065"/>
      <c r="Z88" s="1776"/>
      <c r="AA88" s="4065"/>
      <c r="AB88" s="1830"/>
      <c r="AC88" s="1830"/>
      <c r="AD88" s="1830"/>
      <c r="AE88" s="1830"/>
      <c r="AF88" s="1830"/>
      <c r="AG88" s="1830"/>
      <c r="AH88" s="1830"/>
      <c r="AI88" s="1830"/>
      <c r="AJ88" s="9280" t="s">
        <v>1107</v>
      </c>
      <c r="AK88" s="9264"/>
      <c r="AL88" s="9253" t="str">
        <f>IF(OR(NOT(AL81),AG84,AG86),"",MIN(AL84,AL86))</f>
        <v/>
      </c>
      <c r="AM88" s="9254"/>
      <c r="AN88" s="9254"/>
      <c r="AO88" s="9254"/>
      <c r="AP88" s="9255"/>
      <c r="AQ88" s="2757"/>
      <c r="AR88" s="2757"/>
      <c r="AS88" s="2757"/>
      <c r="AT88" s="2757"/>
    </row>
    <row r="89" spans="1:60" ht="15.75" customHeight="1">
      <c r="A89" s="2757"/>
      <c r="B89" s="2945" t="s">
        <v>884</v>
      </c>
      <c r="C89" s="4780"/>
      <c r="D89" s="5525" t="s">
        <v>5053</v>
      </c>
      <c r="E89" s="1830"/>
      <c r="F89" s="1830"/>
      <c r="G89" s="1830"/>
      <c r="H89" s="1830"/>
      <c r="I89" s="1830"/>
      <c r="J89" s="1830"/>
      <c r="K89" s="1830"/>
      <c r="L89" s="1830"/>
      <c r="M89" s="1830"/>
      <c r="N89" s="1830"/>
      <c r="O89" s="1830"/>
      <c r="P89" s="1830"/>
      <c r="Q89" s="1830"/>
      <c r="R89" s="1830"/>
      <c r="S89" s="1830"/>
      <c r="T89" s="1830"/>
      <c r="U89" s="1830"/>
      <c r="V89" s="1830"/>
      <c r="W89" s="1830"/>
      <c r="X89" s="1830"/>
      <c r="Y89" s="4065"/>
      <c r="Z89" s="1776"/>
      <c r="AA89" s="4065"/>
      <c r="AB89" s="1830"/>
      <c r="AC89" s="9303" t="s">
        <v>884</v>
      </c>
      <c r="AD89" s="7260"/>
      <c r="AE89" s="9304" t="str">
        <f>IF(AS89&lt;&gt;"",ROUND(AS89,0),IF(OR(NOT(AL81),AG84,AG86),"",IF(AL81,Earned_Income,"")))</f>
        <v/>
      </c>
      <c r="AF89" s="9305"/>
      <c r="AG89" s="9305"/>
      <c r="AH89" s="9305"/>
      <c r="AI89" s="9306"/>
      <c r="AJ89" s="5382"/>
      <c r="AK89" s="5383"/>
      <c r="AL89" s="4780"/>
      <c r="AM89" s="1830"/>
      <c r="AN89" s="1830"/>
      <c r="AO89" s="1830"/>
      <c r="AP89" s="5374"/>
      <c r="AQ89" s="2757"/>
      <c r="AR89" s="2757"/>
      <c r="AS89" s="6104"/>
      <c r="AT89" s="2757"/>
    </row>
    <row r="90" spans="1:60" ht="15.75" customHeight="1">
      <c r="A90" s="2757"/>
      <c r="B90" s="2945" t="s">
        <v>47</v>
      </c>
      <c r="C90" s="4780"/>
      <c r="D90" s="5525" t="s">
        <v>5749</v>
      </c>
      <c r="E90" s="1830"/>
      <c r="F90" s="1830"/>
      <c r="G90" s="1830"/>
      <c r="H90" s="1830"/>
      <c r="I90" s="1830"/>
      <c r="J90" s="1830"/>
      <c r="K90" s="1830"/>
      <c r="L90" s="1830"/>
      <c r="M90" s="1830"/>
      <c r="N90" s="1830"/>
      <c r="O90" s="1830"/>
      <c r="P90" s="1830"/>
      <c r="Q90" s="1830"/>
      <c r="R90" s="1830"/>
      <c r="S90" s="1830"/>
      <c r="T90" s="1830"/>
      <c r="U90" s="1830"/>
      <c r="V90" s="9303" t="s">
        <v>888</v>
      </c>
      <c r="W90" s="7260"/>
      <c r="X90" s="9304" t="str">
        <f>IF(OR(NOT(AL81),AG84,AG86),"",IF(AS90&lt;&gt;"",ROUND(AS90,0),IF(AL81,CombatPayNoTax)))</f>
        <v/>
      </c>
      <c r="Y90" s="9305"/>
      <c r="Z90" s="9305"/>
      <c r="AA90" s="9305"/>
      <c r="AB90" s="9306"/>
      <c r="AC90" s="5384"/>
      <c r="AD90" s="5385"/>
      <c r="AE90" s="4780"/>
      <c r="AF90" s="1830"/>
      <c r="AG90" s="1830"/>
      <c r="AH90" s="1830"/>
      <c r="AI90" s="5374"/>
      <c r="AJ90" s="5384"/>
      <c r="AK90" s="5385"/>
      <c r="AL90" s="4780"/>
      <c r="AM90" s="1830"/>
      <c r="AN90" s="1830"/>
      <c r="AO90" s="1830"/>
      <c r="AP90" s="5374"/>
      <c r="AQ90" s="2757"/>
      <c r="AR90" s="2757"/>
      <c r="AS90" s="6104"/>
      <c r="AT90" s="2757"/>
    </row>
    <row r="91" spans="1:60" ht="15.75" customHeight="1">
      <c r="A91" s="2757"/>
      <c r="B91" s="5458" t="s">
        <v>1111</v>
      </c>
      <c r="C91" s="4780"/>
      <c r="D91" s="5525" t="str">
        <f>"Is the amount on line 18a more than "&amp;TEXT(AE92,"$0,000")&amp;"?"</f>
        <v>Is the amount on line 18a more than $2,500?</v>
      </c>
      <c r="E91" s="1830"/>
      <c r="F91" s="1830"/>
      <c r="G91" s="1830"/>
      <c r="H91" s="1830"/>
      <c r="I91" s="1830"/>
      <c r="J91" s="1830"/>
      <c r="K91" s="1830"/>
      <c r="L91" s="1830"/>
      <c r="M91" s="1830"/>
      <c r="N91" s="1830"/>
      <c r="O91" s="1830"/>
      <c r="P91" s="1830"/>
      <c r="Q91" s="1830"/>
      <c r="R91" s="1830"/>
      <c r="S91" s="1830"/>
      <c r="T91" s="1830"/>
      <c r="U91" s="1830"/>
      <c r="V91" s="1830"/>
      <c r="W91" s="1830"/>
      <c r="X91" s="1830"/>
      <c r="Y91" s="4065"/>
      <c r="Z91" s="1776"/>
      <c r="AA91" s="4065"/>
      <c r="AB91" s="1830"/>
      <c r="AC91" s="5384"/>
      <c r="AD91" s="5385"/>
      <c r="AE91" s="4780"/>
      <c r="AF91" s="1830"/>
      <c r="AG91" s="1830"/>
      <c r="AH91" s="1830"/>
      <c r="AI91" s="5374"/>
      <c r="AJ91" s="5384"/>
      <c r="AK91" s="5385"/>
      <c r="AL91" s="4780"/>
      <c r="AM91" s="1830"/>
      <c r="AN91" s="1830"/>
      <c r="AO91" s="1830"/>
      <c r="AP91" s="5374"/>
      <c r="AQ91" s="2757"/>
      <c r="AR91" s="2757"/>
      <c r="AS91" s="2757"/>
      <c r="AT91" s="2757"/>
    </row>
    <row r="92" spans="1:60" ht="12.75" customHeight="1">
      <c r="A92" s="2757"/>
      <c r="B92" s="2945"/>
      <c r="C92" s="4780"/>
      <c r="D92" s="1180" t="str">
        <f>IF(OR(NOT(AL81),AG84,AG86),"",IF(AE89&gt;AE92,"","X"))</f>
        <v/>
      </c>
      <c r="E92" s="5518" t="s">
        <v>5162</v>
      </c>
      <c r="F92" s="1830"/>
      <c r="G92" s="5525" t="s">
        <v>5077</v>
      </c>
      <c r="H92" s="1830"/>
      <c r="I92" s="1830"/>
      <c r="J92" s="1830"/>
      <c r="K92" s="1830"/>
      <c r="L92" s="1830"/>
      <c r="M92" s="1830"/>
      <c r="N92" s="1830"/>
      <c r="O92" s="1830"/>
      <c r="P92" s="1830"/>
      <c r="Q92" s="1830"/>
      <c r="R92" s="1830"/>
      <c r="S92" s="1830"/>
      <c r="T92" s="1830"/>
      <c r="U92" s="1830"/>
      <c r="V92" s="1830"/>
      <c r="W92" s="1830"/>
      <c r="X92" s="1830"/>
      <c r="Y92" s="4065"/>
      <c r="Z92" s="1776"/>
      <c r="AA92" s="4065"/>
      <c r="AB92" s="1830"/>
      <c r="AC92" s="5384"/>
      <c r="AD92" s="5385"/>
      <c r="AE92" s="9289">
        <v>2500</v>
      </c>
      <c r="AF92" s="9290"/>
      <c r="AG92" s="9290"/>
      <c r="AH92" s="9290"/>
      <c r="AI92" s="9291"/>
      <c r="AJ92" s="5384"/>
      <c r="AK92" s="5385"/>
      <c r="AL92" s="9292">
        <v>0.15</v>
      </c>
      <c r="AM92" s="9285"/>
      <c r="AN92" s="9285"/>
      <c r="AO92" s="9285"/>
      <c r="AP92" s="9285"/>
      <c r="AQ92" s="2757"/>
      <c r="AR92" s="2757"/>
      <c r="AS92" s="2757"/>
      <c r="AT92" s="2757"/>
    </row>
    <row r="93" spans="1:60" ht="6.75" customHeight="1">
      <c r="A93" s="2757"/>
      <c r="B93" s="2945"/>
      <c r="C93" s="4780"/>
      <c r="D93" s="1830"/>
      <c r="E93" s="5525"/>
      <c r="F93" s="1830"/>
      <c r="G93" s="5525"/>
      <c r="H93" s="1830"/>
      <c r="I93" s="1830"/>
      <c r="J93" s="1830"/>
      <c r="K93" s="1830"/>
      <c r="L93" s="1830"/>
      <c r="M93" s="1830"/>
      <c r="N93" s="1830"/>
      <c r="O93" s="1830"/>
      <c r="P93" s="1830"/>
      <c r="Q93" s="1830"/>
      <c r="R93" s="1830"/>
      <c r="S93" s="1830"/>
      <c r="T93" s="1830"/>
      <c r="U93" s="1830"/>
      <c r="V93" s="1830"/>
      <c r="W93" s="1830"/>
      <c r="X93" s="1830"/>
      <c r="Y93" s="4065"/>
      <c r="Z93" s="1776"/>
      <c r="AA93" s="4065"/>
      <c r="AB93" s="1830"/>
      <c r="AC93" s="5384"/>
      <c r="AD93" s="5385"/>
      <c r="AE93" s="1830"/>
      <c r="AF93" s="1830"/>
      <c r="AG93" s="1830"/>
      <c r="AH93" s="1830"/>
      <c r="AI93" s="1830"/>
      <c r="AJ93" s="5384"/>
      <c r="AK93" s="5385"/>
      <c r="AL93" s="4780"/>
      <c r="AM93" s="1830"/>
      <c r="AN93" s="1830"/>
      <c r="AO93" s="1830"/>
      <c r="AP93" s="5374"/>
      <c r="AQ93" s="2757"/>
      <c r="AR93" s="2757"/>
      <c r="AS93" s="2757"/>
      <c r="AT93" s="2757"/>
    </row>
    <row r="94" spans="1:60" ht="12.75" customHeight="1">
      <c r="A94" s="2757"/>
      <c r="B94" s="2945"/>
      <c r="C94" s="4780"/>
      <c r="D94" s="1180" t="str">
        <f>IF(OR(NOT(AL81),AG84,AG86),"",IF(AE89&gt;AE92,"X",""))</f>
        <v/>
      </c>
      <c r="E94" s="5524" t="s">
        <v>168</v>
      </c>
      <c r="F94" s="1830"/>
      <c r="G94" s="5525" t="str">
        <f>"Subtract "&amp;TEXT(AE92,"$0,000")&amp;" from the amount on line 18a. Enter the result"</f>
        <v>Subtract $2,500 from the amount on line 18a. Enter the result</v>
      </c>
      <c r="H94" s="1830"/>
      <c r="I94" s="1830"/>
      <c r="J94" s="1830"/>
      <c r="K94" s="1830"/>
      <c r="L94" s="1830"/>
      <c r="M94" s="1830"/>
      <c r="N94" s="1830"/>
      <c r="O94" s="1830"/>
      <c r="P94" s="1830"/>
      <c r="Q94" s="1830"/>
      <c r="R94" s="1830"/>
      <c r="S94" s="1830"/>
      <c r="T94" s="1830"/>
      <c r="U94" s="1830"/>
      <c r="V94" s="1830"/>
      <c r="W94" s="1830"/>
      <c r="X94" s="1830"/>
      <c r="Y94" s="9287"/>
      <c r="Z94" s="9287"/>
      <c r="AA94" s="9287"/>
      <c r="AB94" s="9288"/>
      <c r="AC94" s="9280" t="s">
        <v>1111</v>
      </c>
      <c r="AD94" s="9264"/>
      <c r="AE94" s="9293" t="str">
        <f>IF(OR(NOT(AL81),AG84,AG86),"",IF(D92&lt;&gt;"","",SUM(AE89,-AE92)))</f>
        <v/>
      </c>
      <c r="AF94" s="9294"/>
      <c r="AG94" s="9294"/>
      <c r="AH94" s="9294"/>
      <c r="AI94" s="9295"/>
      <c r="AJ94" s="5384"/>
      <c r="AK94" s="5385"/>
      <c r="AL94" s="1179"/>
      <c r="AM94" s="1179"/>
      <c r="AN94" s="1179"/>
      <c r="AO94" s="1179"/>
      <c r="AP94" s="1179"/>
      <c r="AQ94" s="2757"/>
      <c r="AR94" s="2757"/>
      <c r="AS94" s="2757"/>
      <c r="AT94" s="2757"/>
    </row>
    <row r="95" spans="1:60" ht="17.25" customHeight="1">
      <c r="A95" s="2757"/>
      <c r="B95" s="5458" t="s">
        <v>1113</v>
      </c>
      <c r="C95" s="4780"/>
      <c r="D95" s="5525" t="str">
        <f>"Multiply the amount on line 19 by "&amp;TEXT(AL92,"0%")&amp;" ("&amp;TEXT(AL92,"0.00")&amp;") and enter the result"</f>
        <v>Multiply the amount on line 19 by 15% (0.15) and enter the result</v>
      </c>
      <c r="E95" s="1830"/>
      <c r="F95" s="1830"/>
      <c r="G95" s="1830"/>
      <c r="H95" s="1830"/>
      <c r="I95" s="1830"/>
      <c r="J95" s="1830"/>
      <c r="K95" s="1830"/>
      <c r="L95" s="1830"/>
      <c r="M95" s="1830"/>
      <c r="N95" s="1830"/>
      <c r="O95" s="1830"/>
      <c r="P95" s="1830"/>
      <c r="Q95" s="1830"/>
      <c r="R95" s="1830"/>
      <c r="S95" s="1830"/>
      <c r="T95" s="1830"/>
      <c r="U95" s="1830"/>
      <c r="V95" s="1830"/>
      <c r="W95" s="1830"/>
      <c r="X95" s="1830"/>
      <c r="Y95" s="4065"/>
      <c r="Z95" s="1776"/>
      <c r="AA95" s="4065"/>
      <c r="AB95" s="1830"/>
      <c r="AC95" s="1830"/>
      <c r="AD95" s="1830"/>
      <c r="AE95" s="5456"/>
      <c r="AF95" s="5456"/>
      <c r="AG95" s="5456"/>
      <c r="AH95" s="5456"/>
      <c r="AI95" s="5457"/>
      <c r="AJ95" s="9280" t="s">
        <v>1113</v>
      </c>
      <c r="AK95" s="9264"/>
      <c r="AL95" s="9253" t="str">
        <f>IF(OR(NOT(AL81),AG84,AG86),"",IF(AS95&lt;&gt;"",ROUND(AS95,0),IF(D92&lt;&gt;"",0,ROUND(AL92*AE94,0))))</f>
        <v/>
      </c>
      <c r="AM95" s="9254"/>
      <c r="AN95" s="9254"/>
      <c r="AO95" s="9254"/>
      <c r="AP95" s="9255"/>
      <c r="AQ95" s="2757"/>
      <c r="AR95" s="2757"/>
      <c r="AS95" s="6104"/>
      <c r="AT95" s="2757"/>
    </row>
    <row r="96" spans="1:60" ht="13.5" customHeight="1">
      <c r="A96" s="2757"/>
      <c r="B96" s="2945"/>
      <c r="C96" s="4780"/>
      <c r="D96" s="5526" t="s">
        <v>5078</v>
      </c>
      <c r="E96" s="5525"/>
      <c r="F96" s="5525" t="str">
        <f>"On line 16b, is the amount "&amp;TEXT(AE96,"$0,000")&amp;" or more?"</f>
        <v>On line 16b, is the amount $4,200 or more?</v>
      </c>
      <c r="G96" s="1830"/>
      <c r="H96" s="1830"/>
      <c r="I96" s="1830"/>
      <c r="J96" s="1830"/>
      <c r="K96" s="1830"/>
      <c r="L96" s="1830"/>
      <c r="M96" s="1830"/>
      <c r="N96" s="1830"/>
      <c r="O96" s="1830"/>
      <c r="P96" s="1830"/>
      <c r="Q96" s="1830"/>
      <c r="R96" s="1830"/>
      <c r="S96" s="1830"/>
      <c r="T96" s="1830"/>
      <c r="U96" s="1830"/>
      <c r="V96" s="1830"/>
      <c r="W96" s="1830"/>
      <c r="X96" s="1830"/>
      <c r="Y96" s="4065"/>
      <c r="Z96" s="1776"/>
      <c r="AA96" s="4065"/>
      <c r="AB96" s="1830"/>
      <c r="AC96" s="1830"/>
      <c r="AD96" s="1830"/>
      <c r="AE96" s="9285">
        <v>4200</v>
      </c>
      <c r="AF96" s="9285"/>
      <c r="AG96" s="9285"/>
      <c r="AH96" s="9285"/>
      <c r="AI96" s="9286"/>
      <c r="AJ96" s="5411"/>
      <c r="AK96" s="5412"/>
      <c r="AL96" s="5413"/>
      <c r="AM96" s="5412"/>
      <c r="AN96" s="5412"/>
      <c r="AO96" s="5412"/>
      <c r="AP96" s="5414"/>
      <c r="AQ96" s="2757"/>
      <c r="AR96" s="2757"/>
      <c r="AS96" s="2757"/>
      <c r="AT96" s="2757"/>
    </row>
    <row r="97" spans="1:60" ht="13.5" customHeight="1">
      <c r="A97" s="2757"/>
      <c r="B97" s="2945"/>
      <c r="C97" s="4780"/>
      <c r="D97" s="1180" t="str">
        <f>IF(OR(NOT(AL81),AG84,AG86),"",IF(AL86&gt;=AE96,"","X"))</f>
        <v/>
      </c>
      <c r="E97" s="5529" t="s">
        <v>414</v>
      </c>
      <c r="F97" s="1830"/>
      <c r="G97" s="5525" t="s">
        <v>5165</v>
      </c>
      <c r="H97" s="1830"/>
      <c r="I97" s="1830"/>
      <c r="J97" s="1830"/>
      <c r="K97" s="1830"/>
      <c r="L97" s="1830"/>
      <c r="M97" s="1830"/>
      <c r="N97" s="1830"/>
      <c r="O97" s="1830"/>
      <c r="P97" s="1830"/>
      <c r="Q97" s="1830"/>
      <c r="R97" s="1830"/>
      <c r="S97" s="1830"/>
      <c r="T97" s="1830"/>
      <c r="U97" s="1830"/>
      <c r="V97" s="1830"/>
      <c r="W97" s="1830"/>
      <c r="X97" s="1830"/>
      <c r="Y97" s="4065"/>
      <c r="Z97" s="1776"/>
      <c r="AA97" s="4065"/>
      <c r="AB97" s="1830"/>
      <c r="AC97" s="1830"/>
      <c r="AD97" s="1830"/>
      <c r="AE97" s="1830"/>
      <c r="AF97" s="1830"/>
      <c r="AG97" s="1830"/>
      <c r="AH97" s="1830"/>
      <c r="AI97" s="1830"/>
      <c r="AJ97" s="5415"/>
      <c r="AK97" s="5416"/>
      <c r="AL97" s="5417"/>
      <c r="AM97" s="5416"/>
      <c r="AN97" s="5416"/>
      <c r="AO97" s="5416"/>
      <c r="AP97" s="3642"/>
      <c r="AQ97" s="2757"/>
      <c r="AR97" s="2757"/>
      <c r="AS97" s="5547" t="str">
        <f>IF(OR(NOT(AL81),AG84,AG86),"",AND(D97&lt;&gt;"",AL95=0))</f>
        <v/>
      </c>
      <c r="AT97" s="2757"/>
    </row>
    <row r="98" spans="1:60" ht="13.5" customHeight="1">
      <c r="A98" s="2757"/>
      <c r="B98" s="2945"/>
      <c r="C98" s="4780"/>
      <c r="D98" s="1830"/>
      <c r="E98" s="5525"/>
      <c r="F98" s="1830"/>
      <c r="G98" s="5525" t="s">
        <v>5054</v>
      </c>
      <c r="H98" s="1830"/>
      <c r="I98" s="1830"/>
      <c r="J98" s="1830"/>
      <c r="K98" s="1830"/>
      <c r="L98" s="1830"/>
      <c r="M98" s="1830"/>
      <c r="N98" s="1830"/>
      <c r="O98" s="1830"/>
      <c r="P98" s="1830"/>
      <c r="Q98" s="1830"/>
      <c r="R98" s="1830"/>
      <c r="S98" s="1830"/>
      <c r="T98" s="1830"/>
      <c r="U98" s="1830"/>
      <c r="V98" s="1830"/>
      <c r="W98" s="1830"/>
      <c r="X98" s="1830"/>
      <c r="Y98" s="4065"/>
      <c r="Z98" s="1776"/>
      <c r="AA98" s="4065"/>
      <c r="AB98" s="1830"/>
      <c r="AC98" s="1830"/>
      <c r="AD98" s="9285" t="b">
        <f>AND(D97&lt;&gt;"",AL95=0)</f>
        <v>0</v>
      </c>
      <c r="AE98" s="9285"/>
      <c r="AF98" s="9285"/>
      <c r="AG98" s="9285" t="b">
        <f>AND(D97&lt;&gt;"",AL95&lt;&gt;0)</f>
        <v>0</v>
      </c>
      <c r="AH98" s="9285"/>
      <c r="AI98" s="9286"/>
      <c r="AJ98" s="5415"/>
      <c r="AK98" s="5416"/>
      <c r="AL98" s="5417"/>
      <c r="AM98" s="5416"/>
      <c r="AN98" s="5416"/>
      <c r="AO98" s="5416"/>
      <c r="AP98" s="3642"/>
      <c r="AQ98" s="2757"/>
      <c r="AR98" s="2757"/>
      <c r="AS98" s="5546" t="str">
        <f>IF(OR(NOT(AL81),AG84,AG86),"","Line 16b &lt; "&amp;TEXT(AE96,"$0,000")&amp;" and Line 20 =0")</f>
        <v/>
      </c>
      <c r="AT98" s="2757"/>
    </row>
    <row r="99" spans="1:60" ht="13.5" customHeight="1">
      <c r="A99" s="2757"/>
      <c r="B99" s="2945"/>
      <c r="C99" s="4780"/>
      <c r="D99" s="1180" t="str">
        <f>IF(OR(NOT(AL81),AG84,AG86),"",IF(AL86&gt;=AE96,"X",""))</f>
        <v/>
      </c>
      <c r="E99" s="5529" t="s">
        <v>416</v>
      </c>
      <c r="F99" s="1830"/>
      <c r="G99" s="5525" t="s">
        <v>5161</v>
      </c>
      <c r="H99" s="1830"/>
      <c r="I99" s="1830"/>
      <c r="J99" s="1830"/>
      <c r="K99" s="1830"/>
      <c r="L99" s="1830"/>
      <c r="M99" s="1830"/>
      <c r="N99" s="1830"/>
      <c r="O99" s="1830"/>
      <c r="P99" s="1830"/>
      <c r="Q99" s="1830"/>
      <c r="R99" s="1830"/>
      <c r="S99" s="1830"/>
      <c r="T99" s="1830"/>
      <c r="U99" s="1830"/>
      <c r="V99" s="1830"/>
      <c r="W99" s="1830"/>
      <c r="X99" s="1830"/>
      <c r="Y99" s="4065"/>
      <c r="Z99" s="1776"/>
      <c r="AA99" s="4065"/>
      <c r="AB99" s="1830"/>
      <c r="AC99" s="1830"/>
      <c r="AD99" s="1830"/>
      <c r="AE99" s="1830"/>
      <c r="AF99" s="1830"/>
      <c r="AG99" s="1830"/>
      <c r="AH99" s="1830"/>
      <c r="AI99" s="1830"/>
      <c r="AJ99" s="5415"/>
      <c r="AK99" s="5416"/>
      <c r="AL99" s="5417"/>
      <c r="AM99" s="5416"/>
      <c r="AN99" s="5416"/>
      <c r="AO99" s="5416"/>
      <c r="AP99" s="3642"/>
      <c r="AQ99" s="2757"/>
      <c r="AR99" s="2757"/>
      <c r="AS99" s="2757"/>
      <c r="AT99" s="2757"/>
    </row>
    <row r="100" spans="1:60" ht="13.5" customHeight="1" thickBot="1">
      <c r="A100" s="2757"/>
      <c r="B100" s="4270"/>
      <c r="C100" s="5388"/>
      <c r="D100" s="5389"/>
      <c r="E100" s="5389"/>
      <c r="F100" s="5389"/>
      <c r="G100" s="5528" t="s">
        <v>5055</v>
      </c>
      <c r="H100" s="5389"/>
      <c r="I100" s="5389"/>
      <c r="J100" s="5389"/>
      <c r="K100" s="5389"/>
      <c r="L100" s="5389"/>
      <c r="M100" s="5389"/>
      <c r="N100" s="5389"/>
      <c r="O100" s="5389"/>
      <c r="P100" s="5389"/>
      <c r="Q100" s="5389"/>
      <c r="R100" s="5389"/>
      <c r="S100" s="5389"/>
      <c r="T100" s="5389"/>
      <c r="U100" s="5389"/>
      <c r="V100" s="5389"/>
      <c r="W100" s="5389"/>
      <c r="X100" s="5389"/>
      <c r="Y100" s="5390"/>
      <c r="Z100" s="5391"/>
      <c r="AA100" s="5390"/>
      <c r="AB100" s="5389"/>
      <c r="AC100" s="5389"/>
      <c r="AD100" s="9429" t="b">
        <f>AND(D99&lt;&gt;"",AL95&gt;=AL88)</f>
        <v>0</v>
      </c>
      <c r="AE100" s="9429"/>
      <c r="AF100" s="9429"/>
      <c r="AG100" s="9429" t="b">
        <f>NOT(AD100)</f>
        <v>1</v>
      </c>
      <c r="AH100" s="9429"/>
      <c r="AI100" s="9430"/>
      <c r="AJ100" s="5418"/>
      <c r="AK100" s="5419"/>
      <c r="AL100" s="5420"/>
      <c r="AM100" s="5419"/>
      <c r="AN100" s="5419"/>
      <c r="AO100" s="5419"/>
      <c r="AP100" s="5421"/>
      <c r="AQ100" s="2757"/>
      <c r="AR100" s="2757"/>
      <c r="AS100" s="2757"/>
      <c r="AT100" s="2757"/>
    </row>
    <row r="101" spans="1:60" s="2689" customFormat="1" ht="15.75">
      <c r="A101" s="2758"/>
      <c r="B101" s="9317" t="s">
        <v>5056</v>
      </c>
      <c r="C101" s="9317"/>
      <c r="D101" s="9318"/>
      <c r="E101" s="1397"/>
      <c r="F101" s="1397"/>
      <c r="G101" s="3493" t="s">
        <v>5057</v>
      </c>
      <c r="H101" s="1397"/>
      <c r="I101" s="1397"/>
      <c r="J101" s="1397"/>
      <c r="K101" s="1397"/>
      <c r="L101" s="1397"/>
      <c r="M101" s="1397"/>
      <c r="N101" s="1397"/>
      <c r="O101" s="1397"/>
      <c r="P101" s="1397"/>
      <c r="Q101" s="1397"/>
      <c r="R101" s="1397"/>
      <c r="S101" s="1397"/>
      <c r="T101" s="1397"/>
      <c r="U101" s="1397"/>
      <c r="V101" s="1397"/>
      <c r="W101" s="1397"/>
      <c r="X101" s="1397"/>
      <c r="Y101" s="1397"/>
      <c r="Z101" s="1397"/>
      <c r="AA101" s="1397"/>
      <c r="AB101" s="1397"/>
      <c r="AC101" s="1540"/>
      <c r="AD101" s="1540"/>
      <c r="AE101" s="1397"/>
      <c r="AF101" s="1397"/>
      <c r="AG101" s="1397"/>
      <c r="AH101" s="1397"/>
      <c r="AI101" s="1397"/>
      <c r="AJ101" s="1397"/>
      <c r="AK101" s="1397"/>
      <c r="AL101" s="9234" t="b">
        <f>IF(AS85&lt;&gt;"",AS85&gt;=3,AND(AG98,AG100,Qual_Child_Count&gt;=3))</f>
        <v>0</v>
      </c>
      <c r="AM101" s="9234"/>
      <c r="AN101" s="9234"/>
      <c r="AO101" s="9234"/>
      <c r="AP101" s="9234"/>
      <c r="AQ101" s="2757"/>
      <c r="AR101" s="2757"/>
      <c r="AS101" s="3256"/>
      <c r="AT101" s="2757"/>
      <c r="AU101" s="42"/>
      <c r="AV101" s="42"/>
      <c r="AW101" s="42"/>
      <c r="AX101" s="2595"/>
      <c r="AY101" s="2595"/>
      <c r="AZ101" s="2595"/>
      <c r="BA101" s="2595"/>
      <c r="BB101" s="2595"/>
      <c r="BC101" s="2595"/>
      <c r="BD101" s="2595"/>
      <c r="BE101" s="2595"/>
      <c r="BF101" s="2595"/>
      <c r="BG101" s="2595"/>
      <c r="BH101" s="2595"/>
    </row>
    <row r="102" spans="1:60" ht="15" customHeight="1">
      <c r="A102" s="2757"/>
      <c r="B102" s="5458" t="s">
        <v>1115</v>
      </c>
      <c r="C102" s="4780"/>
      <c r="D102" s="5525" t="s">
        <v>5058</v>
      </c>
      <c r="E102" s="1830"/>
      <c r="F102" s="1830"/>
      <c r="G102" s="1830"/>
      <c r="H102" s="1830"/>
      <c r="I102" s="1830"/>
      <c r="J102" s="1830"/>
      <c r="K102" s="1830"/>
      <c r="L102" s="1830"/>
      <c r="M102" s="1830"/>
      <c r="N102" s="1830"/>
      <c r="O102" s="1830"/>
      <c r="P102" s="1830"/>
      <c r="Q102" s="1830"/>
      <c r="R102" s="1830"/>
      <c r="S102" s="1830"/>
      <c r="T102" s="1830"/>
      <c r="U102" s="1830"/>
      <c r="V102" s="1830"/>
      <c r="W102" s="1830"/>
      <c r="X102" s="1830"/>
      <c r="Y102" s="4065"/>
      <c r="Z102" s="1776"/>
      <c r="AA102" s="4065"/>
      <c r="AB102" s="1830"/>
      <c r="AC102" s="5409"/>
      <c r="AD102" s="5410"/>
      <c r="AE102" s="4780"/>
      <c r="AF102" s="1830"/>
      <c r="AG102" s="1830"/>
      <c r="AH102" s="1830"/>
      <c r="AI102" s="5374"/>
      <c r="AJ102" s="5384"/>
      <c r="AK102" s="5385"/>
      <c r="AL102" s="4780"/>
      <c r="AM102" s="1830"/>
      <c r="AN102" s="1830"/>
      <c r="AO102" s="1830"/>
      <c r="AP102" s="5374"/>
      <c r="AQ102" s="2757"/>
      <c r="AR102" s="2757"/>
      <c r="AS102" s="2757"/>
      <c r="AT102" s="2757"/>
    </row>
    <row r="103" spans="1:60" ht="15" customHeight="1">
      <c r="A103" s="2757"/>
      <c r="B103" s="2945"/>
      <c r="C103" s="4780"/>
      <c r="D103" s="5525" t="s">
        <v>5059</v>
      </c>
      <c r="E103" s="1830"/>
      <c r="F103" s="1830"/>
      <c r="G103" s="1830"/>
      <c r="H103" s="1830"/>
      <c r="I103" s="1830"/>
      <c r="J103" s="1830"/>
      <c r="K103" s="1830"/>
      <c r="L103" s="1830"/>
      <c r="M103" s="1830"/>
      <c r="N103" s="1830"/>
      <c r="O103" s="1830"/>
      <c r="P103" s="1830"/>
      <c r="Q103" s="1830"/>
      <c r="R103" s="1830"/>
      <c r="S103" s="1830"/>
      <c r="T103" s="1830"/>
      <c r="U103" s="1830"/>
      <c r="V103" s="1830"/>
      <c r="W103" s="1830"/>
      <c r="X103" s="1830"/>
      <c r="Y103" s="4065"/>
      <c r="Z103" s="1776"/>
      <c r="AA103" s="4065"/>
      <c r="AB103" s="1830"/>
      <c r="AC103" s="4717"/>
      <c r="AD103" s="4718"/>
      <c r="AE103" s="4780"/>
      <c r="AF103" s="1830"/>
      <c r="AG103" s="1830"/>
      <c r="AH103" s="1830"/>
      <c r="AI103" s="5374"/>
      <c r="AJ103" s="5384"/>
      <c r="AK103" s="5385"/>
      <c r="AL103" s="4780"/>
      <c r="AM103" s="1830"/>
      <c r="AN103" s="1830"/>
      <c r="AO103" s="1830"/>
      <c r="AP103" s="5374"/>
      <c r="AQ103" s="2757"/>
      <c r="AR103" s="2757"/>
      <c r="AS103" s="2757"/>
      <c r="AT103" s="2757"/>
    </row>
    <row r="104" spans="1:60" ht="15" customHeight="1">
      <c r="A104" s="2757"/>
      <c r="B104" s="2945"/>
      <c r="C104" s="4780"/>
      <c r="D104" s="5525" t="s">
        <v>5060</v>
      </c>
      <c r="E104" s="1830"/>
      <c r="F104" s="1830"/>
      <c r="G104" s="1830"/>
      <c r="H104" s="1830"/>
      <c r="I104" s="1830"/>
      <c r="J104" s="1830"/>
      <c r="K104" s="1830"/>
      <c r="L104" s="1830"/>
      <c r="M104" s="1830"/>
      <c r="N104" s="1830"/>
      <c r="O104" s="1830"/>
      <c r="P104" s="1830"/>
      <c r="Q104" s="1830"/>
      <c r="R104" s="1830"/>
      <c r="S104" s="1830"/>
      <c r="T104" s="1830"/>
      <c r="U104" s="1830"/>
      <c r="V104" s="1830"/>
      <c r="W104" s="1830"/>
      <c r="X104" s="1830"/>
      <c r="Y104" s="4065"/>
      <c r="Z104" s="1776"/>
      <c r="AA104" s="4065"/>
      <c r="AB104" s="1830"/>
      <c r="AC104" s="4717"/>
      <c r="AD104" s="4718"/>
      <c r="AE104" s="4780"/>
      <c r="AF104" s="1830"/>
      <c r="AG104" s="1830"/>
      <c r="AH104" s="1830"/>
      <c r="AI104" s="5374"/>
      <c r="AJ104" s="5384"/>
      <c r="AK104" s="5385"/>
      <c r="AL104" s="4780"/>
      <c r="AM104" s="1830"/>
      <c r="AN104" s="1830"/>
      <c r="AO104" s="1830"/>
      <c r="AP104" s="5374"/>
      <c r="AQ104" s="2757"/>
      <c r="AR104" s="2757"/>
      <c r="AS104" s="2757"/>
      <c r="AT104" s="2757"/>
    </row>
    <row r="105" spans="1:60" ht="15" customHeight="1">
      <c r="A105" s="2757"/>
      <c r="B105" s="2945"/>
      <c r="C105" s="4780"/>
      <c r="D105" s="5525" t="s">
        <v>2404</v>
      </c>
      <c r="E105" s="1830"/>
      <c r="F105" s="1830"/>
      <c r="G105" s="1830"/>
      <c r="H105" s="1830"/>
      <c r="I105" s="1830"/>
      <c r="J105" s="1830"/>
      <c r="K105" s="1830"/>
      <c r="L105" s="1830"/>
      <c r="M105" s="1830"/>
      <c r="N105" s="1830"/>
      <c r="O105" s="1830"/>
      <c r="P105" s="1830"/>
      <c r="Q105" s="1830"/>
      <c r="R105" s="1830"/>
      <c r="S105" s="1830"/>
      <c r="T105" s="1830"/>
      <c r="U105" s="1830"/>
      <c r="V105" s="1830"/>
      <c r="W105" s="1830"/>
      <c r="X105" s="1830"/>
      <c r="Y105" s="4065"/>
      <c r="Z105" s="1776"/>
      <c r="AA105" s="4065"/>
      <c r="AB105" s="1830"/>
      <c r="AC105" s="9280" t="s">
        <v>1115</v>
      </c>
      <c r="AD105" s="9264"/>
      <c r="AE105" s="9253" t="str">
        <f>IF(AS105&lt;&gt;"",ROUND(AS105,0),IF(NOT(AL101),"",SUM('W-2s'!C63,'W-2s'!C65)))</f>
        <v/>
      </c>
      <c r="AF105" s="9254"/>
      <c r="AG105" s="9254"/>
      <c r="AH105" s="9254"/>
      <c r="AI105" s="9255"/>
      <c r="AJ105" s="5384"/>
      <c r="AK105" s="5385"/>
      <c r="AL105" s="4780"/>
      <c r="AM105" s="1830"/>
      <c r="AN105" s="1830"/>
      <c r="AO105" s="1830"/>
      <c r="AP105" s="5374"/>
      <c r="AQ105" s="2757"/>
      <c r="AR105" s="2757"/>
      <c r="AS105" s="3277"/>
      <c r="AT105" s="2757"/>
    </row>
    <row r="106" spans="1:60" ht="15" customHeight="1">
      <c r="A106" s="2757"/>
      <c r="B106" s="5458" t="s">
        <v>1117</v>
      </c>
      <c r="C106" s="4780"/>
      <c r="D106" s="5525" t="s">
        <v>5061</v>
      </c>
      <c r="E106" s="1830"/>
      <c r="F106" s="1830"/>
      <c r="G106" s="1830"/>
      <c r="H106" s="1830"/>
      <c r="I106" s="1830"/>
      <c r="J106" s="1830"/>
      <c r="K106" s="1830"/>
      <c r="L106" s="1830"/>
      <c r="M106" s="1830"/>
      <c r="N106" s="1830"/>
      <c r="O106" s="1830"/>
      <c r="P106" s="1830"/>
      <c r="Q106" s="1830"/>
      <c r="R106" s="1830"/>
      <c r="S106" s="1830"/>
      <c r="T106" s="1830"/>
      <c r="U106" s="1830"/>
      <c r="V106" s="1830"/>
      <c r="W106" s="1830"/>
      <c r="X106" s="1830"/>
      <c r="Y106" s="4065"/>
      <c r="Z106" s="1776"/>
      <c r="AA106" s="4065"/>
      <c r="AB106" s="1830"/>
      <c r="AC106" s="4717"/>
      <c r="AD106" s="4718"/>
      <c r="AE106" s="4780"/>
      <c r="AF106" s="1830"/>
      <c r="AG106" s="1830"/>
      <c r="AH106" s="1830"/>
      <c r="AI106" s="5374"/>
      <c r="AJ106" s="5384"/>
      <c r="AK106" s="5385"/>
      <c r="AL106" s="4780"/>
      <c r="AM106" s="1830"/>
      <c r="AN106" s="1830"/>
      <c r="AO106" s="1830"/>
      <c r="AP106" s="5374"/>
      <c r="AQ106" s="2757"/>
      <c r="AR106" s="2757"/>
      <c r="AS106" s="2757"/>
      <c r="AT106" s="2757"/>
    </row>
    <row r="107" spans="1:60" ht="15" customHeight="1">
      <c r="A107" s="2757"/>
      <c r="B107" s="2945"/>
      <c r="C107" s="4780"/>
      <c r="D107" s="5525" t="s">
        <v>5062</v>
      </c>
      <c r="E107" s="1830"/>
      <c r="F107" s="1830"/>
      <c r="G107" s="1830"/>
      <c r="H107" s="1830"/>
      <c r="I107" s="1830"/>
      <c r="J107" s="1830"/>
      <c r="K107" s="1830"/>
      <c r="L107" s="1830"/>
      <c r="M107" s="1830"/>
      <c r="N107" s="1830"/>
      <c r="O107" s="1830"/>
      <c r="P107" s="1830"/>
      <c r="Q107" s="1830"/>
      <c r="R107" s="1830"/>
      <c r="S107" s="1830"/>
      <c r="T107" s="1830"/>
      <c r="U107" s="1830"/>
      <c r="V107" s="1830"/>
      <c r="W107" s="1830"/>
      <c r="X107" s="1830"/>
      <c r="Y107" s="4065"/>
      <c r="Z107" s="1776"/>
      <c r="AA107" s="4065"/>
      <c r="AB107" s="1830"/>
      <c r="AC107" s="9280" t="s">
        <v>1117</v>
      </c>
      <c r="AD107" s="9264"/>
      <c r="AE107" s="9253" t="str">
        <f>IF(AS105&lt;&gt;"",ROUND(AS105,0),IF(NOT(AL101),"",SUM('Sch. 1'!AC52,'Sch. 2'!W17,'Sch. 2'!W19,'Sch. 2'!AC27)))</f>
        <v/>
      </c>
      <c r="AF107" s="9254"/>
      <c r="AG107" s="9254"/>
      <c r="AH107" s="9254"/>
      <c r="AI107" s="9255"/>
      <c r="AJ107" s="5384"/>
      <c r="AK107" s="5385"/>
      <c r="AL107" s="4780"/>
      <c r="AM107" s="1830"/>
      <c r="AN107" s="1830"/>
      <c r="AO107" s="1830"/>
      <c r="AP107" s="5374"/>
      <c r="AQ107" s="2757"/>
      <c r="AR107" s="2757"/>
      <c r="AS107" s="3277"/>
      <c r="AT107" s="2757"/>
    </row>
    <row r="108" spans="1:60" ht="15" customHeight="1">
      <c r="A108" s="2757"/>
      <c r="B108" s="5458" t="s">
        <v>1119</v>
      </c>
      <c r="C108" s="4780"/>
      <c r="D108" s="5525" t="s">
        <v>3476</v>
      </c>
      <c r="E108" s="1830"/>
      <c r="F108" s="1830"/>
      <c r="G108" s="1830"/>
      <c r="H108" s="1830"/>
      <c r="I108" s="1830"/>
      <c r="J108" s="1830"/>
      <c r="K108" s="1830"/>
      <c r="L108" s="1830"/>
      <c r="M108" s="1830"/>
      <c r="N108" s="1830"/>
      <c r="O108" s="1830"/>
      <c r="P108" s="1830"/>
      <c r="Q108" s="1830"/>
      <c r="R108" s="1830"/>
      <c r="S108" s="1830"/>
      <c r="T108" s="1830"/>
      <c r="U108" s="1830"/>
      <c r="V108" s="1830"/>
      <c r="W108" s="1830"/>
      <c r="X108" s="1830"/>
      <c r="Y108" s="4065"/>
      <c r="Z108" s="1776"/>
      <c r="AA108" s="4065"/>
      <c r="AB108" s="1830"/>
      <c r="AC108" s="9280" t="s">
        <v>1119</v>
      </c>
      <c r="AD108" s="9264"/>
      <c r="AE108" s="9253" t="str">
        <f>IF(AS105&lt;&gt;"",ROUND(AS105,0),IF(NOT(AL101),"",SUM(AE105,AE107)))</f>
        <v/>
      </c>
      <c r="AF108" s="9254"/>
      <c r="AG108" s="9254"/>
      <c r="AH108" s="9254"/>
      <c r="AI108" s="9255"/>
      <c r="AJ108" s="5384"/>
      <c r="AK108" s="5385"/>
      <c r="AL108" s="4780"/>
      <c r="AM108" s="1830"/>
      <c r="AN108" s="1830"/>
      <c r="AO108" s="1830"/>
      <c r="AP108" s="5374"/>
      <c r="AQ108" s="2757"/>
      <c r="AR108" s="2757"/>
      <c r="AS108" s="2757"/>
      <c r="AT108" s="2757"/>
    </row>
    <row r="109" spans="1:60" ht="15" customHeight="1">
      <c r="A109" s="2757"/>
      <c r="B109" s="5458" t="s">
        <v>1121</v>
      </c>
      <c r="C109" s="4780"/>
      <c r="D109" s="5526" t="s">
        <v>5063</v>
      </c>
      <c r="E109" s="1830"/>
      <c r="F109" s="1830"/>
      <c r="G109" s="1830"/>
      <c r="H109" s="1830"/>
      <c r="I109" s="1830"/>
      <c r="J109" s="1830"/>
      <c r="K109" s="1830"/>
      <c r="L109" s="1830"/>
      <c r="M109" s="1830"/>
      <c r="N109" s="1830"/>
      <c r="O109" s="1830"/>
      <c r="P109" s="1830"/>
      <c r="Q109" s="1830"/>
      <c r="R109" s="1830"/>
      <c r="S109" s="1830"/>
      <c r="T109" s="1830"/>
      <c r="U109" s="1830"/>
      <c r="V109" s="1830"/>
      <c r="W109" s="1830"/>
      <c r="X109" s="1830"/>
      <c r="Y109" s="4065"/>
      <c r="Z109" s="1776"/>
      <c r="AA109" s="4065"/>
      <c r="AB109" s="1830"/>
      <c r="AC109" s="5409"/>
      <c r="AD109" s="5410"/>
      <c r="AE109" s="4780"/>
      <c r="AF109" s="1830"/>
      <c r="AG109" s="1830"/>
      <c r="AH109" s="1830"/>
      <c r="AI109" s="5374"/>
      <c r="AJ109" s="5384"/>
      <c r="AK109" s="5385"/>
      <c r="AL109" s="4780"/>
      <c r="AM109" s="1830"/>
      <c r="AN109" s="1830"/>
      <c r="AO109" s="1830"/>
      <c r="AP109" s="5374"/>
      <c r="AQ109" s="2757"/>
      <c r="AR109" s="2757"/>
      <c r="AS109" s="2757"/>
      <c r="AT109" s="2757"/>
    </row>
    <row r="110" spans="1:60" ht="15" customHeight="1">
      <c r="A110" s="2757"/>
      <c r="B110" s="2945"/>
      <c r="C110" s="4780"/>
      <c r="D110" s="5526" t="s">
        <v>5064</v>
      </c>
      <c r="E110" s="1830"/>
      <c r="F110" s="1830"/>
      <c r="G110" s="1830"/>
      <c r="H110" s="1830"/>
      <c r="I110" s="5525" t="s">
        <v>5065</v>
      </c>
      <c r="J110" s="1830"/>
      <c r="K110" s="1830"/>
      <c r="L110" s="1830"/>
      <c r="M110" s="1830"/>
      <c r="N110" s="1830"/>
      <c r="O110" s="1830"/>
      <c r="P110" s="1830"/>
      <c r="Q110" s="1830"/>
      <c r="R110" s="1830"/>
      <c r="S110" s="1830"/>
      <c r="T110" s="1830"/>
      <c r="U110" s="1830"/>
      <c r="V110" s="1830"/>
      <c r="W110" s="1830"/>
      <c r="X110" s="1830"/>
      <c r="Y110" s="4065"/>
      <c r="Z110" s="1776"/>
      <c r="AA110" s="4065"/>
      <c r="AB110" s="1830"/>
      <c r="AC110" s="4717"/>
      <c r="AD110" s="4718"/>
      <c r="AE110" s="4780"/>
      <c r="AF110" s="1830"/>
      <c r="AG110" s="1830"/>
      <c r="AH110" s="1830"/>
      <c r="AI110" s="5374"/>
      <c r="AJ110" s="5384"/>
      <c r="AK110" s="5385"/>
      <c r="AL110" s="4780"/>
      <c r="AM110" s="1830"/>
      <c r="AN110" s="1830"/>
      <c r="AO110" s="1830"/>
      <c r="AP110" s="5374"/>
      <c r="AQ110" s="2757"/>
      <c r="AR110" s="2757"/>
      <c r="AS110" s="2757"/>
      <c r="AT110" s="2757"/>
    </row>
    <row r="111" spans="1:60" ht="15" customHeight="1">
      <c r="A111" s="2757"/>
      <c r="B111" s="2945"/>
      <c r="C111" s="4780"/>
      <c r="D111" s="5525"/>
      <c r="E111" s="1830"/>
      <c r="F111" s="1830"/>
      <c r="G111" s="1830"/>
      <c r="H111" s="1830"/>
      <c r="I111" s="5525" t="s">
        <v>5066</v>
      </c>
      <c r="J111" s="1830"/>
      <c r="K111" s="1830"/>
      <c r="L111" s="1830"/>
      <c r="M111" s="1830"/>
      <c r="N111" s="1830"/>
      <c r="O111" s="1830"/>
      <c r="P111" s="1830"/>
      <c r="Q111" s="1830"/>
      <c r="R111" s="1830"/>
      <c r="S111" s="1830"/>
      <c r="T111" s="1830"/>
      <c r="U111" s="1830"/>
      <c r="V111" s="1830"/>
      <c r="W111" s="1830"/>
      <c r="X111" s="1830"/>
      <c r="Y111" s="4065"/>
      <c r="Z111" s="1776"/>
      <c r="AA111" s="4065"/>
      <c r="AB111" s="1830"/>
      <c r="AC111" s="4717"/>
      <c r="AD111" s="4718"/>
      <c r="AE111" s="4780"/>
      <c r="AF111" s="1830"/>
      <c r="AG111" s="1830"/>
      <c r="AH111" s="1830"/>
      <c r="AI111" s="5374"/>
      <c r="AJ111" s="5384"/>
      <c r="AK111" s="5385"/>
      <c r="AL111" s="4780"/>
      <c r="AM111" s="1830"/>
      <c r="AN111" s="1830"/>
      <c r="AO111" s="1830"/>
      <c r="AP111" s="5374"/>
      <c r="AQ111" s="2757"/>
      <c r="AR111" s="2757"/>
      <c r="AS111" s="2757"/>
      <c r="AT111" s="2757"/>
    </row>
    <row r="112" spans="1:60" ht="15" customHeight="1">
      <c r="A112" s="2757"/>
      <c r="B112" s="2945"/>
      <c r="C112" s="4780"/>
      <c r="D112" s="5526" t="s">
        <v>5067</v>
      </c>
      <c r="E112" s="1830"/>
      <c r="F112" s="1830"/>
      <c r="G112" s="1830"/>
      <c r="H112" s="1830"/>
      <c r="I112" s="5525" t="s">
        <v>5068</v>
      </c>
      <c r="J112" s="1830"/>
      <c r="K112" s="1830"/>
      <c r="L112" s="1830"/>
      <c r="M112" s="1830"/>
      <c r="N112" s="1830"/>
      <c r="O112" s="1830"/>
      <c r="P112" s="1830"/>
      <c r="Q112" s="1830"/>
      <c r="R112" s="1830"/>
      <c r="S112" s="1830"/>
      <c r="T112" s="1830"/>
      <c r="U112" s="1830"/>
      <c r="V112" s="1830"/>
      <c r="W112" s="1830"/>
      <c r="X112" s="1830"/>
      <c r="Y112" s="4065"/>
      <c r="Z112" s="1776"/>
      <c r="AA112" s="4065"/>
      <c r="AB112" s="1830"/>
      <c r="AC112" s="9280" t="s">
        <v>1121</v>
      </c>
      <c r="AD112" s="9264"/>
      <c r="AE112" s="9253" t="str">
        <f>IF(NOT(AL101),"",SUM('1040'!Y72,'Sch. 3'!AC41))</f>
        <v/>
      </c>
      <c r="AF112" s="9254"/>
      <c r="AG112" s="9254"/>
      <c r="AH112" s="9254"/>
      <c r="AI112" s="9255"/>
      <c r="AJ112" s="5384"/>
      <c r="AK112" s="5385"/>
      <c r="AL112" s="4780"/>
      <c r="AM112" s="1830"/>
      <c r="AN112" s="1830"/>
      <c r="AO112" s="1830"/>
      <c r="AP112" s="5374"/>
      <c r="AQ112" s="2757"/>
      <c r="AR112" s="2757"/>
      <c r="AS112" s="2757"/>
      <c r="AT112" s="2757"/>
    </row>
    <row r="113" spans="1:60" ht="17.25" customHeight="1">
      <c r="A113" s="2757"/>
      <c r="B113" s="5458" t="s">
        <v>1122</v>
      </c>
      <c r="C113" s="4780"/>
      <c r="D113" s="5525" t="s">
        <v>3474</v>
      </c>
      <c r="E113" s="1830"/>
      <c r="F113" s="1830"/>
      <c r="G113" s="1830"/>
      <c r="H113" s="1830"/>
      <c r="I113" s="1830"/>
      <c r="J113" s="1830"/>
      <c r="K113" s="1830"/>
      <c r="L113" s="1830"/>
      <c r="M113" s="1830"/>
      <c r="N113" s="1830"/>
      <c r="O113" s="1830"/>
      <c r="P113" s="1830"/>
      <c r="Q113" s="1830"/>
      <c r="R113" s="1830"/>
      <c r="S113" s="1830"/>
      <c r="T113" s="1830"/>
      <c r="U113" s="1830"/>
      <c r="V113" s="1830"/>
      <c r="W113" s="1830"/>
      <c r="X113" s="1830"/>
      <c r="Y113" s="4065"/>
      <c r="Z113" s="1776"/>
      <c r="AA113" s="4065"/>
      <c r="AB113" s="1830"/>
      <c r="AC113" s="1830"/>
      <c r="AD113" s="1830"/>
      <c r="AE113" s="1830"/>
      <c r="AF113" s="1830"/>
      <c r="AG113" s="1830"/>
      <c r="AH113" s="1830"/>
      <c r="AI113" s="1830"/>
      <c r="AJ113" s="9280" t="s">
        <v>1122</v>
      </c>
      <c r="AK113" s="9264"/>
      <c r="AL113" s="9253" t="str">
        <f>IF(NOT(AL101),"",IF(SUM(AE108,-AE112)&lt;=0,0,SUM(AE108,-AE112)))</f>
        <v/>
      </c>
      <c r="AM113" s="9254"/>
      <c r="AN113" s="9254"/>
      <c r="AO113" s="9254"/>
      <c r="AP113" s="9255"/>
      <c r="AQ113" s="2757"/>
      <c r="AR113" s="2757"/>
      <c r="AS113" s="2757"/>
      <c r="AT113" s="2757"/>
    </row>
    <row r="114" spans="1:60" ht="17.25" customHeight="1">
      <c r="A114" s="2757"/>
      <c r="B114" s="5458" t="s">
        <v>1123</v>
      </c>
      <c r="C114" s="4780"/>
      <c r="D114" s="5525" t="s">
        <v>5163</v>
      </c>
      <c r="E114" s="1830"/>
      <c r="F114" s="1830"/>
      <c r="G114" s="1830"/>
      <c r="H114" s="1830"/>
      <c r="I114" s="1830"/>
      <c r="J114" s="1830"/>
      <c r="K114" s="1830"/>
      <c r="L114" s="1830"/>
      <c r="M114" s="1830"/>
      <c r="N114" s="1830"/>
      <c r="O114" s="1830"/>
      <c r="P114" s="1830"/>
      <c r="Q114" s="1830"/>
      <c r="R114" s="1830"/>
      <c r="S114" s="1830"/>
      <c r="T114" s="1830"/>
      <c r="U114" s="1830"/>
      <c r="V114" s="1830"/>
      <c r="W114" s="1830"/>
      <c r="X114" s="1830"/>
      <c r="Y114" s="4065"/>
      <c r="Z114" s="1776"/>
      <c r="AA114" s="4065"/>
      <c r="AB114" s="1830"/>
      <c r="AC114" s="1830"/>
      <c r="AD114" s="1830"/>
      <c r="AE114" s="1830"/>
      <c r="AF114" s="1830"/>
      <c r="AG114" s="1830"/>
      <c r="AH114" s="1830"/>
      <c r="AI114" s="1830"/>
      <c r="AJ114" s="9280" t="s">
        <v>1123</v>
      </c>
      <c r="AK114" s="9264"/>
      <c r="AL114" s="9253" t="str">
        <f>IF(NOT(AL101),"",MAX(AL95,AL113))</f>
        <v/>
      </c>
      <c r="AM114" s="9254"/>
      <c r="AN114" s="9254"/>
      <c r="AO114" s="9254"/>
      <c r="AP114" s="9255"/>
      <c r="AQ114" s="2757"/>
      <c r="AR114" s="2757"/>
      <c r="AS114" s="2757"/>
      <c r="AT114" s="2757"/>
    </row>
    <row r="115" spans="1:60" ht="17.25" customHeight="1" thickBot="1">
      <c r="A115" s="2757"/>
      <c r="B115" s="4270"/>
      <c r="C115" s="5388"/>
      <c r="D115" s="5528" t="s">
        <v>5164</v>
      </c>
      <c r="E115" s="5389"/>
      <c r="F115" s="5389"/>
      <c r="G115" s="5389"/>
      <c r="H115" s="5389"/>
      <c r="I115" s="5389"/>
      <c r="J115" s="5389"/>
      <c r="K115" s="5389"/>
      <c r="L115" s="5389"/>
      <c r="M115" s="5389"/>
      <c r="N115" s="5389"/>
      <c r="O115" s="5389"/>
      <c r="P115" s="5389"/>
      <c r="Q115" s="5389"/>
      <c r="R115" s="5389"/>
      <c r="S115" s="5389"/>
      <c r="T115" s="5389"/>
      <c r="U115" s="5389"/>
      <c r="V115" s="5389"/>
      <c r="W115" s="5389"/>
      <c r="X115" s="5389"/>
      <c r="Y115" s="5390"/>
      <c r="Z115" s="5391"/>
      <c r="AA115" s="5390"/>
      <c r="AB115" s="5389"/>
      <c r="AC115" s="5389"/>
      <c r="AD115" s="5389"/>
      <c r="AE115" s="5389"/>
      <c r="AF115" s="5389"/>
      <c r="AG115" s="5389"/>
      <c r="AH115" s="5389"/>
      <c r="AI115" s="5389"/>
      <c r="AJ115" s="5422"/>
      <c r="AK115" s="5423"/>
      <c r="AL115" s="5413"/>
      <c r="AM115" s="5412"/>
      <c r="AN115" s="5412"/>
      <c r="AO115" s="5412"/>
      <c r="AP115" s="5414"/>
      <c r="AQ115" s="2757"/>
      <c r="AR115" s="2757"/>
      <c r="AS115" s="2757"/>
      <c r="AT115" s="2757"/>
    </row>
    <row r="116" spans="1:60" s="2689" customFormat="1" ht="15.75">
      <c r="A116" s="2758"/>
      <c r="B116" s="9317" t="s">
        <v>5069</v>
      </c>
      <c r="C116" s="9317"/>
      <c r="D116" s="9318"/>
      <c r="E116" s="1397"/>
      <c r="F116" s="1397"/>
      <c r="G116" s="3493" t="s">
        <v>5050</v>
      </c>
      <c r="H116" s="1397"/>
      <c r="I116" s="1397"/>
      <c r="J116" s="1397"/>
      <c r="K116" s="1397"/>
      <c r="L116" s="1397"/>
      <c r="M116" s="1397"/>
      <c r="N116" s="1397"/>
      <c r="O116" s="1397"/>
      <c r="P116" s="1397"/>
      <c r="Q116" s="1397"/>
      <c r="R116" s="1397"/>
      <c r="S116" s="1397"/>
      <c r="T116" s="1397"/>
      <c r="U116" s="1397"/>
      <c r="V116" s="1397"/>
      <c r="W116" s="1397"/>
      <c r="X116" s="1397"/>
      <c r="Y116" s="1397"/>
      <c r="Z116" s="1397"/>
      <c r="AA116" s="1397"/>
      <c r="AB116" s="1397"/>
      <c r="AC116" s="1397"/>
      <c r="AD116" s="1397"/>
      <c r="AE116" s="1397"/>
      <c r="AF116" s="1397"/>
      <c r="AG116" s="1397"/>
      <c r="AH116" s="1397"/>
      <c r="AI116" s="1397"/>
      <c r="AJ116" s="1397"/>
      <c r="AK116" s="1397"/>
      <c r="AL116" s="9234" t="b">
        <f>OR(AL81,AL101)</f>
        <v>0</v>
      </c>
      <c r="AM116" s="9234"/>
      <c r="AN116" s="9234"/>
      <c r="AO116" s="9234"/>
      <c r="AP116" s="9234"/>
      <c r="AQ116" s="2757"/>
      <c r="AR116" s="2757"/>
      <c r="AS116" s="5931" t="s">
        <v>91</v>
      </c>
      <c r="AT116" s="2757"/>
      <c r="AU116" s="42"/>
      <c r="AV116" s="42"/>
      <c r="AW116" s="42"/>
      <c r="AX116" s="2595"/>
      <c r="AY116" s="2595"/>
      <c r="AZ116" s="2595"/>
      <c r="BA116" s="2595"/>
      <c r="BB116" s="2595"/>
      <c r="BC116" s="2595"/>
      <c r="BD116" s="2595"/>
      <c r="BE116" s="2595"/>
      <c r="BF116" s="2595"/>
      <c r="BG116" s="2595"/>
      <c r="BH116" s="2595"/>
    </row>
    <row r="117" spans="1:60" ht="17.25" customHeight="1" thickBot="1">
      <c r="A117" s="2757"/>
      <c r="B117" s="5459" t="s">
        <v>1153</v>
      </c>
      <c r="C117" s="5392"/>
      <c r="D117" s="5530" t="s">
        <v>5070</v>
      </c>
      <c r="E117" s="5393"/>
      <c r="F117" s="5393"/>
      <c r="G117" s="5393"/>
      <c r="H117" s="5393"/>
      <c r="I117" s="5393"/>
      <c r="J117" s="5393"/>
      <c r="K117" s="5393"/>
      <c r="L117" s="5393"/>
      <c r="M117" s="5393"/>
      <c r="N117" s="5393"/>
      <c r="O117" s="5393"/>
      <c r="P117" s="5393"/>
      <c r="Q117" s="5393"/>
      <c r="R117" s="5393"/>
      <c r="S117" s="5393"/>
      <c r="T117" s="5393"/>
      <c r="U117" s="5393"/>
      <c r="V117" s="5393"/>
      <c r="W117" s="5393"/>
      <c r="X117" s="5393"/>
      <c r="Y117" s="5394"/>
      <c r="Z117" s="5395"/>
      <c r="AA117" s="5394"/>
      <c r="AB117" s="5393"/>
      <c r="AC117" s="5393"/>
      <c r="AD117" s="5393"/>
      <c r="AE117" s="5393"/>
      <c r="AF117" s="5393"/>
      <c r="AG117" s="5393"/>
      <c r="AH117" s="5393"/>
      <c r="AI117" s="5393"/>
      <c r="AJ117" s="9280" t="s">
        <v>1153</v>
      </c>
      <c r="AK117" s="9264"/>
      <c r="AL117" s="9253">
        <f>IF(AS117&lt;&gt;"",ROUND(AS117,0),IF(OR(AG84,AG86),0,MIN(AL88,AL114)))</f>
        <v>0</v>
      </c>
      <c r="AM117" s="9254"/>
      <c r="AN117" s="9254"/>
      <c r="AO117" s="9254"/>
      <c r="AP117" s="9255"/>
      <c r="AQ117" s="2757"/>
      <c r="AR117" s="2757"/>
      <c r="AS117" s="3277"/>
      <c r="AT117" s="2757"/>
    </row>
    <row r="118" spans="1:60" ht="17.25" customHeight="1" thickTop="1">
      <c r="A118" s="2757"/>
      <c r="B118" s="5396"/>
      <c r="C118" s="4255"/>
      <c r="D118" s="5397"/>
      <c r="E118" s="5397"/>
      <c r="F118" s="5397"/>
      <c r="G118" s="5397"/>
      <c r="H118" s="5397"/>
      <c r="I118" s="5397"/>
      <c r="J118" s="5397"/>
      <c r="K118" s="5397"/>
      <c r="L118" s="5397"/>
      <c r="M118" s="5397"/>
      <c r="N118" s="5397"/>
      <c r="O118" s="5397"/>
      <c r="P118" s="5397"/>
      <c r="Q118" s="5397"/>
      <c r="R118" s="5397"/>
      <c r="S118" s="5397"/>
      <c r="T118" s="5397"/>
      <c r="U118" s="5397"/>
      <c r="V118" s="5397"/>
      <c r="W118" s="5397"/>
      <c r="X118" s="5397"/>
      <c r="Y118" s="5398"/>
      <c r="Z118" s="5399"/>
      <c r="AA118" s="5398"/>
      <c r="AB118" s="5397"/>
      <c r="AC118" s="5397"/>
      <c r="AD118" s="5397"/>
      <c r="AE118" s="5397"/>
      <c r="AF118" s="5397"/>
      <c r="AG118" s="5397"/>
      <c r="AH118" s="5397"/>
      <c r="AI118" s="5397"/>
      <c r="AJ118" s="5397"/>
      <c r="AK118" s="5397"/>
      <c r="AL118" s="4255"/>
      <c r="AM118" s="5397"/>
      <c r="AN118" s="5400" t="s">
        <v>5071</v>
      </c>
      <c r="AO118" s="9336">
        <f>TaxYear</f>
        <v>2021</v>
      </c>
      <c r="AP118" s="9336"/>
      <c r="AQ118" s="2757"/>
      <c r="AR118" s="2757"/>
      <c r="AS118" s="2757"/>
      <c r="AT118" s="2757"/>
    </row>
    <row r="119" spans="1:60" ht="20.25" customHeight="1" thickBot="1">
      <c r="A119" s="2757"/>
      <c r="B119" s="5180" t="str">
        <f>"Schedule 8812 (Form 1040) "&amp;TaxYear</f>
        <v>Schedule 8812 (Form 1040) 2021</v>
      </c>
      <c r="C119" s="5401"/>
      <c r="D119" s="5402"/>
      <c r="E119" s="5402"/>
      <c r="F119" s="5402"/>
      <c r="G119" s="5402"/>
      <c r="H119" s="5402"/>
      <c r="I119" s="5402"/>
      <c r="J119" s="5402"/>
      <c r="K119" s="5402"/>
      <c r="L119" s="5402"/>
      <c r="M119" s="5402"/>
      <c r="N119" s="5402"/>
      <c r="O119" s="5402"/>
      <c r="P119" s="5402"/>
      <c r="Q119" s="5402"/>
      <c r="R119" s="5402"/>
      <c r="S119" s="5402"/>
      <c r="T119" s="5402"/>
      <c r="U119" s="5402"/>
      <c r="V119" s="5402"/>
      <c r="W119" s="5402"/>
      <c r="X119" s="5402"/>
      <c r="Y119" s="5403"/>
      <c r="Z119" s="5404"/>
      <c r="AA119" s="5403"/>
      <c r="AB119" s="5402"/>
      <c r="AC119" s="5402"/>
      <c r="AD119" s="5402"/>
      <c r="AE119" s="5402"/>
      <c r="AF119" s="5402"/>
      <c r="AG119" s="5402"/>
      <c r="AH119" s="5402"/>
      <c r="AI119" s="5402"/>
      <c r="AJ119" s="5402"/>
      <c r="AK119" s="5402"/>
      <c r="AL119" s="5405"/>
      <c r="AM119" s="5402"/>
      <c r="AN119" s="5402"/>
      <c r="AO119" s="5402"/>
      <c r="AP119" s="5406" t="s">
        <v>5167</v>
      </c>
      <c r="AQ119" s="2757"/>
      <c r="AR119" s="2757"/>
      <c r="AS119" s="2757"/>
      <c r="AT119" s="2757"/>
    </row>
    <row r="120" spans="1:60" s="2689" customFormat="1" ht="16.5" thickTop="1">
      <c r="A120" s="2758"/>
      <c r="B120" s="9312" t="s">
        <v>319</v>
      </c>
      <c r="C120" s="9312"/>
      <c r="D120" s="9313"/>
      <c r="E120" s="5407"/>
      <c r="F120" s="5407"/>
      <c r="G120" s="5408" t="s">
        <v>5168</v>
      </c>
      <c r="H120" s="5407"/>
      <c r="I120" s="5407"/>
      <c r="J120" s="5407"/>
      <c r="K120" s="5407"/>
      <c r="L120" s="5407"/>
      <c r="M120" s="5407"/>
      <c r="N120" s="5407"/>
      <c r="O120" s="5407"/>
      <c r="P120" s="5407"/>
      <c r="Q120" s="5407"/>
      <c r="R120" s="5407"/>
      <c r="S120" s="5407"/>
      <c r="T120" s="5407"/>
      <c r="U120" s="5407"/>
      <c r="V120" s="5407"/>
      <c r="W120" s="5407"/>
      <c r="X120" s="5407"/>
      <c r="Y120" s="5407"/>
      <c r="Z120" s="5407"/>
      <c r="AA120" s="5407"/>
      <c r="AB120" s="5407"/>
      <c r="AC120" s="5407"/>
      <c r="AD120" s="5407"/>
      <c r="AE120" s="5407"/>
      <c r="AF120" s="5407"/>
      <c r="AG120" s="9232"/>
      <c r="AH120" s="9232"/>
      <c r="AI120" s="9232"/>
      <c r="AJ120" s="9232"/>
      <c r="AK120" s="9232"/>
      <c r="AL120" s="9275" t="b">
        <f>OR(AND(AV55,AV54=0),AND(AV77,AV76=0))</f>
        <v>1</v>
      </c>
      <c r="AM120" s="9275"/>
      <c r="AN120" s="9275"/>
      <c r="AO120" s="9275"/>
      <c r="AP120" s="9275"/>
      <c r="AQ120" s="2757"/>
      <c r="AR120" s="2757"/>
      <c r="AS120" s="3256"/>
      <c r="AT120" s="2757"/>
      <c r="AU120" s="42"/>
      <c r="AV120" s="42"/>
      <c r="AW120" s="42"/>
      <c r="AX120" s="2595"/>
      <c r="AY120" s="2595"/>
      <c r="AZ120" s="2595"/>
      <c r="BA120" s="2595"/>
      <c r="BB120" s="2595"/>
      <c r="BC120" s="2595"/>
      <c r="BD120" s="2595"/>
      <c r="BE120" s="2595"/>
      <c r="BF120" s="2595"/>
      <c r="BG120" s="2595"/>
      <c r="BH120" s="2595"/>
    </row>
    <row r="121" spans="1:60" ht="17.25" customHeight="1">
      <c r="A121" s="2757"/>
      <c r="B121" s="2945" t="s">
        <v>5169</v>
      </c>
      <c r="C121" s="2213"/>
      <c r="D121" s="5518" t="s">
        <v>5170</v>
      </c>
      <c r="E121" s="5378"/>
      <c r="F121" s="5378"/>
      <c r="G121" s="5378"/>
      <c r="H121" s="5378"/>
      <c r="I121" s="5378"/>
      <c r="J121" s="5378"/>
      <c r="K121" s="5378"/>
      <c r="L121" s="5378"/>
      <c r="M121" s="5378"/>
      <c r="N121" s="5378"/>
      <c r="O121" s="5378"/>
      <c r="P121" s="5378"/>
      <c r="Q121" s="5378"/>
      <c r="R121" s="5378"/>
      <c r="S121" s="5378"/>
      <c r="T121" s="5378"/>
      <c r="U121" s="5378"/>
      <c r="V121" s="5378"/>
      <c r="W121" s="5378"/>
      <c r="X121" s="5378"/>
      <c r="Y121" s="2212"/>
      <c r="Z121" s="2212"/>
      <c r="AA121" s="2212"/>
      <c r="AB121" s="5378"/>
      <c r="AC121" s="5378"/>
      <c r="AD121" s="5378"/>
      <c r="AE121" s="5378"/>
      <c r="AF121" s="5378"/>
      <c r="AG121" s="5378"/>
      <c r="AH121" s="5378"/>
      <c r="AI121" s="5517" t="s">
        <v>428</v>
      </c>
      <c r="AJ121" s="9258" t="s">
        <v>5169</v>
      </c>
      <c r="AK121" s="9259"/>
      <c r="AL121" s="9260">
        <f>IF(NOT(AL120),"",IF(AV55,AV51,IF(AV77,AV73,"")))</f>
        <v>0</v>
      </c>
      <c r="AM121" s="9261"/>
      <c r="AN121" s="9261"/>
      <c r="AO121" s="9261"/>
      <c r="AP121" s="9262"/>
      <c r="AQ121" s="2757"/>
      <c r="AR121" s="2757"/>
      <c r="AS121" s="2757"/>
      <c r="AT121" s="2757"/>
    </row>
    <row r="122" spans="1:60" ht="17.25" customHeight="1" thickBot="1">
      <c r="A122" s="2757"/>
      <c r="B122" s="2945" t="s">
        <v>47</v>
      </c>
      <c r="C122" s="2213"/>
      <c r="D122" s="5518" t="s">
        <v>5171</v>
      </c>
      <c r="E122" s="5378"/>
      <c r="F122" s="5378"/>
      <c r="G122" s="5378"/>
      <c r="H122" s="5378"/>
      <c r="I122" s="5378"/>
      <c r="J122" s="5378"/>
      <c r="K122" s="5378"/>
      <c r="L122" s="5378"/>
      <c r="M122" s="5378"/>
      <c r="N122" s="5378"/>
      <c r="O122" s="5378"/>
      <c r="P122" s="5378"/>
      <c r="Q122" s="5378"/>
      <c r="R122" s="5378"/>
      <c r="S122" s="5378"/>
      <c r="T122" s="5378"/>
      <c r="U122" s="5378"/>
      <c r="V122" s="5378"/>
      <c r="W122" s="5378"/>
      <c r="X122" s="5378"/>
      <c r="Y122" s="2212"/>
      <c r="Z122" s="2212"/>
      <c r="AA122" s="2212"/>
      <c r="AB122" s="5378"/>
      <c r="AC122" s="5378"/>
      <c r="AD122" s="5378"/>
      <c r="AE122" s="5378"/>
      <c r="AF122" s="5378"/>
      <c r="AG122" s="5378"/>
      <c r="AH122" s="5378"/>
      <c r="AI122" s="5517" t="s">
        <v>428</v>
      </c>
      <c r="AJ122" s="9237" t="s">
        <v>5175</v>
      </c>
      <c r="AK122" s="9238"/>
      <c r="AL122" s="9239">
        <f>IF(NOT(AL120),"",IF(AV55,AV47,IF(AV77,AV70,"")))</f>
        <v>0</v>
      </c>
      <c r="AM122" s="9240"/>
      <c r="AN122" s="9240"/>
      <c r="AO122" s="9240"/>
      <c r="AP122" s="9241"/>
      <c r="AQ122" s="2757"/>
      <c r="AR122" s="2757"/>
      <c r="AS122" s="2757"/>
      <c r="AT122" s="2757"/>
    </row>
    <row r="123" spans="1:60" ht="17.25" customHeight="1">
      <c r="A123" s="2757"/>
      <c r="B123" s="2945">
        <v>29</v>
      </c>
      <c r="C123" s="2213"/>
      <c r="D123" s="5518" t="s">
        <v>5172</v>
      </c>
      <c r="E123" s="5378"/>
      <c r="F123" s="5378"/>
      <c r="G123" s="5378"/>
      <c r="H123" s="5378"/>
      <c r="I123" s="5378"/>
      <c r="J123" s="5378"/>
      <c r="K123" s="5378"/>
      <c r="L123" s="5378"/>
      <c r="M123" s="5378"/>
      <c r="N123" s="5378"/>
      <c r="O123" s="5378"/>
      <c r="P123" s="5378"/>
      <c r="Q123" s="5378"/>
      <c r="R123" s="5378"/>
      <c r="S123" s="5378"/>
      <c r="T123" s="5378"/>
      <c r="U123" s="5378"/>
      <c r="V123" s="5378"/>
      <c r="W123" s="5378"/>
      <c r="X123" s="5378"/>
      <c r="Y123" s="2212"/>
      <c r="Z123" s="2212"/>
      <c r="AA123" s="2212"/>
      <c r="AB123" s="5378"/>
      <c r="AC123" s="5378"/>
      <c r="AD123" s="5378"/>
      <c r="AE123" s="5378"/>
      <c r="AF123" s="5378"/>
      <c r="AG123" s="5378"/>
      <c r="AH123" s="5378"/>
      <c r="AI123" s="5378"/>
      <c r="AJ123" s="5386"/>
      <c r="AK123" s="5387"/>
      <c r="AL123" s="2213"/>
      <c r="AM123" s="5378"/>
      <c r="AN123" s="5378"/>
      <c r="AO123" s="5378"/>
      <c r="AP123" s="5169"/>
      <c r="AQ123" s="2757"/>
      <c r="AR123" s="2757"/>
      <c r="AS123" s="2757"/>
      <c r="AT123" s="2757"/>
    </row>
    <row r="124" spans="1:60" ht="17.25" customHeight="1">
      <c r="A124" s="2757"/>
      <c r="B124" s="2945"/>
      <c r="C124" s="2213"/>
      <c r="D124" s="5518" t="s">
        <v>5173</v>
      </c>
      <c r="E124" s="5518"/>
      <c r="F124" s="5378"/>
      <c r="G124" s="5378"/>
      <c r="H124" s="5378"/>
      <c r="I124" s="5378"/>
      <c r="J124" s="5378"/>
      <c r="K124" s="5378"/>
      <c r="L124" s="5378"/>
      <c r="M124" s="5378"/>
      <c r="N124" s="5378"/>
      <c r="O124" s="5378"/>
      <c r="P124" s="5378"/>
      <c r="Q124" s="5378"/>
      <c r="R124" s="5378"/>
      <c r="S124" s="5378"/>
      <c r="T124" s="5378"/>
      <c r="U124" s="5378"/>
      <c r="V124" s="5378"/>
      <c r="W124" s="5378"/>
      <c r="X124" s="5378"/>
      <c r="Y124" s="2212"/>
      <c r="Z124" s="2212"/>
      <c r="AA124" s="2212"/>
      <c r="AB124" s="5378"/>
      <c r="AC124" s="5378"/>
      <c r="AD124" s="5378"/>
      <c r="AE124" s="5378"/>
      <c r="AF124" s="5378"/>
      <c r="AG124" s="5378"/>
      <c r="AH124" s="5378"/>
      <c r="AI124" s="5517" t="s">
        <v>5174</v>
      </c>
      <c r="AJ124" s="9263">
        <v>29</v>
      </c>
      <c r="AK124" s="9264"/>
      <c r="AL124" s="9253">
        <f>IF(NOT(AL120),"",SUM(AL121,-AL122))</f>
        <v>0</v>
      </c>
      <c r="AM124" s="9254"/>
      <c r="AN124" s="9254"/>
      <c r="AO124" s="9254"/>
      <c r="AP124" s="9255"/>
      <c r="AQ124" s="2757"/>
      <c r="AR124" s="2757"/>
      <c r="AS124" s="2757"/>
      <c r="AT124" s="2757"/>
    </row>
    <row r="125" spans="1:60" ht="17.25" customHeight="1">
      <c r="A125" s="2757"/>
      <c r="B125" s="2945">
        <v>30</v>
      </c>
      <c r="C125" s="2213"/>
      <c r="D125" s="5518" t="s">
        <v>5176</v>
      </c>
      <c r="E125" s="5518"/>
      <c r="F125" s="5378"/>
      <c r="G125" s="5378"/>
      <c r="H125" s="5378"/>
      <c r="I125" s="5378"/>
      <c r="J125" s="5378"/>
      <c r="K125" s="5378"/>
      <c r="L125" s="5378"/>
      <c r="M125" s="5378"/>
      <c r="N125" s="5378"/>
      <c r="O125" s="5378"/>
      <c r="P125" s="5378"/>
      <c r="Q125" s="5378"/>
      <c r="R125" s="5378"/>
      <c r="S125" s="5378"/>
      <c r="T125" s="5378"/>
      <c r="U125" s="5378"/>
      <c r="V125" s="5378"/>
      <c r="W125" s="5378"/>
      <c r="X125" s="5378"/>
      <c r="Y125" s="2212"/>
      <c r="Z125" s="2212"/>
      <c r="AA125" s="2212"/>
      <c r="AB125" s="5378"/>
      <c r="AC125" s="5378"/>
      <c r="AD125" s="5378"/>
      <c r="AE125" s="5378"/>
      <c r="AF125" s="5378"/>
      <c r="AG125" s="5378"/>
      <c r="AH125" s="5378"/>
      <c r="AI125" s="5378"/>
      <c r="AJ125" s="5384"/>
      <c r="AK125" s="5385"/>
      <c r="AL125" s="2213"/>
      <c r="AM125" s="5378"/>
      <c r="AN125" s="5378"/>
      <c r="AO125" s="5378"/>
      <c r="AP125" s="5169"/>
      <c r="AQ125" s="2757"/>
      <c r="AR125" s="2757"/>
      <c r="AS125" s="2757"/>
      <c r="AT125" s="2757"/>
    </row>
    <row r="126" spans="1:60" ht="17.25" customHeight="1">
      <c r="A126" s="2757"/>
      <c r="B126" s="2945"/>
      <c r="C126" s="2213"/>
      <c r="D126" s="5518" t="str">
        <f>"received for "&amp;TaxYear&amp;". See your Letter 6419 for this number. If you are missing your Letter 6419, you are filing a joint"</f>
        <v>received for 2021. See your Letter 6419 for this number. If you are missing your Letter 6419, you are filing a joint</v>
      </c>
      <c r="E126" s="5518"/>
      <c r="F126" s="5378"/>
      <c r="G126" s="5378"/>
      <c r="H126" s="5378"/>
      <c r="I126" s="5378"/>
      <c r="J126" s="5378"/>
      <c r="K126" s="5378"/>
      <c r="L126" s="5378"/>
      <c r="M126" s="5378"/>
      <c r="N126" s="5378"/>
      <c r="O126" s="5378"/>
      <c r="P126" s="5378"/>
      <c r="Q126" s="5378"/>
      <c r="R126" s="5378"/>
      <c r="S126" s="5378"/>
      <c r="T126" s="5378"/>
      <c r="U126" s="5378"/>
      <c r="V126" s="5378"/>
      <c r="W126" s="5378"/>
      <c r="X126" s="5378"/>
      <c r="Y126" s="2212"/>
      <c r="Z126" s="2212"/>
      <c r="AA126" s="2212"/>
      <c r="AB126" s="5378"/>
      <c r="AC126" s="5378"/>
      <c r="AD126" s="5378"/>
      <c r="AE126" s="5378"/>
      <c r="AF126" s="5378"/>
      <c r="AG126" s="5378"/>
      <c r="AH126" s="5378"/>
      <c r="AI126" s="5378"/>
      <c r="AJ126" s="5384"/>
      <c r="AK126" s="5385"/>
      <c r="AL126" s="2213"/>
      <c r="AM126" s="5378"/>
      <c r="AN126" s="5378"/>
      <c r="AO126" s="5378"/>
      <c r="AP126" s="5169"/>
      <c r="AQ126" s="2757"/>
      <c r="AR126" s="2757"/>
      <c r="AS126" s="2757"/>
      <c r="AT126" s="2757"/>
    </row>
    <row r="127" spans="1:60" ht="17.25" customHeight="1">
      <c r="A127" s="2757"/>
      <c r="B127" s="2945"/>
      <c r="C127" s="2213"/>
      <c r="D127" s="5518" t="s">
        <v>5177</v>
      </c>
      <c r="E127" s="5518"/>
      <c r="F127" s="5378"/>
      <c r="G127" s="5378"/>
      <c r="H127" s="5378"/>
      <c r="I127" s="5378"/>
      <c r="J127" s="5378"/>
      <c r="K127" s="5378"/>
      <c r="L127" s="5378"/>
      <c r="M127" s="5378"/>
      <c r="N127" s="5378"/>
      <c r="O127" s="5378"/>
      <c r="P127" s="5378"/>
      <c r="Q127" s="5378"/>
      <c r="R127" s="5378"/>
      <c r="S127" s="5378"/>
      <c r="T127" s="5378"/>
      <c r="U127" s="5378"/>
      <c r="V127" s="5378"/>
      <c r="W127" s="5378"/>
      <c r="X127" s="5378"/>
      <c r="Y127" s="2212"/>
      <c r="Z127" s="2212"/>
      <c r="AA127" s="2212"/>
      <c r="AB127" s="5378"/>
      <c r="AC127" s="5378"/>
      <c r="AD127" s="5378"/>
      <c r="AE127" s="5378"/>
      <c r="AF127" s="5378"/>
      <c r="AG127" s="5378"/>
      <c r="AH127" s="5378"/>
      <c r="AI127" s="5378"/>
      <c r="AJ127" s="9263">
        <v>30</v>
      </c>
      <c r="AK127" s="9264"/>
      <c r="AL127" s="9408"/>
      <c r="AM127" s="9409"/>
      <c r="AN127" s="9409"/>
      <c r="AO127" s="9409"/>
      <c r="AP127" s="9410"/>
      <c r="AQ127" s="2757"/>
      <c r="AR127" s="2757"/>
      <c r="AS127" s="2757"/>
      <c r="AT127" s="2757"/>
      <c r="AV127" s="3381">
        <f>IF(AL127="",0,AL127)</f>
        <v>0</v>
      </c>
    </row>
    <row r="128" spans="1:60" ht="17.25" customHeight="1">
      <c r="A128" s="2757"/>
      <c r="B128" s="2945"/>
      <c r="C128" s="2213"/>
      <c r="D128" s="5518" t="s">
        <v>5178</v>
      </c>
      <c r="E128" s="5518"/>
      <c r="F128" s="5378"/>
      <c r="G128" s="5378"/>
      <c r="H128" s="5378"/>
      <c r="I128" s="5378"/>
      <c r="J128" s="5378"/>
      <c r="K128" s="5378"/>
      <c r="L128" s="5378"/>
      <c r="M128" s="5378"/>
      <c r="N128" s="5378"/>
      <c r="O128" s="5378"/>
      <c r="P128" s="5378"/>
      <c r="Q128" s="5378"/>
      <c r="R128" s="5378"/>
      <c r="S128" s="5378"/>
      <c r="T128" s="5378"/>
      <c r="U128" s="5378"/>
      <c r="V128" s="5378"/>
      <c r="W128" s="5378"/>
      <c r="X128" s="5378"/>
      <c r="Y128" s="2212"/>
      <c r="Z128" s="2212"/>
      <c r="AA128" s="2212"/>
      <c r="AB128" s="5378"/>
      <c r="AC128" s="5378"/>
      <c r="AD128" s="5378"/>
      <c r="AE128" s="5378"/>
      <c r="AF128" s="5378"/>
      <c r="AG128" s="5378"/>
      <c r="AH128" s="5378"/>
      <c r="AI128" s="5378"/>
      <c r="AJ128" s="5384"/>
      <c r="AK128" s="5385"/>
      <c r="AL128" s="2213"/>
      <c r="AM128" s="5378"/>
      <c r="AN128" s="5378"/>
      <c r="AO128" s="5378"/>
      <c r="AP128" s="5169"/>
      <c r="AQ128" s="2757"/>
      <c r="AR128" s="2757"/>
      <c r="AS128" s="2757"/>
      <c r="AT128" s="2757"/>
    </row>
    <row r="129" spans="1:48" ht="17.25" customHeight="1">
      <c r="A129" s="2757"/>
      <c r="B129" s="2945"/>
      <c r="C129" s="2213"/>
      <c r="D129" s="5518" t="s">
        <v>5179</v>
      </c>
      <c r="E129" s="5518"/>
      <c r="F129" s="5378"/>
      <c r="G129" s="5378"/>
      <c r="H129" s="5378"/>
      <c r="I129" s="5378"/>
      <c r="J129" s="5378"/>
      <c r="K129" s="5378"/>
      <c r="L129" s="5378"/>
      <c r="M129" s="5378"/>
      <c r="N129" s="5378"/>
      <c r="O129" s="5378"/>
      <c r="P129" s="5378"/>
      <c r="Q129" s="5378"/>
      <c r="R129" s="5378"/>
      <c r="S129" s="5378"/>
      <c r="T129" s="5378"/>
      <c r="U129" s="5378"/>
      <c r="V129" s="5378"/>
      <c r="W129" s="5378"/>
      <c r="X129" s="5378"/>
      <c r="Y129" s="2212"/>
      <c r="Z129" s="2212"/>
      <c r="AA129" s="2212"/>
      <c r="AB129" s="5378"/>
      <c r="AC129" s="5378"/>
      <c r="AD129" s="5378"/>
      <c r="AE129" s="5378"/>
      <c r="AF129" s="5378"/>
      <c r="AG129" s="5378"/>
      <c r="AH129" s="5378"/>
      <c r="AI129" s="5378"/>
      <c r="AJ129" s="5384"/>
      <c r="AK129" s="5385"/>
      <c r="AL129" s="2213"/>
      <c r="AM129" s="5378"/>
      <c r="AN129" s="5378"/>
      <c r="AO129" s="5378"/>
      <c r="AP129" s="5169"/>
      <c r="AQ129" s="2757"/>
      <c r="AR129" s="2757"/>
      <c r="AS129" s="2757"/>
      <c r="AT129" s="2757"/>
    </row>
    <row r="130" spans="1:48" ht="17.25" customHeight="1" thickBot="1">
      <c r="A130" s="2757"/>
      <c r="B130" s="2945">
        <v>31</v>
      </c>
      <c r="C130" s="2213"/>
      <c r="D130" s="5518" t="s">
        <v>5180</v>
      </c>
      <c r="E130" s="5378"/>
      <c r="F130" s="5378"/>
      <c r="G130" s="5378"/>
      <c r="H130" s="5378"/>
      <c r="I130" s="5378"/>
      <c r="J130" s="5378"/>
      <c r="K130" s="5378"/>
      <c r="L130" s="5378"/>
      <c r="M130" s="5378"/>
      <c r="N130" s="5378"/>
      <c r="O130" s="5378"/>
      <c r="P130" s="5378"/>
      <c r="Q130" s="5378"/>
      <c r="R130" s="5378"/>
      <c r="S130" s="5378"/>
      <c r="T130" s="5378"/>
      <c r="U130" s="5378"/>
      <c r="V130" s="5378"/>
      <c r="W130" s="5378"/>
      <c r="X130" s="5378"/>
      <c r="Y130" s="2212"/>
      <c r="Z130" s="2212"/>
      <c r="AA130" s="2212"/>
      <c r="AB130" s="5378"/>
      <c r="AC130" s="5378"/>
      <c r="AD130" s="5378"/>
      <c r="AE130" s="5378"/>
      <c r="AF130" s="5378"/>
      <c r="AG130" s="5378"/>
      <c r="AH130" s="5378"/>
      <c r="AI130" s="5517" t="s">
        <v>1584</v>
      </c>
      <c r="AJ130" s="9251">
        <v>31</v>
      </c>
      <c r="AK130" s="9252"/>
      <c r="AL130" s="9337">
        <f>IF(NOT(AL120),"",MIN(AE18,AV127))</f>
        <v>0</v>
      </c>
      <c r="AM130" s="9338"/>
      <c r="AN130" s="9338"/>
      <c r="AO130" s="9338"/>
      <c r="AP130" s="9339"/>
      <c r="AQ130" s="2757"/>
      <c r="AR130" s="2757"/>
      <c r="AS130" s="2757"/>
      <c r="AT130" s="2757"/>
    </row>
    <row r="131" spans="1:48" ht="17.25" customHeight="1">
      <c r="A131" s="2757"/>
      <c r="B131" s="2945">
        <v>32</v>
      </c>
      <c r="C131" s="2213"/>
      <c r="D131" s="5518" t="s">
        <v>5759</v>
      </c>
      <c r="E131" s="5378"/>
      <c r="F131" s="5378"/>
      <c r="G131" s="5378"/>
      <c r="H131" s="5378"/>
      <c r="I131" s="5378"/>
      <c r="J131" s="5378"/>
      <c r="K131" s="5378"/>
      <c r="L131" s="2213" t="s">
        <v>5761</v>
      </c>
      <c r="M131" s="5378"/>
      <c r="N131" s="5378"/>
      <c r="O131" s="5378"/>
      <c r="P131" s="5378"/>
      <c r="Q131" s="5378"/>
      <c r="R131" s="5378"/>
      <c r="S131" s="5378"/>
      <c r="T131" s="5378"/>
      <c r="U131" s="5378"/>
      <c r="V131" s="5378"/>
      <c r="W131" s="5378"/>
      <c r="X131" s="5378"/>
      <c r="Y131" s="2212"/>
      <c r="Z131" s="2212"/>
      <c r="AA131" s="2212"/>
      <c r="AB131" s="5378"/>
      <c r="AC131" s="5378"/>
      <c r="AD131" s="5378"/>
      <c r="AE131" s="5378"/>
      <c r="AF131" s="5378"/>
      <c r="AG131" s="5378"/>
      <c r="AH131" s="5378"/>
      <c r="AI131" s="5517"/>
      <c r="AJ131" s="5534"/>
      <c r="AK131" s="5535"/>
      <c r="AL131" s="5536"/>
      <c r="AM131" s="5537"/>
      <c r="AN131" s="5537"/>
      <c r="AO131" s="5537"/>
      <c r="AP131" s="2991"/>
      <c r="AQ131" s="2757"/>
      <c r="AR131" s="2757"/>
      <c r="AS131" s="2757"/>
      <c r="AT131" s="2757"/>
    </row>
    <row r="132" spans="1:48" ht="17.25" customHeight="1">
      <c r="A132" s="2757"/>
      <c r="B132" s="2945"/>
      <c r="C132" s="2213"/>
      <c r="D132" s="5518" t="s">
        <v>5760</v>
      </c>
      <c r="E132" s="5378"/>
      <c r="F132" s="5378"/>
      <c r="G132" s="5378"/>
      <c r="H132" s="5378"/>
      <c r="I132" s="5378"/>
      <c r="J132" s="5378"/>
      <c r="K132" s="5378"/>
      <c r="L132" s="5378"/>
      <c r="M132" s="5378"/>
      <c r="N132" s="5378"/>
      <c r="O132" s="5378"/>
      <c r="P132" s="5378"/>
      <c r="Q132" s="5378"/>
      <c r="R132" s="5378"/>
      <c r="S132" s="5378"/>
      <c r="T132" s="5378"/>
      <c r="U132" s="5378"/>
      <c r="V132" s="5378"/>
      <c r="W132" s="5378"/>
      <c r="X132" s="5378"/>
      <c r="Y132" s="2212"/>
      <c r="Z132" s="2212"/>
      <c r="AA132" s="2212"/>
      <c r="AB132" s="5378"/>
      <c r="AC132" s="5378"/>
      <c r="AD132" s="5378"/>
      <c r="AE132" s="5378"/>
      <c r="AF132" s="5378"/>
      <c r="AG132" s="5378"/>
      <c r="AH132" s="5378"/>
      <c r="AI132" s="5517" t="s">
        <v>2980</v>
      </c>
      <c r="AJ132" s="9263">
        <v>32</v>
      </c>
      <c r="AK132" s="9264"/>
      <c r="AL132" s="9253">
        <f>IF(NOT(AL120),"",SUM(AV127,-AL130))</f>
        <v>0</v>
      </c>
      <c r="AM132" s="9254"/>
      <c r="AN132" s="9254"/>
      <c r="AO132" s="9254"/>
      <c r="AP132" s="9255"/>
      <c r="AQ132" s="2757"/>
      <c r="AR132" s="2757"/>
      <c r="AS132" s="2757"/>
      <c r="AT132" s="2757"/>
      <c r="AV132" s="1286" t="b">
        <f>AL132=0</f>
        <v>1</v>
      </c>
    </row>
    <row r="133" spans="1:48" ht="17.25" customHeight="1">
      <c r="A133" s="2757"/>
      <c r="B133" s="2945">
        <v>33</v>
      </c>
      <c r="C133" s="2213"/>
      <c r="D133" s="5518" t="s">
        <v>188</v>
      </c>
      <c r="E133" s="5378"/>
      <c r="F133" s="5378"/>
      <c r="G133" s="5378"/>
      <c r="H133" s="5378"/>
      <c r="I133" s="5378"/>
      <c r="J133" s="5378"/>
      <c r="K133" s="5378"/>
      <c r="L133" s="5378"/>
      <c r="M133" s="5378"/>
      <c r="N133" s="5378"/>
      <c r="O133" s="5378"/>
      <c r="P133" s="5378"/>
      <c r="Q133" s="5378"/>
      <c r="R133" s="5378"/>
      <c r="S133" s="5378"/>
      <c r="T133" s="5378"/>
      <c r="U133" s="5378"/>
      <c r="V133" s="5378"/>
      <c r="W133" s="5378"/>
      <c r="X133" s="5378"/>
      <c r="Y133" s="2212"/>
      <c r="Z133" s="2212"/>
      <c r="AA133" s="2212"/>
      <c r="AB133" s="5378"/>
      <c r="AC133" s="5378"/>
      <c r="AD133" s="5378"/>
      <c r="AE133" s="5378"/>
      <c r="AF133" s="5378"/>
      <c r="AG133" s="5378"/>
      <c r="AH133" s="5378"/>
      <c r="AI133" s="5378"/>
      <c r="AJ133" s="5386"/>
      <c r="AK133" s="5387"/>
      <c r="AL133" s="2213"/>
      <c r="AM133" s="5378"/>
      <c r="AN133" s="5378"/>
      <c r="AO133" s="5378"/>
      <c r="AP133" s="5169"/>
      <c r="AQ133" s="2757"/>
      <c r="AR133" s="2757"/>
      <c r="AS133" s="2757"/>
      <c r="AT133" s="2757"/>
    </row>
    <row r="134" spans="1:48" ht="17.25" customHeight="1">
      <c r="A134" s="2757"/>
      <c r="B134" s="2945"/>
      <c r="C134" s="4780"/>
      <c r="D134" s="5041" t="s">
        <v>593</v>
      </c>
      <c r="E134" s="5525" t="s">
        <v>5181</v>
      </c>
      <c r="F134" s="1830"/>
      <c r="G134" s="5525"/>
      <c r="H134" s="1830"/>
      <c r="I134" s="1830"/>
      <c r="J134" s="1830"/>
      <c r="K134" s="1830"/>
      <c r="L134" s="1830"/>
      <c r="M134" s="1830"/>
      <c r="N134" s="1830"/>
      <c r="O134" s="1830"/>
      <c r="P134" s="1830"/>
      <c r="Q134" s="1830"/>
      <c r="R134" s="9412">
        <v>60000</v>
      </c>
      <c r="S134" s="9412"/>
      <c r="T134" s="9412"/>
      <c r="U134" s="5531"/>
      <c r="V134" s="5531"/>
      <c r="W134" s="1830"/>
      <c r="X134" s="1830"/>
      <c r="Y134" s="4065"/>
      <c r="Z134" s="1776"/>
      <c r="AA134" s="4065"/>
      <c r="AB134" s="1830"/>
      <c r="AC134" s="1830"/>
      <c r="AD134" s="1830"/>
      <c r="AE134" s="1830"/>
      <c r="AF134" s="1830"/>
      <c r="AG134" s="1830"/>
      <c r="AH134" s="1830"/>
      <c r="AI134" s="1830"/>
      <c r="AJ134" s="4717"/>
      <c r="AK134" s="4718"/>
      <c r="AL134" s="9292" t="str">
        <f>IF(NumFileStatusBoxes&lt;&gt;1,"",IF(OR(File_Marr_Joint&lt;&gt;"",File_Qual_Widow&lt;&gt;""),R134,IF(File_Head&lt;&gt;"",K135,L136)))</f>
        <v/>
      </c>
      <c r="AM134" s="9285"/>
      <c r="AN134" s="9285"/>
      <c r="AO134" s="9285"/>
      <c r="AP134" s="9285"/>
      <c r="AQ134" s="2757"/>
      <c r="AR134" s="2757"/>
      <c r="AS134" s="2757"/>
      <c r="AT134" s="2757"/>
    </row>
    <row r="135" spans="1:48" ht="17.25" customHeight="1">
      <c r="A135" s="2757"/>
      <c r="B135" s="2945"/>
      <c r="C135" s="4780"/>
      <c r="D135" s="5041" t="s">
        <v>593</v>
      </c>
      <c r="E135" s="5525" t="s">
        <v>5182</v>
      </c>
      <c r="F135" s="1830"/>
      <c r="G135" s="1830"/>
      <c r="H135" s="1830"/>
      <c r="I135" s="1830"/>
      <c r="J135" s="1830"/>
      <c r="K135" s="9412">
        <v>50000</v>
      </c>
      <c r="L135" s="9412"/>
      <c r="M135" s="9412"/>
      <c r="N135" s="1830"/>
      <c r="O135" s="1830"/>
      <c r="P135" s="1830"/>
      <c r="Q135" s="1830"/>
      <c r="R135" s="1830"/>
      <c r="S135" s="1830"/>
      <c r="T135" s="1830"/>
      <c r="U135" s="1830"/>
      <c r="V135" s="1830"/>
      <c r="W135" s="1830"/>
      <c r="X135" s="1830"/>
      <c r="Y135" s="4065"/>
      <c r="Z135" s="1776"/>
      <c r="AA135" s="4065"/>
      <c r="AB135" s="1830"/>
      <c r="AC135" s="1830"/>
      <c r="AD135" s="1830"/>
      <c r="AE135" s="1830"/>
      <c r="AF135" s="1830"/>
      <c r="AG135" s="1830"/>
      <c r="AH135" s="1830"/>
      <c r="AI135" s="5517"/>
      <c r="AJ135" s="9403"/>
      <c r="AK135" s="9404"/>
      <c r="AL135" s="2213"/>
      <c r="AM135" s="5378"/>
      <c r="AN135" s="5378"/>
      <c r="AO135" s="5378"/>
      <c r="AP135" s="5169"/>
      <c r="AQ135" s="2757"/>
      <c r="AR135" s="2757"/>
      <c r="AS135" s="2757"/>
      <c r="AT135" s="2757"/>
    </row>
    <row r="136" spans="1:48" ht="17.25" customHeight="1">
      <c r="A136" s="2757"/>
      <c r="B136" s="2945"/>
      <c r="C136" s="4780"/>
      <c r="D136" s="5041" t="s">
        <v>593</v>
      </c>
      <c r="E136" s="5525" t="s">
        <v>5183</v>
      </c>
      <c r="F136" s="1830"/>
      <c r="G136" s="1830"/>
      <c r="H136" s="1830"/>
      <c r="I136" s="1830"/>
      <c r="J136" s="1830"/>
      <c r="K136" s="1830"/>
      <c r="L136" s="9412">
        <v>40000</v>
      </c>
      <c r="M136" s="9412"/>
      <c r="N136" s="9412"/>
      <c r="O136" s="1830"/>
      <c r="P136" s="1830"/>
      <c r="Q136" s="1830"/>
      <c r="R136" s="1830"/>
      <c r="S136" s="1830"/>
      <c r="T136" s="1830"/>
      <c r="U136" s="1830"/>
      <c r="V136" s="1830"/>
      <c r="W136" s="1830"/>
      <c r="X136" s="1830"/>
      <c r="Y136" s="4065"/>
      <c r="Z136" s="1776"/>
      <c r="AA136" s="4065"/>
      <c r="AB136" s="1830"/>
      <c r="AC136" s="1830"/>
      <c r="AD136" s="1830"/>
      <c r="AE136" s="1830"/>
      <c r="AF136" s="1830"/>
      <c r="AG136" s="1830"/>
      <c r="AH136" s="1830"/>
      <c r="AI136" s="5517" t="s">
        <v>567</v>
      </c>
      <c r="AJ136" s="9263">
        <v>33</v>
      </c>
      <c r="AK136" s="9264"/>
      <c r="AL136" s="9253" t="str">
        <f>IF(OR(AV132,NOT(AL120)),"",AL134)</f>
        <v/>
      </c>
      <c r="AM136" s="9254"/>
      <c r="AN136" s="9254"/>
      <c r="AO136" s="9254"/>
      <c r="AP136" s="9255"/>
      <c r="AQ136" s="2757"/>
      <c r="AR136" s="2757"/>
      <c r="AS136" s="3277"/>
      <c r="AT136" s="2757"/>
    </row>
    <row r="137" spans="1:48" ht="17.25" customHeight="1">
      <c r="A137" s="2757"/>
      <c r="B137" s="2945">
        <v>34</v>
      </c>
      <c r="C137" s="4780"/>
      <c r="D137" s="5525" t="s">
        <v>5184</v>
      </c>
      <c r="E137" s="1830"/>
      <c r="F137" s="1830"/>
      <c r="G137" s="1830"/>
      <c r="H137" s="1830"/>
      <c r="I137" s="1830"/>
      <c r="J137" s="1830"/>
      <c r="K137" s="1830"/>
      <c r="L137" s="1830"/>
      <c r="M137" s="1830"/>
      <c r="N137" s="1830"/>
      <c r="O137" s="1830"/>
      <c r="P137" s="1830"/>
      <c r="Q137" s="1830"/>
      <c r="R137" s="1830"/>
      <c r="S137" s="1830"/>
      <c r="T137" s="1830"/>
      <c r="U137" s="1830"/>
      <c r="V137" s="1830"/>
      <c r="W137" s="1830"/>
      <c r="X137" s="1830"/>
      <c r="Y137" s="4065"/>
      <c r="Z137" s="1776"/>
      <c r="AA137" s="4065"/>
      <c r="AB137" s="1830"/>
      <c r="AC137" s="1830"/>
      <c r="AD137" s="1830"/>
      <c r="AE137" s="1830"/>
      <c r="AF137" s="1830"/>
      <c r="AG137" s="1830"/>
      <c r="AH137" s="1830"/>
      <c r="AI137" s="1830"/>
      <c r="AJ137" s="9258">
        <v>34</v>
      </c>
      <c r="AK137" s="9259"/>
      <c r="AL137" s="9265" t="str">
        <f>IF(OR(AV28,NOT(AL120),AV132),"",MAX(0,SUM(AL17,-AL136)))</f>
        <v/>
      </c>
      <c r="AM137" s="9266"/>
      <c r="AN137" s="9266"/>
      <c r="AO137" s="9266"/>
      <c r="AP137" s="9267"/>
      <c r="AQ137" s="2757"/>
      <c r="AR137" s="2757"/>
      <c r="AS137" s="2757"/>
      <c r="AT137" s="2757"/>
    </row>
    <row r="138" spans="1:48" ht="17.25" customHeight="1">
      <c r="A138" s="2757"/>
      <c r="B138" s="2945">
        <v>35</v>
      </c>
      <c r="C138" s="4780"/>
      <c r="D138" s="5525" t="s">
        <v>5185</v>
      </c>
      <c r="E138" s="1830"/>
      <c r="F138" s="1830"/>
      <c r="G138" s="1830"/>
      <c r="H138" s="1830"/>
      <c r="I138" s="1830"/>
      <c r="J138" s="1830"/>
      <c r="K138" s="1830"/>
      <c r="L138" s="1830"/>
      <c r="M138" s="1830"/>
      <c r="N138" s="1830"/>
      <c r="O138" s="1830"/>
      <c r="P138" s="1830"/>
      <c r="Q138" s="1830"/>
      <c r="R138" s="1830"/>
      <c r="S138" s="1830"/>
      <c r="T138" s="1830"/>
      <c r="U138" s="1830"/>
      <c r="V138" s="1830"/>
      <c r="W138" s="1830"/>
      <c r="X138" s="1830"/>
      <c r="Y138" s="4065"/>
      <c r="Z138" s="1776"/>
      <c r="AA138" s="4065"/>
      <c r="AB138" s="1830"/>
      <c r="AC138" s="1830"/>
      <c r="AD138" s="1830"/>
      <c r="AE138" s="1830"/>
      <c r="AF138" s="1830"/>
      <c r="AG138" s="1830"/>
      <c r="AH138" s="1830"/>
      <c r="AI138" s="5517" t="s">
        <v>5192</v>
      </c>
      <c r="AJ138" s="9258">
        <v>35</v>
      </c>
      <c r="AK138" s="9259"/>
      <c r="AL138" s="9260" t="str">
        <f>IF(OR(AV28,NOT(AL120),AV132),"",AL136)</f>
        <v/>
      </c>
      <c r="AM138" s="9261"/>
      <c r="AN138" s="9261"/>
      <c r="AO138" s="9261"/>
      <c r="AP138" s="9262"/>
      <c r="AQ138" s="2757"/>
      <c r="AR138" s="2757"/>
      <c r="AS138" s="2757"/>
      <c r="AT138" s="2757"/>
    </row>
    <row r="139" spans="1:48" ht="17.25" customHeight="1">
      <c r="A139" s="2757"/>
      <c r="B139" s="2945">
        <v>36</v>
      </c>
      <c r="C139" s="4780"/>
      <c r="D139" s="5525" t="s">
        <v>5186</v>
      </c>
      <c r="E139" s="1830"/>
      <c r="F139" s="1830"/>
      <c r="G139" s="1830"/>
      <c r="H139" s="1830"/>
      <c r="I139" s="1830"/>
      <c r="J139" s="1830"/>
      <c r="K139" s="1830"/>
      <c r="L139" s="1830"/>
      <c r="M139" s="1830"/>
      <c r="N139" s="1830"/>
      <c r="O139" s="1830"/>
      <c r="P139" s="1830"/>
      <c r="Q139" s="1830"/>
      <c r="R139" s="1830"/>
      <c r="S139" s="1830"/>
      <c r="T139" s="1830"/>
      <c r="U139" s="1830"/>
      <c r="V139" s="1830"/>
      <c r="W139" s="1830"/>
      <c r="X139" s="1830"/>
      <c r="Y139" s="4065"/>
      <c r="Z139" s="1776"/>
      <c r="AA139" s="4065"/>
      <c r="AB139" s="1830"/>
      <c r="AC139" s="1830"/>
      <c r="AD139" s="1830"/>
      <c r="AE139" s="1830"/>
      <c r="AF139" s="1830"/>
      <c r="AG139" s="1830"/>
      <c r="AH139" s="1830"/>
      <c r="AI139" s="1830"/>
      <c r="AJ139" s="5386"/>
      <c r="AK139" s="5387"/>
      <c r="AL139" s="4780"/>
      <c r="AM139" s="1830"/>
      <c r="AN139" s="1830"/>
      <c r="AO139" s="1830"/>
      <c r="AP139" s="5374"/>
      <c r="AQ139" s="2757"/>
      <c r="AR139" s="2757"/>
      <c r="AS139" s="2757"/>
      <c r="AT139" s="2757"/>
    </row>
    <row r="140" spans="1:48" ht="17.25" customHeight="1">
      <c r="A140" s="2757"/>
      <c r="B140" s="2945"/>
      <c r="C140" s="4780"/>
      <c r="D140" s="5525" t="s">
        <v>5187</v>
      </c>
      <c r="E140" s="1830"/>
      <c r="F140" s="1830"/>
      <c r="G140" s="1830"/>
      <c r="H140" s="1830"/>
      <c r="I140" s="1830"/>
      <c r="J140" s="1830"/>
      <c r="K140" s="1830"/>
      <c r="L140" s="1830"/>
      <c r="M140" s="1830"/>
      <c r="N140" s="1830"/>
      <c r="O140" s="1830"/>
      <c r="P140" s="1830"/>
      <c r="Q140" s="1830"/>
      <c r="R140" s="1830"/>
      <c r="S140" s="1830"/>
      <c r="T140" s="1830"/>
      <c r="U140" s="1830"/>
      <c r="V140" s="1830"/>
      <c r="W140" s="1830"/>
      <c r="X140" s="1830"/>
      <c r="Y140" s="4065"/>
      <c r="Z140" s="1776"/>
      <c r="AA140" s="4065"/>
      <c r="AB140" s="1830"/>
      <c r="AC140" s="1830"/>
      <c r="AD140" s="1830"/>
      <c r="AE140" s="1830"/>
      <c r="AF140" s="1830"/>
      <c r="AG140" s="1830"/>
      <c r="AH140" s="1830"/>
      <c r="AI140" s="5517" t="s">
        <v>1585</v>
      </c>
      <c r="AJ140" s="9263">
        <v>36</v>
      </c>
      <c r="AK140" s="9264"/>
      <c r="AL140" s="9405" t="str">
        <f>IF(OR(AV28,NOT(AL120),AV132),"",IF(AL137=0,0,MIN(1,ROUND(AL137/AL138,3))))</f>
        <v/>
      </c>
      <c r="AM140" s="9406"/>
      <c r="AN140" s="9406"/>
      <c r="AO140" s="9406"/>
      <c r="AP140" s="9407"/>
      <c r="AQ140" s="2757"/>
      <c r="AR140" s="2757"/>
      <c r="AS140" s="2757"/>
      <c r="AT140" s="2757"/>
    </row>
    <row r="141" spans="1:48" ht="17.25" customHeight="1">
      <c r="A141" s="2757"/>
      <c r="B141" s="2945">
        <v>37</v>
      </c>
      <c r="C141" s="4780"/>
      <c r="D141" s="5525" t="str">
        <f>"Multiply line 32 by "&amp;TEXT(AV141,"$0,000")</f>
        <v>Multiply line 32 by $2,000</v>
      </c>
      <c r="E141" s="1830"/>
      <c r="F141" s="1830"/>
      <c r="G141" s="1830"/>
      <c r="H141" s="1830"/>
      <c r="I141" s="1830"/>
      <c r="J141" s="1830"/>
      <c r="K141" s="1830"/>
      <c r="L141" s="1830"/>
      <c r="M141" s="1830"/>
      <c r="N141" s="1830"/>
      <c r="O141" s="1830"/>
      <c r="P141" s="1830"/>
      <c r="Q141" s="1830"/>
      <c r="R141" s="1830"/>
      <c r="S141" s="1830"/>
      <c r="T141" s="1830"/>
      <c r="U141" s="1830"/>
      <c r="V141" s="1830"/>
      <c r="W141" s="1830"/>
      <c r="X141" s="1830"/>
      <c r="Y141" s="4065"/>
      <c r="Z141" s="1776"/>
      <c r="AA141" s="4065"/>
      <c r="AB141" s="1830"/>
      <c r="AC141" s="1830"/>
      <c r="AD141" s="1830"/>
      <c r="AE141" s="1830"/>
      <c r="AF141" s="1830"/>
      <c r="AG141" s="1830"/>
      <c r="AH141" s="1830"/>
      <c r="AI141" s="5517" t="s">
        <v>575</v>
      </c>
      <c r="AJ141" s="9258">
        <v>37</v>
      </c>
      <c r="AK141" s="9259"/>
      <c r="AL141" s="9260" t="str">
        <f>IF(OR(AV28,NOT(AL120),AV132),"",ROUND(AL132*AV141,0))</f>
        <v/>
      </c>
      <c r="AM141" s="9261"/>
      <c r="AN141" s="9261"/>
      <c r="AO141" s="9261"/>
      <c r="AP141" s="9262"/>
      <c r="AQ141" s="2757"/>
      <c r="AR141" s="2757"/>
      <c r="AS141" s="2757"/>
      <c r="AT141" s="2757"/>
      <c r="AV141" s="3381">
        <v>2000</v>
      </c>
    </row>
    <row r="142" spans="1:48" ht="17.25" customHeight="1" thickBot="1">
      <c r="A142" s="2757"/>
      <c r="B142" s="2945">
        <v>38</v>
      </c>
      <c r="C142" s="4780"/>
      <c r="D142" s="5525" t="s">
        <v>5188</v>
      </c>
      <c r="E142" s="1830"/>
      <c r="F142" s="1830"/>
      <c r="G142" s="1830"/>
      <c r="H142" s="1830"/>
      <c r="I142" s="1830"/>
      <c r="J142" s="1830"/>
      <c r="K142" s="1830"/>
      <c r="L142" s="1830"/>
      <c r="M142" s="1830"/>
      <c r="N142" s="1830"/>
      <c r="O142" s="1830"/>
      <c r="P142" s="1830"/>
      <c r="Q142" s="1830"/>
      <c r="R142" s="1830"/>
      <c r="S142" s="1830"/>
      <c r="T142" s="1830"/>
      <c r="U142" s="1830"/>
      <c r="V142" s="1830"/>
      <c r="W142" s="1830"/>
      <c r="X142" s="1830"/>
      <c r="Y142" s="4065"/>
      <c r="Z142" s="1776"/>
      <c r="AA142" s="4065"/>
      <c r="AB142" s="1830"/>
      <c r="AC142" s="1830"/>
      <c r="AD142" s="1830"/>
      <c r="AE142" s="1830"/>
      <c r="AF142" s="1830"/>
      <c r="AG142" s="1830"/>
      <c r="AH142" s="1830"/>
      <c r="AI142" s="5517" t="s">
        <v>575</v>
      </c>
      <c r="AJ142" s="9237">
        <v>38</v>
      </c>
      <c r="AK142" s="9238"/>
      <c r="AL142" s="9239" t="str">
        <f>IF(OR(AV28,NOT(AL120),AV132),"",ROUND(AL141*AL140,0))</f>
        <v/>
      </c>
      <c r="AM142" s="9240"/>
      <c r="AN142" s="9240"/>
      <c r="AO142" s="9240"/>
      <c r="AP142" s="9241"/>
      <c r="AQ142" s="2757"/>
      <c r="AR142" s="2757"/>
      <c r="AS142" s="2757"/>
      <c r="AT142" s="2757"/>
    </row>
    <row r="143" spans="1:48" ht="17.25" customHeight="1">
      <c r="A143" s="2757"/>
      <c r="B143" s="2945">
        <v>39</v>
      </c>
      <c r="C143" s="4780"/>
      <c r="D143" s="5525" t="s">
        <v>5189</v>
      </c>
      <c r="E143" s="1830"/>
      <c r="F143" s="1830"/>
      <c r="G143" s="1830"/>
      <c r="H143" s="1830"/>
      <c r="I143" s="1830"/>
      <c r="J143" s="1830"/>
      <c r="K143" s="1830"/>
      <c r="L143" s="1830"/>
      <c r="M143" s="1830"/>
      <c r="N143" s="1830"/>
      <c r="O143" s="1830"/>
      <c r="P143" s="1830"/>
      <c r="Q143" s="1830"/>
      <c r="R143" s="1830"/>
      <c r="S143" s="1830"/>
      <c r="T143" s="1830"/>
      <c r="U143" s="1830"/>
      <c r="V143" s="1830"/>
      <c r="W143" s="1830"/>
      <c r="X143" s="1830"/>
      <c r="Y143" s="4065"/>
      <c r="Z143" s="1776"/>
      <c r="AA143" s="4065"/>
      <c r="AB143" s="1830"/>
      <c r="AC143" s="1830"/>
      <c r="AD143" s="1830"/>
      <c r="AE143" s="1830"/>
      <c r="AF143" s="1830"/>
      <c r="AG143" s="1830"/>
      <c r="AH143" s="1830"/>
      <c r="AI143" s="5517" t="s">
        <v>575</v>
      </c>
      <c r="AJ143" s="9242">
        <v>39</v>
      </c>
      <c r="AK143" s="9243"/>
      <c r="AL143" s="9244" t="str">
        <f>IF(OR(AV28,NOT(AL120),AV132),"",SUM(AL141,-AL142))</f>
        <v/>
      </c>
      <c r="AM143" s="9245"/>
      <c r="AN143" s="9245"/>
      <c r="AO143" s="9245"/>
      <c r="AP143" s="9246"/>
      <c r="AQ143" s="2757"/>
      <c r="AR143" s="2757"/>
      <c r="AS143" s="2757"/>
      <c r="AT143" s="2757"/>
    </row>
    <row r="144" spans="1:48" ht="17.25" customHeight="1">
      <c r="A144" s="2757"/>
      <c r="B144" s="2945">
        <v>40</v>
      </c>
      <c r="C144" s="4780"/>
      <c r="D144" s="5525" t="s">
        <v>5191</v>
      </c>
      <c r="E144" s="1830"/>
      <c r="F144" s="1830"/>
      <c r="G144" s="1830"/>
      <c r="H144" s="1830"/>
      <c r="I144" s="1830"/>
      <c r="J144" s="1830"/>
      <c r="K144" s="1830"/>
      <c r="L144" s="1830"/>
      <c r="M144" s="1830"/>
      <c r="N144" s="1830"/>
      <c r="O144" s="1830"/>
      <c r="P144" s="1830"/>
      <c r="Q144" s="1830"/>
      <c r="R144" s="1830"/>
      <c r="S144" s="1830"/>
      <c r="T144" s="1830"/>
      <c r="U144" s="1830"/>
      <c r="V144" s="1830"/>
      <c r="W144" s="1830"/>
      <c r="X144" s="1830"/>
      <c r="Y144" s="4065"/>
      <c r="Z144" s="1776"/>
      <c r="AA144" s="4065"/>
      <c r="AB144" s="1830"/>
      <c r="AC144" s="1830"/>
      <c r="AD144" s="1830"/>
      <c r="AE144" s="1830"/>
      <c r="AF144" s="1830"/>
      <c r="AG144" s="1830"/>
      <c r="AH144" s="1830"/>
      <c r="AI144" s="2961"/>
      <c r="AJ144" s="9247"/>
      <c r="AK144" s="9248"/>
      <c r="AL144" s="9249"/>
      <c r="AM144" s="9250"/>
      <c r="AN144" s="9250"/>
      <c r="AO144" s="9250"/>
      <c r="AP144" s="9250"/>
      <c r="AQ144" s="2757"/>
      <c r="AR144" s="2757"/>
      <c r="AS144" s="2757"/>
      <c r="AT144" s="2757"/>
    </row>
    <row r="145" spans="1:46" ht="15.75" customHeight="1" thickBot="1">
      <c r="A145" s="2757"/>
      <c r="B145" s="2945"/>
      <c r="C145" s="1276"/>
      <c r="D145" s="5538" t="s">
        <v>5190</v>
      </c>
      <c r="E145" s="1262"/>
      <c r="F145" s="1262"/>
      <c r="G145" s="1262"/>
      <c r="H145" s="1262"/>
      <c r="I145" s="1262"/>
      <c r="J145" s="1262"/>
      <c r="K145" s="1262"/>
      <c r="L145" s="1262"/>
      <c r="M145" s="1262"/>
      <c r="N145" s="1262"/>
      <c r="O145" s="1262"/>
      <c r="P145" s="1262"/>
      <c r="Q145" s="1262"/>
      <c r="R145" s="1262"/>
      <c r="S145" s="1262"/>
      <c r="T145" s="1262"/>
      <c r="U145" s="1262"/>
      <c r="V145" s="1262"/>
      <c r="W145" s="1262"/>
      <c r="X145" s="1262"/>
      <c r="Y145" s="1262"/>
      <c r="Z145" s="1262"/>
      <c r="AA145" s="1262"/>
      <c r="AB145" s="1262"/>
      <c r="AC145" s="1262"/>
      <c r="AD145" s="1262"/>
      <c r="AE145" s="1262"/>
      <c r="AF145" s="1262"/>
      <c r="AG145" s="1262"/>
      <c r="AH145" s="1262"/>
      <c r="AI145" s="5517" t="s">
        <v>299</v>
      </c>
      <c r="AJ145" s="9251">
        <v>40</v>
      </c>
      <c r="AK145" s="9252"/>
      <c r="AL145" s="9253" t="str">
        <f>IF(OR(AV28,NOT(AL120)),"",IF(AV132,AL124,IF(SUM(AL124,-AL143)&lt;=0,0,SUM(AL124,-AL143))))</f>
        <v/>
      </c>
      <c r="AM145" s="9254"/>
      <c r="AN145" s="9254"/>
      <c r="AO145" s="9254"/>
      <c r="AP145" s="9255"/>
      <c r="AQ145" s="2757"/>
      <c r="AR145" s="2757"/>
      <c r="AS145" s="2757"/>
      <c r="AT145" s="2757"/>
    </row>
    <row r="146" spans="1:46" ht="15.75" customHeight="1">
      <c r="A146" s="2757"/>
      <c r="B146" s="5539"/>
      <c r="C146" s="1551"/>
      <c r="D146" s="5540"/>
      <c r="E146" s="2998"/>
      <c r="F146" s="2998"/>
      <c r="G146" s="2998"/>
      <c r="H146" s="2998"/>
      <c r="I146" s="2998"/>
      <c r="J146" s="2998"/>
      <c r="K146" s="2998"/>
      <c r="L146" s="2998"/>
      <c r="M146" s="2998"/>
      <c r="N146" s="2998"/>
      <c r="O146" s="2998"/>
      <c r="P146" s="2998"/>
      <c r="Q146" s="2998"/>
      <c r="R146" s="2998"/>
      <c r="S146" s="2998"/>
      <c r="T146" s="2998"/>
      <c r="U146" s="2998"/>
      <c r="V146" s="2998"/>
      <c r="W146" s="2998"/>
      <c r="X146" s="2998"/>
      <c r="Y146" s="2998"/>
      <c r="Z146" s="2998"/>
      <c r="AA146" s="2998"/>
      <c r="AB146" s="2998"/>
      <c r="AC146" s="2998"/>
      <c r="AD146" s="2998"/>
      <c r="AE146" s="2998"/>
      <c r="AF146" s="2998"/>
      <c r="AG146" s="2998"/>
      <c r="AH146" s="2998"/>
      <c r="AI146" s="2998"/>
      <c r="AJ146" s="2998"/>
      <c r="AK146" s="2998"/>
      <c r="AL146" s="2998"/>
      <c r="AM146" s="2990"/>
      <c r="AN146" s="2990" t="s">
        <v>5071</v>
      </c>
      <c r="AO146" s="9257">
        <f>TaxYear</f>
        <v>2021</v>
      </c>
      <c r="AP146" s="9257"/>
      <c r="AQ146" s="2757"/>
      <c r="AR146" s="2757"/>
      <c r="AS146" s="2757"/>
      <c r="AT146" s="2757"/>
    </row>
    <row r="147" spans="1:46" ht="24" customHeight="1">
      <c r="A147" s="2757"/>
      <c r="B147" s="3064"/>
      <c r="C147" s="5541" t="s">
        <v>5003</v>
      </c>
      <c r="D147" s="5541"/>
      <c r="E147" s="1179"/>
      <c r="F147" s="1179"/>
      <c r="G147" s="1179"/>
      <c r="H147" s="1179"/>
      <c r="I147" s="1179"/>
      <c r="J147" s="1179"/>
      <c r="K147" s="1179"/>
      <c r="L147" s="1179"/>
      <c r="M147" s="1179"/>
      <c r="N147" s="1179"/>
      <c r="O147" s="1179"/>
      <c r="P147" s="1179"/>
      <c r="Q147" s="1179"/>
      <c r="R147" s="1179"/>
      <c r="S147" s="1179"/>
      <c r="T147" s="1179"/>
      <c r="U147" s="1179"/>
      <c r="V147" s="1179"/>
      <c r="W147" s="1179"/>
      <c r="X147" s="1179"/>
      <c r="Y147" s="1179"/>
      <c r="Z147" s="1179"/>
      <c r="AA147" s="1179"/>
      <c r="AB147" s="1179"/>
      <c r="AC147" s="1179"/>
      <c r="AD147" s="1179"/>
      <c r="AE147" s="1179"/>
      <c r="AF147" s="1179"/>
      <c r="AG147" s="1179"/>
      <c r="AH147" s="1179"/>
      <c r="AI147" s="1179"/>
      <c r="AJ147" s="1179"/>
      <c r="AK147" s="1179"/>
      <c r="AL147" s="1179"/>
      <c r="AM147" s="5374"/>
      <c r="AN147" s="9256"/>
      <c r="AO147" s="9256"/>
      <c r="AP147" s="1179"/>
      <c r="AQ147" s="2757"/>
      <c r="AR147" s="2757"/>
      <c r="AS147" s="5931" t="s">
        <v>91</v>
      </c>
      <c r="AT147" s="2757"/>
    </row>
    <row r="148" spans="1:46" ht="12" customHeight="1">
      <c r="A148" s="2757"/>
      <c r="B148" s="1262"/>
      <c r="C148" s="1262"/>
      <c r="D148" s="1262"/>
      <c r="E148" s="1262"/>
      <c r="F148" s="1262"/>
      <c r="G148" s="1262"/>
      <c r="H148" s="1262"/>
      <c r="I148" s="1262"/>
      <c r="J148" s="1262"/>
      <c r="K148" s="1262"/>
      <c r="L148" s="1262"/>
      <c r="M148" s="1262"/>
      <c r="N148" s="1262"/>
      <c r="O148" s="1262"/>
      <c r="P148" s="1262"/>
      <c r="Q148" s="1262"/>
      <c r="R148" s="1262"/>
      <c r="S148" s="1262"/>
      <c r="T148" s="1262"/>
      <c r="U148" s="1262"/>
      <c r="V148" s="1262"/>
      <c r="W148" s="1262"/>
      <c r="X148" s="1262"/>
      <c r="Y148" s="1262"/>
      <c r="Z148" s="1262"/>
      <c r="AA148" s="1262"/>
      <c r="AB148" s="1262"/>
      <c r="AC148" s="1262"/>
      <c r="AD148" s="1262"/>
      <c r="AE148" s="1262"/>
      <c r="AF148" s="1262"/>
      <c r="AG148" s="1262"/>
      <c r="AH148" s="1262"/>
      <c r="AI148" s="1262"/>
      <c r="AJ148" s="1262"/>
      <c r="AK148" s="9415">
        <v>3600</v>
      </c>
      <c r="AL148" s="9415"/>
      <c r="AM148" s="9415"/>
      <c r="AN148" s="9415"/>
      <c r="AO148" s="9415"/>
      <c r="AP148" s="1262"/>
      <c r="AQ148" s="2758"/>
      <c r="AR148" s="2757"/>
      <c r="AS148" s="2757"/>
      <c r="AT148" s="2757"/>
    </row>
    <row r="149" spans="1:46" ht="12" customHeight="1">
      <c r="A149" s="2757"/>
      <c r="B149" s="1262"/>
      <c r="C149" s="3276" t="s">
        <v>294</v>
      </c>
      <c r="D149" s="1262" t="str">
        <f>"Multiply Schedule 8812, line 4b, by "&amp;TEXT(AK148,"$0,000")</f>
        <v>Multiply Schedule 8812, line 4b, by $3,600</v>
      </c>
      <c r="E149" s="1262"/>
      <c r="F149" s="1262"/>
      <c r="G149" s="1262"/>
      <c r="H149" s="1262"/>
      <c r="I149" s="1262"/>
      <c r="J149" s="1262"/>
      <c r="K149" s="1262"/>
      <c r="L149" s="1262"/>
      <c r="M149" s="1262"/>
      <c r="N149" s="1262"/>
      <c r="O149" s="1262"/>
      <c r="P149" s="1262"/>
      <c r="Q149" s="1262"/>
      <c r="R149" s="1262"/>
      <c r="S149" s="1262"/>
      <c r="T149" s="1262"/>
      <c r="U149" s="1262"/>
      <c r="V149" s="1262"/>
      <c r="W149" s="1262"/>
      <c r="X149" s="1262"/>
      <c r="Y149" s="1262"/>
      <c r="Z149" s="1262"/>
      <c r="AA149" s="1262"/>
      <c r="AB149" s="1262"/>
      <c r="AC149" s="1262"/>
      <c r="AD149" s="1262"/>
      <c r="AE149" s="1262"/>
      <c r="AF149" s="1262"/>
      <c r="AG149" s="1262"/>
      <c r="AH149" s="1262"/>
      <c r="AI149" s="5517" t="s">
        <v>1587</v>
      </c>
      <c r="AJ149" s="1444" t="str">
        <f>C149</f>
        <v>1.</v>
      </c>
      <c r="AK149" s="9268">
        <f>IF(AS149&lt;&gt;"",ROUND(AS149,0),AE19*AK148)</f>
        <v>0</v>
      </c>
      <c r="AL149" s="9268"/>
      <c r="AM149" s="9268"/>
      <c r="AN149" s="9268"/>
      <c r="AO149" s="9268"/>
      <c r="AP149" s="1262"/>
      <c r="AQ149" s="2757"/>
      <c r="AR149" s="2757"/>
      <c r="AS149" s="3277"/>
      <c r="AT149" s="2757"/>
    </row>
    <row r="150" spans="1:46" ht="12" customHeight="1">
      <c r="A150" s="2757"/>
      <c r="B150" s="1262"/>
      <c r="C150" s="2808"/>
      <c r="D150" s="1262"/>
      <c r="E150" s="1262"/>
      <c r="F150" s="1262"/>
      <c r="G150" s="1262"/>
      <c r="H150" s="1262"/>
      <c r="I150" s="1262"/>
      <c r="J150" s="1262"/>
      <c r="K150" s="1262"/>
      <c r="L150" s="1262"/>
      <c r="M150" s="1262"/>
      <c r="N150" s="1262"/>
      <c r="O150" s="1262"/>
      <c r="P150" s="1262"/>
      <c r="Q150" s="1262"/>
      <c r="R150" s="1262"/>
      <c r="S150" s="1262"/>
      <c r="T150" s="1262"/>
      <c r="U150" s="1262"/>
      <c r="V150" s="1262"/>
      <c r="W150" s="1262"/>
      <c r="X150" s="1262"/>
      <c r="Y150" s="1262"/>
      <c r="Z150" s="1262"/>
      <c r="AA150" s="1262"/>
      <c r="AB150" s="1262"/>
      <c r="AC150" s="1262"/>
      <c r="AD150" s="1262"/>
      <c r="AE150" s="1262"/>
      <c r="AF150" s="1262"/>
      <c r="AG150" s="1262"/>
      <c r="AH150" s="1262"/>
      <c r="AI150" s="1262"/>
      <c r="AJ150" s="1262"/>
      <c r="AK150" s="9415">
        <v>3000</v>
      </c>
      <c r="AL150" s="9415"/>
      <c r="AM150" s="9415"/>
      <c r="AN150" s="9415"/>
      <c r="AO150" s="9415"/>
      <c r="AP150" s="1262"/>
      <c r="AQ150" s="2757"/>
      <c r="AR150" s="2757"/>
      <c r="AS150" s="2757"/>
      <c r="AT150" s="2757"/>
    </row>
    <row r="151" spans="1:46" ht="12" customHeight="1">
      <c r="A151" s="2757"/>
      <c r="B151" s="1262"/>
      <c r="C151" s="3276" t="s">
        <v>0</v>
      </c>
      <c r="D151" s="1262" t="str">
        <f>"Multiply Schedule 8812, line 4c, by "&amp;TEXT(AK150,"$0,000")</f>
        <v>Multiply Schedule 8812, line 4c, by $3,000</v>
      </c>
      <c r="E151" s="1262"/>
      <c r="F151" s="1262"/>
      <c r="G151" s="1262"/>
      <c r="H151" s="1262"/>
      <c r="I151" s="1262"/>
      <c r="J151" s="1262"/>
      <c r="K151" s="1262"/>
      <c r="L151" s="1262"/>
      <c r="M151" s="1262"/>
      <c r="N151" s="1262"/>
      <c r="O151" s="1262"/>
      <c r="P151" s="1262"/>
      <c r="Q151" s="1262"/>
      <c r="R151" s="1262"/>
      <c r="S151" s="1262"/>
      <c r="T151" s="1262"/>
      <c r="U151" s="1262"/>
      <c r="V151" s="1262"/>
      <c r="W151" s="1262"/>
      <c r="X151" s="1262"/>
      <c r="Y151" s="1262"/>
      <c r="Z151" s="1262"/>
      <c r="AA151" s="1262"/>
      <c r="AB151" s="1262"/>
      <c r="AC151" s="1262"/>
      <c r="AD151" s="1262"/>
      <c r="AE151" s="1262"/>
      <c r="AF151" s="1262"/>
      <c r="AG151" s="1262"/>
      <c r="AH151" s="1262"/>
      <c r="AI151" s="5517" t="s">
        <v>1587</v>
      </c>
      <c r="AJ151" s="1444" t="str">
        <f>C151</f>
        <v>2.</v>
      </c>
      <c r="AK151" s="9268">
        <f>IF(AS151&lt;&gt;"",ROUND(AS151,0),AE20*AK150)</f>
        <v>0</v>
      </c>
      <c r="AL151" s="9268"/>
      <c r="AM151" s="9268"/>
      <c r="AN151" s="9268"/>
      <c r="AO151" s="9268"/>
      <c r="AP151" s="1262"/>
      <c r="AQ151" s="2757"/>
      <c r="AR151" s="2757"/>
      <c r="AS151" s="3277"/>
      <c r="AT151" s="2757"/>
    </row>
    <row r="152" spans="1:46" ht="12" customHeight="1">
      <c r="A152" s="2757"/>
      <c r="B152" s="1262"/>
      <c r="C152" s="2808"/>
      <c r="D152" s="1262"/>
      <c r="E152" s="1262"/>
      <c r="F152" s="1262"/>
      <c r="G152" s="1262"/>
      <c r="H152" s="1262"/>
      <c r="I152" s="1262"/>
      <c r="J152" s="1262"/>
      <c r="K152" s="1262"/>
      <c r="L152" s="1262"/>
      <c r="M152" s="1262"/>
      <c r="N152" s="1262"/>
      <c r="O152" s="1262"/>
      <c r="P152" s="1262"/>
      <c r="Q152" s="1262"/>
      <c r="R152" s="1262"/>
      <c r="S152" s="1262"/>
      <c r="T152" s="1262"/>
      <c r="U152" s="1262"/>
      <c r="V152" s="1262"/>
      <c r="W152" s="1262"/>
      <c r="X152" s="1262"/>
      <c r="Y152" s="1262"/>
      <c r="Z152" s="1262"/>
      <c r="AA152" s="1262"/>
      <c r="AB152" s="1262"/>
      <c r="AC152" s="1262"/>
      <c r="AD152" s="1262"/>
      <c r="AE152" s="1262"/>
      <c r="AF152" s="1262"/>
      <c r="AG152" s="1262"/>
      <c r="AH152" s="1262"/>
      <c r="AI152" s="1262"/>
      <c r="AJ152" s="1262"/>
      <c r="AK152" s="1262"/>
      <c r="AL152" s="1262"/>
      <c r="AM152" s="1262"/>
      <c r="AN152" s="1262"/>
      <c r="AO152" s="1262"/>
      <c r="AP152" s="1262"/>
      <c r="AQ152" s="2757"/>
      <c r="AR152" s="2757"/>
      <c r="AS152" s="2757"/>
      <c r="AT152" s="2757"/>
    </row>
    <row r="153" spans="1:46" ht="12" customHeight="1">
      <c r="A153" s="2757"/>
      <c r="B153" s="1262"/>
      <c r="C153" s="3276" t="s">
        <v>1</v>
      </c>
      <c r="D153" s="1262" t="s">
        <v>5004</v>
      </c>
      <c r="E153" s="1262"/>
      <c r="F153" s="1262"/>
      <c r="G153" s="1262"/>
      <c r="H153" s="1262"/>
      <c r="I153" s="1262"/>
      <c r="J153" s="1262"/>
      <c r="K153" s="1262"/>
      <c r="L153" s="1262"/>
      <c r="M153" s="1262"/>
      <c r="N153" s="1262"/>
      <c r="O153" s="1262"/>
      <c r="P153" s="1262"/>
      <c r="Q153" s="1262"/>
      <c r="R153" s="1262"/>
      <c r="S153" s="1262"/>
      <c r="T153" s="1262"/>
      <c r="U153" s="1262"/>
      <c r="V153" s="1262"/>
      <c r="W153" s="1262"/>
      <c r="X153" s="1262"/>
      <c r="Y153" s="1262"/>
      <c r="Z153" s="1262"/>
      <c r="AA153" s="1262"/>
      <c r="AB153" s="1262"/>
      <c r="AC153" s="1262"/>
      <c r="AD153" s="1262"/>
      <c r="AE153" s="1262"/>
      <c r="AF153" s="1262"/>
      <c r="AG153" s="1262"/>
      <c r="AH153" s="1262"/>
      <c r="AI153" s="5517" t="s">
        <v>1586</v>
      </c>
      <c r="AJ153" s="1444" t="str">
        <f>C153</f>
        <v>3.</v>
      </c>
      <c r="AK153" s="9268">
        <f>SUM(AK149,AK151)</f>
        <v>0</v>
      </c>
      <c r="AL153" s="9268"/>
      <c r="AM153" s="9268"/>
      <c r="AN153" s="9268"/>
      <c r="AO153" s="9268"/>
      <c r="AP153" s="1262"/>
      <c r="AQ153" s="2757"/>
      <c r="AR153" s="2757"/>
      <c r="AS153" s="2757"/>
      <c r="AT153" s="2757"/>
    </row>
    <row r="154" spans="1:46" ht="12" customHeight="1">
      <c r="A154" s="2757"/>
      <c r="B154" s="1262"/>
      <c r="C154" s="2808"/>
      <c r="D154" s="1262"/>
      <c r="E154" s="1262"/>
      <c r="F154" s="1262"/>
      <c r="G154" s="1262"/>
      <c r="H154" s="1262"/>
      <c r="I154" s="1262"/>
      <c r="J154" s="1262"/>
      <c r="K154" s="1262"/>
      <c r="L154" s="1262"/>
      <c r="M154" s="1262"/>
      <c r="N154" s="1262"/>
      <c r="O154" s="1262"/>
      <c r="P154" s="1262"/>
      <c r="Q154" s="1262"/>
      <c r="R154" s="1262"/>
      <c r="S154" s="1262"/>
      <c r="T154" s="1262"/>
      <c r="U154" s="1262"/>
      <c r="V154" s="1262"/>
      <c r="W154" s="1262"/>
      <c r="X154" s="1262"/>
      <c r="Y154" s="1262"/>
      <c r="Z154" s="1262"/>
      <c r="AA154" s="1262"/>
      <c r="AB154" s="1262"/>
      <c r="AC154" s="1262"/>
      <c r="AD154" s="1262"/>
      <c r="AE154" s="1262"/>
      <c r="AF154" s="1262"/>
      <c r="AG154" s="1262"/>
      <c r="AH154" s="1262"/>
      <c r="AI154" s="1262"/>
      <c r="AJ154" s="1262"/>
      <c r="AK154" s="9415">
        <v>2000</v>
      </c>
      <c r="AL154" s="9415"/>
      <c r="AM154" s="9415"/>
      <c r="AN154" s="9415"/>
      <c r="AO154" s="9415"/>
      <c r="AP154" s="1262"/>
      <c r="AQ154" s="2757"/>
      <c r="AR154" s="2757"/>
      <c r="AS154" s="2757"/>
      <c r="AT154" s="2757"/>
    </row>
    <row r="155" spans="1:46" ht="12" customHeight="1">
      <c r="A155" s="2757"/>
      <c r="B155" s="1262"/>
      <c r="C155" s="3276" t="s">
        <v>399</v>
      </c>
      <c r="D155" s="1262" t="str">
        <f>"Multiply Schedule 8812, line 4a, by "&amp;TEXT(AK154,"$0,000")</f>
        <v>Multiply Schedule 8812, line 4a, by $2,000</v>
      </c>
      <c r="E155" s="1262"/>
      <c r="F155" s="1262"/>
      <c r="G155" s="1262"/>
      <c r="H155" s="1262"/>
      <c r="I155" s="1262"/>
      <c r="J155" s="1262"/>
      <c r="K155" s="1262"/>
      <c r="L155" s="1262"/>
      <c r="M155" s="1262"/>
      <c r="N155" s="1262"/>
      <c r="O155" s="1262"/>
      <c r="P155" s="1262"/>
      <c r="Q155" s="1262"/>
      <c r="R155" s="1262"/>
      <c r="S155" s="1262"/>
      <c r="T155" s="1262"/>
      <c r="U155" s="1262"/>
      <c r="V155" s="1262"/>
      <c r="W155" s="1262"/>
      <c r="X155" s="1262"/>
      <c r="Y155" s="1262"/>
      <c r="Z155" s="1262"/>
      <c r="AA155" s="1262"/>
      <c r="AB155" s="1262"/>
      <c r="AC155" s="1262"/>
      <c r="AD155" s="1262"/>
      <c r="AE155" s="1262"/>
      <c r="AF155" s="1262"/>
      <c r="AG155" s="1262"/>
      <c r="AH155" s="1262"/>
      <c r="AI155" s="5517" t="s">
        <v>1587</v>
      </c>
      <c r="AJ155" s="1444" t="str">
        <f>C155</f>
        <v>4.</v>
      </c>
      <c r="AK155" s="9268">
        <f>IF(AS155&lt;&gt;"",ROUND(AS155,0),AE18*AK154)</f>
        <v>0</v>
      </c>
      <c r="AL155" s="9268"/>
      <c r="AM155" s="9268"/>
      <c r="AN155" s="9268"/>
      <c r="AO155" s="9268"/>
      <c r="AP155" s="1262"/>
      <c r="AQ155" s="2757"/>
      <c r="AR155" s="2757"/>
      <c r="AS155" s="3277"/>
      <c r="AT155" s="2757"/>
    </row>
    <row r="156" spans="1:46" ht="12" customHeight="1">
      <c r="A156" s="2757"/>
      <c r="B156" s="1262"/>
      <c r="C156" s="2808"/>
      <c r="D156" s="1262"/>
      <c r="E156" s="1262"/>
      <c r="F156" s="1262"/>
      <c r="G156" s="1262"/>
      <c r="H156" s="1262"/>
      <c r="I156" s="1262"/>
      <c r="J156" s="1262"/>
      <c r="K156" s="1262"/>
      <c r="L156" s="1262"/>
      <c r="M156" s="1262"/>
      <c r="N156" s="1262"/>
      <c r="O156" s="1262"/>
      <c r="P156" s="1262"/>
      <c r="Q156" s="1262"/>
      <c r="R156" s="1262"/>
      <c r="S156" s="1262"/>
      <c r="T156" s="1262"/>
      <c r="U156" s="1262"/>
      <c r="V156" s="1262"/>
      <c r="W156" s="1262"/>
      <c r="X156" s="1262"/>
      <c r="Y156" s="1262"/>
      <c r="Z156" s="1262"/>
      <c r="AA156" s="1262"/>
      <c r="AB156" s="1262"/>
      <c r="AC156" s="1262"/>
      <c r="AD156" s="1262"/>
      <c r="AE156" s="1262"/>
      <c r="AF156" s="1262"/>
      <c r="AG156" s="1262"/>
      <c r="AH156" s="1262"/>
      <c r="AI156" s="1262"/>
      <c r="AJ156" s="1262"/>
      <c r="AK156" s="1262"/>
      <c r="AL156" s="1262"/>
      <c r="AM156" s="1262"/>
      <c r="AN156" s="1262"/>
      <c r="AO156" s="1262"/>
      <c r="AP156" s="1262"/>
      <c r="AQ156" s="2757"/>
      <c r="AR156" s="2757"/>
      <c r="AS156" s="2757"/>
      <c r="AT156" s="2757"/>
    </row>
    <row r="157" spans="1:46" ht="12" customHeight="1">
      <c r="A157" s="2757"/>
      <c r="B157" s="1262"/>
      <c r="C157" s="3276" t="s">
        <v>31</v>
      </c>
      <c r="D157" s="1262" t="s">
        <v>2648</v>
      </c>
      <c r="E157" s="1262"/>
      <c r="F157" s="1262"/>
      <c r="G157" s="1262"/>
      <c r="H157" s="1262"/>
      <c r="I157" s="1262"/>
      <c r="J157" s="1262"/>
      <c r="K157" s="1262"/>
      <c r="L157" s="1262"/>
      <c r="M157" s="1262"/>
      <c r="N157" s="1262"/>
      <c r="O157" s="1262"/>
      <c r="P157" s="1262"/>
      <c r="Q157" s="1262"/>
      <c r="R157" s="1262"/>
      <c r="S157" s="1262"/>
      <c r="T157" s="1262"/>
      <c r="U157" s="1262"/>
      <c r="V157" s="1262"/>
      <c r="W157" s="1262"/>
      <c r="X157" s="1262"/>
      <c r="Y157" s="1262"/>
      <c r="Z157" s="1262"/>
      <c r="AA157" s="1262"/>
      <c r="AB157" s="1262"/>
      <c r="AC157" s="1262"/>
      <c r="AD157" s="1262"/>
      <c r="AE157" s="1262"/>
      <c r="AF157" s="1262"/>
      <c r="AG157" s="1262"/>
      <c r="AH157" s="1262"/>
      <c r="AI157" s="5517" t="s">
        <v>1586</v>
      </c>
      <c r="AJ157" s="1444" t="str">
        <f>C157</f>
        <v>5.</v>
      </c>
      <c r="AK157" s="9268">
        <f>SUM(AK153,-AK155)</f>
        <v>0</v>
      </c>
      <c r="AL157" s="9268"/>
      <c r="AM157" s="9268"/>
      <c r="AN157" s="9268"/>
      <c r="AO157" s="9268"/>
      <c r="AP157" s="1262"/>
      <c r="AQ157" s="2757"/>
      <c r="AR157" s="2757"/>
      <c r="AS157" s="3277"/>
      <c r="AT157" s="2757"/>
    </row>
    <row r="158" spans="1:46" ht="12" customHeight="1">
      <c r="A158" s="2757"/>
      <c r="B158" s="1262"/>
      <c r="C158" s="2808"/>
      <c r="D158" s="1262"/>
      <c r="E158" s="1262"/>
      <c r="F158" s="1262"/>
      <c r="G158" s="1262"/>
      <c r="H158" s="1262"/>
      <c r="I158" s="1262"/>
      <c r="J158" s="1262"/>
      <c r="K158" s="1262"/>
      <c r="L158" s="1262"/>
      <c r="M158" s="1262"/>
      <c r="N158" s="1262"/>
      <c r="O158" s="1262"/>
      <c r="P158" s="1262"/>
      <c r="Q158" s="1262"/>
      <c r="R158" s="1262"/>
      <c r="S158" s="1262"/>
      <c r="T158" s="1262"/>
      <c r="U158" s="1262"/>
      <c r="V158" s="1262"/>
      <c r="W158" s="1262"/>
      <c r="X158" s="1262"/>
      <c r="Y158" s="1262"/>
      <c r="Z158" s="1262"/>
      <c r="AA158" s="1262"/>
      <c r="AB158" s="1262"/>
      <c r="AC158" s="1262"/>
      <c r="AD158" s="1262"/>
      <c r="AE158" s="1262"/>
      <c r="AF158" s="1262"/>
      <c r="AG158" s="1262"/>
      <c r="AH158" s="1262"/>
      <c r="AI158" s="1262"/>
      <c r="AJ158" s="1262"/>
      <c r="AK158" s="9307">
        <f>IF(AK157="",0,AK157)</f>
        <v>0</v>
      </c>
      <c r="AL158" s="9308"/>
      <c r="AM158" s="9308"/>
      <c r="AN158" s="9308"/>
      <c r="AO158" s="9308"/>
      <c r="AP158" s="1262"/>
      <c r="AQ158" s="2757"/>
      <c r="AR158" s="2757"/>
      <c r="AS158" s="2757"/>
      <c r="AT158" s="2757"/>
    </row>
    <row r="159" spans="1:46" ht="12" customHeight="1">
      <c r="A159" s="2757"/>
      <c r="B159" s="1262"/>
      <c r="C159" s="3276" t="s">
        <v>67</v>
      </c>
      <c r="D159" s="1262" t="s">
        <v>1065</v>
      </c>
      <c r="E159" s="1262"/>
      <c r="F159" s="1262"/>
      <c r="G159" s="1262"/>
      <c r="H159" s="1262"/>
      <c r="I159" s="1262"/>
      <c r="J159" s="1262"/>
      <c r="K159" s="1262"/>
      <c r="L159" s="1262"/>
      <c r="M159" s="1262"/>
      <c r="N159" s="1262"/>
      <c r="O159" s="1262"/>
      <c r="P159" s="1262"/>
      <c r="Q159" s="1262"/>
      <c r="R159" s="1262"/>
      <c r="S159" s="1262"/>
      <c r="T159" s="1262"/>
      <c r="U159" s="1262"/>
      <c r="V159" s="1262"/>
      <c r="W159" s="1262"/>
      <c r="X159" s="1262"/>
      <c r="Y159" s="1262"/>
      <c r="Z159" s="1262"/>
      <c r="AA159" s="1262"/>
      <c r="AB159" s="1262"/>
      <c r="AC159" s="1262"/>
      <c r="AD159" s="1262"/>
      <c r="AE159" s="1262"/>
      <c r="AF159" s="1262"/>
      <c r="AG159" s="1262"/>
      <c r="AH159" s="1262"/>
      <c r="AI159" s="1262"/>
      <c r="AJ159" s="1262"/>
      <c r="AK159" s="1262"/>
      <c r="AL159" s="1262"/>
      <c r="AM159" s="1262"/>
      <c r="AN159" s="1262"/>
      <c r="AO159" s="1262"/>
      <c r="AP159" s="1262"/>
      <c r="AQ159" s="2757"/>
      <c r="AR159" s="2757"/>
      <c r="AS159" s="3277"/>
      <c r="AT159" s="2757"/>
    </row>
    <row r="160" spans="1:46" ht="12" customHeight="1">
      <c r="A160" s="2757"/>
      <c r="B160" s="1262"/>
      <c r="C160" s="1262"/>
      <c r="D160" s="1262"/>
      <c r="E160" s="2650" t="s">
        <v>2295</v>
      </c>
      <c r="F160" s="1262" t="s">
        <v>5005</v>
      </c>
      <c r="G160" s="1262"/>
      <c r="H160" s="1262"/>
      <c r="I160" s="1262"/>
      <c r="J160" s="1262"/>
      <c r="K160" s="1262"/>
      <c r="L160" s="9395">
        <v>12500</v>
      </c>
      <c r="M160" s="9395"/>
      <c r="N160" s="9395"/>
      <c r="O160" s="5367"/>
      <c r="P160" s="5367"/>
      <c r="Q160" s="1262"/>
      <c r="R160" s="1262"/>
      <c r="S160" s="1262"/>
      <c r="T160" s="1262"/>
      <c r="U160" s="1262"/>
      <c r="V160" s="1262"/>
      <c r="W160" s="1262"/>
      <c r="X160" s="1262"/>
      <c r="Y160" s="1262"/>
      <c r="Z160" s="1262"/>
      <c r="AA160" s="1262"/>
      <c r="AB160" s="1262"/>
      <c r="AC160" s="1262"/>
      <c r="AD160" s="1262"/>
      <c r="AE160" s="1262"/>
      <c r="AF160" s="1262"/>
      <c r="AG160" s="1262"/>
      <c r="AH160" s="1262"/>
      <c r="AI160" s="1262"/>
      <c r="AJ160" s="1262"/>
      <c r="AK160" s="1262"/>
      <c r="AL160" s="1262"/>
      <c r="AM160" s="1262"/>
      <c r="AN160" s="1262"/>
      <c r="AO160" s="1262"/>
      <c r="AP160" s="1262"/>
      <c r="AQ160" s="2757"/>
      <c r="AR160" s="2757"/>
      <c r="AS160" s="2757"/>
      <c r="AT160" s="2757"/>
    </row>
    <row r="161" spans="1:46" ht="12" customHeight="1">
      <c r="A161" s="2757"/>
      <c r="B161" s="1262"/>
      <c r="C161" s="1262"/>
      <c r="D161" s="5367"/>
      <c r="E161" s="2650" t="s">
        <v>2295</v>
      </c>
      <c r="F161" s="1262" t="s">
        <v>5006</v>
      </c>
      <c r="G161" s="1262"/>
      <c r="H161" s="1262"/>
      <c r="I161" s="1262"/>
      <c r="J161" s="1262"/>
      <c r="K161" s="1262"/>
      <c r="L161" s="9395">
        <v>2500</v>
      </c>
      <c r="M161" s="9395"/>
      <c r="N161" s="9395"/>
      <c r="O161" s="5367"/>
      <c r="P161" s="5367"/>
      <c r="Q161" s="1262"/>
      <c r="R161" s="5367"/>
      <c r="S161" s="5367"/>
      <c r="T161" s="5367"/>
      <c r="U161" s="5367"/>
      <c r="V161" s="1262"/>
      <c r="W161" s="1262"/>
      <c r="X161" s="1262"/>
      <c r="Y161" s="1262"/>
      <c r="Z161" s="1262"/>
      <c r="AA161" s="1262"/>
      <c r="AB161" s="1262"/>
      <c r="AC161" s="1262"/>
      <c r="AD161" s="1262"/>
      <c r="AE161" s="1262"/>
      <c r="AF161" s="1262"/>
      <c r="AG161" s="1262"/>
      <c r="AH161" s="1262"/>
      <c r="AI161" s="1262"/>
      <c r="AJ161" s="1262"/>
      <c r="AK161" s="1262"/>
      <c r="AL161" s="1262"/>
      <c r="AM161" s="1262"/>
      <c r="AN161" s="1262"/>
      <c r="AO161" s="1262"/>
      <c r="AP161" s="1262"/>
      <c r="AQ161" s="2757"/>
      <c r="AR161" s="2757"/>
      <c r="AS161" s="2757"/>
      <c r="AT161" s="2757"/>
    </row>
    <row r="162" spans="1:46" ht="12" customHeight="1">
      <c r="A162" s="2757"/>
      <c r="B162" s="1262"/>
      <c r="C162" s="1262"/>
      <c r="D162" s="1262"/>
      <c r="E162" s="2650" t="s">
        <v>2295</v>
      </c>
      <c r="F162" s="1262" t="s">
        <v>5007</v>
      </c>
      <c r="G162" s="1262"/>
      <c r="H162" s="1262"/>
      <c r="I162" s="1262"/>
      <c r="J162" s="1262"/>
      <c r="K162" s="1262"/>
      <c r="L162" s="9395">
        <v>4375</v>
      </c>
      <c r="M162" s="9395"/>
      <c r="N162" s="9395"/>
      <c r="O162" s="5367"/>
      <c r="P162" s="5367"/>
      <c r="Q162" s="1262"/>
      <c r="R162" s="1262"/>
      <c r="S162" s="1262"/>
      <c r="T162" s="1262"/>
      <c r="U162" s="1262"/>
      <c r="V162" s="1262"/>
      <c r="W162" s="1262"/>
      <c r="X162" s="1262"/>
      <c r="Y162" s="1262"/>
      <c r="Z162" s="1262"/>
      <c r="AA162" s="1262"/>
      <c r="AB162" s="1262"/>
      <c r="AC162" s="1262"/>
      <c r="AD162" s="1262"/>
      <c r="AE162" s="1262"/>
      <c r="AF162" s="1262"/>
      <c r="AG162" s="1262"/>
      <c r="AH162" s="1262"/>
      <c r="AI162" s="1262"/>
      <c r="AJ162" s="1262"/>
      <c r="AK162" s="1262"/>
      <c r="AL162" s="1262"/>
      <c r="AM162" s="1262"/>
      <c r="AN162" s="1262"/>
      <c r="AO162" s="1262"/>
      <c r="AP162" s="1262"/>
      <c r="AQ162" s="2757"/>
      <c r="AR162" s="2757"/>
      <c r="AS162" s="2757"/>
      <c r="AT162" s="2757"/>
    </row>
    <row r="163" spans="1:46" ht="12" customHeight="1">
      <c r="A163" s="2757"/>
      <c r="B163" s="1262"/>
      <c r="C163" s="1262"/>
      <c r="D163" s="1262"/>
      <c r="E163" s="2650" t="s">
        <v>2295</v>
      </c>
      <c r="F163" s="1262" t="s">
        <v>5008</v>
      </c>
      <c r="G163" s="1262"/>
      <c r="H163" s="1262"/>
      <c r="I163" s="1262"/>
      <c r="J163" s="1262"/>
      <c r="K163" s="1262"/>
      <c r="L163" s="1262"/>
      <c r="M163" s="9395">
        <v>6250</v>
      </c>
      <c r="N163" s="9395"/>
      <c r="O163" s="9395"/>
      <c r="P163" s="5367"/>
      <c r="Q163" s="5367"/>
      <c r="R163" s="1262"/>
      <c r="S163" s="1262"/>
      <c r="T163" s="1262"/>
      <c r="U163" s="1262"/>
      <c r="V163" s="1262"/>
      <c r="W163" s="1262"/>
      <c r="X163" s="1262"/>
      <c r="Y163" s="1262"/>
      <c r="Z163" s="1262"/>
      <c r="AA163" s="1262"/>
      <c r="AB163" s="1262"/>
      <c r="AC163" s="1262"/>
      <c r="AD163" s="1262"/>
      <c r="AE163" s="1262"/>
      <c r="AF163" s="1262"/>
      <c r="AG163" s="1262"/>
      <c r="AH163" s="1262"/>
      <c r="AI163" s="1262"/>
      <c r="AJ163" s="5368" t="s">
        <v>67</v>
      </c>
      <c r="AK163" s="9268" t="str">
        <f>IF(AV28,"&lt; Filing status? &gt;",IF(File_Marr_Joint&lt;&gt;"",L160,IF(File_Qual_Widow&lt;&gt;"",L161,IF(File_Head&lt;&gt;"",L162,M163))))</f>
        <v>&lt; Filing status? &gt;</v>
      </c>
      <c r="AL163" s="9268"/>
      <c r="AM163" s="9268"/>
      <c r="AN163" s="9268"/>
      <c r="AO163" s="9268"/>
      <c r="AP163" s="1262"/>
      <c r="AQ163" s="2757"/>
      <c r="AR163" s="2757"/>
      <c r="AS163" s="2757"/>
      <c r="AT163" s="2757"/>
    </row>
    <row r="164" spans="1:46" ht="12" customHeight="1">
      <c r="A164" s="2757"/>
      <c r="B164" s="1262"/>
      <c r="C164" s="1262"/>
      <c r="D164" s="1262"/>
      <c r="E164" s="2650"/>
      <c r="F164" s="1262"/>
      <c r="G164" s="1262"/>
      <c r="H164" s="1262"/>
      <c r="I164" s="1262"/>
      <c r="J164" s="1262"/>
      <c r="K164" s="1262"/>
      <c r="L164" s="1262"/>
      <c r="M164" s="1262"/>
      <c r="N164" s="1262"/>
      <c r="O164" s="1262"/>
      <c r="P164" s="1262"/>
      <c r="Q164" s="1262"/>
      <c r="R164" s="1262"/>
      <c r="S164" s="1262"/>
      <c r="T164" s="1262"/>
      <c r="U164" s="1262"/>
      <c r="V164" s="1262"/>
      <c r="W164" s="1262"/>
      <c r="X164" s="1262"/>
      <c r="Y164" s="1262"/>
      <c r="Z164" s="1262"/>
      <c r="AA164" s="1262"/>
      <c r="AB164" s="1262"/>
      <c r="AC164" s="1262"/>
      <c r="AD164" s="1262"/>
      <c r="AE164" s="1262"/>
      <c r="AF164" s="1262"/>
      <c r="AG164" s="1262"/>
      <c r="AH164" s="1262"/>
      <c r="AI164" s="1262"/>
      <c r="AJ164" s="1262"/>
      <c r="AK164" s="1262"/>
      <c r="AL164" s="1262"/>
      <c r="AM164" s="1262"/>
      <c r="AN164" s="1262"/>
      <c r="AO164" s="1262"/>
      <c r="AP164" s="1262"/>
      <c r="AQ164" s="2757"/>
      <c r="AR164" s="2757"/>
      <c r="AS164" s="3277"/>
      <c r="AT164" s="2757"/>
    </row>
    <row r="165" spans="1:46" ht="12" customHeight="1">
      <c r="A165" s="2757"/>
      <c r="B165" s="1262"/>
      <c r="C165" s="3276" t="s">
        <v>68</v>
      </c>
      <c r="D165" s="1262" t="s">
        <v>5009</v>
      </c>
      <c r="E165" s="2650"/>
      <c r="F165" s="1262"/>
      <c r="G165" s="1262"/>
      <c r="H165" s="1262"/>
      <c r="I165" s="1262"/>
      <c r="J165" s="1262"/>
      <c r="K165" s="1262"/>
      <c r="L165" s="1262"/>
      <c r="M165" s="1262"/>
      <c r="N165" s="1262"/>
      <c r="O165" s="1262"/>
      <c r="P165" s="1262"/>
      <c r="Q165" s="1262"/>
      <c r="R165" s="1262"/>
      <c r="S165" s="1262"/>
      <c r="T165" s="1262"/>
      <c r="U165" s="1262"/>
      <c r="V165" s="1262"/>
      <c r="W165" s="1262"/>
      <c r="X165" s="1262"/>
      <c r="Y165" s="1262"/>
      <c r="Z165" s="1262"/>
      <c r="AA165" s="1262"/>
      <c r="AB165" s="1262"/>
      <c r="AC165" s="1262"/>
      <c r="AD165" s="1262"/>
      <c r="AE165" s="1262"/>
      <c r="AF165" s="1262"/>
      <c r="AG165" s="1262"/>
      <c r="AH165" s="1262"/>
      <c r="AI165" s="1262"/>
      <c r="AJ165" s="1444" t="str">
        <f>C165</f>
        <v>7.</v>
      </c>
      <c r="AK165" s="9268" t="str">
        <f>IF(AV28,"",MIN(AK157,AK163))</f>
        <v/>
      </c>
      <c r="AL165" s="9268"/>
      <c r="AM165" s="9268"/>
      <c r="AN165" s="9268"/>
      <c r="AO165" s="9268"/>
      <c r="AP165" s="1262"/>
      <c r="AQ165" s="2757"/>
      <c r="AR165" s="2757"/>
      <c r="AS165" s="2757"/>
      <c r="AT165" s="2757"/>
    </row>
    <row r="166" spans="1:46" ht="12" customHeight="1">
      <c r="A166" s="2757"/>
      <c r="B166" s="1262"/>
      <c r="C166" s="1262"/>
      <c r="D166" s="1262"/>
      <c r="E166" s="2650"/>
      <c r="F166" s="1262"/>
      <c r="G166" s="1262"/>
      <c r="H166" s="1262"/>
      <c r="I166" s="1262"/>
      <c r="J166" s="1262"/>
      <c r="K166" s="1262"/>
      <c r="L166" s="1262"/>
      <c r="M166" s="1262"/>
      <c r="N166" s="1262"/>
      <c r="O166" s="1262"/>
      <c r="P166" s="1262"/>
      <c r="Q166" s="1262"/>
      <c r="R166" s="1262"/>
      <c r="S166" s="1262"/>
      <c r="T166" s="1262"/>
      <c r="U166" s="1262"/>
      <c r="V166" s="1262"/>
      <c r="W166" s="1262"/>
      <c r="X166" s="1262"/>
      <c r="Y166" s="1262"/>
      <c r="Z166" s="1262"/>
      <c r="AA166" s="1262"/>
      <c r="AB166" s="1262"/>
      <c r="AC166" s="1262"/>
      <c r="AD166" s="1262"/>
      <c r="AE166" s="1262"/>
      <c r="AF166" s="1262"/>
      <c r="AG166" s="1262"/>
      <c r="AH166" s="1262"/>
      <c r="AI166" s="1262"/>
      <c r="AJ166" s="1262"/>
      <c r="AK166" s="1262"/>
      <c r="AL166" s="1262"/>
      <c r="AM166" s="1262"/>
      <c r="AN166" s="1262"/>
      <c r="AO166" s="1262"/>
      <c r="AP166" s="1262"/>
      <c r="AQ166" s="2757"/>
      <c r="AR166" s="2757"/>
      <c r="AS166" s="2757"/>
      <c r="AT166" s="2757"/>
    </row>
    <row r="167" spans="1:46" ht="12" customHeight="1">
      <c r="A167" s="2757"/>
      <c r="B167" s="1262"/>
      <c r="C167" s="3276" t="s">
        <v>204</v>
      </c>
      <c r="D167" s="1262" t="s">
        <v>1065</v>
      </c>
      <c r="E167" s="2650"/>
      <c r="F167" s="1262"/>
      <c r="G167" s="1262"/>
      <c r="H167" s="1262"/>
      <c r="I167" s="1262"/>
      <c r="J167" s="1262"/>
      <c r="K167" s="1262"/>
      <c r="L167" s="1262"/>
      <c r="M167" s="1262"/>
      <c r="N167" s="1262"/>
      <c r="O167" s="1262"/>
      <c r="P167" s="1262"/>
      <c r="Q167" s="1262"/>
      <c r="R167" s="1262"/>
      <c r="S167" s="1262"/>
      <c r="T167" s="1262"/>
      <c r="U167" s="1262"/>
      <c r="V167" s="1262"/>
      <c r="W167" s="1262"/>
      <c r="X167" s="1262"/>
      <c r="Y167" s="1262"/>
      <c r="Z167" s="1262"/>
      <c r="AA167" s="1262"/>
      <c r="AB167" s="1262"/>
      <c r="AC167" s="1262"/>
      <c r="AD167" s="1262"/>
      <c r="AE167" s="1262"/>
      <c r="AF167" s="1262"/>
      <c r="AG167" s="1262"/>
      <c r="AH167" s="1262"/>
      <c r="AI167" s="1262"/>
      <c r="AJ167" s="1262"/>
      <c r="AK167" s="1262"/>
      <c r="AL167" s="1262"/>
      <c r="AM167" s="1262"/>
      <c r="AN167" s="1262"/>
      <c r="AO167" s="1262"/>
      <c r="AP167" s="1262"/>
      <c r="AQ167" s="2757"/>
      <c r="AR167" s="2757"/>
      <c r="AS167" s="2757"/>
      <c r="AT167" s="2757"/>
    </row>
    <row r="168" spans="1:46" ht="12" customHeight="1">
      <c r="A168" s="2757"/>
      <c r="B168" s="1262"/>
      <c r="C168" s="1262"/>
      <c r="D168" s="1262"/>
      <c r="E168" s="2650" t="s">
        <v>2295</v>
      </c>
      <c r="F168" s="1262" t="s">
        <v>5010</v>
      </c>
      <c r="G168" s="1262"/>
      <c r="H168" s="1262"/>
      <c r="I168" s="1262"/>
      <c r="J168" s="1262"/>
      <c r="K168" s="1262"/>
      <c r="L168" s="1262"/>
      <c r="M168" s="1262"/>
      <c r="N168" s="1262"/>
      <c r="O168" s="1262"/>
      <c r="P168" s="1262"/>
      <c r="Q168" s="1262"/>
      <c r="R168" s="9395">
        <v>150000</v>
      </c>
      <c r="S168" s="9395"/>
      <c r="T168" s="9395"/>
      <c r="U168" s="5367"/>
      <c r="V168" s="1262"/>
      <c r="W168" s="1262"/>
      <c r="X168" s="1262"/>
      <c r="Y168" s="1262"/>
      <c r="Z168" s="1262"/>
      <c r="AA168" s="1262"/>
      <c r="AB168" s="1262"/>
      <c r="AC168" s="1262"/>
      <c r="AD168" s="1262"/>
      <c r="AE168" s="1262"/>
      <c r="AF168" s="1262"/>
      <c r="AG168" s="1262"/>
      <c r="AH168" s="1262"/>
      <c r="AI168" s="1262"/>
      <c r="AJ168" s="1262"/>
      <c r="AK168" s="1262"/>
      <c r="AL168" s="1262"/>
      <c r="AM168" s="1262"/>
      <c r="AN168" s="1262"/>
      <c r="AO168" s="1262"/>
      <c r="AP168" s="1262"/>
      <c r="AQ168" s="2757"/>
      <c r="AR168" s="2757"/>
      <c r="AS168" s="2757"/>
      <c r="AT168" s="2757"/>
    </row>
    <row r="169" spans="1:46" ht="12" customHeight="1">
      <c r="A169" s="2757"/>
      <c r="B169" s="1262"/>
      <c r="C169" s="1262"/>
      <c r="D169" s="1262"/>
      <c r="E169" s="2650" t="s">
        <v>2295</v>
      </c>
      <c r="F169" s="1262" t="s">
        <v>5007</v>
      </c>
      <c r="G169" s="1262"/>
      <c r="H169" s="1262"/>
      <c r="I169" s="1262"/>
      <c r="J169" s="1262"/>
      <c r="K169" s="1262"/>
      <c r="L169" s="9395">
        <v>112500</v>
      </c>
      <c r="M169" s="9395"/>
      <c r="N169" s="9395"/>
      <c r="O169" s="5367"/>
      <c r="P169" s="1262"/>
      <c r="Q169" s="1262"/>
      <c r="R169" s="1262"/>
      <c r="S169" s="1262"/>
      <c r="T169" s="1262"/>
      <c r="U169" s="1262"/>
      <c r="V169" s="1262"/>
      <c r="W169" s="1262"/>
      <c r="X169" s="1262"/>
      <c r="Y169" s="1262"/>
      <c r="Z169" s="1262"/>
      <c r="AA169" s="1262"/>
      <c r="AB169" s="1262"/>
      <c r="AC169" s="1262"/>
      <c r="AD169" s="1262"/>
      <c r="AE169" s="1262"/>
      <c r="AF169" s="1262"/>
      <c r="AG169" s="1262"/>
      <c r="AH169" s="1262"/>
      <c r="AI169" s="1262"/>
      <c r="AJ169" s="1262"/>
      <c r="AK169" s="1262"/>
      <c r="AL169" s="1262"/>
      <c r="AM169" s="1262"/>
      <c r="AN169" s="1262"/>
      <c r="AO169" s="1262"/>
      <c r="AP169" s="1262"/>
      <c r="AQ169" s="2757"/>
      <c r="AR169" s="2757"/>
      <c r="AS169" s="2757"/>
      <c r="AT169" s="2757"/>
    </row>
    <row r="170" spans="1:46" ht="12" customHeight="1">
      <c r="A170" s="2757"/>
      <c r="B170" s="1262"/>
      <c r="C170" s="1262"/>
      <c r="D170" s="1262"/>
      <c r="E170" s="2650" t="s">
        <v>2295</v>
      </c>
      <c r="F170" s="1262" t="s">
        <v>5008</v>
      </c>
      <c r="G170" s="1262"/>
      <c r="H170" s="1262"/>
      <c r="I170" s="1262"/>
      <c r="J170" s="1262"/>
      <c r="K170" s="1262"/>
      <c r="L170" s="1262"/>
      <c r="M170" s="9395">
        <v>75000</v>
      </c>
      <c r="N170" s="9395"/>
      <c r="O170" s="9395"/>
      <c r="P170" s="5367"/>
      <c r="Q170" s="1262"/>
      <c r="R170" s="1262"/>
      <c r="S170" s="1262"/>
      <c r="T170" s="1262"/>
      <c r="U170" s="1262"/>
      <c r="V170" s="1262"/>
      <c r="W170" s="1262"/>
      <c r="X170" s="1262"/>
      <c r="Y170" s="1262"/>
      <c r="Z170" s="1262"/>
      <c r="AA170" s="1262"/>
      <c r="AB170" s="1262"/>
      <c r="AC170" s="1262"/>
      <c r="AD170" s="1262"/>
      <c r="AE170" s="1262"/>
      <c r="AF170" s="1262"/>
      <c r="AG170" s="1262"/>
      <c r="AH170" s="1262"/>
      <c r="AI170" s="1262"/>
      <c r="AJ170" s="5368" t="s">
        <v>204</v>
      </c>
      <c r="AK170" s="9268" t="str">
        <f>IF(AV28,"&lt; Filing status? &gt;",IF(OR(File_Marr_Joint&lt;&gt;"",File_Qual_Widow&lt;&gt;""),R168,IF(File_Head&lt;&gt;"",L169,M170)))</f>
        <v>&lt; Filing status? &gt;</v>
      </c>
      <c r="AL170" s="9268"/>
      <c r="AM170" s="9268"/>
      <c r="AN170" s="9268"/>
      <c r="AO170" s="9268"/>
      <c r="AP170" s="1262"/>
      <c r="AQ170" s="2757"/>
      <c r="AR170" s="2757"/>
      <c r="AS170" s="2757"/>
      <c r="AT170" s="2757"/>
    </row>
    <row r="171" spans="1:46" ht="12" customHeight="1">
      <c r="A171" s="2757"/>
      <c r="B171" s="1262"/>
      <c r="C171" s="1262"/>
      <c r="D171" s="1262"/>
      <c r="E171" s="2650"/>
      <c r="F171" s="1262"/>
      <c r="G171" s="1262"/>
      <c r="H171" s="1262"/>
      <c r="I171" s="1262"/>
      <c r="J171" s="1262"/>
      <c r="K171" s="1262"/>
      <c r="L171" s="1262"/>
      <c r="M171" s="1262"/>
      <c r="N171" s="1262"/>
      <c r="O171" s="1262"/>
      <c r="P171" s="1262"/>
      <c r="Q171" s="1262"/>
      <c r="R171" s="1262"/>
      <c r="S171" s="1262"/>
      <c r="T171" s="1262"/>
      <c r="U171" s="1262"/>
      <c r="V171" s="1262"/>
      <c r="W171" s="1262"/>
      <c r="X171" s="1262"/>
      <c r="Y171" s="1262"/>
      <c r="Z171" s="1262"/>
      <c r="AA171" s="1262"/>
      <c r="AB171" s="1262"/>
      <c r="AC171" s="1262"/>
      <c r="AD171" s="1262"/>
      <c r="AE171" s="1262"/>
      <c r="AF171" s="1262"/>
      <c r="AG171" s="1262"/>
      <c r="AH171" s="1262"/>
      <c r="AI171" s="1262"/>
      <c r="AJ171" s="1262"/>
      <c r="AK171" s="1262"/>
      <c r="AL171" s="1262"/>
      <c r="AM171" s="1262"/>
      <c r="AN171" s="1262"/>
      <c r="AO171" s="1262"/>
      <c r="AP171" s="1262"/>
      <c r="AQ171" s="2757"/>
      <c r="AR171" s="2757"/>
      <c r="AS171" s="2757"/>
      <c r="AT171" s="2757"/>
    </row>
    <row r="172" spans="1:46" ht="12" customHeight="1">
      <c r="A172" s="2757"/>
      <c r="B172" s="1262"/>
      <c r="C172" s="3276" t="s">
        <v>205</v>
      </c>
      <c r="D172" s="1262" t="s">
        <v>5011</v>
      </c>
      <c r="E172" s="2650"/>
      <c r="F172" s="1262"/>
      <c r="G172" s="1262"/>
      <c r="H172" s="1262"/>
      <c r="I172" s="1262"/>
      <c r="J172" s="1262"/>
      <c r="K172" s="1262"/>
      <c r="L172" s="1262"/>
      <c r="M172" s="1262"/>
      <c r="N172" s="1262"/>
      <c r="O172" s="1262"/>
      <c r="P172" s="1262"/>
      <c r="Q172" s="1262"/>
      <c r="R172" s="1262"/>
      <c r="S172" s="1262"/>
      <c r="T172" s="1262"/>
      <c r="U172" s="1262"/>
      <c r="V172" s="1262"/>
      <c r="W172" s="1262"/>
      <c r="X172" s="1262"/>
      <c r="Y172" s="1262"/>
      <c r="Z172" s="1262"/>
      <c r="AA172" s="1262"/>
      <c r="AB172" s="1262"/>
      <c r="AC172" s="1262"/>
      <c r="AD172" s="1262"/>
      <c r="AE172" s="1262"/>
      <c r="AF172" s="1262"/>
      <c r="AG172" s="1262"/>
      <c r="AH172" s="1262"/>
      <c r="AI172" s="1262"/>
      <c r="AJ172" s="1262"/>
      <c r="AK172" s="1262"/>
      <c r="AL172" s="1262"/>
      <c r="AM172" s="1262"/>
      <c r="AN172" s="1262"/>
      <c r="AO172" s="1262"/>
      <c r="AP172" s="1262"/>
      <c r="AQ172" s="2757"/>
      <c r="AR172" s="2757"/>
      <c r="AS172" s="2757"/>
      <c r="AT172" s="2757"/>
    </row>
    <row r="173" spans="1:46" ht="12" customHeight="1">
      <c r="A173" s="2757"/>
      <c r="B173" s="1262"/>
      <c r="C173" s="2808"/>
      <c r="D173" s="1262"/>
      <c r="E173" s="2650" t="s">
        <v>2295</v>
      </c>
      <c r="F173" s="1262" t="s">
        <v>2526</v>
      </c>
      <c r="G173" s="1262"/>
      <c r="H173" s="1262"/>
      <c r="I173" s="1262"/>
      <c r="J173" s="1262"/>
      <c r="K173" s="1262"/>
      <c r="L173" s="1262"/>
      <c r="M173" s="1262"/>
      <c r="N173" s="1262"/>
      <c r="O173" s="1262"/>
      <c r="P173" s="1262"/>
      <c r="Q173" s="1262"/>
      <c r="R173" s="1262"/>
      <c r="S173" s="1262"/>
      <c r="T173" s="1262"/>
      <c r="U173" s="1262"/>
      <c r="V173" s="1262"/>
      <c r="W173" s="1262"/>
      <c r="X173" s="1262"/>
      <c r="Y173" s="1262"/>
      <c r="Z173" s="1262"/>
      <c r="AA173" s="1262"/>
      <c r="AB173" s="1262"/>
      <c r="AC173" s="1262"/>
      <c r="AD173" s="1262"/>
      <c r="AE173" s="1262"/>
      <c r="AF173" s="1262"/>
      <c r="AG173" s="1262"/>
      <c r="AH173" s="1262"/>
      <c r="AI173" s="1262"/>
      <c r="AJ173" s="1262"/>
      <c r="AK173" s="9310"/>
      <c r="AL173" s="9311"/>
      <c r="AM173" s="9311"/>
      <c r="AN173" s="9311"/>
      <c r="AO173" s="9311"/>
      <c r="AP173" s="1262"/>
      <c r="AQ173" s="2757"/>
      <c r="AR173" s="2757"/>
      <c r="AS173" s="2757"/>
      <c r="AT173" s="2757"/>
    </row>
    <row r="174" spans="1:46" ht="12" customHeight="1">
      <c r="A174" s="2757"/>
      <c r="B174" s="1262"/>
      <c r="C174" s="3276"/>
      <c r="D174" s="1262"/>
      <c r="E174" s="2650" t="s">
        <v>2295</v>
      </c>
      <c r="F174" s="1262" t="s">
        <v>5012</v>
      </c>
      <c r="G174" s="1262"/>
      <c r="H174" s="1262"/>
      <c r="I174" s="1262"/>
      <c r="J174" s="1262"/>
      <c r="K174" s="1262"/>
      <c r="L174" s="1262"/>
      <c r="M174" s="1262"/>
      <c r="N174" s="1262"/>
      <c r="O174" s="1262"/>
      <c r="P174" s="1262"/>
      <c r="Q174" s="1262"/>
      <c r="R174" s="1262"/>
      <c r="S174" s="1262"/>
      <c r="T174" s="1262"/>
      <c r="U174" s="1262"/>
      <c r="V174" s="1262"/>
      <c r="W174" s="1262"/>
      <c r="X174" s="1262"/>
      <c r="Y174" s="1262"/>
      <c r="Z174" s="1262"/>
      <c r="AA174" s="1262"/>
      <c r="AB174" s="1262"/>
      <c r="AC174" s="1262"/>
      <c r="AD174" s="1262"/>
      <c r="AE174" s="1262"/>
      <c r="AF174" s="1262"/>
      <c r="AG174" s="1262"/>
      <c r="AH174" s="1262"/>
      <c r="AI174" s="1262"/>
      <c r="AJ174" s="1262"/>
      <c r="AK174" s="9310" t="e">
        <f>SUM(AL17,-AK170)</f>
        <v>#VALUE!</v>
      </c>
      <c r="AL174" s="9311"/>
      <c r="AM174" s="9311"/>
      <c r="AN174" s="9311"/>
      <c r="AO174" s="9311"/>
      <c r="AP174" s="1262"/>
      <c r="AQ174" s="2757"/>
      <c r="AR174" s="2757"/>
      <c r="AS174" s="2757"/>
      <c r="AT174" s="2757"/>
    </row>
    <row r="175" spans="1:46" ht="12" customHeight="1">
      <c r="A175" s="2757"/>
      <c r="B175" s="1262"/>
      <c r="C175" s="2808"/>
      <c r="D175" s="1262" t="s">
        <v>5013</v>
      </c>
      <c r="E175" s="1262"/>
      <c r="F175" s="1262"/>
      <c r="G175" s="1262"/>
      <c r="H175" s="1262"/>
      <c r="I175" s="1262"/>
      <c r="J175" s="1262"/>
      <c r="K175" s="1262"/>
      <c r="L175" s="1262"/>
      <c r="M175" s="1262"/>
      <c r="N175" s="1262"/>
      <c r="O175" s="1262"/>
      <c r="P175" s="1262"/>
      <c r="Q175" s="1262"/>
      <c r="R175" s="1262"/>
      <c r="S175" s="1262"/>
      <c r="T175" s="1262"/>
      <c r="U175" s="1262"/>
      <c r="V175" s="1262"/>
      <c r="W175" s="1262"/>
      <c r="X175" s="1262"/>
      <c r="Y175" s="1262"/>
      <c r="Z175" s="1262"/>
      <c r="AA175" s="1262"/>
      <c r="AB175" s="1262"/>
      <c r="AC175" s="1262"/>
      <c r="AD175" s="1262"/>
      <c r="AE175" s="1262"/>
      <c r="AF175" s="1262"/>
      <c r="AG175" s="1262"/>
      <c r="AH175" s="1262"/>
      <c r="AI175" s="1262"/>
      <c r="AJ175" s="5368" t="s">
        <v>205</v>
      </c>
      <c r="AK175" s="9268" t="str">
        <f>IF(AV28,"",IF(AK174&lt;=0,0,ROUNDUP(AK174,-3)))</f>
        <v/>
      </c>
      <c r="AL175" s="9268"/>
      <c r="AM175" s="9268"/>
      <c r="AN175" s="9268"/>
      <c r="AO175" s="9268"/>
      <c r="AP175" s="1262"/>
      <c r="AQ175" s="2757"/>
      <c r="AR175" s="2757"/>
      <c r="AS175" s="3277"/>
      <c r="AT175" s="2757"/>
    </row>
    <row r="176" spans="1:46" ht="12" customHeight="1">
      <c r="A176" s="2757"/>
      <c r="B176" s="1262"/>
      <c r="C176" s="2808"/>
      <c r="D176" s="1262"/>
      <c r="E176" s="1262"/>
      <c r="F176" s="1262"/>
      <c r="G176" s="1262"/>
      <c r="H176" s="1262"/>
      <c r="I176" s="1262"/>
      <c r="J176" s="1262"/>
      <c r="K176" s="1262"/>
      <c r="L176" s="1262"/>
      <c r="M176" s="1262"/>
      <c r="N176" s="1262"/>
      <c r="O176" s="1262"/>
      <c r="P176" s="1262"/>
      <c r="Q176" s="1262"/>
      <c r="R176" s="1262"/>
      <c r="S176" s="1262"/>
      <c r="T176" s="1262"/>
      <c r="U176" s="1262"/>
      <c r="V176" s="1262"/>
      <c r="W176" s="1262"/>
      <c r="X176" s="1262"/>
      <c r="Y176" s="1262"/>
      <c r="Z176" s="1262"/>
      <c r="AA176" s="1262"/>
      <c r="AB176" s="1262"/>
      <c r="AC176" s="1262"/>
      <c r="AD176" s="1262"/>
      <c r="AE176" s="1262"/>
      <c r="AF176" s="1262"/>
      <c r="AG176" s="1262"/>
      <c r="AH176" s="1262"/>
      <c r="AI176" s="1262"/>
      <c r="AJ176" s="1262"/>
      <c r="AK176" s="9309">
        <v>0.05</v>
      </c>
      <c r="AL176" s="9309"/>
      <c r="AM176" s="9309"/>
      <c r="AN176" s="9309"/>
      <c r="AO176" s="9309"/>
      <c r="AP176" s="1262"/>
      <c r="AQ176" s="2757"/>
      <c r="AR176" s="2757"/>
      <c r="AS176" s="2757"/>
      <c r="AT176" s="2757"/>
    </row>
    <row r="177" spans="1:46" ht="12" customHeight="1">
      <c r="A177" s="2757"/>
      <c r="B177" s="1262"/>
      <c r="C177" s="3276" t="s">
        <v>295</v>
      </c>
      <c r="D177" s="1262" t="str">
        <f>"Multiple line 9 by "&amp;TEXT(AK176,"0%")&amp;" ("&amp;TEXT(AK176,"0.00")&amp;")"</f>
        <v>Multiple line 9 by 5% (0.05)</v>
      </c>
      <c r="E177" s="1262"/>
      <c r="F177" s="1262"/>
      <c r="G177" s="1262"/>
      <c r="H177" s="1262"/>
      <c r="I177" s="1262"/>
      <c r="J177" s="1262"/>
      <c r="K177" s="1262"/>
      <c r="L177" s="1262"/>
      <c r="M177" s="1262"/>
      <c r="N177" s="1262"/>
      <c r="O177" s="1262"/>
      <c r="P177" s="1262"/>
      <c r="Q177" s="1262"/>
      <c r="R177" s="1262"/>
      <c r="S177" s="1262"/>
      <c r="T177" s="1262"/>
      <c r="U177" s="1262"/>
      <c r="V177" s="1262"/>
      <c r="W177" s="1262"/>
      <c r="X177" s="1262"/>
      <c r="Y177" s="1262"/>
      <c r="Z177" s="1262"/>
      <c r="AA177" s="1262"/>
      <c r="AB177" s="1262"/>
      <c r="AC177" s="1262"/>
      <c r="AD177" s="1262"/>
      <c r="AE177" s="1262"/>
      <c r="AF177" s="1262"/>
      <c r="AG177" s="1262"/>
      <c r="AH177" s="1262"/>
      <c r="AI177" s="1262"/>
      <c r="AJ177" s="5368" t="s">
        <v>295</v>
      </c>
      <c r="AK177" s="9268" t="str">
        <f>IF(AV28,"",ROUND(AK175*AK176,0))</f>
        <v/>
      </c>
      <c r="AL177" s="9268"/>
      <c r="AM177" s="9268"/>
      <c r="AN177" s="9268"/>
      <c r="AO177" s="9268"/>
      <c r="AP177" s="1262"/>
      <c r="AQ177" s="2757"/>
      <c r="AR177" s="2757"/>
      <c r="AS177" s="3277"/>
      <c r="AT177" s="2757"/>
    </row>
    <row r="178" spans="1:46" ht="12" customHeight="1">
      <c r="A178" s="2757"/>
      <c r="B178" s="1262"/>
      <c r="C178" s="2808"/>
      <c r="D178" s="1262"/>
      <c r="E178" s="1262"/>
      <c r="F178" s="1262"/>
      <c r="G178" s="1262"/>
      <c r="H178" s="1262"/>
      <c r="I178" s="1262"/>
      <c r="J178" s="1262"/>
      <c r="K178" s="1262"/>
      <c r="L178" s="1262"/>
      <c r="M178" s="1262"/>
      <c r="N178" s="1262"/>
      <c r="O178" s="1262"/>
      <c r="P178" s="1262"/>
      <c r="Q178" s="1262"/>
      <c r="R178" s="1262"/>
      <c r="S178" s="1262"/>
      <c r="T178" s="1262"/>
      <c r="U178" s="1262"/>
      <c r="V178" s="1262"/>
      <c r="W178" s="1262"/>
      <c r="X178" s="1262"/>
      <c r="Y178" s="1262"/>
      <c r="Z178" s="1262"/>
      <c r="AA178" s="1262"/>
      <c r="AB178" s="1262"/>
      <c r="AC178" s="1262"/>
      <c r="AD178" s="1262"/>
      <c r="AE178" s="1262"/>
      <c r="AF178" s="1262"/>
      <c r="AG178" s="1262"/>
      <c r="AH178" s="1262"/>
      <c r="AI178" s="1262"/>
      <c r="AJ178" s="1262"/>
      <c r="AK178" s="1262"/>
      <c r="AL178" s="1262"/>
      <c r="AM178" s="1262"/>
      <c r="AN178" s="1262"/>
      <c r="AO178" s="1262"/>
      <c r="AP178" s="1262"/>
      <c r="AQ178" s="2757"/>
      <c r="AR178" s="2757"/>
      <c r="AS178" s="2757"/>
      <c r="AT178" s="2757"/>
    </row>
    <row r="179" spans="1:46" ht="12" customHeight="1">
      <c r="A179" s="2757"/>
      <c r="B179" s="1262"/>
      <c r="C179" s="3276" t="s">
        <v>296</v>
      </c>
      <c r="D179" s="1262" t="s">
        <v>5014</v>
      </c>
      <c r="E179" s="1262"/>
      <c r="F179" s="1262"/>
      <c r="G179" s="1262"/>
      <c r="H179" s="1262"/>
      <c r="I179" s="1262"/>
      <c r="J179" s="1262"/>
      <c r="K179" s="1262"/>
      <c r="L179" s="1262"/>
      <c r="M179" s="1262"/>
      <c r="N179" s="1262"/>
      <c r="O179" s="1262"/>
      <c r="P179" s="1262"/>
      <c r="Q179" s="1262"/>
      <c r="R179" s="1262"/>
      <c r="S179" s="1262"/>
      <c r="T179" s="1262"/>
      <c r="U179" s="1262"/>
      <c r="V179" s="1262"/>
      <c r="W179" s="1262"/>
      <c r="X179" s="1262"/>
      <c r="Y179" s="1262"/>
      <c r="Z179" s="1262"/>
      <c r="AA179" s="1262"/>
      <c r="AB179" s="1262"/>
      <c r="AC179" s="1262"/>
      <c r="AD179" s="1262"/>
      <c r="AE179" s="1262"/>
      <c r="AF179" s="1262"/>
      <c r="AG179" s="1262"/>
      <c r="AH179" s="1262"/>
      <c r="AI179" s="1262"/>
      <c r="AJ179" s="5368" t="s">
        <v>296</v>
      </c>
      <c r="AK179" s="9268" t="str">
        <f>IF(AV28,"",MIN(AK165,AK177))</f>
        <v/>
      </c>
      <c r="AL179" s="9268"/>
      <c r="AM179" s="9268"/>
      <c r="AN179" s="9268"/>
      <c r="AO179" s="9268"/>
      <c r="AP179" s="1262"/>
      <c r="AQ179" s="2757"/>
      <c r="AR179" s="2757"/>
      <c r="AS179" s="2757"/>
      <c r="AT179" s="2757"/>
    </row>
    <row r="180" spans="1:46" ht="12" customHeight="1">
      <c r="A180" s="2757"/>
      <c r="B180" s="1262"/>
      <c r="C180" s="2808"/>
      <c r="D180" s="1262"/>
      <c r="E180" s="1262"/>
      <c r="F180" s="1262"/>
      <c r="G180" s="1262"/>
      <c r="H180" s="1262"/>
      <c r="I180" s="1262"/>
      <c r="J180" s="1262"/>
      <c r="K180" s="1262"/>
      <c r="L180" s="1262"/>
      <c r="M180" s="1262"/>
      <c r="N180" s="1262"/>
      <c r="O180" s="1262"/>
      <c r="P180" s="1262"/>
      <c r="Q180" s="1262"/>
      <c r="R180" s="1262"/>
      <c r="S180" s="1262"/>
      <c r="T180" s="1262"/>
      <c r="U180" s="1262"/>
      <c r="V180" s="1262"/>
      <c r="W180" s="1262"/>
      <c r="X180" s="1262"/>
      <c r="Y180" s="1262"/>
      <c r="Z180" s="1262"/>
      <c r="AA180" s="1262"/>
      <c r="AB180" s="1262"/>
      <c r="AC180" s="1262"/>
      <c r="AD180" s="1262"/>
      <c r="AE180" s="1262"/>
      <c r="AF180" s="1262"/>
      <c r="AG180" s="1262"/>
      <c r="AH180" s="1262"/>
      <c r="AI180" s="1262"/>
      <c r="AJ180" s="1262"/>
      <c r="AK180" s="1262"/>
      <c r="AL180" s="1262"/>
      <c r="AM180" s="1262"/>
      <c r="AN180" s="1262"/>
      <c r="AO180" s="1262"/>
      <c r="AP180" s="1262"/>
      <c r="AQ180" s="2757"/>
      <c r="AR180" s="2757"/>
      <c r="AS180" s="2757"/>
      <c r="AT180" s="2757"/>
    </row>
    <row r="181" spans="1:46" ht="12" customHeight="1">
      <c r="A181" s="2757"/>
      <c r="B181" s="1262"/>
      <c r="C181" s="3276" t="s">
        <v>297</v>
      </c>
      <c r="D181" s="1262" t="s">
        <v>5015</v>
      </c>
      <c r="E181" s="1262"/>
      <c r="F181" s="1262"/>
      <c r="G181" s="1262"/>
      <c r="H181" s="1262"/>
      <c r="I181" s="1262"/>
      <c r="J181" s="1262"/>
      <c r="K181" s="1262"/>
      <c r="L181" s="1262"/>
      <c r="M181" s="1262"/>
      <c r="N181" s="1262"/>
      <c r="O181" s="1262"/>
      <c r="P181" s="1262"/>
      <c r="Q181" s="1262"/>
      <c r="R181" s="1262"/>
      <c r="S181" s="1262"/>
      <c r="T181" s="1262"/>
      <c r="U181" s="1262"/>
      <c r="V181" s="1262"/>
      <c r="W181" s="1262"/>
      <c r="X181" s="1262"/>
      <c r="Y181" s="1262"/>
      <c r="Z181" s="1262"/>
      <c r="AA181" s="1262"/>
      <c r="AB181" s="1262"/>
      <c r="AC181" s="1262"/>
      <c r="AD181" s="1262"/>
      <c r="AE181" s="1262"/>
      <c r="AF181" s="1262"/>
      <c r="AG181" s="1262"/>
      <c r="AH181" s="1262"/>
      <c r="AI181" s="1262"/>
      <c r="AJ181" s="5368" t="s">
        <v>297</v>
      </c>
      <c r="AK181" s="9268" t="str">
        <f>IF(AV28,"",SUM(AK153,-AK179))</f>
        <v/>
      </c>
      <c r="AL181" s="9268"/>
      <c r="AM181" s="9268"/>
      <c r="AN181" s="9268"/>
      <c r="AO181" s="9268"/>
      <c r="AP181" s="1262"/>
      <c r="AQ181" s="2757"/>
      <c r="AR181" s="2757"/>
      <c r="AS181" s="2757"/>
      <c r="AT181" s="2757"/>
    </row>
    <row r="182" spans="1:46" ht="12" customHeight="1">
      <c r="A182" s="2757"/>
      <c r="B182" s="1570"/>
      <c r="C182" s="1570"/>
      <c r="D182" s="1570"/>
      <c r="E182" s="1570"/>
      <c r="F182" s="1570"/>
      <c r="G182" s="1570"/>
      <c r="H182" s="1570"/>
      <c r="I182" s="1570"/>
      <c r="J182" s="1570"/>
      <c r="K182" s="1570"/>
      <c r="L182" s="1570"/>
      <c r="M182" s="1570"/>
      <c r="N182" s="1570"/>
      <c r="O182" s="1570"/>
      <c r="P182" s="1570"/>
      <c r="Q182" s="1570"/>
      <c r="R182" s="1570"/>
      <c r="S182" s="1570"/>
      <c r="T182" s="1570"/>
      <c r="U182" s="1570"/>
      <c r="V182" s="1570"/>
      <c r="W182" s="1570"/>
      <c r="X182" s="1570"/>
      <c r="Y182" s="1570"/>
      <c r="Z182" s="1570"/>
      <c r="AA182" s="1570"/>
      <c r="AB182" s="1570"/>
      <c r="AC182" s="1570"/>
      <c r="AD182" s="1570"/>
      <c r="AE182" s="1570"/>
      <c r="AF182" s="1570"/>
      <c r="AG182" s="1570"/>
      <c r="AH182" s="1570"/>
      <c r="AI182" s="1570"/>
      <c r="AJ182" s="1570"/>
      <c r="AK182" s="1570"/>
      <c r="AL182" s="1570"/>
      <c r="AM182" s="1570"/>
      <c r="AN182" s="1570"/>
      <c r="AO182" s="1570"/>
      <c r="AP182" s="1570"/>
      <c r="AQ182" s="2757"/>
      <c r="AR182" s="2757"/>
      <c r="AS182" s="2757"/>
      <c r="AT182" s="2757"/>
    </row>
    <row r="183" spans="1:46" ht="12" customHeight="1">
      <c r="A183" s="2757"/>
      <c r="B183" s="2731"/>
      <c r="C183" s="2731"/>
      <c r="D183" s="2731"/>
      <c r="E183" s="2731"/>
      <c r="F183" s="2731"/>
      <c r="G183" s="2731"/>
      <c r="H183" s="2731"/>
      <c r="I183" s="2731"/>
      <c r="J183" s="2731"/>
      <c r="K183" s="2731"/>
      <c r="L183" s="2731"/>
      <c r="M183" s="2731"/>
      <c r="N183" s="2731"/>
      <c r="O183" s="2731"/>
      <c r="P183" s="2731"/>
      <c r="Q183" s="2731"/>
      <c r="R183" s="2731"/>
      <c r="S183" s="2731"/>
      <c r="T183" s="2731"/>
      <c r="U183" s="2731"/>
      <c r="V183" s="2731"/>
      <c r="W183" s="2731"/>
      <c r="X183" s="2731"/>
      <c r="Y183" s="2731"/>
      <c r="Z183" s="2731"/>
      <c r="AA183" s="2731"/>
      <c r="AB183" s="2731"/>
      <c r="AC183" s="2731"/>
      <c r="AD183" s="2731"/>
      <c r="AE183" s="2731"/>
      <c r="AF183" s="2731"/>
      <c r="AG183" s="2731"/>
      <c r="AH183" s="2731"/>
      <c r="AI183" s="2731"/>
      <c r="AJ183" s="2731"/>
      <c r="AK183" s="2731"/>
      <c r="AL183" s="2731"/>
      <c r="AM183" s="2731"/>
      <c r="AN183" s="2731"/>
      <c r="AO183" s="2731"/>
      <c r="AP183" s="2731"/>
      <c r="AQ183" s="2757"/>
      <c r="AR183" s="2757"/>
      <c r="AS183" s="2757"/>
      <c r="AT183" s="2757"/>
    </row>
    <row r="184" spans="1:46" ht="12" customHeight="1">
      <c r="A184" s="2757"/>
      <c r="B184" s="1262"/>
      <c r="C184" s="1577" t="s">
        <v>5016</v>
      </c>
      <c r="D184" s="1262"/>
      <c r="E184" s="1262"/>
      <c r="F184" s="1262"/>
      <c r="G184" s="1262"/>
      <c r="H184" s="1262"/>
      <c r="I184" s="1262"/>
      <c r="J184" s="1262"/>
      <c r="K184" s="1262"/>
      <c r="L184" s="1262"/>
      <c r="M184" s="1262"/>
      <c r="N184" s="1262"/>
      <c r="O184" s="1262"/>
      <c r="P184" s="1262"/>
      <c r="Q184" s="1262"/>
      <c r="R184" s="1262"/>
      <c r="S184" s="1262"/>
      <c r="T184" s="1262"/>
      <c r="U184" s="1262"/>
      <c r="V184" s="1262"/>
      <c r="W184" s="1262"/>
      <c r="X184" s="1262"/>
      <c r="Y184" s="1262"/>
      <c r="Z184" s="1262"/>
      <c r="AA184" s="1262"/>
      <c r="AB184" s="1262"/>
      <c r="AC184" s="1262"/>
      <c r="AD184" s="1262"/>
      <c r="AE184" s="1262"/>
      <c r="AF184" s="1262"/>
      <c r="AG184" s="1262"/>
      <c r="AH184" s="1262"/>
      <c r="AI184" s="1262"/>
      <c r="AJ184" s="1262"/>
      <c r="AK184" s="1262"/>
      <c r="AL184" s="1262"/>
      <c r="AM184" s="1262"/>
      <c r="AN184" s="1262"/>
      <c r="AO184" s="1262"/>
      <c r="AP184" s="1262"/>
      <c r="AQ184" s="2757"/>
      <c r="AR184" s="2757"/>
      <c r="AS184" s="2757"/>
      <c r="AT184" s="2757"/>
    </row>
    <row r="185" spans="1:46" ht="12" customHeight="1" thickBot="1">
      <c r="A185" s="2757"/>
      <c r="B185" s="1262"/>
      <c r="C185" s="3724"/>
      <c r="D185" s="3724"/>
      <c r="E185" s="3724"/>
      <c r="F185" s="3724"/>
      <c r="G185" s="3724"/>
      <c r="H185" s="3724"/>
      <c r="I185" s="3724"/>
      <c r="J185" s="3724"/>
      <c r="K185" s="3724"/>
      <c r="L185" s="3724"/>
      <c r="M185" s="3724"/>
      <c r="N185" s="3724"/>
      <c r="O185" s="3724"/>
      <c r="P185" s="3724"/>
      <c r="Q185" s="3724"/>
      <c r="R185" s="3724"/>
      <c r="S185" s="3724"/>
      <c r="T185" s="3724"/>
      <c r="U185" s="3724"/>
      <c r="V185" s="3724"/>
      <c r="W185" s="3724"/>
      <c r="X185" s="3724"/>
      <c r="Y185" s="3724"/>
      <c r="Z185" s="3724"/>
      <c r="AA185" s="3724"/>
      <c r="AB185" s="3724"/>
      <c r="AC185" s="3724"/>
      <c r="AD185" s="3724"/>
      <c r="AE185" s="3724"/>
      <c r="AF185" s="3724"/>
      <c r="AG185" s="3724"/>
      <c r="AH185" s="3724"/>
      <c r="AI185" s="3724"/>
      <c r="AJ185" s="3724"/>
      <c r="AK185" s="3724"/>
      <c r="AL185" s="3724"/>
      <c r="AM185" s="3724"/>
      <c r="AN185" s="3724"/>
      <c r="AO185" s="3724"/>
      <c r="AP185" s="1262"/>
      <c r="AQ185" s="2757"/>
      <c r="AR185" s="2757"/>
      <c r="AS185" s="2757"/>
      <c r="AT185" s="2757"/>
    </row>
    <row r="186" spans="1:46" ht="6" customHeight="1" thickTop="1">
      <c r="A186" s="2757"/>
      <c r="B186" s="1262"/>
      <c r="C186" s="1262"/>
      <c r="D186" s="1262"/>
      <c r="E186" s="1262"/>
      <c r="F186" s="1262"/>
      <c r="G186" s="1262"/>
      <c r="H186" s="1262"/>
      <c r="I186" s="1262"/>
      <c r="J186" s="1262"/>
      <c r="K186" s="1262"/>
      <c r="L186" s="1262"/>
      <c r="M186" s="1262"/>
      <c r="N186" s="1262"/>
      <c r="O186" s="1262"/>
      <c r="P186" s="1262"/>
      <c r="Q186" s="1262"/>
      <c r="R186" s="1262"/>
      <c r="S186" s="1262"/>
      <c r="T186" s="1262"/>
      <c r="U186" s="1262"/>
      <c r="V186" s="1262"/>
      <c r="W186" s="1262"/>
      <c r="X186" s="1262"/>
      <c r="Y186" s="1262"/>
      <c r="Z186" s="1262"/>
      <c r="AA186" s="1262"/>
      <c r="AB186" s="1262"/>
      <c r="AC186" s="1262"/>
      <c r="AD186" s="1262"/>
      <c r="AE186" s="1262"/>
      <c r="AF186" s="1262"/>
      <c r="AG186" s="1262"/>
      <c r="AH186" s="1262"/>
      <c r="AI186" s="1262"/>
      <c r="AJ186" s="1262"/>
      <c r="AK186" s="1262"/>
      <c r="AL186" s="1262"/>
      <c r="AM186" s="1262"/>
      <c r="AN186" s="1262"/>
      <c r="AO186" s="1262"/>
      <c r="AP186" s="1262"/>
      <c r="AQ186" s="2757"/>
      <c r="AR186" s="2757"/>
      <c r="AS186" s="2757"/>
      <c r="AT186" s="2757"/>
    </row>
    <row r="187" spans="1:46" ht="20.25" customHeight="1">
      <c r="A187" s="2757"/>
      <c r="B187" s="1262"/>
      <c r="C187" s="1262"/>
      <c r="D187" s="1262"/>
      <c r="E187" s="1262"/>
      <c r="F187" s="5368" t="s">
        <v>294</v>
      </c>
      <c r="G187" s="1262" t="s">
        <v>5193</v>
      </c>
      <c r="H187" s="1262"/>
      <c r="I187" s="1262"/>
      <c r="J187" s="1262"/>
      <c r="K187" s="1262"/>
      <c r="L187" s="1262"/>
      <c r="M187" s="1262"/>
      <c r="N187" s="1262"/>
      <c r="O187" s="1262"/>
      <c r="P187" s="1262"/>
      <c r="Q187" s="1262"/>
      <c r="R187" s="1262"/>
      <c r="S187" s="1262"/>
      <c r="T187" s="1262"/>
      <c r="U187" s="1262"/>
      <c r="V187" s="1262"/>
      <c r="W187" s="1262"/>
      <c r="X187" s="1262"/>
      <c r="Y187" s="1262"/>
      <c r="Z187" s="1262"/>
      <c r="AA187" s="1262"/>
      <c r="AB187" s="1262"/>
      <c r="AC187" s="1262"/>
      <c r="AD187" s="1262"/>
      <c r="AE187" s="1262"/>
      <c r="AF187" s="1262"/>
      <c r="AG187" s="1262"/>
      <c r="AH187" s="1262"/>
      <c r="AI187" s="5517" t="s">
        <v>568</v>
      </c>
      <c r="AJ187" s="5370" t="s">
        <v>148</v>
      </c>
      <c r="AK187" s="9268">
        <f>'1040'!AC59</f>
        <v>0</v>
      </c>
      <c r="AL187" s="9268"/>
      <c r="AM187" s="9268"/>
      <c r="AN187" s="9268"/>
      <c r="AO187" s="9268"/>
      <c r="AP187" s="1262"/>
      <c r="AQ187" s="2757"/>
      <c r="AR187" s="2757"/>
      <c r="AS187" s="2757"/>
      <c r="AT187" s="2757"/>
    </row>
    <row r="188" spans="1:46" ht="12" customHeight="1">
      <c r="A188" s="2757"/>
      <c r="B188" s="1262"/>
      <c r="C188" s="1262"/>
      <c r="D188" s="1262"/>
      <c r="E188" s="1262"/>
      <c r="F188" s="1262"/>
      <c r="G188" s="1262"/>
      <c r="H188" s="1262"/>
      <c r="I188" s="1262"/>
      <c r="J188" s="1262"/>
      <c r="K188" s="1262"/>
      <c r="L188" s="1262"/>
      <c r="M188" s="1262"/>
      <c r="N188" s="1262"/>
      <c r="O188" s="1262"/>
      <c r="P188" s="1262"/>
      <c r="Q188" s="1262"/>
      <c r="R188" s="1262"/>
      <c r="S188" s="1262"/>
      <c r="T188" s="1262"/>
      <c r="U188" s="1262"/>
      <c r="V188" s="1262"/>
      <c r="W188" s="1262"/>
      <c r="X188" s="1262"/>
      <c r="Y188" s="1262"/>
      <c r="Z188" s="1262"/>
      <c r="AA188" s="1262"/>
      <c r="AB188" s="1262"/>
      <c r="AC188" s="1262"/>
      <c r="AD188" s="1262"/>
      <c r="AE188" s="1262"/>
      <c r="AF188" s="1262"/>
      <c r="AG188" s="1262"/>
      <c r="AH188" s="1262"/>
      <c r="AI188" s="1262"/>
      <c r="AJ188" s="1262"/>
      <c r="AK188" s="1262"/>
      <c r="AL188" s="1262"/>
      <c r="AM188" s="1262"/>
      <c r="AN188" s="1262"/>
      <c r="AO188" s="1262"/>
      <c r="AP188" s="1262"/>
      <c r="AQ188" s="2757"/>
      <c r="AR188" s="2757"/>
      <c r="AS188" s="5931" t="s">
        <v>91</v>
      </c>
      <c r="AT188" s="2757"/>
    </row>
    <row r="189" spans="1:46" ht="12" customHeight="1">
      <c r="A189" s="2757"/>
      <c r="B189" s="1262"/>
      <c r="C189" s="1262"/>
      <c r="D189" s="1262"/>
      <c r="E189" s="1262"/>
      <c r="F189" s="5368" t="s">
        <v>0</v>
      </c>
      <c r="G189" s="1262" t="s">
        <v>5025</v>
      </c>
      <c r="H189" s="1262"/>
      <c r="I189" s="1262"/>
      <c r="J189" s="1262"/>
      <c r="K189" s="1262"/>
      <c r="L189" s="1262"/>
      <c r="M189" s="1262"/>
      <c r="N189" s="1262"/>
      <c r="O189" s="1262"/>
      <c r="P189" s="1262"/>
      <c r="Q189" s="1262"/>
      <c r="R189" s="1262"/>
      <c r="S189" s="1262"/>
      <c r="T189" s="1262"/>
      <c r="U189" s="1262"/>
      <c r="V189" s="1262"/>
      <c r="W189" s="1262"/>
      <c r="X189" s="1262"/>
      <c r="Y189" s="1262"/>
      <c r="Z189" s="1262"/>
      <c r="AA189" s="1262"/>
      <c r="AB189" s="1262"/>
      <c r="AC189" s="1262"/>
      <c r="AD189" s="1262"/>
      <c r="AE189" s="1262"/>
      <c r="AF189" s="1262"/>
      <c r="AG189" s="1262"/>
      <c r="AH189" s="1262"/>
      <c r="AI189" s="1262"/>
      <c r="AJ189" s="1262"/>
      <c r="AK189" s="1262"/>
      <c r="AL189" s="1262"/>
      <c r="AM189" s="1262"/>
      <c r="AN189" s="1262"/>
      <c r="AO189" s="1262"/>
      <c r="AP189" s="1262"/>
      <c r="AQ189" s="2757"/>
      <c r="AR189" s="2757"/>
      <c r="AS189" s="2757"/>
      <c r="AT189" s="2757"/>
    </row>
    <row r="190" spans="1:46" ht="12" customHeight="1">
      <c r="A190" s="2757"/>
      <c r="B190" s="1262"/>
      <c r="C190" s="1262"/>
      <c r="D190" s="1262"/>
      <c r="E190" s="1262"/>
      <c r="F190" s="5368"/>
      <c r="G190" s="1262"/>
      <c r="H190" s="1262" t="s">
        <v>5017</v>
      </c>
      <c r="I190" s="1262"/>
      <c r="J190" s="1262"/>
      <c r="K190" s="1262"/>
      <c r="L190" s="1262"/>
      <c r="M190" s="1262"/>
      <c r="N190" s="1262"/>
      <c r="O190" s="1262"/>
      <c r="P190" s="1262"/>
      <c r="Q190" s="1262"/>
      <c r="R190" s="1262"/>
      <c r="S190" s="1262"/>
      <c r="T190" s="1262"/>
      <c r="U190" s="1262"/>
      <c r="V190" s="1262"/>
      <c r="W190" s="1262"/>
      <c r="X190" s="1262"/>
      <c r="Y190" s="1262"/>
      <c r="Z190" s="1262"/>
      <c r="AA190" s="1262"/>
      <c r="AB190" s="5517" t="s">
        <v>1054</v>
      </c>
      <c r="AC190" s="9314" t="s">
        <v>5026</v>
      </c>
      <c r="AD190" s="6618"/>
      <c r="AE190" s="9316">
        <f>IF(AS190&lt;&gt;"",ROUND(AS190,0),'Sch. 3'!AC11)</f>
        <v>0</v>
      </c>
      <c r="AF190" s="9316"/>
      <c r="AG190" s="9316"/>
      <c r="AH190" s="9316"/>
      <c r="AI190" s="9316"/>
      <c r="AJ190" s="1262"/>
      <c r="AK190" s="1262"/>
      <c r="AL190" s="1262"/>
      <c r="AM190" s="1262"/>
      <c r="AN190" s="1262"/>
      <c r="AO190" s="1262"/>
      <c r="AP190" s="1262"/>
      <c r="AQ190" s="2757"/>
      <c r="AR190" s="2757"/>
      <c r="AS190" s="3277"/>
      <c r="AT190" s="2757"/>
    </row>
    <row r="191" spans="1:46" ht="12" customHeight="1">
      <c r="A191" s="2757"/>
      <c r="B191" s="1262"/>
      <c r="C191" s="1262"/>
      <c r="D191" s="1262"/>
      <c r="E191" s="1262"/>
      <c r="F191" s="5368"/>
      <c r="G191" s="1262"/>
      <c r="H191" s="1262" t="s">
        <v>5018</v>
      </c>
      <c r="I191" s="1262"/>
      <c r="J191" s="1262"/>
      <c r="K191" s="1262"/>
      <c r="L191" s="1262"/>
      <c r="M191" s="1262"/>
      <c r="N191" s="1262"/>
      <c r="O191" s="1262"/>
      <c r="P191" s="1262"/>
      <c r="Q191" s="1262"/>
      <c r="R191" s="1262"/>
      <c r="S191" s="1262"/>
      <c r="T191" s="1262"/>
      <c r="U191" s="1262"/>
      <c r="V191" s="1262"/>
      <c r="W191" s="1262"/>
      <c r="X191" s="1262"/>
      <c r="Y191" s="1262"/>
      <c r="Z191" s="1262"/>
      <c r="AA191" s="1262"/>
      <c r="AB191" s="5517" t="s">
        <v>1054</v>
      </c>
      <c r="AC191" s="9314" t="s">
        <v>5026</v>
      </c>
      <c r="AD191" s="6618"/>
      <c r="AE191" s="9316" t="str">
        <f>IF(AS191&lt;&gt;"",ROUND(AS191,0),'Sch. 3'!AC13)</f>
        <v/>
      </c>
      <c r="AF191" s="9316"/>
      <c r="AG191" s="9316"/>
      <c r="AH191" s="9316"/>
      <c r="AI191" s="9316"/>
      <c r="AJ191" s="1262"/>
      <c r="AK191" s="1262"/>
      <c r="AL191" s="1262"/>
      <c r="AM191" s="1262"/>
      <c r="AN191" s="1262"/>
      <c r="AO191" s="1262"/>
      <c r="AP191" s="1262"/>
      <c r="AQ191" s="2757"/>
      <c r="AR191" s="2757"/>
      <c r="AS191" s="3277"/>
      <c r="AT191" s="2757"/>
    </row>
    <row r="192" spans="1:46" ht="12" customHeight="1">
      <c r="A192" s="2757"/>
      <c r="B192" s="1262"/>
      <c r="C192" s="1262"/>
      <c r="D192" s="1262"/>
      <c r="E192" s="1262"/>
      <c r="F192" s="5368"/>
      <c r="G192" s="1262"/>
      <c r="H192" s="1262" t="s">
        <v>5019</v>
      </c>
      <c r="I192" s="1262"/>
      <c r="J192" s="1262"/>
      <c r="K192" s="1262"/>
      <c r="L192" s="1262"/>
      <c r="M192" s="1262"/>
      <c r="N192" s="1262"/>
      <c r="O192" s="1262"/>
      <c r="P192" s="1262"/>
      <c r="Q192" s="1262"/>
      <c r="R192" s="1262"/>
      <c r="S192" s="1262"/>
      <c r="T192" s="1262"/>
      <c r="U192" s="1262"/>
      <c r="V192" s="1262"/>
      <c r="W192" s="1262"/>
      <c r="X192" s="1262"/>
      <c r="Y192" s="1262"/>
      <c r="Z192" s="1262"/>
      <c r="AA192" s="1262"/>
      <c r="AB192" s="5517" t="s">
        <v>1054</v>
      </c>
      <c r="AC192" s="9314" t="s">
        <v>5026</v>
      </c>
      <c r="AD192" s="6618"/>
      <c r="AE192" s="9316">
        <f>IF(AS192&lt;&gt;"",ROUND(AS192,0),IF('Sch. 3'!AC14="",0,'Sch. 3'!AC14))</f>
        <v>0</v>
      </c>
      <c r="AF192" s="9316"/>
      <c r="AG192" s="9316"/>
      <c r="AH192" s="9316"/>
      <c r="AI192" s="9316"/>
      <c r="AJ192" s="1262"/>
      <c r="AK192" s="1262"/>
      <c r="AL192" s="1262"/>
      <c r="AM192" s="1262"/>
      <c r="AN192" s="1262"/>
      <c r="AO192" s="1262"/>
      <c r="AP192" s="1262"/>
      <c r="AQ192" s="2757"/>
      <c r="AR192" s="2757"/>
      <c r="AS192" s="3277"/>
      <c r="AT192" s="2757"/>
    </row>
    <row r="193" spans="1:46" ht="12" customHeight="1">
      <c r="A193" s="2757"/>
      <c r="B193" s="1262"/>
      <c r="C193" s="1262"/>
      <c r="D193" s="1262"/>
      <c r="E193" s="1262"/>
      <c r="F193" s="5368"/>
      <c r="G193" s="1262"/>
      <c r="H193" s="1262" t="s">
        <v>5020</v>
      </c>
      <c r="I193" s="1262"/>
      <c r="J193" s="1262"/>
      <c r="K193" s="1262"/>
      <c r="L193" s="1262"/>
      <c r="M193" s="1262"/>
      <c r="N193" s="1262"/>
      <c r="O193" s="1262"/>
      <c r="P193" s="1262"/>
      <c r="Q193" s="1262"/>
      <c r="R193" s="1262"/>
      <c r="S193" s="1262"/>
      <c r="T193" s="1262"/>
      <c r="U193" s="1262"/>
      <c r="V193" s="1262"/>
      <c r="W193" s="1262"/>
      <c r="X193" s="1262"/>
      <c r="Y193" s="1262"/>
      <c r="Z193" s="1262"/>
      <c r="AA193" s="1262"/>
      <c r="AB193" s="5517" t="s">
        <v>1054</v>
      </c>
      <c r="AC193" s="9314" t="s">
        <v>5026</v>
      </c>
      <c r="AD193" s="6618"/>
      <c r="AE193" s="9316" t="str">
        <f>IF(AS193&lt;&gt;"",ROUND(AS193,0),'Sch. 3'!AC15)</f>
        <v/>
      </c>
      <c r="AF193" s="9316"/>
      <c r="AG193" s="9316"/>
      <c r="AH193" s="9316"/>
      <c r="AI193" s="9316"/>
      <c r="AJ193" s="1262"/>
      <c r="AK193" s="1262"/>
      <c r="AL193" s="1262"/>
      <c r="AM193" s="1262"/>
      <c r="AN193" s="1262"/>
      <c r="AO193" s="1262"/>
      <c r="AP193" s="1262"/>
      <c r="AQ193" s="2757"/>
      <c r="AR193" s="2757"/>
      <c r="AS193" s="3277"/>
      <c r="AT193" s="2757"/>
    </row>
    <row r="194" spans="1:46" ht="12" customHeight="1">
      <c r="A194" s="2757"/>
      <c r="B194" s="1262"/>
      <c r="C194" s="1262"/>
      <c r="D194" s="1262"/>
      <c r="E194" s="1262"/>
      <c r="F194" s="5368"/>
      <c r="G194" s="1262"/>
      <c r="H194" s="1262" t="s">
        <v>5027</v>
      </c>
      <c r="I194" s="1262"/>
      <c r="J194" s="1262"/>
      <c r="K194" s="1262"/>
      <c r="L194" s="1262"/>
      <c r="M194" s="1262"/>
      <c r="N194" s="1262"/>
      <c r="O194" s="1262"/>
      <c r="P194" s="1262"/>
      <c r="Q194" s="1262"/>
      <c r="R194" s="1262"/>
      <c r="S194" s="1262"/>
      <c r="T194" s="1262"/>
      <c r="U194" s="1262"/>
      <c r="V194" s="1262"/>
      <c r="W194" s="1262"/>
      <c r="X194" s="1262"/>
      <c r="Y194" s="1262"/>
      <c r="Z194" s="1262"/>
      <c r="AA194" s="1262"/>
      <c r="AB194" s="5517" t="s">
        <v>94</v>
      </c>
      <c r="AC194" s="9314" t="s">
        <v>5026</v>
      </c>
      <c r="AD194" s="6618"/>
      <c r="AE194" s="9316">
        <f>IF(AS194&lt;&gt;"",ROUND(AS194,0),'Sch. 3'!W29)</f>
        <v>0</v>
      </c>
      <c r="AF194" s="9316"/>
      <c r="AG194" s="9316"/>
      <c r="AH194" s="9316"/>
      <c r="AI194" s="9316"/>
      <c r="AJ194" s="1262"/>
      <c r="AK194" s="1262"/>
      <c r="AL194" s="1262"/>
      <c r="AM194" s="1262"/>
      <c r="AN194" s="1262"/>
      <c r="AO194" s="1262"/>
      <c r="AP194" s="1262"/>
      <c r="AQ194" s="2757"/>
      <c r="AR194" s="2757"/>
      <c r="AS194" s="3277"/>
      <c r="AT194" s="2757"/>
    </row>
    <row r="195" spans="1:46" ht="12" customHeight="1">
      <c r="A195" s="2757"/>
      <c r="B195" s="1262"/>
      <c r="C195" s="1262"/>
      <c r="D195" s="1262"/>
      <c r="E195" s="1262"/>
      <c r="F195" s="5368"/>
      <c r="G195" s="1262"/>
      <c r="H195" s="1262" t="s">
        <v>5022</v>
      </c>
      <c r="I195" s="1262"/>
      <c r="J195" s="1262"/>
      <c r="K195" s="1262"/>
      <c r="L195" s="1262"/>
      <c r="M195" s="1262"/>
      <c r="N195" s="1262"/>
      <c r="O195" s="1262"/>
      <c r="P195" s="1262"/>
      <c r="Q195" s="1262"/>
      <c r="R195" s="1262"/>
      <c r="S195" s="1262"/>
      <c r="T195" s="1262"/>
      <c r="U195" s="1262"/>
      <c r="V195" s="1262"/>
      <c r="W195" s="1262"/>
      <c r="X195" s="1262"/>
      <c r="Y195" s="1262"/>
      <c r="Z195" s="1262"/>
      <c r="AA195" s="1262"/>
      <c r="AB195" s="5517" t="s">
        <v>1054</v>
      </c>
      <c r="AC195" s="9314" t="s">
        <v>5026</v>
      </c>
      <c r="AD195" s="6618"/>
      <c r="AE195" s="9315"/>
      <c r="AF195" s="9315"/>
      <c r="AG195" s="9315"/>
      <c r="AH195" s="9315"/>
      <c r="AI195" s="9315"/>
      <c r="AJ195" s="1262"/>
      <c r="AK195" s="1262"/>
      <c r="AL195" s="1262"/>
      <c r="AM195" s="1262"/>
      <c r="AN195" s="1262"/>
      <c r="AO195" s="1262"/>
      <c r="AP195" s="1262"/>
      <c r="AQ195" s="2757"/>
      <c r="AR195" s="2757"/>
      <c r="AS195" s="2757"/>
      <c r="AT195" s="2757"/>
    </row>
    <row r="196" spans="1:46" ht="12" customHeight="1">
      <c r="A196" s="2757"/>
      <c r="B196" s="1262"/>
      <c r="C196" s="1262"/>
      <c r="D196" s="1262"/>
      <c r="E196" s="1262"/>
      <c r="F196" s="5368"/>
      <c r="G196" s="1262"/>
      <c r="H196" s="1262" t="s">
        <v>5023</v>
      </c>
      <c r="I196" s="1262"/>
      <c r="J196" s="1262"/>
      <c r="K196" s="1262"/>
      <c r="L196" s="1262"/>
      <c r="M196" s="1262"/>
      <c r="N196" s="1262"/>
      <c r="O196" s="1262"/>
      <c r="P196" s="1262"/>
      <c r="Q196" s="1262"/>
      <c r="R196" s="1262"/>
      <c r="S196" s="1262"/>
      <c r="T196" s="1262"/>
      <c r="U196" s="1262"/>
      <c r="V196" s="1262"/>
      <c r="W196" s="1262"/>
      <c r="X196" s="1262"/>
      <c r="Y196" s="1262"/>
      <c r="Z196" s="1262"/>
      <c r="AA196" s="1262"/>
      <c r="AB196" s="5517" t="s">
        <v>1054</v>
      </c>
      <c r="AC196" s="9314" t="s">
        <v>5026</v>
      </c>
      <c r="AD196" s="6618"/>
      <c r="AE196" s="9315"/>
      <c r="AF196" s="9315"/>
      <c r="AG196" s="9315"/>
      <c r="AH196" s="9315"/>
      <c r="AI196" s="9315"/>
      <c r="AJ196" s="1262"/>
      <c r="AK196" s="1262"/>
      <c r="AL196" s="1262"/>
      <c r="AM196" s="1262"/>
      <c r="AN196" s="1262"/>
      <c r="AO196" s="1262"/>
      <c r="AP196" s="1262"/>
      <c r="AQ196" s="2757"/>
      <c r="AR196" s="2757"/>
      <c r="AS196" s="2757"/>
      <c r="AT196" s="2757"/>
    </row>
    <row r="197" spans="1:46" ht="12" customHeight="1">
      <c r="A197" s="2757"/>
      <c r="B197" s="1262"/>
      <c r="C197" s="1262"/>
      <c r="D197" s="1262"/>
      <c r="E197" s="1262"/>
      <c r="F197" s="5368"/>
      <c r="G197" s="1262"/>
      <c r="H197" s="1262" t="s">
        <v>5024</v>
      </c>
      <c r="I197" s="1262"/>
      <c r="J197" s="1262"/>
      <c r="K197" s="1262"/>
      <c r="L197" s="1262"/>
      <c r="M197" s="1262"/>
      <c r="N197" s="1262"/>
      <c r="O197" s="1262"/>
      <c r="P197" s="1262"/>
      <c r="Q197" s="1262"/>
      <c r="R197" s="1262"/>
      <c r="S197" s="1262"/>
      <c r="T197" s="1262"/>
      <c r="U197" s="1262"/>
      <c r="V197" s="1262"/>
      <c r="W197" s="1262"/>
      <c r="X197" s="1262"/>
      <c r="Y197" s="1262"/>
      <c r="Z197" s="1262"/>
      <c r="AA197" s="1262"/>
      <c r="AB197" s="5517" t="s">
        <v>1054</v>
      </c>
      <c r="AC197" s="9314" t="s">
        <v>5026</v>
      </c>
      <c r="AD197" s="6618"/>
      <c r="AE197" s="9315"/>
      <c r="AF197" s="9315"/>
      <c r="AG197" s="9315"/>
      <c r="AH197" s="9315"/>
      <c r="AI197" s="9315"/>
      <c r="AJ197" s="1262"/>
      <c r="AK197" s="1262"/>
      <c r="AL197" s="1262"/>
      <c r="AM197" s="1262"/>
      <c r="AN197" s="1262"/>
      <c r="AO197" s="1262"/>
      <c r="AP197" s="1262"/>
      <c r="AQ197" s="2757"/>
      <c r="AR197" s="2757"/>
      <c r="AS197" s="2757"/>
      <c r="AT197" s="2757"/>
    </row>
    <row r="198" spans="1:46" ht="12" customHeight="1">
      <c r="A198" s="2757"/>
      <c r="B198" s="1262"/>
      <c r="C198" s="1262"/>
      <c r="D198" s="1262"/>
      <c r="E198" s="1262"/>
      <c r="F198" s="5368"/>
      <c r="G198" s="1262"/>
      <c r="H198" s="1262" t="s">
        <v>5021</v>
      </c>
      <c r="I198" s="1262"/>
      <c r="J198" s="1262"/>
      <c r="K198" s="1262"/>
      <c r="L198" s="1262"/>
      <c r="M198" s="1262"/>
      <c r="N198" s="1262"/>
      <c r="O198" s="1262"/>
      <c r="P198" s="1262"/>
      <c r="Q198" s="1262"/>
      <c r="R198" s="1262"/>
      <c r="S198" s="1262"/>
      <c r="T198" s="1262"/>
      <c r="U198" s="1262"/>
      <c r="V198" s="1262"/>
      <c r="W198" s="1262"/>
      <c r="X198" s="1262"/>
      <c r="Y198" s="1262"/>
      <c r="Z198" s="1262"/>
      <c r="AA198" s="1262"/>
      <c r="AB198" s="5517" t="s">
        <v>1054</v>
      </c>
      <c r="AC198" s="9314" t="s">
        <v>5026</v>
      </c>
      <c r="AD198" s="6618"/>
      <c r="AE198" s="9316" t="str">
        <f>IF(AS198&lt;&gt;"",ROUND(AS198,0),'Sch. R'!Y126)</f>
        <v/>
      </c>
      <c r="AF198" s="9316"/>
      <c r="AG198" s="9316"/>
      <c r="AH198" s="9316"/>
      <c r="AI198" s="9316"/>
      <c r="AJ198" s="1262"/>
      <c r="AK198" s="1262"/>
      <c r="AL198" s="1262"/>
      <c r="AM198" s="1262"/>
      <c r="AN198" s="1262"/>
      <c r="AO198" s="1262"/>
      <c r="AP198" s="1262"/>
      <c r="AQ198" s="2757"/>
      <c r="AR198" s="2757"/>
      <c r="AS198" s="3277"/>
      <c r="AT198" s="2757"/>
    </row>
    <row r="199" spans="1:46" ht="12" customHeight="1">
      <c r="A199" s="2757"/>
      <c r="B199" s="1262"/>
      <c r="C199" s="1262"/>
      <c r="D199" s="1262"/>
      <c r="E199" s="1262"/>
      <c r="F199" s="5368"/>
      <c r="G199" s="1262"/>
      <c r="H199" s="1262"/>
      <c r="I199" s="1262"/>
      <c r="J199" s="1262"/>
      <c r="K199" s="1262"/>
      <c r="L199" s="1262"/>
      <c r="M199" s="1262"/>
      <c r="N199" s="1262"/>
      <c r="O199" s="1262"/>
      <c r="P199" s="1262"/>
      <c r="Q199" s="1262"/>
      <c r="R199" s="1262"/>
      <c r="S199" s="1262"/>
      <c r="T199" s="1262"/>
      <c r="U199" s="1262"/>
      <c r="V199" s="1262"/>
      <c r="W199" s="1262"/>
      <c r="X199" s="1262"/>
      <c r="Y199" s="1262"/>
      <c r="Z199" s="1262"/>
      <c r="AA199" s="1262"/>
      <c r="AB199" s="1262"/>
      <c r="AC199" s="1262"/>
      <c r="AD199" s="1262"/>
      <c r="AE199" s="1262"/>
      <c r="AF199" s="1262"/>
      <c r="AG199" s="1262"/>
      <c r="AH199" s="1262"/>
      <c r="AI199" s="1262"/>
      <c r="AJ199" s="1262"/>
      <c r="AK199" s="1262"/>
      <c r="AL199" s="1262"/>
      <c r="AM199" s="1262"/>
      <c r="AN199" s="1262"/>
      <c r="AO199" s="1262"/>
      <c r="AP199" s="1262"/>
      <c r="AQ199" s="2757"/>
      <c r="AR199" s="2757"/>
      <c r="AS199" s="2757"/>
      <c r="AT199" s="2757"/>
    </row>
    <row r="200" spans="1:46" ht="25.5" customHeight="1">
      <c r="A200" s="2757"/>
      <c r="B200" s="1262"/>
      <c r="C200" s="1262"/>
      <c r="D200" s="1262"/>
      <c r="E200" s="1262"/>
      <c r="F200" s="5368"/>
      <c r="G200" s="1262"/>
      <c r="H200" s="1262"/>
      <c r="I200" s="1262"/>
      <c r="J200" s="1262"/>
      <c r="K200" s="1262"/>
      <c r="L200" s="1262"/>
      <c r="M200" s="1262"/>
      <c r="N200" s="1262"/>
      <c r="O200" s="1262"/>
      <c r="P200" s="1262"/>
      <c r="Q200" s="1262"/>
      <c r="R200" s="1262"/>
      <c r="S200" s="1262"/>
      <c r="T200" s="1262"/>
      <c r="U200" s="1262"/>
      <c r="V200" s="1262"/>
      <c r="W200" s="1262"/>
      <c r="X200" s="1262"/>
      <c r="Y200" s="1262"/>
      <c r="Z200" s="1262"/>
      <c r="AA200" s="5369" t="s">
        <v>656</v>
      </c>
      <c r="AB200" s="1262"/>
      <c r="AC200" s="1262"/>
      <c r="AD200" s="5460" t="s">
        <v>149</v>
      </c>
      <c r="AE200" s="9414">
        <f>SUM(AE190:AI198)</f>
        <v>0</v>
      </c>
      <c r="AF200" s="9414"/>
      <c r="AG200" s="9414"/>
      <c r="AH200" s="9414"/>
      <c r="AI200" s="9414"/>
      <c r="AJ200" s="1262"/>
      <c r="AK200" s="1262"/>
      <c r="AL200" s="1262"/>
      <c r="AM200" s="1262"/>
      <c r="AN200" s="1262"/>
      <c r="AO200" s="1262"/>
      <c r="AP200" s="1262"/>
      <c r="AQ200" s="2757"/>
      <c r="AR200" s="2757"/>
      <c r="AS200" s="9416" t="s">
        <v>5296</v>
      </c>
      <c r="AT200" s="2757"/>
    </row>
    <row r="201" spans="1:46" ht="7.5" customHeight="1">
      <c r="A201" s="2757"/>
      <c r="B201" s="1262"/>
      <c r="C201" s="1262"/>
      <c r="D201" s="1262"/>
      <c r="E201" s="1262"/>
      <c r="F201" s="5368"/>
      <c r="G201" s="1262"/>
      <c r="H201" s="1262"/>
      <c r="I201" s="1262"/>
      <c r="J201" s="1262"/>
      <c r="K201" s="1262"/>
      <c r="L201" s="1262"/>
      <c r="M201" s="1262"/>
      <c r="N201" s="1262"/>
      <c r="O201" s="1262"/>
      <c r="P201" s="1262"/>
      <c r="Q201" s="1262"/>
      <c r="R201" s="1262"/>
      <c r="S201" s="1262"/>
      <c r="T201" s="1262"/>
      <c r="U201" s="1262"/>
      <c r="V201" s="1262"/>
      <c r="W201" s="1262"/>
      <c r="X201" s="1262"/>
      <c r="Y201" s="1262"/>
      <c r="Z201" s="1262"/>
      <c r="AA201" s="1262"/>
      <c r="AB201" s="1262"/>
      <c r="AC201" s="1262"/>
      <c r="AD201" s="1262"/>
      <c r="AE201" s="1262"/>
      <c r="AF201" s="1262"/>
      <c r="AG201" s="1262"/>
      <c r="AH201" s="1262"/>
      <c r="AI201" s="1262"/>
      <c r="AJ201" s="1262"/>
      <c r="AK201" s="1262"/>
      <c r="AL201" s="1262"/>
      <c r="AM201" s="1262"/>
      <c r="AN201" s="1262"/>
      <c r="AO201" s="1262"/>
      <c r="AP201" s="1262"/>
      <c r="AQ201" s="2757"/>
      <c r="AR201" s="2757"/>
      <c r="AS201" s="9416"/>
      <c r="AT201" s="2757"/>
    </row>
    <row r="202" spans="1:46" ht="21.75" customHeight="1" thickBot="1">
      <c r="A202" s="2757"/>
      <c r="B202" s="1262"/>
      <c r="C202" s="1262"/>
      <c r="D202" s="1262"/>
      <c r="E202" s="1262"/>
      <c r="F202" s="5368" t="s">
        <v>1</v>
      </c>
      <c r="G202" s="1262" t="s">
        <v>2294</v>
      </c>
      <c r="H202" s="1262"/>
      <c r="I202" s="1262"/>
      <c r="J202" s="1262"/>
      <c r="K202" s="1262"/>
      <c r="L202" s="1262"/>
      <c r="M202" s="1262"/>
      <c r="N202" s="1262"/>
      <c r="O202" s="1262"/>
      <c r="P202" s="1262"/>
      <c r="Q202" s="1262"/>
      <c r="R202" s="1262"/>
      <c r="S202" s="1262"/>
      <c r="T202" s="1262"/>
      <c r="U202" s="1262"/>
      <c r="V202" s="1262"/>
      <c r="W202" s="1262"/>
      <c r="X202" s="1262"/>
      <c r="Y202" s="1262"/>
      <c r="Z202" s="1262"/>
      <c r="AA202" s="1262"/>
      <c r="AB202" s="1262"/>
      <c r="AC202" s="1262"/>
      <c r="AD202" s="1262"/>
      <c r="AE202" s="1262"/>
      <c r="AF202" s="1262"/>
      <c r="AG202" s="1262"/>
      <c r="AH202" s="1262"/>
      <c r="AI202" s="1262"/>
      <c r="AJ202" s="5370" t="s">
        <v>150</v>
      </c>
      <c r="AK202" s="9268">
        <f>SUM(AK187,-AE200)</f>
        <v>0</v>
      </c>
      <c r="AL202" s="9268"/>
      <c r="AM202" s="9268"/>
      <c r="AN202" s="9268"/>
      <c r="AO202" s="9268"/>
      <c r="AP202" s="1262"/>
      <c r="AQ202" s="2757"/>
      <c r="AR202" s="2757"/>
      <c r="AS202" s="9416"/>
      <c r="AT202" s="2757"/>
    </row>
    <row r="203" spans="1:46" ht="17.25" customHeight="1" thickBot="1">
      <c r="A203" s="2757"/>
      <c r="B203" s="1262"/>
      <c r="C203" s="9419" t="b">
        <f>AND(C204,C205,C210,C211)</f>
        <v>0</v>
      </c>
      <c r="D203" s="9419"/>
      <c r="E203" s="9419"/>
      <c r="F203" s="1262"/>
      <c r="G203" s="1262" t="s">
        <v>5294</v>
      </c>
      <c r="H203" s="1262"/>
      <c r="I203" s="1262"/>
      <c r="J203" s="1262"/>
      <c r="K203" s="1262"/>
      <c r="L203" s="1262"/>
      <c r="M203" s="1262"/>
      <c r="N203" s="1262"/>
      <c r="O203" s="1262"/>
      <c r="P203" s="1262"/>
      <c r="Q203" s="1262"/>
      <c r="R203" s="1262" t="s">
        <v>5295</v>
      </c>
      <c r="S203" s="1262"/>
      <c r="T203" s="1262"/>
      <c r="U203" s="1262"/>
      <c r="V203" s="1262"/>
      <c r="W203" s="1262"/>
      <c r="X203" s="1262"/>
      <c r="Y203" s="1262"/>
      <c r="Z203" s="1262"/>
      <c r="AA203" s="1262"/>
      <c r="AB203" s="1262"/>
      <c r="AC203" s="1262"/>
      <c r="AD203" s="1262"/>
      <c r="AE203" s="1262"/>
      <c r="AF203" s="1262"/>
      <c r="AG203" s="1262"/>
      <c r="AH203" s="1262"/>
      <c r="AI203" s="1262"/>
      <c r="AJ203" s="1262"/>
      <c r="AK203" s="1262"/>
      <c r="AL203" s="1262"/>
      <c r="AM203" s="1262"/>
      <c r="AN203" s="1262"/>
      <c r="AO203" s="1262"/>
      <c r="AP203" s="1262"/>
      <c r="AQ203" s="2757"/>
      <c r="AR203" s="2757"/>
      <c r="AS203" s="5590" t="str">
        <f>IF(C203,"Yes","No")</f>
        <v>No</v>
      </c>
      <c r="AT203" s="2757"/>
    </row>
    <row r="204" spans="1:46" ht="15" customHeight="1">
      <c r="A204" s="2757"/>
      <c r="B204" s="1262"/>
      <c r="C204" s="9413" t="b">
        <f>AL61</f>
        <v>0</v>
      </c>
      <c r="D204" s="9413"/>
      <c r="E204" s="9413"/>
      <c r="F204" s="1262"/>
      <c r="G204" s="5372" t="s">
        <v>294</v>
      </c>
      <c r="H204" s="1262" t="s">
        <v>5028</v>
      </c>
      <c r="I204" s="1262"/>
      <c r="J204" s="1262"/>
      <c r="K204" s="1262"/>
      <c r="L204" s="1262"/>
      <c r="M204" s="1262"/>
      <c r="N204" s="1262"/>
      <c r="O204" s="1262"/>
      <c r="P204" s="1262"/>
      <c r="Q204" s="1262"/>
      <c r="R204" s="1262"/>
      <c r="S204" s="1262"/>
      <c r="T204" s="1262"/>
      <c r="U204" s="1262"/>
      <c r="V204" s="1262"/>
      <c r="W204" s="1262"/>
      <c r="X204" s="1262"/>
      <c r="Y204" s="1262"/>
      <c r="Z204" s="1262"/>
      <c r="AA204" s="1262"/>
      <c r="AB204" s="1262"/>
      <c r="AC204" s="1262"/>
      <c r="AD204" s="1262"/>
      <c r="AE204" s="1262"/>
      <c r="AF204" s="1262"/>
      <c r="AG204" s="1262"/>
      <c r="AH204" s="1262"/>
      <c r="AI204" s="1262"/>
      <c r="AJ204" s="1262"/>
      <c r="AK204" s="1262"/>
      <c r="AL204" s="1262"/>
      <c r="AM204" s="1262"/>
      <c r="AN204" s="1262"/>
      <c r="AO204" s="1262"/>
      <c r="AP204" s="1262"/>
      <c r="AQ204" s="2757"/>
      <c r="AR204" s="5587" t="s">
        <v>5290</v>
      </c>
      <c r="AS204" s="5589" t="str">
        <f>IF(C204,"Yes","No")</f>
        <v>No</v>
      </c>
      <c r="AT204" s="2757"/>
    </row>
    <row r="205" spans="1:46" ht="15" customHeight="1">
      <c r="A205" s="2757"/>
      <c r="B205" s="1262"/>
      <c r="C205" s="9413" t="b">
        <f>OR(F206&lt;&gt;"",F207&lt;&gt;"",F208&lt;&gt;"",F209&lt;&gt;"")</f>
        <v>0</v>
      </c>
      <c r="D205" s="9413"/>
      <c r="E205" s="9413"/>
      <c r="F205" s="1262"/>
      <c r="G205" s="5372" t="s">
        <v>0</v>
      </c>
      <c r="H205" s="1262" t="s">
        <v>5029</v>
      </c>
      <c r="I205" s="1262"/>
      <c r="J205" s="1262"/>
      <c r="K205" s="1262"/>
      <c r="L205" s="1262"/>
      <c r="M205" s="1262"/>
      <c r="N205" s="1262"/>
      <c r="O205" s="1262"/>
      <c r="P205" s="1262"/>
      <c r="Q205" s="1262"/>
      <c r="R205" s="1262"/>
      <c r="S205" s="1262"/>
      <c r="T205" s="1262"/>
      <c r="U205" s="1262"/>
      <c r="V205" s="1262"/>
      <c r="W205" s="1262"/>
      <c r="X205" s="1262"/>
      <c r="Y205" s="1262"/>
      <c r="Z205" s="1262"/>
      <c r="AA205" s="1262"/>
      <c r="AB205" s="1262"/>
      <c r="AC205" s="1262"/>
      <c r="AD205" s="1262"/>
      <c r="AE205" s="1262"/>
      <c r="AF205" s="1262"/>
      <c r="AG205" s="1262"/>
      <c r="AH205" s="1262"/>
      <c r="AI205" s="1262"/>
      <c r="AJ205" s="1262"/>
      <c r="AK205" s="1262"/>
      <c r="AL205" s="1262"/>
      <c r="AM205" s="1262"/>
      <c r="AN205" s="1262"/>
      <c r="AO205" s="1262"/>
      <c r="AP205" s="1262"/>
      <c r="AQ205" s="2757"/>
      <c r="AR205" s="5587" t="s">
        <v>5291</v>
      </c>
      <c r="AS205" s="5589" t="str">
        <f>IF(C205,"Yes","No")</f>
        <v>No</v>
      </c>
      <c r="AT205" s="2757"/>
    </row>
    <row r="206" spans="1:46" ht="12" customHeight="1">
      <c r="A206" s="2757"/>
      <c r="B206" s="1262"/>
      <c r="C206" s="5588"/>
      <c r="D206" s="5585"/>
      <c r="E206" s="5585"/>
      <c r="F206" s="5586"/>
      <c r="G206" s="5372"/>
      <c r="H206" s="1262" t="s">
        <v>591</v>
      </c>
      <c r="I206" s="1262" t="s">
        <v>5030</v>
      </c>
      <c r="J206" s="1262"/>
      <c r="K206" s="1262"/>
      <c r="L206" s="1262"/>
      <c r="M206" s="1262"/>
      <c r="N206" s="1262"/>
      <c r="O206" s="1262"/>
      <c r="P206" s="1262"/>
      <c r="Q206" s="1262"/>
      <c r="R206" s="1262"/>
      <c r="S206" s="1262"/>
      <c r="T206" s="1262"/>
      <c r="U206" s="1262"/>
      <c r="V206" s="1262"/>
      <c r="W206" s="1262"/>
      <c r="X206" s="1262"/>
      <c r="Y206" s="1262"/>
      <c r="Z206" s="1262"/>
      <c r="AA206" s="1262"/>
      <c r="AB206" s="1262"/>
      <c r="AC206" s="1262"/>
      <c r="AD206" s="1262"/>
      <c r="AE206" s="1262"/>
      <c r="AF206" s="1262"/>
      <c r="AG206" s="1262"/>
      <c r="AH206" s="1262"/>
      <c r="AI206" s="1262"/>
      <c r="AJ206" s="1262"/>
      <c r="AK206" s="1262"/>
      <c r="AL206" s="1262"/>
      <c r="AM206" s="1262"/>
      <c r="AN206" s="1262"/>
      <c r="AO206" s="1262"/>
      <c r="AP206" s="1262"/>
      <c r="AQ206" s="2757"/>
      <c r="AR206" s="2757"/>
      <c r="AS206" s="2757"/>
      <c r="AT206" s="2757"/>
    </row>
    <row r="207" spans="1:46" ht="12" customHeight="1">
      <c r="A207" s="2757"/>
      <c r="B207" s="1262"/>
      <c r="C207" s="5588"/>
      <c r="D207" s="5585"/>
      <c r="E207" s="5585"/>
      <c r="F207" s="5586"/>
      <c r="G207" s="2650"/>
      <c r="H207" s="5371" t="s">
        <v>592</v>
      </c>
      <c r="I207" s="1262" t="s">
        <v>757</v>
      </c>
      <c r="J207" s="1262"/>
      <c r="K207" s="1262"/>
      <c r="L207" s="1262"/>
      <c r="M207" s="1262"/>
      <c r="N207" s="1262"/>
      <c r="O207" s="1262"/>
      <c r="P207" s="1262"/>
      <c r="Q207" s="1262"/>
      <c r="R207" s="1262"/>
      <c r="S207" s="1262"/>
      <c r="T207" s="1262"/>
      <c r="U207" s="1262"/>
      <c r="V207" s="1262"/>
      <c r="W207" s="1262"/>
      <c r="X207" s="1262"/>
      <c r="Y207" s="1262"/>
      <c r="Z207" s="1262"/>
      <c r="AA207" s="1262"/>
      <c r="AB207" s="1262"/>
      <c r="AC207" s="1262"/>
      <c r="AD207" s="1262"/>
      <c r="AE207" s="1262"/>
      <c r="AF207" s="1262"/>
      <c r="AG207" s="1262"/>
      <c r="AH207" s="1262"/>
      <c r="AI207" s="1262"/>
      <c r="AJ207" s="1262"/>
      <c r="AK207" s="1262"/>
      <c r="AL207" s="1262"/>
      <c r="AM207" s="1262"/>
      <c r="AN207" s="1262"/>
      <c r="AO207" s="1262"/>
      <c r="AP207" s="1262"/>
      <c r="AQ207" s="2757"/>
      <c r="AR207" s="2757"/>
      <c r="AS207" s="2757"/>
      <c r="AT207" s="2757"/>
    </row>
    <row r="208" spans="1:46" ht="12" customHeight="1">
      <c r="A208" s="2757"/>
      <c r="B208" s="1262"/>
      <c r="C208" s="5588"/>
      <c r="D208" s="5585"/>
      <c r="E208" s="5585"/>
      <c r="F208" s="5586"/>
      <c r="G208" s="2650"/>
      <c r="H208" s="1262" t="s">
        <v>590</v>
      </c>
      <c r="I208" s="1262" t="s">
        <v>811</v>
      </c>
      <c r="J208" s="1262"/>
      <c r="K208" s="1262"/>
      <c r="L208" s="1262"/>
      <c r="M208" s="1262"/>
      <c r="N208" s="1262"/>
      <c r="O208" s="1262"/>
      <c r="P208" s="1262"/>
      <c r="Q208" s="1262"/>
      <c r="R208" s="1262"/>
      <c r="S208" s="1262"/>
      <c r="T208" s="1262"/>
      <c r="U208" s="1262"/>
      <c r="V208" s="1262"/>
      <c r="W208" s="1262"/>
      <c r="X208" s="1262"/>
      <c r="Y208" s="1262"/>
      <c r="Z208" s="1262"/>
      <c r="AA208" s="1262"/>
      <c r="AB208" s="1262"/>
      <c r="AC208" s="1262"/>
      <c r="AD208" s="1262"/>
      <c r="AE208" s="1262"/>
      <c r="AF208" s="1262"/>
      <c r="AG208" s="1262"/>
      <c r="AH208" s="1262"/>
      <c r="AI208" s="1262"/>
      <c r="AJ208" s="1262"/>
      <c r="AK208" s="1262"/>
      <c r="AL208" s="1262"/>
      <c r="AM208" s="1262"/>
      <c r="AN208" s="1262"/>
      <c r="AO208" s="1262"/>
      <c r="AP208" s="1262"/>
      <c r="AQ208" s="2757"/>
      <c r="AR208" s="2757"/>
      <c r="AS208" s="2757"/>
      <c r="AT208" s="3906" t="s">
        <v>5200</v>
      </c>
    </row>
    <row r="209" spans="1:46" ht="12" customHeight="1">
      <c r="A209" s="2757"/>
      <c r="B209" s="1262"/>
      <c r="C209" s="5588"/>
      <c r="D209" s="5585"/>
      <c r="E209" s="5585"/>
      <c r="F209" s="5586"/>
      <c r="G209" s="1262"/>
      <c r="H209" s="1262" t="s">
        <v>1307</v>
      </c>
      <c r="I209" s="1262" t="s">
        <v>5035</v>
      </c>
      <c r="J209" s="1262"/>
      <c r="K209" s="1262"/>
      <c r="L209" s="1262"/>
      <c r="M209" s="1262"/>
      <c r="N209" s="1262"/>
      <c r="O209" s="1262"/>
      <c r="P209" s="1262"/>
      <c r="Q209" s="1262"/>
      <c r="R209" s="1262"/>
      <c r="S209" s="1262"/>
      <c r="T209" s="1262"/>
      <c r="U209" s="1262"/>
      <c r="V209" s="1262"/>
      <c r="W209" s="1262"/>
      <c r="X209" s="1262"/>
      <c r="Y209" s="1262"/>
      <c r="Z209" s="1262"/>
      <c r="AA209" s="1262"/>
      <c r="AB209" s="1262"/>
      <c r="AC209" s="1262"/>
      <c r="AD209" s="1262"/>
      <c r="AE209" s="1262"/>
      <c r="AF209" s="1262"/>
      <c r="AG209" s="1262"/>
      <c r="AH209" s="1262"/>
      <c r="AI209" s="1262"/>
      <c r="AJ209" s="1262"/>
      <c r="AK209" s="1262"/>
      <c r="AL209" s="1262"/>
      <c r="AM209" s="1262"/>
      <c r="AN209" s="1262"/>
      <c r="AO209" s="1262"/>
      <c r="AP209" s="1262"/>
      <c r="AQ209" s="2757"/>
      <c r="AR209" s="2757"/>
      <c r="AS209" s="2757"/>
      <c r="AT209" s="2757"/>
    </row>
    <row r="210" spans="1:46" ht="15" customHeight="1">
      <c r="A210" s="2757"/>
      <c r="B210" s="1262"/>
      <c r="C210" s="9413" t="b">
        <f>NOT(Form2555_Used)</f>
        <v>1</v>
      </c>
      <c r="D210" s="9413"/>
      <c r="E210" s="9413"/>
      <c r="F210" s="1262"/>
      <c r="G210" s="5371" t="s">
        <v>1</v>
      </c>
      <c r="H210" s="1262" t="s">
        <v>5031</v>
      </c>
      <c r="I210" s="1262"/>
      <c r="J210" s="1262"/>
      <c r="K210" s="1262"/>
      <c r="L210" s="1262"/>
      <c r="M210" s="1262"/>
      <c r="N210" s="1262"/>
      <c r="O210" s="1262"/>
      <c r="P210" s="1262"/>
      <c r="Q210" s="1262"/>
      <c r="R210" s="1262"/>
      <c r="S210" s="1262"/>
      <c r="T210" s="1262"/>
      <c r="U210" s="1262"/>
      <c r="V210" s="1262"/>
      <c r="W210" s="1262"/>
      <c r="X210" s="1262"/>
      <c r="Y210" s="1262"/>
      <c r="Z210" s="1262"/>
      <c r="AA210" s="1262"/>
      <c r="AB210" s="1262"/>
      <c r="AC210" s="1262"/>
      <c r="AD210" s="1262"/>
      <c r="AE210" s="1262"/>
      <c r="AF210" s="1262"/>
      <c r="AG210" s="1262"/>
      <c r="AH210" s="1262"/>
      <c r="AI210" s="1262"/>
      <c r="AJ210" s="1262"/>
      <c r="AK210" s="1262"/>
      <c r="AL210" s="1262"/>
      <c r="AM210" s="1262"/>
      <c r="AN210" s="1262"/>
      <c r="AO210" s="1262"/>
      <c r="AP210" s="1262"/>
      <c r="AQ210" s="2757"/>
      <c r="AR210" s="5587" t="s">
        <v>5292</v>
      </c>
      <c r="AS210" s="5589" t="str">
        <f>IF(C210,"Yes","No")</f>
        <v>Yes</v>
      </c>
      <c r="AT210" s="2757"/>
    </row>
    <row r="211" spans="1:46" ht="15" customHeight="1">
      <c r="A211" s="2757"/>
      <c r="B211" s="1262"/>
      <c r="C211" s="9413" t="b">
        <f>AE18&gt;0</f>
        <v>0</v>
      </c>
      <c r="D211" s="9413"/>
      <c r="E211" s="9413"/>
      <c r="F211" s="1262"/>
      <c r="G211" s="5371" t="s">
        <v>399</v>
      </c>
      <c r="H211" s="1262" t="s">
        <v>5032</v>
      </c>
      <c r="I211" s="1262"/>
      <c r="J211" s="1262"/>
      <c r="K211" s="1262"/>
      <c r="L211" s="1262"/>
      <c r="M211" s="1262"/>
      <c r="N211" s="1262"/>
      <c r="O211" s="1262"/>
      <c r="P211" s="1262"/>
      <c r="Q211" s="1262"/>
      <c r="R211" s="1262"/>
      <c r="S211" s="1262"/>
      <c r="T211" s="1262"/>
      <c r="U211" s="1262"/>
      <c r="V211" s="1262"/>
      <c r="W211" s="1262"/>
      <c r="X211" s="1262"/>
      <c r="Y211" s="1262"/>
      <c r="Z211" s="1262"/>
      <c r="AA211" s="1262"/>
      <c r="AB211" s="1262"/>
      <c r="AC211" s="1262"/>
      <c r="AD211" s="1262"/>
      <c r="AE211" s="1262"/>
      <c r="AF211" s="1262"/>
      <c r="AG211" s="1262"/>
      <c r="AH211" s="1262"/>
      <c r="AI211" s="1262"/>
      <c r="AJ211" s="1262"/>
      <c r="AK211" s="1262"/>
      <c r="AL211" s="1262"/>
      <c r="AM211" s="1262"/>
      <c r="AN211" s="1262"/>
      <c r="AO211" s="1262"/>
      <c r="AP211" s="1262"/>
      <c r="AQ211" s="2757"/>
      <c r="AR211" s="5587" t="s">
        <v>5293</v>
      </c>
      <c r="AS211" s="5589" t="str">
        <f>IF(C211,"Yes","No")</f>
        <v>No</v>
      </c>
      <c r="AT211" s="2757"/>
    </row>
    <row r="212" spans="1:46" ht="6" customHeight="1">
      <c r="A212" s="2757"/>
      <c r="B212" s="1262"/>
      <c r="C212" s="5368"/>
      <c r="D212" s="1262"/>
      <c r="E212" s="1262"/>
      <c r="F212" s="1262"/>
      <c r="G212" s="1570"/>
      <c r="H212" s="1570"/>
      <c r="I212" s="1570"/>
      <c r="J212" s="1570"/>
      <c r="K212" s="1570"/>
      <c r="L212" s="1570"/>
      <c r="M212" s="1570"/>
      <c r="N212" s="1570"/>
      <c r="O212" s="1570"/>
      <c r="P212" s="1570"/>
      <c r="Q212" s="1570"/>
      <c r="R212" s="1570"/>
      <c r="S212" s="1570"/>
      <c r="T212" s="1570"/>
      <c r="U212" s="1570"/>
      <c r="V212" s="1570"/>
      <c r="W212" s="1570"/>
      <c r="X212" s="1570"/>
      <c r="Y212" s="1570"/>
      <c r="Z212" s="1570"/>
      <c r="AA212" s="1570"/>
      <c r="AB212" s="1570"/>
      <c r="AC212" s="1570"/>
      <c r="AD212" s="1262"/>
      <c r="AE212" s="1262"/>
      <c r="AF212" s="1262"/>
      <c r="AG212" s="1262"/>
      <c r="AH212" s="1262"/>
      <c r="AI212" s="1262"/>
      <c r="AJ212" s="1262"/>
      <c r="AK212" s="1262"/>
      <c r="AL212" s="1262"/>
      <c r="AM212" s="1262"/>
      <c r="AN212" s="1262"/>
      <c r="AO212" s="1262"/>
      <c r="AP212" s="1262"/>
      <c r="AQ212" s="2757"/>
      <c r="AR212" s="2757"/>
      <c r="AS212" s="2757"/>
      <c r="AT212" s="2757"/>
    </row>
    <row r="213" spans="1:46" ht="6" customHeight="1">
      <c r="A213" s="2757"/>
      <c r="B213" s="1262"/>
      <c r="C213" s="5368"/>
      <c r="D213" s="1262"/>
      <c r="E213" s="1262"/>
      <c r="F213" s="1262"/>
      <c r="G213" s="1262"/>
      <c r="H213" s="1262"/>
      <c r="I213" s="1262"/>
      <c r="J213" s="1262"/>
      <c r="K213" s="1262"/>
      <c r="L213" s="1262"/>
      <c r="M213" s="1262"/>
      <c r="N213" s="1262"/>
      <c r="O213" s="1262"/>
      <c r="P213" s="1262"/>
      <c r="Q213" s="1262"/>
      <c r="R213" s="1262"/>
      <c r="S213" s="1262"/>
      <c r="T213" s="1262"/>
      <c r="U213" s="1262"/>
      <c r="V213" s="1262"/>
      <c r="W213" s="1262"/>
      <c r="X213" s="1262"/>
      <c r="Y213" s="1262"/>
      <c r="Z213" s="1262"/>
      <c r="AA213" s="1262"/>
      <c r="AB213" s="1262"/>
      <c r="AC213" s="1262"/>
      <c r="AD213" s="1262"/>
      <c r="AE213" s="1262"/>
      <c r="AF213" s="1262"/>
      <c r="AG213" s="1262"/>
      <c r="AH213" s="1262"/>
      <c r="AI213" s="1262"/>
      <c r="AJ213" s="1262"/>
      <c r="AK213" s="1262"/>
      <c r="AL213" s="1262"/>
      <c r="AM213" s="1262"/>
      <c r="AN213" s="1262"/>
      <c r="AO213" s="1262"/>
      <c r="AP213" s="1262"/>
      <c r="AQ213" s="2757"/>
      <c r="AR213" s="2757"/>
      <c r="AS213" s="2757"/>
      <c r="AT213" s="2757"/>
    </row>
    <row r="214" spans="1:46" ht="17.25" customHeight="1">
      <c r="A214" s="2757"/>
      <c r="B214" s="1262"/>
      <c r="C214" s="5368"/>
      <c r="D214" s="1262"/>
      <c r="E214" s="1262"/>
      <c r="F214" s="5368" t="s">
        <v>399</v>
      </c>
      <c r="G214" s="1262" t="s">
        <v>5033</v>
      </c>
      <c r="H214" s="1262"/>
      <c r="I214" s="1262"/>
      <c r="J214" s="1262"/>
      <c r="K214" s="1262"/>
      <c r="L214" s="1262"/>
      <c r="M214" s="1262"/>
      <c r="N214" s="1262"/>
      <c r="O214" s="1262"/>
      <c r="P214" s="1262"/>
      <c r="Q214" s="1262"/>
      <c r="R214" s="1262"/>
      <c r="S214" s="1262"/>
      <c r="T214" s="1262"/>
      <c r="U214" s="1262"/>
      <c r="V214" s="1262"/>
      <c r="W214" s="1262"/>
      <c r="X214" s="1262"/>
      <c r="Y214" s="1262"/>
      <c r="Z214" s="1262"/>
      <c r="AA214" s="1262"/>
      <c r="AB214" s="1262"/>
      <c r="AC214" s="1262"/>
      <c r="AD214" s="1262"/>
      <c r="AE214" s="1262"/>
      <c r="AF214" s="1262"/>
      <c r="AG214" s="1262"/>
      <c r="AH214" s="1262"/>
      <c r="AI214" s="1262"/>
      <c r="AJ214" s="5370" t="s">
        <v>151</v>
      </c>
      <c r="AK214" s="9268">
        <f>IF(OR(NOT(C203),C263),0,CredLimitWS_Line15)</f>
        <v>0</v>
      </c>
      <c r="AL214" s="9268"/>
      <c r="AM214" s="9268"/>
      <c r="AN214" s="9268"/>
      <c r="AO214" s="9268"/>
      <c r="AP214" s="1262"/>
      <c r="AQ214" s="2757"/>
      <c r="AR214" s="2757"/>
      <c r="AS214" s="2757"/>
      <c r="AT214" s="2757"/>
    </row>
    <row r="215" spans="1:46" ht="12" customHeight="1">
      <c r="A215" s="2757"/>
      <c r="B215" s="1262"/>
      <c r="C215" s="5368"/>
      <c r="D215" s="1262"/>
      <c r="E215" s="1262"/>
      <c r="F215" s="1262"/>
      <c r="G215" s="1262" t="s">
        <v>5034</v>
      </c>
      <c r="H215" s="1262"/>
      <c r="I215" s="1262"/>
      <c r="J215" s="1262"/>
      <c r="K215" s="1262"/>
      <c r="L215" s="1262"/>
      <c r="M215" s="1262"/>
      <c r="N215" s="1262"/>
      <c r="O215" s="1262"/>
      <c r="P215" s="1262"/>
      <c r="Q215" s="1262"/>
      <c r="R215" s="1262"/>
      <c r="S215" s="1262"/>
      <c r="T215" s="1262"/>
      <c r="U215" s="1262"/>
      <c r="V215" s="1262"/>
      <c r="W215" s="1262"/>
      <c r="X215" s="1262"/>
      <c r="Y215" s="1262"/>
      <c r="Z215" s="1262"/>
      <c r="AA215" s="1262"/>
      <c r="AB215" s="1262"/>
      <c r="AC215" s="1262"/>
      <c r="AD215" s="1262"/>
      <c r="AE215" s="1262"/>
      <c r="AF215" s="1262"/>
      <c r="AG215" s="1262"/>
      <c r="AH215" s="1262"/>
      <c r="AI215" s="1262"/>
      <c r="AJ215" s="1262"/>
      <c r="AK215" s="1262"/>
      <c r="AL215" s="1262"/>
      <c r="AM215" s="1262"/>
      <c r="AN215" s="1262"/>
      <c r="AO215" s="1262"/>
      <c r="AP215" s="1262"/>
      <c r="AQ215" s="2757"/>
      <c r="AR215" s="2757"/>
      <c r="AS215" s="2757"/>
      <c r="AT215" s="2757"/>
    </row>
    <row r="216" spans="1:46" ht="6" customHeight="1">
      <c r="A216" s="2757"/>
      <c r="B216" s="1262"/>
      <c r="C216" s="5368"/>
      <c r="D216" s="1262"/>
      <c r="E216" s="1262"/>
      <c r="F216" s="1262"/>
      <c r="G216" s="1570"/>
      <c r="H216" s="1570"/>
      <c r="I216" s="1570"/>
      <c r="J216" s="1570"/>
      <c r="K216" s="1570"/>
      <c r="L216" s="1570"/>
      <c r="M216" s="1570"/>
      <c r="N216" s="1570"/>
      <c r="O216" s="1570"/>
      <c r="P216" s="1570"/>
      <c r="Q216" s="1570"/>
      <c r="R216" s="1570"/>
      <c r="S216" s="1570"/>
      <c r="T216" s="1570"/>
      <c r="U216" s="1570"/>
      <c r="V216" s="1570"/>
      <c r="W216" s="1570"/>
      <c r="X216" s="1570"/>
      <c r="Y216" s="1570"/>
      <c r="Z216" s="1570"/>
      <c r="AA216" s="1570"/>
      <c r="AB216" s="1570"/>
      <c r="AC216" s="1570"/>
      <c r="AD216" s="1262"/>
      <c r="AE216" s="1262"/>
      <c r="AF216" s="1262"/>
      <c r="AG216" s="1262"/>
      <c r="AH216" s="1262"/>
      <c r="AI216" s="1262"/>
      <c r="AJ216" s="1262"/>
      <c r="AK216" s="1262"/>
      <c r="AL216" s="1262"/>
      <c r="AM216" s="1262"/>
      <c r="AN216" s="1262"/>
      <c r="AO216" s="1262"/>
      <c r="AP216" s="1262"/>
      <c r="AQ216" s="2757"/>
      <c r="AR216" s="2757"/>
      <c r="AS216" s="2757"/>
      <c r="AT216" s="2757"/>
    </row>
    <row r="217" spans="1:46" ht="17.25" customHeight="1">
      <c r="A217" s="2757"/>
      <c r="B217" s="1262"/>
      <c r="C217" s="5368"/>
      <c r="D217" s="1262"/>
      <c r="E217" s="1262"/>
      <c r="F217" s="5368" t="s">
        <v>31</v>
      </c>
      <c r="G217" s="1262" t="s">
        <v>5036</v>
      </c>
      <c r="H217" s="1262"/>
      <c r="I217" s="1262"/>
      <c r="J217" s="1262"/>
      <c r="K217" s="1262"/>
      <c r="L217" s="1262"/>
      <c r="M217" s="1262"/>
      <c r="N217" s="1262"/>
      <c r="O217" s="1262"/>
      <c r="P217" s="1262"/>
      <c r="Q217" s="1262"/>
      <c r="R217" s="1262"/>
      <c r="S217" s="1262"/>
      <c r="T217" s="1262"/>
      <c r="U217" s="1262"/>
      <c r="V217" s="1262"/>
      <c r="W217" s="1262"/>
      <c r="X217" s="1262"/>
      <c r="Y217" s="1262"/>
      <c r="Z217" s="1262"/>
      <c r="AA217" s="1262"/>
      <c r="AB217" s="1262"/>
      <c r="AC217" s="1262"/>
      <c r="AD217" s="1262"/>
      <c r="AE217" s="1262"/>
      <c r="AF217" s="1262"/>
      <c r="AG217" s="1262"/>
      <c r="AH217" s="1262"/>
      <c r="AI217" s="1262"/>
      <c r="AJ217" s="5370" t="s">
        <v>200</v>
      </c>
      <c r="AK217" s="9268">
        <f>SUM(AK202,-AK214)</f>
        <v>0</v>
      </c>
      <c r="AL217" s="9268"/>
      <c r="AM217" s="9268"/>
      <c r="AN217" s="9268"/>
      <c r="AO217" s="9268"/>
      <c r="AP217" s="1262"/>
      <c r="AQ217" s="2757"/>
      <c r="AR217" s="2757"/>
      <c r="AS217" s="2757"/>
      <c r="AT217" s="2757"/>
    </row>
    <row r="218" spans="1:46" ht="12" customHeight="1">
      <c r="A218" s="2757"/>
      <c r="B218" s="1262"/>
      <c r="C218" s="5368"/>
      <c r="D218" s="1262"/>
      <c r="E218" s="1262"/>
      <c r="F218" s="1262"/>
      <c r="G218" s="1262" t="s">
        <v>5037</v>
      </c>
      <c r="H218" s="1262"/>
      <c r="I218" s="1262"/>
      <c r="J218" s="1262"/>
      <c r="K218" s="1262"/>
      <c r="L218" s="1262"/>
      <c r="M218" s="1262"/>
      <c r="N218" s="1262"/>
      <c r="O218" s="1262"/>
      <c r="P218" s="1262"/>
      <c r="Q218" s="1262"/>
      <c r="R218" s="1262"/>
      <c r="S218" s="1262"/>
      <c r="T218" s="1262"/>
      <c r="U218" s="1262"/>
      <c r="V218" s="1262"/>
      <c r="W218" s="1262"/>
      <c r="X218" s="1262"/>
      <c r="Y218" s="1262"/>
      <c r="Z218" s="1262"/>
      <c r="AA218" s="1262"/>
      <c r="AB218" s="1262"/>
      <c r="AC218" s="1262"/>
      <c r="AD218" s="1262"/>
      <c r="AE218" s="1262"/>
      <c r="AF218" s="1262"/>
      <c r="AG218" s="1262"/>
      <c r="AH218" s="1262"/>
      <c r="AI218" s="1262"/>
      <c r="AJ218" s="1262"/>
      <c r="AK218" s="1262"/>
      <c r="AL218" s="1262"/>
      <c r="AM218" s="1262"/>
      <c r="AN218" s="1262"/>
      <c r="AO218" s="1262"/>
      <c r="AP218" s="1262"/>
      <c r="AQ218" s="2757"/>
      <c r="AR218" s="2757"/>
      <c r="AS218" s="2757"/>
      <c r="AT218" s="2757"/>
    </row>
    <row r="219" spans="1:46" ht="12" customHeight="1" thickBot="1">
      <c r="A219" s="2757"/>
      <c r="B219" s="3724"/>
      <c r="C219" s="5373"/>
      <c r="D219" s="3724"/>
      <c r="E219" s="3724"/>
      <c r="F219" s="3724"/>
      <c r="G219" s="3724"/>
      <c r="H219" s="3724"/>
      <c r="I219" s="3724"/>
      <c r="J219" s="3724"/>
      <c r="K219" s="3724"/>
      <c r="L219" s="3724"/>
      <c r="M219" s="3724"/>
      <c r="N219" s="3724"/>
      <c r="O219" s="3724"/>
      <c r="P219" s="3724"/>
      <c r="Q219" s="3724"/>
      <c r="R219" s="3724"/>
      <c r="S219" s="3724"/>
      <c r="T219" s="3724"/>
      <c r="U219" s="3724"/>
      <c r="V219" s="3724"/>
      <c r="W219" s="3724"/>
      <c r="X219" s="3724"/>
      <c r="Y219" s="3724"/>
      <c r="Z219" s="3724"/>
      <c r="AA219" s="3724"/>
      <c r="AB219" s="3724"/>
      <c r="AC219" s="3724"/>
      <c r="AD219" s="3724"/>
      <c r="AE219" s="3724"/>
      <c r="AF219" s="3724"/>
      <c r="AG219" s="3724"/>
      <c r="AH219" s="3724"/>
      <c r="AI219" s="3724"/>
      <c r="AJ219" s="3724"/>
      <c r="AK219" s="3724"/>
      <c r="AL219" s="3724"/>
      <c r="AM219" s="3724"/>
      <c r="AN219" s="3724"/>
      <c r="AO219" s="3724"/>
      <c r="AP219" s="3724"/>
      <c r="AQ219" s="2757"/>
      <c r="AR219" s="2757"/>
      <c r="AS219" s="2757"/>
      <c r="AT219" s="2757"/>
    </row>
    <row r="220" spans="1:46" ht="6.75" customHeight="1" thickTop="1">
      <c r="A220" s="2757"/>
      <c r="B220" s="2731"/>
      <c r="C220" s="2731"/>
      <c r="D220" s="2731"/>
      <c r="E220" s="2731"/>
      <c r="F220" s="2731"/>
      <c r="G220" s="2731"/>
      <c r="H220" s="2731"/>
      <c r="I220" s="2731"/>
      <c r="J220" s="2731"/>
      <c r="K220" s="2731"/>
      <c r="L220" s="2731"/>
      <c r="M220" s="2731"/>
      <c r="N220" s="2731"/>
      <c r="O220" s="2731"/>
      <c r="P220" s="2731"/>
      <c r="Q220" s="2731"/>
      <c r="R220" s="2731"/>
      <c r="S220" s="2731"/>
      <c r="T220" s="2731"/>
      <c r="U220" s="2731"/>
      <c r="V220" s="2731"/>
      <c r="W220" s="2731"/>
      <c r="X220" s="2731"/>
      <c r="Y220" s="2731"/>
      <c r="Z220" s="2731"/>
      <c r="AA220" s="2731"/>
      <c r="AB220" s="2731"/>
      <c r="AC220" s="2731"/>
      <c r="AD220" s="2731"/>
      <c r="AE220" s="2731"/>
      <c r="AF220" s="2731"/>
      <c r="AG220" s="2731"/>
      <c r="AH220" s="2731"/>
      <c r="AI220" s="2731"/>
      <c r="AJ220" s="2731"/>
      <c r="AK220" s="2731"/>
      <c r="AL220" s="2731"/>
      <c r="AM220" s="2731"/>
      <c r="AN220" s="2731"/>
      <c r="AO220" s="2731"/>
      <c r="AP220" s="2731"/>
      <c r="AQ220" s="2757"/>
      <c r="AR220" s="2757"/>
      <c r="AS220" s="2757"/>
      <c r="AT220" s="2757"/>
    </row>
    <row r="221" spans="1:46" ht="21.75" customHeight="1" thickBot="1">
      <c r="A221" s="2757"/>
      <c r="B221" s="1929"/>
      <c r="C221" s="5591" t="s">
        <v>5206</v>
      </c>
      <c r="D221" s="1929"/>
      <c r="E221" s="1929"/>
      <c r="F221" s="1929"/>
      <c r="G221" s="1929"/>
      <c r="H221" s="1929"/>
      <c r="I221" s="1929"/>
      <c r="J221" s="1929"/>
      <c r="K221" s="1929"/>
      <c r="L221" s="1929"/>
      <c r="M221" s="1929"/>
      <c r="N221" s="1929"/>
      <c r="O221" s="1929"/>
      <c r="P221" s="1929"/>
      <c r="Q221" s="1929"/>
      <c r="R221" s="1929"/>
      <c r="S221" s="1929"/>
      <c r="T221" s="1929"/>
      <c r="U221" s="1929"/>
      <c r="V221" s="1929"/>
      <c r="W221" s="1929"/>
      <c r="X221" s="1929"/>
      <c r="Y221" s="1929"/>
      <c r="Z221" s="1929"/>
      <c r="AA221" s="1929"/>
      <c r="AB221" s="1929"/>
      <c r="AC221" s="1929"/>
      <c r="AD221" s="1929"/>
      <c r="AE221" s="1929"/>
      <c r="AF221" s="1929"/>
      <c r="AG221" s="1929"/>
      <c r="AH221" s="1929"/>
      <c r="AI221" s="1929"/>
      <c r="AJ221" s="1929"/>
      <c r="AK221" s="1929"/>
      <c r="AL221" s="1929"/>
      <c r="AM221" s="1929"/>
      <c r="AN221" s="1929"/>
      <c r="AO221" s="1929"/>
      <c r="AP221" s="1929"/>
      <c r="AQ221" s="2757"/>
      <c r="AR221" s="2757"/>
      <c r="AS221" s="2757"/>
      <c r="AT221" s="2757"/>
    </row>
    <row r="222" spans="1:46" ht="12" customHeight="1">
      <c r="A222" s="2757"/>
      <c r="B222" s="2998"/>
      <c r="C222" s="2998"/>
      <c r="D222" s="2998"/>
      <c r="E222" s="2998"/>
      <c r="F222" s="2998"/>
      <c r="G222" s="2998"/>
      <c r="H222" s="2998"/>
      <c r="I222" s="2998"/>
      <c r="J222" s="2998"/>
      <c r="K222" s="2998"/>
      <c r="L222" s="2998"/>
      <c r="M222" s="2998"/>
      <c r="N222" s="2998"/>
      <c r="O222" s="2998"/>
      <c r="P222" s="2998"/>
      <c r="Q222" s="2998"/>
      <c r="R222" s="2998"/>
      <c r="S222" s="2998"/>
      <c r="T222" s="2998"/>
      <c r="U222" s="2998"/>
      <c r="V222" s="2998"/>
      <c r="W222" s="2998"/>
      <c r="X222" s="2998"/>
      <c r="Y222" s="2998"/>
      <c r="Z222" s="2998"/>
      <c r="AA222" s="2998"/>
      <c r="AB222" s="2998"/>
      <c r="AC222" s="2998"/>
      <c r="AD222" s="2998"/>
      <c r="AE222" s="2998"/>
      <c r="AF222" s="2998"/>
      <c r="AG222" s="2998"/>
      <c r="AH222" s="2998"/>
      <c r="AI222" s="2998"/>
      <c r="AJ222" s="2998"/>
      <c r="AK222" s="2998"/>
      <c r="AL222" s="2998"/>
      <c r="AM222" s="2998"/>
      <c r="AN222" s="2998"/>
      <c r="AO222" s="2998"/>
      <c r="AP222" s="2998"/>
      <c r="AQ222" s="2757"/>
      <c r="AR222" s="2757"/>
      <c r="AS222" s="2757"/>
      <c r="AT222" s="2757"/>
    </row>
    <row r="223" spans="1:46" ht="6" customHeight="1">
      <c r="A223" s="2757"/>
      <c r="B223" s="1262"/>
      <c r="C223" s="1262"/>
      <c r="D223" s="1262"/>
      <c r="E223" s="1262"/>
      <c r="F223" s="1262"/>
      <c r="G223" s="1262"/>
      <c r="H223" s="1262"/>
      <c r="I223" s="1262"/>
      <c r="J223" s="1262"/>
      <c r="K223" s="1262"/>
      <c r="L223" s="1262"/>
      <c r="M223" s="1262"/>
      <c r="N223" s="1262"/>
      <c r="O223" s="1262"/>
      <c r="P223" s="1262"/>
      <c r="Q223" s="1262"/>
      <c r="R223" s="1262"/>
      <c r="S223" s="1262"/>
      <c r="T223" s="1262"/>
      <c r="U223" s="1262"/>
      <c r="V223" s="1262"/>
      <c r="W223" s="1262"/>
      <c r="X223" s="1262"/>
      <c r="Y223" s="1262"/>
      <c r="Z223" s="1262"/>
      <c r="AA223" s="1262"/>
      <c r="AB223" s="1262"/>
      <c r="AC223" s="1262"/>
      <c r="AD223" s="1262"/>
      <c r="AE223" s="1262"/>
      <c r="AF223" s="1262"/>
      <c r="AG223" s="1262"/>
      <c r="AH223" s="1262"/>
      <c r="AI223" s="1262"/>
      <c r="AJ223" s="1262"/>
      <c r="AK223" s="1262"/>
      <c r="AL223" s="1262"/>
      <c r="AM223" s="1262"/>
      <c r="AN223" s="1262"/>
      <c r="AO223" s="1262"/>
      <c r="AP223" s="1262"/>
      <c r="AQ223" s="2757"/>
      <c r="AR223" s="2757"/>
      <c r="AS223" s="2757"/>
      <c r="AT223" s="2757"/>
    </row>
    <row r="224" spans="1:46" ht="12.75" customHeight="1">
      <c r="A224" s="2757"/>
      <c r="B224" s="1262"/>
      <c r="C224" s="3988" t="s">
        <v>214</v>
      </c>
      <c r="D224" s="1262"/>
      <c r="E224" s="1262"/>
      <c r="F224" s="1262"/>
      <c r="G224" s="1262"/>
      <c r="H224" s="1262"/>
      <c r="I224" s="1262"/>
      <c r="J224" s="1262"/>
      <c r="K224" s="1262"/>
      <c r="L224" s="1262" t="s">
        <v>5207</v>
      </c>
      <c r="M224" s="1262"/>
      <c r="N224" s="1262"/>
      <c r="O224" s="1262"/>
      <c r="P224" s="1262"/>
      <c r="Q224" s="1262"/>
      <c r="R224" s="1262"/>
      <c r="S224" s="1262"/>
      <c r="T224" s="1262"/>
      <c r="U224" s="1262"/>
      <c r="V224" s="1262"/>
      <c r="W224" s="1262"/>
      <c r="X224" s="1262"/>
      <c r="Y224" s="1262"/>
      <c r="Z224" s="1262"/>
      <c r="AA224" s="1262"/>
      <c r="AB224" s="1262"/>
      <c r="AC224" s="1262"/>
      <c r="AD224" s="1262"/>
      <c r="AE224" s="1262"/>
      <c r="AF224" s="1262"/>
      <c r="AG224" s="1262"/>
      <c r="AH224" s="1262"/>
      <c r="AI224" s="1262"/>
      <c r="AJ224" s="1262"/>
      <c r="AK224" s="1262"/>
      <c r="AL224" s="1262"/>
      <c r="AM224" s="1262"/>
      <c r="AN224" s="1262"/>
      <c r="AO224" s="1262"/>
      <c r="AP224" s="1262"/>
      <c r="AQ224" s="2757"/>
      <c r="AR224" s="2757"/>
      <c r="AS224" s="2757"/>
      <c r="AT224" s="2757"/>
    </row>
    <row r="225" spans="1:46" ht="12.75" customHeight="1">
      <c r="A225" s="2757"/>
      <c r="B225" s="1262"/>
      <c r="C225" s="1262"/>
      <c r="D225" s="1262"/>
      <c r="E225" s="1262"/>
      <c r="F225" s="1262"/>
      <c r="G225" s="1262"/>
      <c r="H225" s="1262"/>
      <c r="I225" s="1262"/>
      <c r="J225" s="1262"/>
      <c r="K225" s="1262"/>
      <c r="L225" s="1262"/>
      <c r="M225" s="1262"/>
      <c r="N225" s="1262"/>
      <c r="O225" s="1262"/>
      <c r="P225" s="1262"/>
      <c r="Q225" s="1262"/>
      <c r="R225" s="1262"/>
      <c r="S225" s="1262"/>
      <c r="T225" s="1262"/>
      <c r="U225" s="1262"/>
      <c r="V225" s="1262"/>
      <c r="W225" s="1262"/>
      <c r="X225" s="1262"/>
      <c r="Y225" s="1262"/>
      <c r="Z225" s="1262"/>
      <c r="AA225" s="1262"/>
      <c r="AB225" s="1262"/>
      <c r="AC225" s="1262"/>
      <c r="AD225" s="1262"/>
      <c r="AE225" s="1262"/>
      <c r="AF225" s="1262"/>
      <c r="AG225" s="1262"/>
      <c r="AH225" s="1262"/>
      <c r="AI225" s="1262"/>
      <c r="AJ225" s="1262"/>
      <c r="AK225" s="1262"/>
      <c r="AL225" s="1262"/>
      <c r="AM225" s="1262"/>
      <c r="AN225" s="1262"/>
      <c r="AO225" s="1262"/>
      <c r="AP225" s="1262"/>
      <c r="AQ225" s="2757"/>
      <c r="AR225" s="2757"/>
      <c r="AS225" s="2757"/>
      <c r="AT225" s="2757"/>
    </row>
    <row r="226" spans="1:46" ht="12.75" customHeight="1">
      <c r="A226" s="2757"/>
      <c r="B226" s="1262"/>
      <c r="C226" s="1262"/>
      <c r="D226" s="1262"/>
      <c r="E226" s="1262"/>
      <c r="F226" s="1262"/>
      <c r="G226" s="1262"/>
      <c r="H226" s="1262"/>
      <c r="I226" s="1262"/>
      <c r="J226" s="1262"/>
      <c r="K226" s="1262"/>
      <c r="L226" s="1262" t="s">
        <v>5208</v>
      </c>
      <c r="M226" s="1262"/>
      <c r="N226" s="1262"/>
      <c r="O226" s="1262"/>
      <c r="P226" s="1262"/>
      <c r="Q226" s="1262"/>
      <c r="R226" s="1262"/>
      <c r="S226" s="1262"/>
      <c r="T226" s="1262"/>
      <c r="U226" s="1262"/>
      <c r="V226" s="1262"/>
      <c r="W226" s="1262"/>
      <c r="X226" s="1262"/>
      <c r="Y226" s="1262"/>
      <c r="Z226" s="1262"/>
      <c r="AA226" s="1262"/>
      <c r="AB226" s="1262"/>
      <c r="AC226" s="1262"/>
      <c r="AD226" s="1262"/>
      <c r="AE226" s="1262"/>
      <c r="AF226" s="1262"/>
      <c r="AG226" s="1262"/>
      <c r="AH226" s="1262"/>
      <c r="AI226" s="1262"/>
      <c r="AJ226" s="1262"/>
      <c r="AK226" s="1262"/>
      <c r="AL226" s="1262"/>
      <c r="AM226" s="1262"/>
      <c r="AN226" s="1262"/>
      <c r="AO226" s="1262"/>
      <c r="AP226" s="1262"/>
      <c r="AQ226" s="2757"/>
      <c r="AR226" s="2757"/>
      <c r="AS226" s="2757"/>
      <c r="AT226" s="2757"/>
    </row>
    <row r="227" spans="1:46">
      <c r="A227" s="2757"/>
      <c r="B227" s="1262"/>
      <c r="C227" s="1262"/>
      <c r="D227" s="1262"/>
      <c r="E227" s="1262"/>
      <c r="F227" s="1262"/>
      <c r="G227" s="1262"/>
      <c r="H227" s="1262"/>
      <c r="I227" s="1262"/>
      <c r="J227" s="1262"/>
      <c r="K227" s="1262"/>
      <c r="L227" s="1262" t="s">
        <v>5209</v>
      </c>
      <c r="M227" s="1262"/>
      <c r="N227" s="1262"/>
      <c r="O227" s="1262"/>
      <c r="P227" s="1262"/>
      <c r="Q227" s="1262"/>
      <c r="R227" s="1262"/>
      <c r="S227" s="1262"/>
      <c r="T227" s="1262"/>
      <c r="U227" s="1262"/>
      <c r="V227" s="1262"/>
      <c r="W227" s="1262"/>
      <c r="X227" s="1262"/>
      <c r="Y227" s="1262"/>
      <c r="Z227" s="1262"/>
      <c r="AA227" s="1262"/>
      <c r="AB227" s="1262"/>
      <c r="AC227" s="1262"/>
      <c r="AD227" s="1262"/>
      <c r="AE227" s="1262"/>
      <c r="AF227" s="1262"/>
      <c r="AG227" s="1262"/>
      <c r="AH227" s="1262"/>
      <c r="AI227" s="1262"/>
      <c r="AJ227" s="1262"/>
      <c r="AK227" s="1262"/>
      <c r="AL227" s="1262"/>
      <c r="AM227" s="1262"/>
      <c r="AN227" s="1262"/>
      <c r="AO227" s="1262"/>
      <c r="AP227" s="1262"/>
      <c r="AQ227" s="2757"/>
      <c r="AR227" s="2757"/>
      <c r="AS227" s="2757"/>
      <c r="AT227" s="2757"/>
    </row>
    <row r="228" spans="1:46">
      <c r="A228" s="2757"/>
      <c r="B228" s="1262"/>
      <c r="C228" s="1262"/>
      <c r="D228" s="1262"/>
      <c r="E228" s="1262"/>
      <c r="F228" s="1262"/>
      <c r="G228" s="1262"/>
      <c r="H228" s="1262"/>
      <c r="I228" s="1262"/>
      <c r="J228" s="1262"/>
      <c r="K228" s="1262"/>
      <c r="L228" s="1262"/>
      <c r="M228" s="1262"/>
      <c r="N228" s="1262"/>
      <c r="O228" s="1262"/>
      <c r="P228" s="1262"/>
      <c r="Q228" s="1262"/>
      <c r="R228" s="1262"/>
      <c r="S228" s="1262"/>
      <c r="T228" s="1262"/>
      <c r="U228" s="1262"/>
      <c r="V228" s="1262"/>
      <c r="W228" s="1262"/>
      <c r="X228" s="1262"/>
      <c r="Y228" s="1262"/>
      <c r="Z228" s="1262"/>
      <c r="AA228" s="1262"/>
      <c r="AB228" s="1262"/>
      <c r="AC228" s="1262"/>
      <c r="AD228" s="1262"/>
      <c r="AE228" s="1262"/>
      <c r="AF228" s="1262"/>
      <c r="AG228" s="1262"/>
      <c r="AH228" s="1262"/>
      <c r="AI228" s="1262"/>
      <c r="AJ228" s="1262"/>
      <c r="AK228" s="1262"/>
      <c r="AL228" s="1262"/>
      <c r="AM228" s="1262"/>
      <c r="AN228" s="1262"/>
      <c r="AO228" s="1262"/>
      <c r="AP228" s="1262"/>
      <c r="AQ228" s="2757"/>
      <c r="AR228" s="2757"/>
      <c r="AS228" s="2757"/>
      <c r="AT228" s="2757"/>
    </row>
    <row r="229" spans="1:46" ht="12.75" customHeight="1">
      <c r="A229" s="2757"/>
      <c r="B229" s="1262"/>
      <c r="C229" s="1262"/>
      <c r="D229" s="1262"/>
      <c r="E229" s="1262"/>
      <c r="F229" s="1262"/>
      <c r="G229" s="1262"/>
      <c r="H229" s="1262"/>
      <c r="I229" s="1262"/>
      <c r="J229" s="1262"/>
      <c r="K229" s="1262"/>
      <c r="L229" s="1262" t="s">
        <v>5210</v>
      </c>
      <c r="M229" s="1262"/>
      <c r="N229" s="1262"/>
      <c r="O229" s="1262"/>
      <c r="P229" s="1262"/>
      <c r="Q229" s="1262"/>
      <c r="R229" s="1262"/>
      <c r="S229" s="1262"/>
      <c r="T229" s="1262"/>
      <c r="U229" s="1262"/>
      <c r="V229" s="1262"/>
      <c r="W229" s="1262"/>
      <c r="X229" s="1262"/>
      <c r="Y229" s="1262"/>
      <c r="Z229" s="1262"/>
      <c r="AA229" s="1262"/>
      <c r="AB229" s="1262"/>
      <c r="AC229" s="1262"/>
      <c r="AD229" s="1262"/>
      <c r="AE229" s="1262"/>
      <c r="AF229" s="1262"/>
      <c r="AG229" s="1262"/>
      <c r="AH229" s="1262"/>
      <c r="AI229" s="1262"/>
      <c r="AJ229" s="1262"/>
      <c r="AK229" s="1262"/>
      <c r="AL229" s="1262"/>
      <c r="AM229" s="1262"/>
      <c r="AN229" s="1262"/>
      <c r="AO229" s="1262"/>
      <c r="AP229" s="1262"/>
      <c r="AQ229" s="2757"/>
      <c r="AR229" s="2757"/>
      <c r="AS229" s="2757"/>
      <c r="AT229" s="2757"/>
    </row>
    <row r="230" spans="1:46" ht="12.75" customHeight="1">
      <c r="A230" s="2757"/>
      <c r="B230" s="1262"/>
      <c r="C230" s="1262"/>
      <c r="D230" s="1262"/>
      <c r="E230" s="1262"/>
      <c r="F230" s="1262"/>
      <c r="G230" s="1262"/>
      <c r="H230" s="1262"/>
      <c r="I230" s="1262"/>
      <c r="J230" s="1262"/>
      <c r="K230" s="1262"/>
      <c r="L230" s="1262" t="s">
        <v>3070</v>
      </c>
      <c r="M230" s="1262"/>
      <c r="N230" s="1262"/>
      <c r="O230" s="1262"/>
      <c r="P230" s="1262"/>
      <c r="Q230" s="1262"/>
      <c r="R230" s="1262"/>
      <c r="S230" s="1262"/>
      <c r="T230" s="1262"/>
      <c r="U230" s="1262"/>
      <c r="V230" s="1262"/>
      <c r="W230" s="1262"/>
      <c r="X230" s="1262"/>
      <c r="Y230" s="1262"/>
      <c r="Z230" s="1262"/>
      <c r="AA230" s="1262"/>
      <c r="AB230" s="1262"/>
      <c r="AC230" s="1262"/>
      <c r="AD230" s="1262"/>
      <c r="AE230" s="1262"/>
      <c r="AF230" s="1262"/>
      <c r="AG230" s="1262"/>
      <c r="AH230" s="1262"/>
      <c r="AI230" s="1262"/>
      <c r="AJ230" s="1262"/>
      <c r="AK230" s="1262"/>
      <c r="AL230" s="1262"/>
      <c r="AM230" s="1262"/>
      <c r="AN230" s="1262"/>
      <c r="AO230" s="1262"/>
      <c r="AP230" s="1262"/>
      <c r="AQ230" s="2757"/>
      <c r="AR230" s="2757"/>
      <c r="AS230" s="2757"/>
      <c r="AT230" s="2757"/>
    </row>
    <row r="231" spans="1:46">
      <c r="A231" s="2757"/>
      <c r="B231" s="1262"/>
      <c r="C231" s="1262"/>
      <c r="D231" s="1262"/>
      <c r="E231" s="1262"/>
      <c r="F231" s="1262"/>
      <c r="G231" s="1262"/>
      <c r="H231" s="1262"/>
      <c r="I231" s="1262"/>
      <c r="J231" s="1262"/>
      <c r="K231" s="1262"/>
      <c r="L231" s="1262"/>
      <c r="M231" s="1262"/>
      <c r="N231" s="1262"/>
      <c r="O231" s="1262"/>
      <c r="P231" s="1262"/>
      <c r="Q231" s="1262"/>
      <c r="R231" s="1262"/>
      <c r="S231" s="1262"/>
      <c r="T231" s="1262"/>
      <c r="U231" s="1262"/>
      <c r="V231" s="1262"/>
      <c r="W231" s="1262"/>
      <c r="X231" s="1262"/>
      <c r="Y231" s="1262"/>
      <c r="Z231" s="1262"/>
      <c r="AA231" s="1262"/>
      <c r="AB231" s="1262"/>
      <c r="AC231" s="1262"/>
      <c r="AD231" s="1262"/>
      <c r="AE231" s="1262"/>
      <c r="AF231" s="1262"/>
      <c r="AG231" s="1262"/>
      <c r="AH231" s="1262"/>
      <c r="AI231" s="1262"/>
      <c r="AJ231" s="1262"/>
      <c r="AK231" s="1262"/>
      <c r="AL231" s="1262"/>
      <c r="AM231" s="1262"/>
      <c r="AN231" s="1262"/>
      <c r="AO231" s="1262"/>
      <c r="AP231" s="1262"/>
      <c r="AQ231" s="2757"/>
      <c r="AR231" s="2757"/>
      <c r="AS231" s="2757"/>
      <c r="AT231" s="2757"/>
    </row>
    <row r="232" spans="1:46" ht="12.75" customHeight="1">
      <c r="A232" s="2757"/>
      <c r="B232" s="1262"/>
      <c r="C232" s="1262"/>
      <c r="D232" s="1262"/>
      <c r="E232" s="1262"/>
      <c r="F232" s="5554"/>
      <c r="G232" s="5554" t="s">
        <v>5211</v>
      </c>
      <c r="H232" s="1262"/>
      <c r="I232" s="1262"/>
      <c r="J232" s="1262"/>
      <c r="K232" s="1262"/>
      <c r="L232" s="1262"/>
      <c r="M232" s="1262"/>
      <c r="N232" s="1262"/>
      <c r="O232" s="1262"/>
      <c r="P232" s="1262"/>
      <c r="Q232" s="1262"/>
      <c r="R232" s="1262"/>
      <c r="S232" s="1262"/>
      <c r="T232" s="1262"/>
      <c r="U232" s="1262"/>
      <c r="V232" s="1262"/>
      <c r="W232" s="1262"/>
      <c r="X232" s="1262"/>
      <c r="Y232" s="1262"/>
      <c r="Z232" s="1262"/>
      <c r="AA232" s="1262"/>
      <c r="AB232" s="1262"/>
      <c r="AC232" s="1262"/>
      <c r="AD232" s="1262"/>
      <c r="AE232" s="1262"/>
      <c r="AF232" s="1262"/>
      <c r="AG232" s="1262"/>
      <c r="AH232" s="1262"/>
      <c r="AI232" s="1262"/>
      <c r="AJ232" s="1262"/>
      <c r="AK232" s="1262"/>
      <c r="AL232" s="1262"/>
      <c r="AM232" s="1262"/>
      <c r="AN232" s="1262"/>
      <c r="AO232" s="1262"/>
      <c r="AP232" s="1262"/>
      <c r="AQ232" s="2757"/>
      <c r="AR232" s="2757"/>
      <c r="AS232" s="2757"/>
      <c r="AT232" s="2757"/>
    </row>
    <row r="233" spans="1:46" ht="12.75" customHeight="1">
      <c r="A233" s="2757"/>
      <c r="B233" s="1262"/>
      <c r="C233" s="1262"/>
      <c r="D233" s="1262"/>
      <c r="E233" s="1262"/>
      <c r="F233" s="5554"/>
      <c r="G233" s="5554" t="s">
        <v>5212</v>
      </c>
      <c r="H233" s="1262"/>
      <c r="I233" s="1262"/>
      <c r="J233" s="1262"/>
      <c r="K233" s="1262"/>
      <c r="L233" s="1262"/>
      <c r="M233" s="1262"/>
      <c r="N233" s="1262"/>
      <c r="O233" s="1262"/>
      <c r="P233" s="1262"/>
      <c r="Q233" s="1262"/>
      <c r="R233" s="1262"/>
      <c r="S233" s="1262"/>
      <c r="T233" s="1262"/>
      <c r="U233" s="1262"/>
      <c r="V233" s="1262"/>
      <c r="W233" s="1262"/>
      <c r="X233" s="1262"/>
      <c r="Y233" s="1262"/>
      <c r="Z233" s="1262"/>
      <c r="AA233" s="1262"/>
      <c r="AB233" s="1262"/>
      <c r="AC233" s="1262"/>
      <c r="AD233" s="1262"/>
      <c r="AE233" s="1262"/>
      <c r="AF233" s="1262"/>
      <c r="AG233" s="1262"/>
      <c r="AH233" s="1262"/>
      <c r="AI233" s="1262"/>
      <c r="AJ233" s="1262"/>
      <c r="AK233" s="1262"/>
      <c r="AL233" s="1262"/>
      <c r="AM233" s="1262"/>
      <c r="AN233" s="1262"/>
      <c r="AO233" s="1262"/>
      <c r="AP233" s="1262"/>
      <c r="AQ233" s="2757"/>
      <c r="AR233" s="2757"/>
      <c r="AS233" s="2757"/>
      <c r="AT233" s="2757"/>
    </row>
    <row r="234" spans="1:46" ht="18" customHeight="1" thickBot="1">
      <c r="A234" s="2757"/>
      <c r="B234" s="1262"/>
      <c r="C234" s="3724"/>
      <c r="D234" s="3724"/>
      <c r="E234" s="3724"/>
      <c r="F234" s="3724"/>
      <c r="G234" s="3724"/>
      <c r="H234" s="3724"/>
      <c r="I234" s="3724"/>
      <c r="J234" s="3724"/>
      <c r="K234" s="3724"/>
      <c r="L234" s="3724"/>
      <c r="M234" s="3724"/>
      <c r="N234" s="3724"/>
      <c r="O234" s="3724"/>
      <c r="P234" s="3724"/>
      <c r="Q234" s="3724"/>
      <c r="R234" s="3724"/>
      <c r="S234" s="3724"/>
      <c r="T234" s="3724"/>
      <c r="U234" s="3724"/>
      <c r="V234" s="3724"/>
      <c r="W234" s="3724"/>
      <c r="X234" s="3724"/>
      <c r="Y234" s="3724"/>
      <c r="Z234" s="3724"/>
      <c r="AA234" s="3724"/>
      <c r="AB234" s="3724"/>
      <c r="AC234" s="3724"/>
      <c r="AD234" s="3724"/>
      <c r="AE234" s="3724"/>
      <c r="AF234" s="3724"/>
      <c r="AG234" s="3724"/>
      <c r="AH234" s="3724"/>
      <c r="AI234" s="3724"/>
      <c r="AJ234" s="3724"/>
      <c r="AK234" s="3724"/>
      <c r="AL234" s="3724"/>
      <c r="AM234" s="3724"/>
      <c r="AN234" s="3724"/>
      <c r="AO234" s="3724"/>
      <c r="AP234" s="1262"/>
      <c r="AQ234" s="2757"/>
      <c r="AR234" s="2757"/>
      <c r="AS234" s="2757"/>
      <c r="AT234" s="2757"/>
    </row>
    <row r="235" spans="1:46" ht="20.25" customHeight="1" thickTop="1">
      <c r="A235" s="2757"/>
      <c r="B235" s="1262"/>
      <c r="C235" s="1262"/>
      <c r="D235" s="1262"/>
      <c r="E235" s="1262"/>
      <c r="F235" s="5368" t="s">
        <v>294</v>
      </c>
      <c r="G235" s="1262" t="s">
        <v>5213</v>
      </c>
      <c r="H235" s="1262"/>
      <c r="I235" s="1262"/>
      <c r="J235" s="1262"/>
      <c r="K235" s="1262"/>
      <c r="L235" s="1262"/>
      <c r="M235" s="1262"/>
      <c r="N235" s="1262"/>
      <c r="O235" s="1262"/>
      <c r="P235" s="1262"/>
      <c r="Q235" s="1262"/>
      <c r="R235" s="1262"/>
      <c r="S235" s="1262"/>
      <c r="T235" s="1262"/>
      <c r="U235" s="1262"/>
      <c r="V235" s="1262"/>
      <c r="W235" s="1262"/>
      <c r="X235" s="1262"/>
      <c r="Y235" s="1262"/>
      <c r="Z235" s="1262"/>
      <c r="AA235" s="1262"/>
      <c r="AB235" s="1262"/>
      <c r="AC235" s="1262"/>
      <c r="AD235" s="1262"/>
      <c r="AE235" s="1262"/>
      <c r="AF235" s="1262"/>
      <c r="AG235" s="1262"/>
      <c r="AH235" s="1262"/>
      <c r="AI235" s="5517"/>
      <c r="AJ235" s="5555" t="s">
        <v>148</v>
      </c>
      <c r="AK235" s="9236" t="str">
        <f>IF(C203,AL34,"")</f>
        <v/>
      </c>
      <c r="AL235" s="9236"/>
      <c r="AM235" s="9236"/>
      <c r="AN235" s="9236"/>
      <c r="AO235" s="9236"/>
      <c r="AP235" s="1262"/>
      <c r="AQ235" s="2757"/>
      <c r="AR235" s="2757"/>
      <c r="AS235" s="2757"/>
      <c r="AT235" s="2757"/>
    </row>
    <row r="236" spans="1:46" ht="12" customHeight="1">
      <c r="A236" s="2757"/>
      <c r="B236" s="1262"/>
      <c r="C236" s="1262"/>
      <c r="D236" s="1262"/>
      <c r="E236" s="1262"/>
      <c r="F236" s="1262"/>
      <c r="G236" s="1570"/>
      <c r="H236" s="1570"/>
      <c r="I236" s="1570"/>
      <c r="J236" s="1570"/>
      <c r="K236" s="1570"/>
      <c r="L236" s="1570"/>
      <c r="M236" s="1570"/>
      <c r="N236" s="1570"/>
      <c r="O236" s="1570"/>
      <c r="P236" s="1570"/>
      <c r="Q236" s="1570"/>
      <c r="R236" s="1570"/>
      <c r="S236" s="1570"/>
      <c r="T236" s="1570"/>
      <c r="U236" s="1570"/>
      <c r="V236" s="1570"/>
      <c r="W236" s="1570"/>
      <c r="X236" s="1570"/>
      <c r="Y236" s="1570"/>
      <c r="Z236" s="1570"/>
      <c r="AA236" s="1570"/>
      <c r="AB236" s="1570"/>
      <c r="AC236" s="1570"/>
      <c r="AD236" s="1570"/>
      <c r="AE236" s="1570"/>
      <c r="AF236" s="1570"/>
      <c r="AG236" s="1570"/>
      <c r="AH236" s="1570"/>
      <c r="AI236" s="1262"/>
      <c r="AJ236" s="1262"/>
      <c r="AK236" s="1262"/>
      <c r="AL236" s="1262"/>
      <c r="AM236" s="1262"/>
      <c r="AN236" s="1262"/>
      <c r="AO236" s="1262"/>
      <c r="AP236" s="1262"/>
      <c r="AQ236" s="2757"/>
      <c r="AR236" s="2757"/>
      <c r="AS236" s="2757"/>
      <c r="AT236" s="2757"/>
    </row>
    <row r="237" spans="1:46" ht="20.25" customHeight="1">
      <c r="A237" s="2757"/>
      <c r="B237" s="1262"/>
      <c r="C237" s="1262"/>
      <c r="D237" s="1262"/>
      <c r="E237" s="1262"/>
      <c r="F237" s="5368" t="s">
        <v>0</v>
      </c>
      <c r="G237" s="1262" t="s">
        <v>5214</v>
      </c>
      <c r="H237" s="1262"/>
      <c r="I237" s="1262"/>
      <c r="J237" s="1262"/>
      <c r="K237" s="1262"/>
      <c r="L237" s="1262"/>
      <c r="M237" s="1262"/>
      <c r="N237" s="1262"/>
      <c r="O237" s="1262"/>
      <c r="P237" s="1262"/>
      <c r="Q237" s="1262"/>
      <c r="R237" s="1262"/>
      <c r="S237" s="1262"/>
      <c r="T237" s="1262"/>
      <c r="U237" s="1262"/>
      <c r="V237" s="1262"/>
      <c r="W237" s="1262"/>
      <c r="X237" s="1262"/>
      <c r="Y237" s="1262"/>
      <c r="Z237" s="1262"/>
      <c r="AA237" s="1262"/>
      <c r="AB237" s="1262"/>
      <c r="AC237" s="1262"/>
      <c r="AD237" s="1262"/>
      <c r="AE237" s="1262"/>
      <c r="AF237" s="1262"/>
      <c r="AG237" s="1262"/>
      <c r="AH237" s="1262"/>
      <c r="AI237" s="5517"/>
      <c r="AJ237" s="5555" t="s">
        <v>149</v>
      </c>
      <c r="AK237" s="9220" t="str">
        <f>IF(C203,ROUND(J238*M238,0),"")</f>
        <v/>
      </c>
      <c r="AL237" s="9220"/>
      <c r="AM237" s="9220"/>
      <c r="AN237" s="9220"/>
      <c r="AO237" s="9220"/>
      <c r="AP237" s="1262"/>
      <c r="AQ237" s="2757"/>
      <c r="AR237" s="2757"/>
      <c r="AS237" s="2757"/>
      <c r="AT237" s="2757"/>
    </row>
    <row r="238" spans="1:46" ht="17.25" customHeight="1">
      <c r="A238" s="2757"/>
      <c r="B238" s="1262"/>
      <c r="C238" s="1262"/>
      <c r="D238" s="1262"/>
      <c r="E238" s="1262"/>
      <c r="F238" s="1262"/>
      <c r="G238" s="1262" t="s">
        <v>3071</v>
      </c>
      <c r="H238" s="1262"/>
      <c r="I238" s="1262"/>
      <c r="J238" s="9423" t="str">
        <f>IF(C203,AE18,"")</f>
        <v/>
      </c>
      <c r="K238" s="9423"/>
      <c r="L238" s="2650" t="s">
        <v>1202</v>
      </c>
      <c r="M238" s="9422">
        <v>1400</v>
      </c>
      <c r="N238" s="9422"/>
      <c r="O238" s="9422"/>
      <c r="P238" s="1262" t="s">
        <v>659</v>
      </c>
      <c r="Q238" s="1262"/>
      <c r="R238" s="1262"/>
      <c r="S238" s="1262"/>
      <c r="T238" s="1262"/>
      <c r="U238" s="1262"/>
      <c r="V238" s="1262"/>
      <c r="W238" s="1262"/>
      <c r="X238" s="1262"/>
      <c r="Y238" s="1262"/>
      <c r="Z238" s="1262"/>
      <c r="AA238" s="1262"/>
      <c r="AB238" s="1262"/>
      <c r="AC238" s="1262"/>
      <c r="AD238" s="1262"/>
      <c r="AE238" s="1262"/>
      <c r="AF238" s="1262"/>
      <c r="AG238" s="1262"/>
      <c r="AH238" s="1262"/>
      <c r="AI238" s="1262"/>
      <c r="AJ238" s="1262"/>
      <c r="AK238" s="1262"/>
      <c r="AL238" s="1262"/>
      <c r="AM238" s="1262"/>
      <c r="AN238" s="1262"/>
      <c r="AO238" s="1262"/>
      <c r="AP238" s="1262"/>
      <c r="AQ238" s="2757"/>
      <c r="AR238" s="2757"/>
      <c r="AS238" s="2757"/>
      <c r="AT238" s="2757"/>
    </row>
    <row r="239" spans="1:46" ht="12" customHeight="1">
      <c r="A239" s="2757"/>
      <c r="B239" s="1262"/>
      <c r="C239" s="1262"/>
      <c r="D239" s="1262"/>
      <c r="E239" s="1262"/>
      <c r="F239" s="1262"/>
      <c r="G239" s="1262"/>
      <c r="H239" s="1262"/>
      <c r="I239" s="1262"/>
      <c r="J239" s="1262"/>
      <c r="K239" s="1262"/>
      <c r="L239" s="1262"/>
      <c r="M239" s="1262"/>
      <c r="N239" s="1262"/>
      <c r="O239" s="1262"/>
      <c r="P239" s="1262"/>
      <c r="Q239" s="1262"/>
      <c r="R239" s="1262"/>
      <c r="S239" s="1262"/>
      <c r="T239" s="1262"/>
      <c r="U239" s="1262"/>
      <c r="V239" s="1262"/>
      <c r="W239" s="1262"/>
      <c r="X239" s="1262"/>
      <c r="Y239" s="1262"/>
      <c r="Z239" s="1262"/>
      <c r="AA239" s="1262"/>
      <c r="AB239" s="1262"/>
      <c r="AC239" s="1262"/>
      <c r="AD239" s="1262"/>
      <c r="AE239" s="1262"/>
      <c r="AF239" s="1262"/>
      <c r="AG239" s="1262"/>
      <c r="AH239" s="1262"/>
      <c r="AI239" s="1262"/>
      <c r="AJ239" s="1262"/>
      <c r="AK239" s="1262"/>
      <c r="AL239" s="1262"/>
      <c r="AM239" s="1262"/>
      <c r="AN239" s="1262"/>
      <c r="AO239" s="1262"/>
      <c r="AP239" s="1262"/>
      <c r="AQ239" s="2757"/>
      <c r="AR239" s="2757"/>
      <c r="AS239" s="2757"/>
      <c r="AT239" s="2757"/>
    </row>
    <row r="240" spans="1:46" ht="12" customHeight="1">
      <c r="A240" s="2757"/>
      <c r="B240" s="1262"/>
      <c r="C240" s="1262"/>
      <c r="D240" s="1262"/>
      <c r="E240" s="1262"/>
      <c r="F240" s="1262"/>
      <c r="G240" s="1262" t="s">
        <v>5215</v>
      </c>
      <c r="H240" s="1262"/>
      <c r="I240" s="1262"/>
      <c r="J240" s="1262"/>
      <c r="K240" s="1262"/>
      <c r="L240" s="1262"/>
      <c r="M240" s="1262"/>
      <c r="N240" s="1262"/>
      <c r="O240" s="1262"/>
      <c r="P240" s="1262"/>
      <c r="Q240" s="1262"/>
      <c r="R240" s="1262"/>
      <c r="S240" s="1262"/>
      <c r="T240" s="1262"/>
      <c r="U240" s="1262"/>
      <c r="V240" s="1262"/>
      <c r="W240" s="1262"/>
      <c r="X240" s="1262"/>
      <c r="Y240" s="1262"/>
      <c r="Z240" s="1262"/>
      <c r="AA240" s="1262"/>
      <c r="AB240" s="1262"/>
      <c r="AC240" s="1262"/>
      <c r="AD240" s="1262"/>
      <c r="AE240" s="1262"/>
      <c r="AF240" s="1262"/>
      <c r="AG240" s="1262"/>
      <c r="AH240" s="1262"/>
      <c r="AI240" s="1262"/>
      <c r="AJ240" s="1262"/>
      <c r="AK240" s="1262"/>
      <c r="AL240" s="1262"/>
      <c r="AM240" s="1262"/>
      <c r="AN240" s="1262"/>
      <c r="AO240" s="1262"/>
      <c r="AP240" s="1262"/>
      <c r="AQ240" s="2757"/>
      <c r="AR240" s="2757"/>
      <c r="AS240" s="2757"/>
      <c r="AT240" s="2757"/>
    </row>
    <row r="241" spans="1:46" ht="12" customHeight="1">
      <c r="A241" s="2757"/>
      <c r="B241" s="1262"/>
      <c r="C241" s="1262"/>
      <c r="D241" s="1262"/>
      <c r="E241" s="1262"/>
      <c r="F241" s="1262"/>
      <c r="G241" s="1262" t="s">
        <v>5216</v>
      </c>
      <c r="H241" s="1262"/>
      <c r="I241" s="1262"/>
      <c r="J241" s="1262"/>
      <c r="K241" s="1262"/>
      <c r="L241" s="1262"/>
      <c r="M241" s="1262"/>
      <c r="N241" s="1262"/>
      <c r="O241" s="1262"/>
      <c r="P241" s="1262"/>
      <c r="Q241" s="1262"/>
      <c r="R241" s="1262"/>
      <c r="S241" s="1262"/>
      <c r="T241" s="1262"/>
      <c r="U241" s="1262"/>
      <c r="V241" s="1262"/>
      <c r="W241" s="1262"/>
      <c r="X241" s="1262"/>
      <c r="Y241" s="1262"/>
      <c r="Z241" s="1262"/>
      <c r="AA241" s="1262"/>
      <c r="AB241" s="1262"/>
      <c r="AC241" s="1262"/>
      <c r="AD241" s="1262"/>
      <c r="AE241" s="1262"/>
      <c r="AF241" s="1262"/>
      <c r="AG241" s="1262"/>
      <c r="AH241" s="1262"/>
      <c r="AI241" s="1262"/>
      <c r="AJ241" s="1262"/>
      <c r="AK241" s="1262"/>
      <c r="AL241" s="1262"/>
      <c r="AM241" s="1262"/>
      <c r="AN241" s="1262"/>
      <c r="AO241" s="1262"/>
      <c r="AP241" s="1262"/>
      <c r="AQ241" s="2757"/>
      <c r="AR241" s="2757"/>
      <c r="AS241" s="2757"/>
      <c r="AT241" s="2757"/>
    </row>
    <row r="242" spans="1:46" ht="12" customHeight="1">
      <c r="A242" s="2757"/>
      <c r="B242" s="1262"/>
      <c r="C242" s="1262"/>
      <c r="D242" s="1262"/>
      <c r="E242" s="1262"/>
      <c r="F242" s="1262"/>
      <c r="G242" s="1570"/>
      <c r="H242" s="1570"/>
      <c r="I242" s="1570"/>
      <c r="J242" s="1570"/>
      <c r="K242" s="1570"/>
      <c r="L242" s="1570"/>
      <c r="M242" s="1570"/>
      <c r="N242" s="1570"/>
      <c r="O242" s="1570"/>
      <c r="P242" s="1570"/>
      <c r="Q242" s="1570"/>
      <c r="R242" s="1570"/>
      <c r="S242" s="1570"/>
      <c r="T242" s="1570"/>
      <c r="U242" s="1570"/>
      <c r="V242" s="1570"/>
      <c r="W242" s="1570"/>
      <c r="X242" s="1570"/>
      <c r="Y242" s="1570"/>
      <c r="Z242" s="1570"/>
      <c r="AA242" s="1570"/>
      <c r="AB242" s="1570"/>
      <c r="AC242" s="1570"/>
      <c r="AD242" s="1570"/>
      <c r="AE242" s="1570"/>
      <c r="AF242" s="1570"/>
      <c r="AG242" s="1570"/>
      <c r="AH242" s="1570"/>
      <c r="AI242" s="1570"/>
      <c r="AJ242" s="1262"/>
      <c r="AK242" s="1262"/>
      <c r="AL242" s="1262"/>
      <c r="AM242" s="1262"/>
      <c r="AN242" s="1262"/>
      <c r="AO242" s="1262"/>
      <c r="AP242" s="1262"/>
      <c r="AQ242" s="2757"/>
      <c r="AR242" s="2757"/>
      <c r="AS242" s="5931" t="s">
        <v>91</v>
      </c>
      <c r="AT242" s="2757"/>
    </row>
    <row r="243" spans="1:46" ht="6.75" customHeight="1">
      <c r="A243" s="2757"/>
      <c r="B243" s="1262"/>
      <c r="C243" s="1262"/>
      <c r="D243" s="1262"/>
      <c r="E243" s="1262"/>
      <c r="F243" s="1262"/>
      <c r="G243" s="1262"/>
      <c r="H243" s="1262"/>
      <c r="I243" s="1262"/>
      <c r="J243" s="1262"/>
      <c r="K243" s="1262"/>
      <c r="L243" s="1262"/>
      <c r="M243" s="1262"/>
      <c r="N243" s="1262"/>
      <c r="O243" s="1262"/>
      <c r="P243" s="1262"/>
      <c r="Q243" s="1262"/>
      <c r="R243" s="1262"/>
      <c r="S243" s="1262"/>
      <c r="T243" s="1262"/>
      <c r="U243" s="1262"/>
      <c r="V243" s="1262"/>
      <c r="W243" s="1262"/>
      <c r="X243" s="1262"/>
      <c r="Y243" s="1262"/>
      <c r="Z243" s="1262"/>
      <c r="AA243" s="1262"/>
      <c r="AB243" s="1262"/>
      <c r="AC243" s="1262"/>
      <c r="AD243" s="1570"/>
      <c r="AE243" s="1570"/>
      <c r="AF243" s="1570"/>
      <c r="AG243" s="1570"/>
      <c r="AH243" s="1570"/>
      <c r="AI243" s="1570"/>
      <c r="AJ243" s="1262"/>
      <c r="AK243" s="1262"/>
      <c r="AL243" s="1262"/>
      <c r="AM243" s="1262"/>
      <c r="AN243" s="1262"/>
      <c r="AO243" s="1262"/>
      <c r="AP243" s="1262"/>
      <c r="AQ243" s="2757"/>
      <c r="AR243" s="2757"/>
      <c r="AS243" s="2757"/>
      <c r="AT243" s="2757"/>
    </row>
    <row r="244" spans="1:46" ht="18" customHeight="1">
      <c r="A244" s="2757"/>
      <c r="B244" s="1262"/>
      <c r="C244" s="1262"/>
      <c r="D244" s="1262"/>
      <c r="E244" s="1262"/>
      <c r="F244" s="5556" t="s">
        <v>1</v>
      </c>
      <c r="G244" s="2212" t="s">
        <v>5217</v>
      </c>
      <c r="H244" s="1262"/>
      <c r="I244" s="1262"/>
      <c r="J244" s="1262"/>
      <c r="K244" s="1262"/>
      <c r="L244" s="1262"/>
      <c r="M244" s="1262"/>
      <c r="N244" s="1262"/>
      <c r="O244" s="1262"/>
      <c r="P244" s="1262"/>
      <c r="Q244" s="1262"/>
      <c r="R244" s="1262"/>
      <c r="S244" s="1262"/>
      <c r="T244" s="1262"/>
      <c r="U244" s="1262"/>
      <c r="V244" s="1262"/>
      <c r="W244" s="1262"/>
      <c r="X244" s="1262"/>
      <c r="Y244" s="1262"/>
      <c r="Z244" s="1262"/>
      <c r="AA244" s="1262"/>
      <c r="AB244" s="1262"/>
      <c r="AC244" s="1262"/>
      <c r="AD244" s="5555" t="s">
        <v>150</v>
      </c>
      <c r="AE244" s="9220" t="str">
        <f>IF(AS244&lt;&gt;"",ROUND(AS244,0),IF(C203,'1040'!W100,""))</f>
        <v/>
      </c>
      <c r="AF244" s="9220"/>
      <c r="AG244" s="9220"/>
      <c r="AH244" s="9220"/>
      <c r="AI244" s="9220"/>
      <c r="AJ244" s="1262"/>
      <c r="AK244" s="1262"/>
      <c r="AL244" s="1262"/>
      <c r="AM244" s="1262"/>
      <c r="AN244" s="1262"/>
      <c r="AO244" s="1262"/>
      <c r="AP244" s="1262"/>
      <c r="AQ244" s="2757"/>
      <c r="AR244" s="2757"/>
      <c r="AS244" s="5582"/>
      <c r="AT244" s="2757"/>
    </row>
    <row r="245" spans="1:46" ht="12" customHeight="1">
      <c r="A245" s="2757"/>
      <c r="B245" s="1262"/>
      <c r="C245" s="1262"/>
      <c r="D245" s="1262"/>
      <c r="E245" s="1262"/>
      <c r="F245" s="1262"/>
      <c r="G245" s="1262" t="s">
        <v>5218</v>
      </c>
      <c r="H245" s="1262"/>
      <c r="I245" s="1262"/>
      <c r="J245" s="1262"/>
      <c r="K245" s="1262"/>
      <c r="L245" s="1262"/>
      <c r="M245" s="1262"/>
      <c r="N245" s="1262"/>
      <c r="O245" s="1262"/>
      <c r="P245" s="1262"/>
      <c r="Q245" s="1262"/>
      <c r="R245" s="1262"/>
      <c r="S245" s="1262"/>
      <c r="T245" s="1262"/>
      <c r="U245" s="1262"/>
      <c r="V245" s="1262"/>
      <c r="W245" s="1262"/>
      <c r="X245" s="1262"/>
      <c r="Y245" s="1262"/>
      <c r="Z245" s="1262"/>
      <c r="AA245" s="1262"/>
      <c r="AB245" s="1262"/>
      <c r="AC245" s="1262"/>
      <c r="AD245" s="1262"/>
      <c r="AE245" s="1262"/>
      <c r="AF245" s="1262"/>
      <c r="AG245" s="1262"/>
      <c r="AH245" s="1262"/>
      <c r="AI245" s="1262"/>
      <c r="AJ245" s="1262"/>
      <c r="AK245" s="1262"/>
      <c r="AL245" s="1262"/>
      <c r="AM245" s="1262"/>
      <c r="AN245" s="1262"/>
      <c r="AO245" s="1262"/>
      <c r="AP245" s="1262"/>
      <c r="AQ245" s="2757"/>
      <c r="AR245" s="2757"/>
      <c r="AS245" s="2757"/>
      <c r="AT245" s="2757"/>
    </row>
    <row r="246" spans="1:46" ht="6" customHeight="1">
      <c r="A246" s="2757"/>
      <c r="B246" s="1262"/>
      <c r="C246" s="1262"/>
      <c r="D246" s="1262"/>
      <c r="E246" s="1262"/>
      <c r="F246" s="1262"/>
      <c r="G246" s="1570"/>
      <c r="H246" s="1570"/>
      <c r="I246" s="1570"/>
      <c r="J246" s="1570"/>
      <c r="K246" s="1570"/>
      <c r="L246" s="1570"/>
      <c r="M246" s="1570"/>
      <c r="N246" s="1570"/>
      <c r="O246" s="1570"/>
      <c r="P246" s="1570"/>
      <c r="Q246" s="1570"/>
      <c r="R246" s="1570"/>
      <c r="S246" s="1570"/>
      <c r="T246" s="1570"/>
      <c r="U246" s="1570"/>
      <c r="V246" s="1570"/>
      <c r="W246" s="1570"/>
      <c r="X246" s="1570"/>
      <c r="Y246" s="1570"/>
      <c r="Z246" s="1570"/>
      <c r="AA246" s="1570"/>
      <c r="AB246" s="1570"/>
      <c r="AC246" s="1570"/>
      <c r="AD246" s="1570"/>
      <c r="AE246" s="1570"/>
      <c r="AF246" s="1570"/>
      <c r="AG246" s="1570"/>
      <c r="AH246" s="1570"/>
      <c r="AI246" s="1570"/>
      <c r="AJ246" s="1262"/>
      <c r="AK246" s="1262"/>
      <c r="AL246" s="1262"/>
      <c r="AM246" s="1262"/>
      <c r="AN246" s="1262"/>
      <c r="AO246" s="1262"/>
      <c r="AP246" s="1262"/>
      <c r="AQ246" s="2757"/>
      <c r="AR246" s="2757"/>
      <c r="AS246" s="2757"/>
      <c r="AT246" s="2757"/>
    </row>
    <row r="247" spans="1:46" ht="6" customHeight="1">
      <c r="A247" s="2757"/>
      <c r="B247" s="1262"/>
      <c r="C247" s="1262"/>
      <c r="D247" s="1262"/>
      <c r="E247" s="1262"/>
      <c r="F247" s="1262"/>
      <c r="G247" s="1262"/>
      <c r="H247" s="1262"/>
      <c r="I247" s="1262"/>
      <c r="J247" s="1262"/>
      <c r="K247" s="1262"/>
      <c r="L247" s="1262"/>
      <c r="M247" s="1262"/>
      <c r="N247" s="1262"/>
      <c r="O247" s="1262"/>
      <c r="P247" s="1262"/>
      <c r="Q247" s="1262"/>
      <c r="R247" s="1262"/>
      <c r="S247" s="1262"/>
      <c r="T247" s="1262"/>
      <c r="U247" s="1262"/>
      <c r="V247" s="1262"/>
      <c r="W247" s="1262"/>
      <c r="X247" s="1262"/>
      <c r="Y247" s="1262"/>
      <c r="Z247" s="1262"/>
      <c r="AA247" s="1262"/>
      <c r="AB247" s="1262"/>
      <c r="AC247" s="1262"/>
      <c r="AD247" s="1262"/>
      <c r="AE247" s="1262"/>
      <c r="AF247" s="1262"/>
      <c r="AG247" s="1262"/>
      <c r="AH247" s="1262"/>
      <c r="AI247" s="1262"/>
      <c r="AJ247" s="1262"/>
      <c r="AK247" s="1262"/>
      <c r="AL247" s="1262"/>
      <c r="AM247" s="1262"/>
      <c r="AN247" s="1262"/>
      <c r="AO247" s="1262"/>
      <c r="AP247" s="1262"/>
      <c r="AQ247" s="2757"/>
      <c r="AR247" s="2757"/>
      <c r="AS247" s="2757"/>
      <c r="AT247" s="2757"/>
    </row>
    <row r="248" spans="1:46" ht="20.25" customHeight="1">
      <c r="A248" s="2757"/>
      <c r="B248" s="1262"/>
      <c r="C248" s="1262"/>
      <c r="D248" s="1262"/>
      <c r="E248" s="1262"/>
      <c r="F248" s="5368" t="s">
        <v>399</v>
      </c>
      <c r="G248" s="1262" t="str">
        <f>"Is the amount on line 3 more than "&amp;TEXT(Z248,"$0,000")&amp;"?"</f>
        <v>Is the amount on line 3 more than $2,500?</v>
      </c>
      <c r="H248" s="1262"/>
      <c r="I248" s="1262"/>
      <c r="J248" s="1262"/>
      <c r="K248" s="1262"/>
      <c r="L248" s="1262"/>
      <c r="M248" s="1262"/>
      <c r="N248" s="1262"/>
      <c r="O248" s="1262"/>
      <c r="P248" s="1262"/>
      <c r="Q248" s="1262"/>
      <c r="R248" s="1262"/>
      <c r="S248" s="1262"/>
      <c r="T248" s="1262"/>
      <c r="U248" s="1262"/>
      <c r="V248" s="1262"/>
      <c r="W248" s="1262"/>
      <c r="X248" s="1262"/>
      <c r="Y248" s="1262"/>
      <c r="Z248" s="9424">
        <v>2500</v>
      </c>
      <c r="AA248" s="9424"/>
      <c r="AB248" s="9424"/>
      <c r="AC248" s="1262"/>
      <c r="AD248" s="5555" t="s">
        <v>151</v>
      </c>
      <c r="AE248" s="9220" t="str">
        <f>IF(AND(C203,G253&lt;&gt;""),SUM(AE244,-Z248),"")</f>
        <v/>
      </c>
      <c r="AF248" s="9220"/>
      <c r="AG248" s="9220"/>
      <c r="AH248" s="9220"/>
      <c r="AI248" s="9220"/>
      <c r="AJ248" s="1262"/>
      <c r="AK248" s="1262"/>
      <c r="AL248" s="1262"/>
      <c r="AM248" s="1262"/>
      <c r="AN248" s="1262"/>
      <c r="AO248" s="1262"/>
      <c r="AP248" s="1262"/>
      <c r="AQ248" s="2757"/>
      <c r="AR248" s="2757"/>
      <c r="AS248" s="2757"/>
      <c r="AT248" s="2757"/>
    </row>
    <row r="249" spans="1:46" ht="6.75" customHeight="1" thickBot="1">
      <c r="A249" s="2757"/>
      <c r="B249" s="1262"/>
      <c r="C249" s="1262"/>
      <c r="D249" s="1262"/>
      <c r="E249" s="1262"/>
      <c r="F249" s="1262"/>
      <c r="G249" s="1262"/>
      <c r="H249" s="1262"/>
      <c r="I249" s="1262"/>
      <c r="J249" s="1262"/>
      <c r="K249" s="1262"/>
      <c r="L249" s="1262"/>
      <c r="M249" s="1262"/>
      <c r="N249" s="1262"/>
      <c r="O249" s="1262"/>
      <c r="P249" s="1262"/>
      <c r="Q249" s="1262"/>
      <c r="R249" s="1262"/>
      <c r="S249" s="1262"/>
      <c r="T249" s="1262"/>
      <c r="U249" s="1262"/>
      <c r="V249" s="1262"/>
      <c r="W249" s="1262"/>
      <c r="X249" s="1262"/>
      <c r="Y249" s="1262"/>
      <c r="Z249" s="1262"/>
      <c r="AA249" s="1262"/>
      <c r="AB249" s="1262"/>
      <c r="AC249" s="1262"/>
      <c r="AD249" s="1262"/>
      <c r="AE249" s="1262"/>
      <c r="AF249" s="1262"/>
      <c r="AG249" s="1262"/>
      <c r="AH249" s="1262"/>
      <c r="AI249" s="1262"/>
      <c r="AJ249" s="1262"/>
      <c r="AK249" s="1262"/>
      <c r="AL249" s="1262"/>
      <c r="AM249" s="1262"/>
      <c r="AN249" s="1262"/>
      <c r="AO249" s="1262"/>
      <c r="AP249" s="1262"/>
      <c r="AQ249" s="2757"/>
      <c r="AR249" s="2757"/>
      <c r="AS249" s="2757"/>
      <c r="AT249" s="2757"/>
    </row>
    <row r="250" spans="1:46" ht="12" customHeight="1" thickBot="1">
      <c r="A250" s="2757"/>
      <c r="B250" s="1262"/>
      <c r="C250" s="1262"/>
      <c r="D250" s="8334"/>
      <c r="E250" s="8334"/>
      <c r="F250" s="1262"/>
      <c r="G250" s="5584" t="str">
        <f>IF(NOT(C203),"",IF(AE244&gt;Z248,"","X"))</f>
        <v/>
      </c>
      <c r="H250" s="1262"/>
      <c r="I250" s="2808" t="s">
        <v>414</v>
      </c>
      <c r="J250" s="1262"/>
      <c r="K250" s="1262" t="s">
        <v>3072</v>
      </c>
      <c r="L250" s="1262"/>
      <c r="M250" s="1262"/>
      <c r="N250" s="1262"/>
      <c r="O250" s="1262"/>
      <c r="P250" s="1262"/>
      <c r="Q250" s="1262"/>
      <c r="R250" s="1262"/>
      <c r="S250" s="1262"/>
      <c r="T250" s="1262"/>
      <c r="U250" s="1262"/>
      <c r="V250" s="1262"/>
      <c r="W250" s="1262"/>
      <c r="X250" s="1262"/>
      <c r="Y250" s="1262"/>
      <c r="Z250" s="1262"/>
      <c r="AA250" s="1262"/>
      <c r="AB250" s="1262"/>
      <c r="AC250" s="1262"/>
      <c r="AD250" s="1262"/>
      <c r="AE250" s="1262"/>
      <c r="AF250" s="1262"/>
      <c r="AG250" s="1262"/>
      <c r="AH250" s="1262"/>
      <c r="AI250" s="1262"/>
      <c r="AJ250" s="1262"/>
      <c r="AK250" s="1262"/>
      <c r="AL250" s="1262"/>
      <c r="AM250" s="1262"/>
      <c r="AN250" s="1262"/>
      <c r="AO250" s="1262"/>
      <c r="AP250" s="1262"/>
      <c r="AQ250" s="2757"/>
      <c r="AR250" s="2757"/>
      <c r="AS250" s="2757"/>
      <c r="AT250" s="2757"/>
    </row>
    <row r="251" spans="1:46" ht="12" customHeight="1">
      <c r="A251" s="2757"/>
      <c r="B251" s="1262"/>
      <c r="C251" s="1262"/>
      <c r="D251" s="1262"/>
      <c r="E251" s="1262"/>
      <c r="F251" s="1262"/>
      <c r="G251" s="1262"/>
      <c r="H251" s="1262"/>
      <c r="I251" s="1262"/>
      <c r="J251" s="1262"/>
      <c r="K251" s="1262" t="s">
        <v>3073</v>
      </c>
      <c r="L251" s="1262"/>
      <c r="M251" s="1262"/>
      <c r="N251" s="1262"/>
      <c r="O251" s="1262"/>
      <c r="P251" s="1262"/>
      <c r="Q251" s="1262"/>
      <c r="R251" s="1262"/>
      <c r="S251" s="1262"/>
      <c r="T251" s="1262"/>
      <c r="U251" s="1262"/>
      <c r="V251" s="1262"/>
      <c r="W251" s="1262"/>
      <c r="X251" s="1262"/>
      <c r="Y251" s="1262"/>
      <c r="Z251" s="1262"/>
      <c r="AA251" s="1262"/>
      <c r="AB251" s="1262"/>
      <c r="AC251" s="1262"/>
      <c r="AD251" s="1262"/>
      <c r="AE251" s="1262"/>
      <c r="AF251" s="1262"/>
      <c r="AG251" s="1262"/>
      <c r="AH251" s="1262"/>
      <c r="AI251" s="1262"/>
      <c r="AJ251" s="1262"/>
      <c r="AK251" s="1262"/>
      <c r="AL251" s="1262"/>
      <c r="AM251" s="1262"/>
      <c r="AN251" s="1262"/>
      <c r="AO251" s="1262"/>
      <c r="AP251" s="1262"/>
      <c r="AQ251" s="2757"/>
      <c r="AR251" s="2757"/>
      <c r="AS251" s="2757"/>
      <c r="AT251" s="2757"/>
    </row>
    <row r="252" spans="1:46" ht="6.75" customHeight="1" thickBot="1">
      <c r="A252" s="2757"/>
      <c r="B252" s="1262"/>
      <c r="C252" s="1262"/>
      <c r="D252" s="1262"/>
      <c r="E252" s="1262"/>
      <c r="F252" s="1262"/>
      <c r="G252" s="1262"/>
      <c r="H252" s="1262"/>
      <c r="I252" s="1262"/>
      <c r="J252" s="1262"/>
      <c r="K252" s="1262"/>
      <c r="L252" s="1262"/>
      <c r="M252" s="1262"/>
      <c r="N252" s="1262"/>
      <c r="O252" s="1262"/>
      <c r="P252" s="1262"/>
      <c r="Q252" s="1262"/>
      <c r="R252" s="1262"/>
      <c r="S252" s="1262"/>
      <c r="T252" s="1262"/>
      <c r="U252" s="1262"/>
      <c r="V252" s="1262"/>
      <c r="W252" s="1262"/>
      <c r="X252" s="1262"/>
      <c r="Y252" s="1262"/>
      <c r="Z252" s="1262"/>
      <c r="AA252" s="1262"/>
      <c r="AB252" s="1262"/>
      <c r="AC252" s="1262"/>
      <c r="AD252" s="1262"/>
      <c r="AE252" s="1262"/>
      <c r="AF252" s="1262"/>
      <c r="AG252" s="1262"/>
      <c r="AH252" s="1262"/>
      <c r="AI252" s="1262"/>
      <c r="AJ252" s="1262"/>
      <c r="AK252" s="1262"/>
      <c r="AL252" s="1262"/>
      <c r="AM252" s="1262"/>
      <c r="AN252" s="1262"/>
      <c r="AO252" s="1262"/>
      <c r="AP252" s="1262"/>
      <c r="AQ252" s="2757"/>
      <c r="AR252" s="2757"/>
      <c r="AS252" s="2757"/>
      <c r="AT252" s="2757"/>
    </row>
    <row r="253" spans="1:46" ht="12" customHeight="1" thickBot="1">
      <c r="A253" s="2757"/>
      <c r="B253" s="1262"/>
      <c r="C253" s="1262"/>
      <c r="D253" s="8334"/>
      <c r="E253" s="8334"/>
      <c r="F253" s="1262"/>
      <c r="G253" s="5584" t="str">
        <f>IF(NOT(C203),"",IF(AE244&gt;Z248,"X",""))</f>
        <v/>
      </c>
      <c r="H253" s="1262"/>
      <c r="I253" s="2808" t="s">
        <v>416</v>
      </c>
      <c r="J253" s="1262"/>
      <c r="K253" s="1262" t="str">
        <f>"Subtract "&amp;TEXT(Z248,"$0,000")&amp;" from the amount on line 3."</f>
        <v>Subtract $2,500 from the amount on line 3.</v>
      </c>
      <c r="L253" s="1262"/>
      <c r="M253" s="1262"/>
      <c r="N253" s="1262"/>
      <c r="O253" s="1262"/>
      <c r="P253" s="1262"/>
      <c r="Q253" s="1262"/>
      <c r="R253" s="1262"/>
      <c r="S253" s="1262"/>
      <c r="T253" s="1262"/>
      <c r="U253" s="1262"/>
      <c r="V253" s="1262"/>
      <c r="W253" s="1262"/>
      <c r="X253" s="1262"/>
      <c r="Y253" s="1262"/>
      <c r="Z253" s="1262"/>
      <c r="AA253" s="1262"/>
      <c r="AB253" s="1262"/>
      <c r="AC253" s="1262"/>
      <c r="AD253" s="1262"/>
      <c r="AE253" s="1262"/>
      <c r="AF253" s="1262"/>
      <c r="AG253" s="1262"/>
      <c r="AH253" s="1262"/>
      <c r="AI253" s="1262"/>
      <c r="AJ253" s="1262"/>
      <c r="AK253" s="1262"/>
      <c r="AL253" s="1262"/>
      <c r="AM253" s="1262"/>
      <c r="AN253" s="1262"/>
      <c r="AO253" s="1262"/>
      <c r="AP253" s="1262"/>
      <c r="AQ253" s="2757"/>
      <c r="AR253" s="2757"/>
      <c r="AS253" s="2757"/>
      <c r="AT253" s="2757"/>
    </row>
    <row r="254" spans="1:46" ht="12" customHeight="1">
      <c r="A254" s="2757"/>
      <c r="B254" s="1262"/>
      <c r="C254" s="1262"/>
      <c r="D254" s="1262"/>
      <c r="E254" s="1262"/>
      <c r="F254" s="1262"/>
      <c r="G254" s="1262"/>
      <c r="H254" s="1262"/>
      <c r="I254" s="1262"/>
      <c r="J254" s="1262"/>
      <c r="K254" s="1262" t="s">
        <v>659</v>
      </c>
      <c r="L254" s="1262"/>
      <c r="M254" s="1262"/>
      <c r="N254" s="1262"/>
      <c r="O254" s="1262"/>
      <c r="P254" s="1262"/>
      <c r="Q254" s="1262"/>
      <c r="R254" s="1262"/>
      <c r="S254" s="1262"/>
      <c r="T254" s="1262"/>
      <c r="U254" s="1262"/>
      <c r="V254" s="1262"/>
      <c r="W254" s="1262"/>
      <c r="X254" s="1262"/>
      <c r="Y254" s="1262"/>
      <c r="Z254" s="1262"/>
      <c r="AA254" s="1262"/>
      <c r="AB254" s="1262"/>
      <c r="AC254" s="1262"/>
      <c r="AD254" s="1262"/>
      <c r="AE254" s="1262"/>
      <c r="AF254" s="1262"/>
      <c r="AG254" s="1262"/>
      <c r="AH254" s="1262"/>
      <c r="AI254" s="1262"/>
      <c r="AJ254" s="1262"/>
      <c r="AK254" s="1262"/>
      <c r="AL254" s="1262"/>
      <c r="AM254" s="1262"/>
      <c r="AN254" s="1262"/>
      <c r="AO254" s="1262"/>
      <c r="AP254" s="1262"/>
      <c r="AQ254" s="2757"/>
      <c r="AR254" s="2757"/>
      <c r="AS254" s="2757"/>
      <c r="AT254" s="2757"/>
    </row>
    <row r="255" spans="1:46" ht="6" customHeight="1">
      <c r="A255" s="2757"/>
      <c r="B255" s="1262"/>
      <c r="C255" s="1262"/>
      <c r="D255" s="1262"/>
      <c r="E255" s="1262"/>
      <c r="F255" s="1262"/>
      <c r="G255" s="1570"/>
      <c r="H255" s="1570"/>
      <c r="I255" s="1570"/>
      <c r="J255" s="1570"/>
      <c r="K255" s="1570"/>
      <c r="L255" s="1570"/>
      <c r="M255" s="1570"/>
      <c r="N255" s="1570"/>
      <c r="O255" s="1570"/>
      <c r="P255" s="1570"/>
      <c r="Q255" s="1570"/>
      <c r="R255" s="1570"/>
      <c r="S255" s="1570"/>
      <c r="T255" s="1570"/>
      <c r="U255" s="1570"/>
      <c r="V255" s="1570"/>
      <c r="W255" s="1570"/>
      <c r="X255" s="1570"/>
      <c r="Y255" s="1570"/>
      <c r="Z255" s="1570"/>
      <c r="AA255" s="1570"/>
      <c r="AB255" s="1570"/>
      <c r="AC255" s="1570"/>
      <c r="AD255" s="1570"/>
      <c r="AE255" s="1570"/>
      <c r="AF255" s="1570"/>
      <c r="AG255" s="1570"/>
      <c r="AH255" s="1570"/>
      <c r="AI255" s="1570"/>
      <c r="AJ255" s="1262"/>
      <c r="AK255" s="1262"/>
      <c r="AL255" s="1262"/>
      <c r="AM255" s="1262"/>
      <c r="AN255" s="1262"/>
      <c r="AO255" s="1262"/>
      <c r="AP255" s="1262"/>
      <c r="AQ255" s="2757"/>
      <c r="AR255" s="2757"/>
      <c r="AS255" s="2757"/>
      <c r="AT255" s="2757"/>
    </row>
    <row r="256" spans="1:46" ht="6" customHeight="1">
      <c r="A256" s="2757"/>
      <c r="B256" s="1262"/>
      <c r="C256" s="1262"/>
      <c r="D256" s="1262"/>
      <c r="E256" s="1262"/>
      <c r="F256" s="1262"/>
      <c r="G256" s="1262"/>
      <c r="H256" s="1262"/>
      <c r="I256" s="1262"/>
      <c r="J256" s="1262"/>
      <c r="K256" s="1262"/>
      <c r="L256" s="1262"/>
      <c r="M256" s="1262"/>
      <c r="N256" s="1262"/>
      <c r="O256" s="1262"/>
      <c r="P256" s="1262"/>
      <c r="Q256" s="1262"/>
      <c r="R256" s="1262"/>
      <c r="S256" s="1262"/>
      <c r="T256" s="1262"/>
      <c r="U256" s="1262"/>
      <c r="V256" s="1262"/>
      <c r="W256" s="1262"/>
      <c r="X256" s="1262"/>
      <c r="Y256" s="1262"/>
      <c r="Z256" s="1262"/>
      <c r="AA256" s="1262"/>
      <c r="AB256" s="1262"/>
      <c r="AC256" s="1262"/>
      <c r="AD256" s="1262"/>
      <c r="AE256" s="1262"/>
      <c r="AF256" s="1262"/>
      <c r="AG256" s="1262"/>
      <c r="AH256" s="1262"/>
      <c r="AI256" s="1262"/>
      <c r="AJ256" s="1262"/>
      <c r="AK256" s="1262"/>
      <c r="AL256" s="1262"/>
      <c r="AM256" s="1262"/>
      <c r="AN256" s="1262"/>
      <c r="AO256" s="1262"/>
      <c r="AP256" s="1262"/>
      <c r="AQ256" s="2757"/>
      <c r="AR256" s="2757"/>
      <c r="AS256" s="2757"/>
      <c r="AT256" s="2757"/>
    </row>
    <row r="257" spans="1:46" ht="20.25" customHeight="1">
      <c r="A257" s="2757"/>
      <c r="B257" s="1262"/>
      <c r="C257" s="1262"/>
      <c r="D257" s="1262"/>
      <c r="E257" s="1262"/>
      <c r="F257" s="5368" t="s">
        <v>31</v>
      </c>
      <c r="G257" s="1262" t="str">
        <f>"Multiply the amount on line 4 by "&amp;TEXT(AA257,"0%")&amp;" ("&amp;TEXT(AA257,"0.00")&amp;") and enter the result."</f>
        <v>Multiply the amount on line 4 by 15% (0.15) and enter the result.</v>
      </c>
      <c r="H257" s="1262"/>
      <c r="I257" s="1262"/>
      <c r="J257" s="1262"/>
      <c r="K257" s="1262"/>
      <c r="L257" s="1262"/>
      <c r="M257" s="1262"/>
      <c r="N257" s="1262"/>
      <c r="O257" s="1262"/>
      <c r="P257" s="1262"/>
      <c r="Q257" s="1262"/>
      <c r="R257" s="1262"/>
      <c r="S257" s="1262"/>
      <c r="T257" s="1262"/>
      <c r="U257" s="1262"/>
      <c r="V257" s="1262"/>
      <c r="W257" s="1262"/>
      <c r="X257" s="1262"/>
      <c r="Y257" s="1262"/>
      <c r="Z257" s="1262"/>
      <c r="AA257" s="9226">
        <v>0.15</v>
      </c>
      <c r="AB257" s="9226"/>
      <c r="AC257" s="1262"/>
      <c r="AD257" s="1262"/>
      <c r="AE257" s="1262"/>
      <c r="AF257" s="1262"/>
      <c r="AG257" s="1262"/>
      <c r="AH257" s="1262"/>
      <c r="AI257" s="5517"/>
      <c r="AJ257" s="5555" t="s">
        <v>200</v>
      </c>
      <c r="AK257" s="9220" t="str">
        <f>IF(AND(C203,G253&lt;&gt;""),ROUND(AA257*AE248,0),"")</f>
        <v/>
      </c>
      <c r="AL257" s="9220"/>
      <c r="AM257" s="9220"/>
      <c r="AN257" s="9220"/>
      <c r="AO257" s="9220"/>
      <c r="AP257" s="1262"/>
      <c r="AQ257" s="2757"/>
      <c r="AR257" s="2757"/>
      <c r="AS257" s="2757"/>
      <c r="AT257" s="2757"/>
    </row>
    <row r="258" spans="1:46" ht="6" customHeight="1">
      <c r="A258" s="2757"/>
      <c r="B258" s="1262"/>
      <c r="C258" s="1262"/>
      <c r="D258" s="1262"/>
      <c r="E258" s="1262"/>
      <c r="F258" s="1262"/>
      <c r="G258" s="1570"/>
      <c r="H258" s="1570"/>
      <c r="I258" s="1570"/>
      <c r="J258" s="1570"/>
      <c r="K258" s="1570"/>
      <c r="L258" s="1570"/>
      <c r="M258" s="1570"/>
      <c r="N258" s="1570"/>
      <c r="O258" s="1570"/>
      <c r="P258" s="1570"/>
      <c r="Q258" s="1570"/>
      <c r="R258" s="1570"/>
      <c r="S258" s="1570"/>
      <c r="T258" s="1570"/>
      <c r="U258" s="1570"/>
      <c r="V258" s="1570"/>
      <c r="W258" s="1570"/>
      <c r="X258" s="1570"/>
      <c r="Y258" s="1570"/>
      <c r="Z258" s="1570"/>
      <c r="AA258" s="1570"/>
      <c r="AB258" s="1570"/>
      <c r="AC258" s="1570"/>
      <c r="AD258" s="1570"/>
      <c r="AE258" s="1570"/>
      <c r="AF258" s="1570"/>
      <c r="AG258" s="1570"/>
      <c r="AH258" s="1570"/>
      <c r="AI258" s="1570"/>
      <c r="AJ258" s="1262"/>
      <c r="AK258" s="1262"/>
      <c r="AL258" s="1262"/>
      <c r="AM258" s="1262"/>
      <c r="AN258" s="1262"/>
      <c r="AO258" s="1262"/>
      <c r="AP258" s="1262"/>
      <c r="AQ258" s="2757"/>
      <c r="AR258" s="2757"/>
      <c r="AS258" s="2757"/>
      <c r="AT258" s="2757"/>
    </row>
    <row r="259" spans="1:46" ht="6" customHeight="1">
      <c r="A259" s="2757"/>
      <c r="B259" s="1262"/>
      <c r="C259" s="1262"/>
      <c r="D259" s="1262"/>
      <c r="E259" s="1262"/>
      <c r="F259" s="1262"/>
      <c r="G259" s="1262"/>
      <c r="H259" s="1262"/>
      <c r="I259" s="1262"/>
      <c r="J259" s="1262"/>
      <c r="K259" s="1262"/>
      <c r="L259" s="1262"/>
      <c r="M259" s="1262"/>
      <c r="N259" s="1262"/>
      <c r="O259" s="1262"/>
      <c r="P259" s="1262"/>
      <c r="Q259" s="1262"/>
      <c r="R259" s="1262"/>
      <c r="S259" s="1262"/>
      <c r="T259" s="1262"/>
      <c r="U259" s="1262"/>
      <c r="V259" s="1262"/>
      <c r="W259" s="1262"/>
      <c r="X259" s="1262"/>
      <c r="Y259" s="1262"/>
      <c r="Z259" s="1262"/>
      <c r="AA259" s="1262"/>
      <c r="AB259" s="1262"/>
      <c r="AC259" s="1262"/>
      <c r="AD259" s="1262"/>
      <c r="AE259" s="1262"/>
      <c r="AF259" s="1262"/>
      <c r="AG259" s="1262"/>
      <c r="AH259" s="1262"/>
      <c r="AI259" s="1262"/>
      <c r="AJ259" s="1262"/>
      <c r="AK259" s="1262"/>
      <c r="AL259" s="1262"/>
      <c r="AM259" s="1262"/>
      <c r="AN259" s="1262"/>
      <c r="AO259" s="1262"/>
      <c r="AP259" s="1262"/>
      <c r="AQ259" s="2757"/>
      <c r="AR259" s="2757"/>
      <c r="AS259" s="2757"/>
      <c r="AT259" s="2757"/>
    </row>
    <row r="260" spans="1:46" ht="12" customHeight="1">
      <c r="A260" s="2757"/>
      <c r="B260" s="1262"/>
      <c r="C260" s="1262"/>
      <c r="D260" s="1262"/>
      <c r="E260" s="1262"/>
      <c r="F260" s="5368" t="s">
        <v>67</v>
      </c>
      <c r="G260" s="1262" t="str">
        <f>"On line 2 of this worksheet, is the amount "&amp;TEXT(AA260,"$0,000")&amp;" or more?"</f>
        <v>On line 2 of this worksheet, is the amount $4,200 or more?</v>
      </c>
      <c r="H260" s="1262"/>
      <c r="I260" s="1262"/>
      <c r="J260" s="1262"/>
      <c r="K260" s="1262"/>
      <c r="L260" s="1262"/>
      <c r="M260" s="1262"/>
      <c r="N260" s="1262"/>
      <c r="O260" s="1262"/>
      <c r="P260" s="1262"/>
      <c r="Q260" s="1262"/>
      <c r="R260" s="1262"/>
      <c r="S260" s="1262"/>
      <c r="T260" s="1262"/>
      <c r="U260" s="1262"/>
      <c r="V260" s="1262"/>
      <c r="W260" s="1262"/>
      <c r="X260" s="1262"/>
      <c r="Y260" s="1262"/>
      <c r="Z260" s="1262"/>
      <c r="AA260" s="9226">
        <v>4200</v>
      </c>
      <c r="AB260" s="9226"/>
      <c r="AC260" s="1262"/>
      <c r="AD260" s="1262"/>
      <c r="AE260" s="1262"/>
      <c r="AF260" s="1262"/>
      <c r="AG260" s="1262"/>
      <c r="AH260" s="1262"/>
      <c r="AI260" s="1262"/>
      <c r="AJ260" s="1262"/>
      <c r="AK260" s="1262"/>
      <c r="AL260" s="1262"/>
      <c r="AM260" s="1262"/>
      <c r="AN260" s="1262"/>
      <c r="AO260" s="1262"/>
      <c r="AP260" s="1262"/>
      <c r="AQ260" s="2757"/>
      <c r="AR260" s="2757"/>
      <c r="AS260" s="2757"/>
      <c r="AT260" s="2757"/>
    </row>
    <row r="261" spans="1:46" ht="12" customHeight="1" thickBot="1">
      <c r="A261" s="2757"/>
      <c r="B261" s="1262"/>
      <c r="C261" s="1262"/>
      <c r="D261" s="1262"/>
      <c r="E261" s="1262"/>
      <c r="F261" s="1262"/>
      <c r="G261" s="1262"/>
      <c r="H261" s="1262"/>
      <c r="I261" s="1262"/>
      <c r="J261" s="1262"/>
      <c r="K261" s="1262"/>
      <c r="L261" s="1262"/>
      <c r="M261" s="1262"/>
      <c r="N261" s="1262"/>
      <c r="O261" s="1262"/>
      <c r="P261" s="1262"/>
      <c r="Q261" s="1262"/>
      <c r="R261" s="1262"/>
      <c r="S261" s="1262"/>
      <c r="T261" s="1262"/>
      <c r="U261" s="1262"/>
      <c r="V261" s="1262"/>
      <c r="W261" s="1262"/>
      <c r="X261" s="1262"/>
      <c r="Y261" s="1262"/>
      <c r="Z261" s="1262"/>
      <c r="AA261" s="1262"/>
      <c r="AB261" s="1262"/>
      <c r="AC261" s="1262"/>
      <c r="AD261" s="1262"/>
      <c r="AE261" s="1262"/>
      <c r="AF261" s="1262"/>
      <c r="AG261" s="1262"/>
      <c r="AH261" s="1262"/>
      <c r="AI261" s="1262"/>
      <c r="AJ261" s="1262"/>
      <c r="AK261" s="1262"/>
      <c r="AL261" s="1262"/>
      <c r="AM261" s="1262"/>
      <c r="AN261" s="1262"/>
      <c r="AO261" s="1262"/>
      <c r="AP261" s="1262"/>
      <c r="AQ261" s="2757"/>
      <c r="AR261" s="2757"/>
      <c r="AS261" s="2757"/>
      <c r="AT261" s="2757"/>
    </row>
    <row r="262" spans="1:46" ht="13.5" thickBot="1">
      <c r="A262" s="2757"/>
      <c r="B262" s="1262"/>
      <c r="C262" s="9226" t="b">
        <f>(G262&lt;&gt;"")</f>
        <v>0</v>
      </c>
      <c r="D262" s="9226"/>
      <c r="E262" s="9226"/>
      <c r="F262" s="5368"/>
      <c r="G262" s="5584" t="str">
        <f>IF(NOT(C203),"",IF(AK237&gt;=AA260,"","X"))</f>
        <v/>
      </c>
      <c r="H262" s="1262"/>
      <c r="I262" s="2808" t="s">
        <v>414</v>
      </c>
      <c r="J262" s="1262"/>
      <c r="K262" s="1262"/>
      <c r="L262" s="1262"/>
      <c r="M262" s="1262"/>
      <c r="N262" s="1262"/>
      <c r="O262" s="1262"/>
      <c r="P262" s="1262"/>
      <c r="Q262" s="1262"/>
      <c r="R262" s="1262"/>
      <c r="S262" s="1262"/>
      <c r="T262" s="1262"/>
      <c r="U262" s="1262"/>
      <c r="V262" s="1262"/>
      <c r="W262" s="1262"/>
      <c r="X262" s="1262"/>
      <c r="Y262" s="1262"/>
      <c r="Z262" s="1262"/>
      <c r="AA262" s="1262"/>
      <c r="AB262" s="1262"/>
      <c r="AC262" s="1262"/>
      <c r="AD262" s="1262"/>
      <c r="AE262" s="1262"/>
      <c r="AF262" s="1262"/>
      <c r="AG262" s="1262"/>
      <c r="AH262" s="1262"/>
      <c r="AI262" s="1262"/>
      <c r="AJ262" s="1262"/>
      <c r="AK262" s="1262"/>
      <c r="AL262" s="1262"/>
      <c r="AM262" s="1262"/>
      <c r="AN262" s="1262"/>
      <c r="AO262" s="1262"/>
      <c r="AP262" s="1262"/>
      <c r="AQ262" s="2757"/>
      <c r="AR262" s="2757"/>
      <c r="AS262" s="2757"/>
      <c r="AT262" s="2757"/>
    </row>
    <row r="263" spans="1:46" ht="12" customHeight="1">
      <c r="A263" s="2757"/>
      <c r="B263" s="1262"/>
      <c r="C263" s="9226" t="b">
        <f>AND(C262,OR(AK237=0,AK257=0))</f>
        <v>0</v>
      </c>
      <c r="D263" s="9226"/>
      <c r="E263" s="9226"/>
      <c r="F263" s="1262"/>
      <c r="G263" s="1262"/>
      <c r="H263" s="1262"/>
      <c r="I263" s="5041" t="s">
        <v>593</v>
      </c>
      <c r="J263" s="1262" t="s">
        <v>5288</v>
      </c>
      <c r="K263" s="1262"/>
      <c r="L263" s="1262"/>
      <c r="M263" s="1262"/>
      <c r="N263" s="1262"/>
      <c r="O263" s="1262"/>
      <c r="P263" s="1262"/>
      <c r="Q263" s="1262"/>
      <c r="R263" s="1262"/>
      <c r="S263" s="1262"/>
      <c r="T263" s="1262"/>
      <c r="U263" s="1262"/>
      <c r="V263" s="1262"/>
      <c r="W263" s="1262"/>
      <c r="X263" s="1262"/>
      <c r="Y263" s="1262"/>
      <c r="Z263" s="1262"/>
      <c r="AA263" s="1262"/>
      <c r="AB263" s="1262"/>
      <c r="AC263" s="1262"/>
      <c r="AD263" s="1262"/>
      <c r="AE263" s="1262"/>
      <c r="AF263" s="1262"/>
      <c r="AG263" s="1262"/>
      <c r="AH263" s="1262"/>
      <c r="AI263" s="1262"/>
      <c r="AJ263" s="1262"/>
      <c r="AK263" s="1262"/>
      <c r="AL263" s="1262"/>
      <c r="AM263" s="1262"/>
      <c r="AN263" s="1262"/>
      <c r="AO263" s="1262"/>
      <c r="AP263" s="1262"/>
      <c r="AQ263" s="2757"/>
      <c r="AR263" s="2757"/>
      <c r="AS263" s="2757"/>
      <c r="AT263" s="2757"/>
    </row>
    <row r="264" spans="1:46" ht="12" customHeight="1">
      <c r="A264" s="2757"/>
      <c r="B264" s="1262"/>
      <c r="C264" s="5585"/>
      <c r="D264" s="5585"/>
      <c r="E264" s="5585"/>
      <c r="F264" s="1262"/>
      <c r="G264" s="1262"/>
      <c r="H264" s="1262"/>
      <c r="I264" s="1262" t="s">
        <v>5289</v>
      </c>
      <c r="J264" s="1262"/>
      <c r="K264" s="1262"/>
      <c r="L264" s="1262"/>
      <c r="M264" s="1262"/>
      <c r="N264" s="1262"/>
      <c r="O264" s="1262"/>
      <c r="P264" s="1262"/>
      <c r="Q264" s="1262"/>
      <c r="R264" s="1262"/>
      <c r="S264" s="1262"/>
      <c r="T264" s="1262"/>
      <c r="U264" s="1262"/>
      <c r="V264" s="1262"/>
      <c r="W264" s="1262"/>
      <c r="X264" s="1262"/>
      <c r="Y264" s="1262"/>
      <c r="Z264" s="1262"/>
      <c r="AA264" s="1262"/>
      <c r="AB264" s="1262"/>
      <c r="AC264" s="1262"/>
      <c r="AD264" s="1262"/>
      <c r="AE264" s="1262"/>
      <c r="AF264" s="1262"/>
      <c r="AG264" s="1262"/>
      <c r="AH264" s="1262"/>
      <c r="AI264" s="1262"/>
      <c r="AJ264" s="1262"/>
      <c r="AK264" s="1262"/>
      <c r="AL264" s="1262"/>
      <c r="AM264" s="1262"/>
      <c r="AN264" s="1262"/>
      <c r="AO264" s="1262"/>
      <c r="AP264" s="1262"/>
      <c r="AQ264" s="2757"/>
      <c r="AR264" s="2757"/>
      <c r="AS264" s="2757"/>
      <c r="AT264" s="2757"/>
    </row>
    <row r="265" spans="1:46">
      <c r="A265" s="2757"/>
      <c r="B265" s="1262"/>
      <c r="C265" s="5585"/>
      <c r="D265" s="5585"/>
      <c r="E265" s="5585"/>
      <c r="F265" s="5368"/>
      <c r="G265" s="1262"/>
      <c r="H265" s="1262"/>
      <c r="I265" s="1262" t="s">
        <v>5219</v>
      </c>
      <c r="J265" s="1262"/>
      <c r="K265" s="1262"/>
      <c r="L265" s="1262"/>
      <c r="M265" s="1262"/>
      <c r="N265" s="1262"/>
      <c r="O265" s="1262"/>
      <c r="P265" s="1262"/>
      <c r="Q265" s="1262"/>
      <c r="R265" s="1262"/>
      <c r="S265" s="1262"/>
      <c r="T265" s="1262"/>
      <c r="U265" s="1262"/>
      <c r="V265" s="1262"/>
      <c r="W265" s="1262"/>
      <c r="X265" s="1262"/>
      <c r="Y265" s="1262"/>
      <c r="Z265" s="1262"/>
      <c r="AA265" s="1262"/>
      <c r="AB265" s="1262"/>
      <c r="AC265" s="1262"/>
      <c r="AD265" s="1262"/>
      <c r="AE265" s="1262"/>
      <c r="AF265" s="1262"/>
      <c r="AG265" s="1262"/>
      <c r="AH265" s="1262"/>
      <c r="AI265" s="1262"/>
      <c r="AJ265" s="1262"/>
      <c r="AK265" s="1262"/>
      <c r="AL265" s="1262"/>
      <c r="AM265" s="1262"/>
      <c r="AN265" s="1262"/>
      <c r="AO265" s="1262"/>
      <c r="AP265" s="1262"/>
      <c r="AQ265" s="2757"/>
      <c r="AR265" s="2757"/>
      <c r="AS265" s="2757"/>
      <c r="AT265" s="2757"/>
    </row>
    <row r="266" spans="1:46" ht="12" customHeight="1">
      <c r="A266" s="2757"/>
      <c r="B266" s="1262"/>
      <c r="C266" s="5585"/>
      <c r="D266" s="5585"/>
      <c r="E266" s="5585"/>
      <c r="F266" s="1262"/>
      <c r="G266" s="1262"/>
      <c r="H266" s="1262"/>
      <c r="I266" s="1262" t="s">
        <v>5220</v>
      </c>
      <c r="J266" s="1262"/>
      <c r="K266" s="1262"/>
      <c r="L266" s="1262"/>
      <c r="M266" s="1262"/>
      <c r="N266" s="1262"/>
      <c r="O266" s="1262"/>
      <c r="P266" s="1262"/>
      <c r="Q266" s="1262"/>
      <c r="R266" s="1262"/>
      <c r="S266" s="1262"/>
      <c r="T266" s="1262"/>
      <c r="U266" s="1262"/>
      <c r="V266" s="1262"/>
      <c r="W266" s="1262"/>
      <c r="X266" s="1262"/>
      <c r="Y266" s="1262"/>
      <c r="Z266" s="1262"/>
      <c r="AA266" s="1262"/>
      <c r="AB266" s="1262"/>
      <c r="AC266" s="1262"/>
      <c r="AD266" s="1262"/>
      <c r="AE266" s="1262"/>
      <c r="AF266" s="1262"/>
      <c r="AG266" s="1262"/>
      <c r="AH266" s="1262"/>
      <c r="AI266" s="1262"/>
      <c r="AJ266" s="1262"/>
      <c r="AK266" s="1262"/>
      <c r="AL266" s="1262"/>
      <c r="AM266" s="1262"/>
      <c r="AN266" s="1262"/>
      <c r="AO266" s="1262"/>
      <c r="AP266" s="1262"/>
      <c r="AQ266" s="2757"/>
      <c r="AR266" s="2757"/>
      <c r="AS266" s="2757"/>
      <c r="AT266" s="2757"/>
    </row>
    <row r="267" spans="1:46" ht="12" customHeight="1">
      <c r="A267" s="2757"/>
      <c r="B267" s="1262"/>
      <c r="C267" s="9226" t="b">
        <f>AND(C262,AK237&gt;0,AK257&gt;0)</f>
        <v>0</v>
      </c>
      <c r="D267" s="9226"/>
      <c r="E267" s="9226"/>
      <c r="F267" s="1262"/>
      <c r="G267" s="1262"/>
      <c r="H267" s="1262"/>
      <c r="I267" s="5041" t="s">
        <v>593</v>
      </c>
      <c r="J267" s="1262" t="s">
        <v>5221</v>
      </c>
      <c r="K267" s="1262"/>
      <c r="L267" s="1262"/>
      <c r="M267" s="1262"/>
      <c r="N267" s="1262"/>
      <c r="O267" s="1262"/>
      <c r="P267" s="1262"/>
      <c r="Q267" s="1262"/>
      <c r="R267" s="1262"/>
      <c r="S267" s="1262"/>
      <c r="T267" s="1262"/>
      <c r="U267" s="1262"/>
      <c r="V267" s="1262"/>
      <c r="W267" s="1262"/>
      <c r="X267" s="1262"/>
      <c r="Y267" s="1262"/>
      <c r="Z267" s="1262"/>
      <c r="AA267" s="1262"/>
      <c r="AB267" s="1262"/>
      <c r="AC267" s="1262"/>
      <c r="AD267" s="1262"/>
      <c r="AE267" s="1262"/>
      <c r="AF267" s="1262"/>
      <c r="AG267" s="1262"/>
      <c r="AH267" s="1262"/>
      <c r="AI267" s="1262"/>
      <c r="AJ267" s="1262"/>
      <c r="AK267" s="1262"/>
      <c r="AL267" s="1262"/>
      <c r="AM267" s="1262"/>
      <c r="AN267" s="1262"/>
      <c r="AO267" s="1262"/>
      <c r="AP267" s="1262"/>
      <c r="AQ267" s="2757"/>
      <c r="AR267" s="2757"/>
      <c r="AS267" s="2757"/>
      <c r="AT267" s="2757"/>
    </row>
    <row r="268" spans="1:46" ht="13.5" thickBot="1">
      <c r="A268" s="2757"/>
      <c r="B268" s="1262"/>
      <c r="C268" s="5585"/>
      <c r="D268" s="5585"/>
      <c r="E268" s="5585"/>
      <c r="F268" s="5368"/>
      <c r="G268" s="1262"/>
      <c r="H268" s="1262"/>
      <c r="I268" s="1262" t="s">
        <v>3074</v>
      </c>
      <c r="J268" s="1262"/>
      <c r="K268" s="1262"/>
      <c r="L268" s="1262"/>
      <c r="M268" s="1262"/>
      <c r="N268" s="1262"/>
      <c r="O268" s="1262"/>
      <c r="P268" s="1262"/>
      <c r="Q268" s="1262"/>
      <c r="R268" s="1262"/>
      <c r="S268" s="1262"/>
      <c r="T268" s="1262"/>
      <c r="U268" s="1262"/>
      <c r="V268" s="1262"/>
      <c r="W268" s="1262"/>
      <c r="X268" s="1262"/>
      <c r="Y268" s="1262"/>
      <c r="Z268" s="1262"/>
      <c r="AA268" s="1262"/>
      <c r="AB268" s="1262"/>
      <c r="AC268" s="1262"/>
      <c r="AD268" s="1262"/>
      <c r="AE268" s="1262"/>
      <c r="AF268" s="1262"/>
      <c r="AG268" s="1262"/>
      <c r="AH268" s="1262"/>
      <c r="AI268" s="1262"/>
      <c r="AJ268" s="1262"/>
      <c r="AK268" s="1262"/>
      <c r="AL268" s="1262"/>
      <c r="AM268" s="1262"/>
      <c r="AN268" s="1262"/>
      <c r="AO268" s="1262"/>
      <c r="AP268" s="1262"/>
      <c r="AQ268" s="2757"/>
      <c r="AR268" s="2757"/>
      <c r="AS268" s="2757"/>
      <c r="AT268" s="2757"/>
    </row>
    <row r="269" spans="1:46" ht="13.5" thickBot="1">
      <c r="A269" s="2757"/>
      <c r="B269" s="1262"/>
      <c r="C269" s="9226" t="b">
        <f>(G269&lt;&gt;"")</f>
        <v>0</v>
      </c>
      <c r="D269" s="9226"/>
      <c r="E269" s="9226"/>
      <c r="F269" s="5368"/>
      <c r="G269" s="5584" t="str">
        <f>IF(NOT(C203),"",IF(AK237&gt;=AA260,"X",""))</f>
        <v/>
      </c>
      <c r="H269" s="1262"/>
      <c r="I269" s="2808" t="s">
        <v>416</v>
      </c>
      <c r="J269" s="1262"/>
      <c r="K269" s="1262" t="s">
        <v>3075</v>
      </c>
      <c r="L269" s="1262"/>
      <c r="M269" s="1262"/>
      <c r="N269" s="1262"/>
      <c r="O269" s="1262"/>
      <c r="P269" s="1262"/>
      <c r="Q269" s="1262"/>
      <c r="R269" s="1262"/>
      <c r="S269" s="1262"/>
      <c r="T269" s="1262"/>
      <c r="U269" s="1262"/>
      <c r="V269" s="1262"/>
      <c r="W269" s="1262"/>
      <c r="X269" s="1262"/>
      <c r="Y269" s="1262"/>
      <c r="Z269" s="1262"/>
      <c r="AA269" s="1262"/>
      <c r="AB269" s="1262"/>
      <c r="AC269" s="1262"/>
      <c r="AD269" s="1262"/>
      <c r="AE269" s="1262"/>
      <c r="AF269" s="1262"/>
      <c r="AG269" s="1262"/>
      <c r="AH269" s="1262"/>
      <c r="AI269" s="1262"/>
      <c r="AJ269" s="1262"/>
      <c r="AK269" s="1262"/>
      <c r="AL269" s="1262"/>
      <c r="AM269" s="1262"/>
      <c r="AN269" s="1262"/>
      <c r="AO269" s="1262"/>
      <c r="AP269" s="1262"/>
      <c r="AQ269" s="2757"/>
      <c r="AR269" s="2757"/>
      <c r="AS269" s="2757"/>
      <c r="AT269" s="2757"/>
    </row>
    <row r="270" spans="1:46" ht="12" customHeight="1">
      <c r="A270" s="2757"/>
      <c r="B270" s="1262"/>
      <c r="C270" s="9226" t="b">
        <f>AND(C269,AK257&gt;=AK235)</f>
        <v>0</v>
      </c>
      <c r="D270" s="9226"/>
      <c r="E270" s="9226"/>
      <c r="F270" s="1262"/>
      <c r="G270" s="1262"/>
      <c r="H270" s="1262"/>
      <c r="I270" s="1262"/>
      <c r="J270" s="1262" t="s">
        <v>5222</v>
      </c>
      <c r="K270" s="1262"/>
      <c r="L270" s="1262"/>
      <c r="M270" s="1262"/>
      <c r="N270" s="1262"/>
      <c r="O270" s="1262"/>
      <c r="P270" s="1262"/>
      <c r="Q270" s="1262"/>
      <c r="R270" s="1262"/>
      <c r="S270" s="1262"/>
      <c r="T270" s="1262"/>
      <c r="U270" s="1262"/>
      <c r="V270" s="1262"/>
      <c r="W270" s="1262"/>
      <c r="X270" s="1262"/>
      <c r="Y270" s="1262"/>
      <c r="Z270" s="1262"/>
      <c r="AA270" s="1262"/>
      <c r="AB270" s="1262"/>
      <c r="AC270" s="1262"/>
      <c r="AD270" s="1262"/>
      <c r="AE270" s="1262"/>
      <c r="AF270" s="1262"/>
      <c r="AG270" s="1262"/>
      <c r="AH270" s="1262"/>
      <c r="AI270" s="1262"/>
      <c r="AJ270" s="1262"/>
      <c r="AK270" s="1262"/>
      <c r="AL270" s="1262"/>
      <c r="AM270" s="1262"/>
      <c r="AN270" s="1262"/>
      <c r="AO270" s="1262"/>
      <c r="AP270" s="1262"/>
      <c r="AQ270" s="2757"/>
      <c r="AR270" s="2757"/>
      <c r="AS270" s="5931" t="s">
        <v>91</v>
      </c>
      <c r="AT270" s="2757"/>
    </row>
    <row r="271" spans="1:46" ht="6" customHeight="1">
      <c r="A271" s="2757"/>
      <c r="B271" s="1262"/>
      <c r="C271" s="1262"/>
      <c r="D271" s="1262"/>
      <c r="E271" s="1262"/>
      <c r="F271" s="1262"/>
      <c r="G271" s="1570"/>
      <c r="H271" s="1570"/>
      <c r="I271" s="1570"/>
      <c r="J271" s="1570"/>
      <c r="K271" s="1570"/>
      <c r="L271" s="1570"/>
      <c r="M271" s="1570"/>
      <c r="N271" s="1570"/>
      <c r="O271" s="1570"/>
      <c r="P271" s="1570"/>
      <c r="Q271" s="1570"/>
      <c r="R271" s="1570"/>
      <c r="S271" s="1570"/>
      <c r="T271" s="1570"/>
      <c r="U271" s="1570"/>
      <c r="V271" s="1570"/>
      <c r="W271" s="1570"/>
      <c r="X271" s="1570"/>
      <c r="Y271" s="1570"/>
      <c r="Z271" s="1570"/>
      <c r="AA271" s="1570"/>
      <c r="AB271" s="1570"/>
      <c r="AC271" s="1570"/>
      <c r="AD271" s="1570"/>
      <c r="AE271" s="1570"/>
      <c r="AF271" s="1570"/>
      <c r="AG271" s="1570"/>
      <c r="AH271" s="1570"/>
      <c r="AI271" s="1570"/>
      <c r="AJ271" s="1262"/>
      <c r="AK271" s="1262"/>
      <c r="AL271" s="1262"/>
      <c r="AM271" s="1262"/>
      <c r="AN271" s="1262"/>
      <c r="AO271" s="1262"/>
      <c r="AP271" s="1262"/>
      <c r="AQ271" s="2757"/>
      <c r="AR271" s="2757"/>
      <c r="AS271" s="2757"/>
      <c r="AT271" s="2757"/>
    </row>
    <row r="272" spans="1:46" ht="6.75" customHeight="1">
      <c r="A272" s="2757"/>
      <c r="B272" s="1262"/>
      <c r="C272" s="1262"/>
      <c r="D272" s="1262"/>
      <c r="E272" s="1262"/>
      <c r="F272" s="1262"/>
      <c r="G272" s="1262"/>
      <c r="H272" s="1262"/>
      <c r="I272" s="1262"/>
      <c r="J272" s="1262"/>
      <c r="K272" s="1262"/>
      <c r="L272" s="1262"/>
      <c r="M272" s="1262"/>
      <c r="N272" s="1262"/>
      <c r="O272" s="1262"/>
      <c r="P272" s="1262"/>
      <c r="Q272" s="1262"/>
      <c r="R272" s="1262"/>
      <c r="S272" s="1262"/>
      <c r="T272" s="1262"/>
      <c r="U272" s="1262"/>
      <c r="V272" s="1262"/>
      <c r="W272" s="1262"/>
      <c r="X272" s="1262"/>
      <c r="Y272" s="1262"/>
      <c r="Z272" s="1262"/>
      <c r="AA272" s="1262"/>
      <c r="AB272" s="1262"/>
      <c r="AC272" s="1262"/>
      <c r="AD272" s="1262"/>
      <c r="AE272" s="1262"/>
      <c r="AF272" s="1262"/>
      <c r="AG272" s="1262"/>
      <c r="AH272" s="1262"/>
      <c r="AI272" s="1262"/>
      <c r="AJ272" s="1262"/>
      <c r="AK272" s="1262"/>
      <c r="AL272" s="1262"/>
      <c r="AM272" s="1262"/>
      <c r="AN272" s="1262"/>
      <c r="AO272" s="1262"/>
      <c r="AP272" s="1262"/>
      <c r="AQ272" s="2757"/>
      <c r="AR272" s="2757"/>
      <c r="AS272" s="2757"/>
      <c r="AT272" s="2757"/>
    </row>
    <row r="273" spans="1:46" ht="18" customHeight="1">
      <c r="A273" s="2757"/>
      <c r="B273" s="7324" t="s">
        <v>5227</v>
      </c>
      <c r="C273" s="9059"/>
      <c r="D273" s="9059"/>
      <c r="E273" s="9059"/>
      <c r="F273" s="5556" t="s">
        <v>68</v>
      </c>
      <c r="G273" s="2212" t="s">
        <v>812</v>
      </c>
      <c r="H273" s="1262"/>
      <c r="I273" s="1262"/>
      <c r="J273" s="1262"/>
      <c r="K273" s="1262"/>
      <c r="L273" s="1262"/>
      <c r="M273" s="1262"/>
      <c r="N273" s="1262"/>
      <c r="O273" s="1262"/>
      <c r="P273" s="1262"/>
      <c r="Q273" s="1262"/>
      <c r="R273" s="1262"/>
      <c r="S273" s="1262"/>
      <c r="T273" s="1262"/>
      <c r="U273" s="1262"/>
      <c r="V273" s="1262"/>
      <c r="W273" s="1262"/>
      <c r="X273" s="1262"/>
      <c r="Y273" s="1262"/>
      <c r="Z273" s="1262"/>
      <c r="AA273" s="1262"/>
      <c r="AB273" s="1262"/>
      <c r="AC273" s="1262"/>
      <c r="AD273" s="1262"/>
      <c r="AE273" s="1262"/>
      <c r="AF273" s="1262"/>
      <c r="AG273" s="1262"/>
      <c r="AH273" s="1262"/>
      <c r="AI273" s="1262"/>
      <c r="AJ273" s="1262"/>
      <c r="AK273" s="1262"/>
      <c r="AL273" s="1262"/>
      <c r="AM273" s="1262"/>
      <c r="AN273" s="1262"/>
      <c r="AO273" s="1262"/>
      <c r="AP273" s="1262"/>
      <c r="AQ273" s="2757"/>
      <c r="AR273" s="2757"/>
      <c r="AS273" s="2757"/>
      <c r="AT273" s="2757"/>
    </row>
    <row r="274" spans="1:46">
      <c r="A274" s="2757"/>
      <c r="B274" s="9420"/>
      <c r="C274" s="9421"/>
      <c r="D274" s="9421"/>
      <c r="E274" s="9421"/>
      <c r="F274" s="5556"/>
      <c r="G274" s="2212" t="s">
        <v>813</v>
      </c>
      <c r="H274" s="1262"/>
      <c r="I274" s="1262"/>
      <c r="J274" s="1262"/>
      <c r="K274" s="1262"/>
      <c r="L274" s="1262"/>
      <c r="M274" s="1262"/>
      <c r="N274" s="1262"/>
      <c r="O274" s="1262"/>
      <c r="P274" s="1262"/>
      <c r="Q274" s="1262"/>
      <c r="R274" s="1262"/>
      <c r="S274" s="1262"/>
      <c r="T274" s="1262"/>
      <c r="U274" s="1262"/>
      <c r="V274" s="1262"/>
      <c r="W274" s="1262"/>
      <c r="X274" s="1262"/>
      <c r="Y274" s="1262"/>
      <c r="Z274" s="1262"/>
      <c r="AA274" s="1262"/>
      <c r="AB274" s="1262"/>
      <c r="AC274" s="1262"/>
      <c r="AD274" s="5555" t="s">
        <v>102</v>
      </c>
      <c r="AE274" s="9216" t="str">
        <f>IF(OR(NOT(C203),C263,C270),"",ROUND(AS274,0))</f>
        <v/>
      </c>
      <c r="AF274" s="9217"/>
      <c r="AG274" s="9217"/>
      <c r="AH274" s="9217"/>
      <c r="AI274" s="9218"/>
      <c r="AJ274" s="1262"/>
      <c r="AK274" s="1262"/>
      <c r="AL274" s="1262"/>
      <c r="AM274" s="1262"/>
      <c r="AN274" s="1262"/>
      <c r="AO274" s="1262"/>
      <c r="AP274" s="1262"/>
      <c r="AQ274" s="2757"/>
      <c r="AR274" s="2757"/>
      <c r="AS274" s="5582"/>
      <c r="AT274" s="2757"/>
    </row>
    <row r="275" spans="1:46" ht="12" customHeight="1">
      <c r="A275" s="2757"/>
      <c r="B275" s="9420"/>
      <c r="C275" s="9421"/>
      <c r="D275" s="9421"/>
      <c r="E275" s="9421"/>
      <c r="F275" s="1262"/>
      <c r="G275" s="1262" t="s">
        <v>5223</v>
      </c>
      <c r="H275" s="1262"/>
      <c r="I275" s="1262"/>
      <c r="J275" s="1262"/>
      <c r="K275" s="1262"/>
      <c r="L275" s="1262"/>
      <c r="M275" s="1262"/>
      <c r="N275" s="1262"/>
      <c r="O275" s="1262"/>
      <c r="P275" s="1262"/>
      <c r="Q275" s="1262"/>
      <c r="R275" s="1262"/>
      <c r="S275" s="1262"/>
      <c r="T275" s="1262"/>
      <c r="U275" s="1262"/>
      <c r="V275" s="1262"/>
      <c r="W275" s="1262"/>
      <c r="X275" s="1262"/>
      <c r="Y275" s="1262"/>
      <c r="Z275" s="1262"/>
      <c r="AA275" s="1262"/>
      <c r="AB275" s="1262"/>
      <c r="AC275" s="1262"/>
      <c r="AD275" s="1262"/>
      <c r="AE275" s="1262"/>
      <c r="AF275" s="1262"/>
      <c r="AG275" s="1262"/>
      <c r="AH275" s="1262"/>
      <c r="AI275" s="1262"/>
      <c r="AJ275" s="1262"/>
      <c r="AK275" s="1262"/>
      <c r="AL275" s="1262"/>
      <c r="AM275" s="1262"/>
      <c r="AN275" s="1262"/>
      <c r="AO275" s="1262"/>
      <c r="AP275" s="1262"/>
      <c r="AQ275" s="2757"/>
      <c r="AR275" s="2757"/>
      <c r="AS275" s="2757"/>
      <c r="AT275" s="2757"/>
    </row>
    <row r="276" spans="1:46" ht="12" customHeight="1">
      <c r="A276" s="2757"/>
      <c r="B276" s="9420"/>
      <c r="C276" s="9421"/>
      <c r="D276" s="9421"/>
      <c r="E276" s="9421"/>
      <c r="F276" s="1262"/>
      <c r="G276" s="1262" t="s">
        <v>5224</v>
      </c>
      <c r="H276" s="1262"/>
      <c r="I276" s="1262"/>
      <c r="J276" s="1262"/>
      <c r="K276" s="1262"/>
      <c r="L276" s="1262"/>
      <c r="M276" s="1262"/>
      <c r="N276" s="1262"/>
      <c r="O276" s="1262"/>
      <c r="P276" s="1262"/>
      <c r="Q276" s="1262"/>
      <c r="R276" s="1262"/>
      <c r="S276" s="1262"/>
      <c r="T276" s="1262"/>
      <c r="U276" s="1262"/>
      <c r="V276" s="1262"/>
      <c r="W276" s="1262"/>
      <c r="X276" s="1262"/>
      <c r="Y276" s="1262"/>
      <c r="Z276" s="1262"/>
      <c r="AA276" s="1262"/>
      <c r="AB276" s="1262"/>
      <c r="AC276" s="1262"/>
      <c r="AD276" s="1262"/>
      <c r="AE276" s="1262"/>
      <c r="AF276" s="1262"/>
      <c r="AG276" s="1262"/>
      <c r="AH276" s="1262"/>
      <c r="AI276" s="1262"/>
      <c r="AJ276" s="1262"/>
      <c r="AK276" s="1262"/>
      <c r="AL276" s="1262"/>
      <c r="AM276" s="1262"/>
      <c r="AN276" s="1262"/>
      <c r="AO276" s="1262"/>
      <c r="AP276" s="1262"/>
      <c r="AQ276" s="2757"/>
      <c r="AR276" s="2757"/>
      <c r="AS276" s="2757"/>
      <c r="AT276" s="2757"/>
    </row>
    <row r="277" spans="1:46" ht="12" customHeight="1">
      <c r="A277" s="2757"/>
      <c r="B277" s="9420"/>
      <c r="C277" s="9421"/>
      <c r="D277" s="9421"/>
      <c r="E277" s="9421"/>
      <c r="F277" s="1262"/>
      <c r="G277" s="5041" t="s">
        <v>593</v>
      </c>
      <c r="H277" s="1262" t="s">
        <v>5225</v>
      </c>
      <c r="I277" s="1262"/>
      <c r="J277" s="1262"/>
      <c r="K277" s="1262"/>
      <c r="L277" s="1262"/>
      <c r="M277" s="1262"/>
      <c r="N277" s="1262"/>
      <c r="O277" s="1262"/>
      <c r="P277" s="1262"/>
      <c r="Q277" s="1262"/>
      <c r="R277" s="1262"/>
      <c r="S277" s="1262"/>
      <c r="T277" s="1262"/>
      <c r="U277" s="1262"/>
      <c r="V277" s="1262"/>
      <c r="W277" s="1262"/>
      <c r="X277" s="1262"/>
      <c r="Y277" s="1262"/>
      <c r="Z277" s="1262"/>
      <c r="AA277" s="1262"/>
      <c r="AB277" s="1262"/>
      <c r="AC277" s="1262"/>
      <c r="AD277" s="1262"/>
      <c r="AE277" s="1262"/>
      <c r="AF277" s="1262"/>
      <c r="AG277" s="1262"/>
      <c r="AH277" s="1262"/>
      <c r="AI277" s="1262"/>
      <c r="AJ277" s="1262"/>
      <c r="AK277" s="1262"/>
      <c r="AL277" s="1262"/>
      <c r="AM277" s="1262"/>
      <c r="AN277" s="1262"/>
      <c r="AO277" s="1262"/>
      <c r="AP277" s="1262"/>
      <c r="AQ277" s="2757"/>
      <c r="AR277" s="2757"/>
      <c r="AS277" s="2757"/>
      <c r="AT277" s="2757"/>
    </row>
    <row r="278" spans="1:46" ht="12" customHeight="1">
      <c r="A278" s="2757"/>
      <c r="B278" s="9420"/>
      <c r="C278" s="9421"/>
      <c r="D278" s="9421"/>
      <c r="E278" s="9421"/>
      <c r="F278" s="1262"/>
      <c r="G278" s="5041" t="s">
        <v>593</v>
      </c>
      <c r="H278" s="1262" t="s">
        <v>5226</v>
      </c>
      <c r="I278" s="1262"/>
      <c r="J278" s="1262"/>
      <c r="K278" s="1262"/>
      <c r="L278" s="1262"/>
      <c r="M278" s="1262"/>
      <c r="N278" s="1262"/>
      <c r="O278" s="1262"/>
      <c r="P278" s="1262"/>
      <c r="Q278" s="1262"/>
      <c r="R278" s="1262"/>
      <c r="S278" s="1262"/>
      <c r="T278" s="1262"/>
      <c r="U278" s="1262"/>
      <c r="V278" s="1262"/>
      <c r="W278" s="1262"/>
      <c r="X278" s="1262"/>
      <c r="Y278" s="1262"/>
      <c r="Z278" s="1262"/>
      <c r="AA278" s="1262"/>
      <c r="AB278" s="1262"/>
      <c r="AC278" s="1262"/>
      <c r="AD278" s="1262"/>
      <c r="AE278" s="1262"/>
      <c r="AF278" s="1262"/>
      <c r="AG278" s="1262"/>
      <c r="AH278" s="1262"/>
      <c r="AI278" s="1262"/>
      <c r="AJ278" s="1262"/>
      <c r="AK278" s="1262"/>
      <c r="AL278" s="1262"/>
      <c r="AM278" s="1262"/>
      <c r="AN278" s="1262"/>
      <c r="AO278" s="1262"/>
      <c r="AP278" s="1262"/>
      <c r="AQ278" s="2757"/>
      <c r="AR278" s="2757"/>
      <c r="AS278" s="2757"/>
      <c r="AT278" s="2757"/>
    </row>
    <row r="279" spans="1:46" ht="6" customHeight="1">
      <c r="A279" s="2757"/>
      <c r="B279" s="9420"/>
      <c r="C279" s="9421"/>
      <c r="D279" s="9421"/>
      <c r="E279" s="9421"/>
      <c r="F279" s="1262"/>
      <c r="G279" s="1570"/>
      <c r="H279" s="1570"/>
      <c r="I279" s="1570"/>
      <c r="J279" s="1570"/>
      <c r="K279" s="1570"/>
      <c r="L279" s="1570"/>
      <c r="M279" s="1570"/>
      <c r="N279" s="1570"/>
      <c r="O279" s="1570"/>
      <c r="P279" s="1570"/>
      <c r="Q279" s="1570"/>
      <c r="R279" s="1570"/>
      <c r="S279" s="1570"/>
      <c r="T279" s="1570"/>
      <c r="U279" s="1570"/>
      <c r="V279" s="1570"/>
      <c r="W279" s="1570"/>
      <c r="X279" s="1570"/>
      <c r="Y279" s="1570"/>
      <c r="Z279" s="1570"/>
      <c r="AA279" s="1570"/>
      <c r="AB279" s="1570"/>
      <c r="AC279" s="1570"/>
      <c r="AD279" s="1262"/>
      <c r="AE279" s="1262"/>
      <c r="AF279" s="1262"/>
      <c r="AG279" s="1262"/>
      <c r="AH279" s="1262"/>
      <c r="AI279" s="1262"/>
      <c r="AJ279" s="1262"/>
      <c r="AK279" s="1262"/>
      <c r="AL279" s="1262"/>
      <c r="AM279" s="1262"/>
      <c r="AN279" s="1262"/>
      <c r="AO279" s="1262"/>
      <c r="AP279" s="1262"/>
      <c r="AQ279" s="2757"/>
      <c r="AR279" s="2757"/>
      <c r="AS279" s="2757"/>
      <c r="AT279" s="2757"/>
    </row>
    <row r="280" spans="1:46" ht="6" customHeight="1">
      <c r="A280" s="2757"/>
      <c r="B280" s="9420"/>
      <c r="C280" s="9421"/>
      <c r="D280" s="9421"/>
      <c r="E280" s="9421"/>
      <c r="F280" s="1262"/>
      <c r="G280" s="1262"/>
      <c r="H280" s="1262"/>
      <c r="I280" s="1262"/>
      <c r="J280" s="1262"/>
      <c r="K280" s="1262"/>
      <c r="L280" s="1262"/>
      <c r="M280" s="1262"/>
      <c r="N280" s="1262"/>
      <c r="O280" s="1262"/>
      <c r="P280" s="1262"/>
      <c r="Q280" s="1262"/>
      <c r="R280" s="1262"/>
      <c r="S280" s="1262"/>
      <c r="T280" s="1262"/>
      <c r="U280" s="1262"/>
      <c r="V280" s="1262"/>
      <c r="W280" s="1262"/>
      <c r="X280" s="1262"/>
      <c r="Y280" s="1262"/>
      <c r="Z280" s="1262"/>
      <c r="AA280" s="1262"/>
      <c r="AB280" s="1262"/>
      <c r="AC280" s="1262"/>
      <c r="AD280" s="1262"/>
      <c r="AE280" s="1262"/>
      <c r="AF280" s="1262"/>
      <c r="AG280" s="1262"/>
      <c r="AH280" s="1262"/>
      <c r="AI280" s="1262"/>
      <c r="AJ280" s="1262"/>
      <c r="AK280" s="1262"/>
      <c r="AL280" s="1262"/>
      <c r="AM280" s="1262"/>
      <c r="AN280" s="1262"/>
      <c r="AO280" s="1262"/>
      <c r="AP280" s="1262"/>
      <c r="AQ280" s="2757"/>
      <c r="AR280" s="2757"/>
      <c r="AS280" s="2757"/>
      <c r="AT280" s="2757"/>
    </row>
    <row r="281" spans="1:46" ht="6" customHeight="1">
      <c r="A281" s="2757"/>
      <c r="B281" s="7909"/>
      <c r="C281" s="9061"/>
      <c r="D281" s="9061"/>
      <c r="E281" s="9061"/>
      <c r="F281" s="1262"/>
      <c r="G281" s="1262"/>
      <c r="H281" s="1262"/>
      <c r="I281" s="1262"/>
      <c r="J281" s="1262"/>
      <c r="K281" s="1262"/>
      <c r="L281" s="1262"/>
      <c r="M281" s="1262"/>
      <c r="N281" s="1262"/>
      <c r="O281" s="1262"/>
      <c r="P281" s="1262"/>
      <c r="Q281" s="1262"/>
      <c r="R281" s="1262"/>
      <c r="S281" s="1262"/>
      <c r="T281" s="1262"/>
      <c r="U281" s="1262"/>
      <c r="V281" s="1262"/>
      <c r="W281" s="1262"/>
      <c r="X281" s="1262"/>
      <c r="Y281" s="1262"/>
      <c r="Z281" s="1262"/>
      <c r="AA281" s="1262"/>
      <c r="AB281" s="1262"/>
      <c r="AC281" s="1262"/>
      <c r="AD281" s="1262"/>
      <c r="AE281" s="1262"/>
      <c r="AF281" s="1262"/>
      <c r="AG281" s="1262"/>
      <c r="AH281" s="1262"/>
      <c r="AI281" s="1262"/>
      <c r="AJ281" s="1262"/>
      <c r="AK281" s="1262"/>
      <c r="AL281" s="1262"/>
      <c r="AM281" s="1262"/>
      <c r="AN281" s="1262"/>
      <c r="AO281" s="1262"/>
      <c r="AP281" s="1262"/>
      <c r="AQ281" s="2757"/>
      <c r="AR281" s="2757"/>
      <c r="AS281" s="2757"/>
      <c r="AT281" s="2757"/>
    </row>
    <row r="282" spans="1:46" ht="12" customHeight="1">
      <c r="A282" s="2757"/>
      <c r="B282" s="1262"/>
      <c r="C282" s="1262"/>
      <c r="D282" s="1262"/>
      <c r="E282" s="1262"/>
      <c r="F282" s="5556" t="s">
        <v>204</v>
      </c>
      <c r="G282" s="2212" t="s">
        <v>5228</v>
      </c>
      <c r="H282" s="1262"/>
      <c r="I282" s="1262"/>
      <c r="J282" s="1262"/>
      <c r="K282" s="1262"/>
      <c r="L282" s="1262"/>
      <c r="M282" s="1262"/>
      <c r="N282" s="1262"/>
      <c r="O282" s="1262"/>
      <c r="P282" s="1262"/>
      <c r="Q282" s="1262"/>
      <c r="R282" s="1262"/>
      <c r="S282" s="1262"/>
      <c r="T282" s="1262"/>
      <c r="U282" s="1262"/>
      <c r="V282" s="1262"/>
      <c r="W282" s="1262"/>
      <c r="X282" s="1262"/>
      <c r="Y282" s="1262"/>
      <c r="Z282" s="1262"/>
      <c r="AA282" s="1262"/>
      <c r="AB282" s="1262"/>
      <c r="AC282" s="1262"/>
      <c r="AD282" s="1262"/>
      <c r="AE282" s="1262"/>
      <c r="AF282" s="1262"/>
      <c r="AG282" s="1262"/>
      <c r="AH282" s="1262"/>
      <c r="AI282" s="1262"/>
      <c r="AJ282" s="1262"/>
      <c r="AK282" s="1262"/>
      <c r="AL282" s="1262"/>
      <c r="AM282" s="1262"/>
      <c r="AN282" s="1262"/>
      <c r="AO282" s="1262"/>
      <c r="AP282" s="1262"/>
      <c r="AQ282" s="2757"/>
      <c r="AR282" s="2757"/>
      <c r="AS282" s="2757"/>
      <c r="AT282" s="2757"/>
    </row>
    <row r="283" spans="1:46" ht="12" customHeight="1">
      <c r="A283" s="2757"/>
      <c r="B283" s="1262"/>
      <c r="C283" s="1262"/>
      <c r="D283" s="1262"/>
      <c r="E283" s="1262"/>
      <c r="F283" s="1262"/>
      <c r="G283" s="5041" t="s">
        <v>593</v>
      </c>
      <c r="H283" s="1262" t="s">
        <v>5229</v>
      </c>
      <c r="I283" s="1262"/>
      <c r="J283" s="1262"/>
      <c r="K283" s="1262"/>
      <c r="L283" s="1262"/>
      <c r="M283" s="1262"/>
      <c r="N283" s="1262"/>
      <c r="O283" s="1262"/>
      <c r="P283" s="9231" t="str">
        <f>IF(OR(NOT(C203),C263,C270),"",ROUND('Sch. 1'!AC52,0))</f>
        <v/>
      </c>
      <c r="Q283" s="9231"/>
      <c r="R283" s="9231"/>
      <c r="S283" s="9231"/>
      <c r="T283" s="1262"/>
      <c r="U283" s="1262"/>
      <c r="V283" s="1262"/>
      <c r="W283" s="1262"/>
      <c r="X283" s="1262"/>
      <c r="Y283" s="1262"/>
      <c r="Z283" s="1262"/>
      <c r="AA283" s="1262"/>
      <c r="AB283" s="1262"/>
      <c r="AC283" s="1262"/>
      <c r="AD283" s="1262"/>
      <c r="AE283" s="1262"/>
      <c r="AF283" s="1262"/>
      <c r="AG283" s="1262"/>
      <c r="AH283" s="1262"/>
      <c r="AI283" s="1262"/>
      <c r="AJ283" s="1262"/>
      <c r="AK283" s="1262"/>
      <c r="AL283" s="1262"/>
      <c r="AM283" s="1262"/>
      <c r="AN283" s="1262"/>
      <c r="AO283" s="1262"/>
      <c r="AP283" s="1262"/>
      <c r="AQ283" s="2757"/>
      <c r="AR283" s="2757"/>
      <c r="AS283" s="2757"/>
      <c r="AT283" s="2757"/>
    </row>
    <row r="284" spans="1:46" ht="12" customHeight="1">
      <c r="A284" s="2757"/>
      <c r="B284" s="1262"/>
      <c r="C284" s="1262"/>
      <c r="D284" s="1262"/>
      <c r="E284" s="1262"/>
      <c r="F284" s="1262"/>
      <c r="G284" s="5041" t="s">
        <v>593</v>
      </c>
      <c r="H284" s="1262" t="s">
        <v>5230</v>
      </c>
      <c r="I284" s="1262"/>
      <c r="J284" s="1262"/>
      <c r="K284" s="1262"/>
      <c r="L284" s="1262"/>
      <c r="M284" s="1262"/>
      <c r="N284" s="1262"/>
      <c r="O284" s="1262"/>
      <c r="P284" s="9231" t="str">
        <f>IF(OR(NOT(C203),C263,C270),"",ROUND('Sch. 2'!W17,0))</f>
        <v/>
      </c>
      <c r="Q284" s="9231"/>
      <c r="R284" s="9231"/>
      <c r="S284" s="9231"/>
      <c r="T284" s="1262"/>
      <c r="U284" s="1262"/>
      <c r="V284" s="1262"/>
      <c r="W284" s="1262"/>
      <c r="X284" s="1262"/>
      <c r="Y284" s="1262"/>
      <c r="Z284" s="1262"/>
      <c r="AA284" s="1262"/>
      <c r="AB284" s="1262"/>
      <c r="AC284" s="1262"/>
      <c r="AD284" s="5555" t="s">
        <v>103</v>
      </c>
      <c r="AE284" s="9216" t="str">
        <f>IF(OR(NOT(C203),C263,C270),"",SUM(P283:S286))</f>
        <v/>
      </c>
      <c r="AF284" s="9217"/>
      <c r="AG284" s="9217"/>
      <c r="AH284" s="9217"/>
      <c r="AI284" s="9218"/>
      <c r="AJ284" s="1262"/>
      <c r="AK284" s="1262"/>
      <c r="AL284" s="1262"/>
      <c r="AM284" s="1262"/>
      <c r="AN284" s="1262"/>
      <c r="AO284" s="1262"/>
      <c r="AP284" s="1262"/>
      <c r="AQ284" s="2757"/>
      <c r="AR284" s="2757"/>
      <c r="AS284" s="2757"/>
      <c r="AT284" s="2757"/>
    </row>
    <row r="285" spans="1:46" ht="12" customHeight="1">
      <c r="A285" s="2757"/>
      <c r="B285" s="1262"/>
      <c r="C285" s="1262"/>
      <c r="D285" s="1262"/>
      <c r="E285" s="1262"/>
      <c r="F285" s="1262"/>
      <c r="G285" s="5041" t="s">
        <v>593</v>
      </c>
      <c r="H285" s="1262" t="s">
        <v>5231</v>
      </c>
      <c r="I285" s="1262"/>
      <c r="J285" s="1262"/>
      <c r="K285" s="1262"/>
      <c r="L285" s="1262"/>
      <c r="M285" s="1262"/>
      <c r="N285" s="1262"/>
      <c r="O285" s="1262"/>
      <c r="P285" s="9231" t="str">
        <f>IF(OR(NOT(C203),C263,C270),"",ROUND('Sch. 2'!W19,0))</f>
        <v/>
      </c>
      <c r="Q285" s="9231"/>
      <c r="R285" s="9231"/>
      <c r="S285" s="9231"/>
      <c r="T285" s="1262"/>
      <c r="U285" s="1262"/>
      <c r="V285" s="1262"/>
      <c r="W285" s="1262"/>
      <c r="X285" s="1262"/>
      <c r="Y285" s="1262"/>
      <c r="Z285" s="1262"/>
      <c r="AA285" s="1262"/>
      <c r="AB285" s="1262"/>
      <c r="AC285" s="1262"/>
      <c r="AD285" s="1262"/>
      <c r="AE285" s="1262"/>
      <c r="AF285" s="1262"/>
      <c r="AG285" s="1262"/>
      <c r="AH285" s="1262"/>
      <c r="AI285" s="1262"/>
      <c r="AJ285" s="1262"/>
      <c r="AK285" s="1262"/>
      <c r="AL285" s="1262"/>
      <c r="AM285" s="1262"/>
      <c r="AN285" s="1262"/>
      <c r="AO285" s="1262"/>
      <c r="AP285" s="1262"/>
      <c r="AQ285" s="2757"/>
      <c r="AR285" s="2757"/>
      <c r="AS285" s="2757"/>
      <c r="AT285" s="2757"/>
    </row>
    <row r="286" spans="1:46" ht="12" customHeight="1">
      <c r="A286" s="2757"/>
      <c r="B286" s="1262"/>
      <c r="C286" s="1262"/>
      <c r="D286" s="1262"/>
      <c r="E286" s="1262"/>
      <c r="F286" s="5368"/>
      <c r="G286" s="5041" t="s">
        <v>593</v>
      </c>
      <c r="H286" s="1262" t="s">
        <v>5232</v>
      </c>
      <c r="I286" s="1262"/>
      <c r="J286" s="1262"/>
      <c r="K286" s="1262"/>
      <c r="L286" s="1262"/>
      <c r="M286" s="1262"/>
      <c r="N286" s="1262"/>
      <c r="O286" s="1262"/>
      <c r="P286" s="9231" t="str">
        <f>IF(OR(NOT(C203),C263,C270),"",ROUND('Sch. 2'!AC27,0))</f>
        <v/>
      </c>
      <c r="Q286" s="9231"/>
      <c r="R286" s="9231"/>
      <c r="S286" s="9231"/>
      <c r="T286" s="1262"/>
      <c r="U286" s="1262"/>
      <c r="V286" s="1262"/>
      <c r="W286" s="1262"/>
      <c r="X286" s="1262"/>
      <c r="Y286" s="1262"/>
      <c r="Z286" s="1262"/>
      <c r="AA286" s="1262"/>
      <c r="AB286" s="1262"/>
      <c r="AC286" s="1262"/>
      <c r="AD286" s="1262"/>
      <c r="AE286" s="1262"/>
      <c r="AF286" s="1262"/>
      <c r="AG286" s="1262"/>
      <c r="AH286" s="1262"/>
      <c r="AI286" s="1262"/>
      <c r="AJ286" s="1262"/>
      <c r="AK286" s="1262"/>
      <c r="AL286" s="1262"/>
      <c r="AM286" s="1262"/>
      <c r="AN286" s="1262"/>
      <c r="AO286" s="1262"/>
      <c r="AP286" s="1262"/>
      <c r="AQ286" s="2757"/>
      <c r="AR286" s="2757"/>
      <c r="AS286" s="2757"/>
      <c r="AT286" s="2757"/>
    </row>
    <row r="287" spans="1:46" ht="6" customHeight="1">
      <c r="A287" s="2757"/>
      <c r="B287" s="1262"/>
      <c r="C287" s="1262"/>
      <c r="D287" s="1262"/>
      <c r="E287" s="1262"/>
      <c r="F287" s="1262"/>
      <c r="G287" s="1570"/>
      <c r="H287" s="1570"/>
      <c r="I287" s="1570"/>
      <c r="J287" s="1570"/>
      <c r="K287" s="1570"/>
      <c r="L287" s="1570"/>
      <c r="M287" s="1570"/>
      <c r="N287" s="1570"/>
      <c r="O287" s="1570"/>
      <c r="P287" s="1570"/>
      <c r="Q287" s="1570"/>
      <c r="R287" s="1570"/>
      <c r="S287" s="1570"/>
      <c r="T287" s="1570"/>
      <c r="U287" s="1570"/>
      <c r="V287" s="1570"/>
      <c r="W287" s="1570"/>
      <c r="X287" s="1570"/>
      <c r="Y287" s="1570"/>
      <c r="Z287" s="1570"/>
      <c r="AA287" s="1570"/>
      <c r="AB287" s="1570"/>
      <c r="AC287" s="1570"/>
      <c r="AD287" s="1570"/>
      <c r="AE287" s="1570"/>
      <c r="AF287" s="1570"/>
      <c r="AG287" s="1570"/>
      <c r="AH287" s="1570"/>
      <c r="AI287" s="1570"/>
      <c r="AJ287" s="1262"/>
      <c r="AK287" s="1262"/>
      <c r="AL287" s="1262"/>
      <c r="AM287" s="1262"/>
      <c r="AN287" s="1262"/>
      <c r="AO287" s="1262"/>
      <c r="AP287" s="1262"/>
      <c r="AQ287" s="2757"/>
      <c r="AR287" s="2757"/>
      <c r="AS287" s="2757"/>
      <c r="AT287" s="2757"/>
    </row>
    <row r="288" spans="1:46" ht="6" customHeight="1">
      <c r="A288" s="2757"/>
      <c r="B288" s="1262"/>
      <c r="C288" s="1262"/>
      <c r="D288" s="1262"/>
      <c r="E288" s="1262"/>
      <c r="F288" s="1262"/>
      <c r="G288" s="1262"/>
      <c r="H288" s="1262"/>
      <c r="I288" s="1262"/>
      <c r="J288" s="1262"/>
      <c r="K288" s="1262"/>
      <c r="L288" s="1262"/>
      <c r="M288" s="1262"/>
      <c r="N288" s="1262"/>
      <c r="O288" s="1262"/>
      <c r="P288" s="1262"/>
      <c r="Q288" s="1262"/>
      <c r="R288" s="1262"/>
      <c r="S288" s="1262"/>
      <c r="T288" s="1262"/>
      <c r="U288" s="1262"/>
      <c r="V288" s="1262"/>
      <c r="W288" s="1262"/>
      <c r="X288" s="1262"/>
      <c r="Y288" s="1262"/>
      <c r="Z288" s="1262"/>
      <c r="AA288" s="1262"/>
      <c r="AB288" s="1262"/>
      <c r="AC288" s="1262"/>
      <c r="AD288" s="1262"/>
      <c r="AE288" s="1262"/>
      <c r="AF288" s="1262"/>
      <c r="AG288" s="1262"/>
      <c r="AH288" s="1262"/>
      <c r="AI288" s="1262"/>
      <c r="AJ288" s="1262"/>
      <c r="AK288" s="1262"/>
      <c r="AL288" s="1262"/>
      <c r="AM288" s="1262"/>
      <c r="AN288" s="1262"/>
      <c r="AO288" s="1262"/>
      <c r="AP288" s="1262"/>
      <c r="AQ288" s="2757"/>
      <c r="AR288" s="2757"/>
      <c r="AS288" s="2757"/>
      <c r="AT288" s="2757"/>
    </row>
    <row r="289" spans="1:46" ht="20.25" customHeight="1">
      <c r="A289" s="2757"/>
      <c r="B289" s="1262"/>
      <c r="C289" s="1262"/>
      <c r="D289" s="1262"/>
      <c r="E289" s="1262"/>
      <c r="F289" s="5368" t="s">
        <v>205</v>
      </c>
      <c r="G289" s="1262" t="s">
        <v>3076</v>
      </c>
      <c r="H289" s="1262"/>
      <c r="I289" s="1262"/>
      <c r="J289" s="1262"/>
      <c r="K289" s="1262"/>
      <c r="L289" s="1262"/>
      <c r="M289" s="1262"/>
      <c r="N289" s="1262"/>
      <c r="O289" s="1262"/>
      <c r="P289" s="1262"/>
      <c r="Q289" s="1262"/>
      <c r="R289" s="1262"/>
      <c r="S289" s="1262"/>
      <c r="T289" s="1262"/>
      <c r="U289" s="1262"/>
      <c r="V289" s="1262"/>
      <c r="W289" s="1262"/>
      <c r="X289" s="1262"/>
      <c r="Y289" s="1262"/>
      <c r="Z289" s="1262"/>
      <c r="AA289" s="8334"/>
      <c r="AB289" s="8334"/>
      <c r="AC289" s="1262"/>
      <c r="AD289" s="1262"/>
      <c r="AE289" s="1262"/>
      <c r="AF289" s="1262"/>
      <c r="AG289" s="1262"/>
      <c r="AH289" s="1262"/>
      <c r="AI289" s="5517"/>
      <c r="AJ289" s="5555" t="s">
        <v>104</v>
      </c>
      <c r="AK289" s="9216" t="str">
        <f>IF(OR(NOT(C203),C263,C270),"",SUM(AE274,AE284))</f>
        <v/>
      </c>
      <c r="AL289" s="9217"/>
      <c r="AM289" s="9217"/>
      <c r="AN289" s="9217"/>
      <c r="AO289" s="9218"/>
      <c r="AP289" s="1262"/>
      <c r="AQ289" s="2757"/>
      <c r="AR289" s="2757"/>
      <c r="AS289" s="2757"/>
      <c r="AT289" s="2757"/>
    </row>
    <row r="290" spans="1:46" ht="6" customHeight="1">
      <c r="A290" s="2757"/>
      <c r="B290" s="1262"/>
      <c r="C290" s="1262"/>
      <c r="D290" s="1262"/>
      <c r="E290" s="1262"/>
      <c r="F290" s="1262"/>
      <c r="G290" s="1570"/>
      <c r="H290" s="1570"/>
      <c r="I290" s="1570"/>
      <c r="J290" s="1570"/>
      <c r="K290" s="1570"/>
      <c r="L290" s="1570"/>
      <c r="M290" s="1570"/>
      <c r="N290" s="1570"/>
      <c r="O290" s="1570"/>
      <c r="P290" s="1570"/>
      <c r="Q290" s="1570"/>
      <c r="R290" s="1570"/>
      <c r="S290" s="1570"/>
      <c r="T290" s="1570"/>
      <c r="U290" s="1570"/>
      <c r="V290" s="1570"/>
      <c r="W290" s="1570"/>
      <c r="X290" s="1570"/>
      <c r="Y290" s="1570"/>
      <c r="Z290" s="1570"/>
      <c r="AA290" s="1570"/>
      <c r="AB290" s="1570"/>
      <c r="AC290" s="1570"/>
      <c r="AD290" s="1570"/>
      <c r="AE290" s="1570"/>
      <c r="AF290" s="1570"/>
      <c r="AG290" s="1570"/>
      <c r="AH290" s="1570"/>
      <c r="AI290" s="1570"/>
      <c r="AJ290" s="1262"/>
      <c r="AK290" s="1262"/>
      <c r="AL290" s="1262"/>
      <c r="AM290" s="1262"/>
      <c r="AN290" s="1262"/>
      <c r="AO290" s="1262"/>
      <c r="AP290" s="1262"/>
      <c r="AQ290" s="2757"/>
      <c r="AR290" s="2757"/>
      <c r="AS290" s="2757"/>
      <c r="AT290" s="2757"/>
    </row>
    <row r="291" spans="1:46" ht="6" customHeight="1">
      <c r="A291" s="2757"/>
      <c r="B291" s="1262"/>
      <c r="C291" s="1262"/>
      <c r="D291" s="1262"/>
      <c r="E291" s="1262"/>
      <c r="F291" s="1262"/>
      <c r="G291" s="1262"/>
      <c r="H291" s="1262"/>
      <c r="I291" s="1262"/>
      <c r="J291" s="1262"/>
      <c r="K291" s="1262"/>
      <c r="L291" s="1262"/>
      <c r="M291" s="1262"/>
      <c r="N291" s="1262"/>
      <c r="O291" s="1262"/>
      <c r="P291" s="1262"/>
      <c r="Q291" s="1262"/>
      <c r="R291" s="1262"/>
      <c r="S291" s="1262"/>
      <c r="T291" s="1262"/>
      <c r="U291" s="1262"/>
      <c r="V291" s="1262"/>
      <c r="W291" s="1262"/>
      <c r="X291" s="1262"/>
      <c r="Y291" s="1262"/>
      <c r="Z291" s="1262"/>
      <c r="AA291" s="1262"/>
      <c r="AB291" s="1262"/>
      <c r="AC291" s="1262"/>
      <c r="AD291" s="1262"/>
      <c r="AE291" s="1262"/>
      <c r="AF291" s="1262"/>
      <c r="AG291" s="1262"/>
      <c r="AH291" s="1262"/>
      <c r="AI291" s="1262"/>
      <c r="AJ291" s="1262"/>
      <c r="AK291" s="1262"/>
      <c r="AL291" s="1262"/>
      <c r="AM291" s="1262"/>
      <c r="AN291" s="1262"/>
      <c r="AO291" s="1262"/>
      <c r="AP291" s="1262"/>
      <c r="AQ291" s="2757"/>
      <c r="AR291" s="2757"/>
      <c r="AS291" s="2757"/>
      <c r="AT291" s="2757"/>
    </row>
    <row r="292" spans="1:46" ht="12" customHeight="1">
      <c r="A292" s="2757"/>
      <c r="B292" s="1262"/>
      <c r="C292" s="1262"/>
      <c r="D292" s="1262"/>
      <c r="E292" s="1262"/>
      <c r="F292" s="1262"/>
      <c r="G292" s="1262"/>
      <c r="H292" s="1262"/>
      <c r="I292" s="1262"/>
      <c r="J292" s="1262"/>
      <c r="K292" s="1262"/>
      <c r="L292" s="1262"/>
      <c r="M292" s="1262"/>
      <c r="N292" s="1262"/>
      <c r="O292" s="1262"/>
      <c r="P292" s="1262"/>
      <c r="Q292" s="1262"/>
      <c r="R292" s="1262"/>
      <c r="S292" s="1262"/>
      <c r="T292" s="1262"/>
      <c r="U292" s="1262"/>
      <c r="V292" s="3276" t="s">
        <v>5234</v>
      </c>
      <c r="W292" s="1262"/>
      <c r="X292" s="1262"/>
      <c r="Y292" s="1262"/>
      <c r="Z292" s="1262"/>
      <c r="AA292" s="1262"/>
      <c r="AB292" s="1262"/>
      <c r="AC292" s="1262"/>
      <c r="AD292" s="1262"/>
      <c r="AE292" s="1262"/>
      <c r="AF292" s="1262"/>
      <c r="AG292" s="1262"/>
      <c r="AH292" s="1262"/>
      <c r="AI292" s="1262"/>
      <c r="AJ292" s="1262"/>
      <c r="AK292" s="1262"/>
      <c r="AL292" s="1262"/>
      <c r="AM292" s="1262"/>
      <c r="AN292" s="1262"/>
      <c r="AO292" s="1262"/>
      <c r="AP292" s="1262"/>
      <c r="AQ292" s="2757"/>
      <c r="AR292" s="2757"/>
      <c r="AS292" s="2757"/>
      <c r="AT292" s="2757"/>
    </row>
    <row r="293" spans="1:46" ht="12" customHeight="1">
      <c r="A293" s="2757"/>
      <c r="B293" s="1570"/>
      <c r="C293" s="1570"/>
      <c r="D293" s="1570"/>
      <c r="E293" s="1570"/>
      <c r="F293" s="1570"/>
      <c r="G293" s="1570"/>
      <c r="H293" s="1570"/>
      <c r="I293" s="1570"/>
      <c r="J293" s="1570"/>
      <c r="K293" s="1570"/>
      <c r="L293" s="1570"/>
      <c r="M293" s="1570"/>
      <c r="N293" s="1570"/>
      <c r="O293" s="1570"/>
      <c r="P293" s="1570"/>
      <c r="Q293" s="1570"/>
      <c r="R293" s="1570"/>
      <c r="S293" s="1570"/>
      <c r="T293" s="1570"/>
      <c r="U293" s="1570"/>
      <c r="V293" s="1570"/>
      <c r="W293" s="1570"/>
      <c r="X293" s="1570"/>
      <c r="Y293" s="1570"/>
      <c r="Z293" s="1570"/>
      <c r="AA293" s="1570"/>
      <c r="AB293" s="1570"/>
      <c r="AC293" s="1570"/>
      <c r="AD293" s="1570"/>
      <c r="AE293" s="1570"/>
      <c r="AF293" s="1570"/>
      <c r="AG293" s="1570"/>
      <c r="AH293" s="1570"/>
      <c r="AI293" s="1570"/>
      <c r="AJ293" s="1570"/>
      <c r="AK293" s="1570"/>
      <c r="AL293" s="1570"/>
      <c r="AM293" s="1570"/>
      <c r="AN293" s="1570"/>
      <c r="AO293" s="1570"/>
      <c r="AP293" s="1570"/>
      <c r="AQ293" s="2757"/>
      <c r="AR293" s="2757"/>
      <c r="AS293" s="2757"/>
      <c r="AT293" s="2757"/>
    </row>
    <row r="294" spans="1:46" ht="6.75" customHeight="1">
      <c r="A294" s="2757"/>
      <c r="B294" s="2731"/>
      <c r="C294" s="2731"/>
      <c r="D294" s="2731"/>
      <c r="E294" s="2731"/>
      <c r="F294" s="2731"/>
      <c r="G294" s="2731"/>
      <c r="H294" s="2731"/>
      <c r="I294" s="2731"/>
      <c r="J294" s="2731"/>
      <c r="K294" s="2731"/>
      <c r="L294" s="2731"/>
      <c r="M294" s="2731"/>
      <c r="N294" s="2731"/>
      <c r="O294" s="2731"/>
      <c r="P294" s="2731"/>
      <c r="Q294" s="2731"/>
      <c r="R294" s="2731"/>
      <c r="S294" s="2731"/>
      <c r="T294" s="2731"/>
      <c r="U294" s="2731"/>
      <c r="V294" s="2731"/>
      <c r="W294" s="2731"/>
      <c r="X294" s="2731"/>
      <c r="Y294" s="2731"/>
      <c r="Z294" s="2731"/>
      <c r="AA294" s="2731"/>
      <c r="AB294" s="2731"/>
      <c r="AC294" s="2731"/>
      <c r="AD294" s="2731"/>
      <c r="AE294" s="2731"/>
      <c r="AF294" s="2731"/>
      <c r="AG294" s="2731"/>
      <c r="AH294" s="2731"/>
      <c r="AI294" s="2731"/>
      <c r="AJ294" s="2731"/>
      <c r="AK294" s="2731"/>
      <c r="AL294" s="2731"/>
      <c r="AM294" s="2731"/>
      <c r="AN294" s="2731"/>
      <c r="AO294" s="2731"/>
      <c r="AP294" s="2731"/>
      <c r="AQ294" s="2757"/>
      <c r="AR294" s="2757"/>
      <c r="AS294" s="2757"/>
      <c r="AT294" s="2757"/>
    </row>
    <row r="295" spans="1:46" ht="21.75" customHeight="1" thickBot="1">
      <c r="A295" s="2757"/>
      <c r="B295" s="1262"/>
      <c r="C295" s="4449" t="s">
        <v>5233</v>
      </c>
      <c r="D295" s="1262"/>
      <c r="E295" s="1262"/>
      <c r="F295" s="1262"/>
      <c r="G295" s="1262"/>
      <c r="H295" s="1262"/>
      <c r="I295" s="1262"/>
      <c r="J295" s="1262"/>
      <c r="K295" s="1262"/>
      <c r="L295" s="1262"/>
      <c r="M295" s="1262"/>
      <c r="N295" s="1262"/>
      <c r="O295" s="1262"/>
      <c r="P295" s="1262"/>
      <c r="Q295" s="1262"/>
      <c r="R295" s="1262"/>
      <c r="S295" s="1262"/>
      <c r="T295" s="1262"/>
      <c r="U295" s="1262"/>
      <c r="V295" s="1262"/>
      <c r="W295" s="1262"/>
      <c r="X295" s="1262"/>
      <c r="Y295" s="1262"/>
      <c r="Z295" s="1262"/>
      <c r="AA295" s="1262"/>
      <c r="AB295" s="1262"/>
      <c r="AC295" s="1262"/>
      <c r="AD295" s="1262"/>
      <c r="AE295" s="1262"/>
      <c r="AF295" s="1262"/>
      <c r="AG295" s="1262"/>
      <c r="AH295" s="1262"/>
      <c r="AI295" s="1262"/>
      <c r="AJ295" s="1262"/>
      <c r="AK295" s="1262"/>
      <c r="AL295" s="1262"/>
      <c r="AM295" s="1262"/>
      <c r="AN295" s="1262"/>
      <c r="AO295" s="1262"/>
      <c r="AP295" s="1262"/>
      <c r="AQ295" s="2757"/>
      <c r="AR295" s="2757"/>
      <c r="AS295" s="2757"/>
      <c r="AT295" s="2757"/>
    </row>
    <row r="296" spans="1:46" ht="10.5" customHeight="1" thickTop="1">
      <c r="A296" s="2757"/>
      <c r="B296" s="1262"/>
      <c r="C296" s="5557"/>
      <c r="D296" s="5497"/>
      <c r="E296" s="5497"/>
      <c r="F296" s="5497"/>
      <c r="G296" s="5497"/>
      <c r="H296" s="5497"/>
      <c r="I296" s="5497"/>
      <c r="J296" s="5497"/>
      <c r="K296" s="5497"/>
      <c r="L296" s="5497"/>
      <c r="M296" s="5497"/>
      <c r="N296" s="5497"/>
      <c r="O296" s="5497"/>
      <c r="P296" s="5497"/>
      <c r="Q296" s="5497"/>
      <c r="R296" s="5497"/>
      <c r="S296" s="5497"/>
      <c r="T296" s="5497"/>
      <c r="U296" s="5497"/>
      <c r="V296" s="5497"/>
      <c r="W296" s="5497"/>
      <c r="X296" s="5497"/>
      <c r="Y296" s="5497"/>
      <c r="Z296" s="5497"/>
      <c r="AA296" s="5497"/>
      <c r="AB296" s="5497"/>
      <c r="AC296" s="5497"/>
      <c r="AD296" s="5497"/>
      <c r="AE296" s="5497"/>
      <c r="AF296" s="5497"/>
      <c r="AG296" s="5497"/>
      <c r="AH296" s="5497"/>
      <c r="AI296" s="5497"/>
      <c r="AJ296" s="5497"/>
      <c r="AK296" s="5497"/>
      <c r="AL296" s="5497"/>
      <c r="AM296" s="5497"/>
      <c r="AN296" s="5497"/>
      <c r="AO296" s="5497"/>
      <c r="AP296" s="1262"/>
      <c r="AQ296" s="2757"/>
      <c r="AR296" s="2757"/>
      <c r="AS296" s="2757"/>
      <c r="AT296" s="2757"/>
    </row>
    <row r="297" spans="1:46">
      <c r="A297" s="2757"/>
      <c r="B297" s="1262"/>
      <c r="C297" s="1262"/>
      <c r="D297" s="1262"/>
      <c r="E297" s="1262"/>
      <c r="F297" s="5556" t="s">
        <v>295</v>
      </c>
      <c r="G297" s="2212" t="s">
        <v>5237</v>
      </c>
      <c r="H297" s="1262"/>
      <c r="I297" s="1262"/>
      <c r="J297" s="1262"/>
      <c r="K297" s="1262"/>
      <c r="L297" s="1262"/>
      <c r="M297" s="1262"/>
      <c r="N297" s="1262"/>
      <c r="O297" s="1262"/>
      <c r="P297" s="1262"/>
      <c r="Q297" s="1262"/>
      <c r="R297" s="1262"/>
      <c r="S297" s="1262"/>
      <c r="T297" s="1262"/>
      <c r="U297" s="1262"/>
      <c r="V297" s="1262"/>
      <c r="W297" s="1262"/>
      <c r="X297" s="1262"/>
      <c r="Y297" s="1262"/>
      <c r="Z297" s="1262"/>
      <c r="AA297" s="1262"/>
      <c r="AB297" s="1262"/>
      <c r="AC297" s="1262"/>
      <c r="AD297" s="9222" t="s">
        <v>105</v>
      </c>
      <c r="AE297" s="9224" t="str">
        <f>IF(OR(NOT(C203),C263,C270),"",SUM('1040'!Y72,'Sch. 3'!AC41))</f>
        <v/>
      </c>
      <c r="AF297" s="9224"/>
      <c r="AG297" s="9224"/>
      <c r="AH297" s="9224"/>
      <c r="AI297" s="9225"/>
      <c r="AJ297" s="1262"/>
      <c r="AK297" s="1262"/>
      <c r="AL297" s="1262"/>
      <c r="AM297" s="1262"/>
      <c r="AN297" s="1262"/>
      <c r="AO297" s="1262"/>
      <c r="AP297" s="1262"/>
      <c r="AQ297" s="2757"/>
      <c r="AR297" s="2757"/>
      <c r="AS297" s="2757"/>
      <c r="AT297" s="2757"/>
    </row>
    <row r="298" spans="1:46">
      <c r="A298" s="2757"/>
      <c r="B298" s="1262"/>
      <c r="C298" s="1262"/>
      <c r="D298" s="1262"/>
      <c r="E298" s="1262"/>
      <c r="F298" s="5556"/>
      <c r="G298" s="2212" t="s">
        <v>5235</v>
      </c>
      <c r="H298" s="1262"/>
      <c r="I298" s="1262"/>
      <c r="J298" s="1262"/>
      <c r="K298" s="1262"/>
      <c r="L298" s="1262"/>
      <c r="M298" s="1262"/>
      <c r="N298" s="1262"/>
      <c r="O298" s="1262"/>
      <c r="P298" s="1262"/>
      <c r="Q298" s="1262"/>
      <c r="R298" s="1262"/>
      <c r="S298" s="1262"/>
      <c r="T298" s="1262"/>
      <c r="U298" s="1262"/>
      <c r="V298" s="1262"/>
      <c r="W298" s="1262"/>
      <c r="X298" s="1262"/>
      <c r="Y298" s="1262"/>
      <c r="Z298" s="1262"/>
      <c r="AA298" s="1262"/>
      <c r="AB298" s="1262"/>
      <c r="AC298" s="1262"/>
      <c r="AD298" s="9223"/>
      <c r="AE298" s="6296"/>
      <c r="AF298" s="6296"/>
      <c r="AG298" s="6296"/>
      <c r="AH298" s="6296"/>
      <c r="AI298" s="6297"/>
      <c r="AJ298" s="1262"/>
      <c r="AK298" s="1262"/>
      <c r="AL298" s="1262"/>
      <c r="AM298" s="1262"/>
      <c r="AN298" s="1262"/>
      <c r="AO298" s="1262"/>
      <c r="AP298" s="1262"/>
      <c r="AQ298" s="2757"/>
      <c r="AR298" s="2757"/>
      <c r="AS298" s="2757"/>
      <c r="AT298" s="2757"/>
    </row>
    <row r="299" spans="1:46">
      <c r="A299" s="2757"/>
      <c r="B299" s="1262"/>
      <c r="C299" s="1262"/>
      <c r="D299" s="1262"/>
      <c r="E299" s="1262"/>
      <c r="F299" s="5556"/>
      <c r="G299" s="2212" t="s">
        <v>5236</v>
      </c>
      <c r="H299" s="1262"/>
      <c r="I299" s="1262"/>
      <c r="J299" s="1262"/>
      <c r="K299" s="1262"/>
      <c r="L299" s="1262"/>
      <c r="M299" s="1262"/>
      <c r="N299" s="1262"/>
      <c r="O299" s="1262"/>
      <c r="P299" s="1262"/>
      <c r="Q299" s="1262"/>
      <c r="R299" s="1262"/>
      <c r="S299" s="1262"/>
      <c r="T299" s="1262"/>
      <c r="U299" s="1262"/>
      <c r="V299" s="1262"/>
      <c r="W299" s="1262"/>
      <c r="X299" s="1262"/>
      <c r="Y299" s="1262"/>
      <c r="Z299" s="1262"/>
      <c r="AA299" s="1262"/>
      <c r="AB299" s="1262"/>
      <c r="AC299" s="1262"/>
      <c r="AD299" s="1262"/>
      <c r="AE299" s="1262"/>
      <c r="AF299" s="1262"/>
      <c r="AG299" s="1262"/>
      <c r="AH299" s="1262"/>
      <c r="AI299" s="1262"/>
      <c r="AJ299" s="1262"/>
      <c r="AK299" s="1262"/>
      <c r="AL299" s="1262"/>
      <c r="AM299" s="1262"/>
      <c r="AN299" s="1262"/>
      <c r="AO299" s="1262"/>
      <c r="AP299" s="1262"/>
      <c r="AQ299" s="2757"/>
      <c r="AR299" s="2757"/>
      <c r="AS299" s="2757"/>
      <c r="AT299" s="2757"/>
    </row>
    <row r="300" spans="1:46">
      <c r="A300" s="2757"/>
      <c r="B300" s="1262"/>
      <c r="C300" s="1262"/>
      <c r="D300" s="1262"/>
      <c r="E300" s="1262"/>
      <c r="F300" s="5556"/>
      <c r="G300" s="2212" t="s">
        <v>5238</v>
      </c>
      <c r="H300" s="1262"/>
      <c r="I300" s="1262"/>
      <c r="J300" s="1262"/>
      <c r="K300" s="1262"/>
      <c r="L300" s="1262"/>
      <c r="M300" s="1262"/>
      <c r="N300" s="1262"/>
      <c r="O300" s="1262"/>
      <c r="P300" s="1262"/>
      <c r="Q300" s="1262"/>
      <c r="R300" s="1262"/>
      <c r="S300" s="1262"/>
      <c r="T300" s="1262"/>
      <c r="U300" s="1262"/>
      <c r="V300" s="1262"/>
      <c r="W300" s="1262"/>
      <c r="X300" s="1262"/>
      <c r="Y300" s="1262"/>
      <c r="Z300" s="1262"/>
      <c r="AA300" s="1262"/>
      <c r="AB300" s="1262"/>
      <c r="AC300" s="1262"/>
      <c r="AD300" s="1262"/>
      <c r="AE300" s="1262"/>
      <c r="AF300" s="1262"/>
      <c r="AG300" s="1262"/>
      <c r="AH300" s="1262"/>
      <c r="AI300" s="1262"/>
      <c r="AJ300" s="1262"/>
      <c r="AK300" s="1262"/>
      <c r="AL300" s="1262"/>
      <c r="AM300" s="1262"/>
      <c r="AN300" s="1262"/>
      <c r="AO300" s="1262"/>
      <c r="AP300" s="1262"/>
      <c r="AQ300" s="2757"/>
      <c r="AR300" s="2757"/>
      <c r="AS300" s="2757"/>
      <c r="AT300" s="2757"/>
    </row>
    <row r="301" spans="1:46">
      <c r="A301" s="2757"/>
      <c r="B301" s="1262"/>
      <c r="C301" s="1262"/>
      <c r="D301" s="1262"/>
      <c r="E301" s="1262"/>
      <c r="F301" s="5556"/>
      <c r="G301" s="2212" t="s">
        <v>5236</v>
      </c>
      <c r="H301" s="1262"/>
      <c r="I301" s="1262"/>
      <c r="J301" s="1262"/>
      <c r="K301" s="1262"/>
      <c r="L301" s="1262"/>
      <c r="M301" s="1262"/>
      <c r="N301" s="1262"/>
      <c r="O301" s="1262"/>
      <c r="P301" s="1262"/>
      <c r="Q301" s="1262"/>
      <c r="R301" s="1262"/>
      <c r="S301" s="1262"/>
      <c r="T301" s="1262"/>
      <c r="U301" s="1262"/>
      <c r="V301" s="1262"/>
      <c r="W301" s="1262"/>
      <c r="X301" s="1262"/>
      <c r="Y301" s="1262"/>
      <c r="Z301" s="1262"/>
      <c r="AA301" s="1262"/>
      <c r="AB301" s="1262"/>
      <c r="AC301" s="1262"/>
      <c r="AD301" s="1262"/>
      <c r="AE301" s="1262"/>
      <c r="AF301" s="1262"/>
      <c r="AG301" s="1262"/>
      <c r="AH301" s="1262"/>
      <c r="AI301" s="1262"/>
      <c r="AJ301" s="1262"/>
      <c r="AK301" s="1262"/>
      <c r="AL301" s="1262"/>
      <c r="AM301" s="1262"/>
      <c r="AN301" s="1262"/>
      <c r="AO301" s="1262"/>
      <c r="AP301" s="1262"/>
      <c r="AQ301" s="2757"/>
      <c r="AR301" s="2757"/>
      <c r="AS301" s="2757"/>
      <c r="AT301" s="2757"/>
    </row>
    <row r="302" spans="1:46" ht="6" customHeight="1">
      <c r="A302" s="2757"/>
      <c r="B302" s="1262"/>
      <c r="C302" s="1262"/>
      <c r="D302" s="1262"/>
      <c r="E302" s="1262"/>
      <c r="F302" s="1262"/>
      <c r="G302" s="1570"/>
      <c r="H302" s="1570"/>
      <c r="I302" s="1570"/>
      <c r="J302" s="1570"/>
      <c r="K302" s="1570"/>
      <c r="L302" s="1570"/>
      <c r="M302" s="1570"/>
      <c r="N302" s="1570"/>
      <c r="O302" s="1570"/>
      <c r="P302" s="1570"/>
      <c r="Q302" s="1570"/>
      <c r="R302" s="1570"/>
      <c r="S302" s="1570"/>
      <c r="T302" s="1570"/>
      <c r="U302" s="1570"/>
      <c r="V302" s="1570"/>
      <c r="W302" s="1570"/>
      <c r="X302" s="1570"/>
      <c r="Y302" s="1570"/>
      <c r="Z302" s="1570"/>
      <c r="AA302" s="1570"/>
      <c r="AB302" s="1570"/>
      <c r="AC302" s="1570"/>
      <c r="AD302" s="1570"/>
      <c r="AE302" s="1570"/>
      <c r="AF302" s="1570"/>
      <c r="AG302" s="1570"/>
      <c r="AH302" s="1570"/>
      <c r="AI302" s="1570"/>
      <c r="AJ302" s="1262"/>
      <c r="AK302" s="1262"/>
      <c r="AL302" s="1262"/>
      <c r="AM302" s="1262"/>
      <c r="AN302" s="1262"/>
      <c r="AO302" s="1262"/>
      <c r="AP302" s="1262"/>
      <c r="AQ302" s="2757"/>
      <c r="AR302" s="2757"/>
      <c r="AS302" s="2757"/>
      <c r="AT302" s="2757"/>
    </row>
    <row r="303" spans="1:46" ht="6" customHeight="1">
      <c r="A303" s="2757"/>
      <c r="B303" s="1262"/>
      <c r="C303" s="1262"/>
      <c r="D303" s="1262"/>
      <c r="E303" s="1262"/>
      <c r="F303" s="1262"/>
      <c r="G303" s="1262"/>
      <c r="H303" s="1262"/>
      <c r="I303" s="1262"/>
      <c r="J303" s="1262"/>
      <c r="K303" s="1262"/>
      <c r="L303" s="1262"/>
      <c r="M303" s="1262"/>
      <c r="N303" s="1262"/>
      <c r="O303" s="1262"/>
      <c r="P303" s="1262"/>
      <c r="Q303" s="1262"/>
      <c r="R303" s="1262"/>
      <c r="S303" s="1262"/>
      <c r="T303" s="1262"/>
      <c r="U303" s="1262"/>
      <c r="V303" s="1262"/>
      <c r="W303" s="1262"/>
      <c r="X303" s="1262"/>
      <c r="Y303" s="1262"/>
      <c r="Z303" s="1262"/>
      <c r="AA303" s="1262"/>
      <c r="AB303" s="1262"/>
      <c r="AC303" s="1262"/>
      <c r="AD303" s="1262"/>
      <c r="AE303" s="1262"/>
      <c r="AF303" s="1262"/>
      <c r="AG303" s="1262"/>
      <c r="AH303" s="1262"/>
      <c r="AI303" s="1262"/>
      <c r="AJ303" s="1262"/>
      <c r="AK303" s="1262"/>
      <c r="AL303" s="1262"/>
      <c r="AM303" s="1262"/>
      <c r="AN303" s="1262"/>
      <c r="AO303" s="1262"/>
      <c r="AP303" s="1262"/>
      <c r="AQ303" s="2757"/>
      <c r="AR303" s="2757"/>
      <c r="AS303" s="2757"/>
      <c r="AT303" s="2757"/>
    </row>
    <row r="304" spans="1:46" ht="15.75" customHeight="1">
      <c r="A304" s="2757"/>
      <c r="B304" s="1262"/>
      <c r="C304" s="1262"/>
      <c r="D304" s="1262"/>
      <c r="E304" s="1262"/>
      <c r="F304" s="5368" t="s">
        <v>296</v>
      </c>
      <c r="G304" s="1262" t="s">
        <v>3077</v>
      </c>
      <c r="H304" s="1262"/>
      <c r="I304" s="1262"/>
      <c r="J304" s="1262"/>
      <c r="K304" s="1262"/>
      <c r="L304" s="1262"/>
      <c r="M304" s="1262"/>
      <c r="N304" s="1262"/>
      <c r="O304" s="1262"/>
      <c r="P304" s="1262"/>
      <c r="Q304" s="1262"/>
      <c r="R304" s="1262"/>
      <c r="S304" s="1262"/>
      <c r="T304" s="1262"/>
      <c r="U304" s="1262"/>
      <c r="V304" s="1262"/>
      <c r="W304" s="1262"/>
      <c r="X304" s="1262"/>
      <c r="Y304" s="1262"/>
      <c r="Z304" s="1262"/>
      <c r="AA304" s="1262"/>
      <c r="AB304" s="1262"/>
      <c r="AC304" s="1262"/>
      <c r="AD304" s="1262"/>
      <c r="AE304" s="1262"/>
      <c r="AF304" s="9215"/>
      <c r="AG304" s="9215"/>
      <c r="AH304" s="9215"/>
      <c r="AI304" s="1262"/>
      <c r="AJ304" s="5555" t="s">
        <v>657</v>
      </c>
      <c r="AK304" s="9219" t="str">
        <f>IF(OR(NOT(C203),C263),"",IF(C270,0,SUM(AK289,-AE297)))</f>
        <v/>
      </c>
      <c r="AL304" s="9220"/>
      <c r="AM304" s="9220"/>
      <c r="AN304" s="9220"/>
      <c r="AO304" s="9221"/>
      <c r="AP304" s="1262"/>
      <c r="AQ304" s="2757"/>
      <c r="AR304" s="2757"/>
      <c r="AS304" s="2757"/>
      <c r="AT304" s="2757"/>
    </row>
    <row r="305" spans="1:46" ht="6" customHeight="1">
      <c r="A305" s="2757"/>
      <c r="B305" s="1262"/>
      <c r="C305" s="1262"/>
      <c r="D305" s="1262"/>
      <c r="E305" s="1262"/>
      <c r="F305" s="1262"/>
      <c r="G305" s="1570"/>
      <c r="H305" s="1570"/>
      <c r="I305" s="1570"/>
      <c r="J305" s="1570"/>
      <c r="K305" s="1570"/>
      <c r="L305" s="1570"/>
      <c r="M305" s="1570"/>
      <c r="N305" s="1570"/>
      <c r="O305" s="1570"/>
      <c r="P305" s="1570"/>
      <c r="Q305" s="1570"/>
      <c r="R305" s="1570"/>
      <c r="S305" s="1570"/>
      <c r="T305" s="1570"/>
      <c r="U305" s="1570"/>
      <c r="V305" s="1570"/>
      <c r="W305" s="1570"/>
      <c r="X305" s="1570"/>
      <c r="Y305" s="1570"/>
      <c r="Z305" s="1570"/>
      <c r="AA305" s="1570"/>
      <c r="AB305" s="1570"/>
      <c r="AC305" s="1570"/>
      <c r="AD305" s="1570"/>
      <c r="AE305" s="1570"/>
      <c r="AF305" s="1570"/>
      <c r="AG305" s="1570"/>
      <c r="AH305" s="1570"/>
      <c r="AI305" s="1570"/>
      <c r="AJ305" s="1262"/>
      <c r="AK305" s="1262"/>
      <c r="AL305" s="1262"/>
      <c r="AM305" s="1262"/>
      <c r="AN305" s="1262"/>
      <c r="AO305" s="1262"/>
      <c r="AP305" s="1262"/>
      <c r="AQ305" s="2757"/>
      <c r="AR305" s="2757"/>
      <c r="AS305" s="2757"/>
      <c r="AT305" s="2757"/>
    </row>
    <row r="306" spans="1:46" ht="6" customHeight="1">
      <c r="A306" s="2757"/>
      <c r="B306" s="1262"/>
      <c r="C306" s="1262"/>
      <c r="D306" s="1262"/>
      <c r="E306" s="1262"/>
      <c r="F306" s="1262"/>
      <c r="G306" s="1262"/>
      <c r="H306" s="1262"/>
      <c r="I306" s="1262"/>
      <c r="J306" s="1262"/>
      <c r="K306" s="1262"/>
      <c r="L306" s="1262"/>
      <c r="M306" s="1262"/>
      <c r="N306" s="1262"/>
      <c r="O306" s="1262"/>
      <c r="P306" s="1262"/>
      <c r="Q306" s="1262"/>
      <c r="R306" s="1262"/>
      <c r="S306" s="1262"/>
      <c r="T306" s="1262"/>
      <c r="U306" s="1262"/>
      <c r="V306" s="1262"/>
      <c r="W306" s="1262"/>
      <c r="X306" s="1262"/>
      <c r="Y306" s="1262"/>
      <c r="Z306" s="1262"/>
      <c r="AA306" s="1262"/>
      <c r="AB306" s="1262"/>
      <c r="AC306" s="1262"/>
      <c r="AD306" s="1262"/>
      <c r="AE306" s="1262"/>
      <c r="AF306" s="1262"/>
      <c r="AG306" s="1262"/>
      <c r="AH306" s="1262"/>
      <c r="AI306" s="1262"/>
      <c r="AJ306" s="1262"/>
      <c r="AK306" s="1262"/>
      <c r="AL306" s="1262"/>
      <c r="AM306" s="1262"/>
      <c r="AN306" s="1262"/>
      <c r="AO306" s="1262"/>
      <c r="AP306" s="1262"/>
      <c r="AQ306" s="2757"/>
      <c r="AR306" s="2757"/>
      <c r="AS306" s="2757"/>
      <c r="AT306" s="2757"/>
    </row>
    <row r="307" spans="1:46" ht="15.75" customHeight="1">
      <c r="A307" s="2757"/>
      <c r="B307" s="1262"/>
      <c r="C307" s="1262"/>
      <c r="D307" s="1262"/>
      <c r="E307" s="1262"/>
      <c r="F307" s="5368" t="s">
        <v>297</v>
      </c>
      <c r="G307" s="1262" t="s">
        <v>5239</v>
      </c>
      <c r="H307" s="1262"/>
      <c r="I307" s="1262"/>
      <c r="J307" s="1262"/>
      <c r="K307" s="1262"/>
      <c r="L307" s="1262"/>
      <c r="M307" s="1262"/>
      <c r="N307" s="1262"/>
      <c r="O307" s="1262"/>
      <c r="P307" s="1262"/>
      <c r="Q307" s="1262"/>
      <c r="R307" s="1262"/>
      <c r="S307" s="1262"/>
      <c r="T307" s="1262"/>
      <c r="U307" s="1262"/>
      <c r="V307" s="1262"/>
      <c r="W307" s="1262"/>
      <c r="X307" s="1262"/>
      <c r="Y307" s="1262"/>
      <c r="Z307" s="1262"/>
      <c r="AA307" s="1262"/>
      <c r="AB307" s="1262"/>
      <c r="AC307" s="1262"/>
      <c r="AD307" s="1262"/>
      <c r="AE307" s="1262"/>
      <c r="AF307" s="9215"/>
      <c r="AG307" s="9215"/>
      <c r="AH307" s="9215"/>
      <c r="AI307" s="1262"/>
      <c r="AJ307" s="5555" t="s">
        <v>220</v>
      </c>
      <c r="AK307" s="9216" t="str">
        <f>IF(OR(NOT(C203),C263),"",MAX(AK257,AK304))</f>
        <v/>
      </c>
      <c r="AL307" s="9217"/>
      <c r="AM307" s="9217"/>
      <c r="AN307" s="9217"/>
      <c r="AO307" s="9218"/>
      <c r="AP307" s="1262"/>
      <c r="AQ307" s="2757"/>
      <c r="AR307" s="2757"/>
      <c r="AS307" s="2757"/>
      <c r="AT307" s="2757"/>
    </row>
    <row r="308" spans="1:46" ht="6" customHeight="1">
      <c r="A308" s="2757"/>
      <c r="B308" s="1262"/>
      <c r="C308" s="1262"/>
      <c r="D308" s="1262"/>
      <c r="E308" s="1262"/>
      <c r="F308" s="1262"/>
      <c r="G308" s="1570"/>
      <c r="H308" s="1570"/>
      <c r="I308" s="1570"/>
      <c r="J308" s="1570"/>
      <c r="K308" s="1570"/>
      <c r="L308" s="1570"/>
      <c r="M308" s="1570"/>
      <c r="N308" s="1570"/>
      <c r="O308" s="1570"/>
      <c r="P308" s="1570"/>
      <c r="Q308" s="1570"/>
      <c r="R308" s="1570"/>
      <c r="S308" s="1570"/>
      <c r="T308" s="1570"/>
      <c r="U308" s="1570"/>
      <c r="V308" s="1570"/>
      <c r="W308" s="1570"/>
      <c r="X308" s="1570"/>
      <c r="Y308" s="1570"/>
      <c r="Z308" s="1570"/>
      <c r="AA308" s="1570"/>
      <c r="AB308" s="1570"/>
      <c r="AC308" s="1570"/>
      <c r="AD308" s="1570"/>
      <c r="AE308" s="1570"/>
      <c r="AF308" s="1570"/>
      <c r="AG308" s="1570"/>
      <c r="AH308" s="1570"/>
      <c r="AI308" s="1570"/>
      <c r="AJ308" s="1262"/>
      <c r="AK308" s="1262"/>
      <c r="AL308" s="1262"/>
      <c r="AM308" s="1262"/>
      <c r="AN308" s="1262"/>
      <c r="AO308" s="1262"/>
      <c r="AP308" s="1262"/>
      <c r="AQ308" s="2757"/>
      <c r="AR308" s="2757"/>
      <c r="AS308" s="2757"/>
      <c r="AT308" s="2757"/>
    </row>
    <row r="309" spans="1:46" ht="6" customHeight="1">
      <c r="A309" s="2757"/>
      <c r="B309" s="1262"/>
      <c r="C309" s="1262"/>
      <c r="D309" s="1262"/>
      <c r="E309" s="1262"/>
      <c r="F309" s="1262"/>
      <c r="G309" s="1262"/>
      <c r="H309" s="1262"/>
      <c r="I309" s="1262"/>
      <c r="J309" s="1262"/>
      <c r="K309" s="1262"/>
      <c r="L309" s="1262"/>
      <c r="M309" s="1262"/>
      <c r="N309" s="1262"/>
      <c r="O309" s="1262"/>
      <c r="P309" s="1262"/>
      <c r="Q309" s="1262"/>
      <c r="R309" s="1262"/>
      <c r="S309" s="1262"/>
      <c r="T309" s="1262"/>
      <c r="U309" s="1262"/>
      <c r="V309" s="1262"/>
      <c r="W309" s="1262"/>
      <c r="X309" s="1262"/>
      <c r="Y309" s="1262"/>
      <c r="Z309" s="1262"/>
      <c r="AA309" s="1262"/>
      <c r="AB309" s="1262"/>
      <c r="AC309" s="1262"/>
      <c r="AD309" s="1262"/>
      <c r="AE309" s="1262"/>
      <c r="AF309" s="1262"/>
      <c r="AG309" s="1262"/>
      <c r="AH309" s="1262"/>
      <c r="AI309" s="1262"/>
      <c r="AJ309" s="1262"/>
      <c r="AK309" s="1262"/>
      <c r="AL309" s="1262"/>
      <c r="AM309" s="1262"/>
      <c r="AN309" s="1262"/>
      <c r="AO309" s="1262"/>
      <c r="AP309" s="1262"/>
      <c r="AQ309" s="2757"/>
      <c r="AR309" s="2757"/>
      <c r="AS309" s="2757"/>
      <c r="AT309" s="2757"/>
    </row>
    <row r="310" spans="1:46">
      <c r="A310" s="2757"/>
      <c r="B310" s="1262"/>
      <c r="C310" s="1262"/>
      <c r="D310" s="1262"/>
      <c r="E310" s="1262"/>
      <c r="F310" s="5368" t="s">
        <v>431</v>
      </c>
      <c r="G310" s="1262" t="s">
        <v>5240</v>
      </c>
      <c r="H310" s="1262"/>
      <c r="I310" s="1262"/>
      <c r="J310" s="1262"/>
      <c r="K310" s="1262"/>
      <c r="L310" s="1262"/>
      <c r="M310" s="1262"/>
      <c r="N310" s="1262"/>
      <c r="O310" s="1262"/>
      <c r="P310" s="1262"/>
      <c r="Q310" s="1262"/>
      <c r="R310" s="1262"/>
      <c r="S310" s="1262"/>
      <c r="T310" s="1262"/>
      <c r="U310" s="1262"/>
      <c r="V310" s="1262"/>
      <c r="W310" s="1262"/>
      <c r="X310" s="1262"/>
      <c r="Y310" s="1262"/>
      <c r="Z310" s="1262"/>
      <c r="AA310" s="1262"/>
      <c r="AB310" s="1262"/>
      <c r="AC310" s="1262"/>
      <c r="AD310" s="1262"/>
      <c r="AE310" s="1262"/>
      <c r="AF310" s="9215"/>
      <c r="AG310" s="9215"/>
      <c r="AH310" s="9215"/>
      <c r="AI310" s="1262"/>
      <c r="AJ310" s="5555" t="s">
        <v>658</v>
      </c>
      <c r="AK310" s="9216" t="str">
        <f>IF(OR(NOT(C203),C263),"",MIN(AK237,AK307))</f>
        <v/>
      </c>
      <c r="AL310" s="9217"/>
      <c r="AM310" s="9217"/>
      <c r="AN310" s="9217"/>
      <c r="AO310" s="9218"/>
      <c r="AP310" s="1262"/>
      <c r="AQ310" s="2757"/>
      <c r="AR310" s="2757"/>
      <c r="AS310" s="2757"/>
      <c r="AT310" s="2757"/>
    </row>
    <row r="311" spans="1:46" ht="6" customHeight="1">
      <c r="A311" s="2757"/>
      <c r="B311" s="1262"/>
      <c r="C311" s="1262"/>
      <c r="D311" s="1262"/>
      <c r="E311" s="1262"/>
      <c r="F311" s="1262"/>
      <c r="G311" s="1570"/>
      <c r="H311" s="1570"/>
      <c r="I311" s="1570"/>
      <c r="J311" s="1570"/>
      <c r="K311" s="1570"/>
      <c r="L311" s="1570"/>
      <c r="M311" s="1570"/>
      <c r="N311" s="1570"/>
      <c r="O311" s="1570"/>
      <c r="P311" s="1570"/>
      <c r="Q311" s="1570"/>
      <c r="R311" s="1570"/>
      <c r="S311" s="1570"/>
      <c r="T311" s="1570"/>
      <c r="U311" s="1570"/>
      <c r="V311" s="1570"/>
      <c r="W311" s="1570"/>
      <c r="X311" s="1570"/>
      <c r="Y311" s="1570"/>
      <c r="Z311" s="1570"/>
      <c r="AA311" s="1570"/>
      <c r="AB311" s="1570"/>
      <c r="AC311" s="1570"/>
      <c r="AD311" s="1570"/>
      <c r="AE311" s="1570"/>
      <c r="AF311" s="1570"/>
      <c r="AG311" s="1570"/>
      <c r="AH311" s="1570"/>
      <c r="AI311" s="1570"/>
      <c r="AJ311" s="1262"/>
      <c r="AK311" s="1262"/>
      <c r="AL311" s="1262"/>
      <c r="AM311" s="1262"/>
      <c r="AN311" s="1262"/>
      <c r="AO311" s="1262"/>
      <c r="AP311" s="1262"/>
      <c r="AQ311" s="2757"/>
      <c r="AR311" s="2757"/>
      <c r="AS311" s="2757"/>
      <c r="AT311" s="2757"/>
    </row>
    <row r="312" spans="1:46" ht="6" customHeight="1">
      <c r="A312" s="2757"/>
      <c r="B312" s="1262"/>
      <c r="C312" s="1262"/>
      <c r="D312" s="1262"/>
      <c r="E312" s="1262"/>
      <c r="F312" s="1262"/>
      <c r="G312" s="1262"/>
      <c r="H312" s="1262"/>
      <c r="I312" s="1262"/>
      <c r="J312" s="1262"/>
      <c r="K312" s="1262"/>
      <c r="L312" s="1262"/>
      <c r="M312" s="1262"/>
      <c r="N312" s="1262"/>
      <c r="O312" s="1262"/>
      <c r="P312" s="1262"/>
      <c r="Q312" s="1262"/>
      <c r="R312" s="1262"/>
      <c r="S312" s="1262"/>
      <c r="T312" s="1262"/>
      <c r="U312" s="1262"/>
      <c r="V312" s="1262"/>
      <c r="W312" s="1262"/>
      <c r="X312" s="1262"/>
      <c r="Y312" s="1262"/>
      <c r="Z312" s="1262"/>
      <c r="AA312" s="1262"/>
      <c r="AB312" s="1262"/>
      <c r="AC312" s="1262"/>
      <c r="AD312" s="1262"/>
      <c r="AE312" s="1262"/>
      <c r="AF312" s="1262"/>
      <c r="AG312" s="1262"/>
      <c r="AH312" s="1262"/>
      <c r="AI312" s="1262"/>
      <c r="AJ312" s="1262"/>
      <c r="AK312" s="1262"/>
      <c r="AL312" s="1262"/>
      <c r="AM312" s="1262"/>
      <c r="AN312" s="1262"/>
      <c r="AO312" s="1262"/>
      <c r="AP312" s="1262"/>
      <c r="AQ312" s="2757"/>
      <c r="AR312" s="2757"/>
      <c r="AS312" s="2757"/>
      <c r="AT312" s="2757"/>
    </row>
    <row r="313" spans="1:46" ht="15.75" customHeight="1">
      <c r="A313" s="2757"/>
      <c r="B313" s="1262"/>
      <c r="C313" s="1262"/>
      <c r="D313" s="1262"/>
      <c r="E313" s="1262"/>
      <c r="F313" s="5368" t="s">
        <v>432</v>
      </c>
      <c r="G313" s="1262" t="s">
        <v>5241</v>
      </c>
      <c r="H313" s="1262"/>
      <c r="I313" s="1262"/>
      <c r="J313" s="1262"/>
      <c r="K313" s="1262"/>
      <c r="L313" s="1262"/>
      <c r="M313" s="1262"/>
      <c r="N313" s="1262"/>
      <c r="O313" s="1262"/>
      <c r="P313" s="1262"/>
      <c r="Q313" s="1262"/>
      <c r="R313" s="1262"/>
      <c r="S313" s="1262"/>
      <c r="T313" s="1262"/>
      <c r="U313" s="1262"/>
      <c r="V313" s="1262"/>
      <c r="W313" s="1262"/>
      <c r="X313" s="1262"/>
      <c r="Y313" s="1262"/>
      <c r="Z313" s="1262"/>
      <c r="AA313" s="1262"/>
      <c r="AB313" s="1262"/>
      <c r="AC313" s="1262"/>
      <c r="AD313" s="1262"/>
      <c r="AE313" s="1262"/>
      <c r="AF313" s="9215"/>
      <c r="AG313" s="9215"/>
      <c r="AH313" s="9215"/>
      <c r="AI313" s="1262"/>
      <c r="AJ313" s="5555" t="s">
        <v>661</v>
      </c>
      <c r="AK313" s="9216" t="str">
        <f>IF(NOT(C203),"",IF(C263,AK235,IF(C315,SUM(AK235,-AK310),0)))</f>
        <v/>
      </c>
      <c r="AL313" s="9217"/>
      <c r="AM313" s="9217"/>
      <c r="AN313" s="9217"/>
      <c r="AO313" s="9218"/>
      <c r="AP313" s="1262"/>
      <c r="AQ313" s="2757"/>
      <c r="AR313" s="2757"/>
      <c r="AS313" s="2757"/>
      <c r="AT313" s="2757"/>
    </row>
    <row r="314" spans="1:46" ht="6.75" customHeight="1" thickBot="1">
      <c r="A314" s="2757"/>
      <c r="B314" s="1262"/>
      <c r="C314" s="1262"/>
      <c r="D314" s="1262"/>
      <c r="E314" s="1262"/>
      <c r="F314" s="1262"/>
      <c r="G314" s="1262"/>
      <c r="H314" s="1262"/>
      <c r="I314" s="1262"/>
      <c r="J314" s="1262"/>
      <c r="K314" s="1262"/>
      <c r="L314" s="1262"/>
      <c r="M314" s="1262"/>
      <c r="N314" s="1262"/>
      <c r="O314" s="1262"/>
      <c r="P314" s="1262"/>
      <c r="Q314" s="1262"/>
      <c r="R314" s="1262"/>
      <c r="S314" s="1262"/>
      <c r="T314" s="1262"/>
      <c r="U314" s="1262"/>
      <c r="V314" s="1262"/>
      <c r="W314" s="1262"/>
      <c r="X314" s="1262"/>
      <c r="Y314" s="1262"/>
      <c r="Z314" s="1262"/>
      <c r="AA314" s="1262"/>
      <c r="AB314" s="1262"/>
      <c r="AC314" s="1262"/>
      <c r="AD314" s="1262"/>
      <c r="AE314" s="1262"/>
      <c r="AF314" s="1262"/>
      <c r="AG314" s="1262"/>
      <c r="AH314" s="1262"/>
      <c r="AI314" s="1262"/>
      <c r="AJ314" s="1262"/>
      <c r="AK314" s="1262"/>
      <c r="AL314" s="1262"/>
      <c r="AM314" s="1262"/>
      <c r="AN314" s="1262"/>
      <c r="AO314" s="1262"/>
      <c r="AP314" s="1262"/>
      <c r="AQ314" s="2757"/>
      <c r="AR314" s="2757"/>
      <c r="AS314" s="2757"/>
      <c r="AT314" s="2757"/>
    </row>
    <row r="315" spans="1:46" ht="12" customHeight="1" thickBot="1">
      <c r="A315" s="2757"/>
      <c r="B315" s="1262"/>
      <c r="C315" s="9226" t="b">
        <f>(G315&lt;&gt;"")</f>
        <v>0</v>
      </c>
      <c r="D315" s="9226"/>
      <c r="E315" s="9226"/>
      <c r="F315" s="1262"/>
      <c r="G315" s="5583" t="str">
        <f>IF(OR(NOT(C203),C263),"",IF(AK310&gt;AK235,"","X"))</f>
        <v/>
      </c>
      <c r="H315" s="1262"/>
      <c r="I315" s="2808" t="s">
        <v>414</v>
      </c>
      <c r="J315" s="1262"/>
      <c r="K315" s="1262" t="s">
        <v>5242</v>
      </c>
      <c r="L315" s="1262"/>
      <c r="M315" s="1262"/>
      <c r="N315" s="1262"/>
      <c r="O315" s="1262"/>
      <c r="P315" s="1262"/>
      <c r="Q315" s="1262"/>
      <c r="R315" s="1262"/>
      <c r="S315" s="1262"/>
      <c r="T315" s="1262"/>
      <c r="U315" s="1262"/>
      <c r="V315" s="1262"/>
      <c r="W315" s="1262"/>
      <c r="X315" s="1262"/>
      <c r="Y315" s="1262"/>
      <c r="Z315" s="1262"/>
      <c r="AA315" s="1262"/>
      <c r="AB315" s="1262"/>
      <c r="AC315" s="1262"/>
      <c r="AD315" s="1262"/>
      <c r="AE315" s="1262"/>
      <c r="AF315" s="1262"/>
      <c r="AG315" s="1262"/>
      <c r="AH315" s="1262"/>
      <c r="AI315" s="1262"/>
      <c r="AJ315" s="1262"/>
      <c r="AK315" s="1262"/>
      <c r="AL315" s="1262"/>
      <c r="AM315" s="1262"/>
      <c r="AN315" s="1262"/>
      <c r="AO315" s="1262"/>
      <c r="AP315" s="1262"/>
      <c r="AQ315" s="2757"/>
      <c r="AR315" s="2757"/>
      <c r="AS315" s="2757"/>
      <c r="AT315" s="2757"/>
    </row>
    <row r="316" spans="1:46" ht="6.75" customHeight="1" thickBot="1">
      <c r="A316" s="2757"/>
      <c r="B316" s="1262"/>
      <c r="C316" s="1262"/>
      <c r="D316" s="1262"/>
      <c r="E316" s="1262"/>
      <c r="F316" s="1262"/>
      <c r="G316" s="1262"/>
      <c r="H316" s="1262"/>
      <c r="I316" s="1262"/>
      <c r="J316" s="1262"/>
      <c r="K316" s="1262"/>
      <c r="L316" s="1262"/>
      <c r="M316" s="1262"/>
      <c r="N316" s="1262"/>
      <c r="O316" s="1262"/>
      <c r="P316" s="1262"/>
      <c r="Q316" s="1262"/>
      <c r="R316" s="1262"/>
      <c r="S316" s="1262"/>
      <c r="T316" s="1262"/>
      <c r="U316" s="1262"/>
      <c r="V316" s="1262"/>
      <c r="W316" s="1262"/>
      <c r="X316" s="1262"/>
      <c r="Y316" s="1262"/>
      <c r="Z316" s="1262"/>
      <c r="AA316" s="1262"/>
      <c r="AB316" s="1262"/>
      <c r="AC316" s="1262"/>
      <c r="AD316" s="1262"/>
      <c r="AE316" s="1262"/>
      <c r="AF316" s="1262"/>
      <c r="AG316" s="1262"/>
      <c r="AH316" s="1262"/>
      <c r="AI316" s="1262"/>
      <c r="AJ316" s="1262"/>
      <c r="AK316" s="1262"/>
      <c r="AL316" s="1262"/>
      <c r="AM316" s="1262"/>
      <c r="AN316" s="1262"/>
      <c r="AO316" s="1262"/>
      <c r="AP316" s="1262"/>
      <c r="AQ316" s="2757"/>
      <c r="AR316" s="2757"/>
      <c r="AS316" s="2757"/>
      <c r="AT316" s="2757"/>
    </row>
    <row r="317" spans="1:46" ht="12" customHeight="1" thickBot="1">
      <c r="A317" s="2757"/>
      <c r="B317" s="1262"/>
      <c r="C317" s="9226" t="b">
        <f>(G317&lt;&gt;"")</f>
        <v>0</v>
      </c>
      <c r="D317" s="9226"/>
      <c r="E317" s="9226"/>
      <c r="F317" s="1262"/>
      <c r="G317" s="5583" t="str">
        <f>IF(OR(NOT(C203),C263),"",IF(AK310&gt;AK235,"X",""))</f>
        <v/>
      </c>
      <c r="H317" s="1262"/>
      <c r="I317" s="2808" t="s">
        <v>416</v>
      </c>
      <c r="J317" s="1262"/>
      <c r="K317" s="1262" t="s">
        <v>415</v>
      </c>
      <c r="L317" s="1262"/>
      <c r="M317" s="1262"/>
      <c r="N317" s="1262"/>
      <c r="O317" s="1262"/>
      <c r="P317" s="1262"/>
      <c r="Q317" s="1262"/>
      <c r="R317" s="1262"/>
      <c r="S317" s="1262"/>
      <c r="T317" s="1262"/>
      <c r="U317" s="1262"/>
      <c r="V317" s="1262"/>
      <c r="W317" s="1262"/>
      <c r="X317" s="1262"/>
      <c r="Y317" s="1262"/>
      <c r="Z317" s="1262"/>
      <c r="AA317" s="1262"/>
      <c r="AB317" s="1262"/>
      <c r="AC317" s="1262"/>
      <c r="AD317" s="1262"/>
      <c r="AE317" s="1262"/>
      <c r="AF317" s="1262"/>
      <c r="AG317" s="1262"/>
      <c r="AH317" s="1262"/>
      <c r="AI317" s="1262"/>
      <c r="AJ317" s="1262"/>
      <c r="AK317" s="1262"/>
      <c r="AL317" s="1262"/>
      <c r="AM317" s="1262"/>
      <c r="AN317" s="1262"/>
      <c r="AO317" s="1262"/>
      <c r="AP317" s="1262"/>
      <c r="AQ317" s="2757"/>
      <c r="AR317" s="2757"/>
      <c r="AS317" s="2757"/>
      <c r="AT317" s="2757"/>
    </row>
    <row r="318" spans="1:46" ht="6" customHeight="1">
      <c r="A318" s="2757"/>
      <c r="B318" s="1262"/>
      <c r="C318" s="1262"/>
      <c r="D318" s="1262"/>
      <c r="E318" s="1262"/>
      <c r="F318" s="1262"/>
      <c r="G318" s="1570"/>
      <c r="H318" s="1570"/>
      <c r="I318" s="1570"/>
      <c r="J318" s="1570"/>
      <c r="K318" s="1570"/>
      <c r="L318" s="1570"/>
      <c r="M318" s="1570"/>
      <c r="N318" s="1570"/>
      <c r="O318" s="1570"/>
      <c r="P318" s="1570"/>
      <c r="Q318" s="1570"/>
      <c r="R318" s="1570"/>
      <c r="S318" s="1570"/>
      <c r="T318" s="1570"/>
      <c r="U318" s="1570"/>
      <c r="V318" s="1570"/>
      <c r="W318" s="1570"/>
      <c r="X318" s="1570"/>
      <c r="Y318" s="1570"/>
      <c r="Z318" s="1570"/>
      <c r="AA318" s="1570"/>
      <c r="AB318" s="1570"/>
      <c r="AC318" s="1570"/>
      <c r="AD318" s="1570"/>
      <c r="AE318" s="1570"/>
      <c r="AF318" s="1570"/>
      <c r="AG318" s="1570"/>
      <c r="AH318" s="1570"/>
      <c r="AI318" s="1570"/>
      <c r="AJ318" s="1262"/>
      <c r="AK318" s="1262"/>
      <c r="AL318" s="1262"/>
      <c r="AM318" s="1262"/>
      <c r="AN318" s="1262"/>
      <c r="AO318" s="1262"/>
      <c r="AP318" s="1262"/>
      <c r="AQ318" s="2757"/>
      <c r="AR318" s="2757"/>
      <c r="AS318" s="2757"/>
      <c r="AT318" s="2757"/>
    </row>
    <row r="319" spans="1:46" ht="6" customHeight="1">
      <c r="A319" s="2757"/>
      <c r="B319" s="1262"/>
      <c r="C319" s="1262"/>
      <c r="D319" s="1262"/>
      <c r="E319" s="1262"/>
      <c r="F319" s="1262"/>
      <c r="G319" s="1262"/>
      <c r="H319" s="1262"/>
      <c r="I319" s="1262"/>
      <c r="J319" s="1262"/>
      <c r="K319" s="1262"/>
      <c r="L319" s="1262"/>
      <c r="M319" s="1262"/>
      <c r="N319" s="1262"/>
      <c r="O319" s="1262"/>
      <c r="P319" s="1262"/>
      <c r="Q319" s="1262"/>
      <c r="R319" s="1262"/>
      <c r="S319" s="1262"/>
      <c r="T319" s="1262"/>
      <c r="U319" s="1262"/>
      <c r="V319" s="1262"/>
      <c r="W319" s="1262"/>
      <c r="X319" s="1262"/>
      <c r="Y319" s="1262"/>
      <c r="Z319" s="1262"/>
      <c r="AA319" s="1262"/>
      <c r="AB319" s="1262"/>
      <c r="AC319" s="1262"/>
      <c r="AD319" s="1262"/>
      <c r="AE319" s="1262"/>
      <c r="AF319" s="1262"/>
      <c r="AG319" s="1262"/>
      <c r="AH319" s="1262"/>
      <c r="AI319" s="1262"/>
      <c r="AJ319" s="1262"/>
      <c r="AK319" s="1262"/>
      <c r="AL319" s="1262"/>
      <c r="AM319" s="1262"/>
      <c r="AN319" s="1262"/>
      <c r="AO319" s="1262"/>
      <c r="AP319" s="1262"/>
      <c r="AQ319" s="2757"/>
      <c r="AR319" s="2757"/>
      <c r="AS319" s="2757"/>
      <c r="AT319" s="2757"/>
    </row>
    <row r="320" spans="1:46">
      <c r="A320" s="2757"/>
      <c r="B320" s="1262"/>
      <c r="C320" s="1262"/>
      <c r="D320" s="1262"/>
      <c r="E320" s="1262"/>
      <c r="F320" s="5368"/>
      <c r="G320" s="1262" t="s">
        <v>5245</v>
      </c>
      <c r="H320" s="1262"/>
      <c r="I320" s="1262"/>
      <c r="J320" s="1262"/>
      <c r="K320" s="1262"/>
      <c r="L320" s="1262"/>
      <c r="M320" s="1262"/>
      <c r="N320" s="1262"/>
      <c r="O320" s="1262"/>
      <c r="P320" s="1262"/>
      <c r="Q320" s="1262"/>
      <c r="R320" s="1262"/>
      <c r="S320" s="1262"/>
      <c r="T320" s="1262"/>
      <c r="U320" s="1262"/>
      <c r="V320" s="1262"/>
      <c r="W320" s="1262"/>
      <c r="X320" s="1262"/>
      <c r="Y320" s="1262"/>
      <c r="Z320" s="1262"/>
      <c r="AA320" s="1262"/>
      <c r="AB320" s="1262"/>
      <c r="AC320" s="1262"/>
      <c r="AD320" s="1262"/>
      <c r="AE320" s="1262"/>
      <c r="AF320" s="1262"/>
      <c r="AG320" s="1262"/>
      <c r="AH320" s="1262"/>
      <c r="AI320" s="1262"/>
      <c r="AJ320" s="1262"/>
      <c r="AK320" s="1262"/>
      <c r="AL320" s="1262"/>
      <c r="AM320" s="1262"/>
      <c r="AN320" s="1262"/>
      <c r="AO320" s="1262"/>
      <c r="AP320" s="1262"/>
      <c r="AQ320" s="2757"/>
      <c r="AR320" s="2757"/>
      <c r="AS320" s="2757"/>
      <c r="AT320" s="2757"/>
    </row>
    <row r="321" spans="1:46" ht="12.75" customHeight="1">
      <c r="A321" s="2757"/>
      <c r="B321" s="1262"/>
      <c r="C321" s="1262"/>
      <c r="D321" s="1262"/>
      <c r="E321" s="1262"/>
      <c r="F321" s="5368"/>
      <c r="G321" s="5041" t="s">
        <v>593</v>
      </c>
      <c r="H321" s="1262" t="s">
        <v>5030</v>
      </c>
      <c r="I321" s="1262"/>
      <c r="J321" s="1262"/>
      <c r="K321" s="1262"/>
      <c r="L321" s="1262"/>
      <c r="M321" s="1262"/>
      <c r="N321" s="1262"/>
      <c r="O321" s="1262"/>
      <c r="P321" s="1262"/>
      <c r="Q321" s="1262"/>
      <c r="R321" s="1262"/>
      <c r="S321" s="1262"/>
      <c r="T321" s="1262"/>
      <c r="U321" s="1262"/>
      <c r="V321" s="1262"/>
      <c r="W321" s="1262"/>
      <c r="X321" s="1262"/>
      <c r="Y321" s="1262"/>
      <c r="Z321" s="1262"/>
      <c r="AA321" s="1262"/>
      <c r="AB321" s="1262"/>
      <c r="AC321" s="1262"/>
      <c r="AD321" s="1262"/>
      <c r="AE321" s="1262"/>
      <c r="AF321" s="1262"/>
      <c r="AG321" s="1262"/>
      <c r="AH321" s="1262"/>
      <c r="AI321" s="1262"/>
      <c r="AJ321" s="1262"/>
      <c r="AK321" s="1262"/>
      <c r="AL321" s="1262"/>
      <c r="AM321" s="1262"/>
      <c r="AN321" s="1262"/>
      <c r="AO321" s="1262"/>
      <c r="AP321" s="1262"/>
      <c r="AQ321" s="2757"/>
      <c r="AR321" s="2757"/>
      <c r="AS321" s="2757"/>
      <c r="AT321" s="2757"/>
    </row>
    <row r="322" spans="1:46" ht="12.75" customHeight="1">
      <c r="A322" s="2757"/>
      <c r="B322" s="1262"/>
      <c r="C322" s="1262"/>
      <c r="D322" s="1262"/>
      <c r="E322" s="1262"/>
      <c r="F322" s="5368"/>
      <c r="G322" s="5041" t="s">
        <v>593</v>
      </c>
      <c r="H322" s="1262" t="s">
        <v>757</v>
      </c>
      <c r="I322" s="1262"/>
      <c r="J322" s="1262"/>
      <c r="K322" s="1262"/>
      <c r="L322" s="1262"/>
      <c r="M322" s="1262"/>
      <c r="N322" s="1262"/>
      <c r="O322" s="1262"/>
      <c r="P322" s="1262"/>
      <c r="Q322" s="1262"/>
      <c r="R322" s="1262"/>
      <c r="S322" s="1262"/>
      <c r="T322" s="1262"/>
      <c r="U322" s="1262"/>
      <c r="V322" s="1262"/>
      <c r="W322" s="1262"/>
      <c r="X322" s="1262"/>
      <c r="Y322" s="1262"/>
      <c r="Z322" s="1262"/>
      <c r="AA322" s="1262"/>
      <c r="AB322" s="1262"/>
      <c r="AC322" s="1262"/>
      <c r="AD322" s="1262"/>
      <c r="AE322" s="1262"/>
      <c r="AF322" s="1262"/>
      <c r="AG322" s="1262"/>
      <c r="AH322" s="1262"/>
      <c r="AI322" s="1262"/>
      <c r="AJ322" s="1262"/>
      <c r="AK322" s="1262"/>
      <c r="AL322" s="1262"/>
      <c r="AM322" s="1262"/>
      <c r="AN322" s="1262"/>
      <c r="AO322" s="1262"/>
      <c r="AP322" s="1262"/>
      <c r="AQ322" s="2757"/>
      <c r="AR322" s="2757"/>
      <c r="AS322" s="2757"/>
      <c r="AT322" s="2757"/>
    </row>
    <row r="323" spans="1:46" ht="12.75" customHeight="1">
      <c r="A323" s="2757"/>
      <c r="B323" s="1262"/>
      <c r="C323" s="1262"/>
      <c r="D323" s="1262"/>
      <c r="E323" s="1262"/>
      <c r="F323" s="5368"/>
      <c r="G323" s="5041" t="s">
        <v>593</v>
      </c>
      <c r="H323" s="1262" t="s">
        <v>5243</v>
      </c>
      <c r="I323" s="1262"/>
      <c r="J323" s="1262"/>
      <c r="K323" s="1262"/>
      <c r="L323" s="1262"/>
      <c r="M323" s="1262"/>
      <c r="N323" s="1262"/>
      <c r="O323" s="1262"/>
      <c r="P323" s="1262"/>
      <c r="Q323" s="1262"/>
      <c r="R323" s="1262"/>
      <c r="S323" s="1262"/>
      <c r="T323" s="1262"/>
      <c r="U323" s="1262"/>
      <c r="V323" s="1262"/>
      <c r="W323" s="1262"/>
      <c r="X323" s="1262"/>
      <c r="Y323" s="1262"/>
      <c r="Z323" s="1262"/>
      <c r="AA323" s="1262"/>
      <c r="AB323" s="1262"/>
      <c r="AC323" s="1262"/>
      <c r="AD323" s="1262"/>
      <c r="AE323" s="1262"/>
      <c r="AF323" s="1262"/>
      <c r="AG323" s="1262"/>
      <c r="AH323" s="1262"/>
      <c r="AI323" s="1262"/>
      <c r="AJ323" s="1262"/>
      <c r="AK323" s="1262"/>
      <c r="AL323" s="1262"/>
      <c r="AM323" s="1262"/>
      <c r="AN323" s="1262"/>
      <c r="AO323" s="1262"/>
      <c r="AP323" s="1262"/>
      <c r="AQ323" s="2757"/>
      <c r="AR323" s="2757"/>
      <c r="AS323" s="2757"/>
      <c r="AT323" s="2757"/>
    </row>
    <row r="324" spans="1:46" ht="12.75" customHeight="1">
      <c r="A324" s="2757"/>
      <c r="B324" s="1262"/>
      <c r="C324" s="1262"/>
      <c r="D324" s="1262"/>
      <c r="E324" s="1262"/>
      <c r="F324" s="5368"/>
      <c r="G324" s="5041" t="s">
        <v>593</v>
      </c>
      <c r="H324" s="1262" t="s">
        <v>5244</v>
      </c>
      <c r="I324" s="1262"/>
      <c r="J324" s="1262"/>
      <c r="K324" s="1262"/>
      <c r="L324" s="1262"/>
      <c r="M324" s="1262"/>
      <c r="N324" s="1262"/>
      <c r="O324" s="1262"/>
      <c r="P324" s="1262"/>
      <c r="Q324" s="1262"/>
      <c r="R324" s="1262"/>
      <c r="S324" s="1262"/>
      <c r="T324" s="1262"/>
      <c r="U324" s="1262"/>
      <c r="V324" s="1262"/>
      <c r="W324" s="1262"/>
      <c r="X324" s="1262"/>
      <c r="Y324" s="1262"/>
      <c r="Z324" s="1262"/>
      <c r="AA324" s="1262"/>
      <c r="AB324" s="1262"/>
      <c r="AC324" s="1262"/>
      <c r="AD324" s="1262"/>
      <c r="AE324" s="1262"/>
      <c r="AF324" s="1262"/>
      <c r="AG324" s="1262"/>
      <c r="AH324" s="1262"/>
      <c r="AI324" s="1262"/>
      <c r="AJ324" s="1262"/>
      <c r="AK324" s="1262"/>
      <c r="AL324" s="1262"/>
      <c r="AM324" s="1262"/>
      <c r="AN324" s="1262"/>
      <c r="AO324" s="1262"/>
      <c r="AP324" s="1262"/>
      <c r="AQ324" s="2757"/>
      <c r="AR324" s="2757"/>
      <c r="AS324" s="2757"/>
      <c r="AT324" s="2757"/>
    </row>
    <row r="325" spans="1:46">
      <c r="A325" s="2757"/>
      <c r="B325" s="1262"/>
      <c r="C325" s="1262"/>
      <c r="D325" s="1262"/>
      <c r="E325" s="1262"/>
      <c r="F325" s="5368"/>
      <c r="G325" s="5554" t="s">
        <v>3078</v>
      </c>
      <c r="H325" s="1262"/>
      <c r="I325" s="1262"/>
      <c r="J325" s="1262"/>
      <c r="K325" s="1262"/>
      <c r="L325" s="1262"/>
      <c r="M325" s="1262"/>
      <c r="N325" s="1262"/>
      <c r="O325" s="1262"/>
      <c r="P325" s="1262"/>
      <c r="Q325" s="1262"/>
      <c r="R325" s="1262"/>
      <c r="S325" s="1262"/>
      <c r="T325" s="1262"/>
      <c r="U325" s="1262"/>
      <c r="V325" s="1262"/>
      <c r="W325" s="1262"/>
      <c r="X325" s="1262"/>
      <c r="Y325" s="1262"/>
      <c r="Z325" s="1262"/>
      <c r="AA325" s="1262"/>
      <c r="AB325" s="1262"/>
      <c r="AC325" s="1262"/>
      <c r="AD325" s="1262"/>
      <c r="AE325" s="1262"/>
      <c r="AF325" s="1262"/>
      <c r="AG325" s="1262"/>
      <c r="AH325" s="1262"/>
      <c r="AI325" s="1262"/>
      <c r="AJ325" s="1262"/>
      <c r="AK325" s="1262"/>
      <c r="AL325" s="1262"/>
      <c r="AM325" s="1262"/>
      <c r="AN325" s="1262"/>
      <c r="AO325" s="1262"/>
      <c r="AP325" s="1262"/>
      <c r="AQ325" s="2757"/>
      <c r="AR325" s="2757"/>
      <c r="AS325" s="2757"/>
      <c r="AT325" s="2757"/>
    </row>
    <row r="326" spans="1:46" ht="6" customHeight="1">
      <c r="A326" s="2757"/>
      <c r="B326" s="1262"/>
      <c r="C326" s="1262"/>
      <c r="D326" s="1262"/>
      <c r="E326" s="1262"/>
      <c r="F326" s="1262"/>
      <c r="G326" s="1570"/>
      <c r="H326" s="1570"/>
      <c r="I326" s="1570"/>
      <c r="J326" s="1570"/>
      <c r="K326" s="1570"/>
      <c r="L326" s="1570"/>
      <c r="M326" s="1570"/>
      <c r="N326" s="1570"/>
      <c r="O326" s="1570"/>
      <c r="P326" s="1570"/>
      <c r="Q326" s="1570"/>
      <c r="R326" s="1570"/>
      <c r="S326" s="1570"/>
      <c r="T326" s="1570"/>
      <c r="U326" s="1570"/>
      <c r="V326" s="1570"/>
      <c r="W326" s="1570"/>
      <c r="X326" s="1570"/>
      <c r="Y326" s="1570"/>
      <c r="Z326" s="1570"/>
      <c r="AA326" s="1570"/>
      <c r="AB326" s="1570"/>
      <c r="AC326" s="1570"/>
      <c r="AD326" s="1570"/>
      <c r="AE326" s="1570"/>
      <c r="AF326" s="1570"/>
      <c r="AG326" s="1570"/>
      <c r="AH326" s="1570"/>
      <c r="AI326" s="1570"/>
      <c r="AJ326" s="1262"/>
      <c r="AK326" s="1262"/>
      <c r="AL326" s="1262"/>
      <c r="AM326" s="1262"/>
      <c r="AN326" s="1262"/>
      <c r="AO326" s="1262"/>
      <c r="AP326" s="1262"/>
      <c r="AQ326" s="2757"/>
      <c r="AR326" s="2757"/>
      <c r="AS326" s="2757"/>
      <c r="AT326" s="2757"/>
    </row>
    <row r="327" spans="1:46" ht="6" customHeight="1">
      <c r="A327" s="2757"/>
      <c r="B327" s="1262"/>
      <c r="C327" s="1262"/>
      <c r="D327" s="1262"/>
      <c r="E327" s="1262"/>
      <c r="F327" s="1262"/>
      <c r="G327" s="1262"/>
      <c r="H327" s="1262"/>
      <c r="I327" s="1262"/>
      <c r="J327" s="1262"/>
      <c r="K327" s="1262"/>
      <c r="L327" s="1262"/>
      <c r="M327" s="1262"/>
      <c r="N327" s="1262"/>
      <c r="O327" s="1262"/>
      <c r="P327" s="1262"/>
      <c r="Q327" s="1262"/>
      <c r="R327" s="1262"/>
      <c r="S327" s="1262"/>
      <c r="T327" s="1262"/>
      <c r="U327" s="1262"/>
      <c r="V327" s="1262"/>
      <c r="W327" s="1262"/>
      <c r="X327" s="1262"/>
      <c r="Y327" s="1262"/>
      <c r="Z327" s="1262"/>
      <c r="AA327" s="1262"/>
      <c r="AB327" s="1262"/>
      <c r="AC327" s="1262"/>
      <c r="AD327" s="1262"/>
      <c r="AE327" s="1262"/>
      <c r="AF327" s="1262"/>
      <c r="AG327" s="1262"/>
      <c r="AH327" s="1262"/>
      <c r="AI327" s="1262"/>
      <c r="AJ327" s="1262"/>
      <c r="AK327" s="1262"/>
      <c r="AL327" s="1262"/>
      <c r="AM327" s="1262"/>
      <c r="AN327" s="1262"/>
      <c r="AO327" s="1262"/>
      <c r="AP327" s="1262"/>
      <c r="AQ327" s="2757"/>
      <c r="AR327" s="2757"/>
      <c r="AS327" s="2757"/>
      <c r="AT327" s="2757"/>
    </row>
    <row r="328" spans="1:46" ht="15.75" customHeight="1">
      <c r="A328" s="2757"/>
      <c r="B328" s="1262"/>
      <c r="C328" s="1262"/>
      <c r="D328" s="1262"/>
      <c r="E328" s="1262"/>
      <c r="F328" s="5368" t="s">
        <v>433</v>
      </c>
      <c r="G328" s="1262" t="s">
        <v>5246</v>
      </c>
      <c r="H328" s="1262"/>
      <c r="I328" s="1262"/>
      <c r="J328" s="1262"/>
      <c r="K328" s="1262"/>
      <c r="L328" s="1262"/>
      <c r="M328" s="1262"/>
      <c r="N328" s="1262"/>
      <c r="O328" s="1262"/>
      <c r="P328" s="1262"/>
      <c r="Q328" s="1262"/>
      <c r="R328" s="1262"/>
      <c r="S328" s="1262"/>
      <c r="T328" s="1262"/>
      <c r="U328" s="1262"/>
      <c r="V328" s="1262"/>
      <c r="W328" s="1262"/>
      <c r="X328" s="1262"/>
      <c r="Y328" s="1262"/>
      <c r="Z328" s="1262"/>
      <c r="AA328" s="1262"/>
      <c r="AB328" s="1262"/>
      <c r="AC328" s="1262"/>
      <c r="AD328" s="1262"/>
      <c r="AE328" s="1262"/>
      <c r="AF328" s="1262"/>
      <c r="AG328" s="1262"/>
      <c r="AH328" s="1262"/>
      <c r="AI328" s="1262"/>
      <c r="AJ328" s="1262"/>
      <c r="AK328" s="1262"/>
      <c r="AL328" s="1262"/>
      <c r="AM328" s="1262"/>
      <c r="AN328" s="1262"/>
      <c r="AO328" s="1262"/>
      <c r="AP328" s="1262"/>
      <c r="AQ328" s="2757"/>
      <c r="AR328" s="2757"/>
      <c r="AS328" s="5931" t="s">
        <v>91</v>
      </c>
      <c r="AT328" s="2757"/>
    </row>
    <row r="329" spans="1:46" ht="11.25" customHeight="1" thickBot="1">
      <c r="A329" s="2757"/>
      <c r="B329" s="1262"/>
      <c r="C329" s="1262"/>
      <c r="D329" s="1262"/>
      <c r="E329" s="9411" t="str">
        <f>IF(F206&lt;&gt;"","→","")</f>
        <v/>
      </c>
      <c r="F329" s="9411"/>
      <c r="G329" s="5041" t="s">
        <v>593</v>
      </c>
      <c r="H329" s="1262" t="s">
        <v>758</v>
      </c>
      <c r="I329" s="1262"/>
      <c r="J329" s="1262"/>
      <c r="K329" s="1262"/>
      <c r="L329" s="1262"/>
      <c r="M329" s="1262"/>
      <c r="N329" s="1262"/>
      <c r="O329" s="1262"/>
      <c r="P329" s="1262"/>
      <c r="Q329" s="9214"/>
      <c r="R329" s="9214"/>
      <c r="S329" s="9214"/>
      <c r="T329" s="9214"/>
      <c r="U329" s="1262"/>
      <c r="V329" s="1262"/>
      <c r="W329" s="1262"/>
      <c r="X329" s="1262"/>
      <c r="Y329" s="1262"/>
      <c r="Z329" s="1262"/>
      <c r="AA329" s="1262"/>
      <c r="AB329" s="1262"/>
      <c r="AC329" s="1262"/>
      <c r="AD329" s="1262"/>
      <c r="AE329" s="1262"/>
      <c r="AF329" s="1262"/>
      <c r="AG329" s="1262"/>
      <c r="AH329" s="1262"/>
      <c r="AI329" s="1262"/>
      <c r="AJ329" s="1262"/>
      <c r="AK329" s="1262"/>
      <c r="AL329" s="1262"/>
      <c r="AM329" s="1262"/>
      <c r="AN329" s="1262"/>
      <c r="AO329" s="1262"/>
      <c r="AP329" s="1262"/>
      <c r="AQ329" s="2757"/>
      <c r="AR329" s="2757"/>
      <c r="AS329" s="2757"/>
      <c r="AT329" s="2757"/>
    </row>
    <row r="330" spans="1:46" ht="11.25" customHeight="1" thickTop="1">
      <c r="A330" s="2757"/>
      <c r="B330" s="1262"/>
      <c r="C330" s="1262"/>
      <c r="D330" s="1262"/>
      <c r="E330" s="9411" t="str">
        <f>IF(F207&lt;&gt;"","→","")</f>
        <v/>
      </c>
      <c r="F330" s="9411"/>
      <c r="G330" s="5041" t="s">
        <v>593</v>
      </c>
      <c r="H330" s="1262" t="s">
        <v>814</v>
      </c>
      <c r="I330" s="1262"/>
      <c r="J330" s="1262"/>
      <c r="K330" s="1262"/>
      <c r="L330" s="1262"/>
      <c r="M330" s="1262"/>
      <c r="N330" s="1262"/>
      <c r="O330" s="1262"/>
      <c r="P330" s="1262"/>
      <c r="Q330" s="9214"/>
      <c r="R330" s="9214"/>
      <c r="S330" s="9214"/>
      <c r="T330" s="9214"/>
      <c r="U330" s="1262"/>
      <c r="V330" s="1262"/>
      <c r="W330" s="1262"/>
      <c r="X330" s="1262"/>
      <c r="Y330" s="1262"/>
      <c r="Z330" s="1262"/>
      <c r="AA330" s="1262"/>
      <c r="AB330" s="1262"/>
      <c r="AC330" s="1262"/>
      <c r="AD330" s="1262"/>
      <c r="AE330" s="1262"/>
      <c r="AF330" s="1262"/>
      <c r="AG330" s="1262"/>
      <c r="AH330" s="1262"/>
      <c r="AI330" s="1262"/>
      <c r="AJ330" s="9227" t="s">
        <v>662</v>
      </c>
      <c r="AK330" s="9229" t="str">
        <f>IF(AS330&lt;&gt;"",ROUND(AS330,0),IF(OR(NOT(C203),C263),"",SUM(AK313,Q329:Q332)))</f>
        <v/>
      </c>
      <c r="AL330" s="9229"/>
      <c r="AM330" s="9229"/>
      <c r="AN330" s="9229"/>
      <c r="AO330" s="9229"/>
      <c r="AP330" s="1262"/>
      <c r="AQ330" s="2757"/>
      <c r="AR330" s="2757"/>
      <c r="AS330" s="9417"/>
      <c r="AT330" s="2757"/>
    </row>
    <row r="331" spans="1:46" ht="11.25" customHeight="1" thickBot="1">
      <c r="A331" s="2757"/>
      <c r="B331" s="1262"/>
      <c r="C331" s="1262"/>
      <c r="D331" s="1262"/>
      <c r="E331" s="9411" t="str">
        <f>IF(F208&lt;&gt;"","→","")</f>
        <v/>
      </c>
      <c r="F331" s="9411"/>
      <c r="G331" s="5041" t="s">
        <v>593</v>
      </c>
      <c r="H331" s="1262" t="s">
        <v>815</v>
      </c>
      <c r="I331" s="1262"/>
      <c r="J331" s="1262"/>
      <c r="K331" s="1262"/>
      <c r="L331" s="1262"/>
      <c r="M331" s="1262"/>
      <c r="N331" s="1262"/>
      <c r="O331" s="1262"/>
      <c r="P331" s="1262"/>
      <c r="Q331" s="9214"/>
      <c r="R331" s="9214"/>
      <c r="S331" s="9214"/>
      <c r="T331" s="9214"/>
      <c r="U331" s="1262"/>
      <c r="V331" s="1262"/>
      <c r="W331" s="1262"/>
      <c r="X331" s="1262"/>
      <c r="Y331" s="1262"/>
      <c r="Z331" s="1262"/>
      <c r="AA331" s="1262"/>
      <c r="AB331" s="1262"/>
      <c r="AC331" s="1262"/>
      <c r="AD331" s="1262"/>
      <c r="AE331" s="1262"/>
      <c r="AF331" s="1262"/>
      <c r="AG331" s="1262"/>
      <c r="AH331" s="1262"/>
      <c r="AI331" s="1262"/>
      <c r="AJ331" s="9228"/>
      <c r="AK331" s="9230"/>
      <c r="AL331" s="9230"/>
      <c r="AM331" s="9230"/>
      <c r="AN331" s="9230"/>
      <c r="AO331" s="9230"/>
      <c r="AP331" s="1262"/>
      <c r="AQ331" s="2757"/>
      <c r="AR331" s="2757"/>
      <c r="AS331" s="9418"/>
      <c r="AT331" s="2757"/>
    </row>
    <row r="332" spans="1:46" ht="11.25" customHeight="1" thickTop="1">
      <c r="A332" s="2757"/>
      <c r="B332" s="1262"/>
      <c r="C332" s="1262"/>
      <c r="D332" s="1262"/>
      <c r="E332" s="9411" t="str">
        <f>IF(F209&lt;&gt;"","→","")</f>
        <v/>
      </c>
      <c r="F332" s="9411"/>
      <c r="G332" s="5041" t="s">
        <v>593</v>
      </c>
      <c r="H332" s="1262" t="s">
        <v>5247</v>
      </c>
      <c r="I332" s="1262"/>
      <c r="J332" s="1262"/>
      <c r="K332" s="1262"/>
      <c r="L332" s="1262"/>
      <c r="M332" s="1262"/>
      <c r="N332" s="1262"/>
      <c r="O332" s="1262"/>
      <c r="P332" s="1262"/>
      <c r="Q332" s="9214"/>
      <c r="R332" s="9214"/>
      <c r="S332" s="9214"/>
      <c r="T332" s="9214"/>
      <c r="U332" s="1262"/>
      <c r="V332" s="1262"/>
      <c r="W332" s="1262"/>
      <c r="X332" s="1262"/>
      <c r="Y332" s="1262"/>
      <c r="Z332" s="1262"/>
      <c r="AA332" s="1262"/>
      <c r="AB332" s="1262"/>
      <c r="AC332" s="1262"/>
      <c r="AD332" s="1262"/>
      <c r="AE332" s="1262"/>
      <c r="AF332" s="1262"/>
      <c r="AG332" s="1262"/>
      <c r="AH332" s="1262"/>
      <c r="AI332" s="1262"/>
      <c r="AJ332" s="5558" t="s">
        <v>462</v>
      </c>
      <c r="AK332" s="1262"/>
      <c r="AL332" s="1262"/>
      <c r="AM332" s="1262"/>
      <c r="AN332" s="1262"/>
      <c r="AO332" s="1262"/>
      <c r="AP332" s="1262"/>
      <c r="AQ332" s="2757"/>
      <c r="AR332" s="2757"/>
      <c r="AS332" s="2757"/>
      <c r="AT332" s="2757"/>
    </row>
    <row r="333" spans="1:46">
      <c r="A333" s="2757"/>
      <c r="B333" s="1262"/>
      <c r="C333" s="1262"/>
      <c r="D333" s="1262"/>
      <c r="E333" s="1262"/>
      <c r="F333" s="5368"/>
      <c r="G333" s="1262"/>
      <c r="H333" s="1262"/>
      <c r="I333" s="1262"/>
      <c r="J333" s="1262"/>
      <c r="K333" s="1262"/>
      <c r="L333" s="1262"/>
      <c r="M333" s="1262"/>
      <c r="N333" s="1262"/>
      <c r="O333" s="1262"/>
      <c r="P333" s="1262"/>
      <c r="Q333" s="1262"/>
      <c r="R333" s="1262"/>
      <c r="S333" s="1262"/>
      <c r="T333" s="1262"/>
      <c r="U333" s="1262"/>
      <c r="V333" s="1262"/>
      <c r="W333" s="1262"/>
      <c r="X333" s="1262"/>
      <c r="Y333" s="1262"/>
      <c r="Z333" s="1262"/>
      <c r="AA333" s="1262"/>
      <c r="AB333" s="1262"/>
      <c r="AC333" s="1262"/>
      <c r="AD333" s="1262"/>
      <c r="AE333" s="1262"/>
      <c r="AF333" s="1262"/>
      <c r="AG333" s="1262"/>
      <c r="AH333" s="1262"/>
      <c r="AI333" s="1262"/>
      <c r="AJ333" s="5554" t="s">
        <v>5248</v>
      </c>
      <c r="AK333" s="1262"/>
      <c r="AL333" s="1262"/>
      <c r="AM333" s="1262"/>
      <c r="AN333" s="1262"/>
      <c r="AO333" s="1262"/>
      <c r="AP333" s="1262"/>
      <c r="AQ333" s="2757"/>
      <c r="AR333" s="2757"/>
      <c r="AS333" s="2757"/>
      <c r="AT333" s="2757"/>
    </row>
    <row r="334" spans="1:46">
      <c r="A334" s="2757"/>
      <c r="B334" s="1262"/>
      <c r="C334" s="1262"/>
      <c r="D334" s="1262"/>
      <c r="E334" s="1262"/>
      <c r="F334" s="5368"/>
      <c r="G334" s="1262"/>
      <c r="H334" s="1262"/>
      <c r="I334" s="1262"/>
      <c r="J334" s="1262"/>
      <c r="K334" s="1262"/>
      <c r="L334" s="1262"/>
      <c r="M334" s="1262"/>
      <c r="N334" s="1262"/>
      <c r="O334" s="1262"/>
      <c r="P334" s="1262"/>
      <c r="Q334" s="1262"/>
      <c r="R334" s="1262"/>
      <c r="S334" s="1262"/>
      <c r="T334" s="1262"/>
      <c r="U334" s="1262"/>
      <c r="V334" s="1262"/>
      <c r="W334" s="1262"/>
      <c r="X334" s="1262"/>
      <c r="Y334" s="1262"/>
      <c r="Z334" s="1262"/>
      <c r="AA334" s="1262"/>
      <c r="AB334" s="1262"/>
      <c r="AC334" s="1262"/>
      <c r="AD334" s="1262"/>
      <c r="AE334" s="1262"/>
      <c r="AF334" s="1262"/>
      <c r="AG334" s="1262"/>
      <c r="AH334" s="1262"/>
      <c r="AI334" s="1262"/>
      <c r="AJ334" s="5554" t="s">
        <v>5249</v>
      </c>
      <c r="AK334" s="1262"/>
      <c r="AL334" s="1262"/>
      <c r="AM334" s="1262"/>
      <c r="AN334" s="1262"/>
      <c r="AO334" s="1262"/>
      <c r="AP334" s="1262"/>
      <c r="AQ334" s="2757"/>
      <c r="AR334" s="2757"/>
      <c r="AS334" s="2757"/>
      <c r="AT334" s="2757"/>
    </row>
    <row r="335" spans="1:46" ht="7.5" customHeight="1" thickBot="1">
      <c r="A335" s="2757"/>
      <c r="B335" s="1262"/>
      <c r="C335" s="1262"/>
      <c r="D335" s="1262"/>
      <c r="E335" s="1262"/>
      <c r="F335" s="5368"/>
      <c r="G335" s="1262"/>
      <c r="H335" s="1262"/>
      <c r="I335" s="1262"/>
      <c r="J335" s="1262"/>
      <c r="K335" s="1262"/>
      <c r="L335" s="1262"/>
      <c r="M335" s="1262"/>
      <c r="N335" s="1262"/>
      <c r="O335" s="1262"/>
      <c r="P335" s="1262"/>
      <c r="Q335" s="1262"/>
      <c r="R335" s="1262"/>
      <c r="S335" s="1262"/>
      <c r="T335" s="1262"/>
      <c r="U335" s="1262"/>
      <c r="V335" s="1262"/>
      <c r="W335" s="1262"/>
      <c r="X335" s="1262"/>
      <c r="Y335" s="1262"/>
      <c r="Z335" s="1262"/>
      <c r="AA335" s="1262"/>
      <c r="AB335" s="1262"/>
      <c r="AC335" s="1262"/>
      <c r="AD335" s="1262"/>
      <c r="AE335" s="1262"/>
      <c r="AF335" s="1262"/>
      <c r="AG335" s="1262"/>
      <c r="AH335" s="1262"/>
      <c r="AI335" s="1262"/>
      <c r="AJ335" s="1262"/>
      <c r="AK335" s="1262"/>
      <c r="AL335" s="1262"/>
      <c r="AM335" s="1262"/>
      <c r="AN335" s="1262"/>
      <c r="AO335" s="1262"/>
      <c r="AP335" s="1262"/>
      <c r="AQ335" s="2757"/>
      <c r="AR335" s="2757"/>
      <c r="AS335" s="2757"/>
      <c r="AT335" s="2757"/>
    </row>
    <row r="336" spans="1:46" ht="10.5" customHeight="1" thickTop="1">
      <c r="A336" s="2757"/>
      <c r="B336" s="1262"/>
      <c r="C336" s="5557"/>
      <c r="D336" s="5497"/>
      <c r="E336" s="5497"/>
      <c r="F336" s="5497"/>
      <c r="G336" s="5497"/>
      <c r="H336" s="5497"/>
      <c r="I336" s="5497"/>
      <c r="J336" s="5497"/>
      <c r="K336" s="5497"/>
      <c r="L336" s="5497"/>
      <c r="M336" s="5497"/>
      <c r="N336" s="5497"/>
      <c r="O336" s="5497"/>
      <c r="P336" s="5497"/>
      <c r="Q336" s="5497"/>
      <c r="R336" s="5497"/>
      <c r="S336" s="5497"/>
      <c r="T336" s="5497"/>
      <c r="U336" s="5497"/>
      <c r="V336" s="5497"/>
      <c r="W336" s="5497"/>
      <c r="X336" s="5497"/>
      <c r="Y336" s="5497"/>
      <c r="Z336" s="5497"/>
      <c r="AA336" s="5497"/>
      <c r="AB336" s="5497"/>
      <c r="AC336" s="5497"/>
      <c r="AD336" s="5497"/>
      <c r="AE336" s="5497"/>
      <c r="AF336" s="5497"/>
      <c r="AG336" s="5497"/>
      <c r="AH336" s="5497"/>
      <c r="AI336" s="5497"/>
      <c r="AJ336" s="5497"/>
      <c r="AK336" s="5497"/>
      <c r="AL336" s="5497"/>
      <c r="AM336" s="5497"/>
      <c r="AN336" s="5497"/>
      <c r="AO336" s="5497"/>
      <c r="AP336" s="1262"/>
      <c r="AQ336" s="2757"/>
      <c r="AR336" s="2757"/>
      <c r="AS336" s="2757"/>
      <c r="AT336" s="2757"/>
    </row>
    <row r="337" spans="1:46" ht="27" customHeight="1">
      <c r="A337" s="2757"/>
      <c r="B337" s="2757"/>
      <c r="C337" s="2757"/>
      <c r="D337" s="2757"/>
      <c r="E337" s="2757"/>
      <c r="F337" s="2757"/>
      <c r="G337" s="2757"/>
      <c r="H337" s="2757"/>
      <c r="I337" s="2757"/>
      <c r="J337" s="2757"/>
      <c r="K337" s="2757"/>
      <c r="L337" s="2757"/>
      <c r="M337" s="2757"/>
      <c r="N337" s="2757"/>
      <c r="O337" s="2757"/>
      <c r="P337" s="2757"/>
      <c r="Q337" s="2757"/>
      <c r="R337" s="2757"/>
      <c r="S337" s="2757"/>
      <c r="T337" s="2757"/>
      <c r="U337" s="2757"/>
      <c r="V337" s="2757"/>
      <c r="W337" s="2757"/>
      <c r="X337" s="2757"/>
      <c r="Y337" s="2757"/>
      <c r="Z337" s="2757"/>
      <c r="AA337" s="2757"/>
      <c r="AB337" s="2757"/>
      <c r="AC337" s="2757"/>
      <c r="AD337" s="2757"/>
      <c r="AE337" s="2757"/>
      <c r="AF337" s="2757"/>
      <c r="AG337" s="2757"/>
      <c r="AH337" s="2757"/>
      <c r="AI337" s="2757"/>
      <c r="AJ337" s="2757"/>
      <c r="AK337" s="2757"/>
      <c r="AL337" s="2757"/>
      <c r="AM337" s="2757"/>
      <c r="AN337" s="2757"/>
      <c r="AO337" s="2757"/>
      <c r="AP337" s="2757"/>
      <c r="AQ337" s="2757"/>
      <c r="AR337" s="2757"/>
      <c r="AS337" s="2757"/>
      <c r="AT337" s="2757"/>
    </row>
  </sheetData>
  <sheetProtection algorithmName="SHA-512" hashValue="UtSgVwzQiHNB/i7gQcINnzWA7q/MrTAfV8dCe2H+Pdamu7mOiDK0jcXzN+5Zu0Ma/QgwKBJcEnv+/qm0G245kQ==" saltValue="3kG8bGiHPaYnu3FbepcKMg==" spinCount="100000" sheet="1" objects="1" scenarios="1"/>
  <mergeCells count="308">
    <mergeCell ref="AL65:AP65"/>
    <mergeCell ref="AG84:AI84"/>
    <mergeCell ref="AD84:AF84"/>
    <mergeCell ref="AG86:AI86"/>
    <mergeCell ref="AL116:AP116"/>
    <mergeCell ref="AG98:AI98"/>
    <mergeCell ref="AD98:AF98"/>
    <mergeCell ref="AD100:AF100"/>
    <mergeCell ref="AG100:AI100"/>
    <mergeCell ref="AC107:AD107"/>
    <mergeCell ref="AE107:AI107"/>
    <mergeCell ref="AC108:AD108"/>
    <mergeCell ref="AE108:AI108"/>
    <mergeCell ref="AJ95:AK95"/>
    <mergeCell ref="AL95:AP95"/>
    <mergeCell ref="AS200:AS202"/>
    <mergeCell ref="AS330:AS331"/>
    <mergeCell ref="C270:E270"/>
    <mergeCell ref="C203:E203"/>
    <mergeCell ref="C205:E205"/>
    <mergeCell ref="C210:E210"/>
    <mergeCell ref="E329:F329"/>
    <mergeCell ref="E330:F330"/>
    <mergeCell ref="E331:F331"/>
    <mergeCell ref="D250:E250"/>
    <mergeCell ref="D253:E253"/>
    <mergeCell ref="AA257:AB257"/>
    <mergeCell ref="AE274:AI274"/>
    <mergeCell ref="B273:E281"/>
    <mergeCell ref="AE284:AI284"/>
    <mergeCell ref="P283:S283"/>
    <mergeCell ref="P284:S284"/>
    <mergeCell ref="AK237:AO237"/>
    <mergeCell ref="AK257:AO257"/>
    <mergeCell ref="M238:O238"/>
    <mergeCell ref="J238:K238"/>
    <mergeCell ref="AE244:AI244"/>
    <mergeCell ref="AE248:AI248"/>
    <mergeCell ref="Z248:AB248"/>
    <mergeCell ref="E332:F332"/>
    <mergeCell ref="AJ141:AK141"/>
    <mergeCell ref="AL141:AP141"/>
    <mergeCell ref="R134:T134"/>
    <mergeCell ref="K135:M135"/>
    <mergeCell ref="L136:N136"/>
    <mergeCell ref="AL134:AP134"/>
    <mergeCell ref="AJ137:AK137"/>
    <mergeCell ref="AL137:AP137"/>
    <mergeCell ref="AJ136:AK136"/>
    <mergeCell ref="AL136:AP136"/>
    <mergeCell ref="C204:E204"/>
    <mergeCell ref="C211:E211"/>
    <mergeCell ref="AK202:AO202"/>
    <mergeCell ref="AK214:AO214"/>
    <mergeCell ref="AK217:AO217"/>
    <mergeCell ref="AE200:AI200"/>
    <mergeCell ref="AK150:AO150"/>
    <mergeCell ref="AK154:AO154"/>
    <mergeCell ref="AK148:AO148"/>
    <mergeCell ref="AK187:AO187"/>
    <mergeCell ref="AK149:AO149"/>
    <mergeCell ref="AK151:AO151"/>
    <mergeCell ref="AK153:AO153"/>
    <mergeCell ref="AL132:AP132"/>
    <mergeCell ref="AJ135:AK135"/>
    <mergeCell ref="AJ138:AK138"/>
    <mergeCell ref="AL138:AP138"/>
    <mergeCell ref="AJ140:AK140"/>
    <mergeCell ref="AL140:AP140"/>
    <mergeCell ref="AJ124:AK124"/>
    <mergeCell ref="AL124:AP124"/>
    <mergeCell ref="AJ127:AK127"/>
    <mergeCell ref="AL127:AP127"/>
    <mergeCell ref="B120:D120"/>
    <mergeCell ref="AL120:AP120"/>
    <mergeCell ref="AJ121:AK121"/>
    <mergeCell ref="AL121:AP121"/>
    <mergeCell ref="AJ122:AK122"/>
    <mergeCell ref="AL122:AP122"/>
    <mergeCell ref="AJ130:AK130"/>
    <mergeCell ref="AL130:AP130"/>
    <mergeCell ref="AG120:AK120"/>
    <mergeCell ref="AL12:AP12"/>
    <mergeCell ref="AJ14:AK14"/>
    <mergeCell ref="AC14:AD14"/>
    <mergeCell ref="AE14:AI14"/>
    <mergeCell ref="AC15:AD15"/>
    <mergeCell ref="R168:T168"/>
    <mergeCell ref="L169:N169"/>
    <mergeCell ref="M170:O170"/>
    <mergeCell ref="AK165:AO165"/>
    <mergeCell ref="AK170:AO170"/>
    <mergeCell ref="L160:N160"/>
    <mergeCell ref="L161:N161"/>
    <mergeCell ref="L162:N162"/>
    <mergeCell ref="M163:O163"/>
    <mergeCell ref="AF35:AG35"/>
    <mergeCell ref="AD35:AE35"/>
    <mergeCell ref="AH35:AI35"/>
    <mergeCell ref="AJ12:AK12"/>
    <mergeCell ref="AJ13:AK13"/>
    <mergeCell ref="AE23:AI23"/>
    <mergeCell ref="AC23:AD23"/>
    <mergeCell ref="AC13:AD13"/>
    <mergeCell ref="AE13:AI13"/>
    <mergeCell ref="AJ132:AK132"/>
    <mergeCell ref="AE20:AI20"/>
    <mergeCell ref="AC18:AD18"/>
    <mergeCell ref="AE18:AI18"/>
    <mergeCell ref="AC19:AD19"/>
    <mergeCell ref="AE19:AI19"/>
    <mergeCell ref="AL17:AP17"/>
    <mergeCell ref="AJ34:AK34"/>
    <mergeCell ref="AL19:AP19"/>
    <mergeCell ref="AL18:AP18"/>
    <mergeCell ref="AL21:AP21"/>
    <mergeCell ref="AJ18:AK18"/>
    <mergeCell ref="AJ19:AK19"/>
    <mergeCell ref="AL20:AP20"/>
    <mergeCell ref="AJ21:AK21"/>
    <mergeCell ref="AJ24:AK24"/>
    <mergeCell ref="AL24:AP24"/>
    <mergeCell ref="AL23:AP23"/>
    <mergeCell ref="AJ25:AK25"/>
    <mergeCell ref="AL25:AP25"/>
    <mergeCell ref="AL31:AP31"/>
    <mergeCell ref="AL30:AP30"/>
    <mergeCell ref="AL29:AP29"/>
    <mergeCell ref="B41:D41"/>
    <mergeCell ref="B11:D11"/>
    <mergeCell ref="AJ2:AP2"/>
    <mergeCell ref="B6:H7"/>
    <mergeCell ref="B9:AI10"/>
    <mergeCell ref="AJ9:AP10"/>
    <mergeCell ref="B2:H2"/>
    <mergeCell ref="B3:H3"/>
    <mergeCell ref="AO6:AO7"/>
    <mergeCell ref="AK6:AM7"/>
    <mergeCell ref="AN6:AN7"/>
    <mergeCell ref="K2:AC4"/>
    <mergeCell ref="AL34:AP34"/>
    <mergeCell ref="D37:AF38"/>
    <mergeCell ref="AJ28:AK28"/>
    <mergeCell ref="AL28:AP28"/>
    <mergeCell ref="AJ33:AK33"/>
    <mergeCell ref="AL33:AP33"/>
    <mergeCell ref="AL32:AP32"/>
    <mergeCell ref="AE15:AI15"/>
    <mergeCell ref="AJ16:AK16"/>
    <mergeCell ref="AL16:AP16"/>
    <mergeCell ref="AJ17:AK17"/>
    <mergeCell ref="AC20:AD20"/>
    <mergeCell ref="B101:D101"/>
    <mergeCell ref="B116:D116"/>
    <mergeCell ref="AK174:AO174"/>
    <mergeCell ref="AJ43:AK43"/>
    <mergeCell ref="AL43:AP43"/>
    <mergeCell ref="AJ44:AK44"/>
    <mergeCell ref="AL44:AP44"/>
    <mergeCell ref="AJ45:AK45"/>
    <mergeCell ref="AL45:AP45"/>
    <mergeCell ref="AJ46:AK46"/>
    <mergeCell ref="AL46:AP46"/>
    <mergeCell ref="AL58:AP58"/>
    <mergeCell ref="AJ47:AK47"/>
    <mergeCell ref="AL47:AP47"/>
    <mergeCell ref="AJ51:AK51"/>
    <mergeCell ref="AL51:AP51"/>
    <mergeCell ref="AJ56:AK56"/>
    <mergeCell ref="AL56:AP56"/>
    <mergeCell ref="AJ54:AK54"/>
    <mergeCell ref="AL54:AP54"/>
    <mergeCell ref="AJ58:AK58"/>
    <mergeCell ref="AO118:AP118"/>
    <mergeCell ref="AJ80:AK80"/>
    <mergeCell ref="AL80:AP80"/>
    <mergeCell ref="B61:D61"/>
    <mergeCell ref="AC195:AD195"/>
    <mergeCell ref="AE195:AI195"/>
    <mergeCell ref="AC196:AD196"/>
    <mergeCell ref="AE196:AI196"/>
    <mergeCell ref="AC197:AD197"/>
    <mergeCell ref="AE197:AI197"/>
    <mergeCell ref="AC198:AD198"/>
    <mergeCell ref="AE198:AI198"/>
    <mergeCell ref="AC190:AD190"/>
    <mergeCell ref="AE190:AI190"/>
    <mergeCell ref="AC191:AD191"/>
    <mergeCell ref="AE191:AI191"/>
    <mergeCell ref="AC192:AD192"/>
    <mergeCell ref="AE192:AI192"/>
    <mergeCell ref="AC193:AD193"/>
    <mergeCell ref="AE193:AI193"/>
    <mergeCell ref="AC194:AD194"/>
    <mergeCell ref="AE194:AI194"/>
    <mergeCell ref="B81:D81"/>
    <mergeCell ref="AB85:AD85"/>
    <mergeCell ref="AF85:AH85"/>
    <mergeCell ref="V90:W90"/>
    <mergeCell ref="X90:AB90"/>
    <mergeCell ref="AK157:AO157"/>
    <mergeCell ref="AK158:AO158"/>
    <mergeCell ref="AK163:AO163"/>
    <mergeCell ref="AK179:AO179"/>
    <mergeCell ref="AK181:AO181"/>
    <mergeCell ref="AK176:AO176"/>
    <mergeCell ref="AK175:AO175"/>
    <mergeCell ref="AK177:AO177"/>
    <mergeCell ref="AK173:AO173"/>
    <mergeCell ref="Y94:AB94"/>
    <mergeCell ref="AE92:AI92"/>
    <mergeCell ref="AL92:AP92"/>
    <mergeCell ref="AC105:AD105"/>
    <mergeCell ref="AE105:AI105"/>
    <mergeCell ref="AJ69:AK69"/>
    <mergeCell ref="AL69:AP69"/>
    <mergeCell ref="AJ70:AK70"/>
    <mergeCell ref="AL70:AP70"/>
    <mergeCell ref="AJ76:AK76"/>
    <mergeCell ref="AL76:AP76"/>
    <mergeCell ref="AJ73:AK73"/>
    <mergeCell ref="AL73:AP73"/>
    <mergeCell ref="AL85:AP85"/>
    <mergeCell ref="AJ78:AK78"/>
    <mergeCell ref="AL78:AP78"/>
    <mergeCell ref="AL75:AP75"/>
    <mergeCell ref="AL88:AP88"/>
    <mergeCell ref="AC89:AD89"/>
    <mergeCell ref="AE89:AI89"/>
    <mergeCell ref="AL101:AP101"/>
    <mergeCell ref="AJ88:AK88"/>
    <mergeCell ref="AC94:AD94"/>
    <mergeCell ref="AE94:AI94"/>
    <mergeCell ref="J6:AD7"/>
    <mergeCell ref="AJ3:AP5"/>
    <mergeCell ref="B43:C43"/>
    <mergeCell ref="AL42:AP42"/>
    <mergeCell ref="AL61:AP61"/>
    <mergeCell ref="B4:H5"/>
    <mergeCell ref="N8:Z8"/>
    <mergeCell ref="AL62:AP62"/>
    <mergeCell ref="AJ117:AK117"/>
    <mergeCell ref="AL117:AP117"/>
    <mergeCell ref="L28:O28"/>
    <mergeCell ref="K27:N27"/>
    <mergeCell ref="AJ32:AK32"/>
    <mergeCell ref="AE33:AI33"/>
    <mergeCell ref="AC112:AD112"/>
    <mergeCell ref="AE112:AI112"/>
    <mergeCell ref="AJ113:AK113"/>
    <mergeCell ref="AL113:AP113"/>
    <mergeCell ref="AJ114:AK114"/>
    <mergeCell ref="AL114:AP114"/>
    <mergeCell ref="AL83:AP83"/>
    <mergeCell ref="AL82:AP82"/>
    <mergeCell ref="AE96:AI96"/>
    <mergeCell ref="AH62:AK62"/>
    <mergeCell ref="AH42:AK42"/>
    <mergeCell ref="AL41:AP41"/>
    <mergeCell ref="AL81:AP81"/>
    <mergeCell ref="AG61:AK61"/>
    <mergeCell ref="AK235:AO235"/>
    <mergeCell ref="AJ142:AK142"/>
    <mergeCell ref="AL142:AP142"/>
    <mergeCell ref="AJ143:AK143"/>
    <mergeCell ref="AL143:AP143"/>
    <mergeCell ref="AJ144:AK144"/>
    <mergeCell ref="AL144:AP144"/>
    <mergeCell ref="AJ145:AK145"/>
    <mergeCell ref="AL145:AP145"/>
    <mergeCell ref="AN147:AO147"/>
    <mergeCell ref="AO146:AP146"/>
    <mergeCell ref="AJ84:AK84"/>
    <mergeCell ref="AL84:AP84"/>
    <mergeCell ref="AJ86:AK86"/>
    <mergeCell ref="AL86:AP86"/>
    <mergeCell ref="AJ63:AK63"/>
    <mergeCell ref="AL63:AP63"/>
    <mergeCell ref="AJ64:AK64"/>
    <mergeCell ref="AL64:AP64"/>
    <mergeCell ref="AK155:AO155"/>
    <mergeCell ref="AA260:AB260"/>
    <mergeCell ref="C269:E269"/>
    <mergeCell ref="C262:E262"/>
    <mergeCell ref="C263:E263"/>
    <mergeCell ref="C267:E267"/>
    <mergeCell ref="P285:S285"/>
    <mergeCell ref="P286:S286"/>
    <mergeCell ref="AA289:AB289"/>
    <mergeCell ref="AK289:AO289"/>
    <mergeCell ref="AD297:AD298"/>
    <mergeCell ref="AE297:AI298"/>
    <mergeCell ref="C317:E317"/>
    <mergeCell ref="C315:E315"/>
    <mergeCell ref="AJ330:AJ331"/>
    <mergeCell ref="AK330:AO331"/>
    <mergeCell ref="Q329:T329"/>
    <mergeCell ref="Q330:T330"/>
    <mergeCell ref="Q331:T331"/>
    <mergeCell ref="Q332:T332"/>
    <mergeCell ref="AF307:AH307"/>
    <mergeCell ref="AK307:AO307"/>
    <mergeCell ref="AF310:AH310"/>
    <mergeCell ref="AK310:AO310"/>
    <mergeCell ref="AF313:AH313"/>
    <mergeCell ref="AK313:AO313"/>
    <mergeCell ref="AF304:AH304"/>
    <mergeCell ref="AK304:AO304"/>
  </mergeCells>
  <conditionalFormatting sqref="B9:AP10">
    <cfRule type="expression" dxfId="765" priority="399">
      <formula>NoColor</formula>
    </cfRule>
  </conditionalFormatting>
  <conditionalFormatting sqref="D132">
    <cfRule type="expression" dxfId="764" priority="1">
      <formula>$AV$132</formula>
    </cfRule>
  </conditionalFormatting>
  <conditionalFormatting sqref="D27:K28">
    <cfRule type="expression" dxfId="763" priority="94">
      <formula>NoColor</formula>
    </cfRule>
  </conditionalFormatting>
  <conditionalFormatting sqref="D21:M25">
    <cfRule type="expression" dxfId="762" priority="224">
      <formula>NoColor</formula>
    </cfRule>
  </conditionalFormatting>
  <conditionalFormatting sqref="D19:X19 E46:I46 C46:C47 J46:M47 AE48:AI50 AK173:AK174 AK176">
    <cfRule type="expression" dxfId="761" priority="469">
      <formula>NoColor</formula>
    </cfRule>
  </conditionalFormatting>
  <conditionalFormatting sqref="D14:AA14 D15:M18">
    <cfRule type="expression" dxfId="760" priority="467">
      <formula>NoColor</formula>
    </cfRule>
  </conditionalFormatting>
  <conditionalFormatting sqref="D26:AI26">
    <cfRule type="expression" dxfId="759" priority="463">
      <formula>NoColor</formula>
    </cfRule>
  </conditionalFormatting>
  <conditionalFormatting sqref="D29:AI29">
    <cfRule type="expression" dxfId="758" priority="462">
      <formula>NoColor</formula>
    </cfRule>
  </conditionalFormatting>
  <conditionalFormatting sqref="E134:E136">
    <cfRule type="expression" dxfId="757" priority="69">
      <formula>NoColor</formula>
    </cfRule>
  </conditionalFormatting>
  <conditionalFormatting sqref="E57:H57">
    <cfRule type="expression" dxfId="756" priority="326">
      <formula>NoColor</formula>
    </cfRule>
  </conditionalFormatting>
  <conditionalFormatting sqref="F36:M36">
    <cfRule type="expression" dxfId="755" priority="391">
      <formula>NoColor</formula>
    </cfRule>
  </conditionalFormatting>
  <conditionalFormatting sqref="G36">
    <cfRule type="expression" dxfId="754" priority="253">
      <formula>AND(NOT(NoColor),$AV$34)</formula>
    </cfRule>
  </conditionalFormatting>
  <conditionalFormatting sqref="G203">
    <cfRule type="expression" dxfId="753" priority="17">
      <formula>$C$203</formula>
    </cfRule>
  </conditionalFormatting>
  <conditionalFormatting sqref="I47:I53">
    <cfRule type="expression" dxfId="752" priority="352">
      <formula>NoColor</formula>
    </cfRule>
  </conditionalFormatting>
  <conditionalFormatting sqref="I56:I58">
    <cfRule type="expression" dxfId="751" priority="252">
      <formula>NoColor</formula>
    </cfRule>
  </conditionalFormatting>
  <conditionalFormatting sqref="I86">
    <cfRule type="expression" dxfId="750" priority="4">
      <formula>$AG$86</formula>
    </cfRule>
  </conditionalFormatting>
  <conditionalFormatting sqref="J238:K238">
    <cfRule type="expression" dxfId="749" priority="18">
      <formula>NoColor</formula>
    </cfRule>
  </conditionalFormatting>
  <conditionalFormatting sqref="K17">
    <cfRule type="expression" dxfId="748" priority="273">
      <formula>AND($AV$17,NOT(NoColor))</formula>
    </cfRule>
  </conditionalFormatting>
  <conditionalFormatting sqref="K135">
    <cfRule type="expression" dxfId="747" priority="66">
      <formula>NoColor</formula>
    </cfRule>
  </conditionalFormatting>
  <conditionalFormatting sqref="L28">
    <cfRule type="expression" dxfId="746" priority="95">
      <formula>NoColor</formula>
    </cfRule>
  </conditionalFormatting>
  <conditionalFormatting sqref="L131">
    <cfRule type="expression" dxfId="745" priority="2">
      <formula>$AV$132</formula>
    </cfRule>
  </conditionalFormatting>
  <conditionalFormatting sqref="L136">
    <cfRule type="expression" dxfId="744" priority="65">
      <formula>NoColor</formula>
    </cfRule>
  </conditionalFormatting>
  <conditionalFormatting sqref="L84:M84">
    <cfRule type="expression" dxfId="743" priority="5">
      <formula>$AG$84</formula>
    </cfRule>
  </conditionalFormatting>
  <conditionalFormatting sqref="N23:AA23">
    <cfRule type="expression" dxfId="742" priority="464">
      <formula>NoColor</formula>
    </cfRule>
  </conditionalFormatting>
  <conditionalFormatting sqref="R134">
    <cfRule type="expression" dxfId="741" priority="67">
      <formula>NoColor</formula>
    </cfRule>
  </conditionalFormatting>
  <conditionalFormatting sqref="U17">
    <cfRule type="expression" dxfId="740" priority="459">
      <formula>NoColor</formula>
    </cfRule>
  </conditionalFormatting>
  <conditionalFormatting sqref="U24:U25">
    <cfRule type="expression" dxfId="739" priority="223">
      <formula>NoColor</formula>
    </cfRule>
  </conditionalFormatting>
  <conditionalFormatting sqref="U28">
    <cfRule type="expression" dxfId="738" priority="457">
      <formula>NoColor</formula>
    </cfRule>
  </conditionalFormatting>
  <conditionalFormatting sqref="U47">
    <cfRule type="expression" dxfId="737" priority="357">
      <formula>NoColor</formula>
    </cfRule>
  </conditionalFormatting>
  <conditionalFormatting sqref="V90">
    <cfRule type="expression" dxfId="736" priority="121">
      <formula>NoColor</formula>
    </cfRule>
  </conditionalFormatting>
  <conditionalFormatting sqref="X90">
    <cfRule type="expression" dxfId="735" priority="98">
      <formula>NoColor</formula>
    </cfRule>
  </conditionalFormatting>
  <conditionalFormatting sqref="AC13:AC15">
    <cfRule type="expression" dxfId="734" priority="237">
      <formula>NoColor</formula>
    </cfRule>
  </conditionalFormatting>
  <conditionalFormatting sqref="AC18:AC20">
    <cfRule type="expression" dxfId="733" priority="229">
      <formula>NoColor</formula>
    </cfRule>
  </conditionalFormatting>
  <conditionalFormatting sqref="AC23">
    <cfRule type="expression" dxfId="732" priority="375">
      <formula>NoColor</formula>
    </cfRule>
  </conditionalFormatting>
  <conditionalFormatting sqref="AC46">
    <cfRule type="expression" dxfId="731" priority="355">
      <formula>NoColor</formula>
    </cfRule>
  </conditionalFormatting>
  <conditionalFormatting sqref="AC51:AC54">
    <cfRule type="expression" dxfId="730" priority="257">
      <formula>NoColor</formula>
    </cfRule>
  </conditionalFormatting>
  <conditionalFormatting sqref="AC57">
    <cfRule type="expression" dxfId="729" priority="319">
      <formula>NoColor</formula>
    </cfRule>
  </conditionalFormatting>
  <conditionalFormatting sqref="AC89">
    <cfRule type="expression" dxfId="728" priority="123">
      <formula>NoColor</formula>
    </cfRule>
  </conditionalFormatting>
  <conditionalFormatting sqref="AC94">
    <cfRule type="expression" dxfId="727" priority="118">
      <formula>NoColor</formula>
    </cfRule>
  </conditionalFormatting>
  <conditionalFormatting sqref="AC105">
    <cfRule type="expression" dxfId="726" priority="112">
      <formula>NoColor</formula>
    </cfRule>
  </conditionalFormatting>
  <conditionalFormatting sqref="AC107:AC108">
    <cfRule type="expression" dxfId="725" priority="106">
      <formula>NoColor</formula>
    </cfRule>
  </conditionalFormatting>
  <conditionalFormatting sqref="AC112">
    <cfRule type="expression" dxfId="724" priority="104">
      <formula>NoColor</formula>
    </cfRule>
  </conditionalFormatting>
  <conditionalFormatting sqref="AC190:AC198">
    <cfRule type="expression" dxfId="723" priority="165">
      <formula>NoColor</formula>
    </cfRule>
  </conditionalFormatting>
  <conditionalFormatting sqref="AD200:AE200">
    <cfRule type="expression" dxfId="722" priority="151">
      <formula>NoColor</formula>
    </cfRule>
  </conditionalFormatting>
  <conditionalFormatting sqref="AE13">
    <cfRule type="expression" dxfId="721" priority="240">
      <formula>NoColor</formula>
    </cfRule>
  </conditionalFormatting>
  <conditionalFormatting sqref="AE18:AE20">
    <cfRule type="expression" dxfId="720" priority="230">
      <formula>NoColor</formula>
    </cfRule>
  </conditionalFormatting>
  <conditionalFormatting sqref="AE23">
    <cfRule type="expression" dxfId="719" priority="228">
      <formula>NoColor</formula>
    </cfRule>
  </conditionalFormatting>
  <conditionalFormatting sqref="AE89">
    <cfRule type="expression" dxfId="718" priority="119">
      <formula>NoColor</formula>
    </cfRule>
  </conditionalFormatting>
  <conditionalFormatting sqref="AE190:AE198">
    <cfRule type="expression" dxfId="717" priority="154">
      <formula>NoColor</formula>
    </cfRule>
  </conditionalFormatting>
  <conditionalFormatting sqref="AE297">
    <cfRule type="expression" dxfId="716" priority="29">
      <formula>NoColor</formula>
    </cfRule>
  </conditionalFormatting>
  <conditionalFormatting sqref="AE36:AH36">
    <cfRule type="expression" dxfId="715" priority="388">
      <formula>NoColor</formula>
    </cfRule>
  </conditionalFormatting>
  <conditionalFormatting sqref="AE43:AH47">
    <cfRule type="expression" dxfId="714" priority="285">
      <formula>NoColor</formula>
    </cfRule>
  </conditionalFormatting>
  <conditionalFormatting sqref="AE51:AH54">
    <cfRule type="expression" dxfId="713" priority="256">
      <formula>NoColor</formula>
    </cfRule>
  </conditionalFormatting>
  <conditionalFormatting sqref="AE56:AH56">
    <cfRule type="expression" dxfId="712" priority="332">
      <formula>NoColor</formula>
    </cfRule>
  </conditionalFormatting>
  <conditionalFormatting sqref="AE58:AH58">
    <cfRule type="expression" dxfId="711" priority="318">
      <formula>NoColor</formula>
    </cfRule>
  </conditionalFormatting>
  <conditionalFormatting sqref="AE14:AI15">
    <cfRule type="expression" dxfId="710" priority="236">
      <formula>NoColor</formula>
    </cfRule>
  </conditionalFormatting>
  <conditionalFormatting sqref="AE57:AI57">
    <cfRule type="expression" dxfId="709" priority="281">
      <formula>NoColor</formula>
    </cfRule>
  </conditionalFormatting>
  <conditionalFormatting sqref="AE94:AI94">
    <cfRule type="expression" dxfId="708" priority="117">
      <formula>NoColor</formula>
    </cfRule>
  </conditionalFormatting>
  <conditionalFormatting sqref="AE105:AI105">
    <cfRule type="expression" dxfId="707" priority="111">
      <formula>NoColor</formula>
    </cfRule>
  </conditionalFormatting>
  <conditionalFormatting sqref="AE107:AI108">
    <cfRule type="expression" dxfId="706" priority="105">
      <formula>NoColor</formula>
    </cfRule>
  </conditionalFormatting>
  <conditionalFormatting sqref="AE112:AI112">
    <cfRule type="expression" dxfId="705" priority="103">
      <formula>NoColor</formula>
    </cfRule>
  </conditionalFormatting>
  <conditionalFormatting sqref="AE244:AI244">
    <cfRule type="expression" dxfId="704" priority="22">
      <formula>NoColor</formula>
    </cfRule>
  </conditionalFormatting>
  <conditionalFormatting sqref="AE248:AI248">
    <cfRule type="expression" dxfId="703" priority="21">
      <formula>NoColor</formula>
    </cfRule>
  </conditionalFormatting>
  <conditionalFormatting sqref="AE274:AI274">
    <cfRule type="expression" dxfId="702" priority="32">
      <formula>NoColor</formula>
    </cfRule>
  </conditionalFormatting>
  <conditionalFormatting sqref="AE284:AI284">
    <cfRule type="expression" dxfId="701" priority="31">
      <formula>NoColor</formula>
    </cfRule>
  </conditionalFormatting>
  <conditionalFormatting sqref="AJ16:AJ17">
    <cfRule type="expression" dxfId="700" priority="377">
      <formula>NoColor</formula>
    </cfRule>
  </conditionalFormatting>
  <conditionalFormatting sqref="AJ32:AJ34">
    <cfRule type="expression" dxfId="699" priority="93">
      <formula>NoColor</formula>
    </cfRule>
  </conditionalFormatting>
  <conditionalFormatting sqref="AJ43:AJ47">
    <cfRule type="expression" dxfId="698" priority="207">
      <formula>NoColor</formula>
    </cfRule>
  </conditionalFormatting>
  <conditionalFormatting sqref="AJ51:AJ54">
    <cfRule type="expression" dxfId="697" priority="199">
      <formula>NoColor</formula>
    </cfRule>
  </conditionalFormatting>
  <conditionalFormatting sqref="AJ56">
    <cfRule type="expression" dxfId="696" priority="197">
      <formula>NoColor</formula>
    </cfRule>
  </conditionalFormatting>
  <conditionalFormatting sqref="AJ58">
    <cfRule type="expression" dxfId="695" priority="201">
      <formula>NoColor</formula>
    </cfRule>
  </conditionalFormatting>
  <conditionalFormatting sqref="AJ63:AJ64">
    <cfRule type="expression" dxfId="694" priority="145">
      <formula>NoColor</formula>
    </cfRule>
  </conditionalFormatting>
  <conditionalFormatting sqref="AJ69:AJ70">
    <cfRule type="expression" dxfId="693" priority="141">
      <formula>NoColor</formula>
    </cfRule>
  </conditionalFormatting>
  <conditionalFormatting sqref="AJ73">
    <cfRule type="expression" dxfId="692" priority="137">
      <formula>NoColor</formula>
    </cfRule>
  </conditionalFormatting>
  <conditionalFormatting sqref="AJ76">
    <cfRule type="expression" dxfId="691" priority="135">
      <formula>NoColor</formula>
    </cfRule>
  </conditionalFormatting>
  <conditionalFormatting sqref="AJ78">
    <cfRule type="expression" dxfId="690" priority="131">
      <formula>NoColor</formula>
    </cfRule>
  </conditionalFormatting>
  <conditionalFormatting sqref="AJ80">
    <cfRule type="expression" dxfId="689" priority="133">
      <formula>NoColor</formula>
    </cfRule>
  </conditionalFormatting>
  <conditionalFormatting sqref="AJ84">
    <cfRule type="expression" dxfId="688" priority="129">
      <formula>NoColor</formula>
    </cfRule>
  </conditionalFormatting>
  <conditionalFormatting sqref="AJ86">
    <cfRule type="expression" dxfId="687" priority="127">
      <formula>NoColor</formula>
    </cfRule>
  </conditionalFormatting>
  <conditionalFormatting sqref="AJ88">
    <cfRule type="expression" dxfId="686" priority="125">
      <formula>NoColor</formula>
    </cfRule>
  </conditionalFormatting>
  <conditionalFormatting sqref="AJ95">
    <cfRule type="expression" dxfId="685" priority="116">
      <formula>NoColor</formula>
    </cfRule>
  </conditionalFormatting>
  <conditionalFormatting sqref="AJ113:AJ114">
    <cfRule type="expression" dxfId="684" priority="100">
      <formula>NoColor</formula>
    </cfRule>
  </conditionalFormatting>
  <conditionalFormatting sqref="AJ117">
    <cfRule type="expression" dxfId="683" priority="97">
      <formula>NoColor</formula>
    </cfRule>
  </conditionalFormatting>
  <conditionalFormatting sqref="AJ121:AJ122">
    <cfRule type="expression" dxfId="682" priority="87">
      <formula>NoColor</formula>
    </cfRule>
  </conditionalFormatting>
  <conditionalFormatting sqref="AJ124">
    <cfRule type="expression" dxfId="681" priority="75">
      <formula>NoColor</formula>
    </cfRule>
  </conditionalFormatting>
  <conditionalFormatting sqref="AJ127">
    <cfRule type="expression" dxfId="680" priority="73">
      <formula>NoColor</formula>
    </cfRule>
  </conditionalFormatting>
  <conditionalFormatting sqref="AJ130">
    <cfRule type="expression" dxfId="679" priority="85">
      <formula>NoColor</formula>
    </cfRule>
  </conditionalFormatting>
  <conditionalFormatting sqref="AJ132">
    <cfRule type="expression" dxfId="678" priority="71">
      <formula>NoColor</formula>
    </cfRule>
  </conditionalFormatting>
  <conditionalFormatting sqref="AJ135:AJ138">
    <cfRule type="expression" dxfId="677" priority="59">
      <formula>NoColor</formula>
    </cfRule>
  </conditionalFormatting>
  <conditionalFormatting sqref="AJ140:AJ145">
    <cfRule type="expression" dxfId="676" priority="16">
      <formula>NoColor</formula>
    </cfRule>
  </conditionalFormatting>
  <conditionalFormatting sqref="AK330">
    <cfRule type="expression" dxfId="675" priority="23">
      <formula>NoColor</formula>
    </cfRule>
  </conditionalFormatting>
  <conditionalFormatting sqref="AK149:AO149 AK151:AO153 AK155:AO158">
    <cfRule type="expression" dxfId="674" priority="247">
      <formula>NoColor</formula>
    </cfRule>
  </conditionalFormatting>
  <conditionalFormatting sqref="AK160:AO170">
    <cfRule type="expression" dxfId="673" priority="187">
      <formula>NoColor</formula>
    </cfRule>
  </conditionalFormatting>
  <conditionalFormatting sqref="AK175:AO175">
    <cfRule type="expression" dxfId="672" priority="186">
      <formula>NoColor</formula>
    </cfRule>
  </conditionalFormatting>
  <conditionalFormatting sqref="AK177:AO181">
    <cfRule type="expression" dxfId="671" priority="183">
      <formula>NoColor</formula>
    </cfRule>
  </conditionalFormatting>
  <conditionalFormatting sqref="AK187:AO187">
    <cfRule type="expression" dxfId="670" priority="182">
      <formula>NoColor</formula>
    </cfRule>
  </conditionalFormatting>
  <conditionalFormatting sqref="AK202:AO202">
    <cfRule type="expression" dxfId="669" priority="150">
      <formula>NoColor</formula>
    </cfRule>
  </conditionalFormatting>
  <conditionalFormatting sqref="AK214:AO214">
    <cfRule type="expression" dxfId="668" priority="149">
      <formula>NoColor</formula>
    </cfRule>
  </conditionalFormatting>
  <conditionalFormatting sqref="AK217:AO217">
    <cfRule type="expression" dxfId="667" priority="148">
      <formula>NoColor</formula>
    </cfRule>
  </conditionalFormatting>
  <conditionalFormatting sqref="AK235:AO235">
    <cfRule type="expression" dxfId="666" priority="40">
      <formula>NoColor</formula>
    </cfRule>
  </conditionalFormatting>
  <conditionalFormatting sqref="AK237:AO237">
    <cfRule type="expression" dxfId="665" priority="19">
      <formula>NoColor</formula>
    </cfRule>
  </conditionalFormatting>
  <conditionalFormatting sqref="AK257:AO257">
    <cfRule type="expression" dxfId="664" priority="20">
      <formula>NoColor</formula>
    </cfRule>
  </conditionalFormatting>
  <conditionalFormatting sqref="AK289:AO289">
    <cfRule type="expression" dxfId="663" priority="30">
      <formula>NoColor</formula>
    </cfRule>
  </conditionalFormatting>
  <conditionalFormatting sqref="AK304:AO304">
    <cfRule type="expression" dxfId="662" priority="28">
      <formula>NoColor</formula>
    </cfRule>
  </conditionalFormatting>
  <conditionalFormatting sqref="AK307:AO307">
    <cfRule type="expression" dxfId="661" priority="27">
      <formula>NoColor</formula>
    </cfRule>
  </conditionalFormatting>
  <conditionalFormatting sqref="AK310:AO310">
    <cfRule type="expression" dxfId="660" priority="26">
      <formula>NoColor</formula>
    </cfRule>
  </conditionalFormatting>
  <conditionalFormatting sqref="AK313:AO313">
    <cfRule type="expression" dxfId="659" priority="25">
      <formula>NoColor</formula>
    </cfRule>
  </conditionalFormatting>
  <conditionalFormatting sqref="AL18:AL20">
    <cfRule type="expression" dxfId="658" priority="227">
      <formula>NoColor</formula>
    </cfRule>
  </conditionalFormatting>
  <conditionalFormatting sqref="AL12:AP12">
    <cfRule type="expression" dxfId="657" priority="195">
      <formula>NoColor</formula>
    </cfRule>
  </conditionalFormatting>
  <conditionalFormatting sqref="AL14:AP14">
    <cfRule type="expression" dxfId="656" priority="295">
      <formula>NoColor</formula>
    </cfRule>
  </conditionalFormatting>
  <conditionalFormatting sqref="AL16:AP17">
    <cfRule type="expression" dxfId="655" priority="293">
      <formula>NoColor</formula>
    </cfRule>
  </conditionalFormatting>
  <conditionalFormatting sqref="AL21:AP21">
    <cfRule type="expression" dxfId="654" priority="258">
      <formula>NoColor</formula>
    </cfRule>
  </conditionalFormatting>
  <conditionalFormatting sqref="AL24:AP25">
    <cfRule type="expression" dxfId="653" priority="222">
      <formula>NoColor</formula>
    </cfRule>
  </conditionalFormatting>
  <conditionalFormatting sqref="AL28:AP28">
    <cfRule type="expression" dxfId="652" priority="220">
      <formula>NoColor</formula>
    </cfRule>
  </conditionalFormatting>
  <conditionalFormatting sqref="AL32:AP34">
    <cfRule type="expression" dxfId="651" priority="92">
      <formula>NoColor</formula>
    </cfRule>
  </conditionalFormatting>
  <conditionalFormatting sqref="AL43:AP47">
    <cfRule type="expression" dxfId="650" priority="206">
      <formula>NoColor</formula>
    </cfRule>
  </conditionalFormatting>
  <conditionalFormatting sqref="AL51:AP54">
    <cfRule type="expression" dxfId="649" priority="198">
      <formula>NoColor</formula>
    </cfRule>
  </conditionalFormatting>
  <conditionalFormatting sqref="AL56:AP56">
    <cfRule type="expression" dxfId="648" priority="196">
      <formula>NoColor</formula>
    </cfRule>
  </conditionalFormatting>
  <conditionalFormatting sqref="AL58:AP58">
    <cfRule type="expression" dxfId="647" priority="200">
      <formula>NoColor</formula>
    </cfRule>
  </conditionalFormatting>
  <conditionalFormatting sqref="AL63:AP64">
    <cfRule type="expression" dxfId="646" priority="144">
      <formula>NoColor</formula>
    </cfRule>
  </conditionalFormatting>
  <conditionalFormatting sqref="AL69:AP70">
    <cfRule type="expression" dxfId="645" priority="140">
      <formula>NoColor</formula>
    </cfRule>
  </conditionalFormatting>
  <conditionalFormatting sqref="AL73:AP73">
    <cfRule type="expression" dxfId="644" priority="136">
      <formula>NoColor</formula>
    </cfRule>
  </conditionalFormatting>
  <conditionalFormatting sqref="AL76:AP76">
    <cfRule type="expression" dxfId="643" priority="134">
      <formula>NoColor</formula>
    </cfRule>
  </conditionalFormatting>
  <conditionalFormatting sqref="AL78:AP78">
    <cfRule type="expression" dxfId="642" priority="41">
      <formula>NoColor</formula>
    </cfRule>
  </conditionalFormatting>
  <conditionalFormatting sqref="AL80:AP80">
    <cfRule type="expression" dxfId="641" priority="132">
      <formula>NoColor</formula>
    </cfRule>
  </conditionalFormatting>
  <conditionalFormatting sqref="AL84:AP84">
    <cfRule type="expression" dxfId="640" priority="128">
      <formula>NoColor</formula>
    </cfRule>
  </conditionalFormatting>
  <conditionalFormatting sqref="AL86:AP86">
    <cfRule type="expression" dxfId="639" priority="126">
      <formula>NoColor</formula>
    </cfRule>
  </conditionalFormatting>
  <conditionalFormatting sqref="AL88:AP88">
    <cfRule type="expression" dxfId="638" priority="124">
      <formula>NoColor</formula>
    </cfRule>
  </conditionalFormatting>
  <conditionalFormatting sqref="AL95:AP95">
    <cfRule type="expression" dxfId="637" priority="115">
      <formula>NoColor</formula>
    </cfRule>
  </conditionalFormatting>
  <conditionalFormatting sqref="AL113:AP114">
    <cfRule type="expression" dxfId="636" priority="99">
      <formula>NoColor</formula>
    </cfRule>
  </conditionalFormatting>
  <conditionalFormatting sqref="AL117:AP117">
    <cfRule type="expression" dxfId="635" priority="96">
      <formula>NoColor</formula>
    </cfRule>
  </conditionalFormatting>
  <conditionalFormatting sqref="AL121:AP122">
    <cfRule type="expression" dxfId="634" priority="86">
      <formula>NoColor</formula>
    </cfRule>
  </conditionalFormatting>
  <conditionalFormatting sqref="AL124:AP124">
    <cfRule type="expression" dxfId="633" priority="74">
      <formula>NoColor</formula>
    </cfRule>
  </conditionalFormatting>
  <conditionalFormatting sqref="AL127:AP127">
    <cfRule type="expression" dxfId="632" priority="72">
      <formula>NoColor</formula>
    </cfRule>
  </conditionalFormatting>
  <conditionalFormatting sqref="AL130:AP130">
    <cfRule type="expression" dxfId="631" priority="84">
      <formula>NoColor</formula>
    </cfRule>
  </conditionalFormatting>
  <conditionalFormatting sqref="AL132:AP132">
    <cfRule type="expression" dxfId="630" priority="82">
      <formula>NoColor</formula>
    </cfRule>
  </conditionalFormatting>
  <conditionalFormatting sqref="AL136:AP138">
    <cfRule type="expression" dxfId="629" priority="58">
      <formula>NoColor</formula>
    </cfRule>
  </conditionalFormatting>
  <conditionalFormatting sqref="AL140:AP145">
    <cfRule type="expression" dxfId="628" priority="3">
      <formula>NoColor</formula>
    </cfRule>
  </conditionalFormatting>
  <conditionalFormatting sqref="AQ49:AS49">
    <cfRule type="expression" dxfId="627" priority="10">
      <formula>$AL$42</formula>
    </cfRule>
  </conditionalFormatting>
  <conditionalFormatting sqref="AQ51:AS51">
    <cfRule type="expression" dxfId="626" priority="6">
      <formula>$AL$42</formula>
    </cfRule>
  </conditionalFormatting>
  <conditionalFormatting sqref="AQ71:AS71">
    <cfRule type="expression" dxfId="625" priority="15">
      <formula>$AL$62</formula>
    </cfRule>
  </conditionalFormatting>
  <conditionalFormatting sqref="AQ74:AT74">
    <cfRule type="expression" dxfId="624" priority="14">
      <formula>$AL$62</formula>
    </cfRule>
  </conditionalFormatting>
  <conditionalFormatting sqref="AS16:AS17">
    <cfRule type="expression" dxfId="623" priority="190">
      <formula>(#REF!&lt;&gt;"")</formula>
    </cfRule>
  </conditionalFormatting>
  <conditionalFormatting sqref="AS22">
    <cfRule type="expression" dxfId="622" priority="90">
      <formula>(#REF!&lt;&gt;"")</formula>
    </cfRule>
  </conditionalFormatting>
  <conditionalFormatting sqref="AS26:AS36 AS38:AS40">
    <cfRule type="expression" dxfId="621" priority="4360">
      <formula>(#REF!&lt;&gt;"")</formula>
    </cfRule>
  </conditionalFormatting>
  <conditionalFormatting sqref="AS44">
    <cfRule type="expression" dxfId="620" priority="91">
      <formula>(#REF!&lt;&gt;"")</formula>
    </cfRule>
  </conditionalFormatting>
  <conditionalFormatting sqref="AT49">
    <cfRule type="expression" dxfId="619" priority="9">
      <formula>$AL$42</formula>
    </cfRule>
  </conditionalFormatting>
  <conditionalFormatting sqref="AT50">
    <cfRule type="expression" dxfId="618" priority="8">
      <formula>$AL$42</formula>
    </cfRule>
  </conditionalFormatting>
  <conditionalFormatting sqref="AT51">
    <cfRule type="expression" dxfId="617" priority="7">
      <formula>$AL$42</formula>
    </cfRule>
  </conditionalFormatting>
  <conditionalFormatting sqref="AT71">
    <cfRule type="expression" dxfId="616" priority="13">
      <formula>$AL$62</formula>
    </cfRule>
  </conditionalFormatting>
  <conditionalFormatting sqref="AT72:AT73">
    <cfRule type="expression" dxfId="615" priority="11">
      <formula>$AL$62</formula>
    </cfRule>
  </conditionalFormatting>
  <pageMargins left="0.45" right="0.45" top="0.75" bottom="0.5" header="0" footer="0"/>
  <pageSetup scale="78" fitToHeight="0" orientation="portrait" r:id="rId1"/>
  <rowBreaks count="4" manualBreakCount="4">
    <brk id="59" min="1" max="41" man="1"/>
    <brk id="118" min="1" max="41" man="1"/>
    <brk id="146" min="1" max="41" man="1"/>
    <brk id="293" min="1" max="41" man="1"/>
  </rowBreaks>
  <ignoredErrors>
    <ignoredError sqref="AJ28 AJ25" numberStoredAsText="1"/>
  </ignoredError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CC85"/>
  <sheetViews>
    <sheetView zoomScaleNormal="100" zoomScaleSheetLayoutView="100" workbookViewId="0"/>
  </sheetViews>
  <sheetFormatPr defaultColWidth="9.140625" defaultRowHeight="12.75"/>
  <cols>
    <col min="1" max="1" width="3.7109375" style="42" customWidth="1"/>
    <col min="2" max="2" width="5.140625" style="42" customWidth="1"/>
    <col min="3" max="3" width="5.5703125" style="42" customWidth="1"/>
    <col min="4" max="8" width="3.7109375" style="42" customWidth="1"/>
    <col min="9" max="9" width="4.7109375" style="42" customWidth="1"/>
    <col min="10" max="10" width="3.7109375" style="42" customWidth="1"/>
    <col min="11" max="11" width="4.85546875" style="42" customWidth="1"/>
    <col min="12" max="12" width="3.7109375" style="42" customWidth="1"/>
    <col min="13" max="13" width="4.7109375" style="42" customWidth="1"/>
    <col min="14" max="14" width="4.42578125" style="42" customWidth="1"/>
    <col min="15" max="16" width="3.7109375" style="42" customWidth="1"/>
    <col min="17" max="17" width="5.140625" style="42" customWidth="1"/>
    <col min="18" max="29" width="3.7109375" style="42" customWidth="1"/>
    <col min="30" max="30" width="5.5703125" style="42" customWidth="1"/>
    <col min="31" max="32" width="3.7109375" style="42" customWidth="1"/>
    <col min="33" max="33" width="4.42578125" style="42" customWidth="1"/>
    <col min="34" max="36" width="3.7109375" style="42" customWidth="1"/>
    <col min="37" max="37" width="4.5703125" style="42" customWidth="1"/>
    <col min="38" max="38" width="4.42578125" style="42" customWidth="1"/>
    <col min="39" max="39" width="12.5703125" style="42" customWidth="1"/>
    <col min="40" max="40" width="2" style="42" customWidth="1"/>
    <col min="41" max="41" width="5.140625" style="42" customWidth="1"/>
    <col min="42" max="42" width="7.28515625" style="42" customWidth="1"/>
    <col min="43" max="43" width="37.5703125" style="42" customWidth="1"/>
    <col min="44" max="44" width="4.5703125" style="42" customWidth="1"/>
    <col min="45" max="45" width="9" style="42" customWidth="1"/>
    <col min="46" max="46" width="5.7109375" style="42" bestFit="1" customWidth="1"/>
    <col min="47" max="47" width="5.140625" style="42" customWidth="1"/>
    <col min="48" max="48" width="13.140625" style="5950" customWidth="1"/>
    <col min="49" max="56" width="10.7109375" style="3402" customWidth="1"/>
    <col min="57" max="16384" width="9.140625" style="42"/>
  </cols>
  <sheetData>
    <row r="1" spans="1:81" ht="16.5" customHeight="1">
      <c r="A1" s="1127"/>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79"/>
      <c r="AM1" s="1179"/>
      <c r="AN1" s="1179"/>
      <c r="AO1" s="1179"/>
      <c r="AP1" s="1179"/>
      <c r="AQ1" s="1179"/>
      <c r="AR1" s="1179"/>
      <c r="AS1" s="1179"/>
      <c r="AT1" s="1179"/>
      <c r="AU1" s="1179"/>
      <c r="AV1" s="5901"/>
      <c r="AW1" s="2595"/>
      <c r="AX1" s="2595"/>
      <c r="AY1" s="2595"/>
      <c r="AZ1" s="2595"/>
      <c r="BA1" s="2595"/>
      <c r="BB1" s="2595"/>
      <c r="BC1" s="2595"/>
      <c r="BD1" s="2595"/>
    </row>
    <row r="2" spans="1:81" ht="18" customHeight="1">
      <c r="A2" s="1127"/>
      <c r="B2" s="1179"/>
      <c r="C2" s="1179"/>
      <c r="D2" s="8623" t="s">
        <v>5763</v>
      </c>
      <c r="E2" s="8624"/>
      <c r="F2" s="8624"/>
      <c r="G2" s="8624"/>
      <c r="H2" s="1244"/>
      <c r="I2" s="3311"/>
      <c r="J2" s="1179"/>
      <c r="K2" s="1179"/>
      <c r="L2" s="1179"/>
      <c r="M2" s="1179"/>
      <c r="N2" s="1179"/>
      <c r="O2" s="1179"/>
      <c r="P2" s="1179"/>
      <c r="Q2" s="1179"/>
      <c r="R2" s="1179"/>
      <c r="S2" s="1179"/>
      <c r="T2" s="1179"/>
      <c r="U2" s="1179"/>
      <c r="V2" s="1179"/>
      <c r="W2" s="1179"/>
      <c r="X2" s="1179"/>
      <c r="Y2" s="1179"/>
      <c r="Z2" s="1179"/>
      <c r="AA2" s="1179"/>
      <c r="AB2" s="3245"/>
      <c r="AC2" s="9436" t="s">
        <v>152</v>
      </c>
      <c r="AD2" s="8628"/>
      <c r="AE2" s="8628"/>
      <c r="AF2" s="8628"/>
      <c r="AG2" s="8628"/>
      <c r="AH2" s="8628"/>
      <c r="AI2" s="8628"/>
      <c r="AJ2" s="8628"/>
      <c r="AK2" s="1127"/>
      <c r="AL2" s="1179"/>
      <c r="AM2" s="1179"/>
      <c r="AN2" s="1179"/>
      <c r="AO2" s="1179"/>
      <c r="AP2" s="1179"/>
      <c r="AQ2" s="1179"/>
      <c r="AR2" s="1179"/>
      <c r="AS2" s="1179"/>
      <c r="AT2" s="1179"/>
      <c r="AU2" s="1179"/>
      <c r="AV2" s="5901" t="s">
        <v>2033</v>
      </c>
      <c r="AW2" s="2595"/>
      <c r="AX2" s="2595"/>
      <c r="AY2" s="2595"/>
      <c r="AZ2" s="2595"/>
      <c r="BA2" s="2595"/>
      <c r="BB2" s="2595"/>
      <c r="BC2" s="2595"/>
      <c r="BD2" s="2595"/>
    </row>
    <row r="3" spans="1:81" ht="24" customHeight="1">
      <c r="A3" s="1127"/>
      <c r="B3" s="8629" t="s">
        <v>291</v>
      </c>
      <c r="C3" s="6406"/>
      <c r="D3" s="8624"/>
      <c r="E3" s="8624"/>
      <c r="F3" s="8624"/>
      <c r="G3" s="8624"/>
      <c r="H3" s="1244"/>
      <c r="I3" s="8625" t="s">
        <v>5764</v>
      </c>
      <c r="J3" s="9444"/>
      <c r="K3" s="9444"/>
      <c r="L3" s="9444"/>
      <c r="M3" s="9444"/>
      <c r="N3" s="9444"/>
      <c r="O3" s="9444"/>
      <c r="P3" s="9444"/>
      <c r="Q3" s="9444"/>
      <c r="R3" s="9444"/>
      <c r="S3" s="9444"/>
      <c r="T3" s="9444"/>
      <c r="U3" s="9444"/>
      <c r="V3" s="9444"/>
      <c r="W3" s="9444"/>
      <c r="X3" s="9444"/>
      <c r="Y3" s="9444"/>
      <c r="Z3" s="9444"/>
      <c r="AA3" s="9444"/>
      <c r="AB3" s="9445"/>
      <c r="AC3" s="8630">
        <f>TaxYear</f>
        <v>2021</v>
      </c>
      <c r="AD3" s="8631"/>
      <c r="AE3" s="8631"/>
      <c r="AF3" s="8631"/>
      <c r="AG3" s="8631"/>
      <c r="AH3" s="8631"/>
      <c r="AI3" s="8631"/>
      <c r="AJ3" s="8631"/>
      <c r="AK3" s="1127"/>
      <c r="AL3" s="1179"/>
      <c r="AM3" s="1179"/>
      <c r="AN3" s="1179"/>
      <c r="AO3" s="1179"/>
      <c r="AP3" s="1179"/>
      <c r="AQ3" s="1179"/>
      <c r="AR3" s="1179"/>
      <c r="AS3" s="1179"/>
      <c r="AT3" s="1179"/>
      <c r="AU3" s="1179"/>
      <c r="AV3" s="5949" t="s">
        <v>111</v>
      </c>
      <c r="AW3" s="2595"/>
      <c r="AX3" s="2595"/>
      <c r="AY3" s="2595"/>
      <c r="AZ3" s="2595"/>
      <c r="BA3" s="2595"/>
      <c r="BB3" s="2595"/>
      <c r="BC3" s="2595"/>
      <c r="BD3" s="2595"/>
    </row>
    <row r="4" spans="1:81" ht="6.75" customHeight="1">
      <c r="A4" s="1127"/>
      <c r="B4" s="1179"/>
      <c r="C4" s="1179"/>
      <c r="D4" s="1179"/>
      <c r="E4" s="1179"/>
      <c r="F4" s="1179"/>
      <c r="G4" s="1179"/>
      <c r="H4" s="1244"/>
      <c r="I4" s="1547"/>
      <c r="J4" s="1548"/>
      <c r="K4" s="1548"/>
      <c r="L4" s="1548"/>
      <c r="M4" s="1548"/>
      <c r="N4" s="1548"/>
      <c r="O4" s="1548"/>
      <c r="P4" s="1548"/>
      <c r="Q4" s="1548"/>
      <c r="R4" s="1548"/>
      <c r="S4" s="1548"/>
      <c r="T4" s="1548"/>
      <c r="U4" s="1548"/>
      <c r="V4" s="1548"/>
      <c r="W4" s="1548"/>
      <c r="X4" s="1548"/>
      <c r="Y4" s="1548"/>
      <c r="Z4" s="1548"/>
      <c r="AA4" s="1548"/>
      <c r="AB4" s="1549"/>
      <c r="AC4" s="8632"/>
      <c r="AD4" s="8633"/>
      <c r="AE4" s="8633"/>
      <c r="AF4" s="8633"/>
      <c r="AG4" s="8633"/>
      <c r="AH4" s="8633"/>
      <c r="AI4" s="8633"/>
      <c r="AJ4" s="8633"/>
      <c r="AK4" s="1127"/>
      <c r="AL4" s="1179"/>
      <c r="AM4" s="1179"/>
      <c r="AN4" s="1179"/>
      <c r="AO4" s="1179"/>
      <c r="AP4" s="1179"/>
      <c r="AQ4" s="1179"/>
      <c r="AR4" s="1179"/>
      <c r="AS4" s="1179"/>
      <c r="AT4" s="1179"/>
      <c r="AU4" s="1179"/>
      <c r="AV4" s="5902"/>
      <c r="AW4" s="2595"/>
      <c r="AX4" s="2595"/>
      <c r="AY4" s="2595"/>
      <c r="AZ4" s="2595"/>
      <c r="BA4" s="2595"/>
      <c r="BB4" s="2595"/>
      <c r="BC4" s="2595"/>
      <c r="BD4" s="2595"/>
    </row>
    <row r="5" spans="1:81" ht="12.75" customHeight="1">
      <c r="A5" s="1127"/>
      <c r="B5" s="1179" t="s">
        <v>176</v>
      </c>
      <c r="C5" s="1179"/>
      <c r="D5" s="1179"/>
      <c r="E5" s="1179"/>
      <c r="F5" s="1179"/>
      <c r="G5" s="1179"/>
      <c r="H5" s="1244"/>
      <c r="I5" s="9431" t="s">
        <v>3286</v>
      </c>
      <c r="J5" s="9432"/>
      <c r="K5" s="9432"/>
      <c r="L5" s="9432"/>
      <c r="M5" s="9432"/>
      <c r="N5" s="9432"/>
      <c r="O5" s="9432"/>
      <c r="P5" s="9432"/>
      <c r="Q5" s="9432"/>
      <c r="R5" s="9432"/>
      <c r="S5" s="9432"/>
      <c r="T5" s="9432"/>
      <c r="U5" s="9432"/>
      <c r="V5" s="9432"/>
      <c r="W5" s="9432"/>
      <c r="X5" s="9432"/>
      <c r="Y5" s="9432"/>
      <c r="Z5" s="9432"/>
      <c r="AA5" s="9432"/>
      <c r="AB5" s="9433"/>
      <c r="AC5" s="1278"/>
      <c r="AD5" s="8894" t="s">
        <v>781</v>
      </c>
      <c r="AE5" s="6665"/>
      <c r="AF5" s="6665"/>
      <c r="AG5" s="6665"/>
      <c r="AH5" s="7744">
        <v>176</v>
      </c>
      <c r="AI5" s="7744"/>
      <c r="AJ5" s="1179"/>
      <c r="AK5" s="1127"/>
      <c r="AL5" s="1179"/>
      <c r="AM5" s="1179"/>
      <c r="AN5" s="1179"/>
      <c r="AO5" s="1179"/>
      <c r="AP5" s="1179"/>
      <c r="AQ5" s="1179"/>
      <c r="AR5" s="1179"/>
      <c r="AS5" s="1179"/>
      <c r="AT5" s="1179"/>
      <c r="AU5" s="1179"/>
      <c r="AV5" s="5902"/>
      <c r="AW5" s="2595"/>
      <c r="AX5" s="2595"/>
      <c r="AY5" s="2595"/>
      <c r="AZ5" s="2595"/>
      <c r="BA5" s="2595"/>
      <c r="BB5" s="2595"/>
      <c r="BC5" s="2595"/>
      <c r="BD5" s="2595"/>
    </row>
    <row r="6" spans="1:81" ht="13.5" customHeight="1" thickBot="1">
      <c r="A6" s="1127"/>
      <c r="B6" s="1280" t="s">
        <v>395</v>
      </c>
      <c r="C6" s="1280"/>
      <c r="D6" s="1280"/>
      <c r="E6" s="1280"/>
      <c r="F6" s="1280"/>
      <c r="G6" s="1280"/>
      <c r="H6" s="1281"/>
      <c r="I6" s="9448" t="s">
        <v>5920</v>
      </c>
      <c r="J6" s="9449"/>
      <c r="K6" s="9449"/>
      <c r="L6" s="9449"/>
      <c r="M6" s="9449"/>
      <c r="N6" s="9449"/>
      <c r="O6" s="9449"/>
      <c r="P6" s="9449"/>
      <c r="Q6" s="9449"/>
      <c r="R6" s="9449"/>
      <c r="S6" s="9449"/>
      <c r="T6" s="9449"/>
      <c r="U6" s="9449"/>
      <c r="V6" s="9449"/>
      <c r="W6" s="9449"/>
      <c r="X6" s="9449"/>
      <c r="Y6" s="9449"/>
      <c r="Z6" s="9449"/>
      <c r="AA6" s="9449"/>
      <c r="AB6" s="9450"/>
      <c r="AC6" s="1550"/>
      <c r="AD6" s="8876" t="s">
        <v>1128</v>
      </c>
      <c r="AE6" s="8877"/>
      <c r="AF6" s="8877"/>
      <c r="AG6" s="8877"/>
      <c r="AH6" s="8895"/>
      <c r="AI6" s="8895"/>
      <c r="AJ6" s="1280"/>
      <c r="AK6" s="1127"/>
      <c r="AL6" s="1179"/>
      <c r="AM6" s="1179"/>
      <c r="AN6" s="1179"/>
      <c r="AO6" s="1179"/>
      <c r="AP6" s="1179"/>
      <c r="AQ6" s="1179"/>
      <c r="AR6" s="1179"/>
      <c r="AS6" s="1179"/>
      <c r="AT6" s="1179"/>
      <c r="AU6" s="1179"/>
      <c r="AV6" s="5902"/>
      <c r="AW6" s="2595"/>
      <c r="AX6" s="2595"/>
      <c r="AY6" s="2595"/>
      <c r="AZ6" s="2595"/>
      <c r="BA6" s="2595"/>
      <c r="BB6" s="2595"/>
      <c r="BC6" s="2595"/>
      <c r="BD6" s="2595"/>
    </row>
    <row r="7" spans="1:81">
      <c r="A7" s="1127"/>
      <c r="B7" s="1551" t="s">
        <v>5765</v>
      </c>
      <c r="C7" s="1551"/>
      <c r="D7" s="1551"/>
      <c r="E7" s="1551"/>
      <c r="F7" s="1551"/>
      <c r="G7" s="1551"/>
      <c r="H7" s="1551"/>
      <c r="I7" s="1551"/>
      <c r="J7" s="1551"/>
      <c r="K7" s="1551"/>
      <c r="L7" s="1551"/>
      <c r="M7" s="1551"/>
      <c r="N7" s="1551"/>
      <c r="O7" s="1551"/>
      <c r="P7" s="1551"/>
      <c r="Q7" s="1551"/>
      <c r="R7" s="1551"/>
      <c r="S7" s="1551"/>
      <c r="T7" s="1551"/>
      <c r="U7" s="1551"/>
      <c r="V7" s="1551"/>
      <c r="W7" s="1551"/>
      <c r="X7" s="1551"/>
      <c r="Y7" s="4451" t="s">
        <v>89</v>
      </c>
      <c r="Z7" s="1274"/>
      <c r="AA7" s="1274"/>
      <c r="AB7" s="1274"/>
      <c r="AC7" s="1582"/>
      <c r="AD7" s="1702"/>
      <c r="AE7" s="1702"/>
      <c r="AF7" s="1702"/>
      <c r="AG7" s="1702"/>
      <c r="AH7" s="1702"/>
      <c r="AI7" s="1702"/>
      <c r="AJ7" s="1702"/>
      <c r="AK7" s="1127"/>
      <c r="AL7" s="1179"/>
      <c r="AM7" s="1179"/>
      <c r="AN7" s="1179"/>
      <c r="AO7" s="1179"/>
      <c r="AP7" s="1179"/>
      <c r="AQ7" s="1179"/>
      <c r="AR7" s="1179"/>
      <c r="AS7" s="1179"/>
      <c r="AT7" s="1179"/>
      <c r="AU7" s="1179"/>
      <c r="AV7" s="5902"/>
      <c r="AW7" s="2595"/>
      <c r="AX7" s="2595"/>
      <c r="AY7" s="2595"/>
      <c r="AZ7" s="2595"/>
      <c r="BA7" s="2595"/>
      <c r="BB7" s="2595"/>
      <c r="BC7" s="2595"/>
      <c r="BD7" s="2595"/>
    </row>
    <row r="8" spans="1:81" ht="13.5" customHeight="1">
      <c r="A8" s="1127"/>
      <c r="B8" s="8657" t="str">
        <f>IF(Names="","",Names)</f>
        <v/>
      </c>
      <c r="C8" s="8658"/>
      <c r="D8" s="8658"/>
      <c r="E8" s="8658"/>
      <c r="F8" s="8658"/>
      <c r="G8" s="8658"/>
      <c r="H8" s="8658"/>
      <c r="I8" s="8658"/>
      <c r="J8" s="8658"/>
      <c r="K8" s="8658"/>
      <c r="L8" s="6939"/>
      <c r="M8" s="6939"/>
      <c r="N8" s="6939"/>
      <c r="O8" s="6939"/>
      <c r="P8" s="6939"/>
      <c r="Q8" s="6939"/>
      <c r="R8" s="6939"/>
      <c r="S8" s="6939"/>
      <c r="T8" s="7060"/>
      <c r="U8" s="7060"/>
      <c r="V8" s="7060"/>
      <c r="W8" s="7060"/>
      <c r="X8" s="8659"/>
      <c r="Y8" s="8662">
        <f>IF(OR(NoSSN,SS_Yours=""),"",SS_Yours)</f>
        <v>1010001</v>
      </c>
      <c r="Z8" s="6618"/>
      <c r="AA8" s="6618"/>
      <c r="AB8" s="6618"/>
      <c r="AC8" s="6618"/>
      <c r="AD8" s="6618"/>
      <c r="AE8" s="6618"/>
      <c r="AF8" s="6618"/>
      <c r="AG8" s="6618"/>
      <c r="AH8" s="6618"/>
      <c r="AI8" s="6618"/>
      <c r="AJ8" s="6618"/>
      <c r="AK8" s="1127"/>
      <c r="AL8" s="1179"/>
      <c r="AM8" s="1179"/>
      <c r="AN8" s="1179"/>
      <c r="AO8" s="1179"/>
      <c r="AP8" s="1179"/>
      <c r="AQ8" s="1179"/>
      <c r="AR8" s="1179"/>
      <c r="AS8" s="1179"/>
      <c r="AT8" s="1179"/>
      <c r="AU8" s="1179"/>
      <c r="AV8" s="5902"/>
      <c r="AW8" s="2595"/>
      <c r="AX8" s="2595"/>
      <c r="AY8" s="2595"/>
      <c r="AZ8" s="2595"/>
      <c r="BA8" s="2595"/>
      <c r="BB8" s="2595"/>
      <c r="BC8" s="2595"/>
      <c r="BD8" s="2595"/>
    </row>
    <row r="9" spans="1:81" ht="5.25" customHeight="1">
      <c r="A9" s="1127"/>
      <c r="B9" s="8660"/>
      <c r="C9" s="8660"/>
      <c r="D9" s="8660"/>
      <c r="E9" s="8660"/>
      <c r="F9" s="8660"/>
      <c r="G9" s="8660"/>
      <c r="H9" s="8660"/>
      <c r="I9" s="8660"/>
      <c r="J9" s="8660"/>
      <c r="K9" s="8660"/>
      <c r="L9" s="8660"/>
      <c r="M9" s="8660"/>
      <c r="N9" s="8660"/>
      <c r="O9" s="8660"/>
      <c r="P9" s="8660"/>
      <c r="Q9" s="8660"/>
      <c r="R9" s="8660"/>
      <c r="S9" s="8660"/>
      <c r="T9" s="8208"/>
      <c r="U9" s="8208"/>
      <c r="V9" s="8208"/>
      <c r="W9" s="8208"/>
      <c r="X9" s="8661"/>
      <c r="Y9" s="6619"/>
      <c r="Z9" s="6616"/>
      <c r="AA9" s="6616"/>
      <c r="AB9" s="6616"/>
      <c r="AC9" s="6616"/>
      <c r="AD9" s="6616"/>
      <c r="AE9" s="6616"/>
      <c r="AF9" s="6616"/>
      <c r="AG9" s="6616"/>
      <c r="AH9" s="6616"/>
      <c r="AI9" s="6616"/>
      <c r="AJ9" s="6616"/>
      <c r="AK9" s="1127"/>
      <c r="AL9" s="1179"/>
      <c r="AM9" s="1179"/>
      <c r="AN9" s="1179"/>
      <c r="AO9" s="1179"/>
      <c r="AP9" s="1179"/>
      <c r="AQ9" s="1179"/>
      <c r="AR9" s="1179"/>
      <c r="AS9" s="1179"/>
      <c r="AT9" s="1179"/>
      <c r="AU9" s="1179"/>
      <c r="AV9" s="5902"/>
      <c r="AW9" s="2595"/>
      <c r="AX9" s="2595"/>
      <c r="AY9" s="2595"/>
      <c r="AZ9" s="2595"/>
      <c r="BA9" s="2595"/>
      <c r="BB9" s="2595"/>
      <c r="BC9" s="2595"/>
      <c r="BD9" s="2595"/>
    </row>
    <row r="10" spans="1:81" ht="5.25" customHeight="1">
      <c r="A10" s="1127"/>
      <c r="B10" s="5743"/>
      <c r="C10" s="5744"/>
      <c r="D10" s="5744"/>
      <c r="E10" s="5744"/>
      <c r="F10" s="5744"/>
      <c r="G10" s="5744"/>
      <c r="H10" s="5744"/>
      <c r="I10" s="5744"/>
      <c r="J10" s="5744"/>
      <c r="K10" s="5744"/>
      <c r="L10" s="5744"/>
      <c r="M10" s="5744"/>
      <c r="N10" s="5744"/>
      <c r="O10" s="5744"/>
      <c r="P10" s="5744"/>
      <c r="Q10" s="5744"/>
      <c r="R10" s="5744"/>
      <c r="S10" s="5744"/>
      <c r="T10" s="5744"/>
      <c r="U10" s="5744"/>
      <c r="V10" s="5744"/>
      <c r="W10" s="5744"/>
      <c r="X10" s="5744"/>
      <c r="Y10" s="5744"/>
      <c r="Z10" s="5744"/>
      <c r="AA10" s="5744"/>
      <c r="AB10" s="5744"/>
      <c r="AC10" s="5744"/>
      <c r="AD10" s="5744"/>
      <c r="AE10" s="5744"/>
      <c r="AF10" s="5744"/>
      <c r="AG10" s="5744"/>
      <c r="AH10" s="5744"/>
      <c r="AI10" s="1179"/>
      <c r="AJ10" s="1179"/>
      <c r="AK10" s="1127"/>
      <c r="AL10" s="1179"/>
      <c r="AM10" s="1179"/>
      <c r="AN10" s="1179"/>
      <c r="AO10" s="1179"/>
      <c r="AP10" s="1179"/>
      <c r="AQ10" s="1179"/>
      <c r="AR10" s="1179"/>
      <c r="AS10" s="1179"/>
      <c r="AT10" s="1179"/>
      <c r="AU10" s="1179"/>
      <c r="AV10" s="5902"/>
      <c r="AW10" s="2595"/>
      <c r="AX10" s="2595"/>
      <c r="AY10" s="2595"/>
      <c r="AZ10" s="2595"/>
      <c r="BA10" s="2595"/>
      <c r="BB10" s="2595"/>
      <c r="BC10" s="2595"/>
      <c r="BD10" s="2595"/>
    </row>
    <row r="11" spans="1:81" s="2595" customFormat="1" ht="18" customHeight="1">
      <c r="A11" s="1127"/>
      <c r="B11" s="6769" t="s">
        <v>51</v>
      </c>
      <c r="C11" s="6769"/>
      <c r="D11" s="1705"/>
      <c r="E11" s="4609"/>
      <c r="F11" s="1554"/>
      <c r="G11" s="1554"/>
      <c r="H11" s="1554"/>
      <c r="I11" s="4609" t="s">
        <v>5766</v>
      </c>
      <c r="J11" s="1554"/>
      <c r="K11" s="1554"/>
      <c r="L11" s="1554"/>
      <c r="M11" s="1554"/>
      <c r="N11" s="1554"/>
      <c r="O11" s="1554"/>
      <c r="P11" s="1554"/>
      <c r="Q11" s="1554"/>
      <c r="R11" s="1554"/>
      <c r="S11" s="1554"/>
      <c r="T11" s="1554"/>
      <c r="U11" s="1554"/>
      <c r="V11" s="1554"/>
      <c r="W11" s="1554"/>
      <c r="X11" s="1554"/>
      <c r="Y11" s="1554"/>
      <c r="Z11" s="1554"/>
      <c r="AA11" s="1554"/>
      <c r="AB11" s="1554"/>
      <c r="AC11" s="1554"/>
      <c r="AD11" s="1554"/>
      <c r="AE11" s="1554"/>
      <c r="AF11" s="1554"/>
      <c r="AG11" s="1554"/>
      <c r="AH11" s="1554"/>
      <c r="AI11" s="1554"/>
      <c r="AJ11" s="1554"/>
      <c r="AK11" s="1127"/>
      <c r="AL11" s="2770"/>
      <c r="AM11" s="1179"/>
      <c r="AN11" s="1179"/>
      <c r="AO11" s="1179"/>
      <c r="AP11" s="1179"/>
      <c r="AQ11" s="1179"/>
      <c r="AR11" s="1179"/>
      <c r="AS11" s="1179"/>
      <c r="AT11" s="1179"/>
      <c r="AU11" s="1179"/>
      <c r="AV11" s="590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row>
    <row r="12" spans="1:81" s="2595" customFormat="1" ht="18" customHeight="1">
      <c r="A12" s="1127"/>
      <c r="B12" s="1179"/>
      <c r="C12" s="1556" t="s">
        <v>148</v>
      </c>
      <c r="D12" s="2686" t="s">
        <v>5767</v>
      </c>
      <c r="E12" s="1179"/>
      <c r="F12" s="1179"/>
      <c r="G12" s="1179"/>
      <c r="H12" s="1179"/>
      <c r="I12" s="1179"/>
      <c r="J12" s="1179"/>
      <c r="K12" s="1179"/>
      <c r="L12" s="1179"/>
      <c r="M12" s="1179"/>
      <c r="N12" s="1179"/>
      <c r="O12" s="1179"/>
      <c r="P12" s="1179"/>
      <c r="Q12" s="1179"/>
      <c r="R12" s="1179"/>
      <c r="S12" s="1179"/>
      <c r="T12" s="1179"/>
      <c r="U12" s="1179"/>
      <c r="V12" s="1179"/>
      <c r="W12" s="1179"/>
      <c r="X12" s="1179"/>
      <c r="Y12" s="1179"/>
      <c r="Z12" s="1179"/>
      <c r="AA12" s="1179"/>
      <c r="AB12" s="1179"/>
      <c r="AC12" s="1179"/>
      <c r="AD12" s="1555"/>
      <c r="AE12" s="1179"/>
      <c r="AF12" s="1179"/>
      <c r="AG12" s="1179"/>
      <c r="AH12" s="1179"/>
      <c r="AI12" s="1179"/>
      <c r="AJ12" s="1179"/>
      <c r="AK12" s="1127"/>
      <c r="AL12" s="2770"/>
      <c r="AM12" s="1179"/>
      <c r="AN12" s="1179"/>
      <c r="AO12" s="1179"/>
      <c r="AP12" s="1179"/>
      <c r="AQ12" s="1179"/>
      <c r="AR12" s="1179"/>
      <c r="AS12" s="1179"/>
      <c r="AT12" s="1179"/>
      <c r="AU12" s="1179"/>
      <c r="AV12" s="590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row>
    <row r="13" spans="1:81" s="2595" customFormat="1" ht="15" customHeight="1">
      <c r="A13" s="1127"/>
      <c r="B13" s="1179"/>
      <c r="C13" s="1556"/>
      <c r="D13" s="2686" t="s">
        <v>5768</v>
      </c>
      <c r="E13" s="1179"/>
      <c r="F13" s="1179"/>
      <c r="G13" s="1179"/>
      <c r="H13" s="1179"/>
      <c r="I13" s="1179"/>
      <c r="J13" s="1179"/>
      <c r="K13" s="1179"/>
      <c r="L13" s="1179"/>
      <c r="M13" s="1179"/>
      <c r="N13" s="1179"/>
      <c r="O13" s="1179"/>
      <c r="P13" s="1179"/>
      <c r="Q13" s="1179"/>
      <c r="R13" s="1179"/>
      <c r="S13" s="1179"/>
      <c r="T13" s="1179"/>
      <c r="U13" s="1179"/>
      <c r="V13" s="1179"/>
      <c r="W13" s="1179"/>
      <c r="X13" s="1179"/>
      <c r="Y13" s="1179"/>
      <c r="Z13" s="1179"/>
      <c r="AA13" s="1179"/>
      <c r="AB13" s="1179"/>
      <c r="AC13" s="1560" t="s">
        <v>921</v>
      </c>
      <c r="AD13" s="1557">
        <v>1</v>
      </c>
      <c r="AE13" s="9122"/>
      <c r="AF13" s="9446"/>
      <c r="AG13" s="9446"/>
      <c r="AH13" s="9446"/>
      <c r="AI13" s="9446"/>
      <c r="AJ13" s="9446"/>
      <c r="AK13" s="1127"/>
      <c r="AL13" s="2770"/>
      <c r="AM13" s="1179"/>
      <c r="AN13" s="1179"/>
      <c r="AO13" s="1179"/>
      <c r="AP13" s="1179"/>
      <c r="AQ13" s="1179"/>
      <c r="AR13" s="1179"/>
      <c r="AS13" s="1179"/>
      <c r="AT13" s="1179"/>
      <c r="AU13" s="1179"/>
      <c r="AV13" s="590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row>
    <row r="14" spans="1:81" s="2595" customFormat="1" ht="15" customHeight="1">
      <c r="A14" s="1127"/>
      <c r="B14" s="1179"/>
      <c r="C14" s="1556">
        <v>2</v>
      </c>
      <c r="D14" s="2686" t="s">
        <v>5769</v>
      </c>
      <c r="E14" s="1179"/>
      <c r="F14" s="1179"/>
      <c r="G14" s="1179"/>
      <c r="H14" s="1179"/>
      <c r="I14" s="1179"/>
      <c r="J14" s="1179"/>
      <c r="K14" s="1179"/>
      <c r="L14" s="1179"/>
      <c r="M14" s="1179"/>
      <c r="N14" s="1179"/>
      <c r="O14" s="1179"/>
      <c r="P14" s="1179"/>
      <c r="Q14" s="1179"/>
      <c r="R14" s="1179"/>
      <c r="S14" s="1179"/>
      <c r="T14" s="1179"/>
      <c r="U14" s="1179"/>
      <c r="V14" s="1179"/>
      <c r="W14" s="1179"/>
      <c r="X14" s="1179"/>
      <c r="Y14" s="1179"/>
      <c r="Z14" s="1179"/>
      <c r="AA14" s="1179"/>
      <c r="AB14" s="1179"/>
      <c r="AC14" s="1560" t="s">
        <v>5192</v>
      </c>
      <c r="AD14" s="1557">
        <v>2</v>
      </c>
      <c r="AE14" s="9122"/>
      <c r="AF14" s="9446"/>
      <c r="AG14" s="9446"/>
      <c r="AH14" s="9446"/>
      <c r="AI14" s="9446"/>
      <c r="AJ14" s="9446"/>
      <c r="AK14" s="1127"/>
      <c r="AL14" s="2770"/>
      <c r="AM14" s="1179"/>
      <c r="AN14" s="1179"/>
      <c r="AO14" s="1179"/>
      <c r="AP14" s="1179"/>
      <c r="AQ14" s="1179"/>
      <c r="AR14" s="1179"/>
      <c r="AS14" s="1179"/>
      <c r="AT14" s="1179"/>
      <c r="AU14" s="1179"/>
      <c r="AV14" s="590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row>
    <row r="15" spans="1:81" s="2595" customFormat="1" ht="15" customHeight="1">
      <c r="A15" s="1127"/>
      <c r="B15" s="1179"/>
      <c r="C15" s="1556">
        <v>3</v>
      </c>
      <c r="D15" s="2686" t="s">
        <v>5770</v>
      </c>
      <c r="E15" s="1179"/>
      <c r="F15" s="1179"/>
      <c r="G15" s="1179"/>
      <c r="H15" s="1179"/>
      <c r="I15" s="1179"/>
      <c r="J15" s="1179"/>
      <c r="K15" s="1179"/>
      <c r="L15" s="1179"/>
      <c r="M15" s="1179"/>
      <c r="N15" s="1179"/>
      <c r="O15" s="1179"/>
      <c r="P15" s="1179"/>
      <c r="Q15" s="1179"/>
      <c r="R15" s="1179"/>
      <c r="S15" s="1179"/>
      <c r="T15" s="1179"/>
      <c r="U15" s="1179"/>
      <c r="V15" s="1179"/>
      <c r="W15" s="1179"/>
      <c r="X15" s="1179"/>
      <c r="Y15" s="1179"/>
      <c r="Z15" s="1179"/>
      <c r="AA15" s="1179"/>
      <c r="AB15" s="1179"/>
      <c r="AC15" s="1560" t="s">
        <v>919</v>
      </c>
      <c r="AD15" s="1557">
        <v>3</v>
      </c>
      <c r="AE15" s="9457" t="str">
        <f>IF(NOT(AM15),"",IF(AE13&gt;AE14,1,ROUND(AE13/AE14*100,2)))</f>
        <v/>
      </c>
      <c r="AF15" s="9458"/>
      <c r="AG15" s="9458"/>
      <c r="AH15" s="9458"/>
      <c r="AI15" s="9458"/>
      <c r="AJ15" s="5952" t="str">
        <f>"%"</f>
        <v>%</v>
      </c>
      <c r="AK15" s="1127"/>
      <c r="AL15" s="2770"/>
      <c r="AM15" s="1284" t="b">
        <f>AND(AE13&lt;&gt;"",AE14&lt;&gt;"",AE14&lt;&gt;0)</f>
        <v>0</v>
      </c>
      <c r="AN15" s="1179"/>
      <c r="AO15" s="1179"/>
      <c r="AP15" s="1179"/>
      <c r="AQ15" s="1179"/>
      <c r="AR15" s="1179"/>
      <c r="AS15" s="1179"/>
      <c r="AT15" s="1179"/>
      <c r="AU15" s="1179"/>
      <c r="AV15" s="590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row>
    <row r="16" spans="1:81" s="2595" customFormat="1" ht="16.5" thickBot="1">
      <c r="A16" s="1127"/>
      <c r="B16" s="1179"/>
      <c r="C16" s="1179"/>
      <c r="D16" s="3988" t="s">
        <v>5771</v>
      </c>
      <c r="E16" s="1179"/>
      <c r="F16" s="1179"/>
      <c r="G16" s="1179"/>
      <c r="H16" s="1179"/>
      <c r="I16" s="1179"/>
      <c r="J16" s="1179"/>
      <c r="K16" s="1179"/>
      <c r="L16" s="1179"/>
      <c r="M16" s="1179"/>
      <c r="N16" s="1179"/>
      <c r="O16" s="1179"/>
      <c r="P16" s="1179"/>
      <c r="Q16" s="1179"/>
      <c r="R16" s="1179"/>
      <c r="S16" s="1179"/>
      <c r="T16" s="1179"/>
      <c r="U16" s="1179"/>
      <c r="V16" s="1179"/>
      <c r="W16" s="1179"/>
      <c r="X16" s="1179"/>
      <c r="Y16" s="1179"/>
      <c r="Z16" s="1179"/>
      <c r="AA16" s="1179"/>
      <c r="AB16" s="1179"/>
      <c r="AC16" s="1583"/>
      <c r="AD16" s="1561"/>
      <c r="AE16" s="2686"/>
      <c r="AF16" s="2686"/>
      <c r="AG16" s="2686"/>
      <c r="AH16" s="2686"/>
      <c r="AI16" s="2686"/>
      <c r="AJ16" s="2686"/>
      <c r="AK16" s="1127"/>
      <c r="AL16" s="2770"/>
      <c r="AM16" s="1179"/>
      <c r="AN16" s="1179"/>
      <c r="AO16" s="1179"/>
      <c r="AP16" s="1179"/>
      <c r="AQ16" s="1179"/>
      <c r="AR16" s="1179"/>
      <c r="AS16" s="1179"/>
      <c r="AT16" s="1179"/>
      <c r="AU16" s="1179"/>
      <c r="AV16" s="590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row>
    <row r="17" spans="1:81" s="2595" customFormat="1" ht="15.75" thickBot="1">
      <c r="A17" s="1127"/>
      <c r="B17" s="1179"/>
      <c r="C17" s="1556">
        <v>4</v>
      </c>
      <c r="D17" s="2686" t="s">
        <v>5772</v>
      </c>
      <c r="E17" s="1179"/>
      <c r="F17" s="1179"/>
      <c r="G17" s="1179"/>
      <c r="H17" s="1179"/>
      <c r="I17" s="1179"/>
      <c r="J17" s="1179"/>
      <c r="K17" s="1179"/>
      <c r="L17" s="1179"/>
      <c r="M17" s="1179"/>
      <c r="N17" s="1179"/>
      <c r="O17" s="1179"/>
      <c r="P17" s="1179"/>
      <c r="Q17" s="1179"/>
      <c r="R17" s="1179"/>
      <c r="S17" s="1556"/>
      <c r="T17" s="1179"/>
      <c r="U17" s="1179"/>
      <c r="V17" s="1560" t="s">
        <v>573</v>
      </c>
      <c r="W17" s="1557">
        <v>4</v>
      </c>
      <c r="X17" s="9122"/>
      <c r="Y17" s="9446"/>
      <c r="Z17" s="9446"/>
      <c r="AA17" s="9446"/>
      <c r="AB17" s="9446"/>
      <c r="AC17" s="9447"/>
      <c r="AD17" s="1561"/>
      <c r="AE17" s="2686"/>
      <c r="AF17" s="2686"/>
      <c r="AG17" s="2686"/>
      <c r="AH17" s="2686"/>
      <c r="AI17" s="2686"/>
      <c r="AJ17" s="2686"/>
      <c r="AK17" s="1127"/>
      <c r="AL17" s="1181"/>
      <c r="AM17" s="2686" t="s">
        <v>5856</v>
      </c>
      <c r="AN17" s="1179"/>
      <c r="AO17" s="1179"/>
      <c r="AP17" s="1179"/>
      <c r="AQ17" s="1179"/>
      <c r="AR17" s="1179"/>
      <c r="AS17" s="1179"/>
      <c r="AT17" s="1179"/>
      <c r="AU17" s="1179"/>
      <c r="AV17" s="590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row>
    <row r="18" spans="1:81" s="2595" customFormat="1" ht="15">
      <c r="A18" s="1127"/>
      <c r="B18" s="1179"/>
      <c r="C18" s="1556">
        <v>5</v>
      </c>
      <c r="D18" s="2686" t="s">
        <v>5773</v>
      </c>
      <c r="E18" s="1179"/>
      <c r="F18" s="1179"/>
      <c r="G18" s="1179"/>
      <c r="H18" s="1179"/>
      <c r="I18" s="1179"/>
      <c r="J18" s="1179"/>
      <c r="K18" s="1179"/>
      <c r="L18" s="1179"/>
      <c r="M18" s="1179"/>
      <c r="N18" s="1179"/>
      <c r="O18" s="1179"/>
      <c r="P18" s="1179"/>
      <c r="Q18" s="1560"/>
      <c r="R18" s="1560"/>
      <c r="S18" s="1179"/>
      <c r="T18" s="1179"/>
      <c r="U18" s="1179"/>
      <c r="V18" s="1179"/>
      <c r="W18" s="3006"/>
      <c r="X18" s="5954"/>
      <c r="Y18" s="5955"/>
      <c r="Z18" s="5955"/>
      <c r="AA18" s="5955"/>
      <c r="AB18" s="9462">
        <v>8760</v>
      </c>
      <c r="AC18" s="9463"/>
      <c r="AD18" s="1561"/>
      <c r="AE18" s="2686"/>
      <c r="AF18" s="2686"/>
      <c r="AG18" s="2686"/>
      <c r="AH18" s="2686"/>
      <c r="AI18" s="2686"/>
      <c r="AJ18" s="2686"/>
      <c r="AK18" s="1127"/>
      <c r="AL18" s="2770"/>
      <c r="AM18" s="1284" t="b">
        <f>AL17&lt;&gt;""</f>
        <v>0</v>
      </c>
      <c r="AN18" s="1179"/>
      <c r="AO18" s="1179"/>
      <c r="AP18" s="1179"/>
      <c r="AQ18" s="1179"/>
      <c r="AR18" s="1179"/>
      <c r="AS18" s="1179"/>
      <c r="AT18" s="1179"/>
      <c r="AU18" s="1179"/>
      <c r="AV18" s="590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row>
    <row r="19" spans="1:81" s="2595" customFormat="1" ht="15.75" thickBot="1">
      <c r="A19" s="681" t="s">
        <v>660</v>
      </c>
      <c r="B19" s="1179"/>
      <c r="C19" s="1559"/>
      <c r="D19" s="2686" t="str">
        <f>"see instructions; otherwise, enter "&amp;TEXT(AB18,"0,000")</f>
        <v>see instructions; otherwise, enter 8,760</v>
      </c>
      <c r="E19" s="1179"/>
      <c r="F19" s="1179"/>
      <c r="G19" s="1179"/>
      <c r="H19" s="1179"/>
      <c r="I19" s="1179"/>
      <c r="J19" s="1179"/>
      <c r="K19" s="1179"/>
      <c r="L19" s="1179"/>
      <c r="M19" s="1179"/>
      <c r="N19" s="1179"/>
      <c r="O19" s="1179"/>
      <c r="P19" s="1179"/>
      <c r="Q19" s="1560"/>
      <c r="R19" s="1560"/>
      <c r="S19" s="1179"/>
      <c r="T19" s="1179"/>
      <c r="U19" s="1179"/>
      <c r="V19" s="1560" t="s">
        <v>568</v>
      </c>
      <c r="W19" s="1564">
        <v>5</v>
      </c>
      <c r="X19" s="9459"/>
      <c r="Y19" s="9460"/>
      <c r="Z19" s="9460"/>
      <c r="AA19" s="9460"/>
      <c r="AB19" s="9460"/>
      <c r="AC19" s="9461"/>
      <c r="AD19" s="1561"/>
      <c r="AE19" s="2686"/>
      <c r="AF19" s="2686"/>
      <c r="AG19" s="2686"/>
      <c r="AH19" s="2686"/>
      <c r="AI19" s="2686"/>
      <c r="AJ19" s="2686"/>
      <c r="AK19" s="1127"/>
      <c r="AL19" s="2770"/>
      <c r="AM19" s="1284" t="b">
        <f>OR(AND(AM15,NOT(AM18)),AND(AM15,AM18,X17&lt;&gt;"",X19&lt;&gt;""))</f>
        <v>0</v>
      </c>
      <c r="AN19" s="1179"/>
      <c r="AO19" s="1179"/>
      <c r="AP19" s="1179"/>
      <c r="AQ19" s="1179"/>
      <c r="AR19" s="1179"/>
      <c r="AS19" s="1179"/>
      <c r="AT19" s="1179"/>
      <c r="AU19" s="1179"/>
      <c r="AV19" s="590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row>
    <row r="20" spans="1:81" s="2595" customFormat="1" ht="15">
      <c r="A20" s="1127"/>
      <c r="B20" s="1179"/>
      <c r="C20" s="1556">
        <v>6</v>
      </c>
      <c r="D20" s="2686" t="s">
        <v>5774</v>
      </c>
      <c r="E20" s="1179"/>
      <c r="F20" s="1179"/>
      <c r="G20" s="1179"/>
      <c r="H20" s="1179"/>
      <c r="I20" s="1179"/>
      <c r="J20" s="1179"/>
      <c r="K20" s="1179"/>
      <c r="L20" s="1179"/>
      <c r="M20" s="1179"/>
      <c r="N20" s="1179"/>
      <c r="O20" s="1179"/>
      <c r="P20" s="1179"/>
      <c r="Q20" s="1179"/>
      <c r="R20" s="1179"/>
      <c r="S20" s="1556"/>
      <c r="T20" s="1179"/>
      <c r="U20" s="1179"/>
      <c r="V20" s="1560" t="s">
        <v>629</v>
      </c>
      <c r="W20" s="1557">
        <v>6</v>
      </c>
      <c r="X20" s="9464" t="str">
        <f>IF(OR(NOT(AM19),AE13="",AE14="",X19=""),"",ROUND(X17/X19,3))</f>
        <v/>
      </c>
      <c r="Y20" s="9465"/>
      <c r="Z20" s="9465"/>
      <c r="AA20" s="9465"/>
      <c r="AB20" s="9465"/>
      <c r="AC20" s="9466"/>
      <c r="AD20" s="1561"/>
      <c r="AE20" s="2686"/>
      <c r="AF20" s="2686"/>
      <c r="AG20" s="2686"/>
      <c r="AH20" s="2686"/>
      <c r="AI20" s="2686"/>
      <c r="AJ20" s="2686"/>
      <c r="AK20" s="1127"/>
      <c r="AL20" s="2770"/>
      <c r="AM20" s="1179"/>
      <c r="AN20" s="1179"/>
      <c r="AO20" s="1179"/>
      <c r="AP20" s="1179"/>
      <c r="AQ20" s="1179"/>
      <c r="AR20" s="1179"/>
      <c r="AS20" s="1179"/>
      <c r="AT20" s="1179"/>
      <c r="AU20" s="1179"/>
      <c r="AV20" s="590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row>
    <row r="21" spans="1:81" s="2595" customFormat="1" ht="15">
      <c r="A21" s="1127"/>
      <c r="B21" s="1179"/>
      <c r="C21" s="1556">
        <v>7</v>
      </c>
      <c r="D21" s="2686" t="s">
        <v>5775</v>
      </c>
      <c r="E21" s="1179"/>
      <c r="F21" s="1179"/>
      <c r="G21" s="1179"/>
      <c r="H21" s="1179"/>
      <c r="I21" s="1179"/>
      <c r="J21" s="1179"/>
      <c r="K21" s="1179"/>
      <c r="L21" s="1179"/>
      <c r="M21" s="1179"/>
      <c r="N21" s="1179"/>
      <c r="O21" s="1179"/>
      <c r="P21" s="1179"/>
      <c r="Q21" s="1179"/>
      <c r="R21" s="1179"/>
      <c r="S21" s="1179"/>
      <c r="T21" s="1179"/>
      <c r="U21" s="1179"/>
      <c r="V21" s="1179"/>
      <c r="W21" s="1179"/>
      <c r="X21" s="1179"/>
      <c r="Y21" s="1179"/>
      <c r="Z21" s="1179"/>
      <c r="AA21" s="1179"/>
      <c r="AB21" s="1179"/>
      <c r="AC21" s="1179"/>
      <c r="AD21" s="1561"/>
      <c r="AE21" s="2686"/>
      <c r="AF21" s="2686"/>
      <c r="AG21" s="2686"/>
      <c r="AH21" s="2686"/>
      <c r="AI21" s="2686"/>
      <c r="AJ21" s="2686"/>
      <c r="AK21" s="1127"/>
      <c r="AL21" s="2770"/>
      <c r="AM21" s="1179"/>
      <c r="AN21" s="1179"/>
      <c r="AO21" s="1179"/>
      <c r="AP21" s="1179"/>
      <c r="AQ21" s="1179"/>
      <c r="AR21" s="1179"/>
      <c r="AS21" s="1179"/>
      <c r="AT21" s="1179"/>
      <c r="AU21" s="1179"/>
      <c r="AV21" s="590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row>
    <row r="22" spans="1:81" s="2595" customFormat="1" ht="15" customHeight="1" thickBot="1">
      <c r="A22" s="1127"/>
      <c r="B22" s="1280"/>
      <c r="C22" s="5938"/>
      <c r="D22" s="2704" t="s">
        <v>5776</v>
      </c>
      <c r="E22" s="1280"/>
      <c r="F22" s="1280"/>
      <c r="G22" s="1280"/>
      <c r="H22" s="1280"/>
      <c r="I22" s="1280"/>
      <c r="J22" s="1280"/>
      <c r="K22" s="1280"/>
      <c r="L22" s="1280"/>
      <c r="M22" s="1280"/>
      <c r="N22" s="1280"/>
      <c r="O22" s="1280"/>
      <c r="P22" s="1280"/>
      <c r="Q22" s="1280"/>
      <c r="R22" s="1280"/>
      <c r="S22" s="1280"/>
      <c r="T22" s="1280"/>
      <c r="U22" s="1280"/>
      <c r="V22" s="1280"/>
      <c r="W22" s="1280"/>
      <c r="X22" s="1280"/>
      <c r="Y22" s="1280"/>
      <c r="Z22" s="1280"/>
      <c r="AA22" s="1280"/>
      <c r="AB22" s="1280"/>
      <c r="AC22" s="4477" t="s">
        <v>571</v>
      </c>
      <c r="AD22" s="1564">
        <v>7</v>
      </c>
      <c r="AE22" s="9442" t="str">
        <f>IF(NOT(AM19),"",IF(AM18,ROUND(X20*AE15,3),AE15))</f>
        <v/>
      </c>
      <c r="AF22" s="9443"/>
      <c r="AG22" s="9443"/>
      <c r="AH22" s="9443"/>
      <c r="AI22" s="9443"/>
      <c r="AJ22" s="5953" t="str">
        <f>"%"</f>
        <v>%</v>
      </c>
      <c r="AK22" s="1127"/>
      <c r="AL22" s="2770"/>
      <c r="AM22" s="1179"/>
      <c r="AN22" s="1179"/>
      <c r="AO22" s="1276"/>
      <c r="AP22" s="1179"/>
      <c r="AQ22" s="1179"/>
      <c r="AR22" s="1179"/>
      <c r="AS22" s="1179"/>
      <c r="AT22" s="1179"/>
      <c r="AU22" s="1179"/>
      <c r="AV22" s="590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row>
    <row r="23" spans="1:81" s="2595" customFormat="1" ht="18">
      <c r="A23" s="1127"/>
      <c r="B23" s="7636" t="s">
        <v>118</v>
      </c>
      <c r="C23" s="7636"/>
      <c r="D23" s="4358"/>
      <c r="E23" s="4608"/>
      <c r="F23" s="1553"/>
      <c r="G23" s="1553"/>
      <c r="H23" s="1553"/>
      <c r="I23" s="4608" t="s">
        <v>5777</v>
      </c>
      <c r="J23" s="1553"/>
      <c r="K23" s="1553"/>
      <c r="L23" s="1553"/>
      <c r="M23" s="1553"/>
      <c r="N23" s="1553"/>
      <c r="O23" s="1553"/>
      <c r="P23" s="1553"/>
      <c r="Q23" s="1553"/>
      <c r="R23" s="1553"/>
      <c r="S23" s="1553"/>
      <c r="T23" s="1553"/>
      <c r="U23" s="1553"/>
      <c r="V23" s="1553"/>
      <c r="W23" s="1553"/>
      <c r="X23" s="1553"/>
      <c r="Y23" s="1553"/>
      <c r="Z23" s="1553"/>
      <c r="AA23" s="1553"/>
      <c r="AB23" s="1553"/>
      <c r="AC23" s="1553"/>
      <c r="AD23" s="1553"/>
      <c r="AE23" s="1553"/>
      <c r="AF23" s="1553"/>
      <c r="AG23" s="1553"/>
      <c r="AH23" s="1553"/>
      <c r="AI23" s="1553"/>
      <c r="AJ23" s="1553"/>
      <c r="AK23" s="1127"/>
      <c r="AL23" s="2770"/>
      <c r="AM23" s="1283" t="s">
        <v>5823</v>
      </c>
      <c r="AN23" s="1179"/>
      <c r="AO23" s="1276" t="s">
        <v>5850</v>
      </c>
      <c r="AP23" s="1276"/>
      <c r="AQ23" s="1276"/>
      <c r="AR23" s="1276"/>
      <c r="AS23" s="1276"/>
      <c r="AT23" s="1276"/>
      <c r="AU23" s="1276"/>
      <c r="AV23" s="590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row>
    <row r="24" spans="1:81" s="2595" customFormat="1" ht="15">
      <c r="A24" s="1127"/>
      <c r="B24" s="1179"/>
      <c r="C24" s="1556">
        <v>8</v>
      </c>
      <c r="D24" s="2686" t="s">
        <v>5778</v>
      </c>
      <c r="E24" s="1179"/>
      <c r="F24" s="1179"/>
      <c r="G24" s="1179"/>
      <c r="H24" s="1179"/>
      <c r="I24" s="1179"/>
      <c r="J24" s="1179"/>
      <c r="K24" s="1179"/>
      <c r="L24" s="1179"/>
      <c r="M24" s="1179"/>
      <c r="N24" s="1179"/>
      <c r="O24" s="1179"/>
      <c r="P24" s="1179"/>
      <c r="Q24" s="1179"/>
      <c r="R24" s="1179"/>
      <c r="S24" s="1179"/>
      <c r="T24" s="1179"/>
      <c r="U24" s="1179"/>
      <c r="V24" s="1179"/>
      <c r="W24" s="1179"/>
      <c r="X24" s="1179"/>
      <c r="Y24" s="1179"/>
      <c r="Z24" s="1179"/>
      <c r="AA24" s="1179"/>
      <c r="AB24" s="1179"/>
      <c r="AC24" s="1179"/>
      <c r="AD24" s="1558"/>
      <c r="AE24" s="1179"/>
      <c r="AF24" s="1179"/>
      <c r="AG24" s="1179"/>
      <c r="AH24" s="1179"/>
      <c r="AI24" s="1179"/>
      <c r="AJ24" s="1179"/>
      <c r="AK24" s="1127"/>
      <c r="AL24" s="2151" t="str">
        <f>IF(AL25="","X","")</f>
        <v>X</v>
      </c>
      <c r="AM24" s="5976">
        <f>SchC_TentativeProfit1</f>
        <v>0</v>
      </c>
      <c r="AN24" s="1179"/>
      <c r="AO24" s="5956">
        <v>1</v>
      </c>
      <c r="AP24" s="1927"/>
      <c r="AQ24" s="1927"/>
      <c r="AR24" s="1927"/>
      <c r="AS24" s="1927"/>
      <c r="AT24" s="1927"/>
      <c r="AU24" s="1927"/>
      <c r="AV24" s="590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row>
    <row r="25" spans="1:81" s="2595" customFormat="1" ht="14.25" customHeight="1">
      <c r="A25" s="1127"/>
      <c r="B25" s="2686"/>
      <c r="C25" s="2686"/>
      <c r="D25" s="2686" t="s">
        <v>5779</v>
      </c>
      <c r="E25" s="2686"/>
      <c r="F25" s="2686"/>
      <c r="G25" s="2686"/>
      <c r="H25" s="2686"/>
      <c r="I25" s="2686"/>
      <c r="J25" s="2686"/>
      <c r="K25" s="2686"/>
      <c r="L25" s="2686"/>
      <c r="M25" s="2686"/>
      <c r="N25" s="2686"/>
      <c r="O25" s="2686"/>
      <c r="P25" s="2686"/>
      <c r="Q25" s="2686"/>
      <c r="R25" s="2686"/>
      <c r="S25" s="2686"/>
      <c r="T25" s="2686"/>
      <c r="U25" s="2686"/>
      <c r="V25" s="2686"/>
      <c r="W25" s="2686"/>
      <c r="X25" s="2686"/>
      <c r="Y25" s="2686"/>
      <c r="Z25" s="2686"/>
      <c r="AA25" s="2686"/>
      <c r="AB25" s="2686"/>
      <c r="AC25" s="2686"/>
      <c r="AD25" s="1557">
        <v>8</v>
      </c>
      <c r="AE25" s="9126" t="str">
        <f>IF(AM26&lt;&gt;"",ROUND(AM26,0),IF(AND($AM$19,AL24&lt;&gt;""),ROUND(AM24,0),IF(AND($AM$19,AL25&lt;&gt;""),ROUND(AM25,0),"")))</f>
        <v/>
      </c>
      <c r="AF25" s="9441"/>
      <c r="AG25" s="9441"/>
      <c r="AH25" s="9441"/>
      <c r="AI25" s="9441"/>
      <c r="AJ25" s="9441"/>
      <c r="AK25" s="1127"/>
      <c r="AL25" s="1180"/>
      <c r="AM25" s="5976">
        <f>SchC_TentativeProfit2</f>
        <v>0</v>
      </c>
      <c r="AN25" s="1179"/>
      <c r="AO25" s="5956">
        <v>2</v>
      </c>
      <c r="AP25" s="2246" t="s">
        <v>5851</v>
      </c>
      <c r="AQ25" s="1927"/>
      <c r="AR25" s="1927"/>
      <c r="AS25" s="1927"/>
      <c r="AT25" s="1927"/>
      <c r="AU25" s="1927"/>
      <c r="AV25" s="590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row>
    <row r="26" spans="1:81" s="2595" customFormat="1" ht="15">
      <c r="A26" s="1127"/>
      <c r="B26" s="1559"/>
      <c r="C26" s="1556"/>
      <c r="D26" s="5937" t="s">
        <v>5782</v>
      </c>
      <c r="E26" s="2686"/>
      <c r="F26" s="2686"/>
      <c r="G26" s="2686"/>
      <c r="H26" s="2686"/>
      <c r="I26" s="2686"/>
      <c r="J26" s="2686"/>
      <c r="K26" s="2686"/>
      <c r="L26" s="2686"/>
      <c r="M26" s="2686"/>
      <c r="N26" s="2686"/>
      <c r="O26" s="2686"/>
      <c r="P26" s="2686"/>
      <c r="Q26" s="2686"/>
      <c r="R26" s="9451" t="s">
        <v>5780</v>
      </c>
      <c r="S26" s="9452"/>
      <c r="T26" s="9452"/>
      <c r="U26" s="9452"/>
      <c r="V26" s="9452"/>
      <c r="W26" s="9453"/>
      <c r="X26" s="9451" t="s">
        <v>5781</v>
      </c>
      <c r="Y26" s="9452"/>
      <c r="Z26" s="9452"/>
      <c r="AA26" s="9452"/>
      <c r="AB26" s="9452"/>
      <c r="AC26" s="9453"/>
      <c r="AD26" s="1561"/>
      <c r="AE26" s="1179"/>
      <c r="AF26" s="1179"/>
      <c r="AG26" s="1179"/>
      <c r="AH26" s="1179"/>
      <c r="AI26" s="1179"/>
      <c r="AJ26" s="1179"/>
      <c r="AK26" s="1127"/>
      <c r="AL26" s="5974"/>
      <c r="AM26" s="5976"/>
      <c r="AN26" s="5974"/>
      <c r="AO26" s="5974"/>
      <c r="AP26" s="1179"/>
      <c r="AQ26" s="1179"/>
      <c r="AR26" s="1179"/>
      <c r="AS26" s="1179"/>
      <c r="AT26" s="1179"/>
      <c r="AU26" s="1179"/>
      <c r="AV26" s="590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row>
    <row r="27" spans="1:81" s="2595" customFormat="1" ht="15">
      <c r="A27" s="1127"/>
      <c r="B27" s="2686"/>
      <c r="C27" s="1556">
        <v>9</v>
      </c>
      <c r="D27" s="2686" t="s">
        <v>5783</v>
      </c>
      <c r="E27" s="2686"/>
      <c r="F27" s="2686"/>
      <c r="G27" s="2686"/>
      <c r="H27" s="2686"/>
      <c r="I27" s="2686"/>
      <c r="J27" s="2686"/>
      <c r="K27" s="2686"/>
      <c r="L27" s="2686"/>
      <c r="M27" s="2686"/>
      <c r="N27" s="2686"/>
      <c r="O27" s="2686"/>
      <c r="P27" s="1560" t="s">
        <v>2517</v>
      </c>
      <c r="Q27" s="2204">
        <v>9</v>
      </c>
      <c r="R27" s="9439"/>
      <c r="S27" s="9440"/>
      <c r="T27" s="9440"/>
      <c r="U27" s="9440"/>
      <c r="V27" s="9440"/>
      <c r="W27" s="9440"/>
      <c r="X27" s="9439"/>
      <c r="Y27" s="9440"/>
      <c r="Z27" s="9440"/>
      <c r="AA27" s="9440"/>
      <c r="AB27" s="9440"/>
      <c r="AC27" s="9440"/>
      <c r="AD27" s="1561"/>
      <c r="AE27" s="1179"/>
      <c r="AF27" s="1179"/>
      <c r="AG27" s="1179"/>
      <c r="AH27" s="1179"/>
      <c r="AI27" s="1179"/>
      <c r="AJ27" s="1179"/>
      <c r="AK27" s="1127"/>
      <c r="AL27" s="2770"/>
      <c r="AM27" s="5975" t="s">
        <v>91</v>
      </c>
      <c r="AN27" s="1179"/>
      <c r="AO27" s="1179"/>
      <c r="AP27" s="2785" t="s">
        <v>5849</v>
      </c>
      <c r="AQ27" s="5961"/>
      <c r="AR27" s="5961"/>
      <c r="AS27" s="5961"/>
      <c r="AT27" s="5962"/>
      <c r="AU27" s="1927"/>
      <c r="AV27" s="590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row>
    <row r="28" spans="1:81" s="2595" customFormat="1" ht="15">
      <c r="A28" s="1127"/>
      <c r="B28" s="2686"/>
      <c r="C28" s="1556">
        <v>10</v>
      </c>
      <c r="D28" s="2686" t="s">
        <v>5784</v>
      </c>
      <c r="E28" s="2686"/>
      <c r="F28" s="2686"/>
      <c r="G28" s="2686"/>
      <c r="H28" s="2686"/>
      <c r="I28" s="2686"/>
      <c r="J28" s="2686"/>
      <c r="K28" s="2686"/>
      <c r="L28" s="2686"/>
      <c r="M28" s="2686"/>
      <c r="N28" s="2686"/>
      <c r="O28" s="2686"/>
      <c r="P28" s="1560" t="s">
        <v>2472</v>
      </c>
      <c r="Q28" s="1557">
        <v>10</v>
      </c>
      <c r="R28" s="9439"/>
      <c r="S28" s="9440"/>
      <c r="T28" s="9440"/>
      <c r="U28" s="9440"/>
      <c r="V28" s="9440"/>
      <c r="W28" s="9440"/>
      <c r="X28" s="9439"/>
      <c r="Y28" s="9440"/>
      <c r="Z28" s="9440"/>
      <c r="AA28" s="9440"/>
      <c r="AB28" s="9440"/>
      <c r="AC28" s="9440"/>
      <c r="AD28" s="1561"/>
      <c r="AE28" s="1179"/>
      <c r="AF28" s="1179"/>
      <c r="AG28" s="1179"/>
      <c r="AH28" s="1179"/>
      <c r="AI28" s="1179"/>
      <c r="AJ28" s="1179"/>
      <c r="AK28" s="1127"/>
      <c r="AL28" s="2770"/>
      <c r="AM28" s="1179"/>
      <c r="AN28" s="1179"/>
      <c r="AO28" s="1179"/>
      <c r="AP28" s="2822" t="str">
        <f>"  local taxes are more than "&amp;TEXT(AM45,"$0,000")&amp;" ("&amp;TEXT(AM46,"$0,000")&amp;" if married filing separately)."</f>
        <v xml:space="preserve">  local taxes are more than $10,000 ($5,000 if married filing separately).</v>
      </c>
      <c r="AQ28" s="1276"/>
      <c r="AR28" s="1179"/>
      <c r="AS28" s="1179"/>
      <c r="AT28" s="1583"/>
      <c r="AU28" s="5957"/>
      <c r="AV28" s="590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row>
    <row r="29" spans="1:81" s="2595" customFormat="1" ht="15">
      <c r="A29" s="1127"/>
      <c r="B29" s="2686"/>
      <c r="C29" s="1556">
        <v>11</v>
      </c>
      <c r="D29" s="2686" t="s">
        <v>5785</v>
      </c>
      <c r="E29" s="2686"/>
      <c r="F29" s="2686"/>
      <c r="G29" s="2686"/>
      <c r="H29" s="2686"/>
      <c r="I29" s="2686"/>
      <c r="J29" s="2686"/>
      <c r="K29" s="2686"/>
      <c r="L29" s="2686"/>
      <c r="M29" s="2686"/>
      <c r="N29" s="2686"/>
      <c r="O29" s="2686"/>
      <c r="P29" s="1560" t="s">
        <v>1978</v>
      </c>
      <c r="Q29" s="1557">
        <v>11</v>
      </c>
      <c r="R29" s="9437" t="str">
        <f>AS51</f>
        <v/>
      </c>
      <c r="S29" s="9438"/>
      <c r="T29" s="9438"/>
      <c r="U29" s="9438"/>
      <c r="V29" s="9438"/>
      <c r="W29" s="9438"/>
      <c r="X29" s="9439"/>
      <c r="Y29" s="9440"/>
      <c r="Z29" s="9440"/>
      <c r="AA29" s="9440"/>
      <c r="AB29" s="9440"/>
      <c r="AC29" s="9440"/>
      <c r="AD29" s="1561"/>
      <c r="AE29" s="9468">
        <f>IF(R29="",0,R29)</f>
        <v>0</v>
      </c>
      <c r="AF29" s="9469"/>
      <c r="AG29" s="9469"/>
      <c r="AH29" s="1179"/>
      <c r="AI29" s="1179"/>
      <c r="AJ29" s="1179"/>
      <c r="AK29" s="1127"/>
      <c r="AL29" s="2770"/>
      <c r="AM29" s="1179"/>
      <c r="AN29" s="1179"/>
      <c r="AO29" s="1179"/>
      <c r="AP29" s="2822"/>
      <c r="AQ29" s="1276"/>
      <c r="AR29" s="1179"/>
      <c r="AS29" s="1179"/>
      <c r="AT29" s="1583"/>
      <c r="AU29" s="1179"/>
      <c r="AV29" s="590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row>
    <row r="30" spans="1:81" s="2595" customFormat="1" ht="15.75">
      <c r="A30" s="1127"/>
      <c r="B30" s="2686"/>
      <c r="C30" s="1556">
        <v>12</v>
      </c>
      <c r="D30" s="2686" t="s">
        <v>5786</v>
      </c>
      <c r="E30" s="2686"/>
      <c r="F30" s="2686"/>
      <c r="G30" s="2686"/>
      <c r="H30" s="2686"/>
      <c r="I30" s="2686"/>
      <c r="J30" s="2686"/>
      <c r="K30" s="2686"/>
      <c r="L30" s="2686"/>
      <c r="M30" s="2686"/>
      <c r="N30" s="2686"/>
      <c r="O30" s="2686"/>
      <c r="P30" s="1560" t="s">
        <v>2401</v>
      </c>
      <c r="Q30" s="1557">
        <v>12</v>
      </c>
      <c r="R30" s="9437" t="str">
        <f>IF(OR(NOT($AM$19),AND(R27="",R28="",R29="")),"",SUM(ROUND(R27,0),ROUND(R28,0),AE29))</f>
        <v/>
      </c>
      <c r="S30" s="9438"/>
      <c r="T30" s="9438"/>
      <c r="U30" s="9438"/>
      <c r="V30" s="9438"/>
      <c r="W30" s="9438"/>
      <c r="X30" s="9437" t="str">
        <f>IF(OR(NOT($AM$19),AND(X27="",X28="",X29="")),"",SUM(ROUND(X27,0),ROUND(X28,0),ROUND(X29,0)))</f>
        <v/>
      </c>
      <c r="Y30" s="9438"/>
      <c r="Z30" s="9438"/>
      <c r="AA30" s="9438"/>
      <c r="AB30" s="9438"/>
      <c r="AC30" s="9438"/>
      <c r="AD30" s="1561"/>
      <c r="AE30" s="1179"/>
      <c r="AF30" s="1179"/>
      <c r="AG30" s="1179"/>
      <c r="AH30" s="1179"/>
      <c r="AI30" s="1179"/>
      <c r="AJ30" s="1179"/>
      <c r="AK30" s="1127"/>
      <c r="AL30" s="2770"/>
      <c r="AM30" s="1179"/>
      <c r="AN30" s="1179"/>
      <c r="AO30" s="1179"/>
      <c r="AP30" s="1582"/>
      <c r="AQ30" s="3988" t="s">
        <v>5824</v>
      </c>
      <c r="AR30" s="1179"/>
      <c r="AS30" s="1179"/>
      <c r="AT30" s="1583"/>
      <c r="AU30" s="1179"/>
      <c r="AV30" s="590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row>
    <row r="31" spans="1:81" s="2595" customFormat="1" ht="15">
      <c r="A31" s="1127"/>
      <c r="B31" s="2686"/>
      <c r="C31" s="1556">
        <v>13</v>
      </c>
      <c r="D31" s="2686" t="s">
        <v>5787</v>
      </c>
      <c r="E31" s="2686"/>
      <c r="F31" s="2686"/>
      <c r="G31" s="2686"/>
      <c r="H31" s="2686"/>
      <c r="I31" s="2686"/>
      <c r="J31" s="2686"/>
      <c r="K31" s="2686"/>
      <c r="L31" s="2686"/>
      <c r="M31" s="2686"/>
      <c r="N31" s="2686"/>
      <c r="O31" s="2686"/>
      <c r="P31" s="2686"/>
      <c r="Q31" s="2686"/>
      <c r="R31" s="2686"/>
      <c r="S31" s="2686"/>
      <c r="T31" s="2686"/>
      <c r="U31" s="2686"/>
      <c r="V31" s="1560" t="s">
        <v>644</v>
      </c>
      <c r="W31" s="1557">
        <v>13</v>
      </c>
      <c r="X31" s="9437" t="str">
        <f>IF(OR(NOT($AM$19),X30=""),"",ROUND(X30*$AE$22/100,0))</f>
        <v/>
      </c>
      <c r="Y31" s="9438"/>
      <c r="Z31" s="9438"/>
      <c r="AA31" s="9438"/>
      <c r="AB31" s="9438"/>
      <c r="AC31" s="9438"/>
      <c r="AD31" s="1561"/>
      <c r="AE31" s="1179"/>
      <c r="AF31" s="1179"/>
      <c r="AG31" s="1179"/>
      <c r="AH31" s="1179"/>
      <c r="AI31" s="1179"/>
      <c r="AJ31" s="1179"/>
      <c r="AK31" s="1127"/>
      <c r="AL31" s="2770"/>
      <c r="AM31" s="1179"/>
      <c r="AN31" s="1179"/>
      <c r="AO31" s="1179"/>
      <c r="AP31" s="5963" t="s">
        <v>294</v>
      </c>
      <c r="AQ31" s="1276" t="s">
        <v>5825</v>
      </c>
      <c r="AR31" s="1179"/>
      <c r="AS31" s="1179"/>
      <c r="AT31" s="1583"/>
      <c r="AU31" s="1179"/>
      <c r="AV31" s="590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row>
    <row r="32" spans="1:81" s="2595" customFormat="1" ht="14.25" customHeight="1">
      <c r="A32" s="1127"/>
      <c r="B32" s="1179"/>
      <c r="C32" s="1556">
        <v>14</v>
      </c>
      <c r="D32" s="2686" t="s">
        <v>5788</v>
      </c>
      <c r="E32" s="1179"/>
      <c r="F32" s="1179"/>
      <c r="G32" s="1179"/>
      <c r="H32" s="1179"/>
      <c r="I32" s="1179"/>
      <c r="J32" s="1179"/>
      <c r="K32" s="1179"/>
      <c r="L32" s="1179"/>
      <c r="M32" s="1179"/>
      <c r="N32" s="1179"/>
      <c r="O32" s="1179"/>
      <c r="P32" s="1179"/>
      <c r="Q32" s="1179"/>
      <c r="R32" s="1179"/>
      <c r="S32" s="1179"/>
      <c r="T32" s="1179"/>
      <c r="U32" s="1179"/>
      <c r="V32" s="1179"/>
      <c r="W32" s="1179"/>
      <c r="X32" s="1179"/>
      <c r="Y32" s="1179"/>
      <c r="Z32" s="1179"/>
      <c r="AA32" s="1179"/>
      <c r="AB32" s="1179"/>
      <c r="AC32" s="1560" t="s">
        <v>2969</v>
      </c>
      <c r="AD32" s="1557">
        <v>14</v>
      </c>
      <c r="AE32" s="9126" t="str">
        <f>IF(OR(NOT($AM$19),AND(R30="",X31="")),"",SUM(R30,X31))</f>
        <v/>
      </c>
      <c r="AF32" s="9441"/>
      <c r="AG32" s="9441"/>
      <c r="AH32" s="9441"/>
      <c r="AI32" s="9441"/>
      <c r="AJ32" s="9441"/>
      <c r="AK32" s="1127"/>
      <c r="AL32" s="2770"/>
      <c r="AM32" s="1179"/>
      <c r="AN32" s="1179"/>
      <c r="AO32" s="1179"/>
      <c r="AP32" s="5964"/>
      <c r="AQ32" s="1276" t="s">
        <v>5826</v>
      </c>
      <c r="AR32" s="1179"/>
      <c r="AS32" s="1179"/>
      <c r="AT32" s="1583"/>
      <c r="AU32" s="1179"/>
      <c r="AV32" s="590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row>
    <row r="33" spans="1:81" s="2595" customFormat="1" ht="14.25" customHeight="1">
      <c r="A33" s="1127"/>
      <c r="B33" s="1179"/>
      <c r="C33" s="1556">
        <v>15</v>
      </c>
      <c r="D33" s="2686" t="s">
        <v>5789</v>
      </c>
      <c r="E33" s="1179"/>
      <c r="F33" s="1179"/>
      <c r="G33" s="1179"/>
      <c r="H33" s="1179"/>
      <c r="I33" s="1179"/>
      <c r="J33" s="1179"/>
      <c r="K33" s="1179"/>
      <c r="L33" s="1179"/>
      <c r="M33" s="1179"/>
      <c r="N33" s="1179"/>
      <c r="O33" s="1179"/>
      <c r="P33" s="1179"/>
      <c r="Q33" s="1179"/>
      <c r="R33" s="1179"/>
      <c r="S33" s="1179"/>
      <c r="T33" s="1179"/>
      <c r="U33" s="1179"/>
      <c r="V33" s="1179"/>
      <c r="W33" s="1179"/>
      <c r="X33" s="1179"/>
      <c r="Y33" s="1179"/>
      <c r="Z33" s="1179"/>
      <c r="AA33" s="1179"/>
      <c r="AB33" s="1179"/>
      <c r="AC33" s="1560" t="s">
        <v>633</v>
      </c>
      <c r="AD33" s="1557">
        <v>15</v>
      </c>
      <c r="AE33" s="9126" t="str">
        <f>IF(OR(NOT($AM$19),AND(AE25="",AE32="")),"",IF(AE32="",AE25,MAX(0,SUM(AE25,-AE32))))</f>
        <v/>
      </c>
      <c r="AF33" s="9441"/>
      <c r="AG33" s="9441"/>
      <c r="AH33" s="9441"/>
      <c r="AI33" s="9441"/>
      <c r="AJ33" s="9441"/>
      <c r="AK33" s="1127"/>
      <c r="AL33" s="2770"/>
      <c r="AM33" s="1179"/>
      <c r="AN33" s="1179"/>
      <c r="AO33" s="1179"/>
      <c r="AP33" s="5964"/>
      <c r="AQ33" s="1276" t="s">
        <v>5827</v>
      </c>
      <c r="AR33" s="1179"/>
      <c r="AS33" s="1179"/>
      <c r="AT33" s="1583"/>
      <c r="AU33" s="1179"/>
      <c r="AV33" s="590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row>
    <row r="34" spans="1:81" s="2595" customFormat="1" ht="15">
      <c r="A34" s="1127"/>
      <c r="B34" s="2686"/>
      <c r="C34" s="1556">
        <v>16</v>
      </c>
      <c r="D34" s="2686" t="s">
        <v>5791</v>
      </c>
      <c r="E34" s="2686"/>
      <c r="F34" s="2686"/>
      <c r="G34" s="2686"/>
      <c r="H34" s="2686"/>
      <c r="I34" s="2686"/>
      <c r="J34" s="2686"/>
      <c r="K34" s="2686"/>
      <c r="L34" s="2686"/>
      <c r="M34" s="2686"/>
      <c r="N34" s="2686"/>
      <c r="O34" s="2686"/>
      <c r="P34" s="1560" t="s">
        <v>2517</v>
      </c>
      <c r="Q34" s="2204">
        <v>16</v>
      </c>
      <c r="R34" s="9439"/>
      <c r="S34" s="9440"/>
      <c r="T34" s="9440"/>
      <c r="U34" s="9440"/>
      <c r="V34" s="9440"/>
      <c r="W34" s="9440"/>
      <c r="X34" s="9439"/>
      <c r="Y34" s="9440"/>
      <c r="Z34" s="9440"/>
      <c r="AA34" s="9440"/>
      <c r="AB34" s="9440"/>
      <c r="AC34" s="9440"/>
      <c r="AD34" s="1561"/>
      <c r="AE34" s="1179"/>
      <c r="AF34" s="1179"/>
      <c r="AG34" s="1179"/>
      <c r="AH34" s="1179"/>
      <c r="AI34" s="1179"/>
      <c r="AJ34" s="1179"/>
      <c r="AK34" s="1127"/>
      <c r="AL34" s="2770"/>
      <c r="AM34" s="2079"/>
      <c r="AN34" s="1179"/>
      <c r="AO34" s="1179"/>
      <c r="AP34" s="5964"/>
      <c r="AQ34" s="1276" t="s">
        <v>5828</v>
      </c>
      <c r="AR34" s="1179"/>
      <c r="AS34" s="1849"/>
      <c r="AT34" s="5966" t="b">
        <f>AS34=""</f>
        <v>1</v>
      </c>
      <c r="AU34" s="1179"/>
      <c r="AV34" s="590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row>
    <row r="35" spans="1:81" s="2595" customFormat="1" ht="15">
      <c r="A35" s="1127"/>
      <c r="B35" s="2686"/>
      <c r="C35" s="1556">
        <v>17</v>
      </c>
      <c r="D35" s="2686" t="s">
        <v>5792</v>
      </c>
      <c r="E35" s="2686"/>
      <c r="F35" s="2686"/>
      <c r="G35" s="2686"/>
      <c r="H35" s="2686"/>
      <c r="I35" s="2686"/>
      <c r="J35" s="2686"/>
      <c r="K35" s="2686"/>
      <c r="L35" s="2686"/>
      <c r="M35" s="2686"/>
      <c r="N35" s="2686"/>
      <c r="O35" s="2686"/>
      <c r="P35" s="1560" t="s">
        <v>2910</v>
      </c>
      <c r="Q35" s="1557">
        <v>17</v>
      </c>
      <c r="R35" s="9437" t="str">
        <f>IF(AM35&lt;&gt;"",ROUND(AM35,0),IF(NOT(AT43),AS53,""))</f>
        <v/>
      </c>
      <c r="S35" s="9438"/>
      <c r="T35" s="9438"/>
      <c r="U35" s="9438"/>
      <c r="V35" s="9438"/>
      <c r="W35" s="9438"/>
      <c r="X35" s="9439"/>
      <c r="Y35" s="9440"/>
      <c r="Z35" s="9440"/>
      <c r="AA35" s="9440"/>
      <c r="AB35" s="9440"/>
      <c r="AC35" s="9440"/>
      <c r="AD35" s="1561"/>
      <c r="AE35" s="1179"/>
      <c r="AF35" s="1179"/>
      <c r="AG35" s="1179"/>
      <c r="AH35" s="1179"/>
      <c r="AI35" s="1179"/>
      <c r="AJ35" s="1179"/>
      <c r="AK35" s="1127"/>
      <c r="AL35" s="2770"/>
      <c r="AM35" s="1334"/>
      <c r="AN35" s="1179"/>
      <c r="AO35" s="1179"/>
      <c r="AP35" s="5963" t="s">
        <v>0</v>
      </c>
      <c r="AQ35" s="1276" t="s">
        <v>5829</v>
      </c>
      <c r="AR35" s="1179"/>
      <c r="AS35" s="1179"/>
      <c r="AT35" s="1722"/>
      <c r="AU35" s="1179"/>
      <c r="AV35" s="590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row>
    <row r="36" spans="1:81" s="2595" customFormat="1" ht="15">
      <c r="A36" s="1127"/>
      <c r="B36" s="2686"/>
      <c r="C36" s="1556">
        <v>18</v>
      </c>
      <c r="D36" s="2686" t="s">
        <v>669</v>
      </c>
      <c r="E36" s="2686"/>
      <c r="F36" s="2686"/>
      <c r="G36" s="2686"/>
      <c r="H36" s="2686"/>
      <c r="I36" s="2686"/>
      <c r="J36" s="2686"/>
      <c r="K36" s="2686"/>
      <c r="L36" s="2686"/>
      <c r="M36" s="2686"/>
      <c r="N36" s="2686"/>
      <c r="O36" s="2686"/>
      <c r="P36" s="1560" t="s">
        <v>644</v>
      </c>
      <c r="Q36" s="1557">
        <v>18</v>
      </c>
      <c r="R36" s="9439"/>
      <c r="S36" s="9440"/>
      <c r="T36" s="9440"/>
      <c r="U36" s="9440"/>
      <c r="V36" s="9440"/>
      <c r="W36" s="9440"/>
      <c r="X36" s="9439"/>
      <c r="Y36" s="9440"/>
      <c r="Z36" s="9440"/>
      <c r="AA36" s="9440"/>
      <c r="AB36" s="9440"/>
      <c r="AC36" s="9440"/>
      <c r="AD36" s="1561"/>
      <c r="AE36" s="1179"/>
      <c r="AF36" s="1179"/>
      <c r="AG36" s="1179"/>
      <c r="AH36" s="1179"/>
      <c r="AI36" s="1179"/>
      <c r="AJ36" s="1179"/>
      <c r="AK36" s="1127"/>
      <c r="AL36" s="2770"/>
      <c r="AM36" s="5975" t="s">
        <v>5972</v>
      </c>
      <c r="AN36" s="1179"/>
      <c r="AO36" s="1179"/>
      <c r="AP36" s="5964"/>
      <c r="AQ36" s="1276" t="s">
        <v>5830</v>
      </c>
      <c r="AR36" s="1179"/>
      <c r="AS36" s="1179"/>
      <c r="AT36" s="1722"/>
      <c r="AU36" s="1179"/>
      <c r="AV36" s="590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row>
    <row r="37" spans="1:81" s="2595" customFormat="1" ht="15">
      <c r="A37" s="1127"/>
      <c r="B37" s="2686"/>
      <c r="C37" s="1556">
        <v>19</v>
      </c>
      <c r="D37" s="2686" t="s">
        <v>5793</v>
      </c>
      <c r="E37" s="2686"/>
      <c r="F37" s="2686"/>
      <c r="G37" s="2686"/>
      <c r="H37" s="2686"/>
      <c r="I37" s="2686"/>
      <c r="J37" s="2686"/>
      <c r="K37" s="2686"/>
      <c r="L37" s="2686"/>
      <c r="M37" s="2686"/>
      <c r="N37" s="2686"/>
      <c r="O37" s="2686"/>
      <c r="P37" s="1560" t="s">
        <v>2027</v>
      </c>
      <c r="Q37" s="1557">
        <v>19</v>
      </c>
      <c r="R37" s="9439"/>
      <c r="S37" s="9440"/>
      <c r="T37" s="9440"/>
      <c r="U37" s="9440"/>
      <c r="V37" s="9440"/>
      <c r="W37" s="9440"/>
      <c r="X37" s="9439"/>
      <c r="Y37" s="9440"/>
      <c r="Z37" s="9440"/>
      <c r="AA37" s="9440"/>
      <c r="AB37" s="9440"/>
      <c r="AC37" s="9440"/>
      <c r="AD37" s="1561"/>
      <c r="AE37" s="1179"/>
      <c r="AF37" s="1179"/>
      <c r="AG37" s="1179"/>
      <c r="AH37" s="1179"/>
      <c r="AI37" s="1179"/>
      <c r="AJ37" s="1179"/>
      <c r="AK37" s="1127"/>
      <c r="AL37" s="2770"/>
      <c r="AM37" s="2079"/>
      <c r="AN37" s="1179"/>
      <c r="AO37" s="1179"/>
      <c r="AP37" s="5964"/>
      <c r="AQ37" s="1276" t="s">
        <v>5831</v>
      </c>
      <c r="AR37" s="1179"/>
      <c r="AS37" s="1849"/>
      <c r="AT37" s="5966" t="b">
        <f>AS37=""</f>
        <v>1</v>
      </c>
      <c r="AU37" s="1179"/>
      <c r="AV37" s="590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row>
    <row r="38" spans="1:81" s="2595" customFormat="1" ht="15">
      <c r="A38" s="1127"/>
      <c r="B38" s="2686"/>
      <c r="C38" s="1556">
        <v>20</v>
      </c>
      <c r="D38" s="2686" t="s">
        <v>23</v>
      </c>
      <c r="E38" s="2686"/>
      <c r="F38" s="2686"/>
      <c r="G38" s="2686"/>
      <c r="H38" s="2686"/>
      <c r="I38" s="2686"/>
      <c r="J38" s="2686"/>
      <c r="K38" s="2686"/>
      <c r="L38" s="2686"/>
      <c r="M38" s="2686"/>
      <c r="N38" s="2686"/>
      <c r="O38" s="2686"/>
      <c r="P38" s="1560" t="s">
        <v>1930</v>
      </c>
      <c r="Q38" s="2204">
        <v>20</v>
      </c>
      <c r="R38" s="9439"/>
      <c r="S38" s="9440"/>
      <c r="T38" s="9440"/>
      <c r="U38" s="9440"/>
      <c r="V38" s="9440"/>
      <c r="W38" s="9440"/>
      <c r="X38" s="9439"/>
      <c r="Y38" s="9440"/>
      <c r="Z38" s="9440"/>
      <c r="AA38" s="9440"/>
      <c r="AB38" s="9440"/>
      <c r="AC38" s="9440"/>
      <c r="AD38" s="1561"/>
      <c r="AE38" s="1179"/>
      <c r="AF38" s="1179"/>
      <c r="AG38" s="1179"/>
      <c r="AH38" s="1179"/>
      <c r="AI38" s="1179"/>
      <c r="AJ38" s="1179"/>
      <c r="AK38" s="1127"/>
      <c r="AL38" s="2770"/>
      <c r="AM38" s="2079"/>
      <c r="AN38" s="1179"/>
      <c r="AO38" s="1179"/>
      <c r="AP38" s="5963" t="s">
        <v>1</v>
      </c>
      <c r="AQ38" s="1276" t="s">
        <v>5834</v>
      </c>
      <c r="AR38" s="1179"/>
      <c r="AS38" s="1179"/>
      <c r="AT38" s="1722"/>
      <c r="AU38" s="1179"/>
      <c r="AV38" s="590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row>
    <row r="39" spans="1:81" s="2595" customFormat="1" ht="15">
      <c r="A39" s="1127"/>
      <c r="B39" s="2686"/>
      <c r="C39" s="1556">
        <v>21</v>
      </c>
      <c r="D39" s="2686" t="s">
        <v>675</v>
      </c>
      <c r="E39" s="2686"/>
      <c r="F39" s="2686"/>
      <c r="G39" s="2686"/>
      <c r="H39" s="2686"/>
      <c r="I39" s="2686"/>
      <c r="J39" s="2686"/>
      <c r="K39" s="2686"/>
      <c r="L39" s="2686"/>
      <c r="M39" s="2686"/>
      <c r="N39" s="2686"/>
      <c r="O39" s="2686"/>
      <c r="P39" s="1560" t="s">
        <v>2515</v>
      </c>
      <c r="Q39" s="1557">
        <v>21</v>
      </c>
      <c r="R39" s="9439"/>
      <c r="S39" s="9440"/>
      <c r="T39" s="9440"/>
      <c r="U39" s="9440"/>
      <c r="V39" s="9440"/>
      <c r="W39" s="9440"/>
      <c r="X39" s="9439"/>
      <c r="Y39" s="9440"/>
      <c r="Z39" s="9440"/>
      <c r="AA39" s="9440"/>
      <c r="AB39" s="9440"/>
      <c r="AC39" s="9440"/>
      <c r="AD39" s="1561"/>
      <c r="AE39" s="1179"/>
      <c r="AF39" s="1179"/>
      <c r="AG39" s="1179"/>
      <c r="AH39" s="1179"/>
      <c r="AI39" s="1179"/>
      <c r="AJ39" s="1179"/>
      <c r="AK39" s="1127"/>
      <c r="AL39" s="2770"/>
      <c r="AM39" s="2079"/>
      <c r="AN39" s="1179"/>
      <c r="AO39" s="1179"/>
      <c r="AP39" s="5964"/>
      <c r="AQ39" s="1276" t="s">
        <v>5832</v>
      </c>
      <c r="AR39" s="1179"/>
      <c r="AS39" s="1179"/>
      <c r="AT39" s="1722"/>
      <c r="AU39" s="1179"/>
      <c r="AV39" s="590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row>
    <row r="40" spans="1:81" s="2595" customFormat="1" ht="15">
      <c r="A40" s="1127"/>
      <c r="B40" s="2686"/>
      <c r="C40" s="1556">
        <v>22</v>
      </c>
      <c r="D40" s="2686" t="s">
        <v>5794</v>
      </c>
      <c r="E40" s="2686"/>
      <c r="F40" s="2686"/>
      <c r="G40" s="2686"/>
      <c r="H40" s="2686"/>
      <c r="I40" s="2686"/>
      <c r="J40" s="2686"/>
      <c r="K40" s="2686"/>
      <c r="L40" s="2686"/>
      <c r="M40" s="2686"/>
      <c r="N40" s="2686"/>
      <c r="O40" s="2686"/>
      <c r="P40" s="1560" t="s">
        <v>1978</v>
      </c>
      <c r="Q40" s="1557">
        <v>22</v>
      </c>
      <c r="R40" s="9439"/>
      <c r="S40" s="9440"/>
      <c r="T40" s="9440"/>
      <c r="U40" s="9440"/>
      <c r="V40" s="9440"/>
      <c r="W40" s="9440"/>
      <c r="X40" s="9439"/>
      <c r="Y40" s="9440"/>
      <c r="Z40" s="9440"/>
      <c r="AA40" s="9440"/>
      <c r="AB40" s="9440"/>
      <c r="AC40" s="9440"/>
      <c r="AD40" s="1561"/>
      <c r="AE40" s="1179"/>
      <c r="AF40" s="1179"/>
      <c r="AG40" s="1179"/>
      <c r="AH40" s="1179"/>
      <c r="AI40" s="1179"/>
      <c r="AJ40" s="1179"/>
      <c r="AK40" s="1127"/>
      <c r="AL40" s="2770"/>
      <c r="AM40" s="2079"/>
      <c r="AN40" s="1179"/>
      <c r="AO40" s="1179"/>
      <c r="AP40" s="5964"/>
      <c r="AQ40" s="1276" t="s">
        <v>5833</v>
      </c>
      <c r="AR40" s="1179"/>
      <c r="AS40" s="1849"/>
      <c r="AT40" s="5966" t="b">
        <f>AS40=""</f>
        <v>1</v>
      </c>
      <c r="AU40" s="1179"/>
      <c r="AV40" s="590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row>
    <row r="41" spans="1:81" s="2595" customFormat="1" ht="15">
      <c r="A41" s="1127"/>
      <c r="B41" s="2686"/>
      <c r="C41" s="1556">
        <v>23</v>
      </c>
      <c r="D41" s="2686" t="s">
        <v>5795</v>
      </c>
      <c r="E41" s="2686"/>
      <c r="F41" s="2686"/>
      <c r="G41" s="2686"/>
      <c r="H41" s="2686"/>
      <c r="I41" s="2686"/>
      <c r="J41" s="2686"/>
      <c r="K41" s="2686"/>
      <c r="L41" s="2686"/>
      <c r="M41" s="2686"/>
      <c r="N41" s="2686"/>
      <c r="O41" s="2686"/>
      <c r="P41" s="1560" t="s">
        <v>2401</v>
      </c>
      <c r="Q41" s="1557">
        <v>23</v>
      </c>
      <c r="R41" s="9437" t="str">
        <f>IF(OR(NOT($AM$19),AND(R34="",R35="",R36="",R37="",R38="",R39="",R40="")),"",SUM(ROUND(R34,0),R35,ROUND(R36,0),ROUND(R37,0),ROUND(R38,0),ROUND(R39,0),ROUND(R40,0)))</f>
        <v/>
      </c>
      <c r="S41" s="9438"/>
      <c r="T41" s="9438"/>
      <c r="U41" s="9438"/>
      <c r="V41" s="9438"/>
      <c r="W41" s="9438"/>
      <c r="X41" s="9437" t="str">
        <f>IF(OR(NOT($AM$19),AND(X34="",X35="",X36="",X37="",X38="",X39="",X40="")),"",SUM(ROUND(X34,0),ROUND(X35,0),ROUND(X36,0),ROUND(X37,0),ROUND(X38,0),ROUND(X39,0),ROUND(X40,0)))</f>
        <v/>
      </c>
      <c r="Y41" s="9438"/>
      <c r="Z41" s="9438"/>
      <c r="AA41" s="9438"/>
      <c r="AB41" s="9438"/>
      <c r="AC41" s="9438"/>
      <c r="AD41" s="1561"/>
      <c r="AE41" s="1179"/>
      <c r="AF41" s="1179"/>
      <c r="AG41" s="1179"/>
      <c r="AH41" s="1179"/>
      <c r="AI41" s="1179"/>
      <c r="AJ41" s="1179"/>
      <c r="AK41" s="1127"/>
      <c r="AL41" s="2770"/>
      <c r="AM41" s="1179"/>
      <c r="AN41" s="1179"/>
      <c r="AO41" s="1179"/>
      <c r="AP41" s="5963" t="s">
        <v>399</v>
      </c>
      <c r="AQ41" s="1276" t="s">
        <v>5835</v>
      </c>
      <c r="AR41" s="1179"/>
      <c r="AS41" s="1179"/>
      <c r="AT41" s="1722"/>
      <c r="AU41" s="1179"/>
      <c r="AV41" s="590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row>
    <row r="42" spans="1:81" s="2595" customFormat="1" ht="15">
      <c r="A42" s="1127"/>
      <c r="B42" s="2686"/>
      <c r="C42" s="1556">
        <v>24</v>
      </c>
      <c r="D42" s="2686" t="s">
        <v>5796</v>
      </c>
      <c r="E42" s="2686"/>
      <c r="F42" s="2686"/>
      <c r="G42" s="2686"/>
      <c r="H42" s="2686"/>
      <c r="I42" s="2686"/>
      <c r="J42" s="2686"/>
      <c r="K42" s="2686"/>
      <c r="L42" s="2686"/>
      <c r="M42" s="2686"/>
      <c r="N42" s="2686"/>
      <c r="O42" s="2686"/>
      <c r="P42" s="2686"/>
      <c r="Q42" s="2686"/>
      <c r="R42" s="2686"/>
      <c r="S42" s="2686"/>
      <c r="T42" s="2686"/>
      <c r="U42" s="2686"/>
      <c r="V42" s="1560" t="s">
        <v>644</v>
      </c>
      <c r="W42" s="1557">
        <v>24</v>
      </c>
      <c r="X42" s="9437" t="str">
        <f>IF(OR(NOT($AM$19),X41=""),"",ROUND(X41*$AE$22/100,0))</f>
        <v/>
      </c>
      <c r="Y42" s="9438"/>
      <c r="Z42" s="9438"/>
      <c r="AA42" s="9438"/>
      <c r="AB42" s="9438"/>
      <c r="AC42" s="9438"/>
      <c r="AD42" s="1561"/>
      <c r="AE42" s="1179"/>
      <c r="AF42" s="1179"/>
      <c r="AG42" s="1179"/>
      <c r="AH42" s="1179"/>
      <c r="AI42" s="1179"/>
      <c r="AJ42" s="1179"/>
      <c r="AK42" s="1127"/>
      <c r="AL42" s="2770"/>
      <c r="AM42" s="1179"/>
      <c r="AN42" s="1179"/>
      <c r="AO42" s="1179"/>
      <c r="AP42" s="5964"/>
      <c r="AQ42" s="1276" t="s">
        <v>5836</v>
      </c>
      <c r="AR42" s="1179"/>
      <c r="AS42" s="1849"/>
      <c r="AT42" s="5966" t="b">
        <f>AS42=""</f>
        <v>1</v>
      </c>
      <c r="AU42" s="1179"/>
      <c r="AV42" s="590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row>
    <row r="43" spans="1:81" s="2595" customFormat="1" ht="15">
      <c r="A43" s="1127"/>
      <c r="B43" s="2686"/>
      <c r="C43" s="1556">
        <v>25</v>
      </c>
      <c r="D43" s="2686" t="s">
        <v>5797</v>
      </c>
      <c r="E43" s="2686"/>
      <c r="F43" s="2686"/>
      <c r="G43" s="2686"/>
      <c r="H43" s="2686"/>
      <c r="I43" s="2686"/>
      <c r="J43" s="2686"/>
      <c r="K43" s="2686"/>
      <c r="L43" s="2686"/>
      <c r="M43" s="2686"/>
      <c r="N43" s="2686"/>
      <c r="O43" s="2686"/>
      <c r="P43" s="2686"/>
      <c r="Q43" s="2686"/>
      <c r="R43" s="2686"/>
      <c r="S43" s="2686"/>
      <c r="T43" s="2686"/>
      <c r="U43" s="2686"/>
      <c r="V43" s="1560" t="s">
        <v>5798</v>
      </c>
      <c r="W43" s="1557">
        <v>25</v>
      </c>
      <c r="X43" s="9439"/>
      <c r="Y43" s="9440"/>
      <c r="Z43" s="9440"/>
      <c r="AA43" s="9440"/>
      <c r="AB43" s="9440"/>
      <c r="AC43" s="9440"/>
      <c r="AD43" s="1561"/>
      <c r="AE43" s="1179"/>
      <c r="AF43" s="1179"/>
      <c r="AG43" s="1179"/>
      <c r="AH43" s="1179"/>
      <c r="AI43" s="1179"/>
      <c r="AJ43" s="1179"/>
      <c r="AK43" s="1127"/>
      <c r="AL43" s="2770"/>
      <c r="AM43" s="1179"/>
      <c r="AN43" s="1179"/>
      <c r="AO43" s="1179"/>
      <c r="AP43" s="5963" t="s">
        <v>31</v>
      </c>
      <c r="AQ43" s="1179" t="s">
        <v>5837</v>
      </c>
      <c r="AR43" s="1179"/>
      <c r="AS43" s="2045" t="str">
        <f>IF(AT43,"",SUM(ROUND(AS34,0),ROUND(AS37,0),ROUND(AS40,0),ROUND(AS42,0)))</f>
        <v/>
      </c>
      <c r="AT43" s="5966" t="b">
        <f>AND(AT34,AT37,AT40,AT42)</f>
        <v>1</v>
      </c>
      <c r="AU43" s="1179"/>
      <c r="AV43" s="590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row>
    <row r="44" spans="1:81" s="2595" customFormat="1" ht="14.25" customHeight="1">
      <c r="A44" s="1127"/>
      <c r="B44" s="1179"/>
      <c r="C44" s="1556">
        <v>26</v>
      </c>
      <c r="D44" s="2686" t="s">
        <v>5799</v>
      </c>
      <c r="E44" s="1179"/>
      <c r="F44" s="1179"/>
      <c r="G44" s="1179"/>
      <c r="H44" s="1179"/>
      <c r="I44" s="1179"/>
      <c r="J44" s="1179"/>
      <c r="K44" s="1179"/>
      <c r="L44" s="1179"/>
      <c r="M44" s="1179"/>
      <c r="N44" s="1179"/>
      <c r="O44" s="1179"/>
      <c r="P44" s="1179"/>
      <c r="Q44" s="1179"/>
      <c r="R44" s="1179"/>
      <c r="S44" s="1179"/>
      <c r="T44" s="1179"/>
      <c r="U44" s="1179"/>
      <c r="V44" s="1179"/>
      <c r="W44" s="1179"/>
      <c r="X44" s="1179"/>
      <c r="Y44" s="1179"/>
      <c r="Z44" s="1179"/>
      <c r="AA44" s="1179"/>
      <c r="AB44" s="1179"/>
      <c r="AC44" s="1560" t="s">
        <v>633</v>
      </c>
      <c r="AD44" s="1557">
        <v>26</v>
      </c>
      <c r="AE44" s="9126" t="str">
        <f>IF($AM$19,SUM(R41,X42,X43),"")</f>
        <v/>
      </c>
      <c r="AF44" s="9441"/>
      <c r="AG44" s="9441"/>
      <c r="AH44" s="9441"/>
      <c r="AI44" s="9441"/>
      <c r="AJ44" s="9441"/>
      <c r="AK44" s="1127"/>
      <c r="AL44" s="2770"/>
      <c r="AM44" s="1179"/>
      <c r="AN44" s="1179"/>
      <c r="AO44" s="1179"/>
      <c r="AP44" s="5963" t="s">
        <v>67</v>
      </c>
      <c r="AQ44" s="1276" t="s">
        <v>5838</v>
      </c>
      <c r="AR44" s="1179"/>
      <c r="AS44" s="5973" t="str">
        <f>IF(AT45,"Must be &gt;" &amp;TEXT(AM47,"$0,000")&amp;".","")</f>
        <v/>
      </c>
      <c r="AT44" s="1583"/>
      <c r="AU44" s="1179"/>
      <c r="AV44" s="590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row>
    <row r="45" spans="1:81" s="2595" customFormat="1" ht="14.25" customHeight="1">
      <c r="A45" s="1127"/>
      <c r="B45" s="1179"/>
      <c r="C45" s="1556">
        <v>27</v>
      </c>
      <c r="D45" s="2686" t="s">
        <v>5800</v>
      </c>
      <c r="E45" s="1179"/>
      <c r="F45" s="1179"/>
      <c r="G45" s="1179"/>
      <c r="H45" s="1179"/>
      <c r="I45" s="1179"/>
      <c r="J45" s="1179"/>
      <c r="K45" s="1179"/>
      <c r="L45" s="1179"/>
      <c r="M45" s="1179"/>
      <c r="N45" s="1179"/>
      <c r="O45" s="1179"/>
      <c r="P45" s="1179"/>
      <c r="Q45" s="1179"/>
      <c r="R45" s="1179"/>
      <c r="S45" s="1179"/>
      <c r="T45" s="1179"/>
      <c r="U45" s="1179"/>
      <c r="V45" s="1179"/>
      <c r="W45" s="1179"/>
      <c r="X45" s="1179"/>
      <c r="Y45" s="1179"/>
      <c r="Z45" s="1179"/>
      <c r="AA45" s="1179"/>
      <c r="AB45" s="1179"/>
      <c r="AC45" s="1560" t="s">
        <v>802</v>
      </c>
      <c r="AD45" s="1557">
        <v>27</v>
      </c>
      <c r="AE45" s="9126" t="str">
        <f>IF($AM$19,MIN(AE33,AE44),"")</f>
        <v/>
      </c>
      <c r="AF45" s="9441"/>
      <c r="AG45" s="9441"/>
      <c r="AH45" s="9441"/>
      <c r="AI45" s="9441"/>
      <c r="AJ45" s="9441"/>
      <c r="AK45" s="1127"/>
      <c r="AL45" s="2770"/>
      <c r="AM45" s="1284">
        <v>10000</v>
      </c>
      <c r="AN45" s="1179"/>
      <c r="AO45" s="1179"/>
      <c r="AP45" s="5964"/>
      <c r="AQ45" s="1276" t="s">
        <v>5839</v>
      </c>
      <c r="AR45" s="1179"/>
      <c r="AS45" s="2045" t="str">
        <f>IF(OR(AT43,AE22="",AS37=""),"",ROUND(ROUND(AS37,0)*AE22/100,0))</f>
        <v/>
      </c>
      <c r="AT45" s="5966" t="b">
        <f>AND(NOT(AT43),AS43&lt;AM47)</f>
        <v>0</v>
      </c>
      <c r="AU45" s="1179"/>
      <c r="AV45" s="590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row>
    <row r="46" spans="1:81" s="2595" customFormat="1" ht="14.25" customHeight="1">
      <c r="A46" s="1127"/>
      <c r="B46" s="1179"/>
      <c r="C46" s="1556">
        <v>28</v>
      </c>
      <c r="D46" s="2686" t="s">
        <v>5801</v>
      </c>
      <c r="E46" s="1179"/>
      <c r="F46" s="1179"/>
      <c r="G46" s="1179"/>
      <c r="H46" s="1179"/>
      <c r="I46" s="1179"/>
      <c r="J46" s="1179"/>
      <c r="K46" s="1179"/>
      <c r="L46" s="1179"/>
      <c r="M46" s="1179"/>
      <c r="N46" s="1179"/>
      <c r="O46" s="1179"/>
      <c r="P46" s="1179"/>
      <c r="Q46" s="1179"/>
      <c r="R46" s="1179"/>
      <c r="S46" s="1179"/>
      <c r="T46" s="1179"/>
      <c r="U46" s="1179"/>
      <c r="V46" s="1179"/>
      <c r="W46" s="1179"/>
      <c r="X46" s="1179"/>
      <c r="Y46" s="1179"/>
      <c r="Z46" s="1179"/>
      <c r="AA46" s="1179"/>
      <c r="AB46" s="1179"/>
      <c r="AC46" s="1560" t="s">
        <v>572</v>
      </c>
      <c r="AD46" s="1557">
        <v>28</v>
      </c>
      <c r="AE46" s="9126" t="str">
        <f>IF(AND($AM$19,AE45=""),AE33,IF($AM$19,SUM(AE33,-AE45),""))</f>
        <v/>
      </c>
      <c r="AF46" s="9441"/>
      <c r="AG46" s="9441"/>
      <c r="AH46" s="9441"/>
      <c r="AI46" s="9441"/>
      <c r="AJ46" s="9441"/>
      <c r="AK46" s="1127"/>
      <c r="AL46" s="2770"/>
      <c r="AM46" s="1284">
        <v>5000</v>
      </c>
      <c r="AN46" s="1179"/>
      <c r="AO46" s="1179"/>
      <c r="AP46" s="5963" t="s">
        <v>68</v>
      </c>
      <c r="AQ46" s="1276" t="s">
        <v>2650</v>
      </c>
      <c r="AR46" s="1179"/>
      <c r="AS46" s="2045" t="str">
        <f>IF(OR(AT43,AND(AS43="",AS45=""),AT45),"",IF(AS45="",AS43,SUM(AS43,-AS45)))</f>
        <v/>
      </c>
      <c r="AT46" s="1583"/>
      <c r="AU46" s="1179"/>
      <c r="AV46" s="590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row>
    <row r="47" spans="1:81" s="2595" customFormat="1" ht="15">
      <c r="A47" s="1127"/>
      <c r="B47" s="2686"/>
      <c r="C47" s="1556">
        <v>29</v>
      </c>
      <c r="D47" s="2686" t="s">
        <v>5802</v>
      </c>
      <c r="E47" s="2686"/>
      <c r="F47" s="2686"/>
      <c r="G47" s="2686"/>
      <c r="H47" s="2686"/>
      <c r="I47" s="2686"/>
      <c r="J47" s="2686"/>
      <c r="K47" s="2686"/>
      <c r="L47" s="2686"/>
      <c r="M47" s="2686"/>
      <c r="N47" s="2686"/>
      <c r="O47" s="2686"/>
      <c r="P47" s="2686"/>
      <c r="Q47" s="2686"/>
      <c r="R47" s="2686"/>
      <c r="S47" s="2686"/>
      <c r="T47" s="2686"/>
      <c r="U47" s="2686"/>
      <c r="V47" s="1560" t="s">
        <v>1055</v>
      </c>
      <c r="W47" s="1557">
        <v>29</v>
      </c>
      <c r="X47" s="9439"/>
      <c r="Y47" s="9440"/>
      <c r="Z47" s="9440"/>
      <c r="AA47" s="9440"/>
      <c r="AB47" s="9440"/>
      <c r="AC47" s="9440"/>
      <c r="AD47" s="1561"/>
      <c r="AE47" s="1179"/>
      <c r="AF47" s="1179"/>
      <c r="AG47" s="1179"/>
      <c r="AH47" s="1179"/>
      <c r="AI47" s="1179"/>
      <c r="AJ47" s="1179"/>
      <c r="AK47" s="1127"/>
      <c r="AL47" s="2770"/>
      <c r="AM47" s="1284">
        <f>IF(File_Marr_Sep&lt;&gt;"",AM46,AM45)</f>
        <v>10000</v>
      </c>
      <c r="AN47" s="1179"/>
      <c r="AO47" s="1179"/>
      <c r="AP47" s="5963" t="s">
        <v>204</v>
      </c>
      <c r="AQ47" s="1276" t="str">
        <f>"Subtract line 7 from "&amp;TEXT(AM45,"$0,000")&amp;" ("&amp;TEXT(AM46,"$0,000")&amp;" if married"</f>
        <v>Subtract line 7 from $10,000 ($5,000 if married</v>
      </c>
      <c r="AR47" s="1179"/>
      <c r="AS47" s="1179"/>
      <c r="AT47" s="1583"/>
      <c r="AU47" s="1179"/>
      <c r="AV47" s="590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row>
    <row r="48" spans="1:81" s="2595" customFormat="1" ht="15">
      <c r="A48" s="1127"/>
      <c r="B48" s="2686"/>
      <c r="C48" s="1556">
        <v>30</v>
      </c>
      <c r="D48" s="2686" t="s">
        <v>5803</v>
      </c>
      <c r="E48" s="2686"/>
      <c r="F48" s="2686"/>
      <c r="G48" s="2686"/>
      <c r="H48" s="2686"/>
      <c r="I48" s="2686"/>
      <c r="J48" s="2686"/>
      <c r="K48" s="2686"/>
      <c r="L48" s="2686"/>
      <c r="M48" s="2686"/>
      <c r="N48" s="2686"/>
      <c r="O48" s="2686"/>
      <c r="P48" s="2686"/>
      <c r="Q48" s="2686"/>
      <c r="R48" s="2686"/>
      <c r="S48" s="2686"/>
      <c r="T48" s="2686"/>
      <c r="U48" s="2686"/>
      <c r="V48" s="1560" t="s">
        <v>1625</v>
      </c>
      <c r="W48" s="1557">
        <v>30</v>
      </c>
      <c r="X48" s="9437" t="str">
        <f>IF(AND($AM$19,AE57&lt;&gt;"",AE61&lt;&gt;""),AE62,"")</f>
        <v/>
      </c>
      <c r="Y48" s="9438"/>
      <c r="Z48" s="9438"/>
      <c r="AA48" s="9438"/>
      <c r="AB48" s="9438"/>
      <c r="AC48" s="9438"/>
      <c r="AD48" s="1561"/>
      <c r="AE48" s="1179"/>
      <c r="AF48" s="1179"/>
      <c r="AG48" s="1179"/>
      <c r="AH48" s="1179"/>
      <c r="AI48" s="1179"/>
      <c r="AJ48" s="1179"/>
      <c r="AK48" s="1127"/>
      <c r="AL48" s="2770"/>
      <c r="AM48" s="1179"/>
      <c r="AN48" s="1179"/>
      <c r="AO48" s="1179"/>
      <c r="AP48" s="5964"/>
      <c r="AQ48" s="1276" t="s">
        <v>5840</v>
      </c>
      <c r="AR48" s="1179"/>
      <c r="AS48" s="2045" t="str">
        <f>IF(OR(AT43,AT45),"",MAX(0,SUM(AM47,-AS46)))</f>
        <v/>
      </c>
      <c r="AT48" s="1583"/>
      <c r="AU48" s="1179"/>
      <c r="AV48" s="590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row>
    <row r="49" spans="1:81" s="2595" customFormat="1" ht="15">
      <c r="A49" s="1127"/>
      <c r="B49" s="2686"/>
      <c r="C49" s="1556">
        <v>31</v>
      </c>
      <c r="D49" s="1276" t="s">
        <v>5804</v>
      </c>
      <c r="E49" s="2686"/>
      <c r="F49" s="2686"/>
      <c r="G49" s="2686"/>
      <c r="H49" s="2686"/>
      <c r="I49" s="2686"/>
      <c r="J49" s="2686"/>
      <c r="K49" s="2686"/>
      <c r="L49" s="2686"/>
      <c r="M49" s="2686"/>
      <c r="N49" s="2686"/>
      <c r="O49" s="2686"/>
      <c r="P49" s="2686"/>
      <c r="Q49" s="2686"/>
      <c r="R49" s="2686"/>
      <c r="S49" s="2686"/>
      <c r="T49" s="2686"/>
      <c r="U49" s="2686"/>
      <c r="V49" s="1560" t="s">
        <v>5401</v>
      </c>
      <c r="W49" s="1557">
        <v>31</v>
      </c>
      <c r="X49" s="9439"/>
      <c r="Y49" s="9440"/>
      <c r="Z49" s="9440"/>
      <c r="AA49" s="9440"/>
      <c r="AB49" s="9440"/>
      <c r="AC49" s="9440"/>
      <c r="AD49" s="1561"/>
      <c r="AE49" s="1179"/>
      <c r="AF49" s="1179"/>
      <c r="AG49" s="1179"/>
      <c r="AH49" s="1179"/>
      <c r="AI49" s="1179"/>
      <c r="AJ49" s="1179"/>
      <c r="AK49" s="1127"/>
      <c r="AL49" s="2770"/>
      <c r="AM49" s="1179"/>
      <c r="AN49" s="1179"/>
      <c r="AO49" s="1179"/>
      <c r="AP49" s="5963" t="s">
        <v>205</v>
      </c>
      <c r="AQ49" s="1283" t="s">
        <v>5841</v>
      </c>
      <c r="AR49" s="1179"/>
      <c r="AS49" s="1179"/>
      <c r="AT49" s="1583"/>
      <c r="AU49" s="1179"/>
      <c r="AV49" s="590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row>
    <row r="50" spans="1:81" s="2595" customFormat="1" ht="14.25" customHeight="1">
      <c r="A50" s="1127"/>
      <c r="B50" s="1179"/>
      <c r="C50" s="1556">
        <v>32</v>
      </c>
      <c r="D50" s="2686" t="s">
        <v>5805</v>
      </c>
      <c r="E50" s="1179"/>
      <c r="F50" s="1179"/>
      <c r="G50" s="1179"/>
      <c r="H50" s="1179"/>
      <c r="I50" s="1179"/>
      <c r="J50" s="1179"/>
      <c r="K50" s="1179"/>
      <c r="L50" s="1179"/>
      <c r="M50" s="1179"/>
      <c r="N50" s="1179"/>
      <c r="O50" s="1179"/>
      <c r="P50" s="1179"/>
      <c r="Q50" s="1179"/>
      <c r="R50" s="1179"/>
      <c r="S50" s="1179"/>
      <c r="T50" s="1179"/>
      <c r="U50" s="1179"/>
      <c r="V50" s="1179"/>
      <c r="W50" s="1179"/>
      <c r="X50" s="1179"/>
      <c r="Y50" s="1179"/>
      <c r="Z50" s="1179"/>
      <c r="AA50" s="1179"/>
      <c r="AB50" s="1179"/>
      <c r="AC50" s="1560" t="s">
        <v>5848</v>
      </c>
      <c r="AD50" s="1557">
        <v>32</v>
      </c>
      <c r="AE50" s="9126" t="str">
        <f>IF(NOT($AM$19),"",IF(X48="",SUM(ROUND(X47,0),ROUND(X49,0)),SUM(ROUND(X47,0),ROUND(X48,0),ROUND(X49,0))))</f>
        <v/>
      </c>
      <c r="AF50" s="9441"/>
      <c r="AG50" s="9441"/>
      <c r="AH50" s="9441"/>
      <c r="AI50" s="9441"/>
      <c r="AJ50" s="9441"/>
      <c r="AK50" s="1127"/>
      <c r="AL50" s="2770"/>
      <c r="AM50" s="1179"/>
      <c r="AN50" s="1179"/>
      <c r="AO50" s="1179"/>
      <c r="AP50" s="5964"/>
      <c r="AQ50" s="1276" t="s">
        <v>5842</v>
      </c>
      <c r="AR50" s="1179"/>
      <c r="AS50" s="1179"/>
      <c r="AT50" s="1583"/>
      <c r="AU50" s="1179"/>
      <c r="AV50" s="590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row>
    <row r="51" spans="1:81" s="2595" customFormat="1" ht="14.25" customHeight="1">
      <c r="A51" s="1127"/>
      <c r="B51" s="1179"/>
      <c r="C51" s="1556">
        <v>33</v>
      </c>
      <c r="D51" s="2686" t="s">
        <v>5806</v>
      </c>
      <c r="E51" s="1179"/>
      <c r="F51" s="1179"/>
      <c r="G51" s="1179"/>
      <c r="H51" s="1179"/>
      <c r="I51" s="1179"/>
      <c r="J51" s="1179"/>
      <c r="K51" s="1179"/>
      <c r="L51" s="1179"/>
      <c r="M51" s="1179"/>
      <c r="N51" s="1179"/>
      <c r="O51" s="1179"/>
      <c r="P51" s="1179"/>
      <c r="Q51" s="1179"/>
      <c r="R51" s="1179"/>
      <c r="S51" s="1179"/>
      <c r="T51" s="1179"/>
      <c r="U51" s="1179"/>
      <c r="V51" s="1179"/>
      <c r="W51" s="1179"/>
      <c r="X51" s="1179"/>
      <c r="Y51" s="1179"/>
      <c r="Z51" s="1179"/>
      <c r="AA51" s="1179"/>
      <c r="AB51" s="1179"/>
      <c r="AC51" s="1560" t="s">
        <v>560</v>
      </c>
      <c r="AD51" s="1557">
        <v>33</v>
      </c>
      <c r="AE51" s="9126" t="str">
        <f>IF($AM$19,MIN(AE46,AE50),"")</f>
        <v/>
      </c>
      <c r="AF51" s="9441"/>
      <c r="AG51" s="9441"/>
      <c r="AH51" s="9441"/>
      <c r="AI51" s="9441"/>
      <c r="AJ51" s="9441"/>
      <c r="AK51" s="1127"/>
      <c r="AL51" s="2770"/>
      <c r="AM51" s="1179"/>
      <c r="AN51" s="1179"/>
      <c r="AO51" s="1179"/>
      <c r="AP51" s="5964"/>
      <c r="AQ51" s="1276" t="s">
        <v>5843</v>
      </c>
      <c r="AR51" s="1179"/>
      <c r="AS51" s="2045" t="str">
        <f>IF(OR(AT43,AT45),"",MIN(AS45,AS48))</f>
        <v/>
      </c>
      <c r="AT51" s="1583"/>
      <c r="AU51" s="1179"/>
      <c r="AV51" s="590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row>
    <row r="52" spans="1:81" s="2595" customFormat="1" ht="14.25" customHeight="1">
      <c r="A52" s="1127"/>
      <c r="B52" s="1179"/>
      <c r="C52" s="1556">
        <v>34</v>
      </c>
      <c r="D52" s="2686" t="s">
        <v>5807</v>
      </c>
      <c r="E52" s="1179"/>
      <c r="F52" s="1179"/>
      <c r="G52" s="1179"/>
      <c r="H52" s="1179"/>
      <c r="I52" s="1179"/>
      <c r="J52" s="1179"/>
      <c r="K52" s="1179"/>
      <c r="L52" s="1179"/>
      <c r="M52" s="1179"/>
      <c r="N52" s="1179"/>
      <c r="O52" s="1179"/>
      <c r="P52" s="1179"/>
      <c r="Q52" s="1179"/>
      <c r="R52" s="1179"/>
      <c r="S52" s="1179"/>
      <c r="T52" s="1179"/>
      <c r="U52" s="1179"/>
      <c r="V52" s="1179"/>
      <c r="W52" s="1179"/>
      <c r="X52" s="1179"/>
      <c r="Y52" s="1179"/>
      <c r="Z52" s="1179"/>
      <c r="AA52" s="1179"/>
      <c r="AB52" s="1179"/>
      <c r="AC52" s="1560" t="s">
        <v>1584</v>
      </c>
      <c r="AD52" s="1557">
        <v>34</v>
      </c>
      <c r="AE52" s="9126" t="str">
        <f>IF($AM$19,SUM(AE32,AE45,AE51),"")</f>
        <v/>
      </c>
      <c r="AF52" s="9441"/>
      <c r="AG52" s="9441"/>
      <c r="AH52" s="9441"/>
      <c r="AI52" s="9441"/>
      <c r="AJ52" s="9441"/>
      <c r="AK52" s="1127"/>
      <c r="AL52" s="2770"/>
      <c r="AM52" s="1179"/>
      <c r="AN52" s="1179"/>
      <c r="AO52" s="1179"/>
      <c r="AP52" s="5963" t="s">
        <v>295</v>
      </c>
      <c r="AQ52" s="1283" t="s">
        <v>5844</v>
      </c>
      <c r="AR52" s="1179"/>
      <c r="AS52" s="1179"/>
      <c r="AT52" s="1583"/>
      <c r="AU52" s="1179"/>
      <c r="AV52" s="590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row>
    <row r="53" spans="1:81" s="2595" customFormat="1" ht="14.25" customHeight="1">
      <c r="A53" s="1127"/>
      <c r="B53" s="1179"/>
      <c r="C53" s="1556">
        <v>35</v>
      </c>
      <c r="D53" s="2686" t="s">
        <v>5808</v>
      </c>
      <c r="E53" s="1179"/>
      <c r="F53" s="1179"/>
      <c r="G53" s="1179"/>
      <c r="H53" s="1179"/>
      <c r="I53" s="1179"/>
      <c r="J53" s="1179"/>
      <c r="K53" s="1179"/>
      <c r="L53" s="1179"/>
      <c r="M53" s="1179"/>
      <c r="N53" s="1179"/>
      <c r="O53" s="1179"/>
      <c r="P53" s="1179"/>
      <c r="Q53" s="1179"/>
      <c r="R53" s="1179"/>
      <c r="S53" s="1179"/>
      <c r="T53" s="1179"/>
      <c r="U53" s="1179"/>
      <c r="V53" s="1179"/>
      <c r="W53" s="1179"/>
      <c r="X53" s="1179"/>
      <c r="Y53" s="1179"/>
      <c r="Z53" s="1179"/>
      <c r="AA53" s="1179"/>
      <c r="AB53" s="1179"/>
      <c r="AC53" s="1560" t="s">
        <v>573</v>
      </c>
      <c r="AD53" s="1557">
        <v>35</v>
      </c>
      <c r="AE53" s="7166"/>
      <c r="AF53" s="9467"/>
      <c r="AG53" s="9467"/>
      <c r="AH53" s="9467"/>
      <c r="AI53" s="9467"/>
      <c r="AJ53" s="9467"/>
      <c r="AK53" s="1127"/>
      <c r="AL53" s="2770"/>
      <c r="AM53" s="1179"/>
      <c r="AN53" s="1179"/>
      <c r="AO53" s="1179"/>
      <c r="AP53" s="1582"/>
      <c r="AQ53" s="1276" t="s">
        <v>5845</v>
      </c>
      <c r="AR53" s="1179"/>
      <c r="AS53" s="2045" t="str">
        <f>IF(OR(AT43,AT45),"",IF(AS51="",AS45,SUM(AS45,-AS51)))</f>
        <v/>
      </c>
      <c r="AT53" s="1583"/>
      <c r="AU53" s="1179"/>
      <c r="AV53" s="5902"/>
      <c r="BE53" s="4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row>
    <row r="54" spans="1:81" s="2595" customFormat="1" ht="14.25" customHeight="1">
      <c r="A54" s="1127"/>
      <c r="B54" s="1179"/>
      <c r="C54" s="1556">
        <v>36</v>
      </c>
      <c r="D54" s="2686" t="s">
        <v>5809</v>
      </c>
      <c r="E54" s="1179"/>
      <c r="F54" s="1179"/>
      <c r="G54" s="1179"/>
      <c r="H54" s="1179"/>
      <c r="I54" s="1179"/>
      <c r="J54" s="1179"/>
      <c r="K54" s="1179"/>
      <c r="L54" s="1179"/>
      <c r="M54" s="1179"/>
      <c r="N54" s="1179"/>
      <c r="O54" s="1179"/>
      <c r="P54" s="1179"/>
      <c r="Q54" s="1179"/>
      <c r="R54" s="1179"/>
      <c r="S54" s="1179"/>
      <c r="T54" s="1179"/>
      <c r="U54" s="1179"/>
      <c r="V54" s="1179"/>
      <c r="W54" s="1179"/>
      <c r="X54" s="1179"/>
      <c r="Y54" s="1179"/>
      <c r="Z54" s="1179"/>
      <c r="AA54" s="1179"/>
      <c r="AB54" s="1179"/>
      <c r="AC54" s="1179"/>
      <c r="AD54" s="1555"/>
      <c r="AE54" s="1179"/>
      <c r="AF54" s="1179"/>
      <c r="AG54" s="1179"/>
      <c r="AH54" s="1179"/>
      <c r="AI54" s="1179"/>
      <c r="AJ54" s="1179"/>
      <c r="AK54" s="1127"/>
      <c r="AL54" s="2770"/>
      <c r="AM54" s="1179"/>
      <c r="AN54" s="1179"/>
      <c r="AO54" s="1179"/>
      <c r="AP54" s="1586"/>
      <c r="AQ54" s="1553"/>
      <c r="AR54" s="1553"/>
      <c r="AS54" s="1553"/>
      <c r="AT54" s="3008"/>
      <c r="AU54" s="1179"/>
      <c r="AV54" s="590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row>
    <row r="55" spans="1:81" s="2595" customFormat="1" ht="12.75" customHeight="1" thickBot="1">
      <c r="A55" s="1127"/>
      <c r="B55" s="1280"/>
      <c r="C55" s="5938"/>
      <c r="D55" s="2704" t="s">
        <v>5810</v>
      </c>
      <c r="E55" s="1280"/>
      <c r="F55" s="1280"/>
      <c r="G55" s="1280"/>
      <c r="H55" s="1280"/>
      <c r="I55" s="1280"/>
      <c r="J55" s="1280"/>
      <c r="K55" s="1280"/>
      <c r="L55" s="1280"/>
      <c r="M55" s="1280"/>
      <c r="N55" s="1280"/>
      <c r="O55" s="1280"/>
      <c r="P55" s="1280"/>
      <c r="Q55" s="1280"/>
      <c r="R55" s="1280"/>
      <c r="S55" s="1280"/>
      <c r="T55" s="1280"/>
      <c r="U55" s="1280"/>
      <c r="V55" s="1280"/>
      <c r="W55" s="1280"/>
      <c r="X55" s="1280"/>
      <c r="Y55" s="1280"/>
      <c r="Z55" s="1280"/>
      <c r="AA55" s="1280"/>
      <c r="AB55" s="1280"/>
      <c r="AC55" s="4477" t="s">
        <v>535</v>
      </c>
      <c r="AD55" s="1564">
        <v>36</v>
      </c>
      <c r="AE55" s="9454" t="str">
        <f>IF(AND($AM$19,AE53=""),AE52,IF($AM$19,SUM(AE52,-AE53),""))</f>
        <v/>
      </c>
      <c r="AF55" s="9455"/>
      <c r="AG55" s="9455"/>
      <c r="AH55" s="9455"/>
      <c r="AI55" s="9455"/>
      <c r="AJ55" s="9455"/>
      <c r="AK55" s="1127"/>
      <c r="AL55" s="2770"/>
      <c r="AM55" s="1179"/>
      <c r="AN55" s="1179"/>
      <c r="AO55" s="1179"/>
      <c r="AP55" s="1179"/>
      <c r="AQ55" s="1179"/>
      <c r="AR55" s="1179"/>
      <c r="AS55" s="1179"/>
      <c r="AT55" s="1179"/>
      <c r="AU55" s="1179"/>
      <c r="AV55" s="590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row>
    <row r="56" spans="1:81" s="2595" customFormat="1" ht="18">
      <c r="A56" s="1127"/>
      <c r="B56" s="7636" t="s">
        <v>319</v>
      </c>
      <c r="C56" s="7636"/>
      <c r="D56" s="4358"/>
      <c r="E56" s="4608"/>
      <c r="F56" s="1553"/>
      <c r="G56" s="1553"/>
      <c r="H56" s="1553"/>
      <c r="I56" s="4608" t="s">
        <v>5790</v>
      </c>
      <c r="J56" s="1553"/>
      <c r="K56" s="1553"/>
      <c r="L56" s="1553"/>
      <c r="M56" s="1553"/>
      <c r="N56" s="1553"/>
      <c r="O56" s="1553"/>
      <c r="P56" s="1553"/>
      <c r="Q56" s="1553"/>
      <c r="R56" s="1553"/>
      <c r="S56" s="1553"/>
      <c r="T56" s="1553"/>
      <c r="U56" s="1553"/>
      <c r="V56" s="1553"/>
      <c r="W56" s="1553"/>
      <c r="X56" s="1553"/>
      <c r="Y56" s="1553"/>
      <c r="Z56" s="1553"/>
      <c r="AA56" s="1553"/>
      <c r="AB56" s="1553"/>
      <c r="AC56" s="1553"/>
      <c r="AD56" s="1553"/>
      <c r="AE56" s="1553"/>
      <c r="AF56" s="1553"/>
      <c r="AG56" s="1553"/>
      <c r="AH56" s="1553"/>
      <c r="AI56" s="1553"/>
      <c r="AJ56" s="1553"/>
      <c r="AK56" s="1127"/>
      <c r="AL56" s="2770"/>
      <c r="AM56" s="1179"/>
      <c r="AN56" s="1179"/>
      <c r="AO56" s="1179"/>
      <c r="AP56" s="1179"/>
      <c r="AQ56" s="1179"/>
      <c r="AR56" s="5967">
        <v>1</v>
      </c>
      <c r="AS56" s="5970">
        <v>2.4609999999999999</v>
      </c>
      <c r="AT56" s="1179"/>
      <c r="AU56" s="1179"/>
      <c r="AV56" s="5902"/>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row>
    <row r="57" spans="1:81" s="2595" customFormat="1" ht="14.25" customHeight="1">
      <c r="A57" s="1127"/>
      <c r="B57" s="1179"/>
      <c r="C57" s="1556">
        <v>37</v>
      </c>
      <c r="D57" s="2686" t="s">
        <v>5811</v>
      </c>
      <c r="E57" s="1179"/>
      <c r="F57" s="1179"/>
      <c r="G57" s="1179"/>
      <c r="H57" s="1179"/>
      <c r="I57" s="1179"/>
      <c r="J57" s="1179"/>
      <c r="K57" s="1179"/>
      <c r="L57" s="1179"/>
      <c r="M57" s="1179"/>
      <c r="N57" s="1179"/>
      <c r="O57" s="1179"/>
      <c r="P57" s="1179"/>
      <c r="Q57" s="1179"/>
      <c r="R57" s="1179"/>
      <c r="S57" s="1179"/>
      <c r="T57" s="1179"/>
      <c r="U57" s="1179"/>
      <c r="V57" s="1179"/>
      <c r="W57" s="1179"/>
      <c r="X57" s="1179"/>
      <c r="Y57" s="1179"/>
      <c r="Z57" s="1179"/>
      <c r="AA57" s="1179"/>
      <c r="AB57" s="1179"/>
      <c r="AC57" s="1560" t="s">
        <v>698</v>
      </c>
      <c r="AD57" s="1557">
        <v>37</v>
      </c>
      <c r="AE57" s="9122"/>
      <c r="AF57" s="9123"/>
      <c r="AG57" s="9123"/>
      <c r="AH57" s="9123"/>
      <c r="AI57" s="9123"/>
      <c r="AJ57" s="9123"/>
      <c r="AK57" s="1127"/>
      <c r="AL57" s="2770"/>
      <c r="AM57" s="1179"/>
      <c r="AN57" s="1179"/>
      <c r="AO57" s="1179"/>
      <c r="AP57" s="1179"/>
      <c r="AQ57" s="1179"/>
      <c r="AR57" s="5968">
        <v>2</v>
      </c>
      <c r="AS57" s="5971">
        <v>2.2469999999999999</v>
      </c>
      <c r="AT57" s="1179"/>
      <c r="AU57" s="1179"/>
      <c r="AV57" s="5902"/>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42"/>
    </row>
    <row r="58" spans="1:81" s="2595" customFormat="1" ht="14.25" customHeight="1">
      <c r="A58" s="1127"/>
      <c r="B58" s="1179"/>
      <c r="C58" s="1556">
        <v>38</v>
      </c>
      <c r="D58" s="2686" t="s">
        <v>5812</v>
      </c>
      <c r="E58" s="1179"/>
      <c r="F58" s="1179"/>
      <c r="G58" s="1179"/>
      <c r="H58" s="1179"/>
      <c r="I58" s="1179"/>
      <c r="J58" s="1179"/>
      <c r="K58" s="1179"/>
      <c r="L58" s="1179"/>
      <c r="M58" s="1179"/>
      <c r="N58" s="1179"/>
      <c r="O58" s="1179"/>
      <c r="P58" s="1179"/>
      <c r="Q58" s="1179"/>
      <c r="R58" s="1179"/>
      <c r="S58" s="1179"/>
      <c r="T58" s="1179"/>
      <c r="U58" s="1179"/>
      <c r="V58" s="1179"/>
      <c r="W58" s="1179"/>
      <c r="X58" s="1179"/>
      <c r="Y58" s="1179"/>
      <c r="Z58" s="1179"/>
      <c r="AA58" s="1179"/>
      <c r="AB58" s="1179"/>
      <c r="AC58" s="1560" t="s">
        <v>2969</v>
      </c>
      <c r="AD58" s="1557">
        <v>38</v>
      </c>
      <c r="AE58" s="9122"/>
      <c r="AF58" s="9123"/>
      <c r="AG58" s="9123"/>
      <c r="AH58" s="9123"/>
      <c r="AI58" s="9123"/>
      <c r="AJ58" s="9123"/>
      <c r="AK58" s="1127"/>
      <c r="AL58" s="2770"/>
      <c r="AM58" s="1284">
        <f>IF(AE58="",ROUND(AE57,0),SUM(ROUND(AE57,0),-ROUND(AE58,0)))</f>
        <v>0</v>
      </c>
      <c r="AN58" s="1179"/>
      <c r="AO58" s="1179"/>
      <c r="AP58" s="1179"/>
      <c r="AQ58" s="1179"/>
      <c r="AR58" s="5968">
        <v>3</v>
      </c>
      <c r="AS58" s="5971">
        <v>2.0329999999999999</v>
      </c>
      <c r="AT58" s="1179"/>
      <c r="AU58" s="1179"/>
      <c r="AV58" s="590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row>
    <row r="59" spans="1:81" s="2595" customFormat="1" ht="14.25" customHeight="1">
      <c r="A59" s="1127"/>
      <c r="B59" s="1179"/>
      <c r="C59" s="1556">
        <v>39</v>
      </c>
      <c r="D59" s="2686" t="s">
        <v>5813</v>
      </c>
      <c r="E59" s="1179"/>
      <c r="F59" s="1179"/>
      <c r="G59" s="1179"/>
      <c r="H59" s="1179"/>
      <c r="I59" s="1179"/>
      <c r="J59" s="1179"/>
      <c r="K59" s="1179"/>
      <c r="L59" s="1179"/>
      <c r="M59" s="1179"/>
      <c r="N59" s="1179"/>
      <c r="O59" s="1179"/>
      <c r="P59" s="1179"/>
      <c r="Q59" s="1179"/>
      <c r="R59" s="1179"/>
      <c r="S59" s="1179"/>
      <c r="T59" s="1179"/>
      <c r="U59" s="1179"/>
      <c r="V59" s="1179"/>
      <c r="W59" s="1179"/>
      <c r="X59" s="1179"/>
      <c r="Y59" s="1179"/>
      <c r="Z59" s="1179"/>
      <c r="AA59" s="1179"/>
      <c r="AB59" s="1179"/>
      <c r="AC59" s="1560" t="s">
        <v>1075</v>
      </c>
      <c r="AD59" s="1557">
        <v>39</v>
      </c>
      <c r="AE59" s="9126" t="str">
        <f>IF(AE57&lt;&gt;"",AM58,"")</f>
        <v/>
      </c>
      <c r="AF59" s="9441"/>
      <c r="AG59" s="9441"/>
      <c r="AH59" s="9441"/>
      <c r="AI59" s="9441"/>
      <c r="AJ59" s="9441"/>
      <c r="AK59" s="1127"/>
      <c r="AL59" s="2770"/>
      <c r="AM59" s="1179"/>
      <c r="AN59" s="1179"/>
      <c r="AO59" s="1179"/>
      <c r="AP59" s="1179"/>
      <c r="AQ59" s="1179"/>
      <c r="AR59" s="5968">
        <v>4</v>
      </c>
      <c r="AS59" s="5971">
        <v>1.819</v>
      </c>
      <c r="AT59" s="1179"/>
      <c r="AU59" s="1179"/>
      <c r="AV59" s="590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row>
    <row r="60" spans="1:81" s="2595" customFormat="1" ht="14.25" customHeight="1">
      <c r="A60" s="1127"/>
      <c r="B60" s="1179"/>
      <c r="C60" s="1556">
        <v>40</v>
      </c>
      <c r="D60" s="2686" t="s">
        <v>5814</v>
      </c>
      <c r="E60" s="1179"/>
      <c r="F60" s="1179"/>
      <c r="G60" s="1179"/>
      <c r="H60" s="1179"/>
      <c r="I60" s="1179"/>
      <c r="J60" s="1179"/>
      <c r="K60" s="1179"/>
      <c r="L60" s="1179"/>
      <c r="M60" s="1179"/>
      <c r="N60" s="1179"/>
      <c r="O60" s="1179"/>
      <c r="P60" s="1179"/>
      <c r="Q60" s="1179"/>
      <c r="R60" s="1179"/>
      <c r="S60" s="1179"/>
      <c r="T60" s="1179"/>
      <c r="U60" s="1179"/>
      <c r="V60" s="1179"/>
      <c r="W60" s="1179"/>
      <c r="X60" s="1179"/>
      <c r="Y60" s="1179"/>
      <c r="Z60" s="1179"/>
      <c r="AA60" s="1179"/>
      <c r="AB60" s="1179"/>
      <c r="AC60" s="1560" t="s">
        <v>633</v>
      </c>
      <c r="AD60" s="1557">
        <v>40</v>
      </c>
      <c r="AE60" s="9126" t="str">
        <f>IF(AND($AM$19,$AE$57&lt;&gt;""),ROUND(AE59*AE22/100,0),"")</f>
        <v/>
      </c>
      <c r="AF60" s="9441"/>
      <c r="AG60" s="9441"/>
      <c r="AH60" s="9441"/>
      <c r="AI60" s="9441"/>
      <c r="AJ60" s="9441"/>
      <c r="AK60" s="1127"/>
      <c r="AL60" s="2770"/>
      <c r="AM60" s="1179"/>
      <c r="AN60" s="1179"/>
      <c r="AO60" s="1179"/>
      <c r="AP60" s="1179"/>
      <c r="AQ60" s="1179"/>
      <c r="AR60" s="5968">
        <v>5</v>
      </c>
      <c r="AS60" s="5971">
        <v>1.605</v>
      </c>
      <c r="AT60" s="1179"/>
      <c r="AU60" s="1179"/>
      <c r="AV60" s="590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row>
    <row r="61" spans="1:81" s="2595" customFormat="1" ht="14.25" customHeight="1">
      <c r="A61" s="1127"/>
      <c r="B61" s="1179"/>
      <c r="C61" s="1556">
        <v>41</v>
      </c>
      <c r="D61" s="2686" t="s">
        <v>5815</v>
      </c>
      <c r="E61" s="1179"/>
      <c r="F61" s="1179"/>
      <c r="G61" s="1179"/>
      <c r="H61" s="1179"/>
      <c r="I61" s="1179"/>
      <c r="J61" s="1179"/>
      <c r="K61" s="1179"/>
      <c r="L61" s="1179"/>
      <c r="M61" s="1179"/>
      <c r="N61" s="1179"/>
      <c r="O61" s="1179"/>
      <c r="P61" s="1179"/>
      <c r="Q61" s="1179"/>
      <c r="R61" s="1179"/>
      <c r="S61" s="1179"/>
      <c r="T61" s="1179"/>
      <c r="U61" s="1179"/>
      <c r="V61" s="1179"/>
      <c r="W61" s="1179"/>
      <c r="X61" s="1179"/>
      <c r="Y61" s="1179"/>
      <c r="Z61" s="1179"/>
      <c r="AA61" s="1179"/>
      <c r="AB61" s="1179"/>
      <c r="AC61" s="1560" t="s">
        <v>1075</v>
      </c>
      <c r="AD61" s="1557">
        <v>41</v>
      </c>
      <c r="AE61" s="9434" t="str">
        <f>IF(AM62&lt;&gt;"",ROUND(AM62,0),IF(AM61="","",LOOKUP(AM61,AR56:AR67,AS56:AS67)))</f>
        <v/>
      </c>
      <c r="AF61" s="9435"/>
      <c r="AG61" s="9435"/>
      <c r="AH61" s="9435"/>
      <c r="AI61" s="9435"/>
      <c r="AJ61" s="5952" t="str">
        <f>"%"</f>
        <v>%</v>
      </c>
      <c r="AK61" s="1127"/>
      <c r="AL61" s="2770"/>
      <c r="AM61" s="5965"/>
      <c r="AN61" s="1179"/>
      <c r="AO61" s="1276" t="s">
        <v>5846</v>
      </c>
      <c r="AP61" s="1179"/>
      <c r="AQ61" s="1179"/>
      <c r="AR61" s="5968">
        <v>6</v>
      </c>
      <c r="AS61" s="5971">
        <v>1.391</v>
      </c>
      <c r="AT61" s="1179"/>
      <c r="AU61" s="1179"/>
      <c r="AV61" s="590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row>
    <row r="62" spans="1:81" s="2595" customFormat="1" ht="14.25" customHeight="1" thickBot="1">
      <c r="A62" s="1127"/>
      <c r="B62" s="1179"/>
      <c r="C62" s="1556">
        <v>42</v>
      </c>
      <c r="D62" s="2686" t="s">
        <v>5816</v>
      </c>
      <c r="E62" s="1179"/>
      <c r="F62" s="1179"/>
      <c r="G62" s="1179"/>
      <c r="H62" s="1179"/>
      <c r="I62" s="1179"/>
      <c r="J62" s="1179"/>
      <c r="K62" s="1179"/>
      <c r="L62" s="1179"/>
      <c r="M62" s="1179"/>
      <c r="N62" s="1179"/>
      <c r="O62" s="1179"/>
      <c r="P62" s="1179"/>
      <c r="Q62" s="1179"/>
      <c r="R62" s="1179"/>
      <c r="S62" s="1179"/>
      <c r="T62" s="1179"/>
      <c r="U62" s="1179"/>
      <c r="V62" s="1179"/>
      <c r="W62" s="1179"/>
      <c r="X62" s="1179"/>
      <c r="Y62" s="1179"/>
      <c r="Z62" s="1179"/>
      <c r="AA62" s="1179"/>
      <c r="AB62" s="1179"/>
      <c r="AC62" s="1560" t="s">
        <v>573</v>
      </c>
      <c r="AD62" s="3004">
        <v>42</v>
      </c>
      <c r="AE62" s="9470" t="str">
        <f>IF(AND(AE57&lt;&gt;"",$AM$19,AE61&lt;&gt;""),ROUND(AE60*AE61/100,0),"")</f>
        <v/>
      </c>
      <c r="AF62" s="9471"/>
      <c r="AG62" s="9471"/>
      <c r="AH62" s="9471"/>
      <c r="AI62" s="9471"/>
      <c r="AJ62" s="9471"/>
      <c r="AK62" s="1127"/>
      <c r="AL62" s="2770"/>
      <c r="AM62" s="1334"/>
      <c r="AN62" s="1179"/>
      <c r="AO62" s="1276" t="s">
        <v>5847</v>
      </c>
      <c r="AP62" s="1179"/>
      <c r="AQ62" s="1179"/>
      <c r="AR62" s="5968">
        <v>7</v>
      </c>
      <c r="AS62" s="5971">
        <v>1.177</v>
      </c>
      <c r="AT62" s="1179"/>
      <c r="AU62" s="1179"/>
      <c r="AV62" s="590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row>
    <row r="63" spans="1:81" s="2595" customFormat="1" ht="18">
      <c r="A63" s="1127"/>
      <c r="B63" s="9472" t="s">
        <v>470</v>
      </c>
      <c r="C63" s="9472"/>
      <c r="D63" s="4745"/>
      <c r="E63" s="5939"/>
      <c r="F63" s="1579"/>
      <c r="G63" s="1579"/>
      <c r="H63" s="1579"/>
      <c r="I63" s="5939" t="str">
        <f>"Carryover of Unallowed Expenses to "&amp;TaxYear+1</f>
        <v>Carryover of Unallowed Expenses to 2022</v>
      </c>
      <c r="J63" s="1579"/>
      <c r="K63" s="1579"/>
      <c r="L63" s="1579"/>
      <c r="M63" s="1579"/>
      <c r="N63" s="1579"/>
      <c r="O63" s="1579"/>
      <c r="P63" s="1579"/>
      <c r="Q63" s="1579"/>
      <c r="R63" s="1579"/>
      <c r="S63" s="1579"/>
      <c r="T63" s="1579"/>
      <c r="U63" s="1579"/>
      <c r="V63" s="1579"/>
      <c r="W63" s="1579"/>
      <c r="X63" s="1579"/>
      <c r="Y63" s="1579"/>
      <c r="Z63" s="1579"/>
      <c r="AA63" s="1579"/>
      <c r="AB63" s="1579"/>
      <c r="AC63" s="1579"/>
      <c r="AD63" s="1579"/>
      <c r="AE63" s="1579"/>
      <c r="AF63" s="1579"/>
      <c r="AG63" s="1579"/>
      <c r="AH63" s="1579"/>
      <c r="AI63" s="1579"/>
      <c r="AJ63" s="1579"/>
      <c r="AK63" s="1127"/>
      <c r="AL63" s="2770"/>
      <c r="AM63" s="5975" t="s">
        <v>91</v>
      </c>
      <c r="AN63" s="1179"/>
      <c r="AO63" s="1179"/>
      <c r="AP63" s="1179"/>
      <c r="AQ63" s="1179"/>
      <c r="AR63" s="5968">
        <v>8</v>
      </c>
      <c r="AS63" s="5971">
        <v>0.96299999999999997</v>
      </c>
      <c r="AT63" s="1179"/>
      <c r="AU63" s="1179"/>
      <c r="AV63" s="590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row>
    <row r="64" spans="1:81" s="2595" customFormat="1" ht="14.25" customHeight="1">
      <c r="A64" s="1127"/>
      <c r="B64" s="1179"/>
      <c r="C64" s="1556">
        <v>43</v>
      </c>
      <c r="D64" s="2686" t="s">
        <v>5817</v>
      </c>
      <c r="E64" s="1179"/>
      <c r="F64" s="1179"/>
      <c r="G64" s="1179"/>
      <c r="H64" s="1179"/>
      <c r="I64" s="1179"/>
      <c r="J64" s="1179"/>
      <c r="K64" s="1179"/>
      <c r="L64" s="1179"/>
      <c r="M64" s="1179"/>
      <c r="N64" s="1179"/>
      <c r="O64" s="1179"/>
      <c r="P64" s="1179"/>
      <c r="Q64" s="1179"/>
      <c r="R64" s="1179"/>
      <c r="S64" s="1179"/>
      <c r="T64" s="1179"/>
      <c r="U64" s="1179"/>
      <c r="V64" s="1179"/>
      <c r="W64" s="1179"/>
      <c r="X64" s="1179"/>
      <c r="Y64" s="1179"/>
      <c r="Z64" s="1179"/>
      <c r="AA64" s="1179"/>
      <c r="AB64" s="1179"/>
      <c r="AC64" s="1560" t="s">
        <v>802</v>
      </c>
      <c r="AD64" s="1557">
        <v>43</v>
      </c>
      <c r="AE64" s="9126" t="str">
        <f>IF($AM$19,MAX(0,SUM(AE44,-AE45)),"")</f>
        <v/>
      </c>
      <c r="AF64" s="9441"/>
      <c r="AG64" s="9441"/>
      <c r="AH64" s="9441"/>
      <c r="AI64" s="9441"/>
      <c r="AJ64" s="9441"/>
      <c r="AK64" s="1127"/>
      <c r="AL64" s="2770"/>
      <c r="AM64" s="1179"/>
      <c r="AN64" s="1179"/>
      <c r="AO64" s="1179"/>
      <c r="AP64" s="1179"/>
      <c r="AQ64" s="1179"/>
      <c r="AR64" s="5968">
        <v>9</v>
      </c>
      <c r="AS64" s="5971">
        <v>0.749</v>
      </c>
      <c r="AT64" s="1179"/>
      <c r="AU64" s="1179"/>
      <c r="AV64" s="590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row>
    <row r="65" spans="1:81" s="2595" customFormat="1" ht="14.25" customHeight="1" thickBot="1">
      <c r="A65" s="1127"/>
      <c r="B65" s="1359"/>
      <c r="C65" s="5940">
        <v>44</v>
      </c>
      <c r="D65" s="5941" t="s">
        <v>5818</v>
      </c>
      <c r="E65" s="1359"/>
      <c r="F65" s="1359"/>
      <c r="G65" s="1359"/>
      <c r="H65" s="1359"/>
      <c r="I65" s="1359"/>
      <c r="J65" s="1359"/>
      <c r="K65" s="1359"/>
      <c r="L65" s="1359"/>
      <c r="M65" s="1359"/>
      <c r="N65" s="1359"/>
      <c r="O65" s="1359"/>
      <c r="P65" s="1359"/>
      <c r="Q65" s="1359"/>
      <c r="R65" s="1359"/>
      <c r="S65" s="1359"/>
      <c r="T65" s="1359"/>
      <c r="U65" s="1359"/>
      <c r="V65" s="1359"/>
      <c r="W65" s="1359"/>
      <c r="X65" s="1359"/>
      <c r="Y65" s="1359"/>
      <c r="Z65" s="1359"/>
      <c r="AA65" s="1359"/>
      <c r="AB65" s="1359"/>
      <c r="AC65" s="5176" t="s">
        <v>717</v>
      </c>
      <c r="AD65" s="5942">
        <v>44</v>
      </c>
      <c r="AE65" s="9473" t="str">
        <f>IF(OR(NOT($AM$19),AE61=""),"",MAX(0,SUM(AE50,-AE51)))</f>
        <v/>
      </c>
      <c r="AF65" s="9474"/>
      <c r="AG65" s="9474"/>
      <c r="AH65" s="9474"/>
      <c r="AI65" s="9474"/>
      <c r="AJ65" s="9474"/>
      <c r="AK65" s="1127"/>
      <c r="AL65" s="2770"/>
      <c r="AM65" s="1179"/>
      <c r="AN65" s="1179"/>
      <c r="AO65" s="1179"/>
      <c r="AP65" s="1179"/>
      <c r="AQ65" s="1179"/>
      <c r="AR65" s="5968">
        <v>10</v>
      </c>
      <c r="AS65" s="5971">
        <v>0.53500000000000003</v>
      </c>
      <c r="AT65" s="1179"/>
      <c r="AU65" s="1179"/>
      <c r="AV65" s="590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row>
    <row r="66" spans="1:81" ht="18" customHeight="1" thickTop="1">
      <c r="A66" s="1127"/>
      <c r="B66" s="5945" t="s">
        <v>484</v>
      </c>
      <c r="C66" s="5946"/>
      <c r="D66" s="5946"/>
      <c r="E66" s="5946"/>
      <c r="F66" s="5946"/>
      <c r="G66" s="5946"/>
      <c r="H66" s="5946"/>
      <c r="I66" s="5946"/>
      <c r="J66" s="5946"/>
      <c r="K66" s="5946"/>
      <c r="L66" s="5946"/>
      <c r="M66" s="5946"/>
      <c r="N66" s="5946"/>
      <c r="O66" s="5946"/>
      <c r="P66" s="5946"/>
      <c r="Q66" s="1358"/>
      <c r="R66" s="1358"/>
      <c r="S66" s="1358"/>
      <c r="T66" s="1358"/>
      <c r="U66" s="5947"/>
      <c r="V66" s="1358"/>
      <c r="W66" s="5951" t="s">
        <v>5819</v>
      </c>
      <c r="X66" s="1358"/>
      <c r="Y66" s="1358"/>
      <c r="Z66" s="1358"/>
      <c r="AA66" s="1358"/>
      <c r="AB66" s="1358"/>
      <c r="AC66" s="1358"/>
      <c r="AD66" s="1358"/>
      <c r="AE66" s="1358"/>
      <c r="AF66" s="1358"/>
      <c r="AG66" s="1358"/>
      <c r="AH66" s="5948" t="s">
        <v>5820</v>
      </c>
      <c r="AI66" s="1358"/>
      <c r="AJ66" s="5948" t="str">
        <f>"("&amp;TaxYear&amp;")"</f>
        <v>(2021)</v>
      </c>
      <c r="AK66" s="1127"/>
      <c r="AL66" s="2770"/>
      <c r="AM66" s="1179"/>
      <c r="AN66" s="1179"/>
      <c r="AO66" s="1179"/>
      <c r="AP66" s="1179"/>
      <c r="AQ66" s="1179"/>
      <c r="AR66" s="5968">
        <v>11</v>
      </c>
      <c r="AS66" s="5971">
        <v>0.32100000000000001</v>
      </c>
      <c r="AT66" s="1179"/>
      <c r="AU66" s="1179"/>
      <c r="AV66" s="5902"/>
      <c r="AW66" s="2595"/>
      <c r="AX66" s="2595"/>
      <c r="AY66" s="2595"/>
      <c r="AZ66" s="2595"/>
      <c r="BA66" s="2595"/>
      <c r="BB66" s="2595"/>
      <c r="BC66" s="2595"/>
      <c r="BD66" s="2595"/>
      <c r="BF66" s="5943"/>
      <c r="BI66" s="5944"/>
      <c r="BJ66" s="5766"/>
      <c r="BK66" s="1731"/>
      <c r="BL66" s="2674"/>
      <c r="BM66" s="1731"/>
      <c r="BN66" s="1731"/>
      <c r="BO66" s="1731"/>
      <c r="BP66" s="1731"/>
      <c r="BQ66" s="1731"/>
      <c r="BS66" s="3402"/>
      <c r="BT66" s="3402"/>
      <c r="BU66" s="3402"/>
      <c r="BV66" s="3402"/>
      <c r="BW66" s="3402"/>
      <c r="BX66" s="3402"/>
      <c r="BY66" s="3402"/>
      <c r="BZ66" s="3402"/>
      <c r="CA66" s="3402"/>
    </row>
    <row r="67" spans="1:81" ht="18" customHeight="1" thickBot="1">
      <c r="A67" s="1127"/>
      <c r="B67" s="1127"/>
      <c r="C67" s="1127"/>
      <c r="D67" s="1127"/>
      <c r="E67" s="1127"/>
      <c r="F67" s="1127"/>
      <c r="G67" s="1127"/>
      <c r="H67" s="1127"/>
      <c r="I67" s="1127"/>
      <c r="J67" s="1127"/>
      <c r="K67" s="1127"/>
      <c r="L67" s="1127"/>
      <c r="M67" s="1127"/>
      <c r="N67" s="1127"/>
      <c r="O67" s="1127"/>
      <c r="P67" s="1127"/>
      <c r="Q67" s="1127"/>
      <c r="R67" s="1127"/>
      <c r="S67" s="1127"/>
      <c r="T67" s="1127"/>
      <c r="U67" s="1127"/>
      <c r="V67" s="1127"/>
      <c r="W67" s="1127"/>
      <c r="X67" s="1127"/>
      <c r="Y67" s="1127"/>
      <c r="Z67" s="1127"/>
      <c r="AA67" s="1127"/>
      <c r="AB67" s="1127"/>
      <c r="AC67" s="1127"/>
      <c r="AD67" s="1127"/>
      <c r="AE67" s="1127"/>
      <c r="AF67" s="1127"/>
      <c r="AG67" s="1127"/>
      <c r="AH67" s="1127"/>
      <c r="AI67" s="1127"/>
      <c r="AJ67" s="1127"/>
      <c r="AK67" s="1127"/>
      <c r="AL67" s="2770"/>
      <c r="AM67" s="1179"/>
      <c r="AN67" s="1179"/>
      <c r="AO67" s="1179"/>
      <c r="AP67" s="1179"/>
      <c r="AQ67" s="1179"/>
      <c r="AR67" s="5969">
        <v>12</v>
      </c>
      <c r="AS67" s="5972">
        <v>0.107</v>
      </c>
      <c r="AT67" s="1179"/>
      <c r="AU67" s="1179"/>
      <c r="AV67" s="5902"/>
      <c r="AW67" s="2595"/>
      <c r="AX67" s="2595"/>
      <c r="AY67" s="2595"/>
      <c r="AZ67" s="2595"/>
      <c r="BA67" s="2595"/>
      <c r="BB67" s="2595"/>
      <c r="BC67" s="2595"/>
      <c r="BD67" s="2595"/>
      <c r="BF67" s="5943"/>
      <c r="BI67" s="5944"/>
      <c r="BJ67" s="5766"/>
      <c r="BK67" s="1731"/>
      <c r="BL67" s="2674"/>
      <c r="BM67" s="1731"/>
      <c r="BN67" s="1731"/>
      <c r="BO67" s="1731"/>
      <c r="BP67" s="1731"/>
      <c r="BQ67" s="1731"/>
      <c r="BS67" s="3402"/>
      <c r="BT67" s="3402"/>
      <c r="BU67" s="3402"/>
      <c r="BV67" s="3402"/>
      <c r="BW67" s="3402"/>
      <c r="BX67" s="3402"/>
      <c r="BY67" s="3402"/>
      <c r="BZ67" s="3402"/>
      <c r="CA67" s="3402"/>
    </row>
    <row r="68" spans="1:81" s="2595" customFormat="1" ht="25.5" customHeight="1" thickBot="1">
      <c r="A68"/>
      <c r="B68" s="9"/>
      <c r="C68" s="9"/>
      <c r="D68" s="10"/>
      <c r="E68" s="10"/>
      <c r="F68" s="10"/>
      <c r="G68" s="10"/>
      <c r="H68" s="10"/>
      <c r="I68" s="10"/>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5950"/>
      <c r="AW68" s="3402"/>
      <c r="AX68" s="3402"/>
      <c r="AY68" s="3402"/>
      <c r="AZ68" s="3402"/>
      <c r="BA68" s="3402"/>
      <c r="BB68" s="3402"/>
      <c r="BC68" s="3402"/>
      <c r="BD68" s="340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row>
    <row r="69" spans="1:81" s="2595" customFormat="1" ht="13.5" thickBot="1">
      <c r="A69"/>
      <c r="B69" s="7537" t="s">
        <v>5821</v>
      </c>
      <c r="C69" s="7538"/>
      <c r="D69" s="7538"/>
      <c r="E69" s="7538"/>
      <c r="F69" s="7538"/>
      <c r="G69" s="7538"/>
      <c r="H69" s="7538"/>
      <c r="I69" s="7538"/>
      <c r="J69" s="7538"/>
      <c r="K69" s="7538"/>
      <c r="L69" s="7539"/>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5950"/>
      <c r="AW69" s="3402"/>
      <c r="AX69" s="3402"/>
      <c r="AY69" s="3402"/>
      <c r="AZ69" s="3402"/>
      <c r="BA69" s="3402"/>
      <c r="BB69" s="3402"/>
      <c r="BC69" s="3402"/>
      <c r="BD69" s="340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row>
    <row r="70" spans="1:81" s="2595" customFormat="1" ht="27" customHeight="1" thickBot="1">
      <c r="A70"/>
      <c r="B70" s="549"/>
      <c r="C70" s="549"/>
      <c r="D70" s="550"/>
      <c r="E70" s="550"/>
      <c r="F70" s="550"/>
      <c r="G70" s="550"/>
      <c r="H70" s="550"/>
      <c r="I70" s="550"/>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5950"/>
      <c r="AW70" s="3402"/>
      <c r="AX70" s="3402"/>
      <c r="AY70" s="3402"/>
      <c r="AZ70" s="3402"/>
      <c r="BA70" s="3402"/>
      <c r="BB70" s="3402"/>
      <c r="BC70" s="3402"/>
      <c r="BD70" s="340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row>
    <row r="71" spans="1:81" s="2595" customFormat="1" ht="13.5" thickBot="1">
      <c r="A71"/>
      <c r="B71" s="7534" t="s">
        <v>5822</v>
      </c>
      <c r="C71" s="7535"/>
      <c r="D71" s="7535"/>
      <c r="E71" s="7535"/>
      <c r="F71" s="7535"/>
      <c r="G71" s="7535"/>
      <c r="H71" s="7535"/>
      <c r="I71" s="7535"/>
      <c r="J71" s="7535"/>
      <c r="K71" s="7535"/>
      <c r="L71" s="7536"/>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5950"/>
      <c r="AW71" s="3402"/>
      <c r="AX71" s="3402"/>
      <c r="AY71" s="3402"/>
      <c r="AZ71" s="3402"/>
      <c r="BA71" s="3402"/>
      <c r="BB71" s="3402"/>
      <c r="BC71" s="3402"/>
      <c r="BD71" s="340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row>
    <row r="72" spans="1:81" s="2595" customFormat="1" ht="21.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5950"/>
      <c r="AW72" s="3402"/>
      <c r="AX72" s="3402"/>
      <c r="AY72" s="3402"/>
      <c r="AZ72" s="3402"/>
      <c r="BA72" s="3402"/>
      <c r="BB72" s="3402"/>
      <c r="BC72" s="3402"/>
      <c r="BD72" s="340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row>
    <row r="73" spans="1:81" s="2595" customFormat="1" ht="13.5" thickBo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5950"/>
      <c r="AW73" s="3402"/>
      <c r="AX73" s="3402"/>
      <c r="AY73" s="3402"/>
      <c r="AZ73" s="3402"/>
      <c r="BA73" s="3402"/>
      <c r="BB73" s="3402"/>
      <c r="BC73" s="3402"/>
      <c r="BD73" s="340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row>
    <row r="74" spans="1:81" s="2595" customFormat="1">
      <c r="A74" s="42"/>
      <c r="B74" s="6229" t="s">
        <v>3219</v>
      </c>
      <c r="C74" s="6230"/>
      <c r="D74" s="6230"/>
      <c r="E74" s="6231"/>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5950"/>
      <c r="AW74" s="3402"/>
      <c r="AX74" s="3402"/>
      <c r="AY74" s="3402"/>
      <c r="AZ74" s="3402"/>
      <c r="BA74" s="3402"/>
      <c r="BB74" s="3402"/>
      <c r="BC74" s="3402"/>
      <c r="BD74" s="340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row>
    <row r="75" spans="1:81" s="2595" customFormat="1">
      <c r="A75" s="42"/>
      <c r="B75" s="6232"/>
      <c r="C75" s="9456"/>
      <c r="D75" s="9456"/>
      <c r="E75" s="6234"/>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5950"/>
      <c r="AW75" s="3402"/>
      <c r="AX75" s="3402"/>
      <c r="AY75" s="3402"/>
      <c r="AZ75" s="3402"/>
      <c r="BA75" s="3402"/>
      <c r="BB75" s="3402"/>
      <c r="BC75" s="3402"/>
      <c r="BD75" s="340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row>
    <row r="76" spans="1:81" s="2595" customFormat="1" ht="13.5" thickBot="1">
      <c r="A76" s="42"/>
      <c r="B76" s="6235"/>
      <c r="C76" s="6236"/>
      <c r="D76" s="6236"/>
      <c r="E76" s="6237"/>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5950"/>
      <c r="AW76" s="3402"/>
      <c r="AX76" s="3402"/>
      <c r="AY76" s="3402"/>
      <c r="AZ76" s="3402"/>
      <c r="BA76" s="3402"/>
      <c r="BB76" s="3402"/>
      <c r="BC76" s="3402"/>
      <c r="BD76" s="340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row>
    <row r="77" spans="1:81" s="2595" customFormat="1" ht="13.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5950"/>
      <c r="AW77" s="3402"/>
      <c r="AX77" s="3402"/>
      <c r="AY77" s="3402"/>
      <c r="AZ77" s="3402"/>
      <c r="BA77" s="3402"/>
      <c r="BB77" s="3402"/>
      <c r="BC77" s="3402"/>
      <c r="BD77" s="340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row>
    <row r="78" spans="1:81" s="2595" customForma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5950"/>
      <c r="AW78" s="3402"/>
      <c r="AX78" s="3402"/>
      <c r="AY78" s="3402"/>
      <c r="AZ78" s="3402"/>
      <c r="BA78" s="3402"/>
      <c r="BB78" s="3402"/>
      <c r="BC78" s="3402"/>
      <c r="BD78" s="340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row>
    <row r="79" spans="1:81" s="2595" customForma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5950"/>
      <c r="AW79" s="3402"/>
      <c r="AX79" s="3402"/>
      <c r="AY79" s="3402"/>
      <c r="AZ79" s="3402"/>
      <c r="BA79" s="3402"/>
      <c r="BB79" s="3402"/>
      <c r="BC79" s="3402"/>
      <c r="BD79" s="340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row>
    <row r="80" spans="1:81" s="2595" customForma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5950"/>
      <c r="AW80" s="3402"/>
      <c r="AX80" s="3402"/>
      <c r="AY80" s="3402"/>
      <c r="AZ80" s="3402"/>
      <c r="BA80" s="3402"/>
      <c r="BB80" s="3402"/>
      <c r="BC80" s="3402"/>
      <c r="BD80" s="340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row>
    <row r="81" spans="1:81" s="2595" customForma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5950"/>
      <c r="AW81" s="3402"/>
      <c r="AX81" s="3402"/>
      <c r="AY81" s="3402"/>
      <c r="AZ81" s="3402"/>
      <c r="BA81" s="3402"/>
      <c r="BB81" s="3402"/>
      <c r="BC81" s="3402"/>
      <c r="BD81" s="340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row>
    <row r="82" spans="1:81" s="2595" customForma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5950"/>
      <c r="AW82" s="3402"/>
      <c r="AX82" s="3402"/>
      <c r="AY82" s="3402"/>
      <c r="AZ82" s="3402"/>
      <c r="BA82" s="3402"/>
      <c r="BB82" s="3402"/>
      <c r="BC82" s="3402"/>
      <c r="BD82" s="340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row>
    <row r="83" spans="1:81" s="2595" customForma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5950"/>
      <c r="AW83" s="3402"/>
      <c r="AX83" s="3402"/>
      <c r="AY83" s="3402"/>
      <c r="AZ83" s="3402"/>
      <c r="BA83" s="3402"/>
      <c r="BB83" s="3402"/>
      <c r="BC83" s="3402"/>
      <c r="BD83" s="340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row>
    <row r="84" spans="1:81" s="2595" customForma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5950"/>
      <c r="AW84" s="3402"/>
      <c r="AX84" s="3402"/>
      <c r="AY84" s="3402"/>
      <c r="AZ84" s="3402"/>
      <c r="BA84" s="3402"/>
      <c r="BB84" s="3402"/>
      <c r="BC84" s="3402"/>
      <c r="BD84" s="340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row>
    <row r="85" spans="1:81" s="2595" customForma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5950"/>
      <c r="AW85" s="3402"/>
      <c r="AX85" s="3402"/>
      <c r="AY85" s="3402"/>
      <c r="AZ85" s="3402"/>
      <c r="BA85" s="3402"/>
      <c r="BB85" s="3402"/>
      <c r="BC85" s="3402"/>
      <c r="BD85" s="340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row>
  </sheetData>
  <sheetProtection algorithmName="SHA-512" hashValue="i+blHWy19SNW31mDqxZAyDt2EQfbDWa8/u2bT7F2JP5eCalw1euXR7QXUieA5GtLEL8UXTQUiyIViD1rSDsdkQ==" saltValue="fhczbtlbjCXp5bEt0gC+tA==" spinCount="100000" sheet="1" objects="1" scenarios="1"/>
  <mergeCells count="79">
    <mergeCell ref="AE29:AG29"/>
    <mergeCell ref="AE62:AJ62"/>
    <mergeCell ref="B63:C63"/>
    <mergeCell ref="AE65:AJ65"/>
    <mergeCell ref="AE45:AJ45"/>
    <mergeCell ref="AE46:AJ46"/>
    <mergeCell ref="X47:AC47"/>
    <mergeCell ref="X48:AC48"/>
    <mergeCell ref="X49:AC49"/>
    <mergeCell ref="AE50:AJ50"/>
    <mergeCell ref="X38:AC38"/>
    <mergeCell ref="R39:W39"/>
    <mergeCell ref="X39:AC39"/>
    <mergeCell ref="R40:W40"/>
    <mergeCell ref="X40:AC40"/>
    <mergeCell ref="R41:W41"/>
    <mergeCell ref="X41:AC41"/>
    <mergeCell ref="R35:W35"/>
    <mergeCell ref="X35:AC35"/>
    <mergeCell ref="R36:W36"/>
    <mergeCell ref="X36:AC36"/>
    <mergeCell ref="R37:W37"/>
    <mergeCell ref="X37:AC37"/>
    <mergeCell ref="R34:W34"/>
    <mergeCell ref="X34:AC34"/>
    <mergeCell ref="R28:W28"/>
    <mergeCell ref="X28:AC28"/>
    <mergeCell ref="R29:W29"/>
    <mergeCell ref="X29:AC29"/>
    <mergeCell ref="R30:W30"/>
    <mergeCell ref="X30:AC30"/>
    <mergeCell ref="B56:C56"/>
    <mergeCell ref="AE55:AJ55"/>
    <mergeCell ref="B71:L71"/>
    <mergeCell ref="B74:E76"/>
    <mergeCell ref="AE14:AJ14"/>
    <mergeCell ref="AE15:AI15"/>
    <mergeCell ref="X19:AC19"/>
    <mergeCell ref="AB18:AC18"/>
    <mergeCell ref="X20:AC20"/>
    <mergeCell ref="B69:L69"/>
    <mergeCell ref="AE64:AJ64"/>
    <mergeCell ref="AE57:AJ57"/>
    <mergeCell ref="AE58:AJ58"/>
    <mergeCell ref="AE60:AJ60"/>
    <mergeCell ref="AE59:AJ59"/>
    <mergeCell ref="AE53:AJ53"/>
    <mergeCell ref="B3:C3"/>
    <mergeCell ref="I3:AB3"/>
    <mergeCell ref="AC3:AJ4"/>
    <mergeCell ref="X17:AC17"/>
    <mergeCell ref="AE32:AJ32"/>
    <mergeCell ref="I6:AB6"/>
    <mergeCell ref="AD6:AG6"/>
    <mergeCell ref="B8:X9"/>
    <mergeCell ref="Y8:AJ9"/>
    <mergeCell ref="B11:C11"/>
    <mergeCell ref="AE13:AJ13"/>
    <mergeCell ref="B23:C23"/>
    <mergeCell ref="AE25:AJ25"/>
    <mergeCell ref="X26:AC26"/>
    <mergeCell ref="R26:W26"/>
    <mergeCell ref="R27:W27"/>
    <mergeCell ref="I5:AB5"/>
    <mergeCell ref="AD5:AG5"/>
    <mergeCell ref="AH5:AI6"/>
    <mergeCell ref="AE61:AI61"/>
    <mergeCell ref="D2:G3"/>
    <mergeCell ref="AC2:AJ2"/>
    <mergeCell ref="X42:AC42"/>
    <mergeCell ref="X43:AC43"/>
    <mergeCell ref="AE44:AJ44"/>
    <mergeCell ref="R38:W38"/>
    <mergeCell ref="AE51:AJ51"/>
    <mergeCell ref="AE52:AJ52"/>
    <mergeCell ref="X27:AC27"/>
    <mergeCell ref="X31:AC31"/>
    <mergeCell ref="AE22:AI22"/>
    <mergeCell ref="AE33:AJ33"/>
  </mergeCells>
  <conditionalFormatting sqref="B8:K8">
    <cfRule type="expression" dxfId="614" priority="198">
      <formula>IF(NoColor,1,0)</formula>
    </cfRule>
  </conditionalFormatting>
  <conditionalFormatting sqref="Q18:R19">
    <cfRule type="expression" dxfId="613" priority="189">
      <formula>IF(NoColor,1,0)</formula>
    </cfRule>
  </conditionalFormatting>
  <conditionalFormatting sqref="R26:R30">
    <cfRule type="expression" dxfId="612" priority="65">
      <formula>IF(NoColor,1,0)</formula>
    </cfRule>
  </conditionalFormatting>
  <conditionalFormatting sqref="R27:W30">
    <cfRule type="expression" dxfId="611" priority="61">
      <formula>IF(NoColor,1,0)</formula>
    </cfRule>
  </conditionalFormatting>
  <conditionalFormatting sqref="R34:W41">
    <cfRule type="expression" dxfId="610" priority="50">
      <formula>IF(NoColor,1,0)</formula>
    </cfRule>
  </conditionalFormatting>
  <conditionalFormatting sqref="R26:AC26">
    <cfRule type="expression" dxfId="609" priority="66">
      <formula>IF(NoColor,1,0)</formula>
    </cfRule>
  </conditionalFormatting>
  <conditionalFormatting sqref="X17:X20">
    <cfRule type="expression" dxfId="608" priority="30">
      <formula>IF(NoColor,1,0)</formula>
    </cfRule>
  </conditionalFormatting>
  <conditionalFormatting sqref="X26:X31">
    <cfRule type="expression" dxfId="607" priority="28">
      <formula>IF(NoColor,1,0)</formula>
    </cfRule>
  </conditionalFormatting>
  <conditionalFormatting sqref="X18:AB18">
    <cfRule type="expression" dxfId="606" priority="97">
      <formula>IF(NoColor,1,0)</formula>
    </cfRule>
  </conditionalFormatting>
  <conditionalFormatting sqref="X17:AC17">
    <cfRule type="expression" dxfId="605" priority="31">
      <formula>IF(NoColor,1,0)</formula>
    </cfRule>
  </conditionalFormatting>
  <conditionalFormatting sqref="X19:AC20">
    <cfRule type="expression" dxfId="604" priority="29">
      <formula>IF(NoColor,1,0)</formula>
    </cfRule>
  </conditionalFormatting>
  <conditionalFormatting sqref="X27:AC31">
    <cfRule type="expression" dxfId="603" priority="27">
      <formula>IF(NoColor,1,0)</formula>
    </cfRule>
  </conditionalFormatting>
  <conditionalFormatting sqref="X34:AC43">
    <cfRule type="expression" dxfId="602" priority="3">
      <formula>IF(NoColor,1,0)</formula>
    </cfRule>
  </conditionalFormatting>
  <conditionalFormatting sqref="X47:AC49">
    <cfRule type="expression" dxfId="601" priority="43">
      <formula>IF(NoColor,1,0)</formula>
    </cfRule>
  </conditionalFormatting>
  <conditionalFormatting sqref="Y8">
    <cfRule type="expression" dxfId="600" priority="129">
      <formula>IF(NoColor,1,0)</formula>
    </cfRule>
  </conditionalFormatting>
  <conditionalFormatting sqref="AE13:AE15">
    <cfRule type="expression" dxfId="599" priority="75">
      <formula>IF(NoColor,1,0)</formula>
    </cfRule>
  </conditionalFormatting>
  <conditionalFormatting sqref="AE22">
    <cfRule type="expression" dxfId="598" priority="58">
      <formula>IF(NoColor,1,0)</formula>
    </cfRule>
  </conditionalFormatting>
  <conditionalFormatting sqref="AE55">
    <cfRule type="expression" dxfId="597" priority="39">
      <formula>IF(NoColor,1,0)</formula>
    </cfRule>
  </conditionalFormatting>
  <conditionalFormatting sqref="AE57:AE62">
    <cfRule type="expression" dxfId="596" priority="8">
      <formula>IF(NoColor,1,0)</formula>
    </cfRule>
  </conditionalFormatting>
  <conditionalFormatting sqref="AE13:AJ14">
    <cfRule type="expression" dxfId="595" priority="33">
      <formula>IF(NoColor,1,0)</formula>
    </cfRule>
  </conditionalFormatting>
  <conditionalFormatting sqref="AE25:AJ25">
    <cfRule type="expression" dxfId="594" priority="68">
      <formula>IF(NoColor,1,0)</formula>
    </cfRule>
  </conditionalFormatting>
  <conditionalFormatting sqref="AE32:AJ33">
    <cfRule type="expression" dxfId="593" priority="185">
      <formula>IF(NoColor,1,0)</formula>
    </cfRule>
  </conditionalFormatting>
  <conditionalFormatting sqref="AE44:AJ46">
    <cfRule type="expression" dxfId="592" priority="10">
      <formula>IF(NoColor,1,0)</formula>
    </cfRule>
  </conditionalFormatting>
  <conditionalFormatting sqref="AE50:AJ53">
    <cfRule type="expression" dxfId="591" priority="41">
      <formula>IF(NoColor,1,0)</formula>
    </cfRule>
  </conditionalFormatting>
  <conditionalFormatting sqref="AE57:AJ60 AE62:AJ62">
    <cfRule type="expression" dxfId="590" priority="36">
      <formula>IF(NoColor,1,0)</formula>
    </cfRule>
  </conditionalFormatting>
  <conditionalFormatting sqref="AE64:AJ65">
    <cfRule type="expression" dxfId="589" priority="34">
      <formula>IF(NoColor,1,0)</formula>
    </cfRule>
  </conditionalFormatting>
  <conditionalFormatting sqref="AJ15">
    <cfRule type="expression" dxfId="588" priority="74">
      <formula>IF(NoColor,1,0)</formula>
    </cfRule>
  </conditionalFormatting>
  <conditionalFormatting sqref="AJ22">
    <cfRule type="expression" dxfId="587" priority="57">
      <formula>IF(NoColor,1,0)</formula>
    </cfRule>
  </conditionalFormatting>
  <conditionalFormatting sqref="AJ61">
    <cfRule type="expression" dxfId="586" priority="7">
      <formula>IF(NoColor,1,0)</formula>
    </cfRule>
  </conditionalFormatting>
  <conditionalFormatting sqref="AL24:AM25">
    <cfRule type="expression" dxfId="585" priority="6">
      <formula>NoColor</formula>
    </cfRule>
  </conditionalFormatting>
  <conditionalFormatting sqref="AM26">
    <cfRule type="expression" dxfId="584" priority="5">
      <formula>NoColor</formula>
    </cfRule>
  </conditionalFormatting>
  <conditionalFormatting sqref="AP27">
    <cfRule type="expression" dxfId="583" priority="2">
      <formula>AT45</formula>
    </cfRule>
  </conditionalFormatting>
  <conditionalFormatting sqref="AP28">
    <cfRule type="expression" dxfId="582" priority="1">
      <formula>AT45</formula>
    </cfRule>
  </conditionalFormatting>
  <hyperlinks>
    <hyperlink ref="C74:D76" location="'Table of Contents'!A1" display="Table of Contents" xr:uid="{00000000-0004-0000-2C00-000000000000}"/>
    <hyperlink ref="B69:H69" r:id="rId1" display="Download Form 1040 Schedule R" xr:uid="{00000000-0004-0000-2C00-000001000000}"/>
    <hyperlink ref="B71:H71" r:id="rId2" display="Download Form 1040 Schedule R Instructions" xr:uid="{00000000-0004-0000-2C00-000002000000}"/>
    <hyperlink ref="B69:I69" r:id="rId3" display="Download Form 1040 Form 8962" xr:uid="{00000000-0004-0000-2C00-000003000000}"/>
    <hyperlink ref="B71:L71" r:id="rId4" display="Download Form 8829 Instructions" xr:uid="{00000000-0004-0000-2C00-000004000000}"/>
    <hyperlink ref="B69:L69" r:id="rId5" display="Download Form 8829" xr:uid="{00000000-0004-0000-2C00-000005000000}"/>
  </hyperlinks>
  <pageMargins left="0.7" right="0.2" top="0.25" bottom="0.25" header="0" footer="0"/>
  <pageSetup scale="67" fitToHeight="0" orientation="portrait" r:id="rId6"/>
  <drawing r:id="rId7"/>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BB293"/>
  <sheetViews>
    <sheetView zoomScaleNormal="100" zoomScaleSheetLayoutView="100" workbookViewId="0"/>
  </sheetViews>
  <sheetFormatPr defaultColWidth="9.140625" defaultRowHeight="12.75"/>
  <cols>
    <col min="1" max="1" width="2.7109375" style="42" customWidth="1"/>
    <col min="2" max="2" width="4.7109375" style="42" customWidth="1"/>
    <col min="3" max="3" width="4" style="42" customWidth="1"/>
    <col min="4" max="10" width="3.7109375" style="42" customWidth="1"/>
    <col min="11" max="11" width="4.42578125" style="42" customWidth="1"/>
    <col min="12" max="16" width="3.7109375" style="42" customWidth="1"/>
    <col min="17" max="17" width="4.28515625" style="42" customWidth="1"/>
    <col min="18" max="19" width="3.7109375" style="42" customWidth="1"/>
    <col min="20" max="20" width="4.42578125" style="42" customWidth="1"/>
    <col min="21" max="23" width="3.7109375" style="42" customWidth="1"/>
    <col min="24" max="24" width="4.42578125" style="42" customWidth="1"/>
    <col min="25" max="32" width="3.7109375" style="42" customWidth="1"/>
    <col min="33" max="33" width="4.42578125" style="42" customWidth="1"/>
    <col min="34" max="36" width="3.7109375" style="42" customWidth="1"/>
    <col min="37" max="37" width="2" style="42" customWidth="1"/>
    <col min="38" max="38" width="3.28515625" style="42" customWidth="1"/>
    <col min="39" max="39" width="2" style="42" customWidth="1"/>
    <col min="40" max="40" width="2.85546875" style="42" customWidth="1"/>
    <col min="41" max="41" width="14.42578125" style="42" customWidth="1"/>
    <col min="42" max="42" width="3.28515625" style="42" customWidth="1"/>
    <col min="43" max="51" width="10.7109375" style="2595" customWidth="1"/>
    <col min="52" max="52" width="4.140625" style="2595" customWidth="1"/>
    <col min="53" max="16384" width="9.140625" style="42"/>
  </cols>
  <sheetData>
    <row r="1" spans="1:54" s="3402" customFormat="1" ht="12" customHeight="1">
      <c r="A1" s="681"/>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27"/>
      <c r="AM1" s="1127"/>
      <c r="AN1" s="1179"/>
      <c r="AO1" s="1179"/>
      <c r="AP1" s="1179"/>
      <c r="AQ1" s="2595"/>
      <c r="AR1" s="2595"/>
      <c r="AS1" s="2595"/>
      <c r="AT1" s="2595"/>
      <c r="AU1" s="2595"/>
      <c r="AV1" s="2595"/>
      <c r="AW1" s="2595"/>
      <c r="AX1" s="2595"/>
      <c r="AY1" s="2595"/>
      <c r="AZ1" s="2595"/>
      <c r="BA1" s="42"/>
      <c r="BB1" s="42"/>
    </row>
    <row r="2" spans="1:54" s="3402" customFormat="1" ht="24" customHeight="1">
      <c r="A2" s="1127"/>
      <c r="B2" s="1179"/>
      <c r="C2" s="1179"/>
      <c r="D2" s="8623" t="s">
        <v>3680</v>
      </c>
      <c r="E2" s="8624"/>
      <c r="F2" s="8624"/>
      <c r="G2" s="8624"/>
      <c r="H2" s="1244"/>
      <c r="I2" s="8890" t="s">
        <v>3683</v>
      </c>
      <c r="J2" s="6371"/>
      <c r="K2" s="6371"/>
      <c r="L2" s="6371"/>
      <c r="M2" s="6371"/>
      <c r="N2" s="6371"/>
      <c r="O2" s="6371"/>
      <c r="P2" s="6371"/>
      <c r="Q2" s="6371"/>
      <c r="R2" s="6371"/>
      <c r="S2" s="6371"/>
      <c r="T2" s="6371"/>
      <c r="U2" s="6371"/>
      <c r="V2" s="6371"/>
      <c r="W2" s="6371"/>
      <c r="X2" s="6371"/>
      <c r="Y2" s="6371"/>
      <c r="Z2" s="6371"/>
      <c r="AA2" s="6371"/>
      <c r="AB2" s="6793"/>
      <c r="AC2" s="9436" t="s">
        <v>152</v>
      </c>
      <c r="AD2" s="8628"/>
      <c r="AE2" s="8628"/>
      <c r="AF2" s="8628"/>
      <c r="AG2" s="8628"/>
      <c r="AH2" s="8628"/>
      <c r="AI2" s="8628"/>
      <c r="AJ2" s="8628"/>
      <c r="AK2" s="1127"/>
      <c r="AL2" s="1127"/>
      <c r="AM2" s="1127"/>
      <c r="AN2" s="1179"/>
      <c r="AO2" s="1179"/>
      <c r="AP2" s="1179"/>
      <c r="AQ2" s="2595"/>
      <c r="AR2" s="2595"/>
      <c r="AS2" s="2595"/>
      <c r="AT2" s="2595"/>
      <c r="AU2" s="2595"/>
      <c r="AV2" s="2595"/>
      <c r="AW2" s="2595"/>
      <c r="AX2" s="2595"/>
      <c r="AY2" s="2595"/>
      <c r="AZ2" s="2595"/>
      <c r="BA2" s="42"/>
      <c r="BB2" s="42"/>
    </row>
    <row r="3" spans="1:54" s="3402" customFormat="1" ht="24" customHeight="1">
      <c r="A3" s="1127"/>
      <c r="B3" s="8629" t="s">
        <v>291</v>
      </c>
      <c r="C3" s="6406"/>
      <c r="D3" s="8624"/>
      <c r="E3" s="8624"/>
      <c r="F3" s="8624"/>
      <c r="G3" s="8624"/>
      <c r="H3" s="1244"/>
      <c r="I3" s="9505"/>
      <c r="J3" s="6371"/>
      <c r="K3" s="6371"/>
      <c r="L3" s="6371"/>
      <c r="M3" s="6371"/>
      <c r="N3" s="6371"/>
      <c r="O3" s="6371"/>
      <c r="P3" s="6371"/>
      <c r="Q3" s="6371"/>
      <c r="R3" s="6371"/>
      <c r="S3" s="6371"/>
      <c r="T3" s="6371"/>
      <c r="U3" s="6371"/>
      <c r="V3" s="6371"/>
      <c r="W3" s="6371"/>
      <c r="X3" s="6371"/>
      <c r="Y3" s="6371"/>
      <c r="Z3" s="6371"/>
      <c r="AA3" s="6371"/>
      <c r="AB3" s="6793"/>
      <c r="AC3" s="8630">
        <f>TaxYear</f>
        <v>2021</v>
      </c>
      <c r="AD3" s="8631"/>
      <c r="AE3" s="8631"/>
      <c r="AF3" s="8631"/>
      <c r="AG3" s="8631"/>
      <c r="AH3" s="8631"/>
      <c r="AI3" s="8631"/>
      <c r="AJ3" s="8631"/>
      <c r="AK3" s="1127"/>
      <c r="AL3" s="1127"/>
      <c r="AM3" s="1127"/>
      <c r="AN3" s="1179"/>
      <c r="AO3" s="1179"/>
      <c r="AP3" s="1179"/>
      <c r="AQ3" s="2595"/>
      <c r="AR3" s="2595"/>
      <c r="AS3" s="2595"/>
      <c r="AT3" s="2595"/>
      <c r="AU3" s="2595"/>
      <c r="AV3" s="2595"/>
      <c r="AW3" s="2595"/>
      <c r="AX3" s="2595"/>
      <c r="AY3" s="2595"/>
      <c r="AZ3" s="2595"/>
      <c r="BA3" s="42"/>
      <c r="BB3" s="42"/>
    </row>
    <row r="4" spans="1:54" s="3402" customFormat="1" ht="6.75" customHeight="1">
      <c r="A4" s="1127"/>
      <c r="B4" s="1179"/>
      <c r="C4" s="1179"/>
      <c r="D4" s="1179"/>
      <c r="E4" s="1179"/>
      <c r="F4" s="1179"/>
      <c r="G4" s="1179"/>
      <c r="H4" s="1244"/>
      <c r="I4" s="1547"/>
      <c r="J4" s="1548"/>
      <c r="K4" s="1548"/>
      <c r="L4" s="1548"/>
      <c r="M4" s="1548"/>
      <c r="N4" s="1548"/>
      <c r="O4" s="1548"/>
      <c r="P4" s="1548"/>
      <c r="Q4" s="1548"/>
      <c r="R4" s="1548"/>
      <c r="S4" s="1548"/>
      <c r="T4" s="1548"/>
      <c r="U4" s="1548"/>
      <c r="V4" s="1548"/>
      <c r="W4" s="1548"/>
      <c r="X4" s="1548"/>
      <c r="Y4" s="1548"/>
      <c r="Z4" s="1548"/>
      <c r="AA4" s="1548"/>
      <c r="AB4" s="1549"/>
      <c r="AC4" s="8632"/>
      <c r="AD4" s="8633"/>
      <c r="AE4" s="8633"/>
      <c r="AF4" s="8633"/>
      <c r="AG4" s="8633"/>
      <c r="AH4" s="8633"/>
      <c r="AI4" s="8633"/>
      <c r="AJ4" s="8633"/>
      <c r="AK4" s="1127"/>
      <c r="AL4" s="1127"/>
      <c r="AM4" s="1127"/>
      <c r="AN4" s="1179"/>
      <c r="AO4" s="1179"/>
      <c r="AP4" s="1179"/>
      <c r="AQ4" s="2595"/>
      <c r="AR4" s="2595"/>
      <c r="AS4" s="2595"/>
      <c r="AT4" s="2595"/>
      <c r="AU4" s="2595"/>
      <c r="AV4" s="2595"/>
      <c r="AW4" s="2595"/>
      <c r="AX4" s="2595"/>
      <c r="AY4" s="2595"/>
      <c r="AZ4" s="2595"/>
      <c r="BA4" s="42"/>
      <c r="BB4" s="42"/>
    </row>
    <row r="5" spans="1:54" s="3402" customFormat="1" ht="12.75" customHeight="1">
      <c r="A5" s="1127"/>
      <c r="B5" s="1179" t="s">
        <v>176</v>
      </c>
      <c r="C5" s="1179"/>
      <c r="D5" s="1179"/>
      <c r="E5" s="1179"/>
      <c r="F5" s="1179"/>
      <c r="G5" s="1179"/>
      <c r="H5" s="1244"/>
      <c r="I5" s="9431" t="s">
        <v>3345</v>
      </c>
      <c r="J5" s="9432"/>
      <c r="K5" s="9432"/>
      <c r="L5" s="9432"/>
      <c r="M5" s="9432"/>
      <c r="N5" s="9432"/>
      <c r="O5" s="9432"/>
      <c r="P5" s="9432"/>
      <c r="Q5" s="9432"/>
      <c r="R5" s="9432"/>
      <c r="S5" s="9432"/>
      <c r="T5" s="9432"/>
      <c r="U5" s="9432"/>
      <c r="V5" s="9432"/>
      <c r="W5" s="9432"/>
      <c r="X5" s="9432"/>
      <c r="Y5" s="9432"/>
      <c r="Z5" s="9432"/>
      <c r="AA5" s="9432"/>
      <c r="AB5" s="9433"/>
      <c r="AC5" s="1278"/>
      <c r="AD5" s="8894" t="s">
        <v>781</v>
      </c>
      <c r="AE5" s="6665"/>
      <c r="AF5" s="6665"/>
      <c r="AG5" s="6665"/>
      <c r="AH5" s="7744">
        <v>50</v>
      </c>
      <c r="AI5" s="7744"/>
      <c r="AJ5" s="1179"/>
      <c r="AK5" s="1127"/>
      <c r="AL5" s="1127"/>
      <c r="AM5" s="1127"/>
      <c r="AN5" s="1179"/>
      <c r="AO5" s="1179"/>
      <c r="AP5" s="1179"/>
      <c r="AQ5" s="2595"/>
      <c r="AR5" s="2595"/>
      <c r="AS5" s="2595"/>
      <c r="AT5" s="2595"/>
      <c r="AU5" s="2595"/>
      <c r="AV5" s="2595"/>
      <c r="AW5" s="2595"/>
      <c r="AX5" s="2595"/>
      <c r="AY5" s="2595"/>
      <c r="AZ5" s="2595"/>
      <c r="BA5" s="42"/>
      <c r="BB5" s="42"/>
    </row>
    <row r="6" spans="1:54" s="3402" customFormat="1" ht="13.5" customHeight="1" thickBot="1">
      <c r="A6" s="1127"/>
      <c r="B6" s="1704" t="s">
        <v>4239</v>
      </c>
      <c r="C6" s="1280"/>
      <c r="D6" s="1280"/>
      <c r="E6" s="1280"/>
      <c r="F6" s="1280"/>
      <c r="G6" s="1280"/>
      <c r="H6" s="1281"/>
      <c r="I6" s="9448" t="s">
        <v>3681</v>
      </c>
      <c r="J6" s="9449"/>
      <c r="K6" s="9449"/>
      <c r="L6" s="9449"/>
      <c r="M6" s="9449"/>
      <c r="N6" s="9449"/>
      <c r="O6" s="9449"/>
      <c r="P6" s="9449"/>
      <c r="Q6" s="9449"/>
      <c r="R6" s="9449"/>
      <c r="S6" s="9449"/>
      <c r="T6" s="9449"/>
      <c r="U6" s="9449"/>
      <c r="V6" s="9449"/>
      <c r="W6" s="9449"/>
      <c r="X6" s="9449"/>
      <c r="Y6" s="9449"/>
      <c r="Z6" s="9449"/>
      <c r="AA6" s="9449"/>
      <c r="AB6" s="9450"/>
      <c r="AC6" s="1550"/>
      <c r="AD6" s="8876" t="s">
        <v>1128</v>
      </c>
      <c r="AE6" s="8877"/>
      <c r="AF6" s="8877"/>
      <c r="AG6" s="8877"/>
      <c r="AH6" s="8895"/>
      <c r="AI6" s="8895"/>
      <c r="AJ6" s="1280"/>
      <c r="AK6" s="1127"/>
      <c r="AL6" s="1127"/>
      <c r="AM6" s="1127"/>
      <c r="AN6" s="1179"/>
      <c r="AO6" s="1179"/>
      <c r="AP6" s="1179"/>
      <c r="AQ6" s="2595"/>
      <c r="AR6" s="2595"/>
      <c r="AS6" s="2595"/>
      <c r="AT6" s="2595"/>
      <c r="AU6" s="2595"/>
      <c r="AV6" s="2595"/>
      <c r="AW6" s="2595"/>
      <c r="AX6" s="2595"/>
      <c r="AY6" s="2595"/>
      <c r="AZ6" s="2595"/>
      <c r="BA6" s="42"/>
      <c r="BB6" s="42"/>
    </row>
    <row r="7" spans="1:54" s="3402" customFormat="1">
      <c r="A7" s="1127"/>
      <c r="B7" s="1551" t="s">
        <v>55</v>
      </c>
      <c r="C7" s="1551"/>
      <c r="D7" s="1551"/>
      <c r="E7" s="1551"/>
      <c r="F7" s="1551"/>
      <c r="G7" s="1551"/>
      <c r="H7" s="1551"/>
      <c r="I7" s="1551"/>
      <c r="J7" s="1551"/>
      <c r="K7" s="1551"/>
      <c r="L7" s="1551"/>
      <c r="M7" s="1551"/>
      <c r="N7" s="1551"/>
      <c r="O7" s="1551"/>
      <c r="P7" s="1551"/>
      <c r="Q7" s="1551"/>
      <c r="R7" s="1551"/>
      <c r="S7" s="1551"/>
      <c r="T7" s="1551"/>
      <c r="U7" s="1551"/>
      <c r="V7" s="1551"/>
      <c r="W7" s="1551"/>
      <c r="X7" s="1551"/>
      <c r="Y7" s="1552" t="s">
        <v>89</v>
      </c>
      <c r="Z7" s="1274"/>
      <c r="AA7" s="1274"/>
      <c r="AB7" s="1274"/>
      <c r="AC7" s="1582"/>
      <c r="AD7" s="1702"/>
      <c r="AE7" s="1702"/>
      <c r="AF7" s="1702"/>
      <c r="AG7" s="1702"/>
      <c r="AH7" s="1702"/>
      <c r="AI7" s="1702"/>
      <c r="AJ7" s="1702"/>
      <c r="AK7" s="1127"/>
      <c r="AL7" s="1127"/>
      <c r="AM7" s="1127"/>
      <c r="AN7" s="1179"/>
      <c r="AO7" s="1179"/>
      <c r="AP7" s="1179"/>
      <c r="AQ7" s="2595"/>
      <c r="AR7" s="2595"/>
      <c r="AS7" s="2595"/>
      <c r="AT7" s="2595"/>
      <c r="AU7" s="2595"/>
      <c r="AV7" s="2595"/>
      <c r="AW7" s="2595"/>
      <c r="AX7" s="2595"/>
      <c r="AY7" s="2595"/>
      <c r="AZ7" s="2595"/>
      <c r="BA7" s="42"/>
      <c r="BB7" s="42"/>
    </row>
    <row r="8" spans="1:54" s="3402" customFormat="1" ht="13.5" customHeight="1">
      <c r="A8" s="1127"/>
      <c r="B8" s="9492" t="str">
        <f>IF(Names="","",Names)</f>
        <v/>
      </c>
      <c r="C8" s="9493"/>
      <c r="D8" s="9493"/>
      <c r="E8" s="9493"/>
      <c r="F8" s="9493"/>
      <c r="G8" s="9493"/>
      <c r="H8" s="9493"/>
      <c r="I8" s="9493"/>
      <c r="J8" s="9493"/>
      <c r="K8" s="9493"/>
      <c r="L8" s="9494"/>
      <c r="M8" s="9494"/>
      <c r="N8" s="9494"/>
      <c r="O8" s="9494"/>
      <c r="P8" s="9494"/>
      <c r="Q8" s="9494"/>
      <c r="R8" s="9494"/>
      <c r="S8" s="9494"/>
      <c r="T8" s="9495"/>
      <c r="U8" s="9495"/>
      <c r="V8" s="9495"/>
      <c r="W8" s="9495"/>
      <c r="X8" s="9496"/>
      <c r="Y8" s="9500">
        <f>IF(OR(NoSSN,SS_Yours=""),"",SS_Yours)</f>
        <v>1010001</v>
      </c>
      <c r="Z8" s="9501"/>
      <c r="AA8" s="9501"/>
      <c r="AB8" s="9501"/>
      <c r="AC8" s="9501"/>
      <c r="AD8" s="9501"/>
      <c r="AE8" s="9501"/>
      <c r="AF8" s="9501"/>
      <c r="AG8" s="9501"/>
      <c r="AH8" s="9501"/>
      <c r="AI8" s="9501"/>
      <c r="AJ8" s="9501"/>
      <c r="AK8" s="1127"/>
      <c r="AL8" s="1127"/>
      <c r="AM8" s="1127"/>
      <c r="AN8" s="1179"/>
      <c r="AO8" s="7717" t="s">
        <v>3738</v>
      </c>
      <c r="AP8" s="2051"/>
      <c r="AQ8" s="2595"/>
      <c r="AR8" s="2595"/>
      <c r="AS8" s="2595"/>
      <c r="AT8" s="2595"/>
      <c r="AU8" s="2595"/>
      <c r="AV8" s="2595"/>
      <c r="AW8" s="2595"/>
      <c r="AX8" s="2595"/>
      <c r="AY8" s="2595"/>
      <c r="AZ8" s="2595"/>
      <c r="BA8" s="42"/>
      <c r="BB8" s="42"/>
    </row>
    <row r="9" spans="1:54" s="3402" customFormat="1" ht="5.25" customHeight="1">
      <c r="A9" s="1127"/>
      <c r="B9" s="9497"/>
      <c r="C9" s="9497"/>
      <c r="D9" s="9497"/>
      <c r="E9" s="9497"/>
      <c r="F9" s="9497"/>
      <c r="G9" s="9497"/>
      <c r="H9" s="9497"/>
      <c r="I9" s="9497"/>
      <c r="J9" s="9497"/>
      <c r="K9" s="9497"/>
      <c r="L9" s="9497"/>
      <c r="M9" s="9497"/>
      <c r="N9" s="9497"/>
      <c r="O9" s="9497"/>
      <c r="P9" s="9497"/>
      <c r="Q9" s="9497"/>
      <c r="R9" s="9497"/>
      <c r="S9" s="9497"/>
      <c r="T9" s="9498"/>
      <c r="U9" s="9498"/>
      <c r="V9" s="9498"/>
      <c r="W9" s="9498"/>
      <c r="X9" s="9499"/>
      <c r="Y9" s="9502"/>
      <c r="Z9" s="9503"/>
      <c r="AA9" s="9503"/>
      <c r="AB9" s="9503"/>
      <c r="AC9" s="9503"/>
      <c r="AD9" s="9503"/>
      <c r="AE9" s="9503"/>
      <c r="AF9" s="9503"/>
      <c r="AG9" s="9503"/>
      <c r="AH9" s="9503"/>
      <c r="AI9" s="9503"/>
      <c r="AJ9" s="9503"/>
      <c r="AK9" s="1127"/>
      <c r="AL9" s="1127"/>
      <c r="AM9" s="1127"/>
      <c r="AN9" s="9504" t="s">
        <v>3744</v>
      </c>
      <c r="AO9" s="7717"/>
      <c r="AP9" s="1179"/>
      <c r="AQ9" s="2595"/>
      <c r="AR9" s="2595"/>
      <c r="AS9" s="2595"/>
      <c r="AT9" s="2595"/>
      <c r="AU9" s="2595"/>
      <c r="AV9" s="2595"/>
      <c r="AW9" s="2595"/>
      <c r="AX9" s="2595"/>
      <c r="AY9" s="2595"/>
      <c r="AZ9" s="2595"/>
      <c r="BA9" s="42"/>
      <c r="BB9" s="42"/>
    </row>
    <row r="10" spans="1:54" s="4381" customFormat="1" ht="25.5" customHeight="1">
      <c r="A10" s="4353"/>
      <c r="B10" s="4400"/>
      <c r="C10" s="4400"/>
      <c r="D10" s="4401" t="s">
        <v>3773</v>
      </c>
      <c r="E10" s="4400"/>
      <c r="F10" s="4400"/>
      <c r="G10" s="4400"/>
      <c r="H10" s="4400"/>
      <c r="I10" s="4400"/>
      <c r="J10" s="4400"/>
      <c r="K10" s="4400"/>
      <c r="L10" s="4400"/>
      <c r="M10" s="4400"/>
      <c r="N10" s="4400"/>
      <c r="O10" s="4400"/>
      <c r="P10" s="4400"/>
      <c r="Q10" s="4400"/>
      <c r="R10" s="4400"/>
      <c r="S10" s="4400"/>
      <c r="T10" s="4400"/>
      <c r="U10" s="4400"/>
      <c r="V10" s="4400"/>
      <c r="W10" s="4400"/>
      <c r="X10" s="4400"/>
      <c r="Y10" s="4400"/>
      <c r="Z10" s="4400"/>
      <c r="AA10" s="4400"/>
      <c r="AB10" s="4400"/>
      <c r="AC10" s="4400"/>
      <c r="AD10" s="4400"/>
      <c r="AE10" s="4400"/>
      <c r="AF10" s="4400"/>
      <c r="AG10" s="4400"/>
      <c r="AH10" s="4400"/>
      <c r="AI10" s="2051"/>
      <c r="AJ10" s="2051"/>
      <c r="AK10" s="4353"/>
      <c r="AL10" s="4353"/>
      <c r="AM10" s="4353"/>
      <c r="AN10" s="6636"/>
      <c r="AO10" s="7717"/>
      <c r="AP10" s="1179"/>
      <c r="AQ10" s="4380"/>
      <c r="AR10" s="4380"/>
      <c r="AS10" s="4380"/>
      <c r="AT10" s="4380"/>
      <c r="AU10" s="4380"/>
      <c r="AV10" s="4380"/>
      <c r="AW10" s="4380"/>
      <c r="AX10" s="4380"/>
      <c r="AY10" s="4380"/>
      <c r="AZ10" s="4380"/>
      <c r="BA10" s="4355"/>
      <c r="BB10" s="4355"/>
    </row>
    <row r="11" spans="1:54" s="4381" customFormat="1" ht="25.5" customHeight="1">
      <c r="A11" s="4353"/>
      <c r="B11" s="4400"/>
      <c r="C11" s="4400"/>
      <c r="D11" s="4402" t="s">
        <v>3774</v>
      </c>
      <c r="E11" s="4400"/>
      <c r="F11" s="4400"/>
      <c r="G11" s="4400"/>
      <c r="H11" s="4400"/>
      <c r="I11" s="4400"/>
      <c r="J11" s="4400"/>
      <c r="K11" s="4400"/>
      <c r="L11" s="4400"/>
      <c r="M11" s="4400"/>
      <c r="N11" s="4400"/>
      <c r="O11" s="4400"/>
      <c r="P11" s="4400"/>
      <c r="Q11" s="4400"/>
      <c r="R11" s="4400"/>
      <c r="S11" s="4400"/>
      <c r="T11" s="4400"/>
      <c r="U11" s="4400"/>
      <c r="V11" s="4400"/>
      <c r="W11" s="4400"/>
      <c r="X11" s="4400"/>
      <c r="Y11" s="4400"/>
      <c r="Z11" s="4400"/>
      <c r="AA11" s="4400"/>
      <c r="AB11" s="4400"/>
      <c r="AC11" s="4400"/>
      <c r="AD11" s="4400"/>
      <c r="AE11" s="4400"/>
      <c r="AF11" s="4400"/>
      <c r="AG11" s="4400"/>
      <c r="AH11" s="4400"/>
      <c r="AI11" s="2051"/>
      <c r="AJ11" s="2051"/>
      <c r="AK11" s="4353"/>
      <c r="AL11" s="4353"/>
      <c r="AM11" s="4353"/>
      <c r="AN11" s="6636"/>
      <c r="AO11" s="1824" t="s">
        <v>3746</v>
      </c>
      <c r="AP11" s="1179"/>
      <c r="AQ11" s="4380"/>
      <c r="AR11" s="4380"/>
      <c r="AS11" s="4380"/>
      <c r="AT11" s="4380"/>
      <c r="AU11" s="4380"/>
      <c r="AV11" s="4380"/>
      <c r="AW11" s="4380"/>
      <c r="AX11" s="4380"/>
      <c r="AY11" s="4380"/>
      <c r="AZ11" s="4380"/>
      <c r="BA11" s="4355"/>
      <c r="BB11" s="4355"/>
    </row>
    <row r="12" spans="1:54" s="3402" customFormat="1" ht="18" customHeight="1" thickBot="1">
      <c r="A12" s="1127"/>
      <c r="B12" s="8524" t="s">
        <v>51</v>
      </c>
      <c r="C12" s="8524"/>
      <c r="D12" s="1705" t="s">
        <v>3682</v>
      </c>
      <c r="E12" s="1554"/>
      <c r="F12" s="1554"/>
      <c r="G12" s="1554"/>
      <c r="H12" s="1554"/>
      <c r="I12" s="1554"/>
      <c r="J12" s="1554"/>
      <c r="K12" s="1554"/>
      <c r="L12" s="1554"/>
      <c r="M12" s="1554"/>
      <c r="N12" s="1554"/>
      <c r="O12" s="1554"/>
      <c r="P12" s="1554"/>
      <c r="Q12" s="1554"/>
      <c r="R12" s="1554"/>
      <c r="S12" s="1554"/>
      <c r="T12" s="1554"/>
      <c r="U12" s="1554"/>
      <c r="V12" s="1554"/>
      <c r="W12" s="1554"/>
      <c r="X12" s="1554"/>
      <c r="Y12" s="1554"/>
      <c r="Z12" s="1554"/>
      <c r="AA12" s="1554"/>
      <c r="AB12" s="1554"/>
      <c r="AC12" s="1554"/>
      <c r="AD12" s="1554"/>
      <c r="AE12" s="1554"/>
      <c r="AF12" s="1554"/>
      <c r="AG12" s="1554"/>
      <c r="AH12" s="9233" t="b">
        <f>AND(OR(AO17="",AO17=0),OR(AO46="",AO46=0))</f>
        <v>1</v>
      </c>
      <c r="AI12" s="9233"/>
      <c r="AJ12" s="9233"/>
      <c r="AK12" s="1127"/>
      <c r="AL12" s="1127"/>
      <c r="AM12" s="1127"/>
      <c r="AN12" s="6636"/>
      <c r="AO12" s="4378" t="s">
        <v>3775</v>
      </c>
      <c r="AP12" s="1179"/>
      <c r="AQ12" s="2595"/>
      <c r="AR12" s="4380"/>
      <c r="AS12" s="2595"/>
      <c r="AT12" s="2595"/>
      <c r="AU12" s="2595"/>
      <c r="AV12" s="2595"/>
      <c r="AW12" s="2595"/>
      <c r="AX12" s="2595"/>
      <c r="AY12" s="2595"/>
      <c r="AZ12" s="2595"/>
      <c r="BA12" s="42"/>
      <c r="BB12" s="42"/>
    </row>
    <row r="13" spans="1:54" s="3402" customFormat="1">
      <c r="A13" s="1127"/>
      <c r="B13" s="1179"/>
      <c r="C13" s="1548"/>
      <c r="D13" s="1179"/>
      <c r="E13" s="1179"/>
      <c r="F13" s="1179"/>
      <c r="G13" s="1179"/>
      <c r="H13" s="1179"/>
      <c r="I13" s="1179"/>
      <c r="J13" s="1179"/>
      <c r="K13" s="1179"/>
      <c r="L13" s="1179"/>
      <c r="M13" s="1179"/>
      <c r="N13" s="1179"/>
      <c r="O13" s="1179"/>
      <c r="P13" s="1179"/>
      <c r="Q13" s="1179"/>
      <c r="R13" s="1179"/>
      <c r="S13" s="1179"/>
      <c r="T13" s="1179"/>
      <c r="U13" s="1179"/>
      <c r="V13" s="1179"/>
      <c r="W13" s="1179"/>
      <c r="X13" s="1179"/>
      <c r="Y13" s="1179"/>
      <c r="Z13" s="1179"/>
      <c r="AA13" s="1179"/>
      <c r="AB13" s="1179"/>
      <c r="AC13" s="1179"/>
      <c r="AD13" s="1555"/>
      <c r="AE13" s="1179"/>
      <c r="AF13" s="1179"/>
      <c r="AG13" s="1179"/>
      <c r="AH13" s="1179"/>
      <c r="AI13" s="1179"/>
      <c r="AJ13" s="1179"/>
      <c r="AK13" s="1127"/>
      <c r="AL13" s="1127"/>
      <c r="AM13" s="1127"/>
      <c r="AN13" s="1824">
        <v>1</v>
      </c>
      <c r="AO13" s="4385" t="str">
        <f>AOC_1</f>
        <v/>
      </c>
      <c r="AP13" s="1179"/>
      <c r="AQ13" s="2595"/>
      <c r="AR13" s="4380"/>
      <c r="AS13" s="2595"/>
      <c r="AT13" s="2595"/>
      <c r="AU13" s="2595"/>
      <c r="AV13" s="2595"/>
      <c r="AW13" s="2595"/>
      <c r="AX13" s="2595"/>
      <c r="AY13" s="2595"/>
      <c r="AZ13" s="2595"/>
      <c r="BA13" s="42"/>
      <c r="BB13" s="42"/>
    </row>
    <row r="14" spans="1:54" s="3402" customFormat="1" ht="15" customHeight="1">
      <c r="A14" s="1127"/>
      <c r="B14" s="1179"/>
      <c r="C14" s="4357" t="s">
        <v>148</v>
      </c>
      <c r="D14" s="2686" t="s">
        <v>3684</v>
      </c>
      <c r="E14" s="1179"/>
      <c r="F14" s="1179"/>
      <c r="G14" s="1179"/>
      <c r="H14" s="1179"/>
      <c r="I14" s="1179"/>
      <c r="J14" s="1179"/>
      <c r="K14" s="1179"/>
      <c r="L14" s="1179"/>
      <c r="M14" s="1179"/>
      <c r="N14" s="1179"/>
      <c r="O14" s="1179"/>
      <c r="P14" s="1179"/>
      <c r="Q14" s="1179"/>
      <c r="R14" s="1179"/>
      <c r="S14" s="1179"/>
      <c r="T14" s="1179"/>
      <c r="U14" s="1179"/>
      <c r="V14" s="1179"/>
      <c r="W14" s="1179"/>
      <c r="X14" s="1179"/>
      <c r="Y14" s="1179"/>
      <c r="Z14" s="1179"/>
      <c r="AA14" s="1179"/>
      <c r="AB14" s="1179"/>
      <c r="AC14" s="1560" t="s">
        <v>717</v>
      </c>
      <c r="AD14" s="1557">
        <v>1</v>
      </c>
      <c r="AE14" s="9115" t="str">
        <f>IF(AH12,"",AO17)</f>
        <v/>
      </c>
      <c r="AF14" s="9116"/>
      <c r="AG14" s="9116"/>
      <c r="AH14" s="9116"/>
      <c r="AI14" s="9116"/>
      <c r="AJ14" s="9116"/>
      <c r="AK14" s="1127"/>
      <c r="AL14" s="1127"/>
      <c r="AM14" s="1127"/>
      <c r="AN14" s="1824">
        <v>2</v>
      </c>
      <c r="AO14" s="4386" t="str">
        <f>AOC_2</f>
        <v/>
      </c>
      <c r="AP14" s="1179"/>
      <c r="AQ14" s="2595"/>
      <c r="AR14" s="4380"/>
      <c r="AS14" s="2595"/>
      <c r="AT14" s="2595"/>
      <c r="AU14" s="2595"/>
      <c r="AV14" s="2595"/>
      <c r="AW14" s="2595"/>
      <c r="AX14" s="2595"/>
      <c r="AY14" s="2595"/>
      <c r="AZ14" s="2595"/>
      <c r="BA14" s="42"/>
      <c r="BB14" s="42"/>
    </row>
    <row r="15" spans="1:54" s="3402" customFormat="1" ht="23.25" customHeight="1">
      <c r="A15" s="1127"/>
      <c r="B15" s="1179"/>
      <c r="C15" s="4357" t="s">
        <v>149</v>
      </c>
      <c r="D15" s="2686" t="str">
        <f>"Enter: "&amp;TEXT(AE15,"$0,000")&amp;" if married filing jointly; "&amp;TEXT(AE16,"$0,000")&amp;" if single, head of household,"</f>
        <v>Enter: $180,000 if married filing jointly; $90,000 if single, head of household,</v>
      </c>
      <c r="E15" s="1179"/>
      <c r="F15" s="1179"/>
      <c r="G15" s="1179"/>
      <c r="H15" s="1179"/>
      <c r="I15" s="1179"/>
      <c r="J15" s="1179"/>
      <c r="K15" s="1179"/>
      <c r="L15" s="1179"/>
      <c r="M15" s="1179"/>
      <c r="N15" s="1179"/>
      <c r="O15" s="1179"/>
      <c r="P15" s="1179"/>
      <c r="Q15" s="1179"/>
      <c r="R15" s="1179"/>
      <c r="S15" s="1556"/>
      <c r="T15" s="1179"/>
      <c r="U15" s="1179"/>
      <c r="V15" s="1179"/>
      <c r="W15" s="2214"/>
      <c r="X15" s="9506"/>
      <c r="Y15" s="9507"/>
      <c r="Z15" s="9507"/>
      <c r="AA15" s="9507"/>
      <c r="AB15" s="9507"/>
      <c r="AC15" s="9508"/>
      <c r="AD15" s="1561"/>
      <c r="AE15" s="9487">
        <v>180000</v>
      </c>
      <c r="AF15" s="9488"/>
      <c r="AG15" s="9488"/>
      <c r="AH15" s="9488"/>
      <c r="AI15" s="9488"/>
      <c r="AJ15" s="9488"/>
      <c r="AK15" s="1127"/>
      <c r="AL15" s="1127"/>
      <c r="AM15" s="1127"/>
      <c r="AN15" s="1824">
        <v>3</v>
      </c>
      <c r="AO15" s="4386" t="str">
        <f>AOC_3</f>
        <v/>
      </c>
      <c r="AP15" s="1179"/>
      <c r="AQ15" s="2595"/>
      <c r="AR15" s="4380"/>
      <c r="AS15" s="2595"/>
      <c r="AT15" s="2595"/>
      <c r="AU15" s="2595"/>
      <c r="AV15" s="2595"/>
      <c r="AW15" s="2595"/>
      <c r="AX15" s="2595"/>
      <c r="AY15" s="2595"/>
      <c r="AZ15" s="2595"/>
      <c r="BA15" s="42"/>
      <c r="BB15" s="42"/>
    </row>
    <row r="16" spans="1:54" s="3402" customFormat="1" ht="15.75" thickBot="1">
      <c r="A16" s="1127"/>
      <c r="B16" s="1179"/>
      <c r="C16" s="4357"/>
      <c r="D16" s="2686" t="s">
        <v>3685</v>
      </c>
      <c r="E16" s="1179"/>
      <c r="F16" s="1179"/>
      <c r="G16" s="1179"/>
      <c r="H16" s="1179"/>
      <c r="I16" s="1179"/>
      <c r="J16" s="1179"/>
      <c r="K16" s="1560"/>
      <c r="L16" s="1556"/>
      <c r="M16" s="4356"/>
      <c r="N16" s="1560"/>
      <c r="O16" s="1560"/>
      <c r="P16" s="1560"/>
      <c r="Q16" s="1560"/>
      <c r="R16" s="1560"/>
      <c r="S16" s="1179"/>
      <c r="T16" s="1179"/>
      <c r="U16" s="1179"/>
      <c r="V16" s="1560" t="s">
        <v>919</v>
      </c>
      <c r="W16" s="2224" t="s">
        <v>149</v>
      </c>
      <c r="X16" s="9115" t="str">
        <f>IF(AH12,"",IF(NumFileStatusBoxes=0,"Filing status?",IF(File_Marr_Joint&lt;&gt;"",AE15,AE16)))</f>
        <v/>
      </c>
      <c r="Y16" s="9116"/>
      <c r="Z16" s="9116"/>
      <c r="AA16" s="9116"/>
      <c r="AB16" s="9116"/>
      <c r="AC16" s="9136"/>
      <c r="AD16" s="1561"/>
      <c r="AE16" s="9487">
        <v>90000</v>
      </c>
      <c r="AF16" s="9488"/>
      <c r="AG16" s="9488"/>
      <c r="AH16" s="9488"/>
      <c r="AI16" s="9488"/>
      <c r="AJ16" s="9488"/>
      <c r="AK16" s="1127"/>
      <c r="AL16" s="1127"/>
      <c r="AM16" s="1127"/>
      <c r="AN16" s="1824">
        <v>4</v>
      </c>
      <c r="AO16" s="4387" t="str">
        <f>AOC_4</f>
        <v/>
      </c>
      <c r="AP16" s="1179"/>
      <c r="AQ16" s="2595"/>
      <c r="AR16" s="2595"/>
      <c r="AS16" s="2595"/>
      <c r="AT16" s="2595"/>
      <c r="AU16" s="2595"/>
      <c r="AV16" s="2595"/>
      <c r="AW16" s="2595"/>
      <c r="AX16" s="2595"/>
      <c r="AY16" s="2595"/>
      <c r="AZ16" s="2595"/>
      <c r="BA16" s="42"/>
      <c r="BB16" s="42"/>
    </row>
    <row r="17" spans="1:54" s="3402" customFormat="1" ht="15" customHeight="1" thickBot="1">
      <c r="A17" s="1127"/>
      <c r="B17" s="1179"/>
      <c r="C17" s="4357" t="s">
        <v>150</v>
      </c>
      <c r="D17" s="2686" t="s">
        <v>4240</v>
      </c>
      <c r="E17" s="1179"/>
      <c r="F17" s="1179"/>
      <c r="G17" s="1179"/>
      <c r="H17" s="1179"/>
      <c r="I17" s="1179"/>
      <c r="J17" s="1179"/>
      <c r="K17" s="1179"/>
      <c r="L17" s="1179"/>
      <c r="M17" s="1179"/>
      <c r="N17" s="1179"/>
      <c r="O17" s="1179"/>
      <c r="P17" s="1179"/>
      <c r="Q17" s="1179"/>
      <c r="R17" s="1179"/>
      <c r="S17" s="1179"/>
      <c r="T17" s="1179"/>
      <c r="U17" s="1179"/>
      <c r="V17" s="1179"/>
      <c r="W17" s="2214"/>
      <c r="X17" s="1582"/>
      <c r="Y17" s="1179"/>
      <c r="Z17" s="1179"/>
      <c r="AA17" s="1179"/>
      <c r="AB17" s="1179"/>
      <c r="AC17" s="1583"/>
      <c r="AD17" s="1561"/>
      <c r="AE17" s="1284"/>
      <c r="AF17" s="1284"/>
      <c r="AG17" s="1284"/>
      <c r="AH17" s="1284"/>
      <c r="AI17" s="1284"/>
      <c r="AJ17" s="1284"/>
      <c r="AK17" s="1127"/>
      <c r="AL17" s="1127"/>
      <c r="AM17" s="1127"/>
      <c r="AN17" s="1824" t="s">
        <v>3765</v>
      </c>
      <c r="AO17" s="4384">
        <f>SUM(AO13:AO16)</f>
        <v>0</v>
      </c>
      <c r="AP17" s="1179"/>
      <c r="AQ17" s="2595"/>
      <c r="AR17" s="2595"/>
      <c r="AS17" s="2595"/>
      <c r="AT17" s="2595"/>
      <c r="AU17" s="2595"/>
      <c r="AV17" s="2595"/>
      <c r="AW17" s="2595"/>
      <c r="AX17" s="2595"/>
      <c r="AY17" s="2595"/>
      <c r="AZ17" s="2595"/>
      <c r="BA17" s="42"/>
      <c r="BB17" s="42"/>
    </row>
    <row r="18" spans="1:54" s="3402" customFormat="1" ht="15.75" thickBot="1">
      <c r="A18" s="1127"/>
      <c r="B18" s="1559"/>
      <c r="C18" s="4357"/>
      <c r="D18" s="2686" t="s">
        <v>3686</v>
      </c>
      <c r="E18" s="1179"/>
      <c r="F18" s="1179"/>
      <c r="G18" s="1179"/>
      <c r="H18" s="1179"/>
      <c r="I18" s="1179"/>
      <c r="J18" s="1179"/>
      <c r="K18" s="1179"/>
      <c r="L18" s="1179"/>
      <c r="M18" s="1179"/>
      <c r="N18" s="1179"/>
      <c r="O18" s="1179"/>
      <c r="P18" s="1179"/>
      <c r="Q18" s="1179"/>
      <c r="R18" s="1179"/>
      <c r="S18" s="1179"/>
      <c r="T18" s="1179"/>
      <c r="U18" s="1179"/>
      <c r="V18" s="1179"/>
      <c r="W18" s="2214"/>
      <c r="X18" s="1582"/>
      <c r="Y18" s="1179"/>
      <c r="Z18" s="1179"/>
      <c r="AA18" s="1179"/>
      <c r="AB18" s="1179"/>
      <c r="AC18" s="1583"/>
      <c r="AD18" s="1561"/>
      <c r="AE18" s="1284"/>
      <c r="AF18" s="1284"/>
      <c r="AG18" s="1284"/>
      <c r="AH18" s="1284"/>
      <c r="AI18" s="1284"/>
      <c r="AJ18" s="1284"/>
      <c r="AK18" s="1127"/>
      <c r="AL18" s="1127"/>
      <c r="AM18" s="1127"/>
      <c r="AN18" s="1179"/>
      <c r="AO18" s="1179"/>
      <c r="AP18" s="1179"/>
      <c r="AQ18" s="2595"/>
      <c r="AR18" s="2595"/>
      <c r="AS18" s="2595"/>
      <c r="AT18" s="2595"/>
      <c r="AU18" s="2595"/>
      <c r="AV18" s="2595"/>
      <c r="AW18" s="2595"/>
      <c r="AX18" s="2595"/>
      <c r="AY18" s="2595"/>
      <c r="AZ18" s="2595"/>
      <c r="BA18" s="42"/>
      <c r="BB18" s="42"/>
    </row>
    <row r="19" spans="1:54" s="3402" customFormat="1" ht="15" customHeight="1" thickBot="1">
      <c r="A19" s="1127"/>
      <c r="B19" s="1179"/>
      <c r="C19" s="1548"/>
      <c r="D19" s="2686" t="s">
        <v>3699</v>
      </c>
      <c r="E19" s="1179"/>
      <c r="F19" s="1179"/>
      <c r="G19" s="1179"/>
      <c r="H19" s="1179"/>
      <c r="I19" s="1179"/>
      <c r="J19" s="1179"/>
      <c r="K19" s="1179"/>
      <c r="L19" s="1179"/>
      <c r="M19" s="1179"/>
      <c r="N19" s="1179"/>
      <c r="O19" s="1179"/>
      <c r="P19" s="1179"/>
      <c r="Q19" s="1179"/>
      <c r="R19" s="1179"/>
      <c r="S19" s="1179"/>
      <c r="T19" s="1179"/>
      <c r="U19" s="1179"/>
      <c r="V19" s="1560" t="s">
        <v>94</v>
      </c>
      <c r="W19" s="2224">
        <v>3</v>
      </c>
      <c r="X19" s="9115" t="str">
        <f>IF(AH12,"",IF(AO19&lt;&gt;"",ROUND(AO19,0),Adj_Gross_Inc))</f>
        <v/>
      </c>
      <c r="Y19" s="9116"/>
      <c r="Z19" s="9116"/>
      <c r="AA19" s="9116"/>
      <c r="AB19" s="9116"/>
      <c r="AC19" s="9136"/>
      <c r="AD19" s="1561"/>
      <c r="AE19" s="1284"/>
      <c r="AF19" s="1284"/>
      <c r="AG19" s="1284"/>
      <c r="AH19" s="1284"/>
      <c r="AI19" s="1284"/>
      <c r="AJ19" s="1284"/>
      <c r="AK19" s="1127"/>
      <c r="AL19" s="1127"/>
      <c r="AM19" s="1127"/>
      <c r="AN19" s="1179"/>
      <c r="AO19" s="4376"/>
      <c r="AP19" s="1179"/>
      <c r="AQ19" s="2595"/>
      <c r="AR19" s="2595"/>
      <c r="AS19" s="2595"/>
      <c r="AT19" s="2595"/>
      <c r="AU19" s="2595"/>
      <c r="AV19" s="2595"/>
      <c r="AW19" s="2595"/>
      <c r="AX19" s="2595"/>
      <c r="AY19" s="2595"/>
      <c r="AZ19" s="2595"/>
      <c r="BA19" s="42"/>
      <c r="BB19" s="42"/>
    </row>
    <row r="20" spans="1:54" s="3402" customFormat="1" ht="15">
      <c r="A20" s="1127"/>
      <c r="B20" s="1179"/>
      <c r="C20" s="4357" t="s">
        <v>151</v>
      </c>
      <c r="D20" s="2686" t="s">
        <v>474</v>
      </c>
      <c r="E20" s="1179"/>
      <c r="F20" s="1179"/>
      <c r="G20" s="1179"/>
      <c r="H20" s="1179"/>
      <c r="I20" s="1179"/>
      <c r="J20" s="1179"/>
      <c r="K20" s="1179"/>
      <c r="L20" s="1179"/>
      <c r="M20" s="1179"/>
      <c r="N20" s="2686" t="s">
        <v>4241</v>
      </c>
      <c r="O20" s="1179"/>
      <c r="P20" s="1179"/>
      <c r="Q20" s="1179"/>
      <c r="R20" s="1179"/>
      <c r="S20" s="1179"/>
      <c r="T20" s="1179"/>
      <c r="U20" s="1179"/>
      <c r="V20" s="1179"/>
      <c r="W20" s="2214"/>
      <c r="X20" s="9509"/>
      <c r="Y20" s="9510"/>
      <c r="Z20" s="9510"/>
      <c r="AA20" s="9510"/>
      <c r="AB20" s="9510"/>
      <c r="AC20" s="9511"/>
      <c r="AD20" s="1561"/>
      <c r="AE20" s="7771" t="b">
        <f>OR(X21="",X21&lt;=0)</f>
        <v>1</v>
      </c>
      <c r="AF20" s="7772"/>
      <c r="AG20" s="7772"/>
      <c r="AH20" s="7772"/>
      <c r="AI20" s="7772"/>
      <c r="AJ20" s="7772"/>
      <c r="AK20" s="1127"/>
      <c r="AL20" s="1127"/>
      <c r="AM20" s="1127"/>
      <c r="AN20" s="1179"/>
      <c r="AO20" s="1179"/>
      <c r="AP20" s="2051"/>
      <c r="AQ20" s="2595"/>
      <c r="AR20" s="2595"/>
      <c r="AS20" s="2595"/>
      <c r="AT20" s="2595"/>
      <c r="AU20" s="2595"/>
      <c r="AV20" s="2595"/>
      <c r="AW20" s="2595"/>
      <c r="AX20" s="2595"/>
      <c r="AY20" s="2595"/>
      <c r="AZ20" s="2595"/>
      <c r="BA20" s="42"/>
      <c r="BB20" s="42"/>
    </row>
    <row r="21" spans="1:54" s="3402" customFormat="1" ht="14.25" customHeight="1">
      <c r="A21" s="1127"/>
      <c r="B21" s="1179"/>
      <c r="C21" s="1548"/>
      <c r="D21" s="2686" t="s">
        <v>3687</v>
      </c>
      <c r="E21" s="1179"/>
      <c r="F21" s="1179"/>
      <c r="G21" s="1179"/>
      <c r="H21" s="1179"/>
      <c r="I21" s="1179"/>
      <c r="J21" s="1179"/>
      <c r="K21" s="1179"/>
      <c r="L21" s="1179"/>
      <c r="M21" s="1179"/>
      <c r="N21" s="1179"/>
      <c r="O21" s="1179"/>
      <c r="P21" s="1179"/>
      <c r="Q21" s="1179"/>
      <c r="R21" s="1179"/>
      <c r="S21" s="1179"/>
      <c r="T21" s="1179"/>
      <c r="U21" s="1179"/>
      <c r="V21" s="1560" t="s">
        <v>556</v>
      </c>
      <c r="W21" s="2224">
        <v>4</v>
      </c>
      <c r="X21" s="9115" t="str">
        <f>IF(AH12,"",SUM(X16,-X19))</f>
        <v/>
      </c>
      <c r="Y21" s="9116"/>
      <c r="Z21" s="9116"/>
      <c r="AA21" s="9116"/>
      <c r="AB21" s="9116"/>
      <c r="AC21" s="9136"/>
      <c r="AD21" s="1561"/>
      <c r="AE21" s="7771"/>
      <c r="AF21" s="7772"/>
      <c r="AG21" s="7772"/>
      <c r="AH21" s="7772"/>
      <c r="AI21" s="7772"/>
      <c r="AJ21" s="7772"/>
      <c r="AK21" s="1127"/>
      <c r="AL21" s="1127"/>
      <c r="AM21" s="1127"/>
      <c r="AN21" s="1179"/>
      <c r="AO21" s="1179"/>
      <c r="AP21" s="1179"/>
      <c r="AQ21" s="2595"/>
      <c r="AR21" s="2595"/>
      <c r="AS21" s="2595"/>
      <c r="AT21" s="2595"/>
      <c r="AU21" s="2595"/>
      <c r="AV21" s="2595"/>
      <c r="AW21" s="2595"/>
      <c r="AX21" s="2595"/>
      <c r="AY21" s="2595"/>
      <c r="AZ21" s="2595"/>
      <c r="BA21" s="42"/>
      <c r="BB21" s="42"/>
    </row>
    <row r="22" spans="1:54" s="3402" customFormat="1" ht="6.75" customHeight="1">
      <c r="A22" s="1127"/>
      <c r="B22" s="1179"/>
      <c r="C22" s="1548"/>
      <c r="D22" s="1179"/>
      <c r="E22" s="1179"/>
      <c r="F22" s="1179"/>
      <c r="G22" s="1179"/>
      <c r="H22" s="1179"/>
      <c r="I22" s="1179"/>
      <c r="J22" s="1179"/>
      <c r="K22" s="1179"/>
      <c r="L22" s="1179"/>
      <c r="M22" s="1179"/>
      <c r="N22" s="1179"/>
      <c r="O22" s="1179"/>
      <c r="P22" s="1179"/>
      <c r="Q22" s="1179"/>
      <c r="R22" s="1179"/>
      <c r="S22" s="1179"/>
      <c r="T22" s="1179"/>
      <c r="U22" s="1179"/>
      <c r="V22" s="1179"/>
      <c r="W22" s="2214"/>
      <c r="X22" s="1179"/>
      <c r="Y22" s="1179"/>
      <c r="Z22" s="1179"/>
      <c r="AA22" s="1179"/>
      <c r="AB22" s="1179"/>
      <c r="AC22" s="1179"/>
      <c r="AD22" s="1561"/>
      <c r="AE22" s="1284"/>
      <c r="AF22" s="1284"/>
      <c r="AG22" s="1284"/>
      <c r="AH22" s="1284"/>
      <c r="AI22" s="1284"/>
      <c r="AJ22" s="1284"/>
      <c r="AK22" s="1127"/>
      <c r="AL22" s="1127"/>
      <c r="AM22" s="1127"/>
      <c r="AN22" s="1179"/>
      <c r="AO22" s="1179"/>
      <c r="AP22" s="1179"/>
      <c r="AQ22" s="2595"/>
      <c r="AR22" s="2595"/>
      <c r="AS22" s="2595"/>
      <c r="AT22" s="2595"/>
      <c r="AU22" s="2595"/>
      <c r="AV22" s="2595"/>
      <c r="AW22" s="2595"/>
      <c r="AX22" s="2595"/>
      <c r="AY22" s="2595"/>
      <c r="AZ22" s="2595"/>
      <c r="BA22" s="42"/>
      <c r="BB22" s="42"/>
    </row>
    <row r="23" spans="1:54" s="3402" customFormat="1" ht="15.75" customHeight="1">
      <c r="A23" s="1127"/>
      <c r="B23" s="1179"/>
      <c r="C23" s="4357" t="s">
        <v>200</v>
      </c>
      <c r="D23" s="2686" t="str">
        <f>"Enter: "&amp;TEXT(AE23,"$0,000")&amp;" if married filing jointly; "&amp;TEXT(AE24,"$0,000")&amp;" if single, head of household, or"</f>
        <v>Enter: $20,000 if married filing jointly; $10,000 if single, head of household, or</v>
      </c>
      <c r="E23" s="1179"/>
      <c r="F23" s="1179"/>
      <c r="G23" s="1179"/>
      <c r="H23" s="1179"/>
      <c r="I23" s="1179"/>
      <c r="J23" s="1179"/>
      <c r="K23" s="1179"/>
      <c r="L23" s="1179"/>
      <c r="M23" s="1179"/>
      <c r="N23" s="1179"/>
      <c r="O23" s="1179"/>
      <c r="P23" s="1179"/>
      <c r="Q23" s="1179"/>
      <c r="R23" s="1179"/>
      <c r="S23" s="1179"/>
      <c r="T23" s="1179"/>
      <c r="U23" s="1179"/>
      <c r="V23" s="1179"/>
      <c r="W23" s="2214"/>
      <c r="X23" s="1582"/>
      <c r="Y23" s="1179"/>
      <c r="Z23" s="1179"/>
      <c r="AA23" s="1179"/>
      <c r="AB23" s="1179"/>
      <c r="AC23" s="1583"/>
      <c r="AD23" s="1561"/>
      <c r="AE23" s="9487">
        <v>20000</v>
      </c>
      <c r="AF23" s="9488"/>
      <c r="AG23" s="9488"/>
      <c r="AH23" s="9488"/>
      <c r="AI23" s="9488"/>
      <c r="AJ23" s="9488"/>
      <c r="AK23" s="1127"/>
      <c r="AL23" s="1127"/>
      <c r="AM23" s="1127"/>
      <c r="AN23" s="1824"/>
      <c r="AO23" s="1824"/>
      <c r="AP23" s="1179"/>
      <c r="AQ23" s="2595"/>
      <c r="AR23" s="2595"/>
      <c r="AS23" s="2595"/>
      <c r="AT23" s="2595"/>
      <c r="AU23" s="2595"/>
      <c r="AV23" s="2595"/>
      <c r="AW23" s="2595"/>
      <c r="AX23" s="2595"/>
      <c r="AY23" s="2595"/>
      <c r="AZ23" s="2595"/>
      <c r="BA23" s="42"/>
      <c r="BB23" s="42"/>
    </row>
    <row r="24" spans="1:54" s="3402" customFormat="1" ht="15" customHeight="1">
      <c r="A24" s="1127"/>
      <c r="B24" s="1179"/>
      <c r="C24" s="4357"/>
      <c r="D24" s="2686" t="s">
        <v>3688</v>
      </c>
      <c r="E24" s="1179"/>
      <c r="F24" s="1179"/>
      <c r="G24" s="1179"/>
      <c r="H24" s="1179"/>
      <c r="I24" s="1179"/>
      <c r="J24" s="1179"/>
      <c r="K24" s="1179"/>
      <c r="L24" s="1179"/>
      <c r="M24" s="1179"/>
      <c r="N24" s="1179"/>
      <c r="O24" s="1179"/>
      <c r="P24" s="1179"/>
      <c r="Q24" s="1179"/>
      <c r="R24" s="1179"/>
      <c r="S24" s="1179"/>
      <c r="T24" s="1179"/>
      <c r="U24" s="1179"/>
      <c r="V24" s="1560" t="s">
        <v>919</v>
      </c>
      <c r="W24" s="2224" t="s">
        <v>200</v>
      </c>
      <c r="X24" s="9115" t="str">
        <f>IF(OR(AH12,AE20),"",IF(File_Marr_Joint&lt;&gt;"",AE23,AE24))</f>
        <v/>
      </c>
      <c r="Y24" s="9116"/>
      <c r="Z24" s="9116"/>
      <c r="AA24" s="9116"/>
      <c r="AB24" s="9116"/>
      <c r="AC24" s="9136"/>
      <c r="AD24" s="1561"/>
      <c r="AE24" s="9487">
        <v>10000</v>
      </c>
      <c r="AF24" s="9488"/>
      <c r="AG24" s="9488"/>
      <c r="AH24" s="9488"/>
      <c r="AI24" s="9488"/>
      <c r="AJ24" s="9488"/>
      <c r="AK24" s="1127"/>
      <c r="AL24" s="1127"/>
      <c r="AM24" s="1127"/>
      <c r="AN24" s="1179"/>
      <c r="AO24" s="1179"/>
      <c r="AP24" s="1179"/>
      <c r="AQ24" s="2595"/>
      <c r="AR24" s="2595"/>
      <c r="AS24" s="2595"/>
      <c r="AT24" s="2595"/>
      <c r="AU24" s="2595"/>
      <c r="AV24" s="2595"/>
      <c r="AW24" s="2595"/>
      <c r="AX24" s="2595"/>
      <c r="AY24" s="2595"/>
      <c r="AZ24" s="2595"/>
      <c r="BA24" s="42"/>
      <c r="BB24" s="42"/>
    </row>
    <row r="25" spans="1:54" s="3402" customFormat="1" ht="17.25" customHeight="1">
      <c r="A25" s="1127"/>
      <c r="B25" s="1179"/>
      <c r="C25" s="4357" t="s">
        <v>101</v>
      </c>
      <c r="D25" s="2686" t="s">
        <v>3689</v>
      </c>
      <c r="E25" s="1283"/>
      <c r="F25" s="1179"/>
      <c r="G25" s="1179"/>
      <c r="H25" s="1179"/>
      <c r="I25" s="1179"/>
      <c r="J25" s="1179"/>
      <c r="K25" s="1179"/>
      <c r="L25" s="1179"/>
      <c r="M25" s="1179"/>
      <c r="N25" s="1179"/>
      <c r="O25" s="1179"/>
      <c r="P25" s="1179"/>
      <c r="Q25" s="1179"/>
      <c r="R25" s="1179"/>
      <c r="S25" s="1179"/>
      <c r="T25" s="1179"/>
      <c r="U25" s="1179"/>
      <c r="V25" s="1179"/>
      <c r="W25" s="1179"/>
      <c r="X25" s="1179"/>
      <c r="Y25" s="1179"/>
      <c r="Z25" s="1179"/>
      <c r="AA25" s="1179"/>
      <c r="AB25" s="1179"/>
      <c r="AC25" s="1179"/>
      <c r="AD25" s="1561"/>
      <c r="AE25" s="1284"/>
      <c r="AF25" s="1284"/>
      <c r="AG25" s="1284"/>
      <c r="AH25" s="1284"/>
      <c r="AI25" s="1284"/>
      <c r="AJ25" s="1284"/>
      <c r="AK25" s="1127"/>
      <c r="AL25" s="1127"/>
      <c r="AM25" s="1127"/>
      <c r="AN25" s="1179"/>
      <c r="AO25" s="1179"/>
      <c r="AP25" s="1179"/>
      <c r="AQ25" s="2595"/>
      <c r="AR25" s="2595"/>
      <c r="AS25" s="2595"/>
      <c r="AT25" s="2595"/>
      <c r="AU25" s="2595"/>
      <c r="AV25" s="2595"/>
      <c r="AW25" s="2595"/>
      <c r="AX25" s="2595"/>
      <c r="AY25" s="2595"/>
      <c r="AZ25" s="2595"/>
      <c r="BA25" s="42"/>
      <c r="BB25" s="42"/>
    </row>
    <row r="26" spans="1:54" s="3402" customFormat="1" ht="14.25" customHeight="1" thickBot="1">
      <c r="A26" s="1127"/>
      <c r="B26" s="1179"/>
      <c r="C26" s="1548"/>
      <c r="D26" s="2944" t="s">
        <v>1275</v>
      </c>
      <c r="E26" s="2686" t="s">
        <v>3690</v>
      </c>
      <c r="F26" s="1179"/>
      <c r="G26" s="1179"/>
      <c r="H26" s="1179"/>
      <c r="I26" s="1179"/>
      <c r="J26" s="1179"/>
      <c r="K26" s="1179"/>
      <c r="L26" s="1179"/>
      <c r="M26" s="1179"/>
      <c r="N26" s="1179"/>
      <c r="O26" s="1179"/>
      <c r="P26" s="1179"/>
      <c r="Q26" s="1179"/>
      <c r="R26" s="1179"/>
      <c r="S26" s="1179"/>
      <c r="T26" s="1179"/>
      <c r="U26" s="1179"/>
      <c r="V26" s="1179"/>
      <c r="W26" s="1560" t="s">
        <v>1031</v>
      </c>
      <c r="X26" s="1179"/>
      <c r="Y26" s="1179"/>
      <c r="Z26" s="1179"/>
      <c r="AA26" s="1179"/>
      <c r="AB26" s="1179"/>
      <c r="AC26" s="1179"/>
      <c r="AD26" s="1561"/>
      <c r="AE26" s="1284"/>
      <c r="AF26" s="1284"/>
      <c r="AG26" s="1284"/>
      <c r="AH26" s="1284"/>
      <c r="AI26" s="1284"/>
      <c r="AJ26" s="1284"/>
      <c r="AK26" s="1127"/>
      <c r="AL26" s="1127"/>
      <c r="AM26" s="1127"/>
      <c r="AN26" s="1179"/>
      <c r="AO26" s="1179"/>
      <c r="AP26" s="1179"/>
      <c r="AQ26" s="2595"/>
      <c r="AR26" s="2595"/>
      <c r="AS26" s="2595"/>
      <c r="AT26" s="2595"/>
      <c r="AU26" s="2595"/>
      <c r="AV26" s="2595"/>
      <c r="AW26" s="2595"/>
      <c r="AX26" s="2595"/>
      <c r="AY26" s="2595"/>
      <c r="AZ26" s="2595"/>
      <c r="BA26" s="42"/>
      <c r="BB26" s="42"/>
    </row>
    <row r="27" spans="1:54" s="3402" customFormat="1" ht="17.25" customHeight="1" thickBot="1">
      <c r="A27" s="1127"/>
      <c r="B27" s="1179"/>
      <c r="C27" s="1548"/>
      <c r="D27" s="2944" t="s">
        <v>1275</v>
      </c>
      <c r="E27" s="2686" t="s">
        <v>3691</v>
      </c>
      <c r="F27" s="1179"/>
      <c r="G27" s="1179"/>
      <c r="H27" s="1179"/>
      <c r="I27" s="1179"/>
      <c r="J27" s="1179"/>
      <c r="K27" s="1179"/>
      <c r="L27" s="1179"/>
      <c r="M27" s="1179"/>
      <c r="N27" s="1179"/>
      <c r="O27" s="1179"/>
      <c r="P27" s="1179"/>
      <c r="Q27" s="1179"/>
      <c r="R27" s="1179"/>
      <c r="S27" s="1179"/>
      <c r="T27" s="1179"/>
      <c r="U27" s="1179"/>
      <c r="V27" s="1179"/>
      <c r="W27" s="1179"/>
      <c r="X27" s="1179"/>
      <c r="Y27" s="1179"/>
      <c r="Z27" s="1179"/>
      <c r="AA27" s="1179"/>
      <c r="AB27" s="1179"/>
      <c r="AC27" s="1560" t="s">
        <v>529</v>
      </c>
      <c r="AD27" s="2224" t="s">
        <v>101</v>
      </c>
      <c r="AE27" s="9478" t="str">
        <f>IF(OR(AH12,AE20),"",IF(AO27&lt;&gt;"",ROUND(AO27,0),IF(X21&gt;=X24,1,ROUND(X21/X24,3))))</f>
        <v/>
      </c>
      <c r="AF27" s="9479"/>
      <c r="AG27" s="9479"/>
      <c r="AH27" s="9479"/>
      <c r="AI27" s="9479"/>
      <c r="AJ27" s="9479"/>
      <c r="AK27" s="1127"/>
      <c r="AL27" s="1127"/>
      <c r="AM27" s="1127"/>
      <c r="AN27" s="1179"/>
      <c r="AO27" s="4376"/>
      <c r="AP27" s="1179"/>
      <c r="AQ27" s="2595"/>
      <c r="AR27" s="2595"/>
      <c r="AS27" s="2595"/>
      <c r="AT27" s="2595"/>
      <c r="AU27" s="2595"/>
      <c r="AV27" s="2595"/>
      <c r="AW27" s="2595"/>
      <c r="AX27" s="2595"/>
      <c r="AY27" s="2595"/>
      <c r="AZ27" s="2595"/>
      <c r="BA27" s="42"/>
      <c r="BB27" s="42"/>
    </row>
    <row r="28" spans="1:54" s="3402" customFormat="1" ht="13.5" customHeight="1">
      <c r="A28" s="1127"/>
      <c r="B28" s="1179"/>
      <c r="C28" s="1548"/>
      <c r="D28" s="2686"/>
      <c r="E28" s="2686" t="s">
        <v>3692</v>
      </c>
      <c r="F28" s="1179"/>
      <c r="G28" s="1179"/>
      <c r="H28" s="1179"/>
      <c r="I28" s="1179"/>
      <c r="J28" s="1179"/>
      <c r="K28" s="1179"/>
      <c r="L28" s="1179"/>
      <c r="M28" s="1179"/>
      <c r="N28" s="1179"/>
      <c r="O28" s="1179"/>
      <c r="P28" s="1179"/>
      <c r="Q28" s="1179"/>
      <c r="R28" s="1179"/>
      <c r="S28" s="1179"/>
      <c r="T28" s="1179"/>
      <c r="U28" s="1179"/>
      <c r="V28" s="1179"/>
      <c r="W28" s="1560" t="s">
        <v>3693</v>
      </c>
      <c r="X28" s="1179"/>
      <c r="Y28" s="1179"/>
      <c r="Z28" s="1179"/>
      <c r="AA28" s="1179"/>
      <c r="AB28" s="1179"/>
      <c r="AC28" s="1179"/>
      <c r="AD28" s="1561"/>
      <c r="AE28" s="1179"/>
      <c r="AF28" s="1179"/>
      <c r="AG28" s="1179"/>
      <c r="AH28" s="1179"/>
      <c r="AI28" s="1179"/>
      <c r="AJ28" s="1179"/>
      <c r="AK28" s="1127"/>
      <c r="AL28" s="1127"/>
      <c r="AM28" s="1127"/>
      <c r="AN28" s="1179"/>
      <c r="AO28" s="1179"/>
      <c r="AP28" s="1179"/>
      <c r="AQ28" s="2595"/>
      <c r="AR28" s="2595"/>
      <c r="AS28" s="2595"/>
      <c r="AT28" s="2595"/>
      <c r="AU28" s="2595"/>
      <c r="AV28" s="2595"/>
      <c r="AW28" s="2595"/>
      <c r="AX28" s="2595"/>
      <c r="AY28" s="2595"/>
      <c r="AZ28" s="2595"/>
      <c r="BA28" s="42"/>
      <c r="BB28" s="42"/>
    </row>
    <row r="29" spans="1:54" s="3402" customFormat="1" ht="13.5" customHeight="1">
      <c r="A29" s="1127"/>
      <c r="B29" s="1179"/>
      <c r="C29" s="4357" t="s">
        <v>102</v>
      </c>
      <c r="D29" s="2686" t="s">
        <v>4242</v>
      </c>
      <c r="E29" s="1179"/>
      <c r="F29" s="1179"/>
      <c r="G29" s="1179"/>
      <c r="H29" s="1179"/>
      <c r="I29" s="1179"/>
      <c r="J29" s="1179"/>
      <c r="K29" s="1179"/>
      <c r="L29" s="1179"/>
      <c r="M29" s="1179"/>
      <c r="N29" s="1179"/>
      <c r="O29" s="1179"/>
      <c r="P29" s="1179"/>
      <c r="Q29" s="1179"/>
      <c r="R29" s="1179"/>
      <c r="S29" s="1179"/>
      <c r="T29" s="1179"/>
      <c r="U29" s="1179"/>
      <c r="V29" s="1179"/>
      <c r="W29" s="1179"/>
      <c r="X29" s="1179"/>
      <c r="Y29" s="1179"/>
      <c r="Z29" s="1179"/>
      <c r="AA29" s="1179"/>
      <c r="AB29" s="1179"/>
      <c r="AC29" s="1179"/>
      <c r="AD29" s="1561"/>
      <c r="AE29" s="1179"/>
      <c r="AF29" s="1179"/>
      <c r="AG29" s="1179"/>
      <c r="AH29" s="1179"/>
      <c r="AI29" s="1179"/>
      <c r="AJ29" s="1179"/>
      <c r="AK29" s="1127"/>
      <c r="AL29" s="1127"/>
      <c r="AM29" s="1127"/>
      <c r="AN29" s="1179"/>
      <c r="AO29" s="1179"/>
      <c r="AP29" s="1179"/>
      <c r="AQ29" s="2595"/>
      <c r="AR29" s="2595"/>
      <c r="AS29" s="2595"/>
      <c r="AT29" s="2595"/>
      <c r="AU29" s="2595"/>
      <c r="AV29" s="2595"/>
      <c r="AW29" s="2595"/>
      <c r="AX29" s="2595"/>
      <c r="AY29" s="2595"/>
      <c r="AZ29" s="2595"/>
      <c r="BA29" s="42"/>
      <c r="BB29" s="42"/>
    </row>
    <row r="30" spans="1:54" s="3402" customFormat="1" ht="15" customHeight="1" thickBot="1">
      <c r="A30" s="1127"/>
      <c r="B30" s="1179"/>
      <c r="C30" s="1548"/>
      <c r="D30" s="2686" t="s">
        <v>4243</v>
      </c>
      <c r="E30" s="1179"/>
      <c r="F30" s="1179"/>
      <c r="G30" s="1179"/>
      <c r="H30" s="1179"/>
      <c r="I30" s="1179"/>
      <c r="J30" s="1179"/>
      <c r="K30" s="1179"/>
      <c r="L30" s="1179"/>
      <c r="M30" s="1179"/>
      <c r="N30" s="1179"/>
      <c r="O30" s="1179"/>
      <c r="P30" s="1179"/>
      <c r="Q30" s="1179"/>
      <c r="R30" s="1179"/>
      <c r="S30" s="1179"/>
      <c r="T30" s="1179"/>
      <c r="U30" s="1179"/>
      <c r="V30" s="1179"/>
      <c r="W30" s="1179"/>
      <c r="X30" s="1179"/>
      <c r="Y30" s="1179"/>
      <c r="Z30" s="1179"/>
      <c r="AA30" s="1179"/>
      <c r="AB30" s="1179"/>
      <c r="AC30" s="1179"/>
      <c r="AD30" s="1561"/>
      <c r="AE30" s="7771" t="b">
        <f>AB31&lt;&gt;""</f>
        <v>0</v>
      </c>
      <c r="AF30" s="7772"/>
      <c r="AG30" s="7772"/>
      <c r="AH30" s="7772"/>
      <c r="AI30" s="7772"/>
      <c r="AJ30" s="7772"/>
      <c r="AK30" s="1127"/>
      <c r="AL30" s="1127"/>
      <c r="AM30" s="1127"/>
      <c r="AN30" s="1179"/>
      <c r="AO30" s="1179"/>
      <c r="AP30" s="1179"/>
      <c r="AQ30" s="2595"/>
      <c r="AR30" s="2595"/>
      <c r="AS30" s="2595"/>
      <c r="AT30" s="2595"/>
      <c r="AU30" s="2595"/>
      <c r="AV30" s="2595"/>
      <c r="AW30" s="2595"/>
      <c r="AX30" s="2595"/>
      <c r="AY30" s="2595"/>
      <c r="AZ30" s="2595"/>
      <c r="BA30" s="42"/>
      <c r="BB30" s="42"/>
    </row>
    <row r="31" spans="1:54" s="3402" customFormat="1" ht="15" customHeight="1" thickBot="1">
      <c r="A31" s="1127"/>
      <c r="B31" s="1179"/>
      <c r="C31" s="1548"/>
      <c r="D31" s="2686" t="s">
        <v>3694</v>
      </c>
      <c r="E31" s="1179"/>
      <c r="F31" s="1179"/>
      <c r="G31" s="1179"/>
      <c r="H31" s="1179"/>
      <c r="I31" s="1179"/>
      <c r="J31" s="1179"/>
      <c r="K31" s="1179"/>
      <c r="L31" s="1179"/>
      <c r="M31" s="1179"/>
      <c r="N31" s="1179"/>
      <c r="O31" s="1179"/>
      <c r="P31" s="1179"/>
      <c r="Q31" s="1179"/>
      <c r="R31" s="1179"/>
      <c r="S31" s="1179"/>
      <c r="T31" s="1179"/>
      <c r="U31" s="1179"/>
      <c r="V31" s="1179"/>
      <c r="W31" s="1179"/>
      <c r="X31" s="1179"/>
      <c r="Y31" s="1179"/>
      <c r="Z31" s="1560" t="s">
        <v>560</v>
      </c>
      <c r="AA31" s="1560"/>
      <c r="AB31" s="1181"/>
      <c r="AC31" s="1179"/>
      <c r="AD31" s="1557">
        <v>7</v>
      </c>
      <c r="AE31" s="9115" t="str">
        <f>IF(OR(AH12,AE20),"",ROUND(AE14*AE27,0))</f>
        <v/>
      </c>
      <c r="AF31" s="9116"/>
      <c r="AG31" s="9116"/>
      <c r="AH31" s="9116"/>
      <c r="AI31" s="9116"/>
      <c r="AJ31" s="9116"/>
      <c r="AK31" s="1127"/>
      <c r="AL31" s="1127"/>
      <c r="AM31" s="1127"/>
      <c r="AN31" s="1179"/>
      <c r="AO31" s="1179"/>
      <c r="AP31" s="1179"/>
      <c r="AQ31" s="2595"/>
      <c r="AR31" s="2595"/>
      <c r="AS31" s="2595"/>
      <c r="AT31" s="2595"/>
      <c r="AU31" s="2595"/>
      <c r="AV31" s="2595"/>
      <c r="AW31" s="2595"/>
      <c r="AX31" s="2595"/>
      <c r="AY31" s="2595"/>
      <c r="AZ31" s="2595"/>
      <c r="BA31" s="42"/>
      <c r="BB31" s="42"/>
    </row>
    <row r="32" spans="1:54" s="3402" customFormat="1" ht="15" customHeight="1" thickBot="1">
      <c r="A32" s="1127"/>
      <c r="B32" s="1179"/>
      <c r="C32" s="4357" t="s">
        <v>103</v>
      </c>
      <c r="D32" s="1577" t="s">
        <v>3743</v>
      </c>
      <c r="E32" s="1179"/>
      <c r="F32" s="1179"/>
      <c r="G32" s="1179"/>
      <c r="H32" s="1179"/>
      <c r="I32" s="1179"/>
      <c r="J32" s="1179"/>
      <c r="K32" s="1179"/>
      <c r="L32" s="1179"/>
      <c r="M32" s="1179"/>
      <c r="N32" s="2686"/>
      <c r="O32" s="2686" t="str">
        <f>"Multiply line 7 by "&amp;TEXT(AE32,"0%")&amp;" ("&amp;TEXT(AE32,"0.00")&amp;"). Enter the amount here and"</f>
        <v>Multiply line 7 by 40% (0.40). Enter the amount here and</v>
      </c>
      <c r="P32" s="1179"/>
      <c r="Q32" s="1179"/>
      <c r="R32" s="1179"/>
      <c r="S32" s="1179"/>
      <c r="T32" s="1179"/>
      <c r="U32" s="1179"/>
      <c r="V32" s="1179"/>
      <c r="W32" s="1179"/>
      <c r="X32" s="1179"/>
      <c r="Y32" s="1179"/>
      <c r="Z32" s="1179"/>
      <c r="AA32" s="1179"/>
      <c r="AB32" s="1179"/>
      <c r="AC32" s="1179"/>
      <c r="AD32" s="1558"/>
      <c r="AE32" s="9124">
        <v>0.4</v>
      </c>
      <c r="AF32" s="9125"/>
      <c r="AG32" s="9125"/>
      <c r="AH32" s="9125"/>
      <c r="AI32" s="9125"/>
      <c r="AJ32" s="9125"/>
      <c r="AK32" s="1127"/>
      <c r="AL32" s="1127"/>
      <c r="AM32" s="1127"/>
      <c r="AN32" s="1824"/>
      <c r="AO32" s="1824"/>
      <c r="AP32" s="1179"/>
      <c r="AQ32" s="2595"/>
      <c r="AR32" s="2595"/>
      <c r="AS32" s="2595"/>
      <c r="AT32" s="2595"/>
      <c r="AU32" s="2595"/>
      <c r="AV32" s="2595"/>
      <c r="AW32" s="2595"/>
      <c r="AX32" s="2595"/>
      <c r="AY32" s="2595"/>
      <c r="AZ32" s="2595"/>
      <c r="BA32" s="42"/>
      <c r="BB32" s="42"/>
    </row>
    <row r="33" spans="1:54" s="3402" customFormat="1" ht="18.75" customHeight="1" thickBot="1">
      <c r="A33" s="1127"/>
      <c r="B33" s="1280"/>
      <c r="C33" s="1280"/>
      <c r="D33" s="4231" t="s">
        <v>4244</v>
      </c>
      <c r="E33" s="1280"/>
      <c r="F33" s="1280"/>
      <c r="G33" s="1280"/>
      <c r="H33" s="1280"/>
      <c r="I33" s="1280"/>
      <c r="J33" s="1280"/>
      <c r="K33" s="1280"/>
      <c r="L33" s="1280"/>
      <c r="M33" s="1280"/>
      <c r="N33" s="1280"/>
      <c r="O33" s="1280"/>
      <c r="P33" s="1280"/>
      <c r="Q33" s="1280"/>
      <c r="R33" s="1280"/>
      <c r="S33" s="1280"/>
      <c r="T33" s="1280"/>
      <c r="U33" s="1280"/>
      <c r="V33" s="1280"/>
      <c r="W33" s="1280"/>
      <c r="X33" s="1280"/>
      <c r="Y33" s="1280"/>
      <c r="Z33" s="1280"/>
      <c r="AA33" s="1280"/>
      <c r="AB33" s="1280"/>
      <c r="AC33" s="3491" t="s">
        <v>453</v>
      </c>
      <c r="AD33" s="1564">
        <v>8</v>
      </c>
      <c r="AE33" s="9455" t="str">
        <f>IF(AO33&lt;&gt;"",ROUND(AO33,0),IF(OR(AH12,AE20,AE30),"",ROUND(AE31*AE32,0)))</f>
        <v/>
      </c>
      <c r="AF33" s="9486"/>
      <c r="AG33" s="9486"/>
      <c r="AH33" s="9486"/>
      <c r="AI33" s="9486"/>
      <c r="AJ33" s="9486"/>
      <c r="AK33" s="1127"/>
      <c r="AL33" s="1127"/>
      <c r="AM33" s="1127"/>
      <c r="AN33" s="1276"/>
      <c r="AO33" s="4376"/>
      <c r="AP33" s="1179"/>
      <c r="AQ33" s="2595"/>
      <c r="AR33" s="2595"/>
      <c r="AS33" s="2595"/>
      <c r="AT33" s="2595"/>
      <c r="AU33" s="2595"/>
      <c r="AV33" s="2595"/>
      <c r="AW33" s="2595"/>
      <c r="AX33" s="2595"/>
      <c r="AY33" s="2595"/>
      <c r="AZ33" s="2595"/>
      <c r="BA33" s="42"/>
      <c r="BB33" s="42"/>
    </row>
    <row r="34" spans="1:54" s="3402" customFormat="1" ht="18.75" customHeight="1">
      <c r="A34" s="1127"/>
      <c r="B34" s="9519" t="s">
        <v>118</v>
      </c>
      <c r="C34" s="9519"/>
      <c r="D34" s="4358" t="s">
        <v>3695</v>
      </c>
      <c r="E34" s="1553"/>
      <c r="F34" s="1553"/>
      <c r="G34" s="1554"/>
      <c r="H34" s="1554"/>
      <c r="I34" s="1554"/>
      <c r="J34" s="1554"/>
      <c r="K34" s="1554"/>
      <c r="L34" s="1554"/>
      <c r="M34" s="1553"/>
      <c r="N34" s="1553"/>
      <c r="O34" s="1553"/>
      <c r="P34" s="1553"/>
      <c r="Q34" s="1553"/>
      <c r="R34" s="1553"/>
      <c r="S34" s="1554"/>
      <c r="T34" s="1554"/>
      <c r="U34" s="1554"/>
      <c r="V34" s="1554"/>
      <c r="W34" s="1554"/>
      <c r="X34" s="1554"/>
      <c r="Y34" s="1554"/>
      <c r="Z34" s="1554"/>
      <c r="AA34" s="1554"/>
      <c r="AB34" s="1554"/>
      <c r="AC34" s="1553"/>
      <c r="AD34" s="1554"/>
      <c r="AE34" s="1554"/>
      <c r="AF34" s="1554"/>
      <c r="AG34" s="1554"/>
      <c r="AH34" s="1554"/>
      <c r="AI34" s="1554"/>
      <c r="AJ34" s="1554"/>
      <c r="AK34" s="1127"/>
      <c r="AL34" s="1127"/>
      <c r="AM34" s="1127"/>
      <c r="AN34" s="1179"/>
      <c r="AO34" s="1179"/>
      <c r="AP34" s="1179"/>
      <c r="AQ34" s="2595"/>
      <c r="AR34" s="2595"/>
      <c r="AS34" s="2595"/>
      <c r="AT34" s="2595"/>
      <c r="AU34" s="2595"/>
      <c r="AV34" s="2595"/>
      <c r="AW34" s="2595"/>
      <c r="AX34" s="2595"/>
      <c r="AY34" s="2595"/>
      <c r="AZ34" s="2595"/>
      <c r="BA34" s="42"/>
      <c r="BB34" s="42"/>
    </row>
    <row r="35" spans="1:54" s="3402" customFormat="1" ht="16.5" customHeight="1">
      <c r="A35" s="1127"/>
      <c r="B35" s="1179"/>
      <c r="C35" s="1556" t="s">
        <v>104</v>
      </c>
      <c r="D35" s="2686" t="s">
        <v>3696</v>
      </c>
      <c r="E35" s="2686"/>
      <c r="F35" s="1179"/>
      <c r="G35" s="1179"/>
      <c r="H35" s="1179"/>
      <c r="I35" s="1179"/>
      <c r="J35" s="1179"/>
      <c r="K35" s="1179"/>
      <c r="L35" s="1179"/>
      <c r="M35" s="1179"/>
      <c r="N35" s="1179"/>
      <c r="O35" s="1179"/>
      <c r="P35" s="1179"/>
      <c r="Q35" s="1179"/>
      <c r="R35" s="1179"/>
      <c r="S35" s="1179"/>
      <c r="T35" s="1179"/>
      <c r="U35" s="1179"/>
      <c r="V35" s="1179"/>
      <c r="W35" s="1179"/>
      <c r="X35" s="1179"/>
      <c r="Y35" s="1179"/>
      <c r="Z35" s="1179"/>
      <c r="AA35" s="1179"/>
      <c r="AB35" s="1179"/>
      <c r="AC35" s="1179"/>
      <c r="AD35" s="2224">
        <v>9</v>
      </c>
      <c r="AE35" s="9126" t="str">
        <f>IF(OR(AH12,AE20),"",IF(AE30,AE31,ROUND(SUM(AE31,-AE33),0)))</f>
        <v/>
      </c>
      <c r="AF35" s="9477"/>
      <c r="AG35" s="9477"/>
      <c r="AH35" s="9477"/>
      <c r="AI35" s="9477"/>
      <c r="AJ35" s="9477"/>
      <c r="AK35" s="1127"/>
      <c r="AL35" s="1127"/>
      <c r="AM35" s="1127"/>
      <c r="AN35" s="1179"/>
      <c r="AO35" s="1179"/>
      <c r="AP35" s="1179"/>
      <c r="AQ35" s="2595"/>
      <c r="AR35" s="2595"/>
      <c r="AS35" s="2595"/>
      <c r="AT35" s="2595"/>
      <c r="AU35" s="2595"/>
      <c r="AV35" s="2595"/>
      <c r="AW35" s="2595"/>
      <c r="AX35" s="2595"/>
      <c r="AY35" s="2595"/>
      <c r="AZ35" s="2595"/>
      <c r="BA35" s="42"/>
      <c r="BB35" s="42"/>
    </row>
    <row r="36" spans="1:54" s="3402" customFormat="1" ht="16.5" customHeight="1">
      <c r="A36" s="1127"/>
      <c r="B36" s="1179"/>
      <c r="C36" s="1556" t="s">
        <v>105</v>
      </c>
      <c r="D36" s="2686" t="s">
        <v>3697</v>
      </c>
      <c r="E36" s="2686"/>
      <c r="F36" s="1179"/>
      <c r="G36" s="1179"/>
      <c r="H36" s="1179"/>
      <c r="I36" s="1179"/>
      <c r="J36" s="1179"/>
      <c r="K36" s="1179"/>
      <c r="L36" s="1179"/>
      <c r="M36" s="1179"/>
      <c r="N36" s="1179"/>
      <c r="O36" s="1179"/>
      <c r="P36" s="1179"/>
      <c r="Q36" s="1179"/>
      <c r="R36" s="1179"/>
      <c r="S36" s="1179"/>
      <c r="T36" s="1179"/>
      <c r="U36" s="1179"/>
      <c r="V36" s="1179"/>
      <c r="W36" s="1179"/>
      <c r="X36" s="1179"/>
      <c r="Y36" s="1179"/>
      <c r="Z36" s="1179"/>
      <c r="AA36" s="1179"/>
      <c r="AB36" s="1179"/>
      <c r="AC36" s="1179"/>
      <c r="AD36" s="1558"/>
      <c r="AE36" s="9137" t="b">
        <f>OR(AO46="",AO46=0)</f>
        <v>1</v>
      </c>
      <c r="AF36" s="9138"/>
      <c r="AG36" s="9138"/>
      <c r="AH36" s="9138"/>
      <c r="AI36" s="9138"/>
      <c r="AJ36" s="9138"/>
      <c r="AK36" s="1127"/>
      <c r="AL36" s="1127"/>
      <c r="AM36" s="1127"/>
      <c r="AN36" s="1179"/>
      <c r="AO36" s="4081"/>
      <c r="AP36" s="1179"/>
      <c r="AQ36" s="2595"/>
      <c r="AR36" s="2595"/>
      <c r="AS36" s="2595"/>
      <c r="AT36" s="2595"/>
      <c r="AU36" s="2595"/>
      <c r="AV36" s="2595"/>
      <c r="AW36" s="2595"/>
      <c r="AX36" s="2595"/>
      <c r="AY36" s="2595"/>
      <c r="AZ36" s="2595"/>
      <c r="BA36" s="42"/>
      <c r="BB36" s="42"/>
    </row>
    <row r="37" spans="1:54" s="3402" customFormat="1" ht="16.5" customHeight="1">
      <c r="A37" s="1127"/>
      <c r="B37" s="1179"/>
      <c r="C37" s="1179"/>
      <c r="D37" s="3719" t="s">
        <v>3698</v>
      </c>
      <c r="E37" s="2686"/>
      <c r="F37" s="1179"/>
      <c r="G37" s="1179"/>
      <c r="H37" s="1179"/>
      <c r="I37" s="1179"/>
      <c r="J37" s="1179"/>
      <c r="K37" s="1179"/>
      <c r="L37" s="1179"/>
      <c r="M37" s="1179"/>
      <c r="N37" s="1179"/>
      <c r="O37" s="1179"/>
      <c r="P37" s="1179"/>
      <c r="Q37" s="1179"/>
      <c r="R37" s="1179"/>
      <c r="S37" s="1179"/>
      <c r="T37" s="1179"/>
      <c r="U37" s="1179"/>
      <c r="V37" s="1179"/>
      <c r="W37" s="1179"/>
      <c r="X37" s="1179"/>
      <c r="Y37" s="1179"/>
      <c r="Z37" s="1179"/>
      <c r="AA37" s="1179"/>
      <c r="AB37" s="1179"/>
      <c r="AC37" s="3489" t="s">
        <v>802</v>
      </c>
      <c r="AD37" s="2224">
        <v>10</v>
      </c>
      <c r="AE37" s="9126" t="str">
        <f>IF(AH12,"",IF(OR(AO46="",AO46=0),0,AO46))</f>
        <v/>
      </c>
      <c r="AF37" s="9477"/>
      <c r="AG37" s="9477"/>
      <c r="AH37" s="9477"/>
      <c r="AI37" s="9477"/>
      <c r="AJ37" s="9477"/>
      <c r="AK37" s="1127"/>
      <c r="AL37" s="1127"/>
      <c r="AM37" s="1127"/>
      <c r="AN37" s="1179"/>
      <c r="AO37" s="7717" t="s">
        <v>3742</v>
      </c>
      <c r="AP37" s="1179"/>
      <c r="AQ37" s="2595"/>
      <c r="AR37" s="2595"/>
      <c r="AS37" s="2595"/>
      <c r="AT37" s="2595"/>
      <c r="AU37" s="2595"/>
      <c r="AV37" s="2595"/>
      <c r="AW37" s="2595"/>
      <c r="AX37" s="2595"/>
      <c r="AY37" s="2595"/>
      <c r="AZ37" s="2595"/>
      <c r="BA37" s="42"/>
      <c r="BB37" s="42"/>
    </row>
    <row r="38" spans="1:54" s="3402" customFormat="1" ht="16.5" customHeight="1">
      <c r="A38" s="1127"/>
      <c r="B38" s="1179"/>
      <c r="C38" s="1556" t="s">
        <v>657</v>
      </c>
      <c r="D38" s="2686" t="str">
        <f>"Enter the smaller of line 10 or "&amp;TEXT(Z40,"$0,000")</f>
        <v>Enter the smaller of line 10 or $10,000</v>
      </c>
      <c r="E38" s="2686"/>
      <c r="F38" s="1179"/>
      <c r="G38" s="1179"/>
      <c r="H38" s="1179"/>
      <c r="I38" s="1179"/>
      <c r="J38" s="1179"/>
      <c r="K38" s="1179"/>
      <c r="L38" s="1179"/>
      <c r="M38" s="1179"/>
      <c r="N38" s="4168"/>
      <c r="O38" s="4168"/>
      <c r="P38" s="4168"/>
      <c r="Q38" s="4168"/>
      <c r="R38" s="4168"/>
      <c r="S38" s="4168"/>
      <c r="T38" s="4168"/>
      <c r="U38" s="4168"/>
      <c r="V38" s="4168"/>
      <c r="W38" s="4168"/>
      <c r="X38" s="4168"/>
      <c r="Y38" s="4168"/>
      <c r="Z38" s="4168"/>
      <c r="AA38" s="4168"/>
      <c r="AB38" s="4168"/>
      <c r="AC38" s="4388" t="s">
        <v>299</v>
      </c>
      <c r="AD38" s="2224">
        <v>11</v>
      </c>
      <c r="AE38" s="9126" t="str">
        <f>IF(OR($AE$20,$AE$36),"",MIN(AE37,Z40))</f>
        <v/>
      </c>
      <c r="AF38" s="9477"/>
      <c r="AG38" s="9477"/>
      <c r="AH38" s="9477"/>
      <c r="AI38" s="9477"/>
      <c r="AJ38" s="9477"/>
      <c r="AK38" s="1127"/>
      <c r="AL38" s="1127"/>
      <c r="AM38" s="1127"/>
      <c r="AN38" s="9504" t="s">
        <v>3744</v>
      </c>
      <c r="AO38" s="7717"/>
      <c r="AP38" s="1179"/>
      <c r="AQ38" s="2595"/>
      <c r="AR38" s="2595"/>
      <c r="AS38" s="2595"/>
      <c r="AT38" s="2595"/>
      <c r="AU38" s="2595"/>
      <c r="AV38" s="2595"/>
      <c r="AW38" s="2595"/>
      <c r="AX38" s="2595"/>
      <c r="AY38" s="2595"/>
      <c r="AZ38" s="2595"/>
      <c r="BA38" s="42"/>
      <c r="BB38" s="42"/>
    </row>
    <row r="39" spans="1:54" s="3402" customFormat="1" ht="16.5" customHeight="1">
      <c r="A39" s="1127"/>
      <c r="B39" s="1179"/>
      <c r="C39" s="1556" t="s">
        <v>220</v>
      </c>
      <c r="D39" s="2686" t="str">
        <f>"Multiply line 11 by "&amp;TEXT(AB40,"0%")&amp;" ("&amp;TEXT(AB40,"0.00")&amp;")"</f>
        <v>Multiply line 11 by 20% (0.20)</v>
      </c>
      <c r="E39" s="2686"/>
      <c r="F39" s="1179"/>
      <c r="G39" s="1179"/>
      <c r="H39" s="1179"/>
      <c r="I39" s="1179"/>
      <c r="J39" s="1179"/>
      <c r="K39" s="1179"/>
      <c r="L39" s="1179"/>
      <c r="M39" s="1179"/>
      <c r="N39" s="1179"/>
      <c r="O39" s="1179"/>
      <c r="P39" s="1179"/>
      <c r="Q39" s="1179"/>
      <c r="R39" s="1179"/>
      <c r="S39" s="1179"/>
      <c r="T39" s="1179"/>
      <c r="U39" s="1179"/>
      <c r="V39" s="1179"/>
      <c r="W39" s="4359"/>
      <c r="X39" s="1179"/>
      <c r="Y39" s="1179"/>
      <c r="Z39" s="4389"/>
      <c r="AA39" s="4389"/>
      <c r="AB39" s="4389"/>
      <c r="AC39" s="4388" t="s">
        <v>536</v>
      </c>
      <c r="AD39" s="2224">
        <v>12</v>
      </c>
      <c r="AE39" s="9126" t="str">
        <f>IF(OR($AE$20,$AE$36),"",ROUND(AE38*AB40,0))</f>
        <v/>
      </c>
      <c r="AF39" s="9477"/>
      <c r="AG39" s="9477"/>
      <c r="AH39" s="9477"/>
      <c r="AI39" s="9477"/>
      <c r="AJ39" s="9477"/>
      <c r="AK39" s="1127"/>
      <c r="AL39" s="1127"/>
      <c r="AM39" s="1127"/>
      <c r="AN39" s="6636"/>
      <c r="AO39" s="7717"/>
      <c r="AP39" s="1179"/>
      <c r="AQ39" s="2595"/>
      <c r="AR39" s="2595"/>
      <c r="AS39" s="2595"/>
      <c r="AT39" s="2595"/>
      <c r="AU39" s="2595"/>
      <c r="AV39" s="2595"/>
      <c r="AW39" s="2595"/>
      <c r="AX39" s="2595"/>
      <c r="AY39" s="2595"/>
      <c r="AZ39" s="2595"/>
      <c r="BA39" s="42"/>
      <c r="BB39" s="42"/>
    </row>
    <row r="40" spans="1:54" s="3402" customFormat="1" ht="16.5" customHeight="1">
      <c r="A40" s="1127"/>
      <c r="B40" s="1179"/>
      <c r="C40" s="1556" t="s">
        <v>658</v>
      </c>
      <c r="D40" s="2686" t="str">
        <f>"Enter: "&amp;TEXT(AE40,"$0,000")&amp;" if married filing jointly; "&amp;TEXT(AE41,"$0,000")&amp;" if single, head of household, or"</f>
        <v>Enter: $180,000 if married filing jointly; $90,000 if single, head of household, or</v>
      </c>
      <c r="E40" s="2686"/>
      <c r="F40" s="1179"/>
      <c r="G40" s="1179"/>
      <c r="H40" s="1179"/>
      <c r="I40" s="1179"/>
      <c r="J40" s="1179"/>
      <c r="K40" s="1179"/>
      <c r="L40" s="1179"/>
      <c r="M40" s="1179"/>
      <c r="N40" s="1179"/>
      <c r="O40" s="1179"/>
      <c r="P40" s="1179"/>
      <c r="Q40" s="1179"/>
      <c r="R40" s="1179"/>
      <c r="S40" s="1179"/>
      <c r="T40" s="1179"/>
      <c r="U40" s="1179"/>
      <c r="V40" s="1179"/>
      <c r="W40" s="2214"/>
      <c r="X40" s="1582"/>
      <c r="Y40" s="1179"/>
      <c r="Z40" s="7772">
        <v>10000</v>
      </c>
      <c r="AA40" s="7772"/>
      <c r="AB40" s="7772">
        <v>0.2</v>
      </c>
      <c r="AC40" s="7773"/>
      <c r="AD40" s="1561"/>
      <c r="AE40" s="9171">
        <v>180000</v>
      </c>
      <c r="AF40" s="9172"/>
      <c r="AG40" s="9172"/>
      <c r="AH40" s="9172"/>
      <c r="AI40" s="9172"/>
      <c r="AJ40" s="9172"/>
      <c r="AK40" s="1127"/>
      <c r="AL40" s="1127"/>
      <c r="AM40" s="1127"/>
      <c r="AN40" s="6636"/>
      <c r="AO40" s="1824" t="s">
        <v>3746</v>
      </c>
      <c r="AP40" s="1179"/>
      <c r="AQ40" s="2595"/>
      <c r="AR40" s="2595"/>
      <c r="AS40" s="2595"/>
      <c r="AT40" s="2595"/>
      <c r="AU40" s="2595"/>
      <c r="AV40" s="2595"/>
      <c r="AW40" s="2595"/>
      <c r="AX40" s="2595"/>
      <c r="AY40" s="2595"/>
      <c r="AZ40" s="2595"/>
      <c r="BA40" s="42"/>
      <c r="BB40" s="42"/>
    </row>
    <row r="41" spans="1:54" s="3402" customFormat="1" ht="16.5" customHeight="1" thickBot="1">
      <c r="A41" s="1127"/>
      <c r="B41" s="1179"/>
      <c r="C41" s="1179"/>
      <c r="D41" s="2686" t="s">
        <v>3688</v>
      </c>
      <c r="E41" s="2686"/>
      <c r="F41" s="1179"/>
      <c r="G41" s="1179"/>
      <c r="H41" s="1179"/>
      <c r="I41" s="1179"/>
      <c r="J41" s="1179"/>
      <c r="K41" s="1179"/>
      <c r="L41" s="1179"/>
      <c r="M41" s="1179"/>
      <c r="N41" s="1179"/>
      <c r="O41" s="1179"/>
      <c r="P41" s="1179"/>
      <c r="Q41" s="1179"/>
      <c r="R41" s="1179"/>
      <c r="S41" s="1179"/>
      <c r="T41" s="1179"/>
      <c r="U41" s="1179"/>
      <c r="V41" s="3489" t="s">
        <v>94</v>
      </c>
      <c r="W41" s="2224" t="s">
        <v>658</v>
      </c>
      <c r="X41" s="9115" t="str">
        <f>IF(OR($AE$20,$AE$36),"",IF(File_Marr_Joint&lt;&gt;"",AE40,AE41))</f>
        <v/>
      </c>
      <c r="Y41" s="9116"/>
      <c r="Z41" s="9116"/>
      <c r="AA41" s="9116"/>
      <c r="AB41" s="9116"/>
      <c r="AC41" s="9136"/>
      <c r="AD41" s="1561"/>
      <c r="AE41" s="9487">
        <v>90000</v>
      </c>
      <c r="AF41" s="9488"/>
      <c r="AG41" s="9488"/>
      <c r="AH41" s="9488"/>
      <c r="AI41" s="9488"/>
      <c r="AJ41" s="9488"/>
      <c r="AK41" s="1127"/>
      <c r="AL41" s="1127"/>
      <c r="AM41" s="1127"/>
      <c r="AN41" s="6636"/>
      <c r="AO41" s="4378" t="s">
        <v>3745</v>
      </c>
      <c r="AP41" s="1179"/>
      <c r="AQ41" s="2595"/>
      <c r="AR41" s="2595"/>
      <c r="AS41" s="2595"/>
      <c r="AT41" s="2595"/>
      <c r="AU41" s="2595"/>
      <c r="AV41" s="2595"/>
      <c r="AW41" s="2595"/>
      <c r="AX41" s="2595"/>
      <c r="AY41" s="2595"/>
      <c r="AZ41" s="2595"/>
      <c r="BA41" s="42"/>
      <c r="BB41" s="42"/>
    </row>
    <row r="42" spans="1:54" s="3402" customFormat="1" ht="16.5" customHeight="1">
      <c r="A42" s="1127"/>
      <c r="B42" s="1179"/>
      <c r="C42" s="1556" t="s">
        <v>661</v>
      </c>
      <c r="D42" s="2686" t="s">
        <v>4245</v>
      </c>
      <c r="E42" s="2686"/>
      <c r="F42" s="1179"/>
      <c r="G42" s="1179"/>
      <c r="H42" s="1179"/>
      <c r="I42" s="1179"/>
      <c r="J42" s="1179"/>
      <c r="K42" s="1179"/>
      <c r="L42" s="1179"/>
      <c r="M42" s="1179"/>
      <c r="N42" s="1179"/>
      <c r="O42" s="1179"/>
      <c r="P42" s="1179"/>
      <c r="Q42" s="1179"/>
      <c r="R42" s="1179"/>
      <c r="S42" s="1179"/>
      <c r="T42" s="1179"/>
      <c r="U42" s="1179"/>
      <c r="V42" s="1179"/>
      <c r="W42" s="2214"/>
      <c r="X42" s="1179"/>
      <c r="Y42" s="1179"/>
      <c r="Z42" s="1179"/>
      <c r="AA42" s="1179"/>
      <c r="AB42" s="1179"/>
      <c r="AC42" s="1179"/>
      <c r="AD42" s="1561"/>
      <c r="AE42" s="1179"/>
      <c r="AF42" s="1179"/>
      <c r="AG42" s="1179"/>
      <c r="AH42" s="1179"/>
      <c r="AI42" s="1179"/>
      <c r="AJ42" s="1179"/>
      <c r="AK42" s="1127"/>
      <c r="AL42" s="1127"/>
      <c r="AM42" s="1127"/>
      <c r="AN42" s="1824">
        <v>1</v>
      </c>
      <c r="AO42" s="4385" t="str">
        <f>LLC_1</f>
        <v/>
      </c>
      <c r="AP42" s="1179"/>
      <c r="AQ42" s="2595"/>
      <c r="AR42" s="2595"/>
      <c r="AS42" s="2595"/>
      <c r="AT42" s="2595"/>
      <c r="AU42" s="2595"/>
      <c r="AV42" s="2595"/>
      <c r="AW42" s="2595"/>
      <c r="AX42" s="2595"/>
      <c r="AY42" s="2595"/>
      <c r="AZ42" s="2595"/>
      <c r="BA42" s="42"/>
      <c r="BB42" s="42"/>
    </row>
    <row r="43" spans="1:54" s="3402" customFormat="1" ht="16.5" customHeight="1">
      <c r="A43" s="1127"/>
      <c r="B43" s="1179"/>
      <c r="C43" s="1179"/>
      <c r="D43" s="2686" t="s">
        <v>3686</v>
      </c>
      <c r="E43" s="2686"/>
      <c r="F43" s="1179"/>
      <c r="G43" s="1179"/>
      <c r="H43" s="1179"/>
      <c r="I43" s="1179"/>
      <c r="J43" s="1179"/>
      <c r="K43" s="1179"/>
      <c r="L43" s="1179"/>
      <c r="M43" s="1179"/>
      <c r="N43" s="1179"/>
      <c r="O43" s="1179"/>
      <c r="P43" s="1179"/>
      <c r="Q43" s="1179"/>
      <c r="R43" s="1179"/>
      <c r="S43" s="1179"/>
      <c r="T43" s="1179"/>
      <c r="U43" s="1179"/>
      <c r="V43" s="1179"/>
      <c r="W43" s="2214"/>
      <c r="X43" s="1582"/>
      <c r="Y43" s="1179"/>
      <c r="Z43" s="1179"/>
      <c r="AA43" s="1179"/>
      <c r="AB43" s="1179"/>
      <c r="AC43" s="1583"/>
      <c r="AD43" s="1561"/>
      <c r="AE43" s="1179"/>
      <c r="AF43" s="1179"/>
      <c r="AG43" s="1179"/>
      <c r="AH43" s="1179"/>
      <c r="AI43" s="1179"/>
      <c r="AJ43" s="1179"/>
      <c r="AK43" s="1127"/>
      <c r="AL43" s="1127"/>
      <c r="AM43" s="1127"/>
      <c r="AN43" s="1824">
        <v>2</v>
      </c>
      <c r="AO43" s="4386" t="str">
        <f>LLC_2</f>
        <v/>
      </c>
      <c r="AP43" s="1179"/>
      <c r="AQ43" s="2595"/>
      <c r="AR43" s="2595"/>
      <c r="AS43" s="2595"/>
      <c r="AT43" s="2595"/>
      <c r="AU43" s="2595"/>
      <c r="AV43" s="2595"/>
      <c r="AW43" s="2595"/>
      <c r="AX43" s="2595"/>
      <c r="AY43" s="2595"/>
      <c r="AZ43" s="2595"/>
      <c r="BA43" s="42"/>
      <c r="BB43" s="42"/>
    </row>
    <row r="44" spans="1:54" s="3402" customFormat="1" ht="16.5" customHeight="1" thickBot="1">
      <c r="A44" s="1127"/>
      <c r="B44" s="1179"/>
      <c r="C44" s="1179"/>
      <c r="D44" s="2686" t="s">
        <v>3699</v>
      </c>
      <c r="E44" s="2686"/>
      <c r="F44" s="1179"/>
      <c r="G44" s="1179"/>
      <c r="H44" s="1179"/>
      <c r="I44" s="1179"/>
      <c r="J44" s="1179"/>
      <c r="K44" s="1179"/>
      <c r="L44" s="1179"/>
      <c r="M44" s="1179"/>
      <c r="N44" s="1179"/>
      <c r="O44" s="1179"/>
      <c r="P44" s="1179"/>
      <c r="Q44" s="1179"/>
      <c r="R44" s="1179"/>
      <c r="S44" s="1179"/>
      <c r="T44" s="1179"/>
      <c r="U44" s="1179"/>
      <c r="V44" s="3489" t="s">
        <v>94</v>
      </c>
      <c r="W44" s="2224">
        <v>14</v>
      </c>
      <c r="X44" s="9115" t="str">
        <f>IF(OR($AE$20,$AE$36),"",Adj_Gross_Inc)</f>
        <v/>
      </c>
      <c r="Y44" s="9116"/>
      <c r="Z44" s="9116"/>
      <c r="AA44" s="9116"/>
      <c r="AB44" s="9116"/>
      <c r="AC44" s="9136"/>
      <c r="AD44" s="1561"/>
      <c r="AE44" s="1179"/>
      <c r="AF44" s="1179"/>
      <c r="AG44" s="1179"/>
      <c r="AH44" s="1179"/>
      <c r="AI44" s="1179"/>
      <c r="AJ44" s="1179"/>
      <c r="AK44" s="1127"/>
      <c r="AL44" s="1127"/>
      <c r="AM44" s="1127"/>
      <c r="AN44" s="1824">
        <v>3</v>
      </c>
      <c r="AO44" s="4386" t="str">
        <f>LLC_3</f>
        <v/>
      </c>
      <c r="AP44" s="1179"/>
      <c r="AQ44" s="2595"/>
      <c r="AR44" s="2595"/>
      <c r="AS44" s="2595"/>
      <c r="AT44" s="2595"/>
      <c r="AU44" s="2595"/>
      <c r="AV44" s="2595"/>
      <c r="AW44" s="2595"/>
      <c r="AX44" s="2595"/>
      <c r="AY44" s="2595"/>
      <c r="AZ44" s="2595"/>
      <c r="BA44" s="42"/>
      <c r="BB44" s="42"/>
    </row>
    <row r="45" spans="1:54" ht="16.5" customHeight="1" thickBot="1">
      <c r="A45" s="1127"/>
      <c r="B45" s="1179"/>
      <c r="C45" s="1556" t="s">
        <v>662</v>
      </c>
      <c r="D45" s="2686" t="s">
        <v>3700</v>
      </c>
      <c r="E45" s="2686"/>
      <c r="F45" s="1179"/>
      <c r="G45" s="1179"/>
      <c r="H45" s="1179"/>
      <c r="I45" s="1179"/>
      <c r="J45" s="1179"/>
      <c r="K45" s="1179"/>
      <c r="L45" s="1179"/>
      <c r="M45" s="1179"/>
      <c r="N45" s="1179"/>
      <c r="O45" s="1179"/>
      <c r="P45" s="1179"/>
      <c r="Q45" s="1179"/>
      <c r="R45" s="1179"/>
      <c r="S45" s="1179"/>
      <c r="T45" s="1179"/>
      <c r="U45" s="1179"/>
      <c r="V45" s="1179"/>
      <c r="W45" s="2214"/>
      <c r="X45" s="9137" t="b">
        <f>X46&lt;=0</f>
        <v>0</v>
      </c>
      <c r="Y45" s="9138"/>
      <c r="Z45" s="9138"/>
      <c r="AA45" s="9138"/>
      <c r="AB45" s="9138"/>
      <c r="AC45" s="9139"/>
      <c r="AD45" s="1561"/>
      <c r="AE45" s="1179"/>
      <c r="AF45" s="1179"/>
      <c r="AG45" s="1179"/>
      <c r="AH45" s="1179"/>
      <c r="AI45" s="1179"/>
      <c r="AJ45" s="1179"/>
      <c r="AK45" s="1127"/>
      <c r="AL45" s="1127"/>
      <c r="AM45" s="1127"/>
      <c r="AN45" s="1824">
        <v>4</v>
      </c>
      <c r="AO45" s="4387" t="str">
        <f>LLC_4</f>
        <v/>
      </c>
      <c r="AP45" s="1179"/>
      <c r="AQ45" s="9489" t="s">
        <v>3754</v>
      </c>
      <c r="AR45" s="9490"/>
      <c r="AS45" s="9490"/>
      <c r="AT45" s="9490"/>
      <c r="AU45" s="9490"/>
      <c r="AV45" s="9490"/>
      <c r="AW45" s="9490"/>
      <c r="AX45" s="9490"/>
      <c r="AY45" s="9491"/>
      <c r="BA45" s="1731"/>
      <c r="BB45" s="1731"/>
    </row>
    <row r="46" spans="1:54" ht="16.5" customHeight="1" thickBot="1">
      <c r="A46" s="1127"/>
      <c r="B46" s="1179"/>
      <c r="C46" s="1179"/>
      <c r="D46" s="2686" t="s">
        <v>3701</v>
      </c>
      <c r="E46" s="2686"/>
      <c r="F46" s="1179"/>
      <c r="G46" s="1179"/>
      <c r="H46" s="1179"/>
      <c r="I46" s="1179"/>
      <c r="J46" s="1179"/>
      <c r="K46" s="1179"/>
      <c r="L46" s="1179"/>
      <c r="M46" s="1179"/>
      <c r="N46" s="1179"/>
      <c r="O46" s="1179"/>
      <c r="P46" s="1179"/>
      <c r="Q46" s="1179"/>
      <c r="R46" s="1179"/>
      <c r="S46" s="1179"/>
      <c r="T46" s="1179"/>
      <c r="U46" s="1179"/>
      <c r="V46" s="3489" t="s">
        <v>919</v>
      </c>
      <c r="W46" s="2224" t="s">
        <v>662</v>
      </c>
      <c r="X46" s="9115" t="str">
        <f>IF(OR($AE$20,$AE$36),"",SUM(X41,-X44))</f>
        <v/>
      </c>
      <c r="Y46" s="9116"/>
      <c r="Z46" s="9116"/>
      <c r="AA46" s="9116"/>
      <c r="AB46" s="9116"/>
      <c r="AC46" s="9136"/>
      <c r="AD46" s="1561"/>
      <c r="AE46" s="1179"/>
      <c r="AF46" s="1179"/>
      <c r="AG46" s="1179"/>
      <c r="AH46" s="1179"/>
      <c r="AI46" s="1179"/>
      <c r="AJ46" s="1179"/>
      <c r="AK46" s="1127"/>
      <c r="AL46" s="1127"/>
      <c r="AM46" s="1127"/>
      <c r="AN46" s="1824" t="s">
        <v>3765</v>
      </c>
      <c r="AO46" s="4384">
        <f>SUM(AO42:AO45)</f>
        <v>0</v>
      </c>
      <c r="AP46" s="1179"/>
      <c r="AQ46" s="4417" t="s">
        <v>3747</v>
      </c>
      <c r="AR46" s="4410"/>
      <c r="AS46" s="4410"/>
      <c r="AT46" s="4410"/>
      <c r="AU46" s="4410"/>
      <c r="AV46" s="4410"/>
      <c r="AW46" s="4410"/>
      <c r="AX46" s="4410"/>
      <c r="AY46" s="4411"/>
      <c r="BA46" s="1731"/>
      <c r="BB46" s="1731"/>
    </row>
    <row r="47" spans="1:54" ht="16.5" customHeight="1">
      <c r="A47" s="1127"/>
      <c r="B47" s="1179"/>
      <c r="C47" s="1556" t="s">
        <v>1105</v>
      </c>
      <c r="D47" s="2686" t="str">
        <f>"Enter: "&amp;TEXT(AE23,"$0,000")&amp;" if married filing jointly; "&amp;TEXT(AE24,"$0,000")&amp;" if single, head of household, or"</f>
        <v>Enter: $20,000 if married filing jointly; $10,000 if single, head of household, or</v>
      </c>
      <c r="E47" s="2686"/>
      <c r="F47" s="1179"/>
      <c r="G47" s="1179"/>
      <c r="H47" s="1179"/>
      <c r="I47" s="1179"/>
      <c r="J47" s="1179"/>
      <c r="K47" s="1179"/>
      <c r="L47" s="1179"/>
      <c r="M47" s="1179"/>
      <c r="N47" s="1179"/>
      <c r="O47" s="1179"/>
      <c r="P47" s="1179"/>
      <c r="Q47" s="1179"/>
      <c r="R47" s="1179"/>
      <c r="S47" s="1179"/>
      <c r="T47" s="1179"/>
      <c r="U47" s="1179"/>
      <c r="V47" s="1179"/>
      <c r="W47" s="2214"/>
      <c r="X47" s="1582"/>
      <c r="Y47" s="1179"/>
      <c r="Z47" s="1179"/>
      <c r="AA47" s="1179"/>
      <c r="AB47" s="1179"/>
      <c r="AC47" s="1583"/>
      <c r="AD47" s="1561"/>
      <c r="AE47" s="1179"/>
      <c r="AF47" s="1179"/>
      <c r="AG47" s="1179"/>
      <c r="AH47" s="1179"/>
      <c r="AI47" s="1179"/>
      <c r="AJ47" s="1179"/>
      <c r="AK47" s="1127"/>
      <c r="AL47" s="1127"/>
      <c r="AM47" s="1127"/>
      <c r="AN47" s="1179"/>
      <c r="AO47" s="1179"/>
      <c r="AP47" s="1179"/>
      <c r="AQ47" s="4412" t="s">
        <v>3749</v>
      </c>
      <c r="AR47" s="4410"/>
      <c r="AS47" s="4410"/>
      <c r="AT47" s="4410"/>
      <c r="AU47" s="4410"/>
      <c r="AV47" s="4410"/>
      <c r="AW47" s="4413" t="s">
        <v>294</v>
      </c>
      <c r="AX47" s="2045" t="str">
        <f>AE53</f>
        <v/>
      </c>
      <c r="AY47" s="4411"/>
      <c r="BA47" s="1731"/>
      <c r="BB47" s="1731"/>
    </row>
    <row r="48" spans="1:54" ht="16.5" customHeight="1">
      <c r="A48" s="1127"/>
      <c r="B48" s="1179"/>
      <c r="C48" s="1179"/>
      <c r="D48" s="3355" t="s">
        <v>3688</v>
      </c>
      <c r="E48" s="2686"/>
      <c r="F48" s="1179"/>
      <c r="G48" s="1179"/>
      <c r="H48" s="1179"/>
      <c r="I48" s="1179"/>
      <c r="J48" s="1179"/>
      <c r="K48" s="1179"/>
      <c r="L48" s="1179"/>
      <c r="M48" s="1179"/>
      <c r="N48" s="1179"/>
      <c r="O48" s="1179"/>
      <c r="P48" s="1179"/>
      <c r="Q48" s="1179"/>
      <c r="R48" s="1179"/>
      <c r="S48" s="1179"/>
      <c r="T48" s="1179"/>
      <c r="U48" s="1179"/>
      <c r="V48" s="3489" t="s">
        <v>94</v>
      </c>
      <c r="W48" s="2224" t="s">
        <v>1105</v>
      </c>
      <c r="X48" s="9115" t="str">
        <f>IF(OR($AE$20,$AE$36,$X$45),"",IF(File_Marr_Joint&lt;&gt;"",AE23,AE24))</f>
        <v/>
      </c>
      <c r="Y48" s="9116"/>
      <c r="Z48" s="9116"/>
      <c r="AA48" s="9116"/>
      <c r="AB48" s="9116"/>
      <c r="AC48" s="9136"/>
      <c r="AD48" s="1561"/>
      <c r="AE48" s="1179"/>
      <c r="AF48" s="1179"/>
      <c r="AG48" s="1179"/>
      <c r="AH48" s="1179"/>
      <c r="AI48" s="1179"/>
      <c r="AJ48" s="1179"/>
      <c r="AK48" s="1127"/>
      <c r="AL48" s="1127"/>
      <c r="AM48" s="1127"/>
      <c r="AN48" s="1276"/>
      <c r="AO48" s="1276"/>
      <c r="AP48" s="1179"/>
      <c r="AQ48" s="4412" t="s">
        <v>3748</v>
      </c>
      <c r="AR48" s="4410"/>
      <c r="AS48" s="4410"/>
      <c r="AT48" s="4410"/>
      <c r="AU48" s="4410"/>
      <c r="AV48" s="4410"/>
      <c r="AW48" s="4413" t="s">
        <v>0</v>
      </c>
      <c r="AX48" s="2045" t="str">
        <f>AE35</f>
        <v/>
      </c>
      <c r="AY48" s="4411"/>
      <c r="BA48" s="1731"/>
      <c r="BB48" s="1731"/>
    </row>
    <row r="49" spans="1:54" ht="16.5" customHeight="1">
      <c r="A49" s="1127"/>
      <c r="B49" s="1179"/>
      <c r="C49" s="1556" t="s">
        <v>1107</v>
      </c>
      <c r="D49" s="2686" t="s">
        <v>3702</v>
      </c>
      <c r="E49" s="2686"/>
      <c r="F49" s="1179"/>
      <c r="G49" s="1179"/>
      <c r="H49" s="1179"/>
      <c r="I49" s="1179"/>
      <c r="J49" s="1179"/>
      <c r="K49" s="1179"/>
      <c r="L49" s="1179"/>
      <c r="M49" s="1179"/>
      <c r="N49" s="1179"/>
      <c r="O49" s="1179"/>
      <c r="P49" s="1179"/>
      <c r="Q49" s="1179"/>
      <c r="R49" s="1179"/>
      <c r="S49" s="1179"/>
      <c r="T49" s="1179"/>
      <c r="U49" s="1179"/>
      <c r="V49" s="1179"/>
      <c r="W49" s="1179"/>
      <c r="X49" s="1179"/>
      <c r="Y49" s="1179"/>
      <c r="Z49" s="1179"/>
      <c r="AA49" s="1179"/>
      <c r="AB49" s="1179"/>
      <c r="AC49" s="1179"/>
      <c r="AD49" s="1561"/>
      <c r="AE49" s="1179"/>
      <c r="AF49" s="1179"/>
      <c r="AG49" s="1179"/>
      <c r="AH49" s="1179"/>
      <c r="AI49" s="1179"/>
      <c r="AJ49" s="1179"/>
      <c r="AK49" s="1127"/>
      <c r="AL49" s="1127"/>
      <c r="AM49" s="1127"/>
      <c r="AN49" s="1179"/>
      <c r="AO49" s="1179"/>
      <c r="AP49" s="1179"/>
      <c r="AQ49" s="4412" t="s">
        <v>3750</v>
      </c>
      <c r="AR49" s="4410"/>
      <c r="AS49" s="4410"/>
      <c r="AT49" s="4410"/>
      <c r="AU49" s="4410"/>
      <c r="AV49" s="4410"/>
      <c r="AW49" s="4413" t="s">
        <v>1</v>
      </c>
      <c r="AX49" s="2045">
        <f>SUM(AX47,AX48)</f>
        <v>0</v>
      </c>
      <c r="AY49" s="4411"/>
    </row>
    <row r="50" spans="1:54" ht="16.5" customHeight="1">
      <c r="A50" s="1127"/>
      <c r="B50" s="1179"/>
      <c r="C50" s="1179"/>
      <c r="D50" s="2944" t="s">
        <v>1275</v>
      </c>
      <c r="E50" s="2686" t="s">
        <v>3703</v>
      </c>
      <c r="F50" s="1179"/>
      <c r="G50" s="1179"/>
      <c r="H50" s="1179"/>
      <c r="I50" s="1179"/>
      <c r="J50" s="1179"/>
      <c r="K50" s="1179"/>
      <c r="L50" s="1179"/>
      <c r="M50" s="1179"/>
      <c r="N50" s="1179"/>
      <c r="O50" s="1179"/>
      <c r="P50" s="1179"/>
      <c r="Q50" s="1179"/>
      <c r="R50" s="1179"/>
      <c r="S50" s="1179"/>
      <c r="T50" s="1179"/>
      <c r="U50" s="1179"/>
      <c r="V50" s="1179"/>
      <c r="W50" s="1179"/>
      <c r="X50" s="1179"/>
      <c r="Y50" s="1179"/>
      <c r="Z50" s="1179"/>
      <c r="AA50" s="1179"/>
      <c r="AB50" s="1179"/>
      <c r="AC50" s="1179"/>
      <c r="AD50" s="1561"/>
      <c r="AE50" s="1179"/>
      <c r="AF50" s="1179"/>
      <c r="AG50" s="1179"/>
      <c r="AH50" s="1179"/>
      <c r="AI50" s="1179"/>
      <c r="AJ50" s="1179"/>
      <c r="AK50" s="1127"/>
      <c r="AL50" s="1127"/>
      <c r="AM50" s="1127"/>
      <c r="AN50" s="1179"/>
      <c r="AO50" s="1179"/>
      <c r="AP50" s="1179"/>
      <c r="AQ50" s="4412" t="s">
        <v>4684</v>
      </c>
      <c r="AR50" s="4410"/>
      <c r="AS50" s="4410"/>
      <c r="AT50" s="4410"/>
      <c r="AU50" s="4410"/>
      <c r="AV50" s="4410"/>
      <c r="AW50" s="4413" t="s">
        <v>399</v>
      </c>
      <c r="AX50" s="2045">
        <f>Tax</f>
        <v>0</v>
      </c>
      <c r="AY50" s="4411"/>
    </row>
    <row r="51" spans="1:54" ht="16.5" customHeight="1">
      <c r="A51" s="1127"/>
      <c r="B51" s="1179"/>
      <c r="C51" s="1179"/>
      <c r="D51" s="2944" t="s">
        <v>1275</v>
      </c>
      <c r="E51" s="2686" t="s">
        <v>3704</v>
      </c>
      <c r="F51" s="1179"/>
      <c r="G51" s="1179"/>
      <c r="H51" s="1179"/>
      <c r="I51" s="1179"/>
      <c r="J51" s="1179"/>
      <c r="K51" s="1179"/>
      <c r="L51" s="1179"/>
      <c r="M51" s="1179"/>
      <c r="N51" s="1179"/>
      <c r="O51" s="1179"/>
      <c r="P51" s="1179"/>
      <c r="Q51" s="1179"/>
      <c r="R51" s="1179"/>
      <c r="S51" s="1179"/>
      <c r="T51" s="1179"/>
      <c r="U51" s="1179"/>
      <c r="V51" s="1179"/>
      <c r="W51" s="1179"/>
      <c r="X51" s="1179"/>
      <c r="Y51" s="1179"/>
      <c r="Z51" s="1179"/>
      <c r="AA51" s="1179"/>
      <c r="AB51" s="1179"/>
      <c r="AC51" s="1179"/>
      <c r="AD51" s="1561"/>
      <c r="AE51" s="1179"/>
      <c r="AF51" s="1179"/>
      <c r="AG51" s="1179"/>
      <c r="AH51" s="1179"/>
      <c r="AI51" s="1179"/>
      <c r="AJ51" s="1179"/>
      <c r="AK51" s="1127"/>
      <c r="AL51" s="1127"/>
      <c r="AM51" s="1127"/>
      <c r="AN51" s="1824"/>
      <c r="AO51" s="1824"/>
      <c r="AP51" s="1179"/>
      <c r="AQ51" s="4412" t="s">
        <v>3751</v>
      </c>
      <c r="AR51" s="4410"/>
      <c r="AS51" s="4410"/>
      <c r="AT51" s="4410"/>
      <c r="AU51" s="4410"/>
      <c r="AV51" s="4410"/>
      <c r="AW51" s="4410"/>
      <c r="AX51" s="4410"/>
      <c r="AY51" s="4411"/>
    </row>
    <row r="52" spans="1:54" ht="16.5" customHeight="1">
      <c r="A52" s="1127"/>
      <c r="B52" s="1179"/>
      <c r="C52" s="1179"/>
      <c r="D52" s="2686"/>
      <c r="E52" s="2686" t="s">
        <v>3705</v>
      </c>
      <c r="F52" s="1179"/>
      <c r="G52" s="1179"/>
      <c r="H52" s="1179"/>
      <c r="I52" s="1179"/>
      <c r="J52" s="1179"/>
      <c r="K52" s="1179"/>
      <c r="L52" s="1179"/>
      <c r="M52" s="1179"/>
      <c r="N52" s="1179"/>
      <c r="O52" s="1179"/>
      <c r="P52" s="1179"/>
      <c r="Q52" s="1179"/>
      <c r="R52" s="1179"/>
      <c r="S52" s="1179"/>
      <c r="T52" s="1179"/>
      <c r="U52" s="1179"/>
      <c r="V52" s="1179"/>
      <c r="W52" s="1179"/>
      <c r="X52" s="1179"/>
      <c r="Y52" s="1179"/>
      <c r="Z52" s="1179"/>
      <c r="AA52" s="1179"/>
      <c r="AB52" s="1179"/>
      <c r="AC52" s="1560" t="s">
        <v>3706</v>
      </c>
      <c r="AD52" s="1557">
        <v>17</v>
      </c>
      <c r="AE52" s="9478" t="str">
        <f>IF(OR($AE$20,$AE$36,$X$45),"",IF(X46&gt;=X48,1,ROUND(X46/X48,3)))</f>
        <v/>
      </c>
      <c r="AF52" s="9479"/>
      <c r="AG52" s="9479"/>
      <c r="AH52" s="9479"/>
      <c r="AI52" s="9479"/>
      <c r="AJ52" s="9479"/>
      <c r="AK52" s="1127"/>
      <c r="AL52" s="1127"/>
      <c r="AM52" s="1127"/>
      <c r="AN52" s="1824"/>
      <c r="AO52" s="1824"/>
      <c r="AP52" s="1179"/>
      <c r="AQ52" s="4412" t="s">
        <v>5458</v>
      </c>
      <c r="AR52" s="4410"/>
      <c r="AS52" s="4410"/>
      <c r="AT52" s="4410"/>
      <c r="AU52" s="4410" t="s">
        <v>388</v>
      </c>
      <c r="AV52" s="4410"/>
      <c r="AW52" s="4413" t="s">
        <v>31</v>
      </c>
      <c r="AX52" s="2045">
        <f>SUM(Foreign_Tax_Credit,Care_Expenses,Credit_Elderly,Credit_F8978)</f>
        <v>0</v>
      </c>
      <c r="AY52" s="4411"/>
    </row>
    <row r="53" spans="1:54" ht="16.5" customHeight="1">
      <c r="A53" s="1127"/>
      <c r="B53" s="1179"/>
      <c r="C53" s="1556" t="s">
        <v>1109</v>
      </c>
      <c r="D53" s="2686" t="s">
        <v>3707</v>
      </c>
      <c r="E53" s="2686"/>
      <c r="F53" s="1179"/>
      <c r="G53" s="1179"/>
      <c r="H53" s="1179"/>
      <c r="I53" s="1179"/>
      <c r="J53" s="1179"/>
      <c r="K53" s="1179"/>
      <c r="L53" s="1179"/>
      <c r="M53" s="1179"/>
      <c r="N53" s="1179"/>
      <c r="O53" s="1179"/>
      <c r="P53" s="1179"/>
      <c r="Q53" s="1179"/>
      <c r="R53" s="1179"/>
      <c r="S53" s="1179"/>
      <c r="T53" s="1179"/>
      <c r="U53" s="1179"/>
      <c r="V53" s="1179"/>
      <c r="W53" s="1179"/>
      <c r="X53" s="1179"/>
      <c r="Y53" s="1179"/>
      <c r="Z53" s="1179"/>
      <c r="AA53" s="1179"/>
      <c r="AB53" s="1179"/>
      <c r="AC53" s="3489"/>
      <c r="AD53" s="1557">
        <v>18</v>
      </c>
      <c r="AE53" s="9126" t="str">
        <f>IF($AE$20,"",IF($AE$36,0,IF($X$45,0,ROUND(AE39*AE52,0))))</f>
        <v/>
      </c>
      <c r="AF53" s="9477"/>
      <c r="AG53" s="9477"/>
      <c r="AH53" s="9477"/>
      <c r="AI53" s="9477"/>
      <c r="AJ53" s="9477"/>
      <c r="AK53" s="1127"/>
      <c r="AL53" s="1127"/>
      <c r="AM53" s="1127"/>
      <c r="AN53" s="1824"/>
      <c r="AO53" s="24" t="s">
        <v>90</v>
      </c>
      <c r="AP53" s="1179"/>
      <c r="AQ53" s="4412" t="s">
        <v>3752</v>
      </c>
      <c r="AR53" s="4410"/>
      <c r="AS53" s="4410"/>
      <c r="AT53" s="4410"/>
      <c r="AU53" s="4410"/>
      <c r="AV53" s="4410"/>
      <c r="AW53" s="4413" t="s">
        <v>67</v>
      </c>
      <c r="AX53" s="2045">
        <f>SUM(AX50,-AX52)</f>
        <v>0</v>
      </c>
      <c r="AY53" s="4411"/>
    </row>
    <row r="54" spans="1:54" ht="16.5" customHeight="1" thickBot="1">
      <c r="A54" s="1127"/>
      <c r="B54" s="1179"/>
      <c r="C54" s="1556" t="s">
        <v>1111</v>
      </c>
      <c r="D54" s="2686" t="s">
        <v>4246</v>
      </c>
      <c r="E54" s="2686"/>
      <c r="F54" s="1179"/>
      <c r="G54" s="1179"/>
      <c r="H54" s="1179"/>
      <c r="I54" s="1179"/>
      <c r="J54" s="1179"/>
      <c r="K54" s="1179"/>
      <c r="L54" s="1179"/>
      <c r="M54" s="1179"/>
      <c r="N54" s="1179"/>
      <c r="O54" s="1179"/>
      <c r="P54" s="1179"/>
      <c r="Q54" s="1179"/>
      <c r="R54" s="1179"/>
      <c r="S54" s="1179"/>
      <c r="T54" s="1179"/>
      <c r="U54" s="1179"/>
      <c r="V54" s="1179"/>
      <c r="W54" s="1179"/>
      <c r="X54" s="1179"/>
      <c r="Y54" s="1179"/>
      <c r="Z54" s="1179"/>
      <c r="AA54" s="1179"/>
      <c r="AB54" s="1179"/>
      <c r="AC54" s="1179"/>
      <c r="AD54" s="1561"/>
      <c r="AE54" s="1179"/>
      <c r="AF54" s="1179"/>
      <c r="AG54" s="1179"/>
      <c r="AH54" s="1179"/>
      <c r="AI54" s="1179"/>
      <c r="AJ54" s="1179"/>
      <c r="AK54" s="1127"/>
      <c r="AL54" s="1127"/>
      <c r="AM54" s="1127"/>
      <c r="AN54" s="1824"/>
      <c r="AO54" s="24" t="s">
        <v>411</v>
      </c>
      <c r="AP54" s="1179"/>
      <c r="AQ54" s="4412" t="s">
        <v>3753</v>
      </c>
      <c r="AR54" s="4410"/>
      <c r="AS54" s="4410"/>
      <c r="AT54" s="4410"/>
      <c r="AU54" s="4410"/>
      <c r="AV54" s="4410"/>
      <c r="AW54" s="4413" t="s">
        <v>68</v>
      </c>
      <c r="AX54" s="2045">
        <f>MIN(AX49,AX53)</f>
        <v>0</v>
      </c>
      <c r="AY54" s="4411"/>
    </row>
    <row r="55" spans="1:54" ht="16.5" customHeight="1" thickBot="1">
      <c r="A55" s="1127"/>
      <c r="B55" s="1179"/>
      <c r="C55" s="1179"/>
      <c r="D55" s="2686" t="s">
        <v>4247</v>
      </c>
      <c r="E55" s="2686"/>
      <c r="F55" s="1179"/>
      <c r="G55" s="1179"/>
      <c r="H55" s="1179"/>
      <c r="I55" s="1179"/>
      <c r="J55" s="1179"/>
      <c r="K55" s="1179"/>
      <c r="L55" s="1179"/>
      <c r="M55" s="1179"/>
      <c r="N55" s="1179"/>
      <c r="O55" s="1179"/>
      <c r="P55" s="1179"/>
      <c r="Q55" s="1179"/>
      <c r="R55" s="1179"/>
      <c r="S55" s="1179"/>
      <c r="T55" s="1179"/>
      <c r="U55" s="1179"/>
      <c r="V55" s="1179"/>
      <c r="W55" s="1179"/>
      <c r="X55" s="1179"/>
      <c r="Y55" s="1179"/>
      <c r="Z55" s="1179"/>
      <c r="AA55" s="1179"/>
      <c r="AB55" s="1179"/>
      <c r="AC55" s="3489" t="s">
        <v>276</v>
      </c>
      <c r="AD55" s="1557">
        <v>19</v>
      </c>
      <c r="AE55" s="9126" t="str">
        <f>IF(AO55&lt;&gt;"",ROUND(AO55,0),IF($AE$20,"",AX54))</f>
        <v/>
      </c>
      <c r="AF55" s="9127"/>
      <c r="AG55" s="9127"/>
      <c r="AH55" s="9127"/>
      <c r="AI55" s="9127"/>
      <c r="AJ55" s="9127"/>
      <c r="AK55" s="1127"/>
      <c r="AL55" s="1127"/>
      <c r="AM55" s="1127"/>
      <c r="AN55" s="1824"/>
      <c r="AO55" s="4377"/>
      <c r="AP55" s="1179"/>
      <c r="AQ55" s="4414"/>
      <c r="AR55" s="4415"/>
      <c r="AS55" s="4415"/>
      <c r="AT55" s="4415"/>
      <c r="AU55" s="4415"/>
      <c r="AV55" s="4415"/>
      <c r="AW55" s="4415"/>
      <c r="AX55" s="4415"/>
      <c r="AY55" s="4416"/>
    </row>
    <row r="56" spans="1:54" s="3402" customFormat="1" ht="15.75">
      <c r="A56" s="3753"/>
      <c r="B56" s="3750" t="s">
        <v>484</v>
      </c>
      <c r="C56" s="1017"/>
      <c r="D56" s="1017"/>
      <c r="E56" s="1017"/>
      <c r="F56" s="1017"/>
      <c r="G56" s="1017"/>
      <c r="H56" s="1017"/>
      <c r="I56" s="1017"/>
      <c r="J56" s="1017"/>
      <c r="K56" s="1017"/>
      <c r="L56" s="1017"/>
      <c r="M56" s="1017"/>
      <c r="N56" s="1017"/>
      <c r="O56" s="1017"/>
      <c r="P56" s="1017"/>
      <c r="Q56" s="31"/>
      <c r="R56" s="31"/>
      <c r="S56" s="31"/>
      <c r="T56" s="31"/>
      <c r="U56" s="3751"/>
      <c r="V56" s="31"/>
      <c r="W56" s="3751" t="s">
        <v>3709</v>
      </c>
      <c r="X56" s="31"/>
      <c r="Y56" s="31"/>
      <c r="Z56" s="31"/>
      <c r="AA56" s="31"/>
      <c r="AB56" s="31"/>
      <c r="AC56" s="31"/>
      <c r="AD56" s="31"/>
      <c r="AE56" s="31"/>
      <c r="AF56" s="31"/>
      <c r="AG56" s="31"/>
      <c r="AH56" s="3752" t="s">
        <v>3708</v>
      </c>
      <c r="AI56" s="31"/>
      <c r="AJ56" s="3752" t="str">
        <f>"("&amp;TaxYear&amp;")"</f>
        <v>(2021)</v>
      </c>
      <c r="AK56" s="1127"/>
      <c r="AL56" s="1127"/>
      <c r="AM56" s="1127"/>
      <c r="AN56" s="1179"/>
      <c r="AO56" s="1179"/>
      <c r="AP56" s="1179"/>
      <c r="AQ56" s="2595"/>
      <c r="AR56" s="2595"/>
      <c r="AS56" s="2595"/>
      <c r="AT56" s="2595"/>
      <c r="AU56" s="2595"/>
      <c r="AV56" s="2595"/>
      <c r="AW56" s="2595"/>
      <c r="AX56" s="2595"/>
      <c r="AY56" s="2595"/>
      <c r="AZ56" s="2595"/>
      <c r="BA56" s="42"/>
      <c r="BB56" s="42"/>
    </row>
    <row r="57" spans="1:54" s="3402" customFormat="1" ht="18" customHeight="1" thickBot="1">
      <c r="A57" s="1127"/>
      <c r="B57" s="1359" t="str">
        <f>"Form 8863 ("&amp;TaxYear&amp;")"</f>
        <v>Form 8863 (2021)</v>
      </c>
      <c r="C57" s="1359"/>
      <c r="D57" s="1359"/>
      <c r="E57" s="1359"/>
      <c r="F57" s="1359"/>
      <c r="G57" s="1359"/>
      <c r="H57" s="1359"/>
      <c r="I57" s="1359"/>
      <c r="J57" s="1359"/>
      <c r="K57" s="1359"/>
      <c r="L57" s="1359"/>
      <c r="M57" s="1359"/>
      <c r="N57" s="1359"/>
      <c r="O57" s="1359"/>
      <c r="P57" s="1359"/>
      <c r="Q57" s="1359"/>
      <c r="R57" s="1359"/>
      <c r="S57" s="1359"/>
      <c r="T57" s="1359"/>
      <c r="U57" s="1359"/>
      <c r="V57" s="1359"/>
      <c r="W57" s="1359"/>
      <c r="X57" s="1359"/>
      <c r="Y57" s="1359"/>
      <c r="Z57" s="1359"/>
      <c r="AA57" s="1359"/>
      <c r="AB57" s="1359"/>
      <c r="AC57" s="1359"/>
      <c r="AD57" s="1359"/>
      <c r="AE57" s="1359"/>
      <c r="AF57" s="1359"/>
      <c r="AG57" s="1359"/>
      <c r="AH57" s="1359"/>
      <c r="AI57" s="1815" t="s">
        <v>197</v>
      </c>
      <c r="AJ57" s="1816">
        <v>2</v>
      </c>
      <c r="AK57" s="1127"/>
      <c r="AL57" s="1127"/>
      <c r="AM57" s="1127"/>
      <c r="AN57" s="1179"/>
      <c r="AO57" s="1179"/>
      <c r="AP57" s="1179"/>
      <c r="AQ57" s="2595"/>
      <c r="AR57" s="2595"/>
      <c r="AS57" s="2595"/>
      <c r="AT57" s="2595"/>
      <c r="AU57" s="2595"/>
      <c r="AV57" s="2595"/>
      <c r="AW57" s="2595"/>
      <c r="AX57" s="2595"/>
      <c r="AY57" s="2595"/>
      <c r="AZ57" s="2595"/>
      <c r="BA57" s="42"/>
      <c r="BB57" s="42"/>
    </row>
    <row r="58" spans="1:54" s="3402" customFormat="1" ht="16.5" customHeight="1" thickTop="1">
      <c r="A58" s="1127"/>
      <c r="B58" s="4360" t="s">
        <v>55</v>
      </c>
      <c r="C58" s="1553"/>
      <c r="D58" s="1553"/>
      <c r="E58" s="1553"/>
      <c r="F58" s="1553"/>
      <c r="G58" s="1553"/>
      <c r="H58" s="1553"/>
      <c r="I58" s="1553"/>
      <c r="J58" s="1553"/>
      <c r="K58" s="1553"/>
      <c r="L58" s="1553"/>
      <c r="M58" s="1553"/>
      <c r="N58" s="1553"/>
      <c r="O58" s="1553"/>
      <c r="P58" s="1553"/>
      <c r="Q58" s="1553"/>
      <c r="R58" s="1553"/>
      <c r="S58" s="1553"/>
      <c r="T58" s="1553"/>
      <c r="U58" s="1553"/>
      <c r="V58" s="1553"/>
      <c r="W58" s="1553"/>
      <c r="X58" s="1553"/>
      <c r="Y58" s="1553"/>
      <c r="Z58" s="1553"/>
      <c r="AA58" s="1553"/>
      <c r="AB58" s="1553"/>
      <c r="AC58" s="9512" t="s">
        <v>89</v>
      </c>
      <c r="AD58" s="9513"/>
      <c r="AE58" s="9513"/>
      <c r="AF58" s="9513"/>
      <c r="AG58" s="9513"/>
      <c r="AH58" s="9513"/>
      <c r="AI58" s="9513"/>
      <c r="AJ58" s="9513"/>
      <c r="AK58" s="1127"/>
      <c r="AL58" s="1127"/>
      <c r="AM58" s="1127"/>
      <c r="AN58" s="1179"/>
      <c r="AO58" s="1179"/>
      <c r="AP58" s="1179"/>
      <c r="AQ58" s="2595"/>
      <c r="AR58" s="2595"/>
      <c r="AS58" s="2595"/>
      <c r="AT58" s="2595"/>
      <c r="AU58" s="2595"/>
      <c r="AV58" s="2595"/>
      <c r="AW58" s="2595"/>
      <c r="AX58" s="2595"/>
      <c r="AY58" s="2595"/>
      <c r="AZ58" s="2595"/>
      <c r="BA58" s="42"/>
      <c r="BB58" s="42"/>
    </row>
    <row r="59" spans="1:54" s="3402" customFormat="1" ht="21.75" customHeight="1">
      <c r="A59" s="1127"/>
      <c r="B59" s="9516" t="str">
        <f>Names</f>
        <v/>
      </c>
      <c r="C59" s="9517"/>
      <c r="D59" s="9517"/>
      <c r="E59" s="9517"/>
      <c r="F59" s="9517"/>
      <c r="G59" s="9517"/>
      <c r="H59" s="9517"/>
      <c r="I59" s="9517"/>
      <c r="J59" s="9517"/>
      <c r="K59" s="9517"/>
      <c r="L59" s="9517"/>
      <c r="M59" s="9517"/>
      <c r="N59" s="9517"/>
      <c r="O59" s="9517"/>
      <c r="P59" s="9517"/>
      <c r="Q59" s="9517"/>
      <c r="R59" s="9517"/>
      <c r="S59" s="9517"/>
      <c r="T59" s="9517"/>
      <c r="U59" s="9517"/>
      <c r="V59" s="9517"/>
      <c r="W59" s="9517"/>
      <c r="X59" s="9517"/>
      <c r="Y59" s="9517"/>
      <c r="Z59" s="9517"/>
      <c r="AA59" s="9517"/>
      <c r="AB59" s="9518"/>
      <c r="AC59" s="9514">
        <f>IF(OR(NoSSN,SS_Yours=""),"",SS_Yours)</f>
        <v>1010001</v>
      </c>
      <c r="AD59" s="9515"/>
      <c r="AE59" s="9515"/>
      <c r="AF59" s="9515"/>
      <c r="AG59" s="9515"/>
      <c r="AH59" s="9515"/>
      <c r="AI59" s="9515"/>
      <c r="AJ59" s="9515"/>
      <c r="AK59" s="1127"/>
      <c r="AL59" s="1127"/>
      <c r="AM59" s="1127"/>
      <c r="AN59" s="1179"/>
      <c r="AO59" s="1179"/>
      <c r="AP59" s="1179"/>
      <c r="AQ59" s="2595"/>
      <c r="AR59" s="2595"/>
      <c r="AS59" s="2595"/>
      <c r="AT59" s="2595"/>
      <c r="AU59" s="2595"/>
      <c r="AV59" s="2595"/>
      <c r="AW59" s="2595"/>
      <c r="AX59" s="2595"/>
      <c r="AY59" s="2595"/>
      <c r="AZ59" s="2595"/>
      <c r="BA59" s="42"/>
      <c r="BB59" s="42"/>
    </row>
    <row r="60" spans="1:54" s="3402" customFormat="1" ht="5.25" customHeight="1">
      <c r="A60" s="1127"/>
      <c r="B60" s="4373"/>
      <c r="C60" s="4373"/>
      <c r="D60" s="4373" t="s">
        <v>3770</v>
      </c>
      <c r="E60" s="4373"/>
      <c r="F60" s="4373"/>
      <c r="G60" s="4373"/>
      <c r="H60" s="4373"/>
      <c r="I60" s="4373"/>
      <c r="J60" s="4373"/>
      <c r="K60" s="4373"/>
      <c r="L60" s="4373"/>
      <c r="M60" s="4373"/>
      <c r="N60" s="4373"/>
      <c r="O60" s="4373"/>
      <c r="P60" s="4373"/>
      <c r="Q60" s="4373"/>
      <c r="R60" s="4373"/>
      <c r="S60" s="4373"/>
      <c r="T60" s="4373"/>
      <c r="U60" s="4373"/>
      <c r="V60" s="4373"/>
      <c r="W60" s="4373"/>
      <c r="X60" s="4373"/>
      <c r="Y60" s="4373"/>
      <c r="Z60" s="4373"/>
      <c r="AA60" s="4373"/>
      <c r="AB60" s="4373"/>
      <c r="AC60" s="4373"/>
      <c r="AD60" s="4373"/>
      <c r="AE60" s="4373"/>
      <c r="AF60" s="4373"/>
      <c r="AG60" s="4373"/>
      <c r="AH60" s="4373"/>
      <c r="AI60" s="4373"/>
      <c r="AJ60" s="4373"/>
      <c r="AK60" s="1127"/>
      <c r="AL60" s="1127"/>
      <c r="AM60" s="1127"/>
      <c r="AN60" s="1179"/>
      <c r="AO60" s="1179"/>
      <c r="AP60" s="1179"/>
      <c r="AQ60" s="2595"/>
      <c r="AR60" s="2595"/>
      <c r="AS60" s="2595"/>
      <c r="AT60" s="2595"/>
      <c r="AU60" s="2595"/>
      <c r="AV60" s="2595"/>
      <c r="AW60" s="2595"/>
      <c r="AX60" s="2595"/>
      <c r="AY60" s="2595"/>
      <c r="AZ60" s="2595"/>
      <c r="BA60" s="42"/>
      <c r="BB60" s="42"/>
    </row>
    <row r="61" spans="1:54" s="4381" customFormat="1" ht="15.75" customHeight="1">
      <c r="A61" s="4353"/>
      <c r="B61" s="4374"/>
      <c r="C61" s="4374"/>
      <c r="D61" s="4393" t="s">
        <v>3771</v>
      </c>
      <c r="E61" s="4374"/>
      <c r="F61" s="4374"/>
      <c r="G61" s="4374"/>
      <c r="H61" s="4374"/>
      <c r="I61" s="4374"/>
      <c r="J61" s="4374"/>
      <c r="K61" s="4374"/>
      <c r="L61" s="4374"/>
      <c r="M61" s="4374"/>
      <c r="N61" s="4374"/>
      <c r="O61" s="4374"/>
      <c r="P61" s="4374"/>
      <c r="Q61" s="4374"/>
      <c r="R61" s="4374"/>
      <c r="S61" s="4374"/>
      <c r="T61" s="4374"/>
      <c r="U61" s="4374"/>
      <c r="V61" s="4374"/>
      <c r="W61" s="4374"/>
      <c r="X61" s="4374"/>
      <c r="Y61" s="4374"/>
      <c r="Z61" s="4374"/>
      <c r="AA61" s="4374"/>
      <c r="AB61" s="4374"/>
      <c r="AC61" s="4374"/>
      <c r="AD61" s="4374"/>
      <c r="AE61" s="4374"/>
      <c r="AF61" s="4374"/>
      <c r="AG61" s="4374"/>
      <c r="AH61" s="4374"/>
      <c r="AI61" s="4374"/>
      <c r="AJ61" s="4374"/>
      <c r="AK61" s="4353"/>
      <c r="AL61" s="4353"/>
      <c r="AM61" s="4353"/>
      <c r="AN61" s="4354"/>
      <c r="AO61" s="4354"/>
      <c r="AP61" s="2051"/>
      <c r="AQ61" s="4380"/>
      <c r="AR61" s="4380"/>
      <c r="AS61" s="4380"/>
      <c r="AT61" s="4380"/>
      <c r="AU61" s="4380"/>
      <c r="AV61" s="4380"/>
      <c r="AW61" s="4380"/>
      <c r="AX61" s="4380"/>
      <c r="AY61" s="4380"/>
      <c r="AZ61" s="4380"/>
      <c r="BA61" s="4355"/>
      <c r="BB61" s="4355"/>
    </row>
    <row r="62" spans="1:54" s="4381" customFormat="1" ht="15.75" customHeight="1">
      <c r="A62" s="4353"/>
      <c r="B62" s="4374"/>
      <c r="C62" s="4374"/>
      <c r="D62" s="4393" t="s">
        <v>3769</v>
      </c>
      <c r="E62" s="4374"/>
      <c r="F62" s="4374"/>
      <c r="G62" s="4374"/>
      <c r="H62" s="4374"/>
      <c r="I62" s="4374"/>
      <c r="J62" s="4374"/>
      <c r="K62" s="4374"/>
      <c r="L62" s="4374"/>
      <c r="M62" s="4374"/>
      <c r="N62" s="4374"/>
      <c r="O62" s="4374"/>
      <c r="P62" s="4374"/>
      <c r="Q62" s="4374"/>
      <c r="R62" s="4374"/>
      <c r="S62" s="4374"/>
      <c r="T62" s="4374"/>
      <c r="U62" s="4374"/>
      <c r="V62" s="4374"/>
      <c r="W62" s="4374"/>
      <c r="X62" s="4374"/>
      <c r="Y62" s="4374"/>
      <c r="Z62" s="4374"/>
      <c r="AA62" s="4374"/>
      <c r="AB62" s="4374"/>
      <c r="AC62" s="4374"/>
      <c r="AD62" s="4374"/>
      <c r="AE62" s="4374"/>
      <c r="AF62" s="4374"/>
      <c r="AG62" s="4374"/>
      <c r="AH62" s="4374"/>
      <c r="AI62" s="4374"/>
      <c r="AJ62" s="4374"/>
      <c r="AK62" s="4353"/>
      <c r="AL62" s="4353"/>
      <c r="AM62" s="4353"/>
      <c r="AN62" s="4354"/>
      <c r="AO62" s="4354"/>
      <c r="AP62" s="2051"/>
      <c r="AQ62" s="4380"/>
      <c r="AR62" s="4380"/>
      <c r="AS62" s="4380"/>
      <c r="AT62" s="4380"/>
      <c r="AU62" s="4380"/>
      <c r="AV62" s="4380"/>
      <c r="AW62" s="4380"/>
      <c r="AX62" s="4380"/>
      <c r="AY62" s="4380"/>
      <c r="AZ62" s="4380"/>
      <c r="BA62" s="4355"/>
      <c r="BB62" s="4355"/>
    </row>
    <row r="63" spans="1:54" s="4381" customFormat="1" ht="15.75" customHeight="1">
      <c r="A63" s="4353"/>
      <c r="B63" s="4374"/>
      <c r="C63" s="4374"/>
      <c r="D63" s="4394" t="s">
        <v>3768</v>
      </c>
      <c r="E63" s="4374"/>
      <c r="F63" s="4374"/>
      <c r="G63" s="4374"/>
      <c r="H63" s="4374"/>
      <c r="I63" s="4374"/>
      <c r="J63" s="4374"/>
      <c r="K63" s="4374"/>
      <c r="L63" s="4374"/>
      <c r="M63" s="4374"/>
      <c r="N63" s="4374"/>
      <c r="O63" s="4374"/>
      <c r="P63" s="4374"/>
      <c r="Q63" s="4374"/>
      <c r="R63" s="4374"/>
      <c r="S63" s="4374"/>
      <c r="T63" s="4374"/>
      <c r="U63" s="4374"/>
      <c r="V63" s="4374"/>
      <c r="W63" s="4374"/>
      <c r="X63" s="4374"/>
      <c r="Y63" s="4374"/>
      <c r="Z63" s="4374"/>
      <c r="AA63" s="4374"/>
      <c r="AB63" s="4374"/>
      <c r="AC63" s="4374"/>
      <c r="AD63" s="4374"/>
      <c r="AE63" s="4374"/>
      <c r="AF63" s="4374"/>
      <c r="AG63" s="4374"/>
      <c r="AH63" s="4374"/>
      <c r="AI63" s="4374"/>
      <c r="AJ63" s="4374"/>
      <c r="AK63" s="4353"/>
      <c r="AL63" s="4353"/>
      <c r="AM63" s="4353"/>
      <c r="AN63" s="4354"/>
      <c r="AO63" s="4354"/>
      <c r="AP63" s="2051"/>
      <c r="AQ63" s="4380"/>
      <c r="AR63" s="4380"/>
      <c r="AS63" s="4380"/>
      <c r="AT63" s="4380"/>
      <c r="AU63" s="4380"/>
      <c r="AV63" s="4380"/>
      <c r="AW63" s="4380"/>
      <c r="AX63" s="4380"/>
      <c r="AY63" s="4380"/>
      <c r="AZ63" s="4380"/>
      <c r="BA63" s="4355"/>
      <c r="BB63" s="4355"/>
    </row>
    <row r="64" spans="1:54" s="3402" customFormat="1" ht="6" customHeight="1">
      <c r="A64" s="1127"/>
      <c r="B64" s="4375"/>
      <c r="C64" s="4375"/>
      <c r="D64" s="4375"/>
      <c r="E64" s="4375"/>
      <c r="F64" s="4375"/>
      <c r="G64" s="4375"/>
      <c r="H64" s="4375"/>
      <c r="I64" s="4375"/>
      <c r="J64" s="4375"/>
      <c r="K64" s="4375"/>
      <c r="L64" s="4375"/>
      <c r="M64" s="4375"/>
      <c r="N64" s="4375"/>
      <c r="O64" s="4375"/>
      <c r="P64" s="4375"/>
      <c r="Q64" s="4375"/>
      <c r="R64" s="4375"/>
      <c r="S64" s="4375"/>
      <c r="T64" s="4375"/>
      <c r="U64" s="4375"/>
      <c r="V64" s="4375"/>
      <c r="W64" s="4375"/>
      <c r="X64" s="4375"/>
      <c r="Y64" s="4375"/>
      <c r="Z64" s="4375"/>
      <c r="AA64" s="4375"/>
      <c r="AB64" s="4375"/>
      <c r="AC64" s="4375"/>
      <c r="AD64" s="4375"/>
      <c r="AE64" s="4375"/>
      <c r="AF64" s="4375"/>
      <c r="AG64" s="4375"/>
      <c r="AH64" s="4375"/>
      <c r="AI64" s="4375"/>
      <c r="AJ64" s="4375"/>
      <c r="AK64" s="1127"/>
      <c r="AL64" s="1127"/>
      <c r="AM64" s="1127"/>
      <c r="AN64" s="1179"/>
      <c r="AO64" s="1179"/>
      <c r="AP64" s="1179"/>
      <c r="AQ64" s="2595"/>
      <c r="AR64" s="2595"/>
      <c r="AS64" s="2595"/>
      <c r="AT64" s="2595"/>
      <c r="AU64" s="2595"/>
      <c r="AV64" s="2595"/>
      <c r="AW64" s="2595"/>
      <c r="AX64" s="2595"/>
      <c r="AY64" s="2595"/>
      <c r="AZ64" s="2595"/>
      <c r="BA64" s="42"/>
      <c r="BB64" s="42"/>
    </row>
    <row r="65" spans="1:54" s="3402" customFormat="1" ht="19.5" customHeight="1">
      <c r="A65" s="1127"/>
      <c r="B65" s="6769" t="s">
        <v>319</v>
      </c>
      <c r="C65" s="6769"/>
      <c r="D65" s="1571"/>
      <c r="E65" s="4748" t="s">
        <v>4248</v>
      </c>
      <c r="F65" s="1553"/>
      <c r="G65" s="1553"/>
      <c r="H65" s="1553"/>
      <c r="I65" s="1553"/>
      <c r="J65" s="1553"/>
      <c r="K65" s="1553"/>
      <c r="L65" s="1553"/>
      <c r="M65" s="1553"/>
      <c r="N65" s="1553"/>
      <c r="O65" s="1553"/>
      <c r="P65" s="1553"/>
      <c r="Q65" s="1553"/>
      <c r="R65" s="1553"/>
      <c r="S65" s="1553"/>
      <c r="T65" s="1553"/>
      <c r="U65" s="1553"/>
      <c r="V65" s="1553"/>
      <c r="W65" s="1553"/>
      <c r="X65" s="1553"/>
      <c r="Y65" s="1553"/>
      <c r="Z65" s="1553"/>
      <c r="AA65" s="1553"/>
      <c r="AB65" s="1553"/>
      <c r="AC65" s="1553"/>
      <c r="AD65" s="1553"/>
      <c r="AE65" s="1553"/>
      <c r="AF65" s="1553"/>
      <c r="AG65" s="1553"/>
      <c r="AH65" s="1553"/>
      <c r="AI65" s="1553"/>
      <c r="AJ65" s="1553"/>
      <c r="AK65" s="1127"/>
      <c r="AL65" s="1127"/>
      <c r="AM65" s="1127"/>
      <c r="AN65" s="1179"/>
      <c r="AO65" s="1179"/>
      <c r="AP65" s="1179"/>
      <c r="AQ65" s="2595"/>
      <c r="AR65" s="2595"/>
      <c r="AS65" s="2595"/>
      <c r="AT65" s="2595"/>
      <c r="AU65" s="2595"/>
      <c r="AV65" s="2595"/>
      <c r="AW65" s="2595"/>
      <c r="AX65" s="2595"/>
      <c r="AY65" s="2595"/>
      <c r="AZ65" s="2595"/>
      <c r="BA65" s="42"/>
      <c r="BB65" s="42"/>
    </row>
    <row r="66" spans="1:54" s="3402" customFormat="1" ht="16.5" customHeight="1">
      <c r="A66" s="1127"/>
      <c r="B66" s="1559" t="s">
        <v>1113</v>
      </c>
      <c r="C66" s="1179"/>
      <c r="D66" s="4361" t="s">
        <v>3710</v>
      </c>
      <c r="E66" s="1574"/>
      <c r="F66" s="1574"/>
      <c r="G66" s="1574"/>
      <c r="H66" s="1574"/>
      <c r="I66" s="1574"/>
      <c r="J66" s="1574"/>
      <c r="K66" s="1574"/>
      <c r="L66" s="1574"/>
      <c r="M66" s="1575"/>
      <c r="N66" s="1576"/>
      <c r="O66" s="1706"/>
      <c r="P66" s="1574"/>
      <c r="Q66" s="1574"/>
      <c r="R66" s="1706"/>
      <c r="S66" s="1706"/>
      <c r="T66" s="1576">
        <v>21</v>
      </c>
      <c r="U66" s="4361" t="s">
        <v>3711</v>
      </c>
      <c r="V66" s="1706"/>
      <c r="W66" s="1706"/>
      <c r="X66" s="1706"/>
      <c r="Y66" s="1706"/>
      <c r="Z66" s="1706"/>
      <c r="AA66" s="1706"/>
      <c r="AB66" s="4363"/>
      <c r="AC66" s="1706"/>
      <c r="AD66" s="1706"/>
      <c r="AE66" s="1706"/>
      <c r="AF66" s="1706"/>
      <c r="AG66" s="1574"/>
      <c r="AH66" s="1706"/>
      <c r="AI66" s="1706"/>
      <c r="AJ66" s="1706"/>
      <c r="AK66" s="1127"/>
      <c r="AL66" s="1127"/>
      <c r="AM66" s="1127"/>
      <c r="AN66" s="1179"/>
      <c r="AO66" s="1179"/>
      <c r="AP66" s="1179"/>
      <c r="AQ66" s="2595"/>
      <c r="AR66" s="2595"/>
      <c r="AS66" s="2595"/>
      <c r="AT66" s="2595"/>
      <c r="AU66" s="2595"/>
      <c r="AV66" s="2595"/>
      <c r="AW66" s="2595"/>
      <c r="AX66" s="2595"/>
      <c r="AY66" s="2595"/>
      <c r="AZ66" s="2595"/>
      <c r="BA66" s="42"/>
      <c r="BB66" s="42"/>
    </row>
    <row r="67" spans="1:54" s="3402" customFormat="1" ht="15">
      <c r="A67" s="1127"/>
      <c r="B67" s="1559"/>
      <c r="C67" s="1179"/>
      <c r="D67" s="9524"/>
      <c r="E67" s="9524"/>
      <c r="F67" s="9524"/>
      <c r="G67" s="9524"/>
      <c r="H67" s="9524"/>
      <c r="I67" s="9524"/>
      <c r="J67" s="9524"/>
      <c r="K67" s="9524"/>
      <c r="L67" s="9524"/>
      <c r="M67" s="9524"/>
      <c r="N67" s="9524"/>
      <c r="O67" s="9524"/>
      <c r="P67" s="9524"/>
      <c r="Q67" s="9524"/>
      <c r="R67" s="9524"/>
      <c r="S67" s="9525"/>
      <c r="T67" s="4442"/>
      <c r="U67" s="3081" t="s">
        <v>3712</v>
      </c>
      <c r="V67" s="4443"/>
      <c r="W67" s="4443"/>
      <c r="X67" s="4443"/>
      <c r="Y67" s="4443"/>
      <c r="Z67" s="4443"/>
      <c r="AA67" s="4443"/>
      <c r="AB67" s="4443"/>
      <c r="AC67" s="4443"/>
      <c r="AD67" s="4443"/>
      <c r="AE67" s="4443"/>
      <c r="AF67" s="4443"/>
      <c r="AG67" s="4443"/>
      <c r="AH67" s="4443"/>
      <c r="AI67" s="4443"/>
      <c r="AJ67" s="4443"/>
      <c r="AK67" s="1127"/>
      <c r="AL67" s="1127"/>
      <c r="AM67" s="1127"/>
      <c r="AN67" s="1179"/>
      <c r="AO67" s="1179"/>
      <c r="AP67" s="1179"/>
      <c r="AQ67" s="2595"/>
      <c r="AR67" s="2595"/>
      <c r="AS67" s="2595"/>
      <c r="AT67" s="2595"/>
      <c r="AU67" s="2595"/>
      <c r="AV67" s="2595"/>
      <c r="AW67" s="2595"/>
      <c r="AX67" s="2595"/>
      <c r="AY67" s="2595"/>
      <c r="AZ67" s="2595"/>
      <c r="BA67" s="42"/>
      <c r="BB67" s="42"/>
    </row>
    <row r="68" spans="1:54" s="3402" customFormat="1" ht="18" customHeight="1">
      <c r="A68" s="1127"/>
      <c r="B68" s="1559"/>
      <c r="C68" s="1179"/>
      <c r="D68" s="9526"/>
      <c r="E68" s="9526"/>
      <c r="F68" s="9526"/>
      <c r="G68" s="9526"/>
      <c r="H68" s="9526"/>
      <c r="I68" s="9526"/>
      <c r="J68" s="9526"/>
      <c r="K68" s="9526"/>
      <c r="L68" s="9526"/>
      <c r="M68" s="9526"/>
      <c r="N68" s="9526"/>
      <c r="O68" s="9526"/>
      <c r="P68" s="9526"/>
      <c r="Q68" s="9526"/>
      <c r="R68" s="9526"/>
      <c r="S68" s="9527"/>
      <c r="T68" s="4364"/>
      <c r="U68" s="9528"/>
      <c r="V68" s="9528"/>
      <c r="W68" s="9528"/>
      <c r="X68" s="9528"/>
      <c r="Y68" s="9528"/>
      <c r="Z68" s="9528"/>
      <c r="AA68" s="9528"/>
      <c r="AB68" s="9528"/>
      <c r="AC68" s="9528"/>
      <c r="AD68" s="9528"/>
      <c r="AE68" s="9528"/>
      <c r="AF68" s="9528"/>
      <c r="AG68" s="9528"/>
      <c r="AH68" s="9528"/>
      <c r="AI68" s="9528"/>
      <c r="AJ68" s="9528"/>
      <c r="AK68" s="1127"/>
      <c r="AL68" s="1127"/>
      <c r="AM68" s="1127"/>
      <c r="AN68" s="1179"/>
      <c r="AO68" s="1179"/>
      <c r="AP68" s="1179"/>
      <c r="AQ68" s="2595"/>
      <c r="AR68" s="2595"/>
      <c r="AS68" s="2595"/>
      <c r="AT68" s="2595"/>
      <c r="AU68" s="2595"/>
      <c r="AV68" s="2595"/>
      <c r="AW68" s="2595"/>
      <c r="AX68" s="2595"/>
      <c r="AY68" s="2595"/>
      <c r="AZ68" s="2595"/>
      <c r="BA68" s="42"/>
      <c r="BB68" s="42"/>
    </row>
    <row r="69" spans="1:54" s="3402" customFormat="1" ht="16.5" customHeight="1">
      <c r="A69" s="1127"/>
      <c r="B69" s="1565">
        <v>22</v>
      </c>
      <c r="C69" s="1554"/>
      <c r="D69" s="2791" t="s">
        <v>3713</v>
      </c>
      <c r="E69" s="1553"/>
      <c r="F69" s="1553"/>
      <c r="G69" s="1553"/>
      <c r="H69" s="1553"/>
      <c r="I69" s="1553"/>
      <c r="J69" s="1553"/>
      <c r="K69" s="1553"/>
      <c r="L69" s="1553"/>
      <c r="M69" s="1553"/>
      <c r="N69" s="1553"/>
      <c r="O69" s="1553"/>
      <c r="P69" s="1553"/>
      <c r="Q69" s="1553"/>
      <c r="R69" s="1553"/>
      <c r="S69" s="1553"/>
      <c r="T69" s="1553"/>
      <c r="U69" s="1553"/>
      <c r="V69" s="1553"/>
      <c r="W69" s="1553"/>
      <c r="X69" s="1553"/>
      <c r="Y69" s="1553"/>
      <c r="Z69" s="1553"/>
      <c r="AA69" s="1553"/>
      <c r="AB69" s="1553"/>
      <c r="AC69" s="1553"/>
      <c r="AD69" s="1553"/>
      <c r="AE69" s="1553"/>
      <c r="AF69" s="1553"/>
      <c r="AG69" s="1553"/>
      <c r="AH69" s="1553"/>
      <c r="AI69" s="1553"/>
      <c r="AJ69" s="1553"/>
      <c r="AK69" s="1127"/>
      <c r="AL69" s="1127"/>
      <c r="AM69" s="1127"/>
      <c r="AN69" s="1179"/>
      <c r="AO69" s="1179"/>
      <c r="AP69" s="1179"/>
      <c r="AQ69" s="2595"/>
      <c r="AR69" s="2595"/>
      <c r="AS69" s="2595"/>
      <c r="AT69" s="2595"/>
      <c r="AU69" s="2595"/>
      <c r="AV69" s="2595"/>
      <c r="AW69" s="2595"/>
      <c r="AX69" s="2595"/>
      <c r="AY69" s="2595"/>
      <c r="AZ69" s="2595"/>
      <c r="BA69" s="42"/>
      <c r="BB69" s="42"/>
    </row>
    <row r="70" spans="1:54" s="3402" customFormat="1" ht="16.5" customHeight="1">
      <c r="A70" s="1127"/>
      <c r="B70" s="1559"/>
      <c r="C70" s="1179"/>
      <c r="D70" s="1573" t="s">
        <v>591</v>
      </c>
      <c r="E70" s="1706" t="s">
        <v>3714</v>
      </c>
      <c r="F70" s="1574"/>
      <c r="G70" s="1574"/>
      <c r="H70" s="1574"/>
      <c r="I70" s="1574"/>
      <c r="J70" s="1574"/>
      <c r="K70" s="1574"/>
      <c r="L70" s="1574"/>
      <c r="M70" s="1574"/>
      <c r="N70" s="1573"/>
      <c r="O70" s="1706"/>
      <c r="P70" s="1574"/>
      <c r="Q70" s="1574"/>
      <c r="R70" s="1706"/>
      <c r="S70" s="4362"/>
      <c r="T70" s="1576"/>
      <c r="U70" s="1573" t="s">
        <v>592</v>
      </c>
      <c r="V70" s="1706" t="s">
        <v>3715</v>
      </c>
      <c r="W70" s="1706"/>
      <c r="X70" s="1706"/>
      <c r="Y70" s="1706"/>
      <c r="Z70" s="1706"/>
      <c r="AA70" s="1706"/>
      <c r="AB70" s="4363"/>
      <c r="AC70" s="1706"/>
      <c r="AD70" s="1706"/>
      <c r="AE70" s="1706"/>
      <c r="AF70" s="1574"/>
      <c r="AG70" s="1706"/>
      <c r="AH70" s="1706"/>
      <c r="AI70" s="1706"/>
      <c r="AJ70" s="1706"/>
      <c r="AK70" s="1127"/>
      <c r="AL70" s="1127"/>
      <c r="AM70" s="1127"/>
      <c r="AN70" s="1179"/>
      <c r="AO70" s="1179"/>
      <c r="AP70" s="1179"/>
      <c r="AQ70" s="2595"/>
      <c r="AR70" s="2595"/>
      <c r="AS70" s="2595"/>
      <c r="AT70" s="2595"/>
      <c r="AU70" s="2595"/>
      <c r="AV70" s="2595"/>
      <c r="AW70" s="2595"/>
      <c r="AX70" s="2595"/>
      <c r="AY70" s="2595"/>
      <c r="AZ70" s="2595"/>
      <c r="BA70" s="42"/>
      <c r="BB70" s="42"/>
    </row>
    <row r="71" spans="1:54" s="3402" customFormat="1" ht="18">
      <c r="A71" s="1127"/>
      <c r="B71" s="1559"/>
      <c r="C71" s="42"/>
      <c r="D71" s="9522"/>
      <c r="E71" s="9522"/>
      <c r="F71" s="9522"/>
      <c r="G71" s="9522"/>
      <c r="H71" s="9522"/>
      <c r="I71" s="9522"/>
      <c r="J71" s="9522"/>
      <c r="K71" s="9522"/>
      <c r="L71" s="9522"/>
      <c r="M71" s="9522"/>
      <c r="N71" s="9522"/>
      <c r="O71" s="9522"/>
      <c r="P71" s="9522"/>
      <c r="Q71" s="9522"/>
      <c r="R71" s="9522"/>
      <c r="S71" s="9523"/>
      <c r="T71" s="9529"/>
      <c r="U71" s="9530"/>
      <c r="V71" s="9530"/>
      <c r="W71" s="9530"/>
      <c r="X71" s="9530"/>
      <c r="Y71" s="9530"/>
      <c r="Z71" s="9530"/>
      <c r="AA71" s="9530"/>
      <c r="AB71" s="9530"/>
      <c r="AC71" s="9530"/>
      <c r="AD71" s="9530"/>
      <c r="AE71" s="9530"/>
      <c r="AF71" s="9530"/>
      <c r="AG71" s="9530"/>
      <c r="AH71" s="9530"/>
      <c r="AI71" s="9530"/>
      <c r="AJ71" s="9530"/>
      <c r="AK71" s="1127"/>
      <c r="AL71" s="1127"/>
      <c r="AM71" s="1127"/>
      <c r="AN71" s="1179"/>
      <c r="AO71" s="1179"/>
      <c r="AP71" s="1179"/>
      <c r="AQ71" s="2595"/>
      <c r="AR71" s="2595"/>
      <c r="AS71" s="2595"/>
      <c r="AT71" s="2595"/>
      <c r="AU71" s="2595"/>
      <c r="AV71" s="2595"/>
      <c r="AW71" s="2595"/>
      <c r="AX71" s="2595"/>
      <c r="AY71" s="2595"/>
      <c r="AZ71" s="2595"/>
      <c r="BA71" s="42"/>
      <c r="BB71" s="42"/>
    </row>
    <row r="72" spans="1:54" s="3402" customFormat="1" ht="12.75" customHeight="1">
      <c r="A72" s="1127"/>
      <c r="B72" s="1179"/>
      <c r="C72" s="1179"/>
      <c r="D72" s="4359" t="s">
        <v>2080</v>
      </c>
      <c r="E72" s="2686" t="s">
        <v>3716</v>
      </c>
      <c r="F72" s="1179"/>
      <c r="G72" s="1179"/>
      <c r="H72" s="1179"/>
      <c r="I72" s="1179"/>
      <c r="J72" s="1179"/>
      <c r="K72" s="1179"/>
      <c r="L72" s="1179"/>
      <c r="M72" s="1179"/>
      <c r="N72" s="1179"/>
      <c r="O72" s="1179"/>
      <c r="P72" s="1179"/>
      <c r="Q72" s="1179"/>
      <c r="R72" s="1179"/>
      <c r="S72" s="1575"/>
      <c r="T72" s="1179"/>
      <c r="U72" s="4359" t="s">
        <v>2080</v>
      </c>
      <c r="V72" s="2686" t="s">
        <v>3716</v>
      </c>
      <c r="W72" s="1179"/>
      <c r="X72" s="1179"/>
      <c r="Y72" s="1179"/>
      <c r="Z72" s="1179"/>
      <c r="AA72" s="1179"/>
      <c r="AB72" s="1179"/>
      <c r="AC72" s="1179"/>
      <c r="AD72" s="1179"/>
      <c r="AE72" s="1179"/>
      <c r="AF72" s="1179"/>
      <c r="AG72" s="1179"/>
      <c r="AH72" s="1179"/>
      <c r="AI72" s="1179"/>
      <c r="AJ72" s="1179"/>
      <c r="AK72" s="1127"/>
      <c r="AL72" s="1127"/>
      <c r="AM72" s="1127"/>
      <c r="AN72" s="1179"/>
      <c r="AO72" s="1179"/>
      <c r="AP72" s="1179"/>
      <c r="AQ72" s="2595"/>
      <c r="AR72" s="2595"/>
      <c r="AS72" s="2595"/>
      <c r="AT72" s="2595"/>
      <c r="AU72" s="2595"/>
      <c r="AV72" s="2595"/>
      <c r="AW72" s="2595"/>
      <c r="AX72" s="2595"/>
      <c r="AY72" s="2595"/>
      <c r="AZ72" s="2595"/>
      <c r="BA72" s="42"/>
      <c r="BB72" s="42"/>
    </row>
    <row r="73" spans="1:54" s="3402" customFormat="1" ht="14.25">
      <c r="A73" s="1127"/>
      <c r="B73" s="1179"/>
      <c r="C73" s="1179"/>
      <c r="D73" s="1179"/>
      <c r="E73" s="2686" t="s">
        <v>3717</v>
      </c>
      <c r="F73" s="1179"/>
      <c r="G73" s="1179"/>
      <c r="H73" s="1179"/>
      <c r="I73" s="1179"/>
      <c r="J73" s="1179"/>
      <c r="K73" s="1179"/>
      <c r="L73" s="1179"/>
      <c r="M73" s="1179"/>
      <c r="N73" s="1179"/>
      <c r="O73" s="1179"/>
      <c r="P73" s="1179"/>
      <c r="Q73" s="1179"/>
      <c r="R73" s="1179"/>
      <c r="S73" s="1583"/>
      <c r="T73" s="1179"/>
      <c r="U73" s="1179"/>
      <c r="V73" s="2686" t="s">
        <v>3717</v>
      </c>
      <c r="W73" s="1179"/>
      <c r="X73" s="1179"/>
      <c r="Y73" s="1179"/>
      <c r="Z73" s="1179"/>
      <c r="AA73" s="1179"/>
      <c r="AB73" s="1179"/>
      <c r="AC73" s="1179"/>
      <c r="AD73" s="1179"/>
      <c r="AE73" s="1179"/>
      <c r="AF73" s="1179"/>
      <c r="AG73" s="1179"/>
      <c r="AH73" s="1179"/>
      <c r="AI73" s="1179"/>
      <c r="AJ73" s="1179"/>
      <c r="AK73" s="1127"/>
      <c r="AL73" s="1127"/>
      <c r="AM73" s="1127"/>
      <c r="AN73" s="1179"/>
      <c r="AO73" s="1179"/>
      <c r="AP73" s="1179"/>
      <c r="AQ73" s="2595"/>
      <c r="AR73" s="2595"/>
      <c r="AS73" s="2595"/>
      <c r="AT73" s="2595"/>
      <c r="AU73" s="2595"/>
      <c r="AV73" s="2595"/>
      <c r="AW73" s="2595"/>
      <c r="AX73" s="2595"/>
      <c r="AY73" s="2595"/>
      <c r="AZ73" s="2595"/>
      <c r="BA73" s="42"/>
      <c r="BB73" s="42"/>
    </row>
    <row r="74" spans="1:54" s="3402" customFormat="1" ht="14.25">
      <c r="A74" s="1127"/>
      <c r="B74" s="1179"/>
      <c r="C74" s="1179"/>
      <c r="D74" s="1179"/>
      <c r="E74" s="2686" t="s">
        <v>485</v>
      </c>
      <c r="F74" s="1179"/>
      <c r="G74" s="1179"/>
      <c r="H74" s="1179"/>
      <c r="I74" s="1179"/>
      <c r="J74" s="1179"/>
      <c r="K74" s="1179"/>
      <c r="L74" s="1179"/>
      <c r="M74" s="1179"/>
      <c r="N74" s="1179"/>
      <c r="O74" s="1179"/>
      <c r="P74" s="1179"/>
      <c r="Q74" s="1179"/>
      <c r="R74" s="1179"/>
      <c r="S74" s="1583"/>
      <c r="T74" s="1179"/>
      <c r="U74" s="1179"/>
      <c r="V74" s="2686" t="s">
        <v>485</v>
      </c>
      <c r="W74" s="1179"/>
      <c r="X74" s="1179"/>
      <c r="Y74" s="1179"/>
      <c r="Z74" s="1179"/>
      <c r="AA74" s="1179"/>
      <c r="AB74" s="1179"/>
      <c r="AC74" s="1179"/>
      <c r="AD74" s="1179"/>
      <c r="AE74" s="1179"/>
      <c r="AF74" s="1179"/>
      <c r="AG74" s="1179"/>
      <c r="AH74" s="1179"/>
      <c r="AI74" s="1179"/>
      <c r="AJ74" s="1179"/>
      <c r="AK74" s="1127"/>
      <c r="AL74" s="1127"/>
      <c r="AM74" s="1127"/>
      <c r="AN74" s="1179"/>
      <c r="AO74" s="1179"/>
      <c r="AP74" s="1179"/>
      <c r="AQ74" s="2595"/>
      <c r="AR74" s="2595"/>
      <c r="AS74" s="2595"/>
      <c r="AT74" s="2595"/>
      <c r="AU74" s="2595"/>
      <c r="AV74" s="2595"/>
      <c r="AW74" s="2595"/>
      <c r="AX74" s="2595"/>
      <c r="AY74" s="2595"/>
      <c r="AZ74" s="2595"/>
      <c r="BA74" s="42"/>
      <c r="BB74" s="42"/>
    </row>
    <row r="75" spans="1:54" s="3402" customFormat="1" ht="15.75" customHeight="1">
      <c r="A75" s="1127"/>
      <c r="B75" s="1559"/>
      <c r="C75" s="42"/>
      <c r="D75" s="9475"/>
      <c r="E75" s="9475"/>
      <c r="F75" s="9475"/>
      <c r="G75" s="9475"/>
      <c r="H75" s="9475"/>
      <c r="I75" s="9475"/>
      <c r="J75" s="9475"/>
      <c r="K75" s="9475"/>
      <c r="L75" s="9475"/>
      <c r="M75" s="9475"/>
      <c r="N75" s="9475"/>
      <c r="O75" s="9475"/>
      <c r="P75" s="9475"/>
      <c r="Q75" s="9475"/>
      <c r="R75" s="9475"/>
      <c r="S75" s="9476"/>
      <c r="T75" s="6332"/>
      <c r="U75" s="6323"/>
      <c r="V75" s="6323"/>
      <c r="W75" s="6323"/>
      <c r="X75" s="6323"/>
      <c r="Y75" s="6323"/>
      <c r="Z75" s="6323"/>
      <c r="AA75" s="6323"/>
      <c r="AB75" s="6323"/>
      <c r="AC75" s="6323"/>
      <c r="AD75" s="6323"/>
      <c r="AE75" s="6323"/>
      <c r="AF75" s="6323"/>
      <c r="AG75" s="6323"/>
      <c r="AH75" s="6323"/>
      <c r="AI75" s="6323"/>
      <c r="AJ75" s="6323"/>
      <c r="AK75" s="1127"/>
      <c r="AL75" s="1127"/>
      <c r="AM75" s="1127"/>
      <c r="AN75" s="1179"/>
      <c r="AO75" s="1179"/>
      <c r="AP75" s="1179"/>
      <c r="AQ75" s="2595"/>
      <c r="AR75" s="2595"/>
      <c r="AS75" s="2595"/>
      <c r="AT75" s="2595"/>
      <c r="AU75" s="2595"/>
      <c r="AV75" s="2595"/>
      <c r="AW75" s="2595"/>
      <c r="AX75" s="2595"/>
      <c r="AY75" s="2595"/>
      <c r="AZ75" s="2595"/>
      <c r="BA75" s="42"/>
      <c r="BB75" s="42"/>
    </row>
    <row r="76" spans="1:54" s="3402" customFormat="1" ht="16.5" customHeight="1">
      <c r="A76" s="1127"/>
      <c r="B76" s="1179"/>
      <c r="C76" s="1179"/>
      <c r="D76" s="4359" t="s">
        <v>2082</v>
      </c>
      <c r="E76" s="9483" t="str">
        <f>"Did the student receive Form 1098-T"&amp;CHAR(10)&amp;"from this institution for "&amp;TaxYear&amp;"?"</f>
        <v>Did the student receive Form 1098-T
from this institution for 2021?</v>
      </c>
      <c r="F76" s="9483"/>
      <c r="G76" s="9483"/>
      <c r="H76" s="9483"/>
      <c r="I76" s="9483"/>
      <c r="J76" s="9483"/>
      <c r="K76" s="9483"/>
      <c r="L76" s="9483"/>
      <c r="M76" s="9483"/>
      <c r="N76" s="9483"/>
      <c r="O76" s="1179"/>
      <c r="P76" s="1179"/>
      <c r="Q76" s="1179"/>
      <c r="R76" s="1179"/>
      <c r="S76" s="1179"/>
      <c r="T76" s="1581"/>
      <c r="U76" s="4359" t="s">
        <v>2082</v>
      </c>
      <c r="V76" s="9483" t="str">
        <f>"Did the student receive Form 1098-T"&amp;CHAR(10)&amp;"from this institution for "&amp;TaxYear&amp;"?"</f>
        <v>Did the student receive Form 1098-T
from this institution for 2021?</v>
      </c>
      <c r="W76" s="9483"/>
      <c r="X76" s="9483"/>
      <c r="Y76" s="9483"/>
      <c r="Z76" s="9483"/>
      <c r="AA76" s="9483"/>
      <c r="AB76" s="9483"/>
      <c r="AC76" s="9483"/>
      <c r="AD76" s="9483"/>
      <c r="AE76" s="9483"/>
      <c r="AF76" s="1179"/>
      <c r="AG76" s="1179"/>
      <c r="AH76" s="1179"/>
      <c r="AI76" s="1179"/>
      <c r="AJ76" s="1179"/>
      <c r="AK76" s="1127"/>
      <c r="AL76" s="1127"/>
      <c r="AM76" s="1127"/>
      <c r="AN76" s="1179"/>
      <c r="AO76" s="1179"/>
      <c r="AP76" s="1179"/>
      <c r="AQ76" s="2595"/>
      <c r="AR76" s="2595"/>
      <c r="AS76" s="2595"/>
      <c r="AT76" s="2595"/>
      <c r="AU76" s="2595"/>
      <c r="AV76" s="2595"/>
      <c r="AW76" s="2595"/>
      <c r="AX76" s="2595"/>
      <c r="AY76" s="2595"/>
      <c r="AZ76" s="2595"/>
      <c r="BA76" s="42"/>
      <c r="BB76" s="42"/>
    </row>
    <row r="77" spans="1:54" s="3402" customFormat="1" ht="14.25" customHeight="1">
      <c r="A77" s="1127"/>
      <c r="B77" s="1179"/>
      <c r="C77" s="1179"/>
      <c r="D77" s="1179"/>
      <c r="E77" s="9484"/>
      <c r="F77" s="9484"/>
      <c r="G77" s="9484"/>
      <c r="H77" s="9484"/>
      <c r="I77" s="9484"/>
      <c r="J77" s="9484"/>
      <c r="K77" s="9484"/>
      <c r="L77" s="9484"/>
      <c r="M77" s="9484"/>
      <c r="N77" s="9484"/>
      <c r="O77" s="4365"/>
      <c r="P77" s="1283" t="s">
        <v>271</v>
      </c>
      <c r="Q77" s="1179"/>
      <c r="R77" s="4365"/>
      <c r="S77" s="1283" t="s">
        <v>272</v>
      </c>
      <c r="T77" s="3717"/>
      <c r="U77" s="1179"/>
      <c r="V77" s="9484"/>
      <c r="W77" s="9484"/>
      <c r="X77" s="9484"/>
      <c r="Y77" s="9484"/>
      <c r="Z77" s="9484"/>
      <c r="AA77" s="9484"/>
      <c r="AB77" s="9484"/>
      <c r="AC77" s="9484"/>
      <c r="AD77" s="9484"/>
      <c r="AE77" s="9484"/>
      <c r="AF77" s="4365"/>
      <c r="AG77" s="1283" t="s">
        <v>271</v>
      </c>
      <c r="AH77" s="1179"/>
      <c r="AI77" s="4365"/>
      <c r="AJ77" s="1283" t="s">
        <v>272</v>
      </c>
      <c r="AK77" s="1127"/>
      <c r="AL77" s="1127"/>
      <c r="AM77" s="1127"/>
      <c r="AN77" s="1179"/>
      <c r="AO77" s="1179"/>
      <c r="AP77" s="1179"/>
      <c r="AQ77" s="2595"/>
      <c r="AR77" s="2595"/>
      <c r="AS77" s="2595"/>
      <c r="AT77" s="2595"/>
      <c r="AU77" s="2595"/>
      <c r="AV77" s="2595"/>
      <c r="AW77" s="2595"/>
      <c r="AX77" s="2595"/>
      <c r="AY77" s="2595"/>
      <c r="AZ77" s="2595"/>
      <c r="BA77" s="42"/>
      <c r="BB77" s="42"/>
    </row>
    <row r="78" spans="1:54" s="3402" customFormat="1" ht="7.5" customHeight="1">
      <c r="A78" s="1127"/>
      <c r="B78" s="1553"/>
      <c r="C78" s="1553"/>
      <c r="D78" s="1553"/>
      <c r="E78" s="9485"/>
      <c r="F78" s="9485"/>
      <c r="G78" s="9485"/>
      <c r="H78" s="9485"/>
      <c r="I78" s="9485"/>
      <c r="J78" s="9485"/>
      <c r="K78" s="9485"/>
      <c r="L78" s="9485"/>
      <c r="M78" s="9485"/>
      <c r="N78" s="9485"/>
      <c r="O78" s="1553"/>
      <c r="P78" s="1553"/>
      <c r="Q78" s="1553"/>
      <c r="R78" s="1553"/>
      <c r="S78" s="1553"/>
      <c r="T78" s="1586"/>
      <c r="U78" s="1553"/>
      <c r="V78" s="9485"/>
      <c r="W78" s="9485"/>
      <c r="X78" s="9485"/>
      <c r="Y78" s="9485"/>
      <c r="Z78" s="9485"/>
      <c r="AA78" s="9485"/>
      <c r="AB78" s="9485"/>
      <c r="AC78" s="9485"/>
      <c r="AD78" s="9485"/>
      <c r="AE78" s="9485"/>
      <c r="AF78" s="1553"/>
      <c r="AG78" s="1553"/>
      <c r="AH78" s="1553"/>
      <c r="AI78" s="1553"/>
      <c r="AJ78" s="1553"/>
      <c r="AK78" s="1127"/>
      <c r="AL78" s="1127"/>
      <c r="AM78" s="1127"/>
      <c r="AN78" s="1179"/>
      <c r="AO78" s="1179"/>
      <c r="AP78" s="1179"/>
      <c r="AQ78" s="2599"/>
      <c r="AR78" s="2599"/>
      <c r="AS78" s="2599"/>
      <c r="AT78" s="2599"/>
      <c r="AU78" s="2599"/>
      <c r="AV78" s="2599"/>
      <c r="AW78" s="2599"/>
      <c r="AX78" s="2599"/>
      <c r="AY78" s="2599"/>
      <c r="AZ78" s="2599"/>
      <c r="BA78" s="42"/>
      <c r="BB78" s="42"/>
    </row>
    <row r="79" spans="1:54" s="3402" customFormat="1" ht="16.5" customHeight="1">
      <c r="A79" s="1127"/>
      <c r="B79" s="1179"/>
      <c r="C79" s="1179"/>
      <c r="D79" s="4367" t="s">
        <v>3718</v>
      </c>
      <c r="E79" s="9483" t="str">
        <f>"Did the student receive Form 1098-T"&amp;CHAR(10)&amp;"from this institution for "&amp;TaxYear-1&amp;" with box"&amp;CHAR(10)&amp;"7 checked?"</f>
        <v>Did the student receive Form 1098-T
from this institution for 2020 with box
7 checked?</v>
      </c>
      <c r="F79" s="9483"/>
      <c r="G79" s="9483"/>
      <c r="H79" s="9483"/>
      <c r="I79" s="9483"/>
      <c r="J79" s="9483"/>
      <c r="K79" s="9483"/>
      <c r="L79" s="9483"/>
      <c r="M79" s="9483"/>
      <c r="N79" s="9483"/>
      <c r="O79" s="1179"/>
      <c r="P79" s="1179"/>
      <c r="Q79" s="1179"/>
      <c r="R79" s="1179"/>
      <c r="S79" s="1179"/>
      <c r="T79" s="1582"/>
      <c r="U79" s="4367" t="s">
        <v>3718</v>
      </c>
      <c r="V79" s="9483" t="str">
        <f>"Did the student receive Form 1098-T"&amp;CHAR(10)&amp;"from this institution for "&amp;TaxYear-1&amp;" with box"&amp;CHAR(10)&amp;"7 checked?"</f>
        <v>Did the student receive Form 1098-T
from this institution for 2020 with box
7 checked?</v>
      </c>
      <c r="W79" s="9483"/>
      <c r="X79" s="9483"/>
      <c r="Y79" s="9483"/>
      <c r="Z79" s="9483"/>
      <c r="AA79" s="9483"/>
      <c r="AB79" s="9483"/>
      <c r="AC79" s="9483"/>
      <c r="AD79" s="9483"/>
      <c r="AE79" s="9483"/>
      <c r="AF79" s="1179"/>
      <c r="AG79" s="1179"/>
      <c r="AH79" s="1179"/>
      <c r="AI79" s="1179"/>
      <c r="AJ79" s="1179"/>
      <c r="AK79" s="1127"/>
      <c r="AL79" s="1127"/>
      <c r="AM79" s="1127"/>
      <c r="AN79" s="1179"/>
      <c r="AO79" s="1179"/>
      <c r="AP79" s="1179"/>
      <c r="AQ79" s="2595"/>
      <c r="AR79" s="2595"/>
      <c r="AS79" s="2595"/>
      <c r="AT79" s="2595"/>
      <c r="AU79" s="2595"/>
      <c r="AV79" s="2595"/>
      <c r="AW79" s="2595"/>
      <c r="AX79" s="2595"/>
      <c r="AY79" s="2595"/>
      <c r="AZ79" s="2595"/>
      <c r="BA79" s="42"/>
      <c r="BB79" s="42"/>
    </row>
    <row r="80" spans="1:54" s="3402" customFormat="1" ht="14.25" customHeight="1">
      <c r="A80" s="1127"/>
      <c r="B80" s="1179"/>
      <c r="C80" s="1179"/>
      <c r="D80" s="1179"/>
      <c r="E80" s="9484"/>
      <c r="F80" s="9484"/>
      <c r="G80" s="9484"/>
      <c r="H80" s="9484"/>
      <c r="I80" s="9484"/>
      <c r="J80" s="9484"/>
      <c r="K80" s="9484"/>
      <c r="L80" s="9484"/>
      <c r="M80" s="9484"/>
      <c r="N80" s="9484"/>
      <c r="O80" s="4365"/>
      <c r="P80" s="1283" t="s">
        <v>271</v>
      </c>
      <c r="Q80" s="1179"/>
      <c r="R80" s="4365"/>
      <c r="S80" s="1283" t="s">
        <v>272</v>
      </c>
      <c r="T80" s="3717"/>
      <c r="U80" s="1179"/>
      <c r="V80" s="9484"/>
      <c r="W80" s="9484"/>
      <c r="X80" s="9484"/>
      <c r="Y80" s="9484"/>
      <c r="Z80" s="9484"/>
      <c r="AA80" s="9484"/>
      <c r="AB80" s="9484"/>
      <c r="AC80" s="9484"/>
      <c r="AD80" s="9484"/>
      <c r="AE80" s="9484"/>
      <c r="AF80" s="4365"/>
      <c r="AG80" s="1283" t="s">
        <v>271</v>
      </c>
      <c r="AH80" s="1179"/>
      <c r="AI80" s="4365"/>
      <c r="AJ80" s="1283" t="s">
        <v>272</v>
      </c>
      <c r="AK80" s="1127"/>
      <c r="AL80" s="1127"/>
      <c r="AM80" s="1127"/>
      <c r="AN80" s="1179"/>
      <c r="AO80" s="1179"/>
      <c r="AP80" s="1179"/>
      <c r="AQ80" s="2595"/>
      <c r="AR80" s="2595"/>
      <c r="AS80" s="2595"/>
      <c r="AT80" s="2595"/>
      <c r="AU80" s="2595"/>
      <c r="AV80" s="2595"/>
      <c r="AW80" s="2595"/>
      <c r="AX80" s="2595"/>
      <c r="AY80" s="2595"/>
      <c r="AZ80" s="2595"/>
      <c r="BA80" s="42"/>
      <c r="BB80" s="42"/>
    </row>
    <row r="81" spans="1:54" s="3402" customFormat="1" ht="13.5" customHeight="1">
      <c r="A81" s="1127"/>
      <c r="B81" s="1553"/>
      <c r="C81" s="1553"/>
      <c r="D81" s="1553"/>
      <c r="E81" s="9485"/>
      <c r="F81" s="9485"/>
      <c r="G81" s="9485"/>
      <c r="H81" s="9485"/>
      <c r="I81" s="9485"/>
      <c r="J81" s="9485"/>
      <c r="K81" s="9485"/>
      <c r="L81" s="9485"/>
      <c r="M81" s="9485"/>
      <c r="N81" s="9485"/>
      <c r="O81" s="1553"/>
      <c r="P81" s="1553"/>
      <c r="Q81" s="1553"/>
      <c r="R81" s="1553"/>
      <c r="S81" s="1553"/>
      <c r="T81" s="1586"/>
      <c r="U81" s="1553"/>
      <c r="V81" s="9485"/>
      <c r="W81" s="9485"/>
      <c r="X81" s="9485"/>
      <c r="Y81" s="9485"/>
      <c r="Z81" s="9485"/>
      <c r="AA81" s="9485"/>
      <c r="AB81" s="9485"/>
      <c r="AC81" s="9485"/>
      <c r="AD81" s="9485"/>
      <c r="AE81" s="9485"/>
      <c r="AF81" s="1553"/>
      <c r="AG81" s="1553"/>
      <c r="AH81" s="1553"/>
      <c r="AI81" s="1553"/>
      <c r="AJ81" s="1553"/>
      <c r="AK81" s="1127"/>
      <c r="AL81" s="1127"/>
      <c r="AM81" s="1127"/>
      <c r="AN81" s="1179"/>
      <c r="AO81" s="1179"/>
      <c r="AP81" s="1179"/>
      <c r="AQ81" s="2595"/>
      <c r="AR81" s="2595"/>
      <c r="AS81" s="2595"/>
      <c r="AT81" s="2595"/>
      <c r="AU81" s="2595"/>
      <c r="AV81" s="2595"/>
      <c r="AW81" s="2595"/>
      <c r="AX81" s="2595"/>
      <c r="AY81" s="2595"/>
      <c r="AZ81" s="2595"/>
      <c r="BA81" s="42"/>
      <c r="BB81" s="42"/>
    </row>
    <row r="82" spans="1:54" s="3402" customFormat="1" ht="21" customHeight="1" thickBot="1">
      <c r="A82" s="1127"/>
      <c r="B82" s="1179"/>
      <c r="C82" s="1179"/>
      <c r="D82" s="4367" t="s">
        <v>3313</v>
      </c>
      <c r="E82" s="9483" t="s">
        <v>3719</v>
      </c>
      <c r="F82" s="9483"/>
      <c r="G82" s="9483"/>
      <c r="H82" s="9483"/>
      <c r="I82" s="9483"/>
      <c r="J82" s="9483"/>
      <c r="K82" s="9483"/>
      <c r="L82" s="9483"/>
      <c r="M82" s="9483"/>
      <c r="N82" s="9483"/>
      <c r="O82" s="9483"/>
      <c r="P82" s="9483"/>
      <c r="Q82" s="9483"/>
      <c r="R82" s="9483"/>
      <c r="S82" s="9520"/>
      <c r="T82" s="1582"/>
      <c r="U82" s="4367" t="s">
        <v>3313</v>
      </c>
      <c r="V82" s="9483" t="s">
        <v>3719</v>
      </c>
      <c r="W82" s="9483"/>
      <c r="X82" s="9483"/>
      <c r="Y82" s="9483"/>
      <c r="Z82" s="9483"/>
      <c r="AA82" s="9483"/>
      <c r="AB82" s="9483"/>
      <c r="AC82" s="9483"/>
      <c r="AD82" s="9483"/>
      <c r="AE82" s="9483"/>
      <c r="AF82" s="9483"/>
      <c r="AG82" s="9483"/>
      <c r="AH82" s="9483"/>
      <c r="AI82" s="9483"/>
      <c r="AJ82" s="9483"/>
      <c r="AK82" s="1127"/>
      <c r="AL82" s="1127"/>
      <c r="AM82" s="1127"/>
      <c r="AN82" s="1179"/>
      <c r="AO82" s="1179"/>
      <c r="AP82" s="1179"/>
      <c r="AQ82" s="2595"/>
      <c r="AR82" s="2595"/>
      <c r="AS82" s="2595"/>
      <c r="AT82" s="2595"/>
      <c r="AU82" s="2595"/>
      <c r="AV82" s="2595"/>
      <c r="AW82" s="2595"/>
      <c r="AX82" s="2595"/>
      <c r="AY82" s="2595"/>
      <c r="AZ82" s="2595"/>
      <c r="BA82" s="42"/>
      <c r="BB82" s="42"/>
    </row>
    <row r="83" spans="1:54" s="3402" customFormat="1" ht="14.25" customHeight="1">
      <c r="A83" s="1127"/>
      <c r="B83" s="1179"/>
      <c r="C83" s="1179"/>
      <c r="D83" s="1179"/>
      <c r="E83" s="9484"/>
      <c r="F83" s="9484"/>
      <c r="G83" s="9484"/>
      <c r="H83" s="9484"/>
      <c r="I83" s="9484"/>
      <c r="J83" s="9484"/>
      <c r="K83" s="9484"/>
      <c r="L83" s="9484"/>
      <c r="M83" s="9484"/>
      <c r="N83" s="9484"/>
      <c r="O83" s="9484"/>
      <c r="P83" s="9484"/>
      <c r="Q83" s="9484"/>
      <c r="R83" s="9484"/>
      <c r="S83" s="9521"/>
      <c r="T83" s="3717"/>
      <c r="U83" s="1179"/>
      <c r="V83" s="9484"/>
      <c r="W83" s="9484"/>
      <c r="X83" s="9484"/>
      <c r="Y83" s="9484"/>
      <c r="Z83" s="9484"/>
      <c r="AA83" s="9484"/>
      <c r="AB83" s="9484"/>
      <c r="AC83" s="9484"/>
      <c r="AD83" s="9484"/>
      <c r="AE83" s="9484"/>
      <c r="AF83" s="9484"/>
      <c r="AG83" s="9484"/>
      <c r="AH83" s="9484"/>
      <c r="AI83" s="9484"/>
      <c r="AJ83" s="9484"/>
      <c r="AK83" s="1127"/>
      <c r="AL83" s="1127"/>
      <c r="AM83" s="1127"/>
      <c r="AN83" s="1179"/>
      <c r="AO83" s="1179"/>
      <c r="AP83" s="1179"/>
      <c r="AQ83" s="4418" t="s">
        <v>3755</v>
      </c>
      <c r="AR83" s="4419"/>
      <c r="AS83" s="4419"/>
      <c r="AT83" s="4419"/>
      <c r="AU83" s="4419"/>
      <c r="AV83" s="4419"/>
      <c r="AW83" s="4419"/>
      <c r="AX83" s="4419"/>
      <c r="AY83" s="4419"/>
      <c r="AZ83" s="4420"/>
      <c r="BA83" s="42"/>
      <c r="BB83" s="42"/>
    </row>
    <row r="84" spans="1:54" s="3402" customFormat="1" ht="26.25" customHeight="1">
      <c r="A84" s="1127"/>
      <c r="B84" s="1179"/>
      <c r="C84" s="1179"/>
      <c r="D84" s="1179"/>
      <c r="E84" s="9484"/>
      <c r="F84" s="9484"/>
      <c r="G84" s="9484"/>
      <c r="H84" s="9484"/>
      <c r="I84" s="9484"/>
      <c r="J84" s="9484"/>
      <c r="K84" s="9484"/>
      <c r="L84" s="9484"/>
      <c r="M84" s="9484"/>
      <c r="N84" s="9484"/>
      <c r="O84" s="9484"/>
      <c r="P84" s="9484"/>
      <c r="Q84" s="9484"/>
      <c r="R84" s="9484"/>
      <c r="S84" s="9521"/>
      <c r="T84" s="1582"/>
      <c r="U84" s="1179"/>
      <c r="V84" s="9484"/>
      <c r="W84" s="9484"/>
      <c r="X84" s="9484"/>
      <c r="Y84" s="9484"/>
      <c r="Z84" s="9484"/>
      <c r="AA84" s="9484"/>
      <c r="AB84" s="9484"/>
      <c r="AC84" s="9484"/>
      <c r="AD84" s="9484"/>
      <c r="AE84" s="9484"/>
      <c r="AF84" s="9484"/>
      <c r="AG84" s="9484"/>
      <c r="AH84" s="9484"/>
      <c r="AI84" s="9484"/>
      <c r="AJ84" s="9484"/>
      <c r="AK84" s="1127"/>
      <c r="AL84" s="1127"/>
      <c r="AM84" s="1127"/>
      <c r="AN84" s="1179"/>
      <c r="AO84" s="1179"/>
      <c r="AP84" s="1179"/>
      <c r="AQ84" s="4421" t="s">
        <v>3756</v>
      </c>
      <c r="AR84" s="4422"/>
      <c r="AS84" s="4422"/>
      <c r="AT84" s="4422"/>
      <c r="AU84" s="4422"/>
      <c r="AV84" s="4422"/>
      <c r="AW84" s="4422"/>
      <c r="AX84" s="4422"/>
      <c r="AY84" s="4422"/>
      <c r="AZ84" s="4423"/>
      <c r="BA84" s="42"/>
      <c r="BB84" s="42"/>
    </row>
    <row r="85" spans="1:54" s="3402" customFormat="1" ht="17.25" customHeight="1">
      <c r="A85" s="1127"/>
      <c r="B85" s="1179"/>
      <c r="C85" s="1179"/>
      <c r="D85" s="1179"/>
      <c r="E85" s="4365"/>
      <c r="F85" s="4365"/>
      <c r="G85" s="4369" t="s">
        <v>3720</v>
      </c>
      <c r="H85" s="4365"/>
      <c r="I85" s="4365"/>
      <c r="J85" s="4365"/>
      <c r="K85" s="4365"/>
      <c r="L85" s="4365"/>
      <c r="M85" s="4365"/>
      <c r="N85" s="4365"/>
      <c r="O85" s="4366"/>
      <c r="P85" s="4366"/>
      <c r="Q85" s="4366"/>
      <c r="R85" s="4366"/>
      <c r="S85" s="4368"/>
      <c r="T85" s="1582"/>
      <c r="U85" s="1179"/>
      <c r="V85" s="4365"/>
      <c r="W85" s="4365"/>
      <c r="X85" s="4369" t="s">
        <v>3720</v>
      </c>
      <c r="Y85" s="4365"/>
      <c r="Z85" s="4365"/>
      <c r="AA85" s="4365"/>
      <c r="AB85" s="4365"/>
      <c r="AC85" s="4365"/>
      <c r="AD85" s="4365"/>
      <c r="AE85" s="4365"/>
      <c r="AF85" s="1179"/>
      <c r="AG85" s="1179"/>
      <c r="AH85" s="1179"/>
      <c r="AI85" s="1179"/>
      <c r="AJ85" s="1179"/>
      <c r="AK85" s="1127"/>
      <c r="AL85" s="1127"/>
      <c r="AM85" s="1127"/>
      <c r="AN85" s="1179"/>
      <c r="AO85" s="1179"/>
      <c r="AP85" s="1179"/>
      <c r="AQ85" s="4424" t="str">
        <f>"(see below) in "&amp;TaxYear&amp;" for which you paid (or are treated as having paid) qualified education expenses in "&amp;TaxYear&amp;"."</f>
        <v>(see below) in 2021 for which you paid (or are treated as having paid) qualified education expenses in 2021.</v>
      </c>
      <c r="AR85" s="4425"/>
      <c r="AS85" s="4425"/>
      <c r="AT85" s="4425"/>
      <c r="AU85" s="4425"/>
      <c r="AV85" s="4425"/>
      <c r="AW85" s="4425"/>
      <c r="AX85" s="4425"/>
      <c r="AY85" s="4425"/>
      <c r="AZ85" s="4426"/>
      <c r="BA85" s="42"/>
      <c r="BB85" s="42"/>
    </row>
    <row r="86" spans="1:54" s="3402" customFormat="1" ht="14.25">
      <c r="A86" s="1127"/>
      <c r="B86" s="1553"/>
      <c r="C86" s="1553"/>
      <c r="D86" s="1553"/>
      <c r="E86" s="2791"/>
      <c r="F86" s="1553"/>
      <c r="G86" s="1553"/>
      <c r="H86" s="1553"/>
      <c r="I86" s="1553"/>
      <c r="J86" s="1553"/>
      <c r="K86" s="1553"/>
      <c r="L86" s="1553"/>
      <c r="M86" s="1553"/>
      <c r="N86" s="1553"/>
      <c r="O86" s="1553"/>
      <c r="P86" s="1553"/>
      <c r="Q86" s="1553"/>
      <c r="R86" s="1553"/>
      <c r="S86" s="3008"/>
      <c r="T86" s="1586"/>
      <c r="U86" s="1553"/>
      <c r="V86" s="1553"/>
      <c r="W86" s="1553"/>
      <c r="X86" s="1553"/>
      <c r="Y86" s="1553"/>
      <c r="Z86" s="1553"/>
      <c r="AA86" s="1553"/>
      <c r="AB86" s="1553"/>
      <c r="AC86" s="1553"/>
      <c r="AD86" s="1553"/>
      <c r="AE86" s="1553"/>
      <c r="AF86" s="1553"/>
      <c r="AG86" s="1553"/>
      <c r="AH86" s="1553"/>
      <c r="AI86" s="1553"/>
      <c r="AJ86" s="1553"/>
      <c r="AK86" s="1127"/>
      <c r="AL86" s="1127"/>
      <c r="AM86" s="1127"/>
      <c r="AN86" s="1179"/>
      <c r="AO86" s="1179"/>
      <c r="AP86" s="1179"/>
      <c r="AQ86" s="4427"/>
      <c r="AR86" s="3684"/>
      <c r="AS86" s="3684"/>
      <c r="AT86" s="3684"/>
      <c r="AU86" s="3684"/>
      <c r="AV86" s="3684"/>
      <c r="AW86" s="3684"/>
      <c r="AX86" s="3684"/>
      <c r="AY86" s="3684"/>
      <c r="AZ86" s="4428"/>
      <c r="BA86" s="42"/>
      <c r="BB86" s="42"/>
    </row>
    <row r="87" spans="1:54" s="3402" customFormat="1" ht="15">
      <c r="A87" s="1127"/>
      <c r="B87" s="1559">
        <v>23</v>
      </c>
      <c r="C87" s="1179"/>
      <c r="D87" s="1179"/>
      <c r="E87" s="2686" t="s">
        <v>3721</v>
      </c>
      <c r="F87" s="1179"/>
      <c r="G87" s="1179"/>
      <c r="H87" s="1179"/>
      <c r="I87" s="1179"/>
      <c r="J87" s="1179"/>
      <c r="K87" s="1179"/>
      <c r="L87" s="1179"/>
      <c r="M87" s="1179"/>
      <c r="N87" s="1179"/>
      <c r="O87" s="1179"/>
      <c r="P87" s="1179"/>
      <c r="Q87" s="1179"/>
      <c r="R87" s="1179"/>
      <c r="S87" s="1179"/>
      <c r="T87" s="1179"/>
      <c r="U87" s="1179"/>
      <c r="V87" s="1179"/>
      <c r="W87" s="1179"/>
      <c r="X87" s="1179"/>
      <c r="Y87" s="1179"/>
      <c r="Z87" s="1179"/>
      <c r="AA87" s="1179"/>
      <c r="AB87" s="1179"/>
      <c r="AC87" s="1179"/>
      <c r="AD87" s="1179"/>
      <c r="AE87" s="1179"/>
      <c r="AF87" s="1179"/>
      <c r="AG87" s="1179"/>
      <c r="AH87" s="1179"/>
      <c r="AI87" s="1179"/>
      <c r="AJ87" s="1179"/>
      <c r="AK87" s="1127"/>
      <c r="AL87" s="1127"/>
      <c r="AM87" s="1127"/>
      <c r="AN87" s="1179"/>
      <c r="AO87" s="1179"/>
      <c r="AP87" s="1179"/>
      <c r="AQ87" s="4429" t="s">
        <v>3758</v>
      </c>
      <c r="AR87" s="3684"/>
      <c r="AS87" s="3684"/>
      <c r="AT87" s="3684"/>
      <c r="AU87" s="3684"/>
      <c r="AV87" s="3684"/>
      <c r="AW87" s="3684"/>
      <c r="AX87" s="3684"/>
      <c r="AY87" s="3684"/>
      <c r="AZ87" s="4428"/>
      <c r="BA87" s="42"/>
      <c r="BB87" s="42"/>
    </row>
    <row r="88" spans="1:54" s="3402" customFormat="1" ht="15">
      <c r="A88" s="1127"/>
      <c r="B88" s="1179"/>
      <c r="C88" s="1179"/>
      <c r="D88" s="1179"/>
      <c r="E88" s="3355" t="s">
        <v>3722</v>
      </c>
      <c r="F88" s="1179"/>
      <c r="G88" s="1179"/>
      <c r="H88" s="1179"/>
      <c r="I88" s="1179"/>
      <c r="J88" s="1179"/>
      <c r="K88" s="1179"/>
      <c r="L88" s="1179"/>
      <c r="M88" s="1179"/>
      <c r="N88" s="1179"/>
      <c r="O88" s="1179"/>
      <c r="P88" s="1179"/>
      <c r="Q88" s="1179"/>
      <c r="R88" s="1179"/>
      <c r="S88" s="1179"/>
      <c r="T88" s="4365"/>
      <c r="U88" s="1276" t="s">
        <v>3723</v>
      </c>
      <c r="V88" s="1179"/>
      <c r="W88" s="1179"/>
      <c r="X88" s="1179"/>
      <c r="Y88" s="1179"/>
      <c r="Z88" s="1179"/>
      <c r="AA88" s="1179"/>
      <c r="AB88" s="1179"/>
      <c r="AC88" s="4383" t="str">
        <f>IF(T88&lt;&gt;"","","X")</f>
        <v>X</v>
      </c>
      <c r="AD88" s="1276" t="s">
        <v>3732</v>
      </c>
      <c r="AE88" s="1179"/>
      <c r="AF88" s="1179"/>
      <c r="AG88" s="1179"/>
      <c r="AH88" s="1179"/>
      <c r="AI88" s="1179"/>
      <c r="AJ88" s="1179"/>
      <c r="AK88" s="1127"/>
      <c r="AL88" s="1127"/>
      <c r="AM88" s="1127"/>
      <c r="AN88" s="1179"/>
      <c r="AO88" s="1179"/>
      <c r="AP88" s="1179"/>
      <c r="AQ88" s="4430" t="str">
        <f>TaxYear&amp;" for the academic period"</f>
        <v>2021 for the academic period</v>
      </c>
      <c r="AR88" s="4410"/>
      <c r="AS88" s="4410"/>
      <c r="AT88" s="4410"/>
      <c r="AU88" s="4410"/>
      <c r="AV88" s="4410"/>
      <c r="AW88" s="4413"/>
      <c r="AX88" s="4413" t="s">
        <v>294</v>
      </c>
      <c r="AY88" s="1849"/>
      <c r="AZ88" s="4411"/>
      <c r="BA88" s="42"/>
      <c r="BB88" s="42"/>
    </row>
    <row r="89" spans="1:54" s="4382" customFormat="1" ht="16.5" customHeight="1">
      <c r="A89" s="1819"/>
      <c r="B89" s="1277"/>
      <c r="C89" s="1277"/>
      <c r="D89" s="1277"/>
      <c r="E89" s="3719" t="str">
        <f>"before "&amp;TaxYear&amp;"?"</f>
        <v>before 2021?</v>
      </c>
      <c r="F89" s="1277"/>
      <c r="G89" s="1277"/>
      <c r="H89" s="1277"/>
      <c r="I89" s="1277"/>
      <c r="J89" s="1277"/>
      <c r="K89" s="1277"/>
      <c r="L89" s="1277"/>
      <c r="M89" s="1277"/>
      <c r="N89" s="1277"/>
      <c r="O89" s="1277"/>
      <c r="P89" s="1277"/>
      <c r="Q89" s="1277"/>
      <c r="R89" s="1277"/>
      <c r="S89" s="1277"/>
      <c r="T89" s="1277"/>
      <c r="U89" s="1277" t="s">
        <v>3724</v>
      </c>
      <c r="V89" s="1277"/>
      <c r="W89" s="1277"/>
      <c r="X89" s="1277"/>
      <c r="Y89" s="1277"/>
      <c r="Z89" s="1277"/>
      <c r="AA89" s="1277"/>
      <c r="AB89" s="1277"/>
      <c r="AC89" s="1277"/>
      <c r="AD89" s="1277"/>
      <c r="AE89" s="1277"/>
      <c r="AF89" s="1277"/>
      <c r="AG89" s="1277"/>
      <c r="AH89" s="1277"/>
      <c r="AI89" s="1277"/>
      <c r="AJ89" s="1277"/>
      <c r="AK89" s="1819"/>
      <c r="AL89" s="1819"/>
      <c r="AM89" s="1819"/>
      <c r="AN89" s="1277"/>
      <c r="AO89" s="1277"/>
      <c r="AP89" s="1277"/>
      <c r="AQ89" s="4431"/>
      <c r="AR89" s="4410"/>
      <c r="AS89" s="4410"/>
      <c r="AT89" s="4410"/>
      <c r="AU89" s="4410"/>
      <c r="AV89" s="4410"/>
      <c r="AW89" s="4413"/>
      <c r="AX89" s="4413"/>
      <c r="AY89" s="4413"/>
      <c r="AZ89" s="4411"/>
      <c r="BA89" s="946"/>
      <c r="BB89" s="946"/>
    </row>
    <row r="90" spans="1:54" s="3402" customFormat="1" ht="15">
      <c r="A90" s="1127"/>
      <c r="B90" s="4370">
        <v>24</v>
      </c>
      <c r="C90" s="1574"/>
      <c r="D90" s="1574"/>
      <c r="E90" s="3072" t="s">
        <v>3725</v>
      </c>
      <c r="F90" s="1574"/>
      <c r="G90" s="1574"/>
      <c r="H90" s="1574"/>
      <c r="I90" s="1574"/>
      <c r="J90" s="1574"/>
      <c r="K90" s="1574"/>
      <c r="L90" s="1574"/>
      <c r="M90" s="1574"/>
      <c r="N90" s="1574"/>
      <c r="O90" s="1574"/>
      <c r="P90" s="1574"/>
      <c r="Q90" s="1574"/>
      <c r="R90" s="1574"/>
      <c r="S90" s="1574"/>
      <c r="T90" s="1574"/>
      <c r="U90" s="1574"/>
      <c r="V90" s="1574"/>
      <c r="W90" s="1574"/>
      <c r="X90" s="1574"/>
      <c r="Y90" s="1574"/>
      <c r="Z90" s="1574"/>
      <c r="AA90" s="1574"/>
      <c r="AB90" s="1574"/>
      <c r="AC90" s="1574"/>
      <c r="AD90" s="1574"/>
      <c r="AE90" s="1574"/>
      <c r="AF90" s="1574"/>
      <c r="AG90" s="1574"/>
      <c r="AH90" s="1574"/>
      <c r="AI90" s="1574"/>
      <c r="AJ90" s="1574"/>
      <c r="AK90" s="1127"/>
      <c r="AL90" s="1127"/>
      <c r="AM90" s="1127"/>
      <c r="AN90" s="1179"/>
      <c r="AO90" s="1179"/>
      <c r="AP90" s="1179"/>
      <c r="AQ90" s="4429" t="s">
        <v>3757</v>
      </c>
      <c r="AR90" s="4422"/>
      <c r="AS90" s="4422"/>
      <c r="AT90" s="4422"/>
      <c r="AU90" s="4422"/>
      <c r="AV90" s="4422"/>
      <c r="AW90" s="4422"/>
      <c r="AX90" s="4422"/>
      <c r="AY90" s="3684"/>
      <c r="AZ90" s="4423"/>
      <c r="BA90" s="42"/>
      <c r="BB90" s="42"/>
    </row>
    <row r="91" spans="1:54" s="3402" customFormat="1" ht="15">
      <c r="A91" s="1127"/>
      <c r="B91" s="1559"/>
      <c r="C91" s="1179"/>
      <c r="D91" s="1179"/>
      <c r="E91" s="2686" t="s">
        <v>3727</v>
      </c>
      <c r="F91" s="1179"/>
      <c r="G91" s="1179"/>
      <c r="H91" s="1179"/>
      <c r="I91" s="1179"/>
      <c r="J91" s="1179"/>
      <c r="K91" s="1179"/>
      <c r="L91" s="1179"/>
      <c r="M91" s="1179"/>
      <c r="N91" s="1179"/>
      <c r="O91" s="1179"/>
      <c r="P91" s="1179"/>
      <c r="Q91" s="1179"/>
      <c r="R91" s="1179"/>
      <c r="S91" s="1179"/>
      <c r="T91" s="1179"/>
      <c r="U91" s="1179"/>
      <c r="V91" s="1179"/>
      <c r="W91" s="1179"/>
      <c r="X91" s="1179"/>
      <c r="Y91" s="1179"/>
      <c r="Z91" s="1179"/>
      <c r="AA91" s="1179"/>
      <c r="AB91" s="1179"/>
      <c r="AC91" s="1179"/>
      <c r="AD91" s="1179"/>
      <c r="AE91" s="1179"/>
      <c r="AF91" s="1179"/>
      <c r="AG91" s="1179"/>
      <c r="AH91" s="1179"/>
      <c r="AI91" s="1179"/>
      <c r="AJ91" s="1179"/>
      <c r="AK91" s="1127"/>
      <c r="AL91" s="1127"/>
      <c r="AM91" s="1127"/>
      <c r="AN91" s="1179"/>
      <c r="AO91" s="1179"/>
      <c r="AP91" s="1179"/>
      <c r="AQ91" s="4432" t="s">
        <v>591</v>
      </c>
      <c r="AR91" s="4433" t="str">
        <f>"Tax-free educational assistance received in "&amp;TaxYear&amp;" allocable to"</f>
        <v>Tax-free educational assistance received in 2021 allocable to</v>
      </c>
      <c r="AS91" s="3684"/>
      <c r="AT91" s="3684"/>
      <c r="AU91" s="3684"/>
      <c r="AV91" s="3684"/>
      <c r="AW91" s="3684"/>
      <c r="AX91" s="3684"/>
      <c r="AY91" s="3684"/>
      <c r="AZ91" s="4428"/>
      <c r="BA91" s="42"/>
      <c r="BB91" s="42"/>
    </row>
    <row r="92" spans="1:54" s="3402" customFormat="1" ht="15">
      <c r="A92" s="1127"/>
      <c r="B92" s="1559"/>
      <c r="C92" s="1179"/>
      <c r="D92" s="1179"/>
      <c r="E92" s="2686" t="str">
        <f>TaxYear&amp;" at an eligible educational institution in a program"</f>
        <v>2021 at an eligible educational institution in a program</v>
      </c>
      <c r="F92" s="1179"/>
      <c r="G92" s="1179"/>
      <c r="H92" s="1179"/>
      <c r="I92" s="1179"/>
      <c r="J92" s="1179"/>
      <c r="K92" s="1179"/>
      <c r="L92" s="1179"/>
      <c r="M92" s="1179"/>
      <c r="N92" s="1179"/>
      <c r="O92" s="1179"/>
      <c r="P92" s="1179"/>
      <c r="Q92" s="1179"/>
      <c r="R92" s="1179"/>
      <c r="S92" s="1179"/>
      <c r="T92" s="1179"/>
      <c r="U92" s="1179"/>
      <c r="V92" s="1179"/>
      <c r="W92" s="1179"/>
      <c r="X92" s="1179"/>
      <c r="Y92" s="1179"/>
      <c r="Z92" s="1179"/>
      <c r="AA92" s="1179"/>
      <c r="AB92" s="1179"/>
      <c r="AC92" s="1179"/>
      <c r="AD92" s="1179"/>
      <c r="AE92" s="1179"/>
      <c r="AF92" s="1179"/>
      <c r="AG92" s="1179"/>
      <c r="AH92" s="1179"/>
      <c r="AI92" s="1179"/>
      <c r="AJ92" s="1179"/>
      <c r="AK92" s="1127"/>
      <c r="AL92" s="1127"/>
      <c r="AM92" s="1127"/>
      <c r="AN92" s="1179"/>
      <c r="AO92" s="1179"/>
      <c r="AP92" s="1179"/>
      <c r="AQ92" s="4435"/>
      <c r="AR92" s="4433" t="s">
        <v>3759</v>
      </c>
      <c r="AS92" s="4436"/>
      <c r="AT92" s="4436"/>
      <c r="AU92" s="4436"/>
      <c r="AV92" s="4436"/>
      <c r="AW92" s="4413" t="s">
        <v>1630</v>
      </c>
      <c r="AX92" s="1849"/>
      <c r="AY92" s="3684"/>
      <c r="AZ92" s="4434"/>
      <c r="BA92" s="42"/>
      <c r="BB92" s="42"/>
    </row>
    <row r="93" spans="1:54" s="3402" customFormat="1" ht="15">
      <c r="A93" s="1127"/>
      <c r="B93" s="1179"/>
      <c r="C93" s="1179"/>
      <c r="D93" s="1179"/>
      <c r="E93" s="3355" t="s">
        <v>3728</v>
      </c>
      <c r="F93" s="1179"/>
      <c r="G93" s="1179"/>
      <c r="H93" s="1179"/>
      <c r="I93" s="1179"/>
      <c r="J93" s="1179"/>
      <c r="K93" s="1179"/>
      <c r="L93" s="1179"/>
      <c r="M93" s="1179"/>
      <c r="N93" s="1179"/>
      <c r="O93" s="1179"/>
      <c r="P93" s="1179"/>
      <c r="Q93" s="1179"/>
      <c r="R93" s="1179"/>
      <c r="S93" s="1179"/>
      <c r="T93" s="4383" t="str">
        <f>IF(AC93&lt;&gt;"","","X")</f>
        <v>X</v>
      </c>
      <c r="U93" s="1276" t="s">
        <v>3779</v>
      </c>
      <c r="V93" s="1179"/>
      <c r="W93" s="1179"/>
      <c r="X93" s="1179"/>
      <c r="Y93" s="1179"/>
      <c r="Z93" s="1179"/>
      <c r="AA93" s="1179"/>
      <c r="AB93" s="1179"/>
      <c r="AC93" s="4365"/>
      <c r="AD93" s="1276" t="s">
        <v>3730</v>
      </c>
      <c r="AE93" s="1179"/>
      <c r="AF93" s="1179"/>
      <c r="AG93" s="1179"/>
      <c r="AH93" s="1179"/>
      <c r="AI93" s="1179"/>
      <c r="AJ93" s="1179"/>
      <c r="AK93" s="1127"/>
      <c r="AL93" s="1127"/>
      <c r="AM93" s="1127"/>
      <c r="AN93" s="1179"/>
      <c r="AO93" s="1179"/>
      <c r="AP93" s="1179"/>
      <c r="AQ93" s="4432" t="s">
        <v>592</v>
      </c>
      <c r="AR93" s="4433" t="str">
        <f>"Tax-free educational assistance received in "&amp;TaxYear+1&amp;" (and before you"</f>
        <v>Tax-free educational assistance received in 2022 (and before you</v>
      </c>
      <c r="AS93" s="3684"/>
      <c r="AT93" s="3684"/>
      <c r="AU93" s="3684"/>
      <c r="AV93" s="3684"/>
      <c r="AW93" s="3684"/>
      <c r="AX93" s="3684"/>
      <c r="AY93" s="3684"/>
      <c r="AZ93" s="4428"/>
      <c r="BA93" s="42"/>
      <c r="BB93" s="42"/>
    </row>
    <row r="94" spans="1:54" s="3402" customFormat="1" ht="14.25">
      <c r="A94" s="1127"/>
      <c r="B94" s="1179"/>
      <c r="C94" s="1179"/>
      <c r="D94" s="1179"/>
      <c r="E94" s="3355" t="s">
        <v>3729</v>
      </c>
      <c r="F94" s="1179"/>
      <c r="G94" s="1179"/>
      <c r="H94" s="1179"/>
      <c r="I94" s="1179"/>
      <c r="J94" s="1179"/>
      <c r="K94" s="1179"/>
      <c r="L94" s="1179"/>
      <c r="M94" s="1179"/>
      <c r="N94" s="1179"/>
      <c r="O94" s="1179"/>
      <c r="P94" s="1179"/>
      <c r="Q94" s="1179"/>
      <c r="R94" s="1179"/>
      <c r="S94" s="1179"/>
      <c r="T94" s="1179"/>
      <c r="U94" s="1179"/>
      <c r="V94" s="1179"/>
      <c r="W94" s="1179"/>
      <c r="X94" s="1179"/>
      <c r="Y94" s="1179"/>
      <c r="Z94" s="1179"/>
      <c r="AA94" s="1179"/>
      <c r="AB94" s="1179"/>
      <c r="AC94" s="1179"/>
      <c r="AD94" s="1276" t="s">
        <v>3731</v>
      </c>
      <c r="AE94" s="1179"/>
      <c r="AF94" s="1179"/>
      <c r="AG94" s="1179"/>
      <c r="AH94" s="1179"/>
      <c r="AI94" s="1179"/>
      <c r="AJ94" s="1179"/>
      <c r="AK94" s="1127"/>
      <c r="AL94" s="1127"/>
      <c r="AM94" s="1127"/>
      <c r="AN94" s="1179"/>
      <c r="AO94" s="1179"/>
      <c r="AP94" s="1179"/>
      <c r="AQ94" s="4435"/>
      <c r="AR94" s="4433" t="str">
        <f>"file your "&amp;TaxYear&amp;" tax return) allocable to the academic period"</f>
        <v>file your 2021 tax return) allocable to the academic period</v>
      </c>
      <c r="AS94" s="4436"/>
      <c r="AT94" s="4436"/>
      <c r="AU94" s="4436"/>
      <c r="AV94" s="4436"/>
      <c r="AW94" s="4413" t="s">
        <v>2537</v>
      </c>
      <c r="AX94" s="1849"/>
      <c r="AY94" s="3684"/>
      <c r="AZ94" s="4434"/>
      <c r="BA94" s="42"/>
      <c r="BB94" s="42"/>
    </row>
    <row r="95" spans="1:54" s="4382" customFormat="1" ht="16.5" customHeight="1">
      <c r="A95" s="1819"/>
      <c r="B95" s="1277"/>
      <c r="C95" s="1277"/>
      <c r="D95" s="1277"/>
      <c r="E95" s="3719" t="s">
        <v>587</v>
      </c>
      <c r="F95" s="1277"/>
      <c r="G95" s="1277"/>
      <c r="H95" s="1277"/>
      <c r="I95" s="1277"/>
      <c r="J95" s="1277"/>
      <c r="K95" s="1277"/>
      <c r="L95" s="1277"/>
      <c r="M95" s="1277"/>
      <c r="N95" s="1277"/>
      <c r="O95" s="1277"/>
      <c r="P95" s="1277"/>
      <c r="Q95" s="1277"/>
      <c r="R95" s="1277"/>
      <c r="S95" s="1277"/>
      <c r="T95" s="1277"/>
      <c r="U95" s="1277"/>
      <c r="V95" s="1277"/>
      <c r="W95" s="1277"/>
      <c r="X95" s="1277"/>
      <c r="Y95" s="1277"/>
      <c r="Z95" s="1277"/>
      <c r="AA95" s="1277"/>
      <c r="AB95" s="1277"/>
      <c r="AC95" s="1277"/>
      <c r="AD95" s="1277"/>
      <c r="AE95" s="1277"/>
      <c r="AF95" s="1277"/>
      <c r="AG95" s="1277"/>
      <c r="AH95" s="1277"/>
      <c r="AI95" s="1277"/>
      <c r="AJ95" s="1277"/>
      <c r="AK95" s="1819"/>
      <c r="AL95" s="1819"/>
      <c r="AM95" s="1819"/>
      <c r="AN95" s="1277"/>
      <c r="AO95" s="1277"/>
      <c r="AP95" s="1277"/>
      <c r="AQ95" s="4432" t="s">
        <v>590</v>
      </c>
      <c r="AR95" s="4433" t="str">
        <f>"Refunds of qualified education expenses paid in "&amp;TaxYear&amp;" if the refund"</f>
        <v>Refunds of qualified education expenses paid in 2021 if the refund</v>
      </c>
      <c r="AS95" s="3684"/>
      <c r="AT95" s="3684"/>
      <c r="AU95" s="3684"/>
      <c r="AV95" s="3684"/>
      <c r="AW95" s="3684"/>
      <c r="AX95" s="3684"/>
      <c r="AY95" s="3684"/>
      <c r="AZ95" s="4428"/>
      <c r="BA95" s="946"/>
      <c r="BB95" s="946"/>
    </row>
    <row r="96" spans="1:54" s="3402" customFormat="1" ht="15">
      <c r="A96" s="1127"/>
      <c r="B96" s="4370">
        <v>25</v>
      </c>
      <c r="C96" s="1574"/>
      <c r="D96" s="1574"/>
      <c r="E96" s="3072" t="s">
        <v>3764</v>
      </c>
      <c r="F96" s="1574"/>
      <c r="G96" s="1574"/>
      <c r="H96" s="1574"/>
      <c r="I96" s="1574"/>
      <c r="J96" s="1574"/>
      <c r="K96" s="1574"/>
      <c r="L96" s="1574"/>
      <c r="M96" s="1574"/>
      <c r="N96" s="1574"/>
      <c r="O96" s="1574"/>
      <c r="P96" s="1574"/>
      <c r="Q96" s="1574"/>
      <c r="R96" s="1574"/>
      <c r="S96" s="1574"/>
      <c r="T96" s="1574"/>
      <c r="U96" s="1574"/>
      <c r="V96" s="1574"/>
      <c r="W96" s="1574"/>
      <c r="X96" s="1574"/>
      <c r="Y96" s="1574"/>
      <c r="Z96" s="1574"/>
      <c r="AA96" s="1574"/>
      <c r="AB96" s="1574"/>
      <c r="AC96" s="1574"/>
      <c r="AD96" s="1574"/>
      <c r="AE96" s="1574"/>
      <c r="AF96" s="1574"/>
      <c r="AG96" s="1574"/>
      <c r="AH96" s="1574"/>
      <c r="AI96" s="1574"/>
      <c r="AJ96" s="1574"/>
      <c r="AK96" s="1127"/>
      <c r="AL96" s="1127"/>
      <c r="AM96" s="1127"/>
      <c r="AN96" s="1179"/>
      <c r="AO96" s="1179"/>
      <c r="AP96" s="1179"/>
      <c r="AQ96" s="4435"/>
      <c r="AR96" s="4433" t="str">
        <f>"is received in "&amp;TaxYear&amp;" or in "&amp;TaxYear+1&amp;" before you file your "&amp;TaxYear&amp;" tax return."</f>
        <v>is received in 2021 or in 2022 before you file your 2021 tax return.</v>
      </c>
      <c r="AS96" s="4436"/>
      <c r="AT96" s="4436"/>
      <c r="AU96" s="4436"/>
      <c r="AV96" s="4436"/>
      <c r="AW96" s="4413" t="s">
        <v>3602</v>
      </c>
      <c r="AX96" s="1849"/>
      <c r="AY96" s="3684"/>
      <c r="AZ96" s="4434"/>
      <c r="BA96" s="42"/>
      <c r="BB96" s="42"/>
    </row>
    <row r="97" spans="1:54" s="3402" customFormat="1" ht="15">
      <c r="A97" s="1127"/>
      <c r="B97" s="1179"/>
      <c r="C97" s="1179"/>
      <c r="D97" s="1179"/>
      <c r="E97" s="3355" t="str">
        <f>"education before "&amp;TaxYear&amp;"? See instructions."</f>
        <v>education before 2021? See instructions.</v>
      </c>
      <c r="F97" s="1179"/>
      <c r="G97" s="1179"/>
      <c r="H97" s="1179"/>
      <c r="I97" s="1179"/>
      <c r="J97" s="1179"/>
      <c r="K97" s="1179"/>
      <c r="L97" s="1179"/>
      <c r="M97" s="1179"/>
      <c r="N97" s="1179"/>
      <c r="O97" s="1179"/>
      <c r="P97" s="1179"/>
      <c r="Q97" s="1179"/>
      <c r="R97" s="1179"/>
      <c r="S97" s="1179"/>
      <c r="T97" s="4365"/>
      <c r="U97" s="1276" t="s">
        <v>3723</v>
      </c>
      <c r="V97" s="1179"/>
      <c r="W97" s="1179"/>
      <c r="X97" s="1179"/>
      <c r="Y97" s="1179"/>
      <c r="Z97" s="1179"/>
      <c r="AA97" s="1179"/>
      <c r="AB97" s="1179"/>
      <c r="AC97" s="4383" t="str">
        <f>IF(T97&lt;&gt;"","","X")</f>
        <v>X</v>
      </c>
      <c r="AD97" s="1276" t="s">
        <v>3733</v>
      </c>
      <c r="AE97" s="1179"/>
      <c r="AF97" s="1179"/>
      <c r="AG97" s="1179"/>
      <c r="AH97" s="1179"/>
      <c r="AI97" s="1179"/>
      <c r="AJ97" s="1179"/>
      <c r="AK97" s="1127"/>
      <c r="AL97" s="1127"/>
      <c r="AM97" s="1127"/>
      <c r="AN97" s="1179"/>
      <c r="AO97" s="1179"/>
      <c r="AP97" s="1179"/>
      <c r="AQ97" s="4435"/>
      <c r="AR97" s="4433"/>
      <c r="AS97" s="4436"/>
      <c r="AT97" s="4436"/>
      <c r="AU97" s="4436"/>
      <c r="AV97" s="4436"/>
      <c r="AW97" s="4436"/>
      <c r="AX97" s="4436"/>
      <c r="AY97" s="3684"/>
      <c r="AZ97" s="4434"/>
      <c r="BA97" s="42"/>
      <c r="BB97" s="42"/>
    </row>
    <row r="98" spans="1:54" s="4382" customFormat="1" ht="16.5" customHeight="1">
      <c r="A98" s="1819"/>
      <c r="B98" s="1277"/>
      <c r="C98" s="1277"/>
      <c r="D98" s="1277"/>
      <c r="E98" s="3719"/>
      <c r="F98" s="1277"/>
      <c r="G98" s="1277"/>
      <c r="H98" s="1277"/>
      <c r="I98" s="1277"/>
      <c r="J98" s="1277"/>
      <c r="K98" s="1277"/>
      <c r="L98" s="1277"/>
      <c r="M98" s="1277"/>
      <c r="N98" s="1277"/>
      <c r="O98" s="1277"/>
      <c r="P98" s="1277"/>
      <c r="Q98" s="1277"/>
      <c r="R98" s="1277"/>
      <c r="S98" s="1277"/>
      <c r="T98" s="1277"/>
      <c r="U98" s="1277" t="s">
        <v>3724</v>
      </c>
      <c r="V98" s="1277"/>
      <c r="W98" s="1277"/>
      <c r="X98" s="1277"/>
      <c r="Y98" s="1277"/>
      <c r="Z98" s="1277"/>
      <c r="AA98" s="1277"/>
      <c r="AB98" s="1277"/>
      <c r="AC98" s="1277"/>
      <c r="AD98" s="1277"/>
      <c r="AE98" s="1277"/>
      <c r="AF98" s="1277"/>
      <c r="AG98" s="1277"/>
      <c r="AH98" s="1277"/>
      <c r="AI98" s="1277"/>
      <c r="AJ98" s="1277"/>
      <c r="AK98" s="1819"/>
      <c r="AL98" s="1819"/>
      <c r="AM98" s="1819"/>
      <c r="AN98" s="1277"/>
      <c r="AO98" s="1277"/>
      <c r="AP98" s="1277"/>
      <c r="AQ98" s="4429" t="s">
        <v>3760</v>
      </c>
      <c r="AR98" s="4410"/>
      <c r="AS98" s="4410"/>
      <c r="AT98" s="4410"/>
      <c r="AU98" s="4410"/>
      <c r="AV98" s="4410"/>
      <c r="AW98" s="4413"/>
      <c r="AX98" s="4413" t="s">
        <v>1</v>
      </c>
      <c r="AY98" s="2045">
        <f>SUM(AX92,AX94,AX96)</f>
        <v>0</v>
      </c>
      <c r="AZ98" s="4411"/>
      <c r="BA98" s="946"/>
      <c r="BB98" s="946"/>
    </row>
    <row r="99" spans="1:54" s="3402" customFormat="1" ht="15">
      <c r="A99" s="1127"/>
      <c r="B99" s="4370">
        <v>26</v>
      </c>
      <c r="C99" s="1574"/>
      <c r="D99" s="1574"/>
      <c r="E99" s="3072" t="str">
        <f>"Was the student convicted, before the end of "&amp;TaxYear&amp;", of a"</f>
        <v>Was the student convicted, before the end of 2021, of a</v>
      </c>
      <c r="F99" s="1574"/>
      <c r="G99" s="1574"/>
      <c r="H99" s="1574"/>
      <c r="I99" s="1574"/>
      <c r="J99" s="1574"/>
      <c r="K99" s="1574"/>
      <c r="L99" s="1574"/>
      <c r="M99" s="1574"/>
      <c r="N99" s="1574"/>
      <c r="O99" s="1574"/>
      <c r="P99" s="1574"/>
      <c r="Q99" s="1574"/>
      <c r="R99" s="1574"/>
      <c r="S99" s="1574"/>
      <c r="T99" s="1574"/>
      <c r="U99" s="1574"/>
      <c r="V99" s="1574"/>
      <c r="W99" s="1574"/>
      <c r="X99" s="1574"/>
      <c r="Y99" s="1574"/>
      <c r="Z99" s="1574"/>
      <c r="AA99" s="1574"/>
      <c r="AB99" s="1574"/>
      <c r="AC99" s="1574"/>
      <c r="AD99" s="1574"/>
      <c r="AE99" s="1574"/>
      <c r="AF99" s="1574"/>
      <c r="AG99" s="1574"/>
      <c r="AH99" s="1574"/>
      <c r="AI99" s="1574"/>
      <c r="AJ99" s="1574"/>
      <c r="AK99" s="1127"/>
      <c r="AL99" s="1127"/>
      <c r="AM99" s="1127"/>
      <c r="AN99" s="1179"/>
      <c r="AO99" s="1179"/>
      <c r="AP99" s="1179"/>
      <c r="AQ99" s="4435"/>
      <c r="AR99" s="4433"/>
      <c r="AS99" s="4436"/>
      <c r="AT99" s="4436"/>
      <c r="AU99" s="4436"/>
      <c r="AV99" s="4436"/>
      <c r="AW99" s="4436"/>
      <c r="AX99" s="4436"/>
      <c r="AY99" s="3684"/>
      <c r="AZ99" s="4434"/>
      <c r="BA99" s="42"/>
      <c r="BB99" s="42"/>
    </row>
    <row r="100" spans="1:54" s="3402" customFormat="1" ht="15">
      <c r="A100" s="1127"/>
      <c r="B100" s="1179"/>
      <c r="C100" s="1179"/>
      <c r="D100" s="1179"/>
      <c r="E100" s="3355" t="s">
        <v>3734</v>
      </c>
      <c r="F100" s="1179"/>
      <c r="G100" s="1179"/>
      <c r="H100" s="1179"/>
      <c r="I100" s="1179"/>
      <c r="J100" s="1179"/>
      <c r="K100" s="1179"/>
      <c r="L100" s="1179"/>
      <c r="M100" s="1179"/>
      <c r="N100" s="1179"/>
      <c r="O100" s="1179"/>
      <c r="P100" s="1179"/>
      <c r="Q100" s="1179"/>
      <c r="R100" s="1179"/>
      <c r="S100" s="1179"/>
      <c r="T100" s="4365"/>
      <c r="U100" s="1276" t="s">
        <v>3723</v>
      </c>
      <c r="V100" s="1179"/>
      <c r="W100" s="1179"/>
      <c r="X100" s="1179"/>
      <c r="Y100" s="1179"/>
      <c r="Z100" s="1179"/>
      <c r="AA100" s="1179"/>
      <c r="AB100" s="1179"/>
      <c r="AC100" s="4383" t="str">
        <f>IF(T100&lt;&gt;"","","X")</f>
        <v>X</v>
      </c>
      <c r="AD100" s="1276" t="s">
        <v>3736</v>
      </c>
      <c r="AE100" s="1179"/>
      <c r="AF100" s="1179"/>
      <c r="AG100" s="1179"/>
      <c r="AH100" s="1179"/>
      <c r="AI100" s="1179"/>
      <c r="AJ100" s="1179"/>
      <c r="AK100" s="1127"/>
      <c r="AL100" s="1127"/>
      <c r="AM100" s="1127"/>
      <c r="AN100" s="1179"/>
      <c r="AO100" s="24" t="s">
        <v>90</v>
      </c>
      <c r="AP100" s="1179"/>
      <c r="AQ100" s="4429" t="s">
        <v>3761</v>
      </c>
      <c r="AR100" s="4433"/>
      <c r="AS100" s="4436"/>
      <c r="AT100" s="4436"/>
      <c r="AU100" s="4436"/>
      <c r="AV100" s="4436"/>
      <c r="AW100" s="4436"/>
      <c r="AX100" s="4436"/>
      <c r="AY100" s="3684"/>
      <c r="AZ100" s="4434"/>
      <c r="BA100" s="42"/>
      <c r="BB100" s="42"/>
    </row>
    <row r="101" spans="1:54" s="4382" customFormat="1" ht="16.5" customHeight="1">
      <c r="A101" s="1819"/>
      <c r="B101" s="1820"/>
      <c r="C101" s="1820"/>
      <c r="D101" s="1820"/>
      <c r="E101" s="4371" t="s">
        <v>3735</v>
      </c>
      <c r="F101" s="1820"/>
      <c r="G101" s="1820"/>
      <c r="H101" s="1820"/>
      <c r="I101" s="1820"/>
      <c r="J101" s="1820"/>
      <c r="K101" s="1820"/>
      <c r="L101" s="1820"/>
      <c r="M101" s="1820"/>
      <c r="N101" s="1820"/>
      <c r="O101" s="1820"/>
      <c r="P101" s="1820"/>
      <c r="Q101" s="1820"/>
      <c r="R101" s="1820"/>
      <c r="S101" s="1820"/>
      <c r="T101" s="1820"/>
      <c r="U101" s="1820" t="s">
        <v>3724</v>
      </c>
      <c r="V101" s="1820"/>
      <c r="W101" s="1820"/>
      <c r="X101" s="1820"/>
      <c r="Y101" s="1820"/>
      <c r="Z101" s="1820"/>
      <c r="AA101" s="1820"/>
      <c r="AB101" s="1820"/>
      <c r="AC101" s="1820"/>
      <c r="AD101" s="2793" t="s">
        <v>3737</v>
      </c>
      <c r="AE101" s="1820"/>
      <c r="AF101" s="1820"/>
      <c r="AG101" s="1820"/>
      <c r="AH101" s="1820"/>
      <c r="AI101" s="1820"/>
      <c r="AJ101" s="1820"/>
      <c r="AK101" s="1819"/>
      <c r="AL101" s="1819"/>
      <c r="AM101" s="1819"/>
      <c r="AN101" s="1277"/>
      <c r="AO101" s="24" t="s">
        <v>411</v>
      </c>
      <c r="AP101" s="1277"/>
      <c r="AQ101" s="4431" t="s">
        <v>2526</v>
      </c>
      <c r="AR101" s="4410"/>
      <c r="AS101" s="4410"/>
      <c r="AT101" s="4437" t="s">
        <v>3772</v>
      </c>
      <c r="AU101" s="4410"/>
      <c r="AV101" s="4410"/>
      <c r="AW101" s="4413"/>
      <c r="AX101" s="4413" t="s">
        <v>399</v>
      </c>
      <c r="AY101" s="2045" t="str">
        <f>IF(AY88="","",MAX(0,SUM(AY88,-AY98)))</f>
        <v/>
      </c>
      <c r="AZ101" s="4411"/>
      <c r="BA101" s="946"/>
      <c r="BB101" s="946"/>
    </row>
    <row r="102" spans="1:54" s="3402" customFormat="1" ht="9.75" customHeight="1" thickBot="1">
      <c r="A102" s="1127"/>
      <c r="B102" s="4395"/>
      <c r="C102" s="4395"/>
      <c r="D102" s="4395"/>
      <c r="E102" s="4395"/>
      <c r="F102" s="4395"/>
      <c r="G102" s="4395"/>
      <c r="H102" s="4395"/>
      <c r="I102" s="4395"/>
      <c r="J102" s="4395"/>
      <c r="K102" s="4395"/>
      <c r="L102" s="4395"/>
      <c r="M102" s="4395"/>
      <c r="N102" s="4395"/>
      <c r="O102" s="4395"/>
      <c r="P102" s="4395"/>
      <c r="Q102" s="4395"/>
      <c r="R102" s="4395"/>
      <c r="S102" s="4395"/>
      <c r="T102" s="4395"/>
      <c r="U102" s="4395"/>
      <c r="V102" s="4395"/>
      <c r="W102" s="4395"/>
      <c r="X102" s="4395"/>
      <c r="Y102" s="4395"/>
      <c r="Z102" s="4395"/>
      <c r="AA102" s="4395"/>
      <c r="AB102" s="4395"/>
      <c r="AC102" s="4395"/>
      <c r="AD102" s="4395"/>
      <c r="AE102" s="4395"/>
      <c r="AF102" s="4395"/>
      <c r="AG102" s="4395"/>
      <c r="AH102" s="4395"/>
      <c r="AI102" s="4395"/>
      <c r="AJ102" s="4395"/>
      <c r="AK102" s="1127"/>
      <c r="AL102" s="1127"/>
      <c r="AM102" s="1127"/>
      <c r="AN102" s="1179"/>
      <c r="AO102" s="1179"/>
      <c r="AP102" s="1179"/>
      <c r="AQ102" s="4438"/>
      <c r="AR102" s="4439"/>
      <c r="AS102" s="4440"/>
      <c r="AT102" s="4440"/>
      <c r="AU102" s="4440"/>
      <c r="AV102" s="4440"/>
      <c r="AW102" s="4440"/>
      <c r="AX102" s="4440"/>
      <c r="AY102" s="4440"/>
      <c r="AZ102" s="4441"/>
      <c r="BA102" s="42"/>
      <c r="BB102" s="42"/>
    </row>
    <row r="103" spans="1:54" s="4381" customFormat="1" ht="14.25" customHeight="1">
      <c r="A103" s="4353"/>
      <c r="B103" s="4396"/>
      <c r="C103" s="4396"/>
      <c r="D103" s="4396"/>
      <c r="E103" s="4398" t="s">
        <v>4249</v>
      </c>
      <c r="F103" s="4396"/>
      <c r="G103" s="4396"/>
      <c r="H103" s="4396"/>
      <c r="I103" s="4396"/>
      <c r="J103" s="4396"/>
      <c r="K103" s="4396"/>
      <c r="L103" s="4396"/>
      <c r="M103" s="4396"/>
      <c r="N103" s="4396"/>
      <c r="O103" s="4396"/>
      <c r="P103" s="4396"/>
      <c r="Q103" s="4396"/>
      <c r="R103" s="4396"/>
      <c r="S103" s="4396"/>
      <c r="T103" s="4396"/>
      <c r="U103" s="4396"/>
      <c r="V103" s="4396"/>
      <c r="W103" s="4396"/>
      <c r="X103" s="4396"/>
      <c r="Y103" s="4396"/>
      <c r="Z103" s="4396"/>
      <c r="AA103" s="4396"/>
      <c r="AB103" s="4396"/>
      <c r="AC103" s="4396"/>
      <c r="AD103" s="4396"/>
      <c r="AE103" s="4396"/>
      <c r="AF103" s="4396"/>
      <c r="AG103" s="4396"/>
      <c r="AH103" s="4396"/>
      <c r="AI103" s="4396"/>
      <c r="AJ103" s="4396"/>
      <c r="AK103" s="4353"/>
      <c r="AL103" s="4353"/>
      <c r="AM103" s="4353"/>
      <c r="AN103" s="4354"/>
      <c r="AO103" s="3558" t="b">
        <f>OR(AND(AH106,AO114&lt;&gt;""),AND(NOT(AH106),AO111&lt;&gt;""))</f>
        <v>0</v>
      </c>
      <c r="AP103" s="2051"/>
      <c r="AQ103" s="2595"/>
      <c r="AR103" s="2601"/>
      <c r="AS103" s="2595"/>
      <c r="AT103" s="2595"/>
      <c r="AU103" s="2595"/>
      <c r="AV103" s="2595"/>
      <c r="AW103" s="2595"/>
      <c r="AX103" s="2595"/>
      <c r="AY103" s="2595"/>
      <c r="AZ103" s="2595"/>
      <c r="BA103" s="4355"/>
      <c r="BB103" s="4355"/>
    </row>
    <row r="104" spans="1:54" s="4381" customFormat="1" ht="16.5" customHeight="1">
      <c r="A104" s="4353"/>
      <c r="B104" s="4396"/>
      <c r="C104" s="4396"/>
      <c r="D104" s="4396"/>
      <c r="E104" s="4399" t="s">
        <v>4250</v>
      </c>
      <c r="F104" s="4396"/>
      <c r="G104" s="4396"/>
      <c r="H104" s="4396"/>
      <c r="I104" s="4396"/>
      <c r="J104" s="4396"/>
      <c r="K104" s="4396"/>
      <c r="L104" s="4396"/>
      <c r="M104" s="4396"/>
      <c r="N104" s="4396"/>
      <c r="O104" s="4396"/>
      <c r="P104" s="4396"/>
      <c r="Q104" s="4396"/>
      <c r="R104" s="4396"/>
      <c r="S104" s="4396"/>
      <c r="T104" s="4396"/>
      <c r="U104" s="4396"/>
      <c r="V104" s="4396"/>
      <c r="W104" s="4396"/>
      <c r="X104" s="4396"/>
      <c r="Y104" s="4396"/>
      <c r="Z104" s="4396"/>
      <c r="AA104" s="4396"/>
      <c r="AB104" s="4396"/>
      <c r="AC104" s="4396"/>
      <c r="AD104" s="4396"/>
      <c r="AE104" s="4396"/>
      <c r="AF104" s="4396"/>
      <c r="AG104" s="4396"/>
      <c r="AH104" s="4396"/>
      <c r="AI104" s="4396"/>
      <c r="AJ104" s="4396"/>
      <c r="AK104" s="4353"/>
      <c r="AL104" s="5105"/>
      <c r="AM104" s="4353"/>
      <c r="AN104" s="9533" t="s">
        <v>4691</v>
      </c>
      <c r="AO104" s="9533"/>
      <c r="AP104" s="9533"/>
      <c r="AQ104" s="2595"/>
      <c r="AR104" s="2601"/>
      <c r="AS104" s="2595"/>
      <c r="AT104" s="2595"/>
      <c r="AU104" s="2595"/>
      <c r="AV104" s="2595"/>
      <c r="AW104" s="2595"/>
      <c r="AX104" s="2595"/>
      <c r="AY104" s="2595"/>
      <c r="AZ104" s="2595"/>
      <c r="BA104" s="4355"/>
      <c r="BB104" s="4355"/>
    </row>
    <row r="105" spans="1:54" s="3402" customFormat="1" ht="6" customHeight="1">
      <c r="A105" s="1127"/>
      <c r="B105" s="4397"/>
      <c r="C105" s="4397"/>
      <c r="D105" s="4397"/>
      <c r="E105" s="4397"/>
      <c r="F105" s="4397"/>
      <c r="G105" s="4397"/>
      <c r="H105" s="4397"/>
      <c r="I105" s="4397"/>
      <c r="J105" s="4397"/>
      <c r="K105" s="4397"/>
      <c r="L105" s="4397"/>
      <c r="M105" s="4397"/>
      <c r="N105" s="4397"/>
      <c r="O105" s="4397"/>
      <c r="P105" s="4397"/>
      <c r="Q105" s="4397"/>
      <c r="R105" s="4397"/>
      <c r="S105" s="4397"/>
      <c r="T105" s="4397"/>
      <c r="U105" s="4397"/>
      <c r="V105" s="4397"/>
      <c r="W105" s="4397"/>
      <c r="X105" s="4397"/>
      <c r="Y105" s="4397"/>
      <c r="Z105" s="4397"/>
      <c r="AA105" s="4397"/>
      <c r="AB105" s="4397"/>
      <c r="AC105" s="4397"/>
      <c r="AD105" s="4397"/>
      <c r="AE105" s="4397"/>
      <c r="AF105" s="4397"/>
      <c r="AG105" s="4397"/>
      <c r="AH105" s="4397"/>
      <c r="AI105" s="4397"/>
      <c r="AJ105" s="4397"/>
      <c r="AK105" s="1127"/>
      <c r="AL105" s="1127"/>
      <c r="AM105" s="1127"/>
      <c r="AN105" s="9533"/>
      <c r="AO105" s="9533"/>
      <c r="AP105" s="9533"/>
      <c r="AQ105" s="2595"/>
      <c r="AR105" s="2595"/>
      <c r="AS105" s="2595"/>
      <c r="AT105" s="2595"/>
      <c r="AU105" s="2595"/>
      <c r="AV105" s="2595"/>
      <c r="AW105" s="2595"/>
      <c r="AX105" s="2595"/>
      <c r="AY105" s="2595"/>
      <c r="AZ105" s="2595"/>
      <c r="BA105" s="42"/>
      <c r="BB105" s="42"/>
    </row>
    <row r="106" spans="1:54" s="3402" customFormat="1" ht="16.5" customHeight="1" thickBot="1">
      <c r="A106" s="1127"/>
      <c r="B106" s="1565"/>
      <c r="C106" s="4749" t="s">
        <v>3738</v>
      </c>
      <c r="D106" s="1553"/>
      <c r="E106" s="1553"/>
      <c r="F106" s="1553"/>
      <c r="G106" s="1553"/>
      <c r="H106" s="1553"/>
      <c r="I106" s="1553"/>
      <c r="J106" s="1553"/>
      <c r="K106" s="1553"/>
      <c r="L106" s="1553"/>
      <c r="M106" s="1553"/>
      <c r="N106" s="1553"/>
      <c r="O106" s="1553"/>
      <c r="P106" s="1553"/>
      <c r="Q106" s="1553"/>
      <c r="R106" s="1553"/>
      <c r="S106" s="1553"/>
      <c r="T106" s="1553"/>
      <c r="U106" s="1553"/>
      <c r="V106" s="1553"/>
      <c r="W106" s="1553"/>
      <c r="X106" s="1553"/>
      <c r="Y106" s="1553"/>
      <c r="Z106" s="1553"/>
      <c r="AA106" s="1553"/>
      <c r="AB106" s="9233" t="b">
        <f>AND(AE107&lt;&gt;"",AE107&gt;AO108)</f>
        <v>0</v>
      </c>
      <c r="AC106" s="9233"/>
      <c r="AD106" s="1553"/>
      <c r="AE106" s="1553"/>
      <c r="AF106" s="1553"/>
      <c r="AG106" s="1553"/>
      <c r="AH106" s="9233" t="b">
        <f>AND(T88="",AC93="",T97="",T100="")</f>
        <v>1</v>
      </c>
      <c r="AI106" s="9233"/>
      <c r="AJ106" s="9233"/>
      <c r="AK106" s="1127"/>
      <c r="AL106" s="1127"/>
      <c r="AM106" s="1127"/>
      <c r="AN106" s="9533"/>
      <c r="AO106" s="9533"/>
      <c r="AP106" s="9533"/>
      <c r="AQ106" s="2595"/>
      <c r="AR106" s="2595"/>
      <c r="AS106" s="2595"/>
      <c r="AT106" s="2595"/>
      <c r="AU106" s="2595"/>
      <c r="AV106" s="2595"/>
      <c r="AW106" s="2595"/>
      <c r="AX106" s="2595"/>
      <c r="AY106" s="2595"/>
      <c r="AZ106" s="2595"/>
      <c r="BA106" s="42"/>
      <c r="BB106" s="42"/>
    </row>
    <row r="107" spans="1:54" s="3402" customFormat="1" ht="16.5" customHeight="1" thickBot="1">
      <c r="A107" s="1127"/>
      <c r="B107" s="4370">
        <v>27</v>
      </c>
      <c r="C107" s="1179"/>
      <c r="D107" s="2686" t="s">
        <v>3739</v>
      </c>
      <c r="E107" s="2686"/>
      <c r="F107" s="1179"/>
      <c r="G107" s="1179"/>
      <c r="H107" s="1179"/>
      <c r="I107" s="1179"/>
      <c r="J107" s="1179"/>
      <c r="K107" s="1179"/>
      <c r="L107" s="1179"/>
      <c r="M107" s="1179"/>
      <c r="N107" s="1179"/>
      <c r="O107" s="1179"/>
      <c r="P107" s="1179"/>
      <c r="Q107" s="1179"/>
      <c r="R107" s="4750" t="str">
        <f>"Don't enter more than "&amp;TEXT(AO108,"$0,000")&amp;"."</f>
        <v>Don't enter more than $4,000.</v>
      </c>
      <c r="S107" s="1179"/>
      <c r="T107" s="1179"/>
      <c r="U107" s="1179"/>
      <c r="V107" s="1179"/>
      <c r="W107" s="1179"/>
      <c r="X107" s="1179"/>
      <c r="Y107" s="1179"/>
      <c r="Z107" s="4392"/>
      <c r="AA107" s="4392"/>
      <c r="AB107" s="4390"/>
      <c r="AC107" s="4391"/>
      <c r="AD107" s="2224">
        <v>27</v>
      </c>
      <c r="AE107" s="9531" t="str">
        <f>IF(AO107&lt;&gt;"",ROUND(AO107,0),IF(OR(NOT(AH106),AY101=""),"",MIN(AO108,AY101)))</f>
        <v/>
      </c>
      <c r="AF107" s="9532"/>
      <c r="AG107" s="9532"/>
      <c r="AH107" s="9532"/>
      <c r="AI107" s="9532"/>
      <c r="AJ107" s="9532"/>
      <c r="AK107" s="1127"/>
      <c r="AL107" s="1127"/>
      <c r="AM107" s="1127"/>
      <c r="AN107" s="1179"/>
      <c r="AO107" s="4377"/>
      <c r="AP107" s="1179"/>
      <c r="AQ107" s="2595"/>
      <c r="AR107" s="2595"/>
      <c r="AS107" s="2595"/>
      <c r="AT107" s="2595"/>
      <c r="AU107" s="2595"/>
      <c r="AV107" s="2595"/>
      <c r="AW107" s="2595"/>
      <c r="AX107" s="2595"/>
      <c r="AY107" s="2595"/>
      <c r="AZ107" s="2595"/>
      <c r="BA107" s="42"/>
      <c r="BB107" s="42"/>
    </row>
    <row r="108" spans="1:54" s="3402" customFormat="1" ht="17.25" customHeight="1">
      <c r="A108" s="1127"/>
      <c r="B108" s="1559">
        <v>28</v>
      </c>
      <c r="C108" s="1179"/>
      <c r="D108" s="2686" t="str">
        <f>"Subtract "&amp;TEXT(AO109,"$0,000")&amp;" from line 27. If zero or less, enter -0-"</f>
        <v>Subtract $2,000 from line 27. If zero or less, enter -0-</v>
      </c>
      <c r="E108" s="1179"/>
      <c r="F108" s="1179"/>
      <c r="G108" s="1179"/>
      <c r="H108" s="1179"/>
      <c r="I108" s="1179"/>
      <c r="J108" s="1179"/>
      <c r="K108" s="1179"/>
      <c r="L108" s="1179"/>
      <c r="M108" s="1179"/>
      <c r="N108" s="1179"/>
      <c r="O108" s="1179"/>
      <c r="P108" s="1179"/>
      <c r="Q108" s="1179"/>
      <c r="R108" s="1179"/>
      <c r="S108" s="1179"/>
      <c r="T108" s="1179"/>
      <c r="U108" s="1179"/>
      <c r="V108" s="1179"/>
      <c r="W108" s="1179"/>
      <c r="X108" s="1179"/>
      <c r="Y108" s="1179"/>
      <c r="Z108" s="1681"/>
      <c r="AA108" s="1681"/>
      <c r="AB108" s="1179"/>
      <c r="AC108" s="1560" t="s">
        <v>3767</v>
      </c>
      <c r="AD108" s="2224">
        <v>28</v>
      </c>
      <c r="AE108" s="9531" t="str">
        <f>IF(OR(NOT(AH106),AY101=""),"",MAX(0,SUM(AE107,-AO109)))</f>
        <v/>
      </c>
      <c r="AF108" s="9532"/>
      <c r="AG108" s="9532"/>
      <c r="AH108" s="9532"/>
      <c r="AI108" s="9532"/>
      <c r="AJ108" s="9532"/>
      <c r="AK108" s="1127"/>
      <c r="AL108" s="1127"/>
      <c r="AM108" s="1127"/>
      <c r="AN108" s="1179"/>
      <c r="AO108" s="1284">
        <v>4000</v>
      </c>
      <c r="AP108" s="1179"/>
      <c r="AQ108" s="2595"/>
      <c r="AR108" s="2595"/>
      <c r="AS108" s="2595"/>
      <c r="AT108" s="2595"/>
      <c r="AU108" s="2595"/>
      <c r="AV108" s="2595"/>
      <c r="AW108" s="2595"/>
      <c r="AX108" s="2595"/>
      <c r="AY108" s="2595"/>
      <c r="AZ108" s="2595"/>
      <c r="BA108" s="42"/>
      <c r="BB108" s="42"/>
    </row>
    <row r="109" spans="1:54" s="3402" customFormat="1" ht="17.25" customHeight="1">
      <c r="A109" s="1127"/>
      <c r="B109" s="1559">
        <v>29</v>
      </c>
      <c r="C109" s="1179"/>
      <c r="D109" s="2686" t="str">
        <f>"Multiply line 28 by "&amp;TEXT(AB110,"0%")&amp;" ("&amp;TEXT(AB110,"0.00")&amp;")"</f>
        <v>Multiply line 28 by 25% (0.25)</v>
      </c>
      <c r="E109" s="2686"/>
      <c r="F109" s="2686"/>
      <c r="G109" s="1179"/>
      <c r="H109" s="1179"/>
      <c r="I109" s="1179"/>
      <c r="J109" s="1179"/>
      <c r="K109" s="1179"/>
      <c r="L109" s="1283"/>
      <c r="M109" s="1283"/>
      <c r="N109" s="1283"/>
      <c r="O109" s="1283"/>
      <c r="P109" s="1283"/>
      <c r="Q109" s="1283"/>
      <c r="R109" s="1283"/>
      <c r="S109" s="1283"/>
      <c r="T109" s="1283"/>
      <c r="U109" s="1283"/>
      <c r="V109" s="1283"/>
      <c r="W109" s="1283"/>
      <c r="X109" s="1283"/>
      <c r="Y109" s="1283"/>
      <c r="Z109" s="1283"/>
      <c r="AA109" s="1283"/>
      <c r="AB109" s="1283"/>
      <c r="AC109" s="1560" t="s">
        <v>3766</v>
      </c>
      <c r="AD109" s="2224">
        <v>29</v>
      </c>
      <c r="AE109" s="9531" t="str">
        <f>IF(OR(NOT(AH106),AY101=""),"",ROUND(AE108*AB110,0))</f>
        <v/>
      </c>
      <c r="AF109" s="9532"/>
      <c r="AG109" s="9532"/>
      <c r="AH109" s="9532"/>
      <c r="AI109" s="9532"/>
      <c r="AJ109" s="9532"/>
      <c r="AK109" s="1127"/>
      <c r="AL109" s="1127"/>
      <c r="AM109" s="1127"/>
      <c r="AN109" s="1179"/>
      <c r="AO109" s="1284">
        <v>2000</v>
      </c>
      <c r="AP109" s="1179"/>
      <c r="AQ109" s="2595"/>
      <c r="AR109" s="2595"/>
      <c r="AS109" s="2595"/>
      <c r="AT109" s="2595"/>
      <c r="AU109" s="2595"/>
      <c r="AV109" s="2595"/>
      <c r="AW109" s="2595"/>
      <c r="AX109" s="2595"/>
      <c r="AY109" s="2595"/>
      <c r="AZ109" s="2595"/>
      <c r="BA109" s="42"/>
      <c r="BB109" s="42"/>
    </row>
    <row r="110" spans="1:54" s="3402" customFormat="1" ht="15.75" customHeight="1" thickBot="1">
      <c r="A110" s="1127"/>
      <c r="B110" s="1559">
        <v>30</v>
      </c>
      <c r="C110" s="1179"/>
      <c r="D110" s="2686" t="s">
        <v>3740</v>
      </c>
      <c r="E110" s="2686"/>
      <c r="F110" s="2686"/>
      <c r="G110" s="1179"/>
      <c r="H110" s="1179"/>
      <c r="I110" s="1179"/>
      <c r="J110" s="1179"/>
      <c r="K110" s="1179"/>
      <c r="L110" s="1179"/>
      <c r="M110" s="1179"/>
      <c r="N110" s="1179"/>
      <c r="O110" s="1179"/>
      <c r="P110" s="1179"/>
      <c r="Q110" s="1179"/>
      <c r="R110" s="1179"/>
      <c r="S110" s="1179"/>
      <c r="T110" s="1179"/>
      <c r="U110" s="1179"/>
      <c r="V110" s="1179"/>
      <c r="W110" s="1179"/>
      <c r="X110" s="1179"/>
      <c r="Y110" s="1179"/>
      <c r="Z110" s="1179"/>
      <c r="AA110" s="1179"/>
      <c r="AB110" s="7772">
        <v>0.25</v>
      </c>
      <c r="AC110" s="7773"/>
      <c r="AD110" s="1555"/>
      <c r="AE110" s="1179"/>
      <c r="AF110" s="1179"/>
      <c r="AG110" s="1179"/>
      <c r="AH110" s="1179"/>
      <c r="AI110" s="1179"/>
      <c r="AJ110" s="1179"/>
      <c r="AK110" s="1127"/>
      <c r="AL110" s="1127"/>
      <c r="AM110" s="1127"/>
      <c r="AN110" s="1179"/>
      <c r="AO110" s="1179"/>
      <c r="AP110" s="1179"/>
      <c r="AQ110" s="2595"/>
      <c r="AR110" s="2595"/>
      <c r="AS110" s="2595"/>
      <c r="AT110" s="2595"/>
      <c r="AU110" s="2595"/>
      <c r="AV110" s="2595"/>
      <c r="AW110" s="2595"/>
      <c r="AX110" s="2595"/>
      <c r="AY110" s="2595"/>
      <c r="AZ110" s="2595"/>
      <c r="BA110" s="42"/>
      <c r="BB110" s="42"/>
    </row>
    <row r="111" spans="1:54" s="3402" customFormat="1" ht="15.75" thickBot="1">
      <c r="A111" s="1127"/>
      <c r="B111" s="1179"/>
      <c r="C111" s="1179"/>
      <c r="D111" s="2686" t="s">
        <v>3741</v>
      </c>
      <c r="E111" s="2686"/>
      <c r="F111" s="2686"/>
      <c r="G111" s="1179"/>
      <c r="H111" s="1179"/>
      <c r="I111" s="1179"/>
      <c r="J111" s="1179"/>
      <c r="K111" s="1179"/>
      <c r="L111" s="1179"/>
      <c r="M111" s="1179"/>
      <c r="N111" s="1179"/>
      <c r="O111" s="1179"/>
      <c r="P111" s="1179"/>
      <c r="Q111" s="1179"/>
      <c r="R111" s="1179"/>
      <c r="S111" s="1179"/>
      <c r="T111" s="1179"/>
      <c r="U111" s="1179"/>
      <c r="V111" s="1179"/>
      <c r="W111" s="1179"/>
      <c r="X111" s="1179"/>
      <c r="Y111" s="1179"/>
      <c r="Z111" s="1179"/>
      <c r="AA111" s="1179"/>
      <c r="AB111" s="1179"/>
      <c r="AC111" s="1560" t="s">
        <v>1784</v>
      </c>
      <c r="AD111" s="2214">
        <v>30</v>
      </c>
      <c r="AE111" s="9480" t="str">
        <f>IF(AO111&lt;&gt;"",ROUND(AO111,0),IF(OR(NOT(AH106),AE107=0,AE107="",AY101=""),"",IF(OR(AE108=0,AE108=""),AE107,SUM(AE109,AO109))))</f>
        <v/>
      </c>
      <c r="AF111" s="9481"/>
      <c r="AG111" s="9481"/>
      <c r="AH111" s="9481"/>
      <c r="AI111" s="9481"/>
      <c r="AJ111" s="9481"/>
      <c r="AK111" s="1127"/>
      <c r="AL111" s="1127"/>
      <c r="AM111" s="1127"/>
      <c r="AN111" s="1179"/>
      <c r="AO111" s="4377"/>
      <c r="AP111" s="1179"/>
      <c r="AQ111" s="2595"/>
      <c r="AR111" s="2595"/>
      <c r="AS111" s="2595"/>
      <c r="AT111" s="2595"/>
      <c r="AU111" s="2595"/>
      <c r="AV111" s="2595"/>
      <c r="AW111" s="2595"/>
      <c r="AX111" s="2595"/>
      <c r="AY111" s="2595"/>
      <c r="AZ111" s="2595"/>
      <c r="BA111" s="42"/>
      <c r="BB111" s="42"/>
    </row>
    <row r="112" spans="1:54" s="3402" customFormat="1" ht="16.5" customHeight="1">
      <c r="A112" s="1127"/>
      <c r="B112" s="1565"/>
      <c r="C112" s="4749" t="s">
        <v>3742</v>
      </c>
      <c r="D112" s="1554"/>
      <c r="E112" s="1554"/>
      <c r="F112" s="1554"/>
      <c r="G112" s="1554"/>
      <c r="H112" s="1554"/>
      <c r="I112" s="1554"/>
      <c r="J112" s="1554"/>
      <c r="K112" s="1554"/>
      <c r="L112" s="1554"/>
      <c r="M112" s="1554"/>
      <c r="N112" s="1554"/>
      <c r="O112" s="1554"/>
      <c r="P112" s="1554"/>
      <c r="Q112" s="1554"/>
      <c r="R112" s="1554"/>
      <c r="S112" s="1554"/>
      <c r="T112" s="1554"/>
      <c r="U112" s="1554"/>
      <c r="V112" s="1554"/>
      <c r="W112" s="1554"/>
      <c r="X112" s="1554"/>
      <c r="Y112" s="1554"/>
      <c r="Z112" s="1554"/>
      <c r="AA112" s="1554"/>
      <c r="AB112" s="1554"/>
      <c r="AC112" s="1554"/>
      <c r="AD112" s="1554"/>
      <c r="AE112" s="1554"/>
      <c r="AF112" s="1554"/>
      <c r="AG112" s="1554"/>
      <c r="AH112" s="1554"/>
      <c r="AI112" s="1554"/>
      <c r="AJ112" s="1554"/>
      <c r="AK112" s="1127"/>
      <c r="AL112" s="1127"/>
      <c r="AM112" s="1127"/>
      <c r="AN112" s="1179"/>
      <c r="AO112" s="1179"/>
      <c r="AP112" s="1179"/>
      <c r="AQ112" s="2595"/>
      <c r="AR112" s="2595"/>
      <c r="AS112" s="2595"/>
      <c r="AT112" s="2595"/>
      <c r="AU112" s="2595"/>
      <c r="AV112" s="2595"/>
      <c r="AW112" s="2595"/>
      <c r="AX112" s="2595"/>
      <c r="AY112" s="2595"/>
      <c r="AZ112" s="2595"/>
      <c r="BA112" s="42"/>
      <c r="BB112" s="42"/>
    </row>
    <row r="113" spans="1:54" s="3402" customFormat="1" ht="15.75" customHeight="1" thickBot="1">
      <c r="A113" s="1127"/>
      <c r="B113" s="1559">
        <v>31</v>
      </c>
      <c r="C113" s="1179"/>
      <c r="D113" s="2686" t="s">
        <v>3762</v>
      </c>
      <c r="E113" s="2686"/>
      <c r="F113" s="2686"/>
      <c r="G113" s="1179"/>
      <c r="H113" s="1179"/>
      <c r="I113" s="1179"/>
      <c r="J113" s="1179"/>
      <c r="K113" s="1179"/>
      <c r="L113" s="1179"/>
      <c r="M113" s="1179"/>
      <c r="N113" s="1179"/>
      <c r="O113" s="1179"/>
      <c r="P113" s="1179"/>
      <c r="Q113" s="1179"/>
      <c r="R113" s="1179"/>
      <c r="S113" s="1179"/>
      <c r="T113" s="1179"/>
      <c r="U113" s="1179"/>
      <c r="V113" s="1179"/>
      <c r="W113" s="1179"/>
      <c r="X113" s="1179"/>
      <c r="Y113" s="1179"/>
      <c r="Z113" s="1179"/>
      <c r="AA113" s="1179"/>
      <c r="AB113" s="1179"/>
      <c r="AC113" s="1179"/>
      <c r="AD113" s="1555"/>
      <c r="AE113" s="1179"/>
      <c r="AF113" s="1179"/>
      <c r="AG113" s="1179"/>
      <c r="AH113" s="1179"/>
      <c r="AI113" s="1179"/>
      <c r="AJ113" s="1179"/>
      <c r="AK113" s="1127"/>
      <c r="AL113" s="1127"/>
      <c r="AM113" s="1127"/>
      <c r="AN113" s="1179"/>
      <c r="AO113" s="1179"/>
      <c r="AP113" s="1179"/>
      <c r="AQ113" s="2595"/>
      <c r="AR113" s="2595"/>
      <c r="AS113" s="2595"/>
      <c r="AT113" s="2595"/>
      <c r="AU113" s="2595"/>
      <c r="AV113" s="2595"/>
      <c r="AW113" s="2595"/>
      <c r="AX113" s="2595"/>
      <c r="AY113" s="2595"/>
      <c r="AZ113" s="2595"/>
      <c r="BA113" s="42"/>
      <c r="BB113" s="42"/>
    </row>
    <row r="114" spans="1:54" s="3402" customFormat="1" ht="15.75" thickBot="1">
      <c r="A114" s="1127"/>
      <c r="B114" s="1280"/>
      <c r="C114" s="1280"/>
      <c r="D114" s="2704" t="s">
        <v>3763</v>
      </c>
      <c r="E114" s="2704"/>
      <c r="F114" s="2704"/>
      <c r="G114" s="1280"/>
      <c r="H114" s="1280"/>
      <c r="I114" s="1280"/>
      <c r="J114" s="1280"/>
      <c r="K114" s="1280"/>
      <c r="L114" s="1280"/>
      <c r="M114" s="1280"/>
      <c r="N114" s="1280"/>
      <c r="O114" s="1280"/>
      <c r="P114" s="1280"/>
      <c r="Q114" s="1280"/>
      <c r="R114" s="1280"/>
      <c r="S114" s="1280"/>
      <c r="T114" s="1280"/>
      <c r="U114" s="1280"/>
      <c r="V114" s="1280"/>
      <c r="W114" s="1280"/>
      <c r="X114" s="1280"/>
      <c r="Y114" s="1280"/>
      <c r="Z114" s="1280"/>
      <c r="AA114" s="1280"/>
      <c r="AB114" s="1280"/>
      <c r="AC114" s="3307" t="s">
        <v>3766</v>
      </c>
      <c r="AD114" s="4372">
        <v>31</v>
      </c>
      <c r="AE114" s="9119" t="str">
        <f>IF(AO114&lt;&gt;"",ROUND(AO114,0),IF(OR(AH106,AY101=""),"",AY101))</f>
        <v/>
      </c>
      <c r="AF114" s="9482"/>
      <c r="AG114" s="9482"/>
      <c r="AH114" s="9482"/>
      <c r="AI114" s="9482"/>
      <c r="AJ114" s="9482"/>
      <c r="AK114" s="1127"/>
      <c r="AL114" s="1127"/>
      <c r="AM114" s="1127"/>
      <c r="AN114" s="1179"/>
      <c r="AO114" s="4409"/>
      <c r="AP114" s="1179"/>
      <c r="AQ114" s="2595"/>
      <c r="AR114" s="2595"/>
      <c r="AS114" s="2595"/>
      <c r="AT114" s="2595"/>
      <c r="AU114" s="2595"/>
      <c r="AV114" s="2595"/>
      <c r="AW114" s="2595"/>
      <c r="AX114" s="2595"/>
      <c r="AY114" s="2595"/>
      <c r="AZ114" s="2595"/>
      <c r="BA114" s="42"/>
      <c r="BB114" s="42"/>
    </row>
    <row r="115" spans="1:54" s="3402" customFormat="1" ht="15.75">
      <c r="A115" s="1127"/>
      <c r="B115" s="1709"/>
      <c r="C115" s="70"/>
      <c r="D115" s="70"/>
      <c r="E115" s="70"/>
      <c r="F115" s="70"/>
      <c r="G115" s="70"/>
      <c r="H115" s="70"/>
      <c r="I115" s="70"/>
      <c r="J115" s="70"/>
      <c r="K115" s="70"/>
      <c r="L115" s="70"/>
      <c r="M115" s="70"/>
      <c r="N115" s="70"/>
      <c r="O115" s="70"/>
      <c r="P115" s="70"/>
      <c r="Q115" s="23"/>
      <c r="R115" s="23"/>
      <c r="S115" s="23"/>
      <c r="T115" s="23"/>
      <c r="U115" s="501"/>
      <c r="V115" s="23"/>
      <c r="W115" s="501"/>
      <c r="X115" s="23"/>
      <c r="Y115" s="23"/>
      <c r="Z115" s="23"/>
      <c r="AA115" s="23"/>
      <c r="AB115" s="23"/>
      <c r="AC115" s="23"/>
      <c r="AD115" s="23"/>
      <c r="AE115" s="23"/>
      <c r="AF115" s="23"/>
      <c r="AG115" s="23"/>
      <c r="AH115" s="1035" t="s">
        <v>3708</v>
      </c>
      <c r="AI115" s="23"/>
      <c r="AJ115" s="1035" t="str">
        <f>"("&amp;TaxYear&amp;")"</f>
        <v>(2021)</v>
      </c>
      <c r="AK115" s="1127"/>
      <c r="AL115" s="1127"/>
      <c r="AM115" s="1127"/>
      <c r="AN115" s="1927"/>
      <c r="AO115" s="1927"/>
      <c r="AP115" s="1179"/>
      <c r="AQ115" s="2595"/>
      <c r="AR115" s="2595"/>
      <c r="AS115" s="2595"/>
      <c r="AT115" s="2595"/>
      <c r="AU115" s="2595"/>
      <c r="AV115" s="2595"/>
      <c r="AW115" s="2595"/>
      <c r="AX115" s="2595"/>
      <c r="AY115" s="2595"/>
      <c r="AZ115" s="2595"/>
      <c r="BA115" s="42"/>
      <c r="BB115" s="42"/>
    </row>
    <row r="116" spans="1:54" s="3402" customFormat="1" ht="18" customHeight="1" thickBot="1">
      <c r="A116" s="1127"/>
      <c r="B116" s="1359" t="str">
        <f>"Form 8863 ("&amp;TaxYear&amp;")"</f>
        <v>Form 8863 (2021)</v>
      </c>
      <c r="C116" s="1359"/>
      <c r="D116" s="1359"/>
      <c r="E116" s="1359"/>
      <c r="F116" s="1359"/>
      <c r="G116" s="1359"/>
      <c r="H116" s="1359"/>
      <c r="I116" s="1359"/>
      <c r="J116" s="1359"/>
      <c r="K116" s="1359"/>
      <c r="L116" s="1359"/>
      <c r="M116" s="1359"/>
      <c r="N116" s="1359"/>
      <c r="O116" s="1359"/>
      <c r="P116" s="1359"/>
      <c r="Q116" s="1359"/>
      <c r="R116" s="1359"/>
      <c r="S116" s="1359"/>
      <c r="T116" s="1359"/>
      <c r="U116" s="1359"/>
      <c r="V116" s="1359"/>
      <c r="W116" s="1359"/>
      <c r="X116" s="1359"/>
      <c r="Y116" s="1359"/>
      <c r="Z116" s="1359"/>
      <c r="AA116" s="1359"/>
      <c r="AB116" s="1359"/>
      <c r="AC116" s="1359"/>
      <c r="AD116" s="1359"/>
      <c r="AE116" s="1359"/>
      <c r="AF116" s="1359"/>
      <c r="AG116" s="1359"/>
      <c r="AH116" s="1359"/>
      <c r="AI116" s="1815" t="s">
        <v>197</v>
      </c>
      <c r="AJ116" s="1816">
        <v>2</v>
      </c>
      <c r="AK116" s="1127"/>
      <c r="AL116" s="1127"/>
      <c r="AM116" s="1127"/>
      <c r="AN116" s="1179"/>
      <c r="AO116" s="1179"/>
      <c r="AP116" s="1179"/>
      <c r="AQ116" s="2595"/>
      <c r="AR116" s="2595"/>
      <c r="AS116" s="2595"/>
      <c r="AT116" s="2595"/>
      <c r="AU116" s="2595"/>
      <c r="AV116" s="2595"/>
      <c r="AW116" s="2595"/>
      <c r="AX116" s="2595"/>
      <c r="AY116" s="2595"/>
      <c r="AZ116" s="2595"/>
      <c r="BA116" s="42"/>
      <c r="BB116" s="42"/>
    </row>
    <row r="117" spans="1:54" s="3402" customFormat="1" ht="16.5" customHeight="1" thickTop="1">
      <c r="A117" s="1127"/>
      <c r="B117" s="4360" t="s">
        <v>55</v>
      </c>
      <c r="C117" s="1553"/>
      <c r="D117" s="1553"/>
      <c r="E117" s="1553"/>
      <c r="F117" s="1553"/>
      <c r="G117" s="1553"/>
      <c r="H117" s="1553"/>
      <c r="I117" s="1553"/>
      <c r="J117" s="1553"/>
      <c r="K117" s="1553"/>
      <c r="L117" s="1553"/>
      <c r="M117" s="1553"/>
      <c r="N117" s="1553"/>
      <c r="O117" s="1553"/>
      <c r="P117" s="1553"/>
      <c r="Q117" s="1553"/>
      <c r="R117" s="1553"/>
      <c r="S117" s="1553"/>
      <c r="T117" s="1553"/>
      <c r="U117" s="1553"/>
      <c r="V117" s="1553"/>
      <c r="W117" s="1553"/>
      <c r="X117" s="1553"/>
      <c r="Y117" s="1553"/>
      <c r="Z117" s="1553"/>
      <c r="AA117" s="1553"/>
      <c r="AB117" s="1553"/>
      <c r="AC117" s="9512" t="s">
        <v>89</v>
      </c>
      <c r="AD117" s="9513"/>
      <c r="AE117" s="9513"/>
      <c r="AF117" s="9513"/>
      <c r="AG117" s="9513"/>
      <c r="AH117" s="9513"/>
      <c r="AI117" s="9513"/>
      <c r="AJ117" s="9513"/>
      <c r="AK117" s="1127"/>
      <c r="AL117" s="1127"/>
      <c r="AM117" s="1127"/>
      <c r="AN117" s="1179"/>
      <c r="AO117" s="1179"/>
      <c r="AP117" s="1179"/>
      <c r="AQ117" s="2595"/>
      <c r="AR117" s="2595"/>
      <c r="AS117" s="2595"/>
      <c r="AT117" s="2595"/>
      <c r="AU117" s="2595"/>
      <c r="AV117" s="2595"/>
      <c r="AW117" s="2595"/>
      <c r="AX117" s="2595"/>
      <c r="AY117" s="2595"/>
      <c r="AZ117" s="2595"/>
      <c r="BA117" s="42"/>
      <c r="BB117" s="42"/>
    </row>
    <row r="118" spans="1:54" s="3402" customFormat="1" ht="21.75" customHeight="1">
      <c r="A118" s="1127"/>
      <c r="B118" s="9516" t="str">
        <f>Names</f>
        <v/>
      </c>
      <c r="C118" s="9517"/>
      <c r="D118" s="9517"/>
      <c r="E118" s="9517"/>
      <c r="F118" s="9517"/>
      <c r="G118" s="9517"/>
      <c r="H118" s="9517"/>
      <c r="I118" s="9517"/>
      <c r="J118" s="9517"/>
      <c r="K118" s="9517"/>
      <c r="L118" s="9517"/>
      <c r="M118" s="9517"/>
      <c r="N118" s="9517"/>
      <c r="O118" s="9517"/>
      <c r="P118" s="9517"/>
      <c r="Q118" s="9517"/>
      <c r="R118" s="9517"/>
      <c r="S118" s="9517"/>
      <c r="T118" s="9517"/>
      <c r="U118" s="9517"/>
      <c r="V118" s="9517"/>
      <c r="W118" s="9517"/>
      <c r="X118" s="9517"/>
      <c r="Y118" s="9517"/>
      <c r="Z118" s="9517"/>
      <c r="AA118" s="9517"/>
      <c r="AB118" s="9518"/>
      <c r="AC118" s="9514">
        <f>IF(OR(NoSSN,SS_Yours=""),"",SS_Yours)</f>
        <v>1010001</v>
      </c>
      <c r="AD118" s="9515"/>
      <c r="AE118" s="9515"/>
      <c r="AF118" s="9515"/>
      <c r="AG118" s="9515"/>
      <c r="AH118" s="9515"/>
      <c r="AI118" s="9515"/>
      <c r="AJ118" s="9515"/>
      <c r="AK118" s="1127"/>
      <c r="AL118" s="1127"/>
      <c r="AM118" s="1127"/>
      <c r="AN118" s="1179"/>
      <c r="AO118" s="1179"/>
      <c r="AP118" s="1179"/>
      <c r="AQ118" s="2595"/>
      <c r="AR118" s="2595"/>
      <c r="AS118" s="2595"/>
      <c r="AT118" s="2595"/>
      <c r="AU118" s="2595"/>
      <c r="AV118" s="2595"/>
      <c r="AW118" s="2595"/>
      <c r="AX118" s="2595"/>
      <c r="AY118" s="2595"/>
      <c r="AZ118" s="2595"/>
      <c r="BA118" s="42"/>
      <c r="BB118" s="42"/>
    </row>
    <row r="119" spans="1:54" s="3402" customFormat="1" ht="5.25" customHeight="1">
      <c r="A119" s="1127"/>
      <c r="B119" s="4373"/>
      <c r="C119" s="4373"/>
      <c r="D119" s="4373" t="s">
        <v>3770</v>
      </c>
      <c r="E119" s="4373"/>
      <c r="F119" s="4373"/>
      <c r="G119" s="4373"/>
      <c r="H119" s="4373"/>
      <c r="I119" s="4373"/>
      <c r="J119" s="4373"/>
      <c r="K119" s="4373"/>
      <c r="L119" s="4373"/>
      <c r="M119" s="4373"/>
      <c r="N119" s="4373"/>
      <c r="O119" s="4373"/>
      <c r="P119" s="4373"/>
      <c r="Q119" s="4373"/>
      <c r="R119" s="4373"/>
      <c r="S119" s="4373"/>
      <c r="T119" s="4373"/>
      <c r="U119" s="4373"/>
      <c r="V119" s="4373"/>
      <c r="W119" s="4373"/>
      <c r="X119" s="4373"/>
      <c r="Y119" s="4373"/>
      <c r="Z119" s="4373"/>
      <c r="AA119" s="4373"/>
      <c r="AB119" s="4373"/>
      <c r="AC119" s="4373"/>
      <c r="AD119" s="4373"/>
      <c r="AE119" s="4373"/>
      <c r="AF119" s="4373"/>
      <c r="AG119" s="4373"/>
      <c r="AH119" s="4373"/>
      <c r="AI119" s="4373"/>
      <c r="AJ119" s="4373"/>
      <c r="AK119" s="1127"/>
      <c r="AL119" s="1127"/>
      <c r="AM119" s="1127"/>
      <c r="AN119" s="1179"/>
      <c r="AO119" s="1179"/>
      <c r="AP119" s="1179"/>
      <c r="AQ119" s="2595"/>
      <c r="AR119" s="2595"/>
      <c r="AS119" s="2595"/>
      <c r="AT119" s="2595"/>
      <c r="AU119" s="2595"/>
      <c r="AV119" s="2595"/>
      <c r="AW119" s="2595"/>
      <c r="AX119" s="2595"/>
      <c r="AY119" s="2595"/>
      <c r="AZ119" s="2595"/>
      <c r="BA119" s="42"/>
      <c r="BB119" s="42"/>
    </row>
    <row r="120" spans="1:54" s="4381" customFormat="1" ht="15.75" customHeight="1">
      <c r="A120" s="4353"/>
      <c r="B120" s="4374"/>
      <c r="C120" s="4374"/>
      <c r="D120" s="4393" t="s">
        <v>3771</v>
      </c>
      <c r="E120" s="4374"/>
      <c r="F120" s="4374"/>
      <c r="G120" s="4374"/>
      <c r="H120" s="4374"/>
      <c r="I120" s="4374"/>
      <c r="J120" s="4374"/>
      <c r="K120" s="4374"/>
      <c r="L120" s="4374"/>
      <c r="M120" s="4374"/>
      <c r="N120" s="4374"/>
      <c r="O120" s="4374"/>
      <c r="P120" s="4374"/>
      <c r="Q120" s="4374"/>
      <c r="R120" s="4374"/>
      <c r="S120" s="4374"/>
      <c r="T120" s="4374"/>
      <c r="U120" s="4374"/>
      <c r="V120" s="4374"/>
      <c r="W120" s="4374"/>
      <c r="X120" s="4374"/>
      <c r="Y120" s="4374"/>
      <c r="Z120" s="4374"/>
      <c r="AA120" s="4374"/>
      <c r="AB120" s="4374"/>
      <c r="AC120" s="4374"/>
      <c r="AD120" s="4374"/>
      <c r="AE120" s="4374"/>
      <c r="AF120" s="4374"/>
      <c r="AG120" s="4374"/>
      <c r="AH120" s="4374"/>
      <c r="AI120" s="4374"/>
      <c r="AJ120" s="4374"/>
      <c r="AK120" s="4353"/>
      <c r="AL120" s="4353"/>
      <c r="AM120" s="4353"/>
      <c r="AN120" s="4354"/>
      <c r="AO120" s="4354"/>
      <c r="AP120" s="2051"/>
      <c r="AQ120" s="4380"/>
      <c r="AR120" s="4380"/>
      <c r="AS120" s="4380"/>
      <c r="AT120" s="4380"/>
      <c r="AU120" s="4380"/>
      <c r="AV120" s="4380"/>
      <c r="AW120" s="4380"/>
      <c r="AX120" s="4380"/>
      <c r="AY120" s="4380"/>
      <c r="AZ120" s="4380"/>
      <c r="BA120" s="4355"/>
      <c r="BB120" s="4355"/>
    </row>
    <row r="121" spans="1:54" s="4381" customFormat="1" ht="15.75" customHeight="1">
      <c r="A121" s="4353"/>
      <c r="B121" s="4374"/>
      <c r="C121" s="4374"/>
      <c r="D121" s="4393" t="s">
        <v>3769</v>
      </c>
      <c r="E121" s="4374"/>
      <c r="F121" s="4374"/>
      <c r="G121" s="4374"/>
      <c r="H121" s="4374"/>
      <c r="I121" s="4374"/>
      <c r="J121" s="4374"/>
      <c r="K121" s="4374"/>
      <c r="L121" s="4374"/>
      <c r="M121" s="4374"/>
      <c r="N121" s="4374"/>
      <c r="O121" s="4374"/>
      <c r="P121" s="4374"/>
      <c r="Q121" s="4374"/>
      <c r="R121" s="4374"/>
      <c r="S121" s="4374"/>
      <c r="T121" s="4374"/>
      <c r="U121" s="4374"/>
      <c r="V121" s="4374"/>
      <c r="W121" s="4374"/>
      <c r="X121" s="4374"/>
      <c r="Y121" s="4374"/>
      <c r="Z121" s="4374"/>
      <c r="AA121" s="4374"/>
      <c r="AB121" s="4374"/>
      <c r="AC121" s="4374"/>
      <c r="AD121" s="4374"/>
      <c r="AE121" s="4374"/>
      <c r="AF121" s="4374"/>
      <c r="AG121" s="4374"/>
      <c r="AH121" s="4374"/>
      <c r="AI121" s="4374"/>
      <c r="AJ121" s="4374"/>
      <c r="AK121" s="4353"/>
      <c r="AL121" s="4353"/>
      <c r="AM121" s="4353"/>
      <c r="AN121" s="4354"/>
      <c r="AO121" s="4354"/>
      <c r="AP121" s="2051"/>
      <c r="AQ121" s="4380"/>
      <c r="AR121" s="4380"/>
      <c r="AS121" s="4380"/>
      <c r="AT121" s="4380"/>
      <c r="AU121" s="4380"/>
      <c r="AV121" s="4380"/>
      <c r="AW121" s="4380"/>
      <c r="AX121" s="4380"/>
      <c r="AY121" s="4380"/>
      <c r="AZ121" s="4380"/>
      <c r="BA121" s="4355"/>
      <c r="BB121" s="4355"/>
    </row>
    <row r="122" spans="1:54" s="4381" customFormat="1" ht="15.75" customHeight="1">
      <c r="A122" s="4353"/>
      <c r="B122" s="4374"/>
      <c r="C122" s="4374"/>
      <c r="D122" s="4394" t="s">
        <v>3768</v>
      </c>
      <c r="E122" s="4374"/>
      <c r="F122" s="4374"/>
      <c r="G122" s="4374"/>
      <c r="H122" s="4374"/>
      <c r="I122" s="4374"/>
      <c r="J122" s="4374"/>
      <c r="K122" s="4374"/>
      <c r="L122" s="4374"/>
      <c r="M122" s="4374"/>
      <c r="N122" s="4374"/>
      <c r="O122" s="4374"/>
      <c r="P122" s="4374"/>
      <c r="Q122" s="4374"/>
      <c r="R122" s="4374"/>
      <c r="S122" s="4374"/>
      <c r="T122" s="4374"/>
      <c r="U122" s="4374"/>
      <c r="V122" s="4374"/>
      <c r="W122" s="4374"/>
      <c r="X122" s="4374"/>
      <c r="Y122" s="4374"/>
      <c r="Z122" s="4374"/>
      <c r="AA122" s="4374"/>
      <c r="AB122" s="4374"/>
      <c r="AC122" s="4374"/>
      <c r="AD122" s="4374"/>
      <c r="AE122" s="4374"/>
      <c r="AF122" s="4374"/>
      <c r="AG122" s="4374"/>
      <c r="AH122" s="4374"/>
      <c r="AI122" s="4374"/>
      <c r="AJ122" s="4374"/>
      <c r="AK122" s="4353"/>
      <c r="AL122" s="4353"/>
      <c r="AM122" s="4353"/>
      <c r="AN122" s="4354"/>
      <c r="AO122" s="4354"/>
      <c r="AP122" s="2051"/>
      <c r="AQ122" s="4380"/>
      <c r="AR122" s="4380"/>
      <c r="AS122" s="4380"/>
      <c r="AT122" s="4380"/>
      <c r="AU122" s="4380"/>
      <c r="AV122" s="4380"/>
      <c r="AW122" s="4380"/>
      <c r="AX122" s="4380"/>
      <c r="AY122" s="4380"/>
      <c r="AZ122" s="4380"/>
      <c r="BA122" s="4355"/>
      <c r="BB122" s="4355"/>
    </row>
    <row r="123" spans="1:54" s="3402" customFormat="1" ht="6" customHeight="1">
      <c r="A123" s="1127"/>
      <c r="B123" s="4375"/>
      <c r="C123" s="4375"/>
      <c r="D123" s="4375"/>
      <c r="E123" s="4375"/>
      <c r="F123" s="4375"/>
      <c r="G123" s="4375"/>
      <c r="H123" s="4375"/>
      <c r="I123" s="4375"/>
      <c r="J123" s="4375"/>
      <c r="K123" s="4375"/>
      <c r="L123" s="4375"/>
      <c r="M123" s="4375"/>
      <c r="N123" s="4375"/>
      <c r="O123" s="4375"/>
      <c r="P123" s="4375"/>
      <c r="Q123" s="4375"/>
      <c r="R123" s="4375"/>
      <c r="S123" s="4375"/>
      <c r="T123" s="4375"/>
      <c r="U123" s="4375"/>
      <c r="V123" s="4375"/>
      <c r="W123" s="4375"/>
      <c r="X123" s="4375"/>
      <c r="Y123" s="4375"/>
      <c r="Z123" s="4375"/>
      <c r="AA123" s="4375"/>
      <c r="AB123" s="4375"/>
      <c r="AC123" s="4375"/>
      <c r="AD123" s="4375"/>
      <c r="AE123" s="4375"/>
      <c r="AF123" s="4375"/>
      <c r="AG123" s="4375"/>
      <c r="AH123" s="4375"/>
      <c r="AI123" s="4375"/>
      <c r="AJ123" s="4375"/>
      <c r="AK123" s="1127"/>
      <c r="AL123" s="1127"/>
      <c r="AM123" s="1127"/>
      <c r="AN123" s="1179"/>
      <c r="AO123" s="1179"/>
      <c r="AP123" s="1179"/>
      <c r="AQ123" s="2595"/>
      <c r="AR123" s="2595"/>
      <c r="AS123" s="2595"/>
      <c r="AT123" s="2595"/>
      <c r="AU123" s="2595"/>
      <c r="AV123" s="2595"/>
      <c r="AW123" s="2595"/>
      <c r="AX123" s="2595"/>
      <c r="AY123" s="2595"/>
      <c r="AZ123" s="2595"/>
      <c r="BA123" s="42"/>
      <c r="BB123" s="42"/>
    </row>
    <row r="124" spans="1:54" s="3402" customFormat="1" ht="19.5" customHeight="1">
      <c r="A124" s="1127"/>
      <c r="B124" s="6769" t="s">
        <v>319</v>
      </c>
      <c r="C124" s="6769"/>
      <c r="D124" s="1571"/>
      <c r="E124" s="4748" t="s">
        <v>4248</v>
      </c>
      <c r="F124" s="1553"/>
      <c r="G124" s="1553"/>
      <c r="H124" s="1553"/>
      <c r="I124" s="1553"/>
      <c r="J124" s="1553"/>
      <c r="K124" s="1553"/>
      <c r="L124" s="1553"/>
      <c r="M124" s="1553"/>
      <c r="N124" s="1553"/>
      <c r="O124" s="1553"/>
      <c r="P124" s="1553"/>
      <c r="Q124" s="1553"/>
      <c r="R124" s="1553"/>
      <c r="S124" s="1553"/>
      <c r="T124" s="1553"/>
      <c r="U124" s="1553"/>
      <c r="V124" s="1553"/>
      <c r="W124" s="1553"/>
      <c r="X124" s="1553"/>
      <c r="Y124" s="1553"/>
      <c r="Z124" s="1553"/>
      <c r="AA124" s="1553"/>
      <c r="AB124" s="1553"/>
      <c r="AC124" s="1553"/>
      <c r="AD124" s="1553"/>
      <c r="AE124" s="1553"/>
      <c r="AF124" s="1553"/>
      <c r="AG124" s="1553"/>
      <c r="AH124" s="1553"/>
      <c r="AI124" s="1553"/>
      <c r="AJ124" s="1553"/>
      <c r="AK124" s="1127"/>
      <c r="AL124" s="1127"/>
      <c r="AM124" s="1127"/>
      <c r="AN124" s="1179"/>
      <c r="AO124" s="1179"/>
      <c r="AP124" s="1179"/>
      <c r="AQ124" s="2595"/>
      <c r="AR124" s="2595"/>
      <c r="AS124" s="2595"/>
      <c r="AT124" s="2595"/>
      <c r="AU124" s="2595"/>
      <c r="AV124" s="2595"/>
      <c r="AW124" s="2595"/>
      <c r="AX124" s="2595"/>
      <c r="AY124" s="2595"/>
      <c r="AZ124" s="2595"/>
      <c r="BA124" s="42"/>
      <c r="BB124" s="42"/>
    </row>
    <row r="125" spans="1:54" s="3402" customFormat="1" ht="16.5" customHeight="1">
      <c r="A125" s="1127"/>
      <c r="B125" s="1559" t="s">
        <v>1113</v>
      </c>
      <c r="C125" s="1179"/>
      <c r="D125" s="4361" t="s">
        <v>3710</v>
      </c>
      <c r="E125" s="1574"/>
      <c r="F125" s="1574"/>
      <c r="G125" s="1574"/>
      <c r="H125" s="1574"/>
      <c r="I125" s="1574"/>
      <c r="J125" s="1574"/>
      <c r="K125" s="1574"/>
      <c r="L125" s="1574"/>
      <c r="M125" s="1575"/>
      <c r="N125" s="1576"/>
      <c r="O125" s="1706"/>
      <c r="P125" s="1574"/>
      <c r="Q125" s="1574"/>
      <c r="R125" s="1706"/>
      <c r="S125" s="1706"/>
      <c r="T125" s="1576">
        <v>21</v>
      </c>
      <c r="U125" s="4361" t="s">
        <v>3711</v>
      </c>
      <c r="V125" s="1706"/>
      <c r="W125" s="1706"/>
      <c r="X125" s="1706"/>
      <c r="Y125" s="1706"/>
      <c r="Z125" s="1706"/>
      <c r="AA125" s="1706"/>
      <c r="AB125" s="4363"/>
      <c r="AC125" s="1706"/>
      <c r="AD125" s="1706"/>
      <c r="AE125" s="1706"/>
      <c r="AF125" s="1706"/>
      <c r="AG125" s="1574"/>
      <c r="AH125" s="1706"/>
      <c r="AI125" s="1706"/>
      <c r="AJ125" s="1706"/>
      <c r="AK125" s="1127"/>
      <c r="AL125" s="1127"/>
      <c r="AM125" s="1127"/>
      <c r="AN125" s="1179"/>
      <c r="AO125" s="1179"/>
      <c r="AP125" s="1179"/>
      <c r="AQ125" s="2595"/>
      <c r="AR125" s="2595"/>
      <c r="AS125" s="2595"/>
      <c r="AT125" s="2595"/>
      <c r="AU125" s="2595"/>
      <c r="AV125" s="2595"/>
      <c r="AW125" s="2595"/>
      <c r="AX125" s="2595"/>
      <c r="AY125" s="2595"/>
      <c r="AZ125" s="2595"/>
      <c r="BA125" s="42"/>
      <c r="BB125" s="42"/>
    </row>
    <row r="126" spans="1:54" s="3402" customFormat="1" ht="15">
      <c r="A126" s="1127"/>
      <c r="B126" s="1559"/>
      <c r="C126" s="1179"/>
      <c r="D126" s="9524"/>
      <c r="E126" s="9524"/>
      <c r="F126" s="9524"/>
      <c r="G126" s="9524"/>
      <c r="H126" s="9524"/>
      <c r="I126" s="9524"/>
      <c r="J126" s="9524"/>
      <c r="K126" s="9524"/>
      <c r="L126" s="9524"/>
      <c r="M126" s="9524"/>
      <c r="N126" s="9524"/>
      <c r="O126" s="9524"/>
      <c r="P126" s="9524"/>
      <c r="Q126" s="9524"/>
      <c r="R126" s="9524"/>
      <c r="S126" s="9525"/>
      <c r="T126" s="4442"/>
      <c r="U126" s="3081" t="s">
        <v>3712</v>
      </c>
      <c r="V126" s="4443"/>
      <c r="W126" s="4443"/>
      <c r="X126" s="4443"/>
      <c r="Y126" s="4443"/>
      <c r="Z126" s="4443"/>
      <c r="AA126" s="4443"/>
      <c r="AB126" s="4443"/>
      <c r="AC126" s="4443"/>
      <c r="AD126" s="4443"/>
      <c r="AE126" s="4443"/>
      <c r="AF126" s="4443"/>
      <c r="AG126" s="4443"/>
      <c r="AH126" s="4443"/>
      <c r="AI126" s="4443"/>
      <c r="AJ126" s="4443"/>
      <c r="AK126" s="1127"/>
      <c r="AL126" s="1127"/>
      <c r="AM126" s="1127"/>
      <c r="AN126" s="1179"/>
      <c r="AO126" s="1179"/>
      <c r="AP126" s="1179"/>
      <c r="AQ126" s="2595"/>
      <c r="AR126" s="2595"/>
      <c r="AS126" s="2595"/>
      <c r="AT126" s="2595"/>
      <c r="AU126" s="2595"/>
      <c r="AV126" s="2595"/>
      <c r="AW126" s="2595"/>
      <c r="AX126" s="2595"/>
      <c r="AY126" s="2595"/>
      <c r="AZ126" s="2595"/>
      <c r="BA126" s="42"/>
      <c r="BB126" s="42"/>
    </row>
    <row r="127" spans="1:54" s="3402" customFormat="1" ht="18" customHeight="1">
      <c r="A127" s="1127"/>
      <c r="B127" s="1559"/>
      <c r="C127" s="1179"/>
      <c r="D127" s="9526"/>
      <c r="E127" s="9526"/>
      <c r="F127" s="9526"/>
      <c r="G127" s="9526"/>
      <c r="H127" s="9526"/>
      <c r="I127" s="9526"/>
      <c r="J127" s="9526"/>
      <c r="K127" s="9526"/>
      <c r="L127" s="9526"/>
      <c r="M127" s="9526"/>
      <c r="N127" s="9526"/>
      <c r="O127" s="9526"/>
      <c r="P127" s="9526"/>
      <c r="Q127" s="9526"/>
      <c r="R127" s="9526"/>
      <c r="S127" s="9527"/>
      <c r="T127" s="4364"/>
      <c r="U127" s="9528"/>
      <c r="V127" s="9528"/>
      <c r="W127" s="9528"/>
      <c r="X127" s="9528"/>
      <c r="Y127" s="9528"/>
      <c r="Z127" s="9528"/>
      <c r="AA127" s="9528"/>
      <c r="AB127" s="9528"/>
      <c r="AC127" s="9528"/>
      <c r="AD127" s="9528"/>
      <c r="AE127" s="9528"/>
      <c r="AF127" s="9528"/>
      <c r="AG127" s="9528"/>
      <c r="AH127" s="9528"/>
      <c r="AI127" s="9528"/>
      <c r="AJ127" s="9528"/>
      <c r="AK127" s="1127"/>
      <c r="AL127" s="1127"/>
      <c r="AM127" s="1127"/>
      <c r="AN127" s="1179"/>
      <c r="AO127" s="1179"/>
      <c r="AP127" s="1179"/>
      <c r="AQ127" s="2595"/>
      <c r="AR127" s="2595"/>
      <c r="AS127" s="2595"/>
      <c r="AT127" s="2595"/>
      <c r="AU127" s="2595"/>
      <c r="AV127" s="2595"/>
      <c r="AW127" s="2595"/>
      <c r="AX127" s="2595"/>
      <c r="AY127" s="2595"/>
      <c r="AZ127" s="2595"/>
      <c r="BA127" s="42"/>
      <c r="BB127" s="42"/>
    </row>
    <row r="128" spans="1:54" s="3402" customFormat="1" ht="16.5" customHeight="1">
      <c r="A128" s="1127"/>
      <c r="B128" s="1565">
        <v>22</v>
      </c>
      <c r="C128" s="1554"/>
      <c r="D128" s="2791" t="s">
        <v>3713</v>
      </c>
      <c r="E128" s="1553"/>
      <c r="F128" s="1553"/>
      <c r="G128" s="1553"/>
      <c r="H128" s="1553"/>
      <c r="I128" s="1553"/>
      <c r="J128" s="1553"/>
      <c r="K128" s="1553"/>
      <c r="L128" s="1553"/>
      <c r="M128" s="1553"/>
      <c r="N128" s="1553"/>
      <c r="O128" s="1553"/>
      <c r="P128" s="1553"/>
      <c r="Q128" s="1553"/>
      <c r="R128" s="1553"/>
      <c r="S128" s="1553"/>
      <c r="T128" s="1553"/>
      <c r="U128" s="1553"/>
      <c r="V128" s="1553"/>
      <c r="W128" s="1553"/>
      <c r="X128" s="1553"/>
      <c r="Y128" s="1553"/>
      <c r="Z128" s="1553"/>
      <c r="AA128" s="1553"/>
      <c r="AB128" s="1553"/>
      <c r="AC128" s="1553"/>
      <c r="AD128" s="1553"/>
      <c r="AE128" s="1553"/>
      <c r="AF128" s="1553"/>
      <c r="AG128" s="1553"/>
      <c r="AH128" s="1553"/>
      <c r="AI128" s="1553"/>
      <c r="AJ128" s="1553"/>
      <c r="AK128" s="1127"/>
      <c r="AL128" s="1127"/>
      <c r="AM128" s="1127"/>
      <c r="AN128" s="1179"/>
      <c r="AO128" s="1179"/>
      <c r="AP128" s="1179"/>
      <c r="AQ128" s="2595"/>
      <c r="AR128" s="2595"/>
      <c r="AS128" s="2595"/>
      <c r="AT128" s="2595"/>
      <c r="AU128" s="2595"/>
      <c r="AV128" s="2595"/>
      <c r="AW128" s="2595"/>
      <c r="AX128" s="2595"/>
      <c r="AY128" s="2595"/>
      <c r="AZ128" s="2595"/>
      <c r="BA128" s="42"/>
      <c r="BB128" s="42"/>
    </row>
    <row r="129" spans="1:54" s="3402" customFormat="1" ht="16.5" customHeight="1">
      <c r="A129" s="1127"/>
      <c r="B129" s="1559"/>
      <c r="C129" s="1179"/>
      <c r="D129" s="1573" t="s">
        <v>591</v>
      </c>
      <c r="E129" s="1706" t="s">
        <v>3714</v>
      </c>
      <c r="F129" s="1574"/>
      <c r="G129" s="1574"/>
      <c r="H129" s="1574"/>
      <c r="I129" s="1574"/>
      <c r="J129" s="1574"/>
      <c r="K129" s="1574"/>
      <c r="L129" s="1574"/>
      <c r="M129" s="1574"/>
      <c r="N129" s="1573"/>
      <c r="O129" s="1706"/>
      <c r="P129" s="1574"/>
      <c r="Q129" s="1574"/>
      <c r="R129" s="1706"/>
      <c r="S129" s="4362"/>
      <c r="T129" s="1576"/>
      <c r="U129" s="1573" t="s">
        <v>592</v>
      </c>
      <c r="V129" s="1706" t="s">
        <v>3715</v>
      </c>
      <c r="W129" s="1706"/>
      <c r="X129" s="1706"/>
      <c r="Y129" s="1706"/>
      <c r="Z129" s="1706"/>
      <c r="AA129" s="1706"/>
      <c r="AB129" s="4363"/>
      <c r="AC129" s="1706"/>
      <c r="AD129" s="1706"/>
      <c r="AE129" s="1706"/>
      <c r="AF129" s="1574"/>
      <c r="AG129" s="1706"/>
      <c r="AH129" s="1706"/>
      <c r="AI129" s="1706"/>
      <c r="AJ129" s="1706"/>
      <c r="AK129" s="1127"/>
      <c r="AL129" s="1127"/>
      <c r="AM129" s="1127"/>
      <c r="AN129" s="1179"/>
      <c r="AO129" s="1179"/>
      <c r="AP129" s="1179"/>
      <c r="AQ129" s="2595"/>
      <c r="AR129" s="2595"/>
      <c r="AS129" s="2595"/>
      <c r="AT129" s="2595"/>
      <c r="AU129" s="2595"/>
      <c r="AV129" s="2595"/>
      <c r="AW129" s="2595"/>
      <c r="AX129" s="2595"/>
      <c r="AY129" s="2595"/>
      <c r="AZ129" s="2595"/>
      <c r="BA129" s="42"/>
      <c r="BB129" s="42"/>
    </row>
    <row r="130" spans="1:54" s="3402" customFormat="1" ht="18">
      <c r="A130" s="1127"/>
      <c r="B130" s="1559"/>
      <c r="C130" s="42"/>
      <c r="D130" s="9522"/>
      <c r="E130" s="9522"/>
      <c r="F130" s="9522"/>
      <c r="G130" s="9522"/>
      <c r="H130" s="9522"/>
      <c r="I130" s="9522"/>
      <c r="J130" s="9522"/>
      <c r="K130" s="9522"/>
      <c r="L130" s="9522"/>
      <c r="M130" s="9522"/>
      <c r="N130" s="9522"/>
      <c r="O130" s="9522"/>
      <c r="P130" s="9522"/>
      <c r="Q130" s="9522"/>
      <c r="R130" s="9522"/>
      <c r="S130" s="9523"/>
      <c r="T130" s="9529"/>
      <c r="U130" s="9530"/>
      <c r="V130" s="9530"/>
      <c r="W130" s="9530"/>
      <c r="X130" s="9530"/>
      <c r="Y130" s="9530"/>
      <c r="Z130" s="9530"/>
      <c r="AA130" s="9530"/>
      <c r="AB130" s="9530"/>
      <c r="AC130" s="9530"/>
      <c r="AD130" s="9530"/>
      <c r="AE130" s="9530"/>
      <c r="AF130" s="9530"/>
      <c r="AG130" s="9530"/>
      <c r="AH130" s="9530"/>
      <c r="AI130" s="9530"/>
      <c r="AJ130" s="9530"/>
      <c r="AK130" s="1127"/>
      <c r="AL130" s="1127"/>
      <c r="AM130" s="1127"/>
      <c r="AN130" s="1179"/>
      <c r="AO130" s="1179"/>
      <c r="AP130" s="1179"/>
      <c r="AQ130" s="2595"/>
      <c r="AR130" s="2595"/>
      <c r="AS130" s="2595"/>
      <c r="AT130" s="2595"/>
      <c r="AU130" s="2595"/>
      <c r="AV130" s="2595"/>
      <c r="AW130" s="2595"/>
      <c r="AX130" s="2595"/>
      <c r="AY130" s="2595"/>
      <c r="AZ130" s="2595"/>
      <c r="BA130" s="42"/>
      <c r="BB130" s="42"/>
    </row>
    <row r="131" spans="1:54" s="3402" customFormat="1" ht="12.75" customHeight="1">
      <c r="A131" s="1127"/>
      <c r="B131" s="1179"/>
      <c r="C131" s="1179"/>
      <c r="D131" s="4359" t="s">
        <v>2080</v>
      </c>
      <c r="E131" s="2686" t="s">
        <v>3716</v>
      </c>
      <c r="F131" s="1179"/>
      <c r="G131" s="1179"/>
      <c r="H131" s="1179"/>
      <c r="I131" s="1179"/>
      <c r="J131" s="1179"/>
      <c r="K131" s="1179"/>
      <c r="L131" s="1179"/>
      <c r="M131" s="1179"/>
      <c r="N131" s="1179"/>
      <c r="O131" s="1179"/>
      <c r="P131" s="1179"/>
      <c r="Q131" s="1179"/>
      <c r="R131" s="1179"/>
      <c r="S131" s="1575"/>
      <c r="T131" s="1179"/>
      <c r="U131" s="4359" t="s">
        <v>2080</v>
      </c>
      <c r="V131" s="2686" t="s">
        <v>3716</v>
      </c>
      <c r="W131" s="1179"/>
      <c r="X131" s="1179"/>
      <c r="Y131" s="1179"/>
      <c r="Z131" s="1179"/>
      <c r="AA131" s="1179"/>
      <c r="AB131" s="1179"/>
      <c r="AC131" s="1179"/>
      <c r="AD131" s="1179"/>
      <c r="AE131" s="1179"/>
      <c r="AF131" s="1179"/>
      <c r="AG131" s="1179"/>
      <c r="AH131" s="1179"/>
      <c r="AI131" s="1179"/>
      <c r="AJ131" s="1179"/>
      <c r="AK131" s="1127"/>
      <c r="AL131" s="1127"/>
      <c r="AM131" s="1127"/>
      <c r="AN131" s="1179"/>
      <c r="AO131" s="1179"/>
      <c r="AP131" s="1179"/>
      <c r="AQ131" s="2595"/>
      <c r="AR131" s="2595"/>
      <c r="AS131" s="2595"/>
      <c r="AT131" s="2595"/>
      <c r="AU131" s="2595"/>
      <c r="AV131" s="2595"/>
      <c r="AW131" s="2595"/>
      <c r="AX131" s="2595"/>
      <c r="AY131" s="2595"/>
      <c r="AZ131" s="2595"/>
      <c r="BA131" s="42"/>
      <c r="BB131" s="42"/>
    </row>
    <row r="132" spans="1:54" s="3402" customFormat="1" ht="14.25">
      <c r="A132" s="1127"/>
      <c r="B132" s="1179"/>
      <c r="C132" s="1179"/>
      <c r="D132" s="1179"/>
      <c r="E132" s="2686" t="s">
        <v>3717</v>
      </c>
      <c r="F132" s="1179"/>
      <c r="G132" s="1179"/>
      <c r="H132" s="1179"/>
      <c r="I132" s="1179"/>
      <c r="J132" s="1179"/>
      <c r="K132" s="1179"/>
      <c r="L132" s="1179"/>
      <c r="M132" s="1179"/>
      <c r="N132" s="1179"/>
      <c r="O132" s="1179"/>
      <c r="P132" s="1179"/>
      <c r="Q132" s="1179"/>
      <c r="R132" s="1179"/>
      <c r="S132" s="1583"/>
      <c r="T132" s="1179"/>
      <c r="U132" s="1179"/>
      <c r="V132" s="2686" t="s">
        <v>3717</v>
      </c>
      <c r="W132" s="1179"/>
      <c r="X132" s="1179"/>
      <c r="Y132" s="1179"/>
      <c r="Z132" s="1179"/>
      <c r="AA132" s="1179"/>
      <c r="AB132" s="1179"/>
      <c r="AC132" s="1179"/>
      <c r="AD132" s="1179"/>
      <c r="AE132" s="1179"/>
      <c r="AF132" s="1179"/>
      <c r="AG132" s="1179"/>
      <c r="AH132" s="1179"/>
      <c r="AI132" s="1179"/>
      <c r="AJ132" s="1179"/>
      <c r="AK132" s="1127"/>
      <c r="AL132" s="1127"/>
      <c r="AM132" s="1127"/>
      <c r="AN132" s="1179"/>
      <c r="AO132" s="1179"/>
      <c r="AP132" s="1179"/>
      <c r="AQ132" s="2595"/>
      <c r="AR132" s="2595"/>
      <c r="AS132" s="2595"/>
      <c r="AT132" s="2595"/>
      <c r="AU132" s="2595"/>
      <c r="AV132" s="2595"/>
      <c r="AW132" s="2595"/>
      <c r="AX132" s="2595"/>
      <c r="AY132" s="2595"/>
      <c r="AZ132" s="2595"/>
      <c r="BA132" s="42"/>
      <c r="BB132" s="42"/>
    </row>
    <row r="133" spans="1:54" s="3402" customFormat="1" ht="14.25">
      <c r="A133" s="1127"/>
      <c r="B133" s="1179"/>
      <c r="C133" s="1179"/>
      <c r="D133" s="1179"/>
      <c r="E133" s="2686" t="s">
        <v>485</v>
      </c>
      <c r="F133" s="1179"/>
      <c r="G133" s="1179"/>
      <c r="H133" s="1179"/>
      <c r="I133" s="1179"/>
      <c r="J133" s="1179"/>
      <c r="K133" s="1179"/>
      <c r="L133" s="1179"/>
      <c r="M133" s="1179"/>
      <c r="N133" s="1179"/>
      <c r="O133" s="1179"/>
      <c r="P133" s="1179"/>
      <c r="Q133" s="1179"/>
      <c r="R133" s="1179"/>
      <c r="S133" s="1583"/>
      <c r="T133" s="1179"/>
      <c r="U133" s="1179"/>
      <c r="V133" s="2686" t="s">
        <v>485</v>
      </c>
      <c r="W133" s="1179"/>
      <c r="X133" s="1179"/>
      <c r="Y133" s="1179"/>
      <c r="Z133" s="1179"/>
      <c r="AA133" s="1179"/>
      <c r="AB133" s="1179"/>
      <c r="AC133" s="1179"/>
      <c r="AD133" s="1179"/>
      <c r="AE133" s="1179"/>
      <c r="AF133" s="1179"/>
      <c r="AG133" s="1179"/>
      <c r="AH133" s="1179"/>
      <c r="AI133" s="1179"/>
      <c r="AJ133" s="1179"/>
      <c r="AK133" s="1127"/>
      <c r="AL133" s="1127"/>
      <c r="AM133" s="1127"/>
      <c r="AN133" s="1179"/>
      <c r="AO133" s="1179"/>
      <c r="AP133" s="1179"/>
      <c r="AQ133" s="2595"/>
      <c r="AR133" s="2595"/>
      <c r="AS133" s="2595"/>
      <c r="AT133" s="2595"/>
      <c r="AU133" s="2595"/>
      <c r="AV133" s="2595"/>
      <c r="AW133" s="2595"/>
      <c r="AX133" s="2595"/>
      <c r="AY133" s="2595"/>
      <c r="AZ133" s="2595"/>
      <c r="BA133" s="42"/>
      <c r="BB133" s="42"/>
    </row>
    <row r="134" spans="1:54" s="3402" customFormat="1" ht="15.75">
      <c r="A134" s="1127"/>
      <c r="B134" s="1559"/>
      <c r="C134" s="42"/>
      <c r="D134" s="9475"/>
      <c r="E134" s="9475"/>
      <c r="F134" s="9475"/>
      <c r="G134" s="9475"/>
      <c r="H134" s="9475"/>
      <c r="I134" s="9475"/>
      <c r="J134" s="9475"/>
      <c r="K134" s="9475"/>
      <c r="L134" s="9475"/>
      <c r="M134" s="9475"/>
      <c r="N134" s="9475"/>
      <c r="O134" s="9475"/>
      <c r="P134" s="9475"/>
      <c r="Q134" s="9475"/>
      <c r="R134" s="9475"/>
      <c r="S134" s="9476"/>
      <c r="T134" s="6332"/>
      <c r="U134" s="6323"/>
      <c r="V134" s="6323"/>
      <c r="W134" s="6323"/>
      <c r="X134" s="6323"/>
      <c r="Y134" s="6323"/>
      <c r="Z134" s="6323"/>
      <c r="AA134" s="6323"/>
      <c r="AB134" s="6323"/>
      <c r="AC134" s="6323"/>
      <c r="AD134" s="6323"/>
      <c r="AE134" s="6323"/>
      <c r="AF134" s="6323"/>
      <c r="AG134" s="6323"/>
      <c r="AH134" s="6323"/>
      <c r="AI134" s="6323"/>
      <c r="AJ134" s="6323"/>
      <c r="AK134" s="1127"/>
      <c r="AL134" s="1127"/>
      <c r="AM134" s="1127"/>
      <c r="AN134" s="1179"/>
      <c r="AO134" s="1179"/>
      <c r="AP134" s="1179"/>
      <c r="AQ134" s="2595"/>
      <c r="AR134" s="2595"/>
      <c r="AS134" s="2595"/>
      <c r="AT134" s="2595"/>
      <c r="AU134" s="2595"/>
      <c r="AV134" s="2595"/>
      <c r="AW134" s="2595"/>
      <c r="AX134" s="2595"/>
      <c r="AY134" s="2595"/>
      <c r="AZ134" s="2595"/>
      <c r="BA134" s="42"/>
      <c r="BB134" s="42"/>
    </row>
    <row r="135" spans="1:54" s="3402" customFormat="1" ht="16.5" customHeight="1">
      <c r="A135" s="1127"/>
      <c r="B135" s="1179"/>
      <c r="C135" s="1179"/>
      <c r="D135" s="4359" t="s">
        <v>2082</v>
      </c>
      <c r="E135" s="9483" t="str">
        <f>"Did the student receive Form 1098-T"&amp;CHAR(10)&amp;"from this institution for "&amp;TaxYear&amp;"?"</f>
        <v>Did the student receive Form 1098-T
from this institution for 2021?</v>
      </c>
      <c r="F135" s="9483"/>
      <c r="G135" s="9483"/>
      <c r="H135" s="9483"/>
      <c r="I135" s="9483"/>
      <c r="J135" s="9483"/>
      <c r="K135" s="9483"/>
      <c r="L135" s="9483"/>
      <c r="M135" s="9483"/>
      <c r="N135" s="9483"/>
      <c r="O135" s="1179"/>
      <c r="P135" s="1179"/>
      <c r="Q135" s="1179"/>
      <c r="R135" s="1179"/>
      <c r="S135" s="1179"/>
      <c r="T135" s="1581"/>
      <c r="U135" s="4359" t="s">
        <v>2082</v>
      </c>
      <c r="V135" s="9483" t="str">
        <f>"Did the student receive Form 1098-T"&amp;CHAR(10)&amp;"from this institution for "&amp;TaxYear&amp;"?"</f>
        <v>Did the student receive Form 1098-T
from this institution for 2021?</v>
      </c>
      <c r="W135" s="9483"/>
      <c r="X135" s="9483"/>
      <c r="Y135" s="9483"/>
      <c r="Z135" s="9483"/>
      <c r="AA135" s="9483"/>
      <c r="AB135" s="9483"/>
      <c r="AC135" s="9483"/>
      <c r="AD135" s="9483"/>
      <c r="AE135" s="9483"/>
      <c r="AF135" s="1179"/>
      <c r="AG135" s="1179"/>
      <c r="AH135" s="1179"/>
      <c r="AI135" s="1179"/>
      <c r="AJ135" s="1179"/>
      <c r="AK135" s="1127"/>
      <c r="AL135" s="1127"/>
      <c r="AM135" s="1127"/>
      <c r="AN135" s="1179"/>
      <c r="AO135" s="1179"/>
      <c r="AP135" s="1179"/>
      <c r="AQ135" s="2595"/>
      <c r="AR135" s="2595"/>
      <c r="AS135" s="2595"/>
      <c r="AT135" s="2595"/>
      <c r="AU135" s="2595"/>
      <c r="AV135" s="2595"/>
      <c r="AW135" s="2595"/>
      <c r="AX135" s="2595"/>
      <c r="AY135" s="2595"/>
      <c r="AZ135" s="2595"/>
      <c r="BA135" s="42"/>
      <c r="BB135" s="42"/>
    </row>
    <row r="136" spans="1:54" s="3402" customFormat="1" ht="14.25" customHeight="1">
      <c r="A136" s="1127"/>
      <c r="B136" s="1179"/>
      <c r="C136" s="1179"/>
      <c r="D136" s="1179"/>
      <c r="E136" s="9484"/>
      <c r="F136" s="9484"/>
      <c r="G136" s="9484"/>
      <c r="H136" s="9484"/>
      <c r="I136" s="9484"/>
      <c r="J136" s="9484"/>
      <c r="K136" s="9484"/>
      <c r="L136" s="9484"/>
      <c r="M136" s="9484"/>
      <c r="N136" s="9484"/>
      <c r="O136" s="4365"/>
      <c r="P136" s="1283" t="s">
        <v>271</v>
      </c>
      <c r="Q136" s="1179"/>
      <c r="R136" s="4365"/>
      <c r="S136" s="1283" t="s">
        <v>272</v>
      </c>
      <c r="T136" s="3717"/>
      <c r="U136" s="1179"/>
      <c r="V136" s="9484"/>
      <c r="W136" s="9484"/>
      <c r="X136" s="9484"/>
      <c r="Y136" s="9484"/>
      <c r="Z136" s="9484"/>
      <c r="AA136" s="9484"/>
      <c r="AB136" s="9484"/>
      <c r="AC136" s="9484"/>
      <c r="AD136" s="9484"/>
      <c r="AE136" s="9484"/>
      <c r="AF136" s="4365"/>
      <c r="AG136" s="1283" t="s">
        <v>271</v>
      </c>
      <c r="AH136" s="1179"/>
      <c r="AI136" s="4365"/>
      <c r="AJ136" s="1283" t="s">
        <v>272</v>
      </c>
      <c r="AK136" s="1127"/>
      <c r="AL136" s="1127"/>
      <c r="AM136" s="1127"/>
      <c r="AN136" s="1179"/>
      <c r="AO136" s="1179"/>
      <c r="AP136" s="1179"/>
      <c r="AQ136" s="2595"/>
      <c r="AR136" s="2595"/>
      <c r="AS136" s="2595"/>
      <c r="AT136" s="2595"/>
      <c r="AU136" s="2595"/>
      <c r="AV136" s="2595"/>
      <c r="AW136" s="2595"/>
      <c r="AX136" s="2595"/>
      <c r="AY136" s="2595"/>
      <c r="AZ136" s="2595"/>
      <c r="BA136" s="42"/>
      <c r="BB136" s="42"/>
    </row>
    <row r="137" spans="1:54" s="3402" customFormat="1" ht="7.5" customHeight="1">
      <c r="A137" s="1127"/>
      <c r="B137" s="1553"/>
      <c r="C137" s="1553"/>
      <c r="D137" s="1553"/>
      <c r="E137" s="9485"/>
      <c r="F137" s="9485"/>
      <c r="G137" s="9485"/>
      <c r="H137" s="9485"/>
      <c r="I137" s="9485"/>
      <c r="J137" s="9485"/>
      <c r="K137" s="9485"/>
      <c r="L137" s="9485"/>
      <c r="M137" s="9485"/>
      <c r="N137" s="9485"/>
      <c r="O137" s="1553"/>
      <c r="P137" s="1553"/>
      <c r="Q137" s="1553"/>
      <c r="R137" s="1553"/>
      <c r="S137" s="1553"/>
      <c r="T137" s="1586"/>
      <c r="U137" s="1553"/>
      <c r="V137" s="9485"/>
      <c r="W137" s="9485"/>
      <c r="X137" s="9485"/>
      <c r="Y137" s="9485"/>
      <c r="Z137" s="9485"/>
      <c r="AA137" s="9485"/>
      <c r="AB137" s="9485"/>
      <c r="AC137" s="9485"/>
      <c r="AD137" s="9485"/>
      <c r="AE137" s="9485"/>
      <c r="AF137" s="1553"/>
      <c r="AG137" s="1553"/>
      <c r="AH137" s="1553"/>
      <c r="AI137" s="1553"/>
      <c r="AJ137" s="1553"/>
      <c r="AK137" s="1127"/>
      <c r="AL137" s="1127"/>
      <c r="AM137" s="1127"/>
      <c r="AN137" s="1179"/>
      <c r="AO137" s="1179"/>
      <c r="AP137" s="1179"/>
      <c r="AQ137" s="2599"/>
      <c r="AR137" s="2599"/>
      <c r="AS137" s="2599"/>
      <c r="AT137" s="2599"/>
      <c r="AU137" s="2599"/>
      <c r="AV137" s="2599"/>
      <c r="AW137" s="2599"/>
      <c r="AX137" s="2599"/>
      <c r="AY137" s="2599"/>
      <c r="AZ137" s="2599"/>
      <c r="BA137" s="42"/>
      <c r="BB137" s="42"/>
    </row>
    <row r="138" spans="1:54" s="3402" customFormat="1" ht="16.5" customHeight="1">
      <c r="A138" s="1127"/>
      <c r="B138" s="1179"/>
      <c r="C138" s="1179"/>
      <c r="D138" s="4367" t="s">
        <v>3718</v>
      </c>
      <c r="E138" s="9483" t="str">
        <f>"Did the student receive Form 1098-T"&amp;CHAR(10)&amp;"from this institution for "&amp;TaxYear-1&amp;" with box"&amp;CHAR(10)&amp;"7 checked?"</f>
        <v>Did the student receive Form 1098-T
from this institution for 2020 with box
7 checked?</v>
      </c>
      <c r="F138" s="9483"/>
      <c r="G138" s="9483"/>
      <c r="H138" s="9483"/>
      <c r="I138" s="9483"/>
      <c r="J138" s="9483"/>
      <c r="K138" s="9483"/>
      <c r="L138" s="9483"/>
      <c r="M138" s="9483"/>
      <c r="N138" s="9483"/>
      <c r="O138" s="1179"/>
      <c r="P138" s="1179"/>
      <c r="Q138" s="1179"/>
      <c r="R138" s="1179"/>
      <c r="S138" s="1179"/>
      <c r="T138" s="1582"/>
      <c r="U138" s="4367" t="s">
        <v>3718</v>
      </c>
      <c r="V138" s="9483" t="str">
        <f>"Did the student receive Form 1098-T"&amp;CHAR(10)&amp;"from this institution for "&amp;TaxYear-1&amp;" with box"&amp;CHAR(10)&amp;"7 checked?"</f>
        <v>Did the student receive Form 1098-T
from this institution for 2020 with box
7 checked?</v>
      </c>
      <c r="W138" s="9483"/>
      <c r="X138" s="9483"/>
      <c r="Y138" s="9483"/>
      <c r="Z138" s="9483"/>
      <c r="AA138" s="9483"/>
      <c r="AB138" s="9483"/>
      <c r="AC138" s="9483"/>
      <c r="AD138" s="9483"/>
      <c r="AE138" s="9483"/>
      <c r="AF138" s="1179"/>
      <c r="AG138" s="1179"/>
      <c r="AH138" s="1179"/>
      <c r="AI138" s="1179"/>
      <c r="AJ138" s="1179"/>
      <c r="AK138" s="1127"/>
      <c r="AL138" s="1127"/>
      <c r="AM138" s="1127"/>
      <c r="AN138" s="1179"/>
      <c r="AO138" s="1179"/>
      <c r="AP138" s="1179"/>
      <c r="AQ138" s="2595"/>
      <c r="AR138" s="2595"/>
      <c r="AS138" s="2595"/>
      <c r="AT138" s="2595"/>
      <c r="AU138" s="2595"/>
      <c r="AV138" s="2595"/>
      <c r="AW138" s="2595"/>
      <c r="AX138" s="2595"/>
      <c r="AY138" s="2595"/>
      <c r="AZ138" s="2595"/>
      <c r="BA138" s="42"/>
      <c r="BB138" s="42"/>
    </row>
    <row r="139" spans="1:54" s="3402" customFormat="1" ht="14.25" customHeight="1">
      <c r="A139" s="1127"/>
      <c r="B139" s="1179"/>
      <c r="C139" s="1179"/>
      <c r="D139" s="1179"/>
      <c r="E139" s="9484"/>
      <c r="F139" s="9484"/>
      <c r="G139" s="9484"/>
      <c r="H139" s="9484"/>
      <c r="I139" s="9484"/>
      <c r="J139" s="9484"/>
      <c r="K139" s="9484"/>
      <c r="L139" s="9484"/>
      <c r="M139" s="9484"/>
      <c r="N139" s="9484"/>
      <c r="O139" s="4365"/>
      <c r="P139" s="1283" t="s">
        <v>271</v>
      </c>
      <c r="Q139" s="1179"/>
      <c r="R139" s="4365"/>
      <c r="S139" s="1283" t="s">
        <v>272</v>
      </c>
      <c r="T139" s="3717"/>
      <c r="U139" s="1179"/>
      <c r="V139" s="9484"/>
      <c r="W139" s="9484"/>
      <c r="X139" s="9484"/>
      <c r="Y139" s="9484"/>
      <c r="Z139" s="9484"/>
      <c r="AA139" s="9484"/>
      <c r="AB139" s="9484"/>
      <c r="AC139" s="9484"/>
      <c r="AD139" s="9484"/>
      <c r="AE139" s="9484"/>
      <c r="AF139" s="4365"/>
      <c r="AG139" s="1283" t="s">
        <v>271</v>
      </c>
      <c r="AH139" s="1179"/>
      <c r="AI139" s="4365"/>
      <c r="AJ139" s="1283" t="s">
        <v>272</v>
      </c>
      <c r="AK139" s="1127"/>
      <c r="AL139" s="1127"/>
      <c r="AM139" s="1127"/>
      <c r="AN139" s="1179"/>
      <c r="AO139" s="1179"/>
      <c r="AP139" s="1179"/>
      <c r="AQ139" s="2595"/>
      <c r="AR139" s="2595"/>
      <c r="AS139" s="2595"/>
      <c r="AT139" s="2595"/>
      <c r="AU139" s="2595"/>
      <c r="AV139" s="2595"/>
      <c r="AW139" s="2595"/>
      <c r="AX139" s="2595"/>
      <c r="AY139" s="2595"/>
      <c r="AZ139" s="2595"/>
      <c r="BA139" s="42"/>
      <c r="BB139" s="42"/>
    </row>
    <row r="140" spans="1:54" s="3402" customFormat="1" ht="13.5" customHeight="1">
      <c r="A140" s="1127"/>
      <c r="B140" s="1553"/>
      <c r="C140" s="1553"/>
      <c r="D140" s="1553"/>
      <c r="E140" s="9485"/>
      <c r="F140" s="9485"/>
      <c r="G140" s="9485"/>
      <c r="H140" s="9485"/>
      <c r="I140" s="9485"/>
      <c r="J140" s="9485"/>
      <c r="K140" s="9485"/>
      <c r="L140" s="9485"/>
      <c r="M140" s="9485"/>
      <c r="N140" s="9485"/>
      <c r="O140" s="1553"/>
      <c r="P140" s="1553"/>
      <c r="Q140" s="1553"/>
      <c r="R140" s="1553"/>
      <c r="S140" s="1553"/>
      <c r="T140" s="1586"/>
      <c r="U140" s="1553"/>
      <c r="V140" s="9485"/>
      <c r="W140" s="9485"/>
      <c r="X140" s="9485"/>
      <c r="Y140" s="9485"/>
      <c r="Z140" s="9485"/>
      <c r="AA140" s="9485"/>
      <c r="AB140" s="9485"/>
      <c r="AC140" s="9485"/>
      <c r="AD140" s="9485"/>
      <c r="AE140" s="9485"/>
      <c r="AF140" s="1553"/>
      <c r="AG140" s="1553"/>
      <c r="AH140" s="1553"/>
      <c r="AI140" s="1553"/>
      <c r="AJ140" s="1553"/>
      <c r="AK140" s="1127"/>
      <c r="AL140" s="1127"/>
      <c r="AM140" s="1127"/>
      <c r="AN140" s="1179"/>
      <c r="AO140" s="1179"/>
      <c r="AP140" s="1179"/>
      <c r="AQ140" s="2595"/>
      <c r="AR140" s="2595"/>
      <c r="AS140" s="2595"/>
      <c r="AT140" s="2595"/>
      <c r="AU140" s="2595"/>
      <c r="AV140" s="2595"/>
      <c r="AW140" s="2595"/>
      <c r="AX140" s="2595"/>
      <c r="AY140" s="2595"/>
      <c r="AZ140" s="2595"/>
      <c r="BA140" s="42"/>
      <c r="BB140" s="42"/>
    </row>
    <row r="141" spans="1:54" s="3402" customFormat="1" ht="21" customHeight="1" thickBot="1">
      <c r="A141" s="1127"/>
      <c r="B141" s="1179"/>
      <c r="C141" s="1179"/>
      <c r="D141" s="4367" t="s">
        <v>3313</v>
      </c>
      <c r="E141" s="9483" t="s">
        <v>3719</v>
      </c>
      <c r="F141" s="9483"/>
      <c r="G141" s="9483"/>
      <c r="H141" s="9483"/>
      <c r="I141" s="9483"/>
      <c r="J141" s="9483"/>
      <c r="K141" s="9483"/>
      <c r="L141" s="9483"/>
      <c r="M141" s="9483"/>
      <c r="N141" s="9483"/>
      <c r="O141" s="9483"/>
      <c r="P141" s="9483"/>
      <c r="Q141" s="9483"/>
      <c r="R141" s="9483"/>
      <c r="S141" s="9520"/>
      <c r="T141" s="1582"/>
      <c r="U141" s="4367" t="s">
        <v>3313</v>
      </c>
      <c r="V141" s="9483" t="s">
        <v>3719</v>
      </c>
      <c r="W141" s="9483"/>
      <c r="X141" s="9483"/>
      <c r="Y141" s="9483"/>
      <c r="Z141" s="9483"/>
      <c r="AA141" s="9483"/>
      <c r="AB141" s="9483"/>
      <c r="AC141" s="9483"/>
      <c r="AD141" s="9483"/>
      <c r="AE141" s="9483"/>
      <c r="AF141" s="9483"/>
      <c r="AG141" s="9483"/>
      <c r="AH141" s="9483"/>
      <c r="AI141" s="9483"/>
      <c r="AJ141" s="9483"/>
      <c r="AK141" s="1127"/>
      <c r="AL141" s="1127"/>
      <c r="AM141" s="1127"/>
      <c r="AN141" s="1179"/>
      <c r="AO141" s="1179"/>
      <c r="AP141" s="1179"/>
      <c r="AQ141" s="2595"/>
      <c r="AR141" s="2595"/>
      <c r="AS141" s="2595"/>
      <c r="AT141" s="2595"/>
      <c r="AU141" s="2595"/>
      <c r="AV141" s="2595"/>
      <c r="AW141" s="2595"/>
      <c r="AX141" s="2595"/>
      <c r="AY141" s="2595"/>
      <c r="AZ141" s="2595"/>
      <c r="BA141" s="42"/>
      <c r="BB141" s="42"/>
    </row>
    <row r="142" spans="1:54" s="3402" customFormat="1" ht="14.25" customHeight="1">
      <c r="A142" s="1127"/>
      <c r="B142" s="1179"/>
      <c r="C142" s="1179"/>
      <c r="D142" s="1179"/>
      <c r="E142" s="9484"/>
      <c r="F142" s="9484"/>
      <c r="G142" s="9484"/>
      <c r="H142" s="9484"/>
      <c r="I142" s="9484"/>
      <c r="J142" s="9484"/>
      <c r="K142" s="9484"/>
      <c r="L142" s="9484"/>
      <c r="M142" s="9484"/>
      <c r="N142" s="9484"/>
      <c r="O142" s="9484"/>
      <c r="P142" s="9484"/>
      <c r="Q142" s="9484"/>
      <c r="R142" s="9484"/>
      <c r="S142" s="9521"/>
      <c r="T142" s="3717"/>
      <c r="U142" s="1179"/>
      <c r="V142" s="9484"/>
      <c r="W142" s="9484"/>
      <c r="X142" s="9484"/>
      <c r="Y142" s="9484"/>
      <c r="Z142" s="9484"/>
      <c r="AA142" s="9484"/>
      <c r="AB142" s="9484"/>
      <c r="AC142" s="9484"/>
      <c r="AD142" s="9484"/>
      <c r="AE142" s="9484"/>
      <c r="AF142" s="9484"/>
      <c r="AG142" s="9484"/>
      <c r="AH142" s="9484"/>
      <c r="AI142" s="9484"/>
      <c r="AJ142" s="9484"/>
      <c r="AK142" s="1127"/>
      <c r="AL142" s="1127"/>
      <c r="AM142" s="1127"/>
      <c r="AN142" s="1179"/>
      <c r="AO142" s="1179"/>
      <c r="AP142" s="1179"/>
      <c r="AQ142" s="4418" t="s">
        <v>3755</v>
      </c>
      <c r="AR142" s="4419"/>
      <c r="AS142" s="4419"/>
      <c r="AT142" s="4419"/>
      <c r="AU142" s="4419"/>
      <c r="AV142" s="4419"/>
      <c r="AW142" s="4419"/>
      <c r="AX142" s="4419"/>
      <c r="AY142" s="4419"/>
      <c r="AZ142" s="4420"/>
      <c r="BA142" s="42"/>
      <c r="BB142" s="42"/>
    </row>
    <row r="143" spans="1:54" s="3402" customFormat="1" ht="26.25" customHeight="1">
      <c r="A143" s="1127"/>
      <c r="B143" s="1179"/>
      <c r="C143" s="1179"/>
      <c r="D143" s="1179"/>
      <c r="E143" s="9484"/>
      <c r="F143" s="9484"/>
      <c r="G143" s="9484"/>
      <c r="H143" s="9484"/>
      <c r="I143" s="9484"/>
      <c r="J143" s="9484"/>
      <c r="K143" s="9484"/>
      <c r="L143" s="9484"/>
      <c r="M143" s="9484"/>
      <c r="N143" s="9484"/>
      <c r="O143" s="9484"/>
      <c r="P143" s="9484"/>
      <c r="Q143" s="9484"/>
      <c r="R143" s="9484"/>
      <c r="S143" s="9521"/>
      <c r="T143" s="1582"/>
      <c r="U143" s="1179"/>
      <c r="V143" s="9484"/>
      <c r="W143" s="9484"/>
      <c r="X143" s="9484"/>
      <c r="Y143" s="9484"/>
      <c r="Z143" s="9484"/>
      <c r="AA143" s="9484"/>
      <c r="AB143" s="9484"/>
      <c r="AC143" s="9484"/>
      <c r="AD143" s="9484"/>
      <c r="AE143" s="9484"/>
      <c r="AF143" s="9484"/>
      <c r="AG143" s="9484"/>
      <c r="AH143" s="9484"/>
      <c r="AI143" s="9484"/>
      <c r="AJ143" s="9484"/>
      <c r="AK143" s="1127"/>
      <c r="AL143" s="1127"/>
      <c r="AM143" s="1127"/>
      <c r="AN143" s="1179"/>
      <c r="AO143" s="1179"/>
      <c r="AP143" s="1179"/>
      <c r="AQ143" s="4421" t="s">
        <v>3756</v>
      </c>
      <c r="AR143" s="4422"/>
      <c r="AS143" s="4422"/>
      <c r="AT143" s="4422"/>
      <c r="AU143" s="4422"/>
      <c r="AV143" s="4422"/>
      <c r="AW143" s="4422"/>
      <c r="AX143" s="4422"/>
      <c r="AY143" s="4422"/>
      <c r="AZ143" s="4423"/>
      <c r="BA143" s="42"/>
      <c r="BB143" s="42"/>
    </row>
    <row r="144" spans="1:54" s="3402" customFormat="1" ht="17.25" customHeight="1">
      <c r="A144" s="1127"/>
      <c r="B144" s="1179"/>
      <c r="C144" s="1179"/>
      <c r="D144" s="1179"/>
      <c r="E144" s="4365"/>
      <c r="F144" s="4365"/>
      <c r="G144" s="4369" t="s">
        <v>3720</v>
      </c>
      <c r="H144" s="4365"/>
      <c r="I144" s="4365"/>
      <c r="J144" s="4365"/>
      <c r="K144" s="4365"/>
      <c r="L144" s="4365"/>
      <c r="M144" s="4365"/>
      <c r="N144" s="4365"/>
      <c r="O144" s="4366"/>
      <c r="P144" s="4366"/>
      <c r="Q144" s="4366"/>
      <c r="R144" s="4366"/>
      <c r="S144" s="4368"/>
      <c r="T144" s="1582"/>
      <c r="U144" s="1179"/>
      <c r="V144" s="4365"/>
      <c r="W144" s="4365"/>
      <c r="X144" s="4369" t="s">
        <v>3720</v>
      </c>
      <c r="Y144" s="4365"/>
      <c r="Z144" s="4365"/>
      <c r="AA144" s="4365"/>
      <c r="AB144" s="4365"/>
      <c r="AC144" s="4365"/>
      <c r="AD144" s="4365"/>
      <c r="AE144" s="4365"/>
      <c r="AF144" s="1179"/>
      <c r="AG144" s="1179"/>
      <c r="AH144" s="1179"/>
      <c r="AI144" s="1179"/>
      <c r="AJ144" s="1179"/>
      <c r="AK144" s="1127"/>
      <c r="AL144" s="1127"/>
      <c r="AM144" s="1127"/>
      <c r="AN144" s="1179"/>
      <c r="AO144" s="1179"/>
      <c r="AP144" s="1179"/>
      <c r="AQ144" s="4424" t="str">
        <f>"(see below) in "&amp;TaxYear&amp;" for which you paid (or are treated as having paid) qualified education expenses in "&amp;TaxYear&amp;"."</f>
        <v>(see below) in 2021 for which you paid (or are treated as having paid) qualified education expenses in 2021.</v>
      </c>
      <c r="AR144" s="4425"/>
      <c r="AS144" s="4425"/>
      <c r="AT144" s="4425"/>
      <c r="AU144" s="4425"/>
      <c r="AV144" s="4425"/>
      <c r="AW144" s="4425"/>
      <c r="AX144" s="4425"/>
      <c r="AY144" s="4425"/>
      <c r="AZ144" s="4426"/>
      <c r="BA144" s="42"/>
      <c r="BB144" s="42"/>
    </row>
    <row r="145" spans="1:54" s="3402" customFormat="1" ht="14.25">
      <c r="A145" s="1127"/>
      <c r="B145" s="1553"/>
      <c r="C145" s="1553"/>
      <c r="D145" s="1553"/>
      <c r="E145" s="2791"/>
      <c r="F145" s="1553"/>
      <c r="G145" s="1553"/>
      <c r="H145" s="1553"/>
      <c r="I145" s="1553"/>
      <c r="J145" s="1553"/>
      <c r="K145" s="1553"/>
      <c r="L145" s="1553"/>
      <c r="M145" s="1553"/>
      <c r="N145" s="1553"/>
      <c r="O145" s="1553"/>
      <c r="P145" s="1553"/>
      <c r="Q145" s="1553"/>
      <c r="R145" s="1553"/>
      <c r="S145" s="3008"/>
      <c r="T145" s="1586"/>
      <c r="U145" s="1553"/>
      <c r="V145" s="1553"/>
      <c r="W145" s="1553"/>
      <c r="X145" s="1553"/>
      <c r="Y145" s="1553"/>
      <c r="Z145" s="1553"/>
      <c r="AA145" s="1553"/>
      <c r="AB145" s="1553"/>
      <c r="AC145" s="1553"/>
      <c r="AD145" s="1553"/>
      <c r="AE145" s="1553"/>
      <c r="AF145" s="1553"/>
      <c r="AG145" s="1553"/>
      <c r="AH145" s="1553"/>
      <c r="AI145" s="1553"/>
      <c r="AJ145" s="1553"/>
      <c r="AK145" s="1127"/>
      <c r="AL145" s="1127"/>
      <c r="AM145" s="1127"/>
      <c r="AN145" s="1179"/>
      <c r="AO145" s="1179"/>
      <c r="AP145" s="1179"/>
      <c r="AQ145" s="4427"/>
      <c r="AR145" s="3684"/>
      <c r="AS145" s="3684"/>
      <c r="AT145" s="3684"/>
      <c r="AU145" s="3684"/>
      <c r="AV145" s="3684"/>
      <c r="AW145" s="3684"/>
      <c r="AX145" s="3684"/>
      <c r="AY145" s="3684"/>
      <c r="AZ145" s="4428"/>
      <c r="BA145" s="42"/>
      <c r="BB145" s="42"/>
    </row>
    <row r="146" spans="1:54" s="3402" customFormat="1" ht="15">
      <c r="A146" s="1127"/>
      <c r="B146" s="1559">
        <v>23</v>
      </c>
      <c r="C146" s="1179"/>
      <c r="D146" s="1179"/>
      <c r="E146" s="2686" t="s">
        <v>3721</v>
      </c>
      <c r="F146" s="1179"/>
      <c r="G146" s="1179"/>
      <c r="H146" s="1179"/>
      <c r="I146" s="1179"/>
      <c r="J146" s="1179"/>
      <c r="K146" s="1179"/>
      <c r="L146" s="1179"/>
      <c r="M146" s="1179"/>
      <c r="N146" s="1179"/>
      <c r="O146" s="1179"/>
      <c r="P146" s="1179"/>
      <c r="Q146" s="1179"/>
      <c r="R146" s="1179"/>
      <c r="S146" s="1179"/>
      <c r="T146" s="1179"/>
      <c r="U146" s="1179"/>
      <c r="V146" s="1179"/>
      <c r="W146" s="1179"/>
      <c r="X146" s="1179"/>
      <c r="Y146" s="1179"/>
      <c r="Z146" s="1179"/>
      <c r="AA146" s="1179"/>
      <c r="AB146" s="1179"/>
      <c r="AC146" s="1179"/>
      <c r="AD146" s="1179"/>
      <c r="AE146" s="1179"/>
      <c r="AF146" s="1179"/>
      <c r="AG146" s="1179"/>
      <c r="AH146" s="1179"/>
      <c r="AI146" s="1179"/>
      <c r="AJ146" s="1179"/>
      <c r="AK146" s="1127"/>
      <c r="AL146" s="1127"/>
      <c r="AM146" s="1127"/>
      <c r="AN146" s="1179"/>
      <c r="AO146" s="1179"/>
      <c r="AP146" s="1179"/>
      <c r="AQ146" s="4429" t="s">
        <v>3758</v>
      </c>
      <c r="AR146" s="3684"/>
      <c r="AS146" s="3684"/>
      <c r="AT146" s="3684"/>
      <c r="AU146" s="3684"/>
      <c r="AV146" s="3684"/>
      <c r="AW146" s="3684"/>
      <c r="AX146" s="3684"/>
      <c r="AY146" s="3684"/>
      <c r="AZ146" s="4428"/>
      <c r="BA146" s="42"/>
      <c r="BB146" s="42"/>
    </row>
    <row r="147" spans="1:54" s="3402" customFormat="1" ht="15">
      <c r="A147" s="1127"/>
      <c r="B147" s="1179"/>
      <c r="C147" s="1179"/>
      <c r="D147" s="1179"/>
      <c r="E147" s="3355" t="s">
        <v>3722</v>
      </c>
      <c r="F147" s="1179"/>
      <c r="G147" s="1179"/>
      <c r="H147" s="1179"/>
      <c r="I147" s="1179"/>
      <c r="J147" s="1179"/>
      <c r="K147" s="1179"/>
      <c r="L147" s="1179"/>
      <c r="M147" s="1179"/>
      <c r="N147" s="1179"/>
      <c r="O147" s="1179"/>
      <c r="P147" s="1179"/>
      <c r="Q147" s="1179"/>
      <c r="R147" s="1179"/>
      <c r="S147" s="1179"/>
      <c r="T147" s="4365"/>
      <c r="U147" s="1276" t="s">
        <v>3723</v>
      </c>
      <c r="V147" s="1179"/>
      <c r="W147" s="1179"/>
      <c r="X147" s="1179"/>
      <c r="Y147" s="1179"/>
      <c r="Z147" s="1179"/>
      <c r="AA147" s="1179"/>
      <c r="AB147" s="1179"/>
      <c r="AC147" s="4383" t="str">
        <f>IF(T147&lt;&gt;"","","X")</f>
        <v>X</v>
      </c>
      <c r="AD147" s="1276" t="s">
        <v>3732</v>
      </c>
      <c r="AE147" s="1179"/>
      <c r="AF147" s="1179"/>
      <c r="AG147" s="1179"/>
      <c r="AH147" s="1179"/>
      <c r="AI147" s="1179"/>
      <c r="AJ147" s="1179"/>
      <c r="AK147" s="1127"/>
      <c r="AL147" s="1127"/>
      <c r="AM147" s="1127"/>
      <c r="AN147" s="1179"/>
      <c r="AO147" s="1179"/>
      <c r="AP147" s="1179"/>
      <c r="AQ147" s="4430" t="str">
        <f>TaxYear&amp;" for the academic period"</f>
        <v>2021 for the academic period</v>
      </c>
      <c r="AR147" s="4410"/>
      <c r="AS147" s="4410"/>
      <c r="AT147" s="4410"/>
      <c r="AU147" s="4410"/>
      <c r="AV147" s="4410"/>
      <c r="AW147" s="4413"/>
      <c r="AX147" s="4413" t="s">
        <v>294</v>
      </c>
      <c r="AY147" s="1849"/>
      <c r="AZ147" s="4411"/>
      <c r="BA147" s="42"/>
      <c r="BB147" s="42"/>
    </row>
    <row r="148" spans="1:54" s="4382" customFormat="1" ht="16.5" customHeight="1">
      <c r="A148" s="1819"/>
      <c r="B148" s="1277"/>
      <c r="C148" s="1277"/>
      <c r="D148" s="1277"/>
      <c r="E148" s="3719" t="str">
        <f>"before "&amp;TaxYear&amp;"?"</f>
        <v>before 2021?</v>
      </c>
      <c r="F148" s="1277"/>
      <c r="G148" s="1277"/>
      <c r="H148" s="1277"/>
      <c r="I148" s="1277"/>
      <c r="J148" s="1277"/>
      <c r="K148" s="1277"/>
      <c r="L148" s="1277"/>
      <c r="M148" s="1277"/>
      <c r="N148" s="1277"/>
      <c r="O148" s="1277"/>
      <c r="P148" s="1277"/>
      <c r="Q148" s="1277"/>
      <c r="R148" s="1277"/>
      <c r="S148" s="1277"/>
      <c r="T148" s="1277"/>
      <c r="U148" s="1277" t="s">
        <v>3724</v>
      </c>
      <c r="V148" s="1277"/>
      <c r="W148" s="1277"/>
      <c r="X148" s="1277"/>
      <c r="Y148" s="1277"/>
      <c r="Z148" s="1277"/>
      <c r="AA148" s="1277"/>
      <c r="AB148" s="1277"/>
      <c r="AC148" s="1277"/>
      <c r="AD148" s="1277"/>
      <c r="AE148" s="1277"/>
      <c r="AF148" s="1277"/>
      <c r="AG148" s="1277"/>
      <c r="AH148" s="1277"/>
      <c r="AI148" s="1277"/>
      <c r="AJ148" s="1277"/>
      <c r="AK148" s="1819"/>
      <c r="AL148" s="1819"/>
      <c r="AM148" s="1819"/>
      <c r="AN148" s="1277"/>
      <c r="AO148" s="1277"/>
      <c r="AP148" s="1277"/>
      <c r="AQ148" s="4431"/>
      <c r="AR148" s="4410"/>
      <c r="AS148" s="4410"/>
      <c r="AT148" s="4410"/>
      <c r="AU148" s="4410"/>
      <c r="AV148" s="4410"/>
      <c r="AW148" s="4413"/>
      <c r="AX148" s="4413"/>
      <c r="AY148" s="4413"/>
      <c r="AZ148" s="4411"/>
      <c r="BA148" s="946"/>
      <c r="BB148" s="946"/>
    </row>
    <row r="149" spans="1:54" s="3402" customFormat="1" ht="15">
      <c r="A149" s="1127"/>
      <c r="B149" s="4370">
        <v>24</v>
      </c>
      <c r="C149" s="1574"/>
      <c r="D149" s="1574"/>
      <c r="E149" s="3072" t="s">
        <v>3725</v>
      </c>
      <c r="F149" s="1574"/>
      <c r="G149" s="1574"/>
      <c r="H149" s="1574"/>
      <c r="I149" s="1574"/>
      <c r="J149" s="1574"/>
      <c r="K149" s="1574"/>
      <c r="L149" s="1574"/>
      <c r="M149" s="1574"/>
      <c r="N149" s="1574"/>
      <c r="O149" s="1574"/>
      <c r="P149" s="1574"/>
      <c r="Q149" s="1574"/>
      <c r="R149" s="1574"/>
      <c r="S149" s="1574"/>
      <c r="T149" s="1574"/>
      <c r="U149" s="1574"/>
      <c r="V149" s="1574"/>
      <c r="W149" s="1574"/>
      <c r="X149" s="1574"/>
      <c r="Y149" s="1574"/>
      <c r="Z149" s="1574"/>
      <c r="AA149" s="1574"/>
      <c r="AB149" s="1574"/>
      <c r="AC149" s="1574"/>
      <c r="AD149" s="1574"/>
      <c r="AE149" s="1574"/>
      <c r="AF149" s="1574"/>
      <c r="AG149" s="1574"/>
      <c r="AH149" s="1574"/>
      <c r="AI149" s="1574"/>
      <c r="AJ149" s="1574"/>
      <c r="AK149" s="1127"/>
      <c r="AL149" s="1127"/>
      <c r="AM149" s="1127"/>
      <c r="AN149" s="1179"/>
      <c r="AO149" s="1179"/>
      <c r="AP149" s="1179"/>
      <c r="AQ149" s="4429" t="s">
        <v>3757</v>
      </c>
      <c r="AR149" s="4422"/>
      <c r="AS149" s="4422"/>
      <c r="AT149" s="4422"/>
      <c r="AU149" s="4422"/>
      <c r="AV149" s="4422"/>
      <c r="AW149" s="4422"/>
      <c r="AX149" s="4422"/>
      <c r="AY149" s="3684"/>
      <c r="AZ149" s="4423"/>
      <c r="BA149" s="42"/>
      <c r="BB149" s="42"/>
    </row>
    <row r="150" spans="1:54" s="3402" customFormat="1" ht="15">
      <c r="A150" s="1127"/>
      <c r="B150" s="1559"/>
      <c r="C150" s="1179"/>
      <c r="D150" s="1179"/>
      <c r="E150" s="2686" t="s">
        <v>3727</v>
      </c>
      <c r="F150" s="1179"/>
      <c r="G150" s="1179"/>
      <c r="H150" s="1179"/>
      <c r="I150" s="1179"/>
      <c r="J150" s="1179"/>
      <c r="K150" s="1179"/>
      <c r="L150" s="1179"/>
      <c r="M150" s="1179"/>
      <c r="N150" s="1179"/>
      <c r="O150" s="1179"/>
      <c r="P150" s="1179"/>
      <c r="Q150" s="1179"/>
      <c r="R150" s="1179"/>
      <c r="S150" s="1179"/>
      <c r="T150" s="1179"/>
      <c r="U150" s="1179"/>
      <c r="V150" s="1179"/>
      <c r="W150" s="1179"/>
      <c r="X150" s="1179"/>
      <c r="Y150" s="1179"/>
      <c r="Z150" s="1179"/>
      <c r="AA150" s="1179"/>
      <c r="AB150" s="1179"/>
      <c r="AC150" s="1179"/>
      <c r="AD150" s="1179"/>
      <c r="AE150" s="1179"/>
      <c r="AF150" s="1179"/>
      <c r="AG150" s="1179"/>
      <c r="AH150" s="1179"/>
      <c r="AI150" s="1179"/>
      <c r="AJ150" s="1179"/>
      <c r="AK150" s="1127"/>
      <c r="AL150" s="1127"/>
      <c r="AM150" s="1127"/>
      <c r="AN150" s="1179"/>
      <c r="AO150" s="1179"/>
      <c r="AP150" s="1179"/>
      <c r="AQ150" s="4432" t="s">
        <v>591</v>
      </c>
      <c r="AR150" s="4433" t="str">
        <f>"Tax-free educational assistance received in "&amp;TaxYear&amp;" allocable to"</f>
        <v>Tax-free educational assistance received in 2021 allocable to</v>
      </c>
      <c r="AS150" s="3684"/>
      <c r="AT150" s="3684"/>
      <c r="AU150" s="3684"/>
      <c r="AV150" s="3684"/>
      <c r="AW150" s="3684"/>
      <c r="AX150" s="3684"/>
      <c r="AY150" s="3684"/>
      <c r="AZ150" s="4428"/>
      <c r="BA150" s="42"/>
      <c r="BB150" s="42"/>
    </row>
    <row r="151" spans="1:54" s="3402" customFormat="1" ht="15">
      <c r="A151" s="1127"/>
      <c r="B151" s="1559"/>
      <c r="C151" s="1179"/>
      <c r="D151" s="1179"/>
      <c r="E151" s="2686" t="str">
        <f>TaxYear&amp;" at an eligible educational institution in a program"</f>
        <v>2021 at an eligible educational institution in a program</v>
      </c>
      <c r="F151" s="1179"/>
      <c r="G151" s="1179"/>
      <c r="H151" s="1179"/>
      <c r="I151" s="1179"/>
      <c r="J151" s="1179"/>
      <c r="K151" s="1179"/>
      <c r="L151" s="1179"/>
      <c r="M151" s="1179"/>
      <c r="N151" s="1179"/>
      <c r="O151" s="1179"/>
      <c r="P151" s="1179"/>
      <c r="Q151" s="1179"/>
      <c r="R151" s="1179"/>
      <c r="S151" s="1179"/>
      <c r="T151" s="1179"/>
      <c r="U151" s="1179"/>
      <c r="V151" s="1179"/>
      <c r="W151" s="1179"/>
      <c r="X151" s="1179"/>
      <c r="Y151" s="1179"/>
      <c r="Z151" s="1179"/>
      <c r="AA151" s="1179"/>
      <c r="AB151" s="1179"/>
      <c r="AC151" s="1179"/>
      <c r="AD151" s="1179"/>
      <c r="AE151" s="1179"/>
      <c r="AF151" s="1179"/>
      <c r="AG151" s="1179"/>
      <c r="AH151" s="1179"/>
      <c r="AI151" s="1179"/>
      <c r="AJ151" s="1179"/>
      <c r="AK151" s="1127"/>
      <c r="AL151" s="1127"/>
      <c r="AM151" s="1127"/>
      <c r="AN151" s="1179"/>
      <c r="AO151" s="1179"/>
      <c r="AP151" s="1179"/>
      <c r="AQ151" s="4435"/>
      <c r="AR151" s="4433" t="s">
        <v>3759</v>
      </c>
      <c r="AS151" s="4436"/>
      <c r="AT151" s="4436"/>
      <c r="AU151" s="4436"/>
      <c r="AV151" s="4436"/>
      <c r="AW151" s="4413" t="s">
        <v>1630</v>
      </c>
      <c r="AX151" s="1849"/>
      <c r="AY151" s="3684"/>
      <c r="AZ151" s="4434"/>
      <c r="BA151" s="42"/>
      <c r="BB151" s="42"/>
    </row>
    <row r="152" spans="1:54" s="3402" customFormat="1" ht="15">
      <c r="A152" s="1127"/>
      <c r="B152" s="1179"/>
      <c r="C152" s="1179"/>
      <c r="D152" s="1179"/>
      <c r="E152" s="3355" t="s">
        <v>3728</v>
      </c>
      <c r="F152" s="1179"/>
      <c r="G152" s="1179"/>
      <c r="H152" s="1179"/>
      <c r="I152" s="1179"/>
      <c r="J152" s="1179"/>
      <c r="K152" s="1179"/>
      <c r="L152" s="1179"/>
      <c r="M152" s="1179"/>
      <c r="N152" s="1179"/>
      <c r="O152" s="1179"/>
      <c r="P152" s="1179"/>
      <c r="Q152" s="1179"/>
      <c r="R152" s="1179"/>
      <c r="S152" s="1179"/>
      <c r="T152" s="4383" t="str">
        <f>IF(AC152&lt;&gt;"","","X")</f>
        <v>X</v>
      </c>
      <c r="U152" s="1276" t="s">
        <v>3779</v>
      </c>
      <c r="V152" s="1179"/>
      <c r="W152" s="1179"/>
      <c r="X152" s="1179"/>
      <c r="Y152" s="1179"/>
      <c r="Z152" s="1179"/>
      <c r="AA152" s="1179"/>
      <c r="AB152" s="1179"/>
      <c r="AC152" s="4365"/>
      <c r="AD152" s="1276" t="s">
        <v>3730</v>
      </c>
      <c r="AE152" s="1179"/>
      <c r="AF152" s="1179"/>
      <c r="AG152" s="1179"/>
      <c r="AH152" s="1179"/>
      <c r="AI152" s="1179"/>
      <c r="AJ152" s="1179"/>
      <c r="AK152" s="1127"/>
      <c r="AL152" s="1127"/>
      <c r="AM152" s="1127"/>
      <c r="AN152" s="1179"/>
      <c r="AO152" s="1179"/>
      <c r="AP152" s="1179"/>
      <c r="AQ152" s="4432" t="s">
        <v>592</v>
      </c>
      <c r="AR152" s="4433" t="str">
        <f>"Tax-free educational assistance received in "&amp;TaxYear+1&amp;" (and before you"</f>
        <v>Tax-free educational assistance received in 2022 (and before you</v>
      </c>
      <c r="AS152" s="3684"/>
      <c r="AT152" s="3684"/>
      <c r="AU152" s="3684"/>
      <c r="AV152" s="3684"/>
      <c r="AW152" s="3684"/>
      <c r="AX152" s="3684"/>
      <c r="AY152" s="3684"/>
      <c r="AZ152" s="4428"/>
      <c r="BA152" s="42"/>
      <c r="BB152" s="42"/>
    </row>
    <row r="153" spans="1:54" s="3402" customFormat="1" ht="14.25">
      <c r="A153" s="1127"/>
      <c r="B153" s="1179"/>
      <c r="C153" s="1179"/>
      <c r="D153" s="1179"/>
      <c r="E153" s="3355" t="s">
        <v>3729</v>
      </c>
      <c r="F153" s="1179"/>
      <c r="G153" s="1179"/>
      <c r="H153" s="1179"/>
      <c r="I153" s="1179"/>
      <c r="J153" s="1179"/>
      <c r="K153" s="1179"/>
      <c r="L153" s="1179"/>
      <c r="M153" s="1179"/>
      <c r="N153" s="1179"/>
      <c r="O153" s="1179"/>
      <c r="P153" s="1179"/>
      <c r="Q153" s="1179"/>
      <c r="R153" s="1179"/>
      <c r="S153" s="1179"/>
      <c r="T153" s="1179"/>
      <c r="U153" s="1179"/>
      <c r="V153" s="1179"/>
      <c r="W153" s="1179"/>
      <c r="X153" s="1179"/>
      <c r="Y153" s="1179"/>
      <c r="Z153" s="1179"/>
      <c r="AA153" s="1179"/>
      <c r="AB153" s="1179"/>
      <c r="AC153" s="1179"/>
      <c r="AD153" s="1276" t="s">
        <v>3731</v>
      </c>
      <c r="AE153" s="1179"/>
      <c r="AF153" s="1179"/>
      <c r="AG153" s="1179"/>
      <c r="AH153" s="1179"/>
      <c r="AI153" s="1179"/>
      <c r="AJ153" s="1179"/>
      <c r="AK153" s="1127"/>
      <c r="AL153" s="1127"/>
      <c r="AM153" s="1127"/>
      <c r="AN153" s="1179"/>
      <c r="AO153" s="1179"/>
      <c r="AP153" s="1179"/>
      <c r="AQ153" s="4435"/>
      <c r="AR153" s="4433" t="str">
        <f>"file your "&amp;TaxYear&amp;" tax return) allocable to the academic period"</f>
        <v>file your 2021 tax return) allocable to the academic period</v>
      </c>
      <c r="AS153" s="4436"/>
      <c r="AT153" s="4436"/>
      <c r="AU153" s="4436"/>
      <c r="AV153" s="4436"/>
      <c r="AW153" s="4413" t="s">
        <v>2537</v>
      </c>
      <c r="AX153" s="1849"/>
      <c r="AY153" s="3684"/>
      <c r="AZ153" s="4434"/>
      <c r="BA153" s="42"/>
      <c r="BB153" s="42"/>
    </row>
    <row r="154" spans="1:54" s="4382" customFormat="1" ht="16.5" customHeight="1">
      <c r="A154" s="1819"/>
      <c r="B154" s="1277"/>
      <c r="C154" s="1277"/>
      <c r="D154" s="1277"/>
      <c r="E154" s="3719" t="s">
        <v>587</v>
      </c>
      <c r="F154" s="1277"/>
      <c r="G154" s="1277"/>
      <c r="H154" s="1277"/>
      <c r="I154" s="1277"/>
      <c r="J154" s="1277"/>
      <c r="K154" s="1277"/>
      <c r="L154" s="1277"/>
      <c r="M154" s="1277"/>
      <c r="N154" s="1277"/>
      <c r="O154" s="1277"/>
      <c r="P154" s="1277"/>
      <c r="Q154" s="1277"/>
      <c r="R154" s="1277"/>
      <c r="S154" s="1277"/>
      <c r="T154" s="1277"/>
      <c r="U154" s="1277"/>
      <c r="V154" s="1277"/>
      <c r="W154" s="1277"/>
      <c r="X154" s="1277"/>
      <c r="Y154" s="1277"/>
      <c r="Z154" s="1277"/>
      <c r="AA154" s="1277"/>
      <c r="AB154" s="1277"/>
      <c r="AC154" s="1277"/>
      <c r="AD154" s="1277"/>
      <c r="AE154" s="1277"/>
      <c r="AF154" s="1277"/>
      <c r="AG154" s="1277"/>
      <c r="AH154" s="1277"/>
      <c r="AI154" s="1277"/>
      <c r="AJ154" s="1277"/>
      <c r="AK154" s="1819"/>
      <c r="AL154" s="1819"/>
      <c r="AM154" s="1819"/>
      <c r="AN154" s="1277"/>
      <c r="AO154" s="1277"/>
      <c r="AP154" s="1277"/>
      <c r="AQ154" s="4432" t="s">
        <v>590</v>
      </c>
      <c r="AR154" s="4433" t="str">
        <f>"Refunds of qualified education expenses paid in "&amp;TaxYear&amp;" if the refund"</f>
        <v>Refunds of qualified education expenses paid in 2021 if the refund</v>
      </c>
      <c r="AS154" s="3684"/>
      <c r="AT154" s="3684"/>
      <c r="AU154" s="3684"/>
      <c r="AV154" s="3684"/>
      <c r="AW154" s="3684"/>
      <c r="AX154" s="3684"/>
      <c r="AY154" s="3684"/>
      <c r="AZ154" s="4428"/>
      <c r="BA154" s="946"/>
      <c r="BB154" s="946"/>
    </row>
    <row r="155" spans="1:54" s="3402" customFormat="1" ht="15">
      <c r="A155" s="1127"/>
      <c r="B155" s="4370">
        <v>25</v>
      </c>
      <c r="C155" s="1574"/>
      <c r="D155" s="1574"/>
      <c r="E155" s="3072" t="s">
        <v>3764</v>
      </c>
      <c r="F155" s="1574"/>
      <c r="G155" s="1574"/>
      <c r="H155" s="1574"/>
      <c r="I155" s="1574"/>
      <c r="J155" s="1574"/>
      <c r="K155" s="1574"/>
      <c r="L155" s="1574"/>
      <c r="M155" s="1574"/>
      <c r="N155" s="1574"/>
      <c r="O155" s="1574"/>
      <c r="P155" s="1574"/>
      <c r="Q155" s="1574"/>
      <c r="R155" s="1574"/>
      <c r="S155" s="1574"/>
      <c r="T155" s="1574"/>
      <c r="U155" s="1574"/>
      <c r="V155" s="1574"/>
      <c r="W155" s="1574"/>
      <c r="X155" s="1574"/>
      <c r="Y155" s="1574"/>
      <c r="Z155" s="1574"/>
      <c r="AA155" s="1574"/>
      <c r="AB155" s="1574"/>
      <c r="AC155" s="1574"/>
      <c r="AD155" s="1574"/>
      <c r="AE155" s="1574"/>
      <c r="AF155" s="1574"/>
      <c r="AG155" s="1574"/>
      <c r="AH155" s="1574"/>
      <c r="AI155" s="1574"/>
      <c r="AJ155" s="1574"/>
      <c r="AK155" s="1127"/>
      <c r="AL155" s="1127"/>
      <c r="AM155" s="1127"/>
      <c r="AN155" s="1179"/>
      <c r="AO155" s="1179"/>
      <c r="AP155" s="1179"/>
      <c r="AQ155" s="4435"/>
      <c r="AR155" s="4433" t="str">
        <f>"is received in "&amp;TaxYear&amp;" or in "&amp;TaxYear+1&amp;" before you file your "&amp;TaxYear&amp;" tax return."</f>
        <v>is received in 2021 or in 2022 before you file your 2021 tax return.</v>
      </c>
      <c r="AS155" s="4436"/>
      <c r="AT155" s="4436"/>
      <c r="AU155" s="4436"/>
      <c r="AV155" s="4436"/>
      <c r="AW155" s="4413" t="s">
        <v>3602</v>
      </c>
      <c r="AX155" s="1849"/>
      <c r="AY155" s="3684"/>
      <c r="AZ155" s="4434"/>
      <c r="BA155" s="42"/>
      <c r="BB155" s="42"/>
    </row>
    <row r="156" spans="1:54" s="3402" customFormat="1" ht="15">
      <c r="A156" s="1127"/>
      <c r="B156" s="1179"/>
      <c r="C156" s="1179"/>
      <c r="D156" s="1179"/>
      <c r="E156" s="3355" t="str">
        <f>"education before "&amp;TaxYear&amp;"? See instructions."</f>
        <v>education before 2021? See instructions.</v>
      </c>
      <c r="F156" s="1179"/>
      <c r="G156" s="1179"/>
      <c r="H156" s="1179"/>
      <c r="I156" s="1179"/>
      <c r="J156" s="1179"/>
      <c r="K156" s="1179"/>
      <c r="L156" s="1179"/>
      <c r="M156" s="1179"/>
      <c r="N156" s="1179"/>
      <c r="O156" s="1179"/>
      <c r="P156" s="1179"/>
      <c r="Q156" s="1179"/>
      <c r="R156" s="1179"/>
      <c r="S156" s="1179"/>
      <c r="T156" s="4365"/>
      <c r="U156" s="1276" t="s">
        <v>3723</v>
      </c>
      <c r="V156" s="1179"/>
      <c r="W156" s="1179"/>
      <c r="X156" s="1179"/>
      <c r="Y156" s="1179"/>
      <c r="Z156" s="1179"/>
      <c r="AA156" s="1179"/>
      <c r="AB156" s="1179"/>
      <c r="AC156" s="4383" t="str">
        <f>IF(T156&lt;&gt;"","","X")</f>
        <v>X</v>
      </c>
      <c r="AD156" s="1276" t="s">
        <v>3733</v>
      </c>
      <c r="AE156" s="1179"/>
      <c r="AF156" s="1179"/>
      <c r="AG156" s="1179"/>
      <c r="AH156" s="1179"/>
      <c r="AI156" s="1179"/>
      <c r="AJ156" s="1179"/>
      <c r="AK156" s="1127"/>
      <c r="AL156" s="1127"/>
      <c r="AM156" s="1127"/>
      <c r="AN156" s="1179"/>
      <c r="AO156" s="1179"/>
      <c r="AP156" s="1179"/>
      <c r="AQ156" s="4435"/>
      <c r="AR156" s="4433"/>
      <c r="AS156" s="4436"/>
      <c r="AT156" s="4436"/>
      <c r="AU156" s="4436"/>
      <c r="AV156" s="4436"/>
      <c r="AW156" s="4436"/>
      <c r="AX156" s="4436"/>
      <c r="AY156" s="3684"/>
      <c r="AZ156" s="4434"/>
      <c r="BA156" s="42"/>
      <c r="BB156" s="42"/>
    </row>
    <row r="157" spans="1:54" s="4382" customFormat="1" ht="16.5" customHeight="1">
      <c r="A157" s="1819"/>
      <c r="B157" s="1277"/>
      <c r="C157" s="1277"/>
      <c r="D157" s="1277"/>
      <c r="E157" s="3719"/>
      <c r="F157" s="1277"/>
      <c r="G157" s="1277"/>
      <c r="H157" s="1277"/>
      <c r="I157" s="1277"/>
      <c r="J157" s="1277"/>
      <c r="K157" s="1277"/>
      <c r="L157" s="1277"/>
      <c r="M157" s="1277"/>
      <c r="N157" s="1277"/>
      <c r="O157" s="1277"/>
      <c r="P157" s="1277"/>
      <c r="Q157" s="1277"/>
      <c r="R157" s="1277"/>
      <c r="S157" s="1277"/>
      <c r="T157" s="1277"/>
      <c r="U157" s="1277" t="s">
        <v>3724</v>
      </c>
      <c r="V157" s="1277"/>
      <c r="W157" s="1277"/>
      <c r="X157" s="1277"/>
      <c r="Y157" s="1277"/>
      <c r="Z157" s="1277"/>
      <c r="AA157" s="1277"/>
      <c r="AB157" s="1277"/>
      <c r="AC157" s="1277"/>
      <c r="AD157" s="1277"/>
      <c r="AE157" s="1277"/>
      <c r="AF157" s="1277"/>
      <c r="AG157" s="1277"/>
      <c r="AH157" s="1277"/>
      <c r="AI157" s="1277"/>
      <c r="AJ157" s="1277"/>
      <c r="AK157" s="1819"/>
      <c r="AL157" s="1819"/>
      <c r="AM157" s="1819"/>
      <c r="AN157" s="1277"/>
      <c r="AO157" s="1277"/>
      <c r="AP157" s="1277"/>
      <c r="AQ157" s="4429" t="s">
        <v>3760</v>
      </c>
      <c r="AR157" s="4410"/>
      <c r="AS157" s="4410"/>
      <c r="AT157" s="4410"/>
      <c r="AU157" s="4410"/>
      <c r="AV157" s="4410"/>
      <c r="AW157" s="4413"/>
      <c r="AX157" s="4413" t="s">
        <v>1</v>
      </c>
      <c r="AY157" s="2045">
        <f>SUM(AX151,AX153,AX155)</f>
        <v>0</v>
      </c>
      <c r="AZ157" s="4411"/>
      <c r="BA157" s="946"/>
      <c r="BB157" s="946"/>
    </row>
    <row r="158" spans="1:54" s="3402" customFormat="1" ht="15">
      <c r="A158" s="1127"/>
      <c r="B158" s="4370">
        <v>26</v>
      </c>
      <c r="C158" s="1574"/>
      <c r="D158" s="1574"/>
      <c r="E158" s="3072" t="str">
        <f>"Was the student convicted, before the end of "&amp;TaxYear&amp;", of a"</f>
        <v>Was the student convicted, before the end of 2021, of a</v>
      </c>
      <c r="F158" s="1574"/>
      <c r="G158" s="1574"/>
      <c r="H158" s="1574"/>
      <c r="I158" s="1574"/>
      <c r="J158" s="1574"/>
      <c r="K158" s="1574"/>
      <c r="L158" s="1574"/>
      <c r="M158" s="1574"/>
      <c r="N158" s="1574"/>
      <c r="O158" s="1574"/>
      <c r="P158" s="1574"/>
      <c r="Q158" s="1574"/>
      <c r="R158" s="1574"/>
      <c r="S158" s="1574"/>
      <c r="T158" s="1574"/>
      <c r="U158" s="1574"/>
      <c r="V158" s="1574"/>
      <c r="W158" s="1574"/>
      <c r="X158" s="1574"/>
      <c r="Y158" s="1574"/>
      <c r="Z158" s="1574"/>
      <c r="AA158" s="1574"/>
      <c r="AB158" s="1574"/>
      <c r="AC158" s="1574"/>
      <c r="AD158" s="1574"/>
      <c r="AE158" s="1574"/>
      <c r="AF158" s="1574"/>
      <c r="AG158" s="1574"/>
      <c r="AH158" s="1574"/>
      <c r="AI158" s="1574"/>
      <c r="AJ158" s="1574"/>
      <c r="AK158" s="1127"/>
      <c r="AL158" s="1127"/>
      <c r="AM158" s="1127"/>
      <c r="AN158" s="1179"/>
      <c r="AO158" s="1179"/>
      <c r="AP158" s="1179"/>
      <c r="AQ158" s="4435"/>
      <c r="AR158" s="4433"/>
      <c r="AS158" s="4436"/>
      <c r="AT158" s="4436"/>
      <c r="AU158" s="4436"/>
      <c r="AV158" s="4436"/>
      <c r="AW158" s="4436"/>
      <c r="AX158" s="4436"/>
      <c r="AY158" s="3684"/>
      <c r="AZ158" s="4434"/>
      <c r="BA158" s="42"/>
      <c r="BB158" s="42"/>
    </row>
    <row r="159" spans="1:54" s="3402" customFormat="1" ht="15">
      <c r="A159" s="1127"/>
      <c r="B159" s="1179"/>
      <c r="C159" s="1179"/>
      <c r="D159" s="1179"/>
      <c r="E159" s="3355" t="s">
        <v>3734</v>
      </c>
      <c r="F159" s="1179"/>
      <c r="G159" s="1179"/>
      <c r="H159" s="1179"/>
      <c r="I159" s="1179"/>
      <c r="J159" s="1179"/>
      <c r="K159" s="1179"/>
      <c r="L159" s="1179"/>
      <c r="M159" s="1179"/>
      <c r="N159" s="1179"/>
      <c r="O159" s="1179"/>
      <c r="P159" s="1179"/>
      <c r="Q159" s="1179"/>
      <c r="R159" s="1179"/>
      <c r="S159" s="1179"/>
      <c r="T159" s="4365"/>
      <c r="U159" s="1276" t="s">
        <v>3723</v>
      </c>
      <c r="V159" s="1179"/>
      <c r="W159" s="1179"/>
      <c r="X159" s="1179"/>
      <c r="Y159" s="1179"/>
      <c r="Z159" s="1179"/>
      <c r="AA159" s="1179"/>
      <c r="AB159" s="1179"/>
      <c r="AC159" s="4383" t="str">
        <f>IF(T159&lt;&gt;"","","X")</f>
        <v>X</v>
      </c>
      <c r="AD159" s="1276" t="s">
        <v>3736</v>
      </c>
      <c r="AE159" s="1179"/>
      <c r="AF159" s="1179"/>
      <c r="AG159" s="1179"/>
      <c r="AH159" s="1179"/>
      <c r="AI159" s="1179"/>
      <c r="AJ159" s="1179"/>
      <c r="AK159" s="1127"/>
      <c r="AL159" s="1127"/>
      <c r="AM159" s="1127"/>
      <c r="AN159" s="1179"/>
      <c r="AO159" s="24" t="s">
        <v>90</v>
      </c>
      <c r="AP159" s="1179"/>
      <c r="AQ159" s="4429" t="s">
        <v>3761</v>
      </c>
      <c r="AR159" s="4433"/>
      <c r="AS159" s="4436"/>
      <c r="AT159" s="4436"/>
      <c r="AU159" s="4436"/>
      <c r="AV159" s="4436"/>
      <c r="AW159" s="4436"/>
      <c r="AX159" s="4436"/>
      <c r="AY159" s="3684"/>
      <c r="AZ159" s="4434"/>
      <c r="BA159" s="42"/>
      <c r="BB159" s="42"/>
    </row>
    <row r="160" spans="1:54" s="4382" customFormat="1" ht="16.5" customHeight="1">
      <c r="A160" s="1819"/>
      <c r="B160" s="1820"/>
      <c r="C160" s="1820"/>
      <c r="D160" s="1820"/>
      <c r="E160" s="4371" t="s">
        <v>3735</v>
      </c>
      <c r="F160" s="1820"/>
      <c r="G160" s="1820"/>
      <c r="H160" s="1820"/>
      <c r="I160" s="1820"/>
      <c r="J160" s="1820"/>
      <c r="K160" s="1820"/>
      <c r="L160" s="1820"/>
      <c r="M160" s="1820"/>
      <c r="N160" s="1820"/>
      <c r="O160" s="1820"/>
      <c r="P160" s="1820"/>
      <c r="Q160" s="1820"/>
      <c r="R160" s="1820"/>
      <c r="S160" s="1820"/>
      <c r="T160" s="1820"/>
      <c r="U160" s="1820" t="s">
        <v>3724</v>
      </c>
      <c r="V160" s="1820"/>
      <c r="W160" s="1820"/>
      <c r="X160" s="1820"/>
      <c r="Y160" s="1820"/>
      <c r="Z160" s="1820"/>
      <c r="AA160" s="1820"/>
      <c r="AB160" s="1820"/>
      <c r="AC160" s="1820"/>
      <c r="AD160" s="2793" t="s">
        <v>3737</v>
      </c>
      <c r="AE160" s="1820"/>
      <c r="AF160" s="1820"/>
      <c r="AG160" s="1820"/>
      <c r="AH160" s="1820"/>
      <c r="AI160" s="1820"/>
      <c r="AJ160" s="1820"/>
      <c r="AK160" s="1819"/>
      <c r="AL160" s="1819"/>
      <c r="AM160" s="1819"/>
      <c r="AN160" s="1277"/>
      <c r="AO160" s="24" t="s">
        <v>411</v>
      </c>
      <c r="AP160" s="1277"/>
      <c r="AQ160" s="4431" t="s">
        <v>2526</v>
      </c>
      <c r="AR160" s="4410"/>
      <c r="AS160" s="4410"/>
      <c r="AT160" s="4437" t="s">
        <v>3772</v>
      </c>
      <c r="AU160" s="4410"/>
      <c r="AV160" s="4410"/>
      <c r="AW160" s="4413"/>
      <c r="AX160" s="4413" t="s">
        <v>399</v>
      </c>
      <c r="AY160" s="2045" t="str">
        <f>IF(AY147="","",MAX(0,SUM(AY147,-AY157)))</f>
        <v/>
      </c>
      <c r="AZ160" s="4411"/>
      <c r="BA160" s="946"/>
      <c r="BB160" s="946"/>
    </row>
    <row r="161" spans="1:54" s="3402" customFormat="1" ht="9.75" customHeight="1" thickBot="1">
      <c r="A161" s="1127"/>
      <c r="B161" s="4395"/>
      <c r="C161" s="4395"/>
      <c r="D161" s="4395"/>
      <c r="E161" s="4395"/>
      <c r="F161" s="4395"/>
      <c r="G161" s="4395"/>
      <c r="H161" s="4395"/>
      <c r="I161" s="4395"/>
      <c r="J161" s="4395"/>
      <c r="K161" s="4395"/>
      <c r="L161" s="4395"/>
      <c r="M161" s="4395"/>
      <c r="N161" s="4395"/>
      <c r="O161" s="4395"/>
      <c r="P161" s="4395"/>
      <c r="Q161" s="4395"/>
      <c r="R161" s="4395"/>
      <c r="S161" s="4395"/>
      <c r="T161" s="4395"/>
      <c r="U161" s="4395"/>
      <c r="V161" s="4395"/>
      <c r="W161" s="4395"/>
      <c r="X161" s="4395"/>
      <c r="Y161" s="4395"/>
      <c r="Z161" s="4395"/>
      <c r="AA161" s="4395"/>
      <c r="AB161" s="4395"/>
      <c r="AC161" s="4395"/>
      <c r="AD161" s="4395"/>
      <c r="AE161" s="4395"/>
      <c r="AF161" s="4395"/>
      <c r="AG161" s="4395"/>
      <c r="AH161" s="4395"/>
      <c r="AI161" s="4395"/>
      <c r="AJ161" s="4395"/>
      <c r="AK161" s="1127"/>
      <c r="AL161" s="1127"/>
      <c r="AM161" s="1127"/>
      <c r="AN161" s="1179"/>
      <c r="AO161" s="1179"/>
      <c r="AP161" s="1179"/>
      <c r="AQ161" s="4438"/>
      <c r="AR161" s="4439"/>
      <c r="AS161" s="4440"/>
      <c r="AT161" s="4440"/>
      <c r="AU161" s="4440"/>
      <c r="AV161" s="4440"/>
      <c r="AW161" s="4440"/>
      <c r="AX161" s="4440"/>
      <c r="AY161" s="4440"/>
      <c r="AZ161" s="4441"/>
      <c r="BA161" s="42"/>
      <c r="BB161" s="42"/>
    </row>
    <row r="162" spans="1:54" s="4381" customFormat="1" ht="14.25" customHeight="1">
      <c r="A162" s="4353"/>
      <c r="B162" s="4396"/>
      <c r="C162" s="4396"/>
      <c r="D162" s="4396"/>
      <c r="E162" s="4398" t="s">
        <v>4249</v>
      </c>
      <c r="F162" s="4396"/>
      <c r="G162" s="4396"/>
      <c r="H162" s="4396"/>
      <c r="I162" s="4396"/>
      <c r="J162" s="4396"/>
      <c r="K162" s="4396"/>
      <c r="L162" s="4396"/>
      <c r="M162" s="4396"/>
      <c r="N162" s="4396"/>
      <c r="O162" s="4396"/>
      <c r="P162" s="4396"/>
      <c r="Q162" s="4396"/>
      <c r="R162" s="4396"/>
      <c r="S162" s="4396"/>
      <c r="T162" s="4396"/>
      <c r="U162" s="4396"/>
      <c r="V162" s="4396"/>
      <c r="W162" s="4396"/>
      <c r="X162" s="4396"/>
      <c r="Y162" s="4396"/>
      <c r="Z162" s="4396"/>
      <c r="AA162" s="4396"/>
      <c r="AB162" s="4396"/>
      <c r="AC162" s="4396"/>
      <c r="AD162" s="4396"/>
      <c r="AE162" s="4396"/>
      <c r="AF162" s="4396"/>
      <c r="AG162" s="4396"/>
      <c r="AH162" s="4396"/>
      <c r="AI162" s="4396"/>
      <c r="AJ162" s="4396"/>
      <c r="AK162" s="4353"/>
      <c r="AL162" s="4353"/>
      <c r="AM162" s="4353"/>
      <c r="AN162" s="4354"/>
      <c r="AO162" s="3558" t="b">
        <f>OR(AND(AH165,AO173&lt;&gt;""),AND(NOT(AH165),AO170&lt;&gt;""))</f>
        <v>0</v>
      </c>
      <c r="AP162" s="2051"/>
      <c r="AQ162" s="2595"/>
      <c r="AR162" s="2601"/>
      <c r="AS162" s="2595"/>
      <c r="AT162" s="2595"/>
      <c r="AU162" s="2595"/>
      <c r="AV162" s="2595"/>
      <c r="AW162" s="2595"/>
      <c r="AX162" s="2595"/>
      <c r="AY162" s="2595"/>
      <c r="AZ162" s="2595"/>
      <c r="BA162" s="4355"/>
      <c r="BB162" s="4355"/>
    </row>
    <row r="163" spans="1:54" s="4381" customFormat="1" ht="16.5" customHeight="1">
      <c r="A163" s="4353"/>
      <c r="B163" s="4396"/>
      <c r="C163" s="4396"/>
      <c r="D163" s="4396"/>
      <c r="E163" s="4399" t="s">
        <v>4250</v>
      </c>
      <c r="F163" s="4396"/>
      <c r="G163" s="4396"/>
      <c r="H163" s="4396"/>
      <c r="I163" s="4396"/>
      <c r="J163" s="4396"/>
      <c r="K163" s="4396"/>
      <c r="L163" s="4396"/>
      <c r="M163" s="4396"/>
      <c r="N163" s="4396"/>
      <c r="O163" s="4396"/>
      <c r="P163" s="4396"/>
      <c r="Q163" s="4396"/>
      <c r="R163" s="4396"/>
      <c r="S163" s="4396"/>
      <c r="T163" s="4396"/>
      <c r="U163" s="4396"/>
      <c r="V163" s="4396"/>
      <c r="W163" s="4396"/>
      <c r="X163" s="4396"/>
      <c r="Y163" s="4396"/>
      <c r="Z163" s="4396"/>
      <c r="AA163" s="4396"/>
      <c r="AB163" s="4396"/>
      <c r="AC163" s="4396"/>
      <c r="AD163" s="4396"/>
      <c r="AE163" s="4396"/>
      <c r="AF163" s="4396"/>
      <c r="AG163" s="4396"/>
      <c r="AH163" s="4396"/>
      <c r="AI163" s="4396"/>
      <c r="AJ163" s="4396"/>
      <c r="AK163" s="4353"/>
      <c r="AL163" s="4353"/>
      <c r="AM163" s="4353"/>
      <c r="AN163" s="4354"/>
      <c r="AO163" s="3558" t="b">
        <f>OR(AND(AH165,AO173&lt;&gt;""),AND(NOT(AH165),AO170&lt;&gt;""))</f>
        <v>0</v>
      </c>
      <c r="AP163" s="2051"/>
      <c r="AQ163" s="2595"/>
      <c r="AR163" s="2601"/>
      <c r="AS163" s="2595"/>
      <c r="AT163" s="2595"/>
      <c r="AU163" s="2595"/>
      <c r="AV163" s="2595"/>
      <c r="AW163" s="2595"/>
      <c r="AX163" s="2595"/>
      <c r="AY163" s="2595"/>
      <c r="AZ163" s="2595"/>
      <c r="BA163" s="4355"/>
      <c r="BB163" s="4355"/>
    </row>
    <row r="164" spans="1:54" s="3402" customFormat="1" ht="6" customHeight="1">
      <c r="A164" s="1127"/>
      <c r="B164" s="4397"/>
      <c r="C164" s="4397"/>
      <c r="D164" s="4397"/>
      <c r="E164" s="4397"/>
      <c r="F164" s="4397"/>
      <c r="G164" s="4397"/>
      <c r="H164" s="4397"/>
      <c r="I164" s="4397"/>
      <c r="J164" s="4397"/>
      <c r="K164" s="4397"/>
      <c r="L164" s="4397"/>
      <c r="M164" s="4397"/>
      <c r="N164" s="4397"/>
      <c r="O164" s="4397"/>
      <c r="P164" s="4397"/>
      <c r="Q164" s="4397"/>
      <c r="R164" s="4397"/>
      <c r="S164" s="4397"/>
      <c r="T164" s="4397"/>
      <c r="U164" s="4397"/>
      <c r="V164" s="4397"/>
      <c r="W164" s="4397"/>
      <c r="X164" s="4397"/>
      <c r="Y164" s="4397"/>
      <c r="Z164" s="4397"/>
      <c r="AA164" s="4397"/>
      <c r="AB164" s="4397"/>
      <c r="AC164" s="4397"/>
      <c r="AD164" s="4397"/>
      <c r="AE164" s="4397"/>
      <c r="AF164" s="4397"/>
      <c r="AG164" s="4397"/>
      <c r="AH164" s="4397"/>
      <c r="AI164" s="4397"/>
      <c r="AJ164" s="4397"/>
      <c r="AK164" s="1127"/>
      <c r="AL164" s="1127"/>
      <c r="AM164" s="1127"/>
      <c r="AN164" s="1179"/>
      <c r="AO164" s="1179"/>
      <c r="AP164" s="1179"/>
      <c r="AQ164" s="2595"/>
      <c r="AR164" s="2595"/>
      <c r="AS164" s="2595"/>
      <c r="AT164" s="2595"/>
      <c r="AU164" s="2595"/>
      <c r="AV164" s="2595"/>
      <c r="AW164" s="2595"/>
      <c r="AX164" s="2595"/>
      <c r="AY164" s="2595"/>
      <c r="AZ164" s="2595"/>
      <c r="BA164" s="42"/>
      <c r="BB164" s="42"/>
    </row>
    <row r="165" spans="1:54" s="3402" customFormat="1" ht="16.5" customHeight="1" thickBot="1">
      <c r="A165" s="1127"/>
      <c r="B165" s="1565"/>
      <c r="C165" s="4749" t="s">
        <v>3738</v>
      </c>
      <c r="D165" s="1553"/>
      <c r="E165" s="1553"/>
      <c r="F165" s="1553"/>
      <c r="G165" s="1553"/>
      <c r="H165" s="1553"/>
      <c r="I165" s="1553"/>
      <c r="J165" s="1553"/>
      <c r="K165" s="1553"/>
      <c r="L165" s="1553"/>
      <c r="M165" s="1553"/>
      <c r="N165" s="1553"/>
      <c r="O165" s="1553"/>
      <c r="P165" s="1553"/>
      <c r="Q165" s="1553"/>
      <c r="R165" s="1553"/>
      <c r="S165" s="1553"/>
      <c r="T165" s="1553"/>
      <c r="U165" s="1553"/>
      <c r="V165" s="1553"/>
      <c r="W165" s="1553"/>
      <c r="X165" s="1553"/>
      <c r="Y165" s="1553"/>
      <c r="Z165" s="1553"/>
      <c r="AA165" s="1553"/>
      <c r="AB165" s="9233" t="b">
        <f>AND(AE166&lt;&gt;"",AE166&gt;AO167)</f>
        <v>0</v>
      </c>
      <c r="AC165" s="9233"/>
      <c r="AD165" s="1553"/>
      <c r="AE165" s="1553"/>
      <c r="AF165" s="1553"/>
      <c r="AG165" s="1553"/>
      <c r="AH165" s="9233" t="b">
        <f>AND(T147="",AC152="",T156="",T159="")</f>
        <v>1</v>
      </c>
      <c r="AI165" s="9233"/>
      <c r="AJ165" s="9233"/>
      <c r="AK165" s="1127"/>
      <c r="AL165" s="1127"/>
      <c r="AM165" s="1127"/>
      <c r="AN165" s="1179"/>
      <c r="AO165" s="1179"/>
      <c r="AP165" s="1179"/>
      <c r="AQ165" s="2595"/>
      <c r="AR165" s="2595"/>
      <c r="AS165" s="2595"/>
      <c r="AT165" s="2595"/>
      <c r="AU165" s="2595"/>
      <c r="AV165" s="2595"/>
      <c r="AW165" s="2595"/>
      <c r="AX165" s="2595"/>
      <c r="AY165" s="2595"/>
      <c r="AZ165" s="2595"/>
      <c r="BA165" s="42"/>
      <c r="BB165" s="42"/>
    </row>
    <row r="166" spans="1:54" s="3402" customFormat="1" ht="16.5" customHeight="1" thickBot="1">
      <c r="A166" s="1127"/>
      <c r="B166" s="4370">
        <v>27</v>
      </c>
      <c r="C166" s="1179"/>
      <c r="D166" s="2686" t="s">
        <v>3739</v>
      </c>
      <c r="E166" s="2686"/>
      <c r="F166" s="1179"/>
      <c r="G166" s="1179"/>
      <c r="H166" s="1179"/>
      <c r="I166" s="1179"/>
      <c r="J166" s="1179"/>
      <c r="K166" s="1179"/>
      <c r="L166" s="1179"/>
      <c r="M166" s="1179"/>
      <c r="N166" s="1179"/>
      <c r="O166" s="1179"/>
      <c r="P166" s="1179"/>
      <c r="Q166" s="1179"/>
      <c r="R166" s="4750" t="str">
        <f>"Don't enter more than "&amp;TEXT(AO167,"$0,000")&amp;"."</f>
        <v>Don't enter more than $4,000.</v>
      </c>
      <c r="S166" s="1179"/>
      <c r="T166" s="1179"/>
      <c r="U166" s="1179"/>
      <c r="V166" s="1179"/>
      <c r="W166" s="1179"/>
      <c r="X166" s="1179"/>
      <c r="Y166" s="1179"/>
      <c r="Z166" s="4392"/>
      <c r="AA166" s="4392"/>
      <c r="AB166" s="4390"/>
      <c r="AC166" s="4391"/>
      <c r="AD166" s="2224">
        <v>27</v>
      </c>
      <c r="AE166" s="9531" t="str">
        <f>IF(AO166&lt;&gt;"",ROUND(AO166,0),IF(OR(NOT(AH165),AY160=""),"",MIN(AO167,AY160)))</f>
        <v/>
      </c>
      <c r="AF166" s="9532"/>
      <c r="AG166" s="9532"/>
      <c r="AH166" s="9532"/>
      <c r="AI166" s="9532"/>
      <c r="AJ166" s="9532"/>
      <c r="AK166" s="1127"/>
      <c r="AL166" s="1127"/>
      <c r="AM166" s="1127"/>
      <c r="AN166" s="1179"/>
      <c r="AO166" s="4377"/>
      <c r="AP166" s="1179"/>
      <c r="AQ166" s="2595"/>
      <c r="AR166" s="2595"/>
      <c r="AS166" s="2595"/>
      <c r="AT166" s="2595"/>
      <c r="AU166" s="2595"/>
      <c r="AV166" s="2595"/>
      <c r="AW166" s="2595"/>
      <c r="AX166" s="2595"/>
      <c r="AY166" s="2595"/>
      <c r="AZ166" s="2595"/>
      <c r="BA166" s="42"/>
      <c r="BB166" s="42"/>
    </row>
    <row r="167" spans="1:54" s="3402" customFormat="1" ht="17.25" customHeight="1">
      <c r="A167" s="1127"/>
      <c r="B167" s="1559">
        <v>28</v>
      </c>
      <c r="C167" s="1179"/>
      <c r="D167" s="2686" t="str">
        <f>"Subtract "&amp;TEXT(AO168,"$0,000")&amp;" from line 27. If zero or less, enter -0-"</f>
        <v>Subtract $2,000 from line 27. If zero or less, enter -0-</v>
      </c>
      <c r="E167" s="1179"/>
      <c r="F167" s="1179"/>
      <c r="G167" s="1179"/>
      <c r="H167" s="1179"/>
      <c r="I167" s="1179"/>
      <c r="J167" s="1179"/>
      <c r="K167" s="1179"/>
      <c r="L167" s="1179"/>
      <c r="M167" s="1179"/>
      <c r="N167" s="1179"/>
      <c r="O167" s="1179"/>
      <c r="P167" s="1179"/>
      <c r="Q167" s="1179"/>
      <c r="R167" s="1179"/>
      <c r="S167" s="1179"/>
      <c r="T167" s="1179"/>
      <c r="U167" s="1179"/>
      <c r="V167" s="1179"/>
      <c r="W167" s="1179"/>
      <c r="X167" s="1179"/>
      <c r="Y167" s="1179"/>
      <c r="Z167" s="1681"/>
      <c r="AA167" s="1681"/>
      <c r="AB167" s="1179"/>
      <c r="AC167" s="1560" t="s">
        <v>3767</v>
      </c>
      <c r="AD167" s="2224">
        <v>28</v>
      </c>
      <c r="AE167" s="9531" t="str">
        <f>IF(OR(NOT(AH165),AY160=""),"",MAX(0,SUM(AE166,-AO168)))</f>
        <v/>
      </c>
      <c r="AF167" s="9532"/>
      <c r="AG167" s="9532"/>
      <c r="AH167" s="9532"/>
      <c r="AI167" s="9532"/>
      <c r="AJ167" s="9532"/>
      <c r="AK167" s="1127"/>
      <c r="AL167" s="1127"/>
      <c r="AM167" s="1127"/>
      <c r="AN167" s="1179"/>
      <c r="AO167" s="1284">
        <v>4000</v>
      </c>
      <c r="AP167" s="1179"/>
      <c r="AQ167" s="2595"/>
      <c r="AR167" s="2595"/>
      <c r="AS167" s="2595"/>
      <c r="AT167" s="2595"/>
      <c r="AU167" s="2595"/>
      <c r="AV167" s="2595"/>
      <c r="AW167" s="2595"/>
      <c r="AX167" s="2595"/>
      <c r="AY167" s="2595"/>
      <c r="AZ167" s="2595"/>
      <c r="BA167" s="42"/>
      <c r="BB167" s="42"/>
    </row>
    <row r="168" spans="1:54" s="3402" customFormat="1" ht="17.25" customHeight="1">
      <c r="A168" s="1127"/>
      <c r="B168" s="1559">
        <v>29</v>
      </c>
      <c r="C168" s="1179"/>
      <c r="D168" s="2686" t="str">
        <f>"Multiply line 28 by "&amp;TEXT(AB169,"0%")&amp;" ("&amp;TEXT(AB169,"0.00")&amp;")"</f>
        <v>Multiply line 28 by 25% (0.25)</v>
      </c>
      <c r="E168" s="2686"/>
      <c r="F168" s="2686"/>
      <c r="G168" s="1179"/>
      <c r="H168" s="1179"/>
      <c r="I168" s="1179"/>
      <c r="J168" s="1179"/>
      <c r="K168" s="1179"/>
      <c r="L168" s="1283"/>
      <c r="M168" s="1283"/>
      <c r="N168" s="1283"/>
      <c r="O168" s="1283"/>
      <c r="P168" s="1283"/>
      <c r="Q168" s="1283"/>
      <c r="R168" s="1283"/>
      <c r="S168" s="1283"/>
      <c r="T168" s="1283"/>
      <c r="U168" s="1283"/>
      <c r="V168" s="1283"/>
      <c r="W168" s="1283"/>
      <c r="X168" s="1283"/>
      <c r="Y168" s="1283"/>
      <c r="Z168" s="1283"/>
      <c r="AA168" s="1283"/>
      <c r="AB168" s="1283"/>
      <c r="AC168" s="1560" t="s">
        <v>3766</v>
      </c>
      <c r="AD168" s="2224">
        <v>29</v>
      </c>
      <c r="AE168" s="9531" t="str">
        <f>IF(OR(NOT(AH165),AY160=""),"",ROUND(AE167*AB169,0))</f>
        <v/>
      </c>
      <c r="AF168" s="9532"/>
      <c r="AG168" s="9532"/>
      <c r="AH168" s="9532"/>
      <c r="AI168" s="9532"/>
      <c r="AJ168" s="9532"/>
      <c r="AK168" s="1127"/>
      <c r="AL168" s="1127"/>
      <c r="AM168" s="1127"/>
      <c r="AN168" s="1179"/>
      <c r="AO168" s="1284">
        <v>2000</v>
      </c>
      <c r="AP168" s="1179"/>
      <c r="AQ168" s="2595"/>
      <c r="AR168" s="2595"/>
      <c r="AS168" s="2595"/>
      <c r="AT168" s="2595"/>
      <c r="AU168" s="2595"/>
      <c r="AV168" s="2595"/>
      <c r="AW168" s="2595"/>
      <c r="AX168" s="2595"/>
      <c r="AY168" s="2595"/>
      <c r="AZ168" s="2595"/>
      <c r="BA168" s="42"/>
      <c r="BB168" s="42"/>
    </row>
    <row r="169" spans="1:54" s="3402" customFormat="1" ht="15.75" customHeight="1" thickBot="1">
      <c r="A169" s="1127"/>
      <c r="B169" s="1559">
        <v>30</v>
      </c>
      <c r="C169" s="1179"/>
      <c r="D169" s="2686" t="s">
        <v>3740</v>
      </c>
      <c r="E169" s="2686"/>
      <c r="F169" s="2686"/>
      <c r="G169" s="1179"/>
      <c r="H169" s="1179"/>
      <c r="I169" s="1179"/>
      <c r="J169" s="1179"/>
      <c r="K169" s="1179"/>
      <c r="L169" s="1179"/>
      <c r="M169" s="1179"/>
      <c r="N169" s="1179"/>
      <c r="O169" s="1179"/>
      <c r="P169" s="1179"/>
      <c r="Q169" s="1179"/>
      <c r="R169" s="1179"/>
      <c r="S169" s="1179"/>
      <c r="T169" s="1179"/>
      <c r="U169" s="1179"/>
      <c r="V169" s="1179"/>
      <c r="W169" s="1179"/>
      <c r="X169" s="1179"/>
      <c r="Y169" s="1179"/>
      <c r="Z169" s="1179"/>
      <c r="AA169" s="1179"/>
      <c r="AB169" s="7772">
        <v>0.25</v>
      </c>
      <c r="AC169" s="7773"/>
      <c r="AD169" s="1555"/>
      <c r="AE169" s="1179"/>
      <c r="AF169" s="1179"/>
      <c r="AG169" s="1179"/>
      <c r="AH169" s="1179"/>
      <c r="AI169" s="1179"/>
      <c r="AJ169" s="1179"/>
      <c r="AK169" s="1127"/>
      <c r="AL169" s="1127"/>
      <c r="AM169" s="1127"/>
      <c r="AN169" s="1179"/>
      <c r="AO169" s="1179"/>
      <c r="AP169" s="1179"/>
      <c r="AQ169" s="2595"/>
      <c r="AR169" s="2595"/>
      <c r="AS169" s="2595"/>
      <c r="AT169" s="2595"/>
      <c r="AU169" s="2595"/>
      <c r="AV169" s="2595"/>
      <c r="AW169" s="2595"/>
      <c r="AX169" s="2595"/>
      <c r="AY169" s="2595"/>
      <c r="AZ169" s="2595"/>
      <c r="BA169" s="42"/>
      <c r="BB169" s="42"/>
    </row>
    <row r="170" spans="1:54" s="3402" customFormat="1" ht="15.75" thickBot="1">
      <c r="A170" s="1127"/>
      <c r="B170" s="1179"/>
      <c r="C170" s="1179"/>
      <c r="D170" s="2686" t="s">
        <v>3741</v>
      </c>
      <c r="E170" s="2686"/>
      <c r="F170" s="2686"/>
      <c r="G170" s="1179"/>
      <c r="H170" s="1179"/>
      <c r="I170" s="1179"/>
      <c r="J170" s="1179"/>
      <c r="K170" s="1179"/>
      <c r="L170" s="1179"/>
      <c r="M170" s="1179"/>
      <c r="N170" s="1179"/>
      <c r="O170" s="1179"/>
      <c r="P170" s="1179"/>
      <c r="Q170" s="1179"/>
      <c r="R170" s="1179"/>
      <c r="S170" s="1179"/>
      <c r="T170" s="1179"/>
      <c r="U170" s="1179"/>
      <c r="V170" s="1179"/>
      <c r="W170" s="1179"/>
      <c r="X170" s="1179"/>
      <c r="Y170" s="1179"/>
      <c r="Z170" s="1179"/>
      <c r="AA170" s="1179"/>
      <c r="AB170" s="1179"/>
      <c r="AC170" s="1560" t="s">
        <v>1784</v>
      </c>
      <c r="AD170" s="2214">
        <v>30</v>
      </c>
      <c r="AE170" s="9480" t="str">
        <f>IF(AO170&lt;&gt;"",ROUND(AO170,0),IF(OR(NOT(AH165),AE166=0,AE166="",AY160=""),"",IF(OR(AE167=0,AE167=""),AE166,SUM(AE168,AO168))))</f>
        <v/>
      </c>
      <c r="AF170" s="9481"/>
      <c r="AG170" s="9481"/>
      <c r="AH170" s="9481"/>
      <c r="AI170" s="9481"/>
      <c r="AJ170" s="9481"/>
      <c r="AK170" s="1127"/>
      <c r="AL170" s="1127"/>
      <c r="AM170" s="1127"/>
      <c r="AN170" s="1179"/>
      <c r="AO170" s="4377"/>
      <c r="AP170" s="1179"/>
      <c r="AQ170" s="2595"/>
      <c r="AR170" s="2595"/>
      <c r="AS170" s="2595"/>
      <c r="AT170" s="2595"/>
      <c r="AU170" s="2595"/>
      <c r="AV170" s="2595"/>
      <c r="AW170" s="2595"/>
      <c r="AX170" s="2595"/>
      <c r="AY170" s="2595"/>
      <c r="AZ170" s="2595"/>
      <c r="BA170" s="42"/>
      <c r="BB170" s="42"/>
    </row>
    <row r="171" spans="1:54" s="3402" customFormat="1" ht="16.5" customHeight="1">
      <c r="A171" s="1127"/>
      <c r="B171" s="1565"/>
      <c r="C171" s="4749" t="s">
        <v>3742</v>
      </c>
      <c r="D171" s="1554"/>
      <c r="E171" s="1554"/>
      <c r="F171" s="1554"/>
      <c r="G171" s="1554"/>
      <c r="H171" s="1554"/>
      <c r="I171" s="1554"/>
      <c r="J171" s="1554"/>
      <c r="K171" s="1554"/>
      <c r="L171" s="1554"/>
      <c r="M171" s="1554"/>
      <c r="N171" s="1554"/>
      <c r="O171" s="1554"/>
      <c r="P171" s="1554"/>
      <c r="Q171" s="1554"/>
      <c r="R171" s="1554"/>
      <c r="S171" s="1554"/>
      <c r="T171" s="1554"/>
      <c r="U171" s="1554"/>
      <c r="V171" s="1554"/>
      <c r="W171" s="1554"/>
      <c r="X171" s="1554"/>
      <c r="Y171" s="1554"/>
      <c r="Z171" s="1554"/>
      <c r="AA171" s="1554"/>
      <c r="AB171" s="1554"/>
      <c r="AC171" s="1554"/>
      <c r="AD171" s="1554"/>
      <c r="AE171" s="1554"/>
      <c r="AF171" s="1554"/>
      <c r="AG171" s="1554"/>
      <c r="AH171" s="1554"/>
      <c r="AI171" s="1554"/>
      <c r="AJ171" s="1554"/>
      <c r="AK171" s="1127"/>
      <c r="AL171" s="1127"/>
      <c r="AM171" s="1127"/>
      <c r="AN171" s="1179"/>
      <c r="AO171" s="1179"/>
      <c r="AP171" s="1179"/>
      <c r="AQ171" s="2595"/>
      <c r="AR171" s="2595"/>
      <c r="AS171" s="2595"/>
      <c r="AT171" s="2595"/>
      <c r="AU171" s="2595"/>
      <c r="AV171" s="2595"/>
      <c r="AW171" s="2595"/>
      <c r="AX171" s="2595"/>
      <c r="AY171" s="2595"/>
      <c r="AZ171" s="2595"/>
      <c r="BA171" s="42"/>
      <c r="BB171" s="42"/>
    </row>
    <row r="172" spans="1:54" s="3402" customFormat="1" ht="15.75" customHeight="1" thickBot="1">
      <c r="A172" s="1127"/>
      <c r="B172" s="1559">
        <v>31</v>
      </c>
      <c r="C172" s="1179"/>
      <c r="D172" s="2686" t="s">
        <v>3762</v>
      </c>
      <c r="E172" s="2686"/>
      <c r="F172" s="2686"/>
      <c r="G172" s="1179"/>
      <c r="H172" s="1179"/>
      <c r="I172" s="1179"/>
      <c r="J172" s="1179"/>
      <c r="K172" s="1179"/>
      <c r="L172" s="1179"/>
      <c r="M172" s="1179"/>
      <c r="N172" s="1179"/>
      <c r="O172" s="1179"/>
      <c r="P172" s="1179"/>
      <c r="Q172" s="1179"/>
      <c r="R172" s="1179"/>
      <c r="S172" s="1179"/>
      <c r="T172" s="1179"/>
      <c r="U172" s="1179"/>
      <c r="V172" s="1179"/>
      <c r="W172" s="1179"/>
      <c r="X172" s="1179"/>
      <c r="Y172" s="1179"/>
      <c r="Z172" s="1179"/>
      <c r="AA172" s="1179"/>
      <c r="AB172" s="1179"/>
      <c r="AC172" s="1179"/>
      <c r="AD172" s="1555"/>
      <c r="AE172" s="1179"/>
      <c r="AF172" s="1179"/>
      <c r="AG172" s="1179"/>
      <c r="AH172" s="1179"/>
      <c r="AI172" s="1179"/>
      <c r="AJ172" s="1179"/>
      <c r="AK172" s="1127"/>
      <c r="AL172" s="1127"/>
      <c r="AM172" s="1127"/>
      <c r="AN172" s="1179"/>
      <c r="AO172" s="1179"/>
      <c r="AP172" s="1179"/>
      <c r="AQ172" s="2595"/>
      <c r="AR172" s="2595"/>
      <c r="AS172" s="2595"/>
      <c r="AT172" s="2595"/>
      <c r="AU172" s="2595"/>
      <c r="AV172" s="2595"/>
      <c r="AW172" s="2595"/>
      <c r="AX172" s="2595"/>
      <c r="AY172" s="2595"/>
      <c r="AZ172" s="2595"/>
      <c r="BA172" s="42"/>
      <c r="BB172" s="42"/>
    </row>
    <row r="173" spans="1:54" s="3402" customFormat="1" ht="15.75" thickBot="1">
      <c r="A173" s="1127"/>
      <c r="B173" s="1280"/>
      <c r="C173" s="1280"/>
      <c r="D173" s="2704" t="s">
        <v>3763</v>
      </c>
      <c r="E173" s="2704"/>
      <c r="F173" s="2704"/>
      <c r="G173" s="1280"/>
      <c r="H173" s="1280"/>
      <c r="I173" s="1280"/>
      <c r="J173" s="1280"/>
      <c r="K173" s="1280"/>
      <c r="L173" s="1280"/>
      <c r="M173" s="1280"/>
      <c r="N173" s="1280"/>
      <c r="O173" s="1280"/>
      <c r="P173" s="1280"/>
      <c r="Q173" s="1280"/>
      <c r="R173" s="1280"/>
      <c r="S173" s="1280"/>
      <c r="T173" s="1280"/>
      <c r="U173" s="1280"/>
      <c r="V173" s="1280"/>
      <c r="W173" s="1280"/>
      <c r="X173" s="1280"/>
      <c r="Y173" s="1280"/>
      <c r="Z173" s="1280"/>
      <c r="AA173" s="1280"/>
      <c r="AB173" s="1280"/>
      <c r="AC173" s="3307" t="s">
        <v>3766</v>
      </c>
      <c r="AD173" s="4372">
        <v>31</v>
      </c>
      <c r="AE173" s="9119" t="str">
        <f>IF(AO173&lt;&gt;"",ROUND(AO173,0),IF(OR(AH165,AY160=""),"",AY160))</f>
        <v/>
      </c>
      <c r="AF173" s="9482"/>
      <c r="AG173" s="9482"/>
      <c r="AH173" s="9482"/>
      <c r="AI173" s="9482"/>
      <c r="AJ173" s="9482"/>
      <c r="AK173" s="1127"/>
      <c r="AL173" s="1127"/>
      <c r="AM173" s="1127"/>
      <c r="AN173" s="1179"/>
      <c r="AO173" s="4377"/>
      <c r="AP173" s="1179"/>
      <c r="AQ173" s="2595"/>
      <c r="AR173" s="2595"/>
      <c r="AS173" s="2595"/>
      <c r="AT173" s="2595"/>
      <c r="AU173" s="2595"/>
      <c r="AV173" s="2595"/>
      <c r="AW173" s="2595"/>
      <c r="AX173" s="2595"/>
      <c r="AY173" s="2595"/>
      <c r="AZ173" s="2595"/>
      <c r="BA173" s="42"/>
      <c r="BB173" s="42"/>
    </row>
    <row r="174" spans="1:54" s="3402" customFormat="1" ht="15.75">
      <c r="A174" s="1127"/>
      <c r="B174" s="1709"/>
      <c r="C174" s="70"/>
      <c r="D174" s="70"/>
      <c r="E174" s="70"/>
      <c r="F174" s="70"/>
      <c r="G174" s="70"/>
      <c r="H174" s="70"/>
      <c r="I174" s="70"/>
      <c r="J174" s="70"/>
      <c r="K174" s="70"/>
      <c r="L174" s="70"/>
      <c r="M174" s="70"/>
      <c r="N174" s="70"/>
      <c r="O174" s="70"/>
      <c r="P174" s="70"/>
      <c r="Q174" s="23"/>
      <c r="R174" s="23"/>
      <c r="S174" s="23"/>
      <c r="T174" s="23"/>
      <c r="U174" s="501"/>
      <c r="V174" s="23"/>
      <c r="W174" s="501"/>
      <c r="X174" s="23"/>
      <c r="Y174" s="23"/>
      <c r="Z174" s="23"/>
      <c r="AA174" s="23"/>
      <c r="AB174" s="23"/>
      <c r="AC174" s="23"/>
      <c r="AD174" s="23"/>
      <c r="AE174" s="23"/>
      <c r="AF174" s="23"/>
      <c r="AG174" s="23"/>
      <c r="AH174" s="1035" t="s">
        <v>3708</v>
      </c>
      <c r="AI174" s="23"/>
      <c r="AJ174" s="1035" t="str">
        <f>"("&amp;TaxYear&amp;")"</f>
        <v>(2021)</v>
      </c>
      <c r="AK174" s="1127"/>
      <c r="AL174" s="1127"/>
      <c r="AM174" s="1127"/>
      <c r="AN174" s="1927"/>
      <c r="AO174" s="1927"/>
      <c r="AP174" s="1179"/>
      <c r="AQ174" s="2595"/>
      <c r="AR174" s="2595"/>
      <c r="AS174" s="2595"/>
      <c r="AT174" s="2595"/>
      <c r="AU174" s="2595"/>
      <c r="AV174" s="2595"/>
      <c r="AW174" s="2595"/>
      <c r="AX174" s="2595"/>
      <c r="AY174" s="2595"/>
      <c r="AZ174" s="2595"/>
      <c r="BA174" s="42"/>
      <c r="BB174" s="42"/>
    </row>
    <row r="175" spans="1:54" s="3402" customFormat="1" ht="18" customHeight="1" thickBot="1">
      <c r="A175" s="1127"/>
      <c r="B175" s="1359" t="str">
        <f>"Form 8863 ("&amp;TaxYear&amp;")"</f>
        <v>Form 8863 (2021)</v>
      </c>
      <c r="C175" s="1359"/>
      <c r="D175" s="1359"/>
      <c r="E175" s="1359"/>
      <c r="F175" s="1359"/>
      <c r="G175" s="1359"/>
      <c r="H175" s="1359"/>
      <c r="I175" s="1359"/>
      <c r="J175" s="1359"/>
      <c r="K175" s="1359"/>
      <c r="L175" s="1359"/>
      <c r="M175" s="1359"/>
      <c r="N175" s="1359"/>
      <c r="O175" s="1359"/>
      <c r="P175" s="1359"/>
      <c r="Q175" s="1359"/>
      <c r="R175" s="1359"/>
      <c r="S175" s="1359"/>
      <c r="T175" s="1359"/>
      <c r="U175" s="1359"/>
      <c r="V175" s="1359"/>
      <c r="W175" s="1359"/>
      <c r="X175" s="1359"/>
      <c r="Y175" s="1359"/>
      <c r="Z175" s="1359"/>
      <c r="AA175" s="1359"/>
      <c r="AB175" s="1359"/>
      <c r="AC175" s="1359"/>
      <c r="AD175" s="1359"/>
      <c r="AE175" s="1359"/>
      <c r="AF175" s="1359"/>
      <c r="AG175" s="1359"/>
      <c r="AH175" s="1359"/>
      <c r="AI175" s="1815" t="s">
        <v>197</v>
      </c>
      <c r="AJ175" s="1816">
        <v>2</v>
      </c>
      <c r="AK175" s="1127"/>
      <c r="AL175" s="1127"/>
      <c r="AM175" s="1127"/>
      <c r="AN175" s="1179"/>
      <c r="AO175" s="1179"/>
      <c r="AP175" s="1179"/>
      <c r="AQ175" s="2595"/>
      <c r="AR175" s="2595"/>
      <c r="AS175" s="2595"/>
      <c r="AT175" s="2595"/>
      <c r="AU175" s="2595"/>
      <c r="AV175" s="2595"/>
      <c r="AW175" s="2595"/>
      <c r="AX175" s="2595"/>
      <c r="AY175" s="2595"/>
      <c r="AZ175" s="2595"/>
      <c r="BA175" s="42"/>
      <c r="BB175" s="42"/>
    </row>
    <row r="176" spans="1:54" s="3402" customFormat="1" ht="16.5" customHeight="1" thickTop="1">
      <c r="A176" s="1127"/>
      <c r="B176" s="4360" t="s">
        <v>55</v>
      </c>
      <c r="C176" s="1553"/>
      <c r="D176" s="1553"/>
      <c r="E176" s="1553"/>
      <c r="F176" s="1553"/>
      <c r="G176" s="1553"/>
      <c r="H176" s="1553"/>
      <c r="I176" s="1553"/>
      <c r="J176" s="1553"/>
      <c r="K176" s="1553"/>
      <c r="L176" s="1553"/>
      <c r="M176" s="1553"/>
      <c r="N176" s="1553"/>
      <c r="O176" s="1553"/>
      <c r="P176" s="1553"/>
      <c r="Q176" s="1553"/>
      <c r="R176" s="1553"/>
      <c r="S176" s="1553"/>
      <c r="T176" s="1553"/>
      <c r="U176" s="1553"/>
      <c r="V176" s="1553"/>
      <c r="W176" s="1553"/>
      <c r="X176" s="1553"/>
      <c r="Y176" s="1553"/>
      <c r="Z176" s="1553"/>
      <c r="AA176" s="1553"/>
      <c r="AB176" s="1553"/>
      <c r="AC176" s="9512" t="s">
        <v>89</v>
      </c>
      <c r="AD176" s="9513"/>
      <c r="AE176" s="9513"/>
      <c r="AF176" s="9513"/>
      <c r="AG176" s="9513"/>
      <c r="AH176" s="9513"/>
      <c r="AI176" s="9513"/>
      <c r="AJ176" s="9513"/>
      <c r="AK176" s="1127"/>
      <c r="AL176" s="1127"/>
      <c r="AM176" s="1127"/>
      <c r="AN176" s="1179"/>
      <c r="AO176" s="1179"/>
      <c r="AP176" s="1179"/>
      <c r="AQ176" s="2595"/>
      <c r="AR176" s="2595"/>
      <c r="AS176" s="2595"/>
      <c r="AT176" s="2595"/>
      <c r="AU176" s="2595"/>
      <c r="AV176" s="2595"/>
      <c r="AW176" s="2595"/>
      <c r="AX176" s="2595"/>
      <c r="AY176" s="2595"/>
      <c r="AZ176" s="2595"/>
      <c r="BA176" s="42"/>
      <c r="BB176" s="42"/>
    </row>
    <row r="177" spans="1:54" s="3402" customFormat="1" ht="21.75" customHeight="1">
      <c r="A177" s="1127"/>
      <c r="B177" s="9516" t="str">
        <f>Names</f>
        <v/>
      </c>
      <c r="C177" s="9517"/>
      <c r="D177" s="9517"/>
      <c r="E177" s="9517"/>
      <c r="F177" s="9517"/>
      <c r="G177" s="9517"/>
      <c r="H177" s="9517"/>
      <c r="I177" s="9517"/>
      <c r="J177" s="9517"/>
      <c r="K177" s="9517"/>
      <c r="L177" s="9517"/>
      <c r="M177" s="9517"/>
      <c r="N177" s="9517"/>
      <c r="O177" s="9517"/>
      <c r="P177" s="9517"/>
      <c r="Q177" s="9517"/>
      <c r="R177" s="9517"/>
      <c r="S177" s="9517"/>
      <c r="T177" s="9517"/>
      <c r="U177" s="9517"/>
      <c r="V177" s="9517"/>
      <c r="W177" s="9517"/>
      <c r="X177" s="9517"/>
      <c r="Y177" s="9517"/>
      <c r="Z177" s="9517"/>
      <c r="AA177" s="9517"/>
      <c r="AB177" s="9518"/>
      <c r="AC177" s="9514">
        <f>IF(OR(NoSSN,SS_Yours=""),"",SS_Yours)</f>
        <v>1010001</v>
      </c>
      <c r="AD177" s="9515"/>
      <c r="AE177" s="9515"/>
      <c r="AF177" s="9515"/>
      <c r="AG177" s="9515"/>
      <c r="AH177" s="9515"/>
      <c r="AI177" s="9515"/>
      <c r="AJ177" s="9515"/>
      <c r="AK177" s="1127"/>
      <c r="AL177" s="1127"/>
      <c r="AM177" s="1127"/>
      <c r="AN177" s="1179"/>
      <c r="AO177" s="1179"/>
      <c r="AP177" s="1179"/>
      <c r="AQ177" s="2595"/>
      <c r="AR177" s="2595"/>
      <c r="AS177" s="2595"/>
      <c r="AT177" s="2595"/>
      <c r="AU177" s="2595"/>
      <c r="AV177" s="2595"/>
      <c r="AW177" s="2595"/>
      <c r="AX177" s="2595"/>
      <c r="AY177" s="2595"/>
      <c r="AZ177" s="2595"/>
      <c r="BA177" s="42"/>
      <c r="BB177" s="42"/>
    </row>
    <row r="178" spans="1:54" s="3402" customFormat="1" ht="5.25" customHeight="1">
      <c r="A178" s="1127"/>
      <c r="B178" s="4373"/>
      <c r="C178" s="4373"/>
      <c r="D178" s="4373" t="s">
        <v>3770</v>
      </c>
      <c r="E178" s="4373"/>
      <c r="F178" s="4373"/>
      <c r="G178" s="4373"/>
      <c r="H178" s="4373"/>
      <c r="I178" s="4373"/>
      <c r="J178" s="4373"/>
      <c r="K178" s="4373"/>
      <c r="L178" s="4373"/>
      <c r="M178" s="4373"/>
      <c r="N178" s="4373"/>
      <c r="O178" s="4373"/>
      <c r="P178" s="4373"/>
      <c r="Q178" s="4373"/>
      <c r="R178" s="4373"/>
      <c r="S178" s="4373"/>
      <c r="T178" s="4373"/>
      <c r="U178" s="4373"/>
      <c r="V178" s="4373"/>
      <c r="W178" s="4373"/>
      <c r="X178" s="4373"/>
      <c r="Y178" s="4373"/>
      <c r="Z178" s="4373"/>
      <c r="AA178" s="4373"/>
      <c r="AB178" s="4373"/>
      <c r="AC178" s="4373"/>
      <c r="AD178" s="4373"/>
      <c r="AE178" s="4373"/>
      <c r="AF178" s="4373"/>
      <c r="AG178" s="4373"/>
      <c r="AH178" s="4373"/>
      <c r="AI178" s="4373"/>
      <c r="AJ178" s="4373"/>
      <c r="AK178" s="1127"/>
      <c r="AL178" s="1127"/>
      <c r="AM178" s="1127"/>
      <c r="AN178" s="1179"/>
      <c r="AO178" s="1179"/>
      <c r="AP178" s="1179"/>
      <c r="AQ178" s="2595"/>
      <c r="AR178" s="2595"/>
      <c r="AS178" s="2595"/>
      <c r="AT178" s="2595"/>
      <c r="AU178" s="2595"/>
      <c r="AV178" s="2595"/>
      <c r="AW178" s="2595"/>
      <c r="AX178" s="2595"/>
      <c r="AY178" s="2595"/>
      <c r="AZ178" s="2595"/>
      <c r="BA178" s="42"/>
      <c r="BB178" s="42"/>
    </row>
    <row r="179" spans="1:54" s="4381" customFormat="1" ht="15.75" customHeight="1">
      <c r="A179" s="4353"/>
      <c r="B179" s="4374"/>
      <c r="C179" s="4374"/>
      <c r="D179" s="4393" t="s">
        <v>3771</v>
      </c>
      <c r="E179" s="4374"/>
      <c r="F179" s="4374"/>
      <c r="G179" s="4374"/>
      <c r="H179" s="4374"/>
      <c r="I179" s="4374"/>
      <c r="J179" s="4374"/>
      <c r="K179" s="4374"/>
      <c r="L179" s="4374"/>
      <c r="M179" s="4374"/>
      <c r="N179" s="4374"/>
      <c r="O179" s="4374"/>
      <c r="P179" s="4374"/>
      <c r="Q179" s="4374"/>
      <c r="R179" s="4374"/>
      <c r="S179" s="4374"/>
      <c r="T179" s="4374"/>
      <c r="U179" s="4374"/>
      <c r="V179" s="4374"/>
      <c r="W179" s="4374"/>
      <c r="X179" s="4374"/>
      <c r="Y179" s="4374"/>
      <c r="Z179" s="4374"/>
      <c r="AA179" s="4374"/>
      <c r="AB179" s="4374"/>
      <c r="AC179" s="4374"/>
      <c r="AD179" s="4374"/>
      <c r="AE179" s="4374"/>
      <c r="AF179" s="4374"/>
      <c r="AG179" s="4374"/>
      <c r="AH179" s="4374"/>
      <c r="AI179" s="4374"/>
      <c r="AJ179" s="4374"/>
      <c r="AK179" s="4353"/>
      <c r="AL179" s="4353"/>
      <c r="AM179" s="4353"/>
      <c r="AN179" s="4354"/>
      <c r="AO179" s="4354"/>
      <c r="AP179" s="2051"/>
      <c r="AQ179" s="4380"/>
      <c r="AR179" s="4380"/>
      <c r="AS179" s="4380"/>
      <c r="AT179" s="4380"/>
      <c r="AU179" s="4380"/>
      <c r="AV179" s="4380"/>
      <c r="AW179" s="4380"/>
      <c r="AX179" s="4380"/>
      <c r="AY179" s="4380"/>
      <c r="AZ179" s="4380"/>
      <c r="BA179" s="4355"/>
      <c r="BB179" s="4355"/>
    </row>
    <row r="180" spans="1:54" s="4381" customFormat="1" ht="15.75" customHeight="1">
      <c r="A180" s="4353"/>
      <c r="B180" s="4374"/>
      <c r="C180" s="4374"/>
      <c r="D180" s="4393" t="s">
        <v>3769</v>
      </c>
      <c r="E180" s="4374"/>
      <c r="F180" s="4374"/>
      <c r="G180" s="4374"/>
      <c r="H180" s="4374"/>
      <c r="I180" s="4374"/>
      <c r="J180" s="4374"/>
      <c r="K180" s="4374"/>
      <c r="L180" s="4374"/>
      <c r="M180" s="4374"/>
      <c r="N180" s="4374"/>
      <c r="O180" s="4374"/>
      <c r="P180" s="4374"/>
      <c r="Q180" s="4374"/>
      <c r="R180" s="4374"/>
      <c r="S180" s="4374"/>
      <c r="T180" s="4374"/>
      <c r="U180" s="4374"/>
      <c r="V180" s="4374"/>
      <c r="W180" s="4374"/>
      <c r="X180" s="4374"/>
      <c r="Y180" s="4374"/>
      <c r="Z180" s="4374"/>
      <c r="AA180" s="4374"/>
      <c r="AB180" s="4374"/>
      <c r="AC180" s="4374"/>
      <c r="AD180" s="4374"/>
      <c r="AE180" s="4374"/>
      <c r="AF180" s="4374"/>
      <c r="AG180" s="4374"/>
      <c r="AH180" s="4374"/>
      <c r="AI180" s="4374"/>
      <c r="AJ180" s="4374"/>
      <c r="AK180" s="4353"/>
      <c r="AL180" s="4353"/>
      <c r="AM180" s="4353"/>
      <c r="AN180" s="4354"/>
      <c r="AO180" s="4354"/>
      <c r="AP180" s="2051"/>
      <c r="AQ180" s="4380"/>
      <c r="AR180" s="4380"/>
      <c r="AS180" s="4380"/>
      <c r="AT180" s="4380"/>
      <c r="AU180" s="4380"/>
      <c r="AV180" s="4380"/>
      <c r="AW180" s="4380"/>
      <c r="AX180" s="4380"/>
      <c r="AY180" s="4380"/>
      <c r="AZ180" s="4380"/>
      <c r="BA180" s="4355"/>
      <c r="BB180" s="4355"/>
    </row>
    <row r="181" spans="1:54" s="4381" customFormat="1" ht="15.75" customHeight="1">
      <c r="A181" s="4353"/>
      <c r="B181" s="4374"/>
      <c r="C181" s="4374"/>
      <c r="D181" s="4394" t="s">
        <v>3768</v>
      </c>
      <c r="E181" s="4374"/>
      <c r="F181" s="4374"/>
      <c r="G181" s="4374"/>
      <c r="H181" s="4374"/>
      <c r="I181" s="4374"/>
      <c r="J181" s="4374"/>
      <c r="K181" s="4374"/>
      <c r="L181" s="4374"/>
      <c r="M181" s="4374"/>
      <c r="N181" s="4374"/>
      <c r="O181" s="4374"/>
      <c r="P181" s="4374"/>
      <c r="Q181" s="4374"/>
      <c r="R181" s="4374"/>
      <c r="S181" s="4374"/>
      <c r="T181" s="4374"/>
      <c r="U181" s="4374"/>
      <c r="V181" s="4374"/>
      <c r="W181" s="4374"/>
      <c r="X181" s="4374"/>
      <c r="Y181" s="4374"/>
      <c r="Z181" s="4374"/>
      <c r="AA181" s="4374"/>
      <c r="AB181" s="4374"/>
      <c r="AC181" s="4374"/>
      <c r="AD181" s="4374"/>
      <c r="AE181" s="4374"/>
      <c r="AF181" s="4374"/>
      <c r="AG181" s="4374"/>
      <c r="AH181" s="4374"/>
      <c r="AI181" s="4374"/>
      <c r="AJ181" s="4374"/>
      <c r="AK181" s="4353"/>
      <c r="AL181" s="4353"/>
      <c r="AM181" s="4353"/>
      <c r="AN181" s="4354"/>
      <c r="AO181" s="4354"/>
      <c r="AP181" s="2051"/>
      <c r="AQ181" s="4380"/>
      <c r="AR181" s="4380"/>
      <c r="AS181" s="4380"/>
      <c r="AT181" s="4380"/>
      <c r="AU181" s="4380"/>
      <c r="AV181" s="4380"/>
      <c r="AW181" s="4380"/>
      <c r="AX181" s="4380"/>
      <c r="AY181" s="4380"/>
      <c r="AZ181" s="4380"/>
      <c r="BA181" s="4355"/>
      <c r="BB181" s="4355"/>
    </row>
    <row r="182" spans="1:54" s="3402" customFormat="1" ht="6" customHeight="1">
      <c r="A182" s="1127"/>
      <c r="B182" s="4375"/>
      <c r="C182" s="4375"/>
      <c r="D182" s="4375"/>
      <c r="E182" s="4375"/>
      <c r="F182" s="4375"/>
      <c r="G182" s="4375"/>
      <c r="H182" s="4375"/>
      <c r="I182" s="4375"/>
      <c r="J182" s="4375"/>
      <c r="K182" s="4375"/>
      <c r="L182" s="4375"/>
      <c r="M182" s="4375"/>
      <c r="N182" s="4375"/>
      <c r="O182" s="4375"/>
      <c r="P182" s="4375"/>
      <c r="Q182" s="4375"/>
      <c r="R182" s="4375"/>
      <c r="S182" s="4375"/>
      <c r="T182" s="4375"/>
      <c r="U182" s="4375"/>
      <c r="V182" s="4375"/>
      <c r="W182" s="4375"/>
      <c r="X182" s="4375"/>
      <c r="Y182" s="4375"/>
      <c r="Z182" s="4375"/>
      <c r="AA182" s="4375"/>
      <c r="AB182" s="4375"/>
      <c r="AC182" s="4375"/>
      <c r="AD182" s="4375"/>
      <c r="AE182" s="4375"/>
      <c r="AF182" s="4375"/>
      <c r="AG182" s="4375"/>
      <c r="AH182" s="4375"/>
      <c r="AI182" s="4375"/>
      <c r="AJ182" s="4375"/>
      <c r="AK182" s="1127"/>
      <c r="AL182" s="1127"/>
      <c r="AM182" s="1127"/>
      <c r="AN182" s="1179"/>
      <c r="AO182" s="1179"/>
      <c r="AP182" s="1179"/>
      <c r="AQ182" s="2595"/>
      <c r="AR182" s="2595"/>
      <c r="AS182" s="2595"/>
      <c r="AT182" s="2595"/>
      <c r="AU182" s="2595"/>
      <c r="AV182" s="2595"/>
      <c r="AW182" s="2595"/>
      <c r="AX182" s="2595"/>
      <c r="AY182" s="2595"/>
      <c r="AZ182" s="2595"/>
      <c r="BA182" s="42"/>
      <c r="BB182" s="42"/>
    </row>
    <row r="183" spans="1:54" s="3402" customFormat="1" ht="19.5" customHeight="1">
      <c r="A183" s="1127"/>
      <c r="B183" s="6769" t="s">
        <v>319</v>
      </c>
      <c r="C183" s="6769"/>
      <c r="D183" s="1571"/>
      <c r="E183" s="4748" t="s">
        <v>4248</v>
      </c>
      <c r="F183" s="1553"/>
      <c r="G183" s="1553"/>
      <c r="H183" s="1553"/>
      <c r="I183" s="1553"/>
      <c r="J183" s="1553"/>
      <c r="K183" s="1553"/>
      <c r="L183" s="1553"/>
      <c r="M183" s="1553"/>
      <c r="N183" s="1553"/>
      <c r="O183" s="1553"/>
      <c r="P183" s="1553"/>
      <c r="Q183" s="1553"/>
      <c r="R183" s="1553"/>
      <c r="S183" s="1553"/>
      <c r="T183" s="1553"/>
      <c r="U183" s="1553"/>
      <c r="V183" s="1553"/>
      <c r="W183" s="1553"/>
      <c r="X183" s="1553"/>
      <c r="Y183" s="1553"/>
      <c r="Z183" s="1553"/>
      <c r="AA183" s="1553"/>
      <c r="AB183" s="1553"/>
      <c r="AC183" s="1553"/>
      <c r="AD183" s="1553"/>
      <c r="AE183" s="1553"/>
      <c r="AF183" s="1553"/>
      <c r="AG183" s="1553"/>
      <c r="AH183" s="1553"/>
      <c r="AI183" s="1553"/>
      <c r="AJ183" s="1553"/>
      <c r="AK183" s="1127"/>
      <c r="AL183" s="1127"/>
      <c r="AM183" s="1127"/>
      <c r="AN183" s="1179"/>
      <c r="AO183" s="1179"/>
      <c r="AP183" s="1179"/>
      <c r="AQ183" s="2595"/>
      <c r="AR183" s="2595"/>
      <c r="AS183" s="2595"/>
      <c r="AT183" s="2595"/>
      <c r="AU183" s="2595"/>
      <c r="AV183" s="2595"/>
      <c r="AW183" s="2595"/>
      <c r="AX183" s="2595"/>
      <c r="AY183" s="2595"/>
      <c r="AZ183" s="2595"/>
      <c r="BA183" s="42"/>
      <c r="BB183" s="42"/>
    </row>
    <row r="184" spans="1:54" s="3402" customFormat="1" ht="16.5" customHeight="1">
      <c r="A184" s="1127"/>
      <c r="B184" s="1559" t="s">
        <v>1113</v>
      </c>
      <c r="C184" s="1179"/>
      <c r="D184" s="4361" t="s">
        <v>3710</v>
      </c>
      <c r="E184" s="1574"/>
      <c r="F184" s="1574"/>
      <c r="G184" s="1574"/>
      <c r="H184" s="1574"/>
      <c r="I184" s="1574"/>
      <c r="J184" s="1574"/>
      <c r="K184" s="1574"/>
      <c r="L184" s="1574"/>
      <c r="M184" s="1575"/>
      <c r="N184" s="1576"/>
      <c r="O184" s="1706"/>
      <c r="P184" s="1574"/>
      <c r="Q184" s="1574"/>
      <c r="R184" s="1706"/>
      <c r="S184" s="1706"/>
      <c r="T184" s="1576">
        <v>21</v>
      </c>
      <c r="U184" s="4361" t="s">
        <v>3711</v>
      </c>
      <c r="V184" s="1706"/>
      <c r="W184" s="1706"/>
      <c r="X184" s="1706"/>
      <c r="Y184" s="1706"/>
      <c r="Z184" s="1706"/>
      <c r="AA184" s="1706"/>
      <c r="AB184" s="4363"/>
      <c r="AC184" s="1706"/>
      <c r="AD184" s="1706"/>
      <c r="AE184" s="1706"/>
      <c r="AF184" s="1706"/>
      <c r="AG184" s="1574"/>
      <c r="AH184" s="1706"/>
      <c r="AI184" s="1706"/>
      <c r="AJ184" s="1706"/>
      <c r="AK184" s="1127"/>
      <c r="AL184" s="1127"/>
      <c r="AM184" s="1127"/>
      <c r="AN184" s="1179"/>
      <c r="AO184" s="1179"/>
      <c r="AP184" s="1179"/>
      <c r="AQ184" s="2595"/>
      <c r="AR184" s="2595"/>
      <c r="AS184" s="2595"/>
      <c r="AT184" s="2595"/>
      <c r="AU184" s="2595"/>
      <c r="AV184" s="2595"/>
      <c r="AW184" s="2595"/>
      <c r="AX184" s="2595"/>
      <c r="AY184" s="2595"/>
      <c r="AZ184" s="2595"/>
      <c r="BA184" s="42"/>
      <c r="BB184" s="42"/>
    </row>
    <row r="185" spans="1:54" s="3402" customFormat="1" ht="15">
      <c r="A185" s="1127"/>
      <c r="B185" s="1559"/>
      <c r="C185" s="1179"/>
      <c r="D185" s="9524"/>
      <c r="E185" s="9524"/>
      <c r="F185" s="9524"/>
      <c r="G185" s="9524"/>
      <c r="H185" s="9524"/>
      <c r="I185" s="9524"/>
      <c r="J185" s="9524"/>
      <c r="K185" s="9524"/>
      <c r="L185" s="9524"/>
      <c r="M185" s="9524"/>
      <c r="N185" s="9524"/>
      <c r="O185" s="9524"/>
      <c r="P185" s="9524"/>
      <c r="Q185" s="9524"/>
      <c r="R185" s="9524"/>
      <c r="S185" s="9525"/>
      <c r="T185" s="4442"/>
      <c r="U185" s="3081" t="s">
        <v>3712</v>
      </c>
      <c r="V185" s="4443"/>
      <c r="W185" s="4443"/>
      <c r="X185" s="4443"/>
      <c r="Y185" s="4443"/>
      <c r="Z185" s="4443"/>
      <c r="AA185" s="4443"/>
      <c r="AB185" s="4443"/>
      <c r="AC185" s="4443"/>
      <c r="AD185" s="4443"/>
      <c r="AE185" s="4443"/>
      <c r="AF185" s="4443"/>
      <c r="AG185" s="4443"/>
      <c r="AH185" s="4443"/>
      <c r="AI185" s="4443"/>
      <c r="AJ185" s="4443"/>
      <c r="AK185" s="1127"/>
      <c r="AL185" s="1127"/>
      <c r="AM185" s="1127"/>
      <c r="AN185" s="1179"/>
      <c r="AO185" s="1179"/>
      <c r="AP185" s="1179"/>
      <c r="AQ185" s="2595"/>
      <c r="AR185" s="2595"/>
      <c r="AS185" s="2595"/>
      <c r="AT185" s="2595"/>
      <c r="AU185" s="2595"/>
      <c r="AV185" s="2595"/>
      <c r="AW185" s="2595"/>
      <c r="AX185" s="2595"/>
      <c r="AY185" s="2595"/>
      <c r="AZ185" s="2595"/>
      <c r="BA185" s="42"/>
      <c r="BB185" s="42"/>
    </row>
    <row r="186" spans="1:54" s="3402" customFormat="1" ht="18" customHeight="1">
      <c r="A186" s="1127"/>
      <c r="B186" s="1559"/>
      <c r="C186" s="1179"/>
      <c r="D186" s="9526"/>
      <c r="E186" s="9526"/>
      <c r="F186" s="9526"/>
      <c r="G186" s="9526"/>
      <c r="H186" s="9526"/>
      <c r="I186" s="9526"/>
      <c r="J186" s="9526"/>
      <c r="K186" s="9526"/>
      <c r="L186" s="9526"/>
      <c r="M186" s="9526"/>
      <c r="N186" s="9526"/>
      <c r="O186" s="9526"/>
      <c r="P186" s="9526"/>
      <c r="Q186" s="9526"/>
      <c r="R186" s="9526"/>
      <c r="S186" s="9527"/>
      <c r="T186" s="4364"/>
      <c r="U186" s="9528"/>
      <c r="V186" s="9528"/>
      <c r="W186" s="9528"/>
      <c r="X186" s="9528"/>
      <c r="Y186" s="9528"/>
      <c r="Z186" s="9528"/>
      <c r="AA186" s="9528"/>
      <c r="AB186" s="9528"/>
      <c r="AC186" s="9528"/>
      <c r="AD186" s="9528"/>
      <c r="AE186" s="9528"/>
      <c r="AF186" s="9528"/>
      <c r="AG186" s="9528"/>
      <c r="AH186" s="9528"/>
      <c r="AI186" s="9528"/>
      <c r="AJ186" s="9528"/>
      <c r="AK186" s="1127"/>
      <c r="AL186" s="1127"/>
      <c r="AM186" s="1127"/>
      <c r="AN186" s="1179"/>
      <c r="AO186" s="1179"/>
      <c r="AP186" s="1179"/>
      <c r="AQ186" s="2595"/>
      <c r="AR186" s="2595"/>
      <c r="AS186" s="2595"/>
      <c r="AT186" s="2595"/>
      <c r="AU186" s="2595"/>
      <c r="AV186" s="2595"/>
      <c r="AW186" s="2595"/>
      <c r="AX186" s="2595"/>
      <c r="AY186" s="2595"/>
      <c r="AZ186" s="2595"/>
      <c r="BA186" s="42"/>
      <c r="BB186" s="42"/>
    </row>
    <row r="187" spans="1:54" s="3402" customFormat="1" ht="16.5" customHeight="1">
      <c r="A187" s="1127"/>
      <c r="B187" s="1565">
        <v>22</v>
      </c>
      <c r="C187" s="1554"/>
      <c r="D187" s="2791" t="s">
        <v>3713</v>
      </c>
      <c r="E187" s="1553"/>
      <c r="F187" s="1553"/>
      <c r="G187" s="1553"/>
      <c r="H187" s="1553"/>
      <c r="I187" s="1553"/>
      <c r="J187" s="1553"/>
      <c r="K187" s="1553"/>
      <c r="L187" s="1553"/>
      <c r="M187" s="1553"/>
      <c r="N187" s="1553"/>
      <c r="O187" s="1553"/>
      <c r="P187" s="1553"/>
      <c r="Q187" s="1553"/>
      <c r="R187" s="1553"/>
      <c r="S187" s="1553"/>
      <c r="T187" s="1553"/>
      <c r="U187" s="1553"/>
      <c r="V187" s="1553"/>
      <c r="W187" s="1553"/>
      <c r="X187" s="1553"/>
      <c r="Y187" s="1553"/>
      <c r="Z187" s="1553"/>
      <c r="AA187" s="1553"/>
      <c r="AB187" s="1553"/>
      <c r="AC187" s="1553"/>
      <c r="AD187" s="1553"/>
      <c r="AE187" s="1553"/>
      <c r="AF187" s="1553"/>
      <c r="AG187" s="1553"/>
      <c r="AH187" s="1553"/>
      <c r="AI187" s="1553"/>
      <c r="AJ187" s="1553"/>
      <c r="AK187" s="1127"/>
      <c r="AL187" s="1127"/>
      <c r="AM187" s="1127"/>
      <c r="AN187" s="1179"/>
      <c r="AO187" s="1179"/>
      <c r="AP187" s="1179"/>
      <c r="AQ187" s="2595"/>
      <c r="AR187" s="2595"/>
      <c r="AS187" s="2595"/>
      <c r="AT187" s="2595"/>
      <c r="AU187" s="2595"/>
      <c r="AV187" s="2595"/>
      <c r="AW187" s="2595"/>
      <c r="AX187" s="2595"/>
      <c r="AY187" s="2595"/>
      <c r="AZ187" s="2595"/>
      <c r="BA187" s="42"/>
      <c r="BB187" s="42"/>
    </row>
    <row r="188" spans="1:54" s="3402" customFormat="1" ht="16.5" customHeight="1">
      <c r="A188" s="1127"/>
      <c r="B188" s="1559"/>
      <c r="C188" s="1179"/>
      <c r="D188" s="1573" t="s">
        <v>591</v>
      </c>
      <c r="E188" s="1706" t="s">
        <v>3714</v>
      </c>
      <c r="F188" s="1574"/>
      <c r="G188" s="1574"/>
      <c r="H188" s="1574"/>
      <c r="I188" s="1574"/>
      <c r="J188" s="1574"/>
      <c r="K188" s="1574"/>
      <c r="L188" s="1574"/>
      <c r="M188" s="1574"/>
      <c r="N188" s="1573"/>
      <c r="O188" s="1706"/>
      <c r="P188" s="1574"/>
      <c r="Q188" s="1574"/>
      <c r="R188" s="1706"/>
      <c r="S188" s="4362"/>
      <c r="T188" s="1576"/>
      <c r="U188" s="1573" t="s">
        <v>592</v>
      </c>
      <c r="V188" s="1706" t="s">
        <v>3715</v>
      </c>
      <c r="W188" s="1706"/>
      <c r="X188" s="1706"/>
      <c r="Y188" s="1706"/>
      <c r="Z188" s="1706"/>
      <c r="AA188" s="1706"/>
      <c r="AB188" s="4363"/>
      <c r="AC188" s="1706"/>
      <c r="AD188" s="1706"/>
      <c r="AE188" s="1706"/>
      <c r="AF188" s="1574"/>
      <c r="AG188" s="1706"/>
      <c r="AH188" s="1706"/>
      <c r="AI188" s="1706"/>
      <c r="AJ188" s="1706"/>
      <c r="AK188" s="1127"/>
      <c r="AL188" s="1127"/>
      <c r="AM188" s="1127"/>
      <c r="AN188" s="1179"/>
      <c r="AO188" s="1179"/>
      <c r="AP188" s="1179"/>
      <c r="AQ188" s="2595"/>
      <c r="AR188" s="2595"/>
      <c r="AS188" s="2595"/>
      <c r="AT188" s="2595"/>
      <c r="AU188" s="2595"/>
      <c r="AV188" s="2595"/>
      <c r="AW188" s="2595"/>
      <c r="AX188" s="2595"/>
      <c r="AY188" s="2595"/>
      <c r="AZ188" s="2595"/>
      <c r="BA188" s="42"/>
      <c r="BB188" s="42"/>
    </row>
    <row r="189" spans="1:54" s="3402" customFormat="1" ht="18">
      <c r="A189" s="1127"/>
      <c r="B189" s="1559"/>
      <c r="C189" s="42"/>
      <c r="D189" s="9522"/>
      <c r="E189" s="9522"/>
      <c r="F189" s="9522"/>
      <c r="G189" s="9522"/>
      <c r="H189" s="9522"/>
      <c r="I189" s="9522"/>
      <c r="J189" s="9522"/>
      <c r="K189" s="9522"/>
      <c r="L189" s="9522"/>
      <c r="M189" s="9522"/>
      <c r="N189" s="9522"/>
      <c r="O189" s="9522"/>
      <c r="P189" s="9522"/>
      <c r="Q189" s="9522"/>
      <c r="R189" s="9522"/>
      <c r="S189" s="9523"/>
      <c r="T189" s="9529"/>
      <c r="U189" s="9530"/>
      <c r="V189" s="9530"/>
      <c r="W189" s="9530"/>
      <c r="X189" s="9530"/>
      <c r="Y189" s="9530"/>
      <c r="Z189" s="9530"/>
      <c r="AA189" s="9530"/>
      <c r="AB189" s="9530"/>
      <c r="AC189" s="9530"/>
      <c r="AD189" s="9530"/>
      <c r="AE189" s="9530"/>
      <c r="AF189" s="9530"/>
      <c r="AG189" s="9530"/>
      <c r="AH189" s="9530"/>
      <c r="AI189" s="9530"/>
      <c r="AJ189" s="9530"/>
      <c r="AK189" s="1127"/>
      <c r="AL189" s="1127"/>
      <c r="AM189" s="1127"/>
      <c r="AN189" s="1179"/>
      <c r="AO189" s="1179"/>
      <c r="AP189" s="1179"/>
      <c r="AQ189" s="2595"/>
      <c r="AR189" s="2595"/>
      <c r="AS189" s="2595"/>
      <c r="AT189" s="2595"/>
      <c r="AU189" s="2595"/>
      <c r="AV189" s="2595"/>
      <c r="AW189" s="2595"/>
      <c r="AX189" s="2595"/>
      <c r="AY189" s="2595"/>
      <c r="AZ189" s="2595"/>
      <c r="BA189" s="42"/>
      <c r="BB189" s="42"/>
    </row>
    <row r="190" spans="1:54" s="3402" customFormat="1" ht="12.75" customHeight="1">
      <c r="A190" s="1127"/>
      <c r="B190" s="1179"/>
      <c r="C190" s="1179"/>
      <c r="D190" s="4359" t="s">
        <v>2080</v>
      </c>
      <c r="E190" s="2686" t="s">
        <v>3716</v>
      </c>
      <c r="F190" s="1179"/>
      <c r="G190" s="1179"/>
      <c r="H190" s="1179"/>
      <c r="I190" s="1179"/>
      <c r="J190" s="1179"/>
      <c r="K190" s="1179"/>
      <c r="L190" s="1179"/>
      <c r="M190" s="1179"/>
      <c r="N190" s="1179"/>
      <c r="O190" s="1179"/>
      <c r="P190" s="1179"/>
      <c r="Q190" s="1179"/>
      <c r="R190" s="1179"/>
      <c r="S190" s="1575"/>
      <c r="T190" s="1179"/>
      <c r="U190" s="4359" t="s">
        <v>2080</v>
      </c>
      <c r="V190" s="2686" t="s">
        <v>3716</v>
      </c>
      <c r="W190" s="1179"/>
      <c r="X190" s="1179"/>
      <c r="Y190" s="1179"/>
      <c r="Z190" s="1179"/>
      <c r="AA190" s="1179"/>
      <c r="AB190" s="1179"/>
      <c r="AC190" s="1179"/>
      <c r="AD190" s="1179"/>
      <c r="AE190" s="1179"/>
      <c r="AF190" s="1179"/>
      <c r="AG190" s="1179"/>
      <c r="AH190" s="1179"/>
      <c r="AI190" s="1179"/>
      <c r="AJ190" s="1179"/>
      <c r="AK190" s="1127"/>
      <c r="AL190" s="1127"/>
      <c r="AM190" s="1127"/>
      <c r="AN190" s="1179"/>
      <c r="AO190" s="1179"/>
      <c r="AP190" s="1179"/>
      <c r="AQ190" s="2595"/>
      <c r="AR190" s="2595"/>
      <c r="AS190" s="2595"/>
      <c r="AT190" s="2595"/>
      <c r="AU190" s="2595"/>
      <c r="AV190" s="2595"/>
      <c r="AW190" s="2595"/>
      <c r="AX190" s="2595"/>
      <c r="AY190" s="2595"/>
      <c r="AZ190" s="2595"/>
      <c r="BA190" s="42"/>
      <c r="BB190" s="42"/>
    </row>
    <row r="191" spans="1:54" s="3402" customFormat="1" ht="14.25">
      <c r="A191" s="1127"/>
      <c r="B191" s="1179"/>
      <c r="C191" s="1179"/>
      <c r="D191" s="1179"/>
      <c r="E191" s="2686" t="s">
        <v>3717</v>
      </c>
      <c r="F191" s="1179"/>
      <c r="G191" s="1179"/>
      <c r="H191" s="1179"/>
      <c r="I191" s="1179"/>
      <c r="J191" s="1179"/>
      <c r="K191" s="1179"/>
      <c r="L191" s="1179"/>
      <c r="M191" s="1179"/>
      <c r="N191" s="1179"/>
      <c r="O191" s="1179"/>
      <c r="P191" s="1179"/>
      <c r="Q191" s="1179"/>
      <c r="R191" s="1179"/>
      <c r="S191" s="1583"/>
      <c r="T191" s="1179"/>
      <c r="U191" s="1179"/>
      <c r="V191" s="2686" t="s">
        <v>3717</v>
      </c>
      <c r="W191" s="1179"/>
      <c r="X191" s="1179"/>
      <c r="Y191" s="1179"/>
      <c r="Z191" s="1179"/>
      <c r="AA191" s="1179"/>
      <c r="AB191" s="1179"/>
      <c r="AC191" s="1179"/>
      <c r="AD191" s="1179"/>
      <c r="AE191" s="1179"/>
      <c r="AF191" s="1179"/>
      <c r="AG191" s="1179"/>
      <c r="AH191" s="1179"/>
      <c r="AI191" s="1179"/>
      <c r="AJ191" s="1179"/>
      <c r="AK191" s="1127"/>
      <c r="AL191" s="1127"/>
      <c r="AM191" s="1127"/>
      <c r="AN191" s="1179"/>
      <c r="AO191" s="1179"/>
      <c r="AP191" s="1179"/>
      <c r="AQ191" s="2595"/>
      <c r="AR191" s="2595"/>
      <c r="AS191" s="2595"/>
      <c r="AT191" s="2595"/>
      <c r="AU191" s="2595"/>
      <c r="AV191" s="2595"/>
      <c r="AW191" s="2595"/>
      <c r="AX191" s="2595"/>
      <c r="AY191" s="2595"/>
      <c r="AZ191" s="2595"/>
      <c r="BA191" s="42"/>
      <c r="BB191" s="42"/>
    </row>
    <row r="192" spans="1:54" s="3402" customFormat="1" ht="14.25">
      <c r="A192" s="1127"/>
      <c r="B192" s="1179"/>
      <c r="C192" s="1179"/>
      <c r="D192" s="1179"/>
      <c r="E192" s="2686" t="s">
        <v>485</v>
      </c>
      <c r="F192" s="1179"/>
      <c r="G192" s="1179"/>
      <c r="H192" s="1179"/>
      <c r="I192" s="1179"/>
      <c r="J192" s="1179"/>
      <c r="K192" s="1179"/>
      <c r="L192" s="1179"/>
      <c r="M192" s="1179"/>
      <c r="N192" s="1179"/>
      <c r="O192" s="1179"/>
      <c r="P192" s="1179"/>
      <c r="Q192" s="1179"/>
      <c r="R192" s="1179"/>
      <c r="S192" s="1583"/>
      <c r="T192" s="1179"/>
      <c r="U192" s="1179"/>
      <c r="V192" s="2686" t="s">
        <v>485</v>
      </c>
      <c r="W192" s="1179"/>
      <c r="X192" s="1179"/>
      <c r="Y192" s="1179"/>
      <c r="Z192" s="1179"/>
      <c r="AA192" s="1179"/>
      <c r="AB192" s="1179"/>
      <c r="AC192" s="1179"/>
      <c r="AD192" s="1179"/>
      <c r="AE192" s="1179"/>
      <c r="AF192" s="1179"/>
      <c r="AG192" s="1179"/>
      <c r="AH192" s="1179"/>
      <c r="AI192" s="1179"/>
      <c r="AJ192" s="1179"/>
      <c r="AK192" s="1127"/>
      <c r="AL192" s="1127"/>
      <c r="AM192" s="1127"/>
      <c r="AN192" s="1179"/>
      <c r="AO192" s="1179"/>
      <c r="AP192" s="1179"/>
      <c r="AQ192" s="2595"/>
      <c r="AR192" s="2595"/>
      <c r="AS192" s="2595"/>
      <c r="AT192" s="2595"/>
      <c r="AU192" s="2595"/>
      <c r="AV192" s="2595"/>
      <c r="AW192" s="2595"/>
      <c r="AX192" s="2595"/>
      <c r="AY192" s="2595"/>
      <c r="AZ192" s="2595"/>
      <c r="BA192" s="42"/>
      <c r="BB192" s="42"/>
    </row>
    <row r="193" spans="1:54" s="3402" customFormat="1" ht="15.75">
      <c r="A193" s="1127"/>
      <c r="B193" s="1559"/>
      <c r="C193" s="42"/>
      <c r="D193" s="9475"/>
      <c r="E193" s="9475"/>
      <c r="F193" s="9475"/>
      <c r="G193" s="9475"/>
      <c r="H193" s="9475"/>
      <c r="I193" s="9475"/>
      <c r="J193" s="9475"/>
      <c r="K193" s="9475"/>
      <c r="L193" s="9475"/>
      <c r="M193" s="9475"/>
      <c r="N193" s="9475"/>
      <c r="O193" s="9475"/>
      <c r="P193" s="9475"/>
      <c r="Q193" s="9475"/>
      <c r="R193" s="9475"/>
      <c r="S193" s="9476"/>
      <c r="T193" s="6332"/>
      <c r="U193" s="6323"/>
      <c r="V193" s="6323"/>
      <c r="W193" s="6323"/>
      <c r="X193" s="6323"/>
      <c r="Y193" s="6323"/>
      <c r="Z193" s="6323"/>
      <c r="AA193" s="6323"/>
      <c r="AB193" s="6323"/>
      <c r="AC193" s="6323"/>
      <c r="AD193" s="6323"/>
      <c r="AE193" s="6323"/>
      <c r="AF193" s="6323"/>
      <c r="AG193" s="6323"/>
      <c r="AH193" s="6323"/>
      <c r="AI193" s="6323"/>
      <c r="AJ193" s="6323"/>
      <c r="AK193" s="1127"/>
      <c r="AL193" s="1127"/>
      <c r="AM193" s="1127"/>
      <c r="AN193" s="1179"/>
      <c r="AO193" s="1179"/>
      <c r="AP193" s="1179"/>
      <c r="AQ193" s="2595"/>
      <c r="AR193" s="2595"/>
      <c r="AS193" s="2595"/>
      <c r="AT193" s="2595"/>
      <c r="AU193" s="2595"/>
      <c r="AV193" s="2595"/>
      <c r="AW193" s="2595"/>
      <c r="AX193" s="2595"/>
      <c r="AY193" s="2595"/>
      <c r="AZ193" s="2595"/>
      <c r="BA193" s="42"/>
      <c r="BB193" s="42"/>
    </row>
    <row r="194" spans="1:54" s="3402" customFormat="1" ht="16.5" customHeight="1">
      <c r="A194" s="1127"/>
      <c r="B194" s="1179"/>
      <c r="C194" s="1179"/>
      <c r="D194" s="4359" t="s">
        <v>2082</v>
      </c>
      <c r="E194" s="9483" t="str">
        <f>"Did the student receive Form 1098-T"&amp;CHAR(10)&amp;"from this institution for "&amp;TaxYear&amp;"?"</f>
        <v>Did the student receive Form 1098-T
from this institution for 2021?</v>
      </c>
      <c r="F194" s="9483"/>
      <c r="G194" s="9483"/>
      <c r="H194" s="9483"/>
      <c r="I194" s="9483"/>
      <c r="J194" s="9483"/>
      <c r="K194" s="9483"/>
      <c r="L194" s="9483"/>
      <c r="M194" s="9483"/>
      <c r="N194" s="9483"/>
      <c r="O194" s="1179"/>
      <c r="P194" s="1179"/>
      <c r="Q194" s="1179"/>
      <c r="R194" s="1179"/>
      <c r="S194" s="1179"/>
      <c r="T194" s="1581"/>
      <c r="U194" s="4359" t="s">
        <v>2082</v>
      </c>
      <c r="V194" s="9483" t="str">
        <f>"Did the student receive Form 1098-T"&amp;CHAR(10)&amp;"from this institution for "&amp;TaxYear&amp;"?"</f>
        <v>Did the student receive Form 1098-T
from this institution for 2021?</v>
      </c>
      <c r="W194" s="9483"/>
      <c r="X194" s="9483"/>
      <c r="Y194" s="9483"/>
      <c r="Z194" s="9483"/>
      <c r="AA194" s="9483"/>
      <c r="AB194" s="9483"/>
      <c r="AC194" s="9483"/>
      <c r="AD194" s="9483"/>
      <c r="AE194" s="9483"/>
      <c r="AF194" s="1179"/>
      <c r="AG194" s="1179"/>
      <c r="AH194" s="1179"/>
      <c r="AI194" s="1179"/>
      <c r="AJ194" s="1179"/>
      <c r="AK194" s="1127"/>
      <c r="AL194" s="1127"/>
      <c r="AM194" s="1127"/>
      <c r="AN194" s="1179"/>
      <c r="AO194" s="1179"/>
      <c r="AP194" s="1179"/>
      <c r="AQ194" s="2595"/>
      <c r="AR194" s="2595"/>
      <c r="AS194" s="2595"/>
      <c r="AT194" s="2595"/>
      <c r="AU194" s="2595"/>
      <c r="AV194" s="2595"/>
      <c r="AW194" s="2595"/>
      <c r="AX194" s="2595"/>
      <c r="AY194" s="2595"/>
      <c r="AZ194" s="2595"/>
      <c r="BA194" s="42"/>
      <c r="BB194" s="42"/>
    </row>
    <row r="195" spans="1:54" s="3402" customFormat="1" ht="14.25" customHeight="1">
      <c r="A195" s="1127"/>
      <c r="B195" s="1179"/>
      <c r="C195" s="1179"/>
      <c r="D195" s="1179"/>
      <c r="E195" s="9484"/>
      <c r="F195" s="9484"/>
      <c r="G195" s="9484"/>
      <c r="H195" s="9484"/>
      <c r="I195" s="9484"/>
      <c r="J195" s="9484"/>
      <c r="K195" s="9484"/>
      <c r="L195" s="9484"/>
      <c r="M195" s="9484"/>
      <c r="N195" s="9484"/>
      <c r="O195" s="4365"/>
      <c r="P195" s="1283" t="s">
        <v>271</v>
      </c>
      <c r="Q195" s="1179"/>
      <c r="R195" s="4365"/>
      <c r="S195" s="1283" t="s">
        <v>272</v>
      </c>
      <c r="T195" s="3717"/>
      <c r="U195" s="1179"/>
      <c r="V195" s="9484"/>
      <c r="W195" s="9484"/>
      <c r="X195" s="9484"/>
      <c r="Y195" s="9484"/>
      <c r="Z195" s="9484"/>
      <c r="AA195" s="9484"/>
      <c r="AB195" s="9484"/>
      <c r="AC195" s="9484"/>
      <c r="AD195" s="9484"/>
      <c r="AE195" s="9484"/>
      <c r="AF195" s="4365"/>
      <c r="AG195" s="1283" t="s">
        <v>271</v>
      </c>
      <c r="AH195" s="1179"/>
      <c r="AI195" s="4365"/>
      <c r="AJ195" s="1283" t="s">
        <v>272</v>
      </c>
      <c r="AK195" s="1127"/>
      <c r="AL195" s="1127"/>
      <c r="AM195" s="1127"/>
      <c r="AN195" s="1179"/>
      <c r="AO195" s="1179"/>
      <c r="AP195" s="1179"/>
      <c r="AQ195" s="2595"/>
      <c r="AR195" s="2595"/>
      <c r="AS195" s="2595"/>
      <c r="AT195" s="2595"/>
      <c r="AU195" s="2595"/>
      <c r="AV195" s="2595"/>
      <c r="AW195" s="2595"/>
      <c r="AX195" s="2595"/>
      <c r="AY195" s="2595"/>
      <c r="AZ195" s="2595"/>
      <c r="BA195" s="42"/>
      <c r="BB195" s="42"/>
    </row>
    <row r="196" spans="1:54" s="3402" customFormat="1" ht="7.5" customHeight="1">
      <c r="A196" s="1127"/>
      <c r="B196" s="1553"/>
      <c r="C196" s="1553"/>
      <c r="D196" s="1553"/>
      <c r="E196" s="9485"/>
      <c r="F196" s="9485"/>
      <c r="G196" s="9485"/>
      <c r="H196" s="9485"/>
      <c r="I196" s="9485"/>
      <c r="J196" s="9485"/>
      <c r="K196" s="9485"/>
      <c r="L196" s="9485"/>
      <c r="M196" s="9485"/>
      <c r="N196" s="9485"/>
      <c r="O196" s="1553"/>
      <c r="P196" s="1553"/>
      <c r="Q196" s="1553"/>
      <c r="R196" s="1553"/>
      <c r="S196" s="1553"/>
      <c r="T196" s="1586"/>
      <c r="U196" s="1553"/>
      <c r="V196" s="9485"/>
      <c r="W196" s="9485"/>
      <c r="X196" s="9485"/>
      <c r="Y196" s="9485"/>
      <c r="Z196" s="9485"/>
      <c r="AA196" s="9485"/>
      <c r="AB196" s="9485"/>
      <c r="AC196" s="9485"/>
      <c r="AD196" s="9485"/>
      <c r="AE196" s="9485"/>
      <c r="AF196" s="1553"/>
      <c r="AG196" s="1553"/>
      <c r="AH196" s="1553"/>
      <c r="AI196" s="1553"/>
      <c r="AJ196" s="1553"/>
      <c r="AK196" s="1127"/>
      <c r="AL196" s="1127"/>
      <c r="AM196" s="1127"/>
      <c r="AN196" s="1179"/>
      <c r="AO196" s="1179"/>
      <c r="AP196" s="1179"/>
      <c r="AQ196" s="2599"/>
      <c r="AR196" s="2599"/>
      <c r="AS196" s="2599"/>
      <c r="AT196" s="2599"/>
      <c r="AU196" s="2599"/>
      <c r="AV196" s="2599"/>
      <c r="AW196" s="2599"/>
      <c r="AX196" s="2599"/>
      <c r="AY196" s="2599"/>
      <c r="AZ196" s="2599"/>
      <c r="BA196" s="42"/>
      <c r="BB196" s="42"/>
    </row>
    <row r="197" spans="1:54" s="3402" customFormat="1" ht="16.5" customHeight="1">
      <c r="A197" s="1127"/>
      <c r="B197" s="1179"/>
      <c r="C197" s="1179"/>
      <c r="D197" s="4367" t="s">
        <v>3718</v>
      </c>
      <c r="E197" s="9483" t="str">
        <f>"Did the student receive Form 1098-T"&amp;CHAR(10)&amp;"from this institution for "&amp;TaxYear-1&amp;" with box"&amp;CHAR(10)&amp;"7 checked?"</f>
        <v>Did the student receive Form 1098-T
from this institution for 2020 with box
7 checked?</v>
      </c>
      <c r="F197" s="9483"/>
      <c r="G197" s="9483"/>
      <c r="H197" s="9483"/>
      <c r="I197" s="9483"/>
      <c r="J197" s="9483"/>
      <c r="K197" s="9483"/>
      <c r="L197" s="9483"/>
      <c r="M197" s="9483"/>
      <c r="N197" s="9483"/>
      <c r="O197" s="1179"/>
      <c r="P197" s="1179"/>
      <c r="Q197" s="1179"/>
      <c r="R197" s="1179"/>
      <c r="S197" s="1179"/>
      <c r="T197" s="1582"/>
      <c r="U197" s="4367" t="s">
        <v>3718</v>
      </c>
      <c r="V197" s="9483" t="str">
        <f>"Did the student receive Form 1098-T"&amp;CHAR(10)&amp;"from this institution for "&amp;TaxYear-1&amp;" with box"&amp;CHAR(10)&amp;"7 checked?"</f>
        <v>Did the student receive Form 1098-T
from this institution for 2020 with box
7 checked?</v>
      </c>
      <c r="W197" s="9483"/>
      <c r="X197" s="9483"/>
      <c r="Y197" s="9483"/>
      <c r="Z197" s="9483"/>
      <c r="AA197" s="9483"/>
      <c r="AB197" s="9483"/>
      <c r="AC197" s="9483"/>
      <c r="AD197" s="9483"/>
      <c r="AE197" s="9483"/>
      <c r="AF197" s="1179"/>
      <c r="AG197" s="1179"/>
      <c r="AH197" s="1179"/>
      <c r="AI197" s="1179"/>
      <c r="AJ197" s="1179"/>
      <c r="AK197" s="1127"/>
      <c r="AL197" s="1127"/>
      <c r="AM197" s="1127"/>
      <c r="AN197" s="1179"/>
      <c r="AO197" s="1179"/>
      <c r="AP197" s="1179"/>
      <c r="AQ197" s="2595"/>
      <c r="AR197" s="2595"/>
      <c r="AS197" s="2595"/>
      <c r="AT197" s="2595"/>
      <c r="AU197" s="2595"/>
      <c r="AV197" s="2595"/>
      <c r="AW197" s="2595"/>
      <c r="AX197" s="2595"/>
      <c r="AY197" s="2595"/>
      <c r="AZ197" s="2595"/>
      <c r="BA197" s="42"/>
      <c r="BB197" s="42"/>
    </row>
    <row r="198" spans="1:54" s="3402" customFormat="1" ht="14.25" customHeight="1">
      <c r="A198" s="1127"/>
      <c r="B198" s="1179"/>
      <c r="C198" s="1179"/>
      <c r="D198" s="1179"/>
      <c r="E198" s="9484"/>
      <c r="F198" s="9484"/>
      <c r="G198" s="9484"/>
      <c r="H198" s="9484"/>
      <c r="I198" s="9484"/>
      <c r="J198" s="9484"/>
      <c r="K198" s="9484"/>
      <c r="L198" s="9484"/>
      <c r="M198" s="9484"/>
      <c r="N198" s="9484"/>
      <c r="O198" s="4365"/>
      <c r="P198" s="1283" t="s">
        <v>271</v>
      </c>
      <c r="Q198" s="1179"/>
      <c r="R198" s="4365"/>
      <c r="S198" s="1283" t="s">
        <v>272</v>
      </c>
      <c r="T198" s="3717"/>
      <c r="U198" s="1179"/>
      <c r="V198" s="9484"/>
      <c r="W198" s="9484"/>
      <c r="X198" s="9484"/>
      <c r="Y198" s="9484"/>
      <c r="Z198" s="9484"/>
      <c r="AA198" s="9484"/>
      <c r="AB198" s="9484"/>
      <c r="AC198" s="9484"/>
      <c r="AD198" s="9484"/>
      <c r="AE198" s="9484"/>
      <c r="AF198" s="4365"/>
      <c r="AG198" s="1283" t="s">
        <v>271</v>
      </c>
      <c r="AH198" s="1179"/>
      <c r="AI198" s="4365"/>
      <c r="AJ198" s="1283" t="s">
        <v>272</v>
      </c>
      <c r="AK198" s="1127"/>
      <c r="AL198" s="1127"/>
      <c r="AM198" s="1127"/>
      <c r="AN198" s="1179"/>
      <c r="AO198" s="1179"/>
      <c r="AP198" s="1179"/>
      <c r="AQ198" s="2595"/>
      <c r="AR198" s="2595"/>
      <c r="AS198" s="2595"/>
      <c r="AT198" s="2595"/>
      <c r="AU198" s="2595"/>
      <c r="AV198" s="2595"/>
      <c r="AW198" s="2595"/>
      <c r="AX198" s="2595"/>
      <c r="AY198" s="2595"/>
      <c r="AZ198" s="2595"/>
      <c r="BA198" s="42"/>
      <c r="BB198" s="42"/>
    </row>
    <row r="199" spans="1:54" s="3402" customFormat="1" ht="13.5" customHeight="1">
      <c r="A199" s="1127"/>
      <c r="B199" s="1553"/>
      <c r="C199" s="1553"/>
      <c r="D199" s="1553"/>
      <c r="E199" s="9485"/>
      <c r="F199" s="9485"/>
      <c r="G199" s="9485"/>
      <c r="H199" s="9485"/>
      <c r="I199" s="9485"/>
      <c r="J199" s="9485"/>
      <c r="K199" s="9485"/>
      <c r="L199" s="9485"/>
      <c r="M199" s="9485"/>
      <c r="N199" s="9485"/>
      <c r="O199" s="1553"/>
      <c r="P199" s="1553"/>
      <c r="Q199" s="1553"/>
      <c r="R199" s="1553"/>
      <c r="S199" s="1553"/>
      <c r="T199" s="1586"/>
      <c r="U199" s="1553"/>
      <c r="V199" s="9485"/>
      <c r="W199" s="9485"/>
      <c r="X199" s="9485"/>
      <c r="Y199" s="9485"/>
      <c r="Z199" s="9485"/>
      <c r="AA199" s="9485"/>
      <c r="AB199" s="9485"/>
      <c r="AC199" s="9485"/>
      <c r="AD199" s="9485"/>
      <c r="AE199" s="9485"/>
      <c r="AF199" s="1553"/>
      <c r="AG199" s="1553"/>
      <c r="AH199" s="1553"/>
      <c r="AI199" s="1553"/>
      <c r="AJ199" s="1553"/>
      <c r="AK199" s="1127"/>
      <c r="AL199" s="1127"/>
      <c r="AM199" s="1127"/>
      <c r="AN199" s="1179"/>
      <c r="AO199" s="1179"/>
      <c r="AP199" s="1179"/>
      <c r="AQ199" s="2595"/>
      <c r="AR199" s="2595"/>
      <c r="AS199" s="2595"/>
      <c r="AT199" s="2595"/>
      <c r="AU199" s="2595"/>
      <c r="AV199" s="2595"/>
      <c r="AW199" s="2595"/>
      <c r="AX199" s="2595"/>
      <c r="AY199" s="2595"/>
      <c r="AZ199" s="2595"/>
      <c r="BA199" s="42"/>
      <c r="BB199" s="42"/>
    </row>
    <row r="200" spans="1:54" s="3402" customFormat="1" ht="21" customHeight="1" thickBot="1">
      <c r="A200" s="1127"/>
      <c r="B200" s="1179"/>
      <c r="C200" s="1179"/>
      <c r="D200" s="4367" t="s">
        <v>3313</v>
      </c>
      <c r="E200" s="9483" t="s">
        <v>3719</v>
      </c>
      <c r="F200" s="9483"/>
      <c r="G200" s="9483"/>
      <c r="H200" s="9483"/>
      <c r="I200" s="9483"/>
      <c r="J200" s="9483"/>
      <c r="K200" s="9483"/>
      <c r="L200" s="9483"/>
      <c r="M200" s="9483"/>
      <c r="N200" s="9483"/>
      <c r="O200" s="9483"/>
      <c r="P200" s="9483"/>
      <c r="Q200" s="9483"/>
      <c r="R200" s="9483"/>
      <c r="S200" s="9520"/>
      <c r="T200" s="1582"/>
      <c r="U200" s="4367" t="s">
        <v>3313</v>
      </c>
      <c r="V200" s="9483" t="s">
        <v>3719</v>
      </c>
      <c r="W200" s="9483"/>
      <c r="X200" s="9483"/>
      <c r="Y200" s="9483"/>
      <c r="Z200" s="9483"/>
      <c r="AA200" s="9483"/>
      <c r="AB200" s="9483"/>
      <c r="AC200" s="9483"/>
      <c r="AD200" s="9483"/>
      <c r="AE200" s="9483"/>
      <c r="AF200" s="9483"/>
      <c r="AG200" s="9483"/>
      <c r="AH200" s="9483"/>
      <c r="AI200" s="9483"/>
      <c r="AJ200" s="9483"/>
      <c r="AK200" s="1127"/>
      <c r="AL200" s="1127"/>
      <c r="AM200" s="1127"/>
      <c r="AN200" s="1179"/>
      <c r="AO200" s="1179"/>
      <c r="AP200" s="1179"/>
      <c r="AQ200" s="2595"/>
      <c r="AR200" s="2595"/>
      <c r="AS200" s="2595"/>
      <c r="AT200" s="2595"/>
      <c r="AU200" s="2595"/>
      <c r="AV200" s="2595"/>
      <c r="AW200" s="2595"/>
      <c r="AX200" s="2595"/>
      <c r="AY200" s="2595"/>
      <c r="AZ200" s="2595"/>
      <c r="BA200" s="42"/>
      <c r="BB200" s="42"/>
    </row>
    <row r="201" spans="1:54" s="3402" customFormat="1" ht="14.25" customHeight="1">
      <c r="A201" s="1127"/>
      <c r="B201" s="1179"/>
      <c r="C201" s="1179"/>
      <c r="D201" s="1179"/>
      <c r="E201" s="9484"/>
      <c r="F201" s="9484"/>
      <c r="G201" s="9484"/>
      <c r="H201" s="9484"/>
      <c r="I201" s="9484"/>
      <c r="J201" s="9484"/>
      <c r="K201" s="9484"/>
      <c r="L201" s="9484"/>
      <c r="M201" s="9484"/>
      <c r="N201" s="9484"/>
      <c r="O201" s="9484"/>
      <c r="P201" s="9484"/>
      <c r="Q201" s="9484"/>
      <c r="R201" s="9484"/>
      <c r="S201" s="9521"/>
      <c r="T201" s="3717"/>
      <c r="U201" s="1179"/>
      <c r="V201" s="9484"/>
      <c r="W201" s="9484"/>
      <c r="X201" s="9484"/>
      <c r="Y201" s="9484"/>
      <c r="Z201" s="9484"/>
      <c r="AA201" s="9484"/>
      <c r="AB201" s="9484"/>
      <c r="AC201" s="9484"/>
      <c r="AD201" s="9484"/>
      <c r="AE201" s="9484"/>
      <c r="AF201" s="9484"/>
      <c r="AG201" s="9484"/>
      <c r="AH201" s="9484"/>
      <c r="AI201" s="9484"/>
      <c r="AJ201" s="9484"/>
      <c r="AK201" s="1127"/>
      <c r="AL201" s="1127"/>
      <c r="AM201" s="1127"/>
      <c r="AN201" s="1179"/>
      <c r="AO201" s="1179"/>
      <c r="AP201" s="1179"/>
      <c r="AQ201" s="4418" t="s">
        <v>3755</v>
      </c>
      <c r="AR201" s="4419"/>
      <c r="AS201" s="4419"/>
      <c r="AT201" s="4419"/>
      <c r="AU201" s="4419"/>
      <c r="AV201" s="4419"/>
      <c r="AW201" s="4419"/>
      <c r="AX201" s="4419"/>
      <c r="AY201" s="4419"/>
      <c r="AZ201" s="4420"/>
      <c r="BA201" s="42"/>
      <c r="BB201" s="42"/>
    </row>
    <row r="202" spans="1:54" s="3402" customFormat="1" ht="26.25" customHeight="1">
      <c r="A202" s="1127"/>
      <c r="B202" s="1179"/>
      <c r="C202" s="1179"/>
      <c r="D202" s="1179"/>
      <c r="E202" s="9484"/>
      <c r="F202" s="9484"/>
      <c r="G202" s="9484"/>
      <c r="H202" s="9484"/>
      <c r="I202" s="9484"/>
      <c r="J202" s="9484"/>
      <c r="K202" s="9484"/>
      <c r="L202" s="9484"/>
      <c r="M202" s="9484"/>
      <c r="N202" s="9484"/>
      <c r="O202" s="9484"/>
      <c r="P202" s="9484"/>
      <c r="Q202" s="9484"/>
      <c r="R202" s="9484"/>
      <c r="S202" s="9521"/>
      <c r="T202" s="1582"/>
      <c r="U202" s="1179"/>
      <c r="V202" s="9484"/>
      <c r="W202" s="9484"/>
      <c r="X202" s="9484"/>
      <c r="Y202" s="9484"/>
      <c r="Z202" s="9484"/>
      <c r="AA202" s="9484"/>
      <c r="AB202" s="9484"/>
      <c r="AC202" s="9484"/>
      <c r="AD202" s="9484"/>
      <c r="AE202" s="9484"/>
      <c r="AF202" s="9484"/>
      <c r="AG202" s="9484"/>
      <c r="AH202" s="9484"/>
      <c r="AI202" s="9484"/>
      <c r="AJ202" s="9484"/>
      <c r="AK202" s="1127"/>
      <c r="AL202" s="1127"/>
      <c r="AM202" s="1127"/>
      <c r="AN202" s="1179"/>
      <c r="AO202" s="1179"/>
      <c r="AP202" s="1179"/>
      <c r="AQ202" s="4421" t="s">
        <v>3756</v>
      </c>
      <c r="AR202" s="4422"/>
      <c r="AS202" s="4422"/>
      <c r="AT202" s="4422"/>
      <c r="AU202" s="4422"/>
      <c r="AV202" s="4422"/>
      <c r="AW202" s="4422"/>
      <c r="AX202" s="4422"/>
      <c r="AY202" s="4422"/>
      <c r="AZ202" s="4423"/>
      <c r="BA202" s="42"/>
      <c r="BB202" s="42"/>
    </row>
    <row r="203" spans="1:54" s="3402" customFormat="1" ht="17.25" customHeight="1">
      <c r="A203" s="1127"/>
      <c r="B203" s="1179"/>
      <c r="C203" s="1179"/>
      <c r="D203" s="1179"/>
      <c r="E203" s="4365"/>
      <c r="F203" s="4365"/>
      <c r="G203" s="4369" t="s">
        <v>3720</v>
      </c>
      <c r="H203" s="4365"/>
      <c r="I203" s="4365"/>
      <c r="J203" s="4365"/>
      <c r="K203" s="4365"/>
      <c r="L203" s="4365"/>
      <c r="M203" s="4365"/>
      <c r="N203" s="4365"/>
      <c r="O203" s="4366"/>
      <c r="P203" s="4366"/>
      <c r="Q203" s="4366"/>
      <c r="R203" s="4366"/>
      <c r="S203" s="4368"/>
      <c r="T203" s="1582"/>
      <c r="U203" s="1179"/>
      <c r="V203" s="4365"/>
      <c r="W203" s="4365"/>
      <c r="X203" s="4369" t="s">
        <v>3720</v>
      </c>
      <c r="Y203" s="4365"/>
      <c r="Z203" s="4365"/>
      <c r="AA203" s="4365"/>
      <c r="AB203" s="4365"/>
      <c r="AC203" s="4365"/>
      <c r="AD203" s="4365"/>
      <c r="AE203" s="4365"/>
      <c r="AF203" s="1179"/>
      <c r="AG203" s="1179"/>
      <c r="AH203" s="1179"/>
      <c r="AI203" s="1179"/>
      <c r="AJ203" s="1179"/>
      <c r="AK203" s="1127"/>
      <c r="AL203" s="1127"/>
      <c r="AM203" s="1127"/>
      <c r="AN203" s="1179"/>
      <c r="AO203" s="1179"/>
      <c r="AP203" s="1179"/>
      <c r="AQ203" s="4424" t="str">
        <f>"(see below) in "&amp;TaxYear&amp;" for which you paid (or are treated as having paid) qualified education expenses in "&amp;TaxYear&amp;"."</f>
        <v>(see below) in 2021 for which you paid (or are treated as having paid) qualified education expenses in 2021.</v>
      </c>
      <c r="AR203" s="4425"/>
      <c r="AS203" s="4425"/>
      <c r="AT203" s="4425"/>
      <c r="AU203" s="4425"/>
      <c r="AV203" s="4425"/>
      <c r="AW203" s="4425"/>
      <c r="AX203" s="4425"/>
      <c r="AY203" s="4425"/>
      <c r="AZ203" s="4426"/>
      <c r="BA203" s="42"/>
      <c r="BB203" s="42"/>
    </row>
    <row r="204" spans="1:54" s="3402" customFormat="1" ht="14.25">
      <c r="A204" s="1127"/>
      <c r="B204" s="1553"/>
      <c r="C204" s="1553"/>
      <c r="D204" s="1553"/>
      <c r="E204" s="2791"/>
      <c r="F204" s="1553"/>
      <c r="G204" s="1553"/>
      <c r="H204" s="1553"/>
      <c r="I204" s="1553"/>
      <c r="J204" s="1553"/>
      <c r="K204" s="1553"/>
      <c r="L204" s="1553"/>
      <c r="M204" s="1553"/>
      <c r="N204" s="1553"/>
      <c r="O204" s="1553"/>
      <c r="P204" s="1553"/>
      <c r="Q204" s="1553"/>
      <c r="R204" s="1553"/>
      <c r="S204" s="3008"/>
      <c r="T204" s="1586"/>
      <c r="U204" s="1553"/>
      <c r="V204" s="1553"/>
      <c r="W204" s="1553"/>
      <c r="X204" s="1553"/>
      <c r="Y204" s="1553"/>
      <c r="Z204" s="1553"/>
      <c r="AA204" s="1553"/>
      <c r="AB204" s="1553"/>
      <c r="AC204" s="1553"/>
      <c r="AD204" s="1553"/>
      <c r="AE204" s="1553"/>
      <c r="AF204" s="1553"/>
      <c r="AG204" s="1553"/>
      <c r="AH204" s="1553"/>
      <c r="AI204" s="1553"/>
      <c r="AJ204" s="1553"/>
      <c r="AK204" s="1127"/>
      <c r="AL204" s="1127"/>
      <c r="AM204" s="1127"/>
      <c r="AN204" s="1179"/>
      <c r="AO204" s="1179"/>
      <c r="AP204" s="1179"/>
      <c r="AQ204" s="4427"/>
      <c r="AR204" s="3684"/>
      <c r="AS204" s="3684"/>
      <c r="AT204" s="3684"/>
      <c r="AU204" s="3684"/>
      <c r="AV204" s="3684"/>
      <c r="AW204" s="3684"/>
      <c r="AX204" s="3684"/>
      <c r="AY204" s="3684"/>
      <c r="AZ204" s="4428"/>
      <c r="BA204" s="42"/>
      <c r="BB204" s="42"/>
    </row>
    <row r="205" spans="1:54" s="3402" customFormat="1" ht="15">
      <c r="A205" s="1127"/>
      <c r="B205" s="1559">
        <v>23</v>
      </c>
      <c r="C205" s="1179"/>
      <c r="D205" s="1179"/>
      <c r="E205" s="2686" t="s">
        <v>3721</v>
      </c>
      <c r="F205" s="1179"/>
      <c r="G205" s="1179"/>
      <c r="H205" s="1179"/>
      <c r="I205" s="1179"/>
      <c r="J205" s="1179"/>
      <c r="K205" s="1179"/>
      <c r="L205" s="1179"/>
      <c r="M205" s="1179"/>
      <c r="N205" s="1179"/>
      <c r="O205" s="1179"/>
      <c r="P205" s="1179"/>
      <c r="Q205" s="1179"/>
      <c r="R205" s="1179"/>
      <c r="S205" s="1179"/>
      <c r="T205" s="1179"/>
      <c r="U205" s="1179"/>
      <c r="V205" s="1179"/>
      <c r="W205" s="1179"/>
      <c r="X205" s="1179"/>
      <c r="Y205" s="1179"/>
      <c r="Z205" s="1179"/>
      <c r="AA205" s="1179"/>
      <c r="AB205" s="1179"/>
      <c r="AC205" s="1179"/>
      <c r="AD205" s="1179"/>
      <c r="AE205" s="1179"/>
      <c r="AF205" s="1179"/>
      <c r="AG205" s="1179"/>
      <c r="AH205" s="1179"/>
      <c r="AI205" s="1179"/>
      <c r="AJ205" s="1179"/>
      <c r="AK205" s="1127"/>
      <c r="AL205" s="1127"/>
      <c r="AM205" s="1127"/>
      <c r="AN205" s="1179"/>
      <c r="AO205" s="1179"/>
      <c r="AP205" s="1179"/>
      <c r="AQ205" s="4429" t="s">
        <v>3758</v>
      </c>
      <c r="AR205" s="3684"/>
      <c r="AS205" s="3684"/>
      <c r="AT205" s="3684"/>
      <c r="AU205" s="3684"/>
      <c r="AV205" s="3684"/>
      <c r="AW205" s="3684"/>
      <c r="AX205" s="3684"/>
      <c r="AY205" s="3684"/>
      <c r="AZ205" s="4428"/>
      <c r="BA205" s="42"/>
      <c r="BB205" s="42"/>
    </row>
    <row r="206" spans="1:54" s="3402" customFormat="1" ht="15">
      <c r="A206" s="1127"/>
      <c r="B206" s="1179"/>
      <c r="C206" s="1179"/>
      <c r="D206" s="1179"/>
      <c r="E206" s="3355" t="s">
        <v>3722</v>
      </c>
      <c r="F206" s="1179"/>
      <c r="G206" s="1179"/>
      <c r="H206" s="1179"/>
      <c r="I206" s="1179"/>
      <c r="J206" s="1179"/>
      <c r="K206" s="1179"/>
      <c r="L206" s="1179"/>
      <c r="M206" s="1179"/>
      <c r="N206" s="1179"/>
      <c r="O206" s="1179"/>
      <c r="P206" s="1179"/>
      <c r="Q206" s="1179"/>
      <c r="R206" s="1179"/>
      <c r="S206" s="1179"/>
      <c r="T206" s="4365"/>
      <c r="U206" s="1276" t="s">
        <v>3723</v>
      </c>
      <c r="V206" s="1179"/>
      <c r="W206" s="1179"/>
      <c r="X206" s="1179"/>
      <c r="Y206" s="1179"/>
      <c r="Z206" s="1179"/>
      <c r="AA206" s="1179"/>
      <c r="AB206" s="1179"/>
      <c r="AC206" s="4383" t="str">
        <f>IF(T206&lt;&gt;"","","X")</f>
        <v>X</v>
      </c>
      <c r="AD206" s="1276" t="s">
        <v>3732</v>
      </c>
      <c r="AE206" s="1179"/>
      <c r="AF206" s="1179"/>
      <c r="AG206" s="1179"/>
      <c r="AH206" s="1179"/>
      <c r="AI206" s="1179"/>
      <c r="AJ206" s="1179"/>
      <c r="AK206" s="1127"/>
      <c r="AL206" s="1127"/>
      <c r="AM206" s="1127"/>
      <c r="AN206" s="1179"/>
      <c r="AO206" s="1179"/>
      <c r="AP206" s="1179"/>
      <c r="AQ206" s="4430" t="str">
        <f>TaxYear&amp;" for the academic period"</f>
        <v>2021 for the academic period</v>
      </c>
      <c r="AR206" s="4410"/>
      <c r="AS206" s="4410"/>
      <c r="AT206" s="4410"/>
      <c r="AU206" s="4410"/>
      <c r="AV206" s="4410"/>
      <c r="AW206" s="4413"/>
      <c r="AX206" s="4413" t="s">
        <v>294</v>
      </c>
      <c r="AY206" s="1849"/>
      <c r="AZ206" s="4411"/>
      <c r="BA206" s="42"/>
      <c r="BB206" s="42"/>
    </row>
    <row r="207" spans="1:54" s="4382" customFormat="1" ht="16.5" customHeight="1">
      <c r="A207" s="1819"/>
      <c r="B207" s="1277"/>
      <c r="C207" s="1277"/>
      <c r="D207" s="1277"/>
      <c r="E207" s="3719" t="str">
        <f>"before "&amp;TaxYear&amp;"?"</f>
        <v>before 2021?</v>
      </c>
      <c r="F207" s="1277"/>
      <c r="G207" s="1277"/>
      <c r="H207" s="1277"/>
      <c r="I207" s="1277"/>
      <c r="J207" s="1277"/>
      <c r="K207" s="1277"/>
      <c r="L207" s="1277"/>
      <c r="M207" s="1277"/>
      <c r="N207" s="1277"/>
      <c r="O207" s="1277"/>
      <c r="P207" s="1277"/>
      <c r="Q207" s="1277"/>
      <c r="R207" s="1277"/>
      <c r="S207" s="1277"/>
      <c r="T207" s="1277"/>
      <c r="U207" s="1277" t="s">
        <v>3724</v>
      </c>
      <c r="V207" s="1277"/>
      <c r="W207" s="1277"/>
      <c r="X207" s="1277"/>
      <c r="Y207" s="1277"/>
      <c r="Z207" s="1277"/>
      <c r="AA207" s="1277"/>
      <c r="AB207" s="1277"/>
      <c r="AC207" s="1277"/>
      <c r="AD207" s="1277"/>
      <c r="AE207" s="1277"/>
      <c r="AF207" s="1277"/>
      <c r="AG207" s="1277"/>
      <c r="AH207" s="1277"/>
      <c r="AI207" s="1277"/>
      <c r="AJ207" s="1277"/>
      <c r="AK207" s="1819"/>
      <c r="AL207" s="1819"/>
      <c r="AM207" s="1819"/>
      <c r="AN207" s="1277"/>
      <c r="AO207" s="1277"/>
      <c r="AP207" s="1277"/>
      <c r="AQ207" s="4431"/>
      <c r="AR207" s="4410"/>
      <c r="AS207" s="4410"/>
      <c r="AT207" s="4410"/>
      <c r="AU207" s="4410"/>
      <c r="AV207" s="4410"/>
      <c r="AW207" s="4413"/>
      <c r="AX207" s="4413"/>
      <c r="AY207" s="4413"/>
      <c r="AZ207" s="4411"/>
      <c r="BA207" s="946"/>
      <c r="BB207" s="946"/>
    </row>
    <row r="208" spans="1:54" s="3402" customFormat="1" ht="15">
      <c r="A208" s="1127"/>
      <c r="B208" s="4370">
        <v>24</v>
      </c>
      <c r="C208" s="1574"/>
      <c r="D208" s="1574"/>
      <c r="E208" s="3072" t="s">
        <v>3725</v>
      </c>
      <c r="F208" s="1574"/>
      <c r="G208" s="1574"/>
      <c r="H208" s="1574"/>
      <c r="I208" s="1574"/>
      <c r="J208" s="1574"/>
      <c r="K208" s="1574"/>
      <c r="L208" s="1574"/>
      <c r="M208" s="1574"/>
      <c r="N208" s="1574"/>
      <c r="O208" s="1574"/>
      <c r="P208" s="1574"/>
      <c r="Q208" s="1574"/>
      <c r="R208" s="1574"/>
      <c r="S208" s="1574"/>
      <c r="T208" s="1574"/>
      <c r="U208" s="1574"/>
      <c r="V208" s="1574"/>
      <c r="W208" s="1574"/>
      <c r="X208" s="1574"/>
      <c r="Y208" s="1574"/>
      <c r="Z208" s="1574"/>
      <c r="AA208" s="1574"/>
      <c r="AB208" s="1574"/>
      <c r="AC208" s="1574"/>
      <c r="AD208" s="1574"/>
      <c r="AE208" s="1574"/>
      <c r="AF208" s="1574"/>
      <c r="AG208" s="1574"/>
      <c r="AH208" s="1574"/>
      <c r="AI208" s="1574"/>
      <c r="AJ208" s="1574"/>
      <c r="AK208" s="1127"/>
      <c r="AL208" s="1127"/>
      <c r="AM208" s="1127"/>
      <c r="AN208" s="1179"/>
      <c r="AO208" s="1179"/>
      <c r="AP208" s="1179"/>
      <c r="AQ208" s="4429" t="s">
        <v>3757</v>
      </c>
      <c r="AR208" s="4422"/>
      <c r="AS208" s="4422"/>
      <c r="AT208" s="4422"/>
      <c r="AU208" s="4422"/>
      <c r="AV208" s="4422"/>
      <c r="AW208" s="4422"/>
      <c r="AX208" s="4422"/>
      <c r="AY208" s="3684"/>
      <c r="AZ208" s="4423"/>
      <c r="BA208" s="42"/>
      <c r="BB208" s="42"/>
    </row>
    <row r="209" spans="1:54" s="3402" customFormat="1" ht="15">
      <c r="A209" s="1127"/>
      <c r="B209" s="1559"/>
      <c r="C209" s="1179"/>
      <c r="D209" s="1179"/>
      <c r="E209" s="2686" t="s">
        <v>3727</v>
      </c>
      <c r="F209" s="1179"/>
      <c r="G209" s="1179"/>
      <c r="H209" s="1179"/>
      <c r="I209" s="1179"/>
      <c r="J209" s="1179"/>
      <c r="K209" s="1179"/>
      <c r="L209" s="1179"/>
      <c r="M209" s="1179"/>
      <c r="N209" s="1179"/>
      <c r="O209" s="1179"/>
      <c r="P209" s="1179"/>
      <c r="Q209" s="1179"/>
      <c r="R209" s="1179"/>
      <c r="S209" s="1179"/>
      <c r="T209" s="1179"/>
      <c r="U209" s="1179"/>
      <c r="V209" s="1179"/>
      <c r="W209" s="1179"/>
      <c r="X209" s="1179"/>
      <c r="Y209" s="1179"/>
      <c r="Z209" s="1179"/>
      <c r="AA209" s="1179"/>
      <c r="AB209" s="1179"/>
      <c r="AC209" s="1179"/>
      <c r="AD209" s="1179"/>
      <c r="AE209" s="1179"/>
      <c r="AF209" s="1179"/>
      <c r="AG209" s="1179"/>
      <c r="AH209" s="1179"/>
      <c r="AI209" s="1179"/>
      <c r="AJ209" s="1179"/>
      <c r="AK209" s="1127"/>
      <c r="AL209" s="1127"/>
      <c r="AM209" s="1127"/>
      <c r="AN209" s="1179"/>
      <c r="AO209" s="1179"/>
      <c r="AP209" s="1179"/>
      <c r="AQ209" s="4432" t="s">
        <v>591</v>
      </c>
      <c r="AR209" s="4433" t="str">
        <f>"Tax-free educational assistance received in "&amp;TaxYear&amp;" allocable to"</f>
        <v>Tax-free educational assistance received in 2021 allocable to</v>
      </c>
      <c r="AS209" s="3684"/>
      <c r="AT209" s="3684"/>
      <c r="AU209" s="3684"/>
      <c r="AV209" s="3684"/>
      <c r="AW209" s="3684"/>
      <c r="AX209" s="3684"/>
      <c r="AY209" s="3684"/>
      <c r="AZ209" s="4428"/>
      <c r="BA209" s="42"/>
      <c r="BB209" s="42"/>
    </row>
    <row r="210" spans="1:54" s="3402" customFormat="1" ht="15">
      <c r="A210" s="1127"/>
      <c r="B210" s="1559"/>
      <c r="C210" s="1179"/>
      <c r="D210" s="1179"/>
      <c r="E210" s="2686" t="str">
        <f>TaxYear&amp;" at an eligible educational institution in a program"</f>
        <v>2021 at an eligible educational institution in a program</v>
      </c>
      <c r="F210" s="1179"/>
      <c r="G210" s="1179"/>
      <c r="H210" s="1179"/>
      <c r="I210" s="1179"/>
      <c r="J210" s="1179"/>
      <c r="K210" s="1179"/>
      <c r="L210" s="1179"/>
      <c r="M210" s="1179"/>
      <c r="N210" s="1179"/>
      <c r="O210" s="1179"/>
      <c r="P210" s="1179"/>
      <c r="Q210" s="1179"/>
      <c r="R210" s="1179"/>
      <c r="S210" s="1179"/>
      <c r="T210" s="1179"/>
      <c r="U210" s="1179"/>
      <c r="V210" s="1179"/>
      <c r="W210" s="1179"/>
      <c r="X210" s="1179"/>
      <c r="Y210" s="1179"/>
      <c r="Z210" s="1179"/>
      <c r="AA210" s="1179"/>
      <c r="AB210" s="1179"/>
      <c r="AC210" s="1179"/>
      <c r="AD210" s="1179"/>
      <c r="AE210" s="1179"/>
      <c r="AF210" s="1179"/>
      <c r="AG210" s="1179"/>
      <c r="AH210" s="1179"/>
      <c r="AI210" s="1179"/>
      <c r="AJ210" s="1179"/>
      <c r="AK210" s="1127"/>
      <c r="AL210" s="1127"/>
      <c r="AM210" s="1127"/>
      <c r="AN210" s="1179"/>
      <c r="AO210" s="1179"/>
      <c r="AP210" s="1179"/>
      <c r="AQ210" s="4435"/>
      <c r="AR210" s="4433" t="s">
        <v>3759</v>
      </c>
      <c r="AS210" s="4436"/>
      <c r="AT210" s="4436"/>
      <c r="AU210" s="4436"/>
      <c r="AV210" s="4436"/>
      <c r="AW210" s="4413" t="s">
        <v>1630</v>
      </c>
      <c r="AX210" s="1849"/>
      <c r="AY210" s="3684"/>
      <c r="AZ210" s="4434"/>
      <c r="BA210" s="42"/>
      <c r="BB210" s="42"/>
    </row>
    <row r="211" spans="1:54" s="3402" customFormat="1" ht="15">
      <c r="A211" s="1127"/>
      <c r="B211" s="1179"/>
      <c r="C211" s="1179"/>
      <c r="D211" s="1179"/>
      <c r="E211" s="3355" t="s">
        <v>3728</v>
      </c>
      <c r="F211" s="1179"/>
      <c r="G211" s="1179"/>
      <c r="H211" s="1179"/>
      <c r="I211" s="1179"/>
      <c r="J211" s="1179"/>
      <c r="K211" s="1179"/>
      <c r="L211" s="1179"/>
      <c r="M211" s="1179"/>
      <c r="N211" s="1179"/>
      <c r="O211" s="1179"/>
      <c r="P211" s="1179"/>
      <c r="Q211" s="1179"/>
      <c r="R211" s="1179"/>
      <c r="S211" s="1179"/>
      <c r="T211" s="4383" t="str">
        <f>IF(AC211&lt;&gt;"","","X")</f>
        <v>X</v>
      </c>
      <c r="U211" s="1276" t="s">
        <v>3779</v>
      </c>
      <c r="V211" s="1179"/>
      <c r="W211" s="1179"/>
      <c r="X211" s="1179"/>
      <c r="Y211" s="1179"/>
      <c r="Z211" s="1179"/>
      <c r="AA211" s="1179"/>
      <c r="AB211" s="1179"/>
      <c r="AC211" s="4365"/>
      <c r="AD211" s="1276" t="s">
        <v>3730</v>
      </c>
      <c r="AE211" s="1179"/>
      <c r="AF211" s="1179"/>
      <c r="AG211" s="1179"/>
      <c r="AH211" s="1179"/>
      <c r="AI211" s="1179"/>
      <c r="AJ211" s="1179"/>
      <c r="AK211" s="1127"/>
      <c r="AL211" s="1127"/>
      <c r="AM211" s="1127"/>
      <c r="AN211" s="1179"/>
      <c r="AO211" s="1179"/>
      <c r="AP211" s="1179"/>
      <c r="AQ211" s="4432" t="s">
        <v>592</v>
      </c>
      <c r="AR211" s="4433" t="str">
        <f>"Tax-free educational assistance received in "&amp;TaxYear+1&amp;" (and before you"</f>
        <v>Tax-free educational assistance received in 2022 (and before you</v>
      </c>
      <c r="AS211" s="3684"/>
      <c r="AT211" s="3684"/>
      <c r="AU211" s="3684"/>
      <c r="AV211" s="3684"/>
      <c r="AW211" s="3684"/>
      <c r="AX211" s="3684"/>
      <c r="AY211" s="3684"/>
      <c r="AZ211" s="4428"/>
      <c r="BA211" s="42"/>
      <c r="BB211" s="42"/>
    </row>
    <row r="212" spans="1:54" s="3402" customFormat="1" ht="14.25">
      <c r="A212" s="1127"/>
      <c r="B212" s="1179"/>
      <c r="C212" s="1179"/>
      <c r="D212" s="1179"/>
      <c r="E212" s="3355" t="s">
        <v>3729</v>
      </c>
      <c r="F212" s="1179"/>
      <c r="G212" s="1179"/>
      <c r="H212" s="1179"/>
      <c r="I212" s="1179"/>
      <c r="J212" s="1179"/>
      <c r="K212" s="1179"/>
      <c r="L212" s="1179"/>
      <c r="M212" s="1179"/>
      <c r="N212" s="1179"/>
      <c r="O212" s="1179"/>
      <c r="P212" s="1179"/>
      <c r="Q212" s="1179"/>
      <c r="R212" s="1179"/>
      <c r="S212" s="1179"/>
      <c r="T212" s="1179"/>
      <c r="U212" s="1179"/>
      <c r="V212" s="1179"/>
      <c r="W212" s="1179"/>
      <c r="X212" s="1179"/>
      <c r="Y212" s="1179"/>
      <c r="Z212" s="1179"/>
      <c r="AA212" s="1179"/>
      <c r="AB212" s="1179"/>
      <c r="AC212" s="1179"/>
      <c r="AD212" s="1276" t="s">
        <v>3731</v>
      </c>
      <c r="AE212" s="1179"/>
      <c r="AF212" s="1179"/>
      <c r="AG212" s="1179"/>
      <c r="AH212" s="1179"/>
      <c r="AI212" s="1179"/>
      <c r="AJ212" s="1179"/>
      <c r="AK212" s="1127"/>
      <c r="AL212" s="1127"/>
      <c r="AM212" s="1127"/>
      <c r="AN212" s="1179"/>
      <c r="AO212" s="1179"/>
      <c r="AP212" s="1179"/>
      <c r="AQ212" s="4435"/>
      <c r="AR212" s="4433" t="str">
        <f>"file your "&amp;TaxYear&amp;" tax return) allocable to the academic period"</f>
        <v>file your 2021 tax return) allocable to the academic period</v>
      </c>
      <c r="AS212" s="4436"/>
      <c r="AT212" s="4436"/>
      <c r="AU212" s="4436"/>
      <c r="AV212" s="4436"/>
      <c r="AW212" s="4413" t="s">
        <v>2537</v>
      </c>
      <c r="AX212" s="1849"/>
      <c r="AY212" s="3684"/>
      <c r="AZ212" s="4434"/>
      <c r="BA212" s="42"/>
      <c r="BB212" s="42"/>
    </row>
    <row r="213" spans="1:54" s="4382" customFormat="1" ht="16.5" customHeight="1">
      <c r="A213" s="1819"/>
      <c r="B213" s="1277"/>
      <c r="C213" s="1277"/>
      <c r="D213" s="1277"/>
      <c r="E213" s="3719" t="s">
        <v>587</v>
      </c>
      <c r="F213" s="1277"/>
      <c r="G213" s="1277"/>
      <c r="H213" s="1277"/>
      <c r="I213" s="1277"/>
      <c r="J213" s="1277"/>
      <c r="K213" s="1277"/>
      <c r="L213" s="1277"/>
      <c r="M213" s="1277"/>
      <c r="N213" s="1277"/>
      <c r="O213" s="1277"/>
      <c r="P213" s="1277"/>
      <c r="Q213" s="1277"/>
      <c r="R213" s="1277"/>
      <c r="S213" s="1277"/>
      <c r="T213" s="1277"/>
      <c r="U213" s="1277"/>
      <c r="V213" s="1277"/>
      <c r="W213" s="1277"/>
      <c r="X213" s="1277"/>
      <c r="Y213" s="1277"/>
      <c r="Z213" s="1277"/>
      <c r="AA213" s="1277"/>
      <c r="AB213" s="1277"/>
      <c r="AC213" s="1277"/>
      <c r="AD213" s="1277"/>
      <c r="AE213" s="1277"/>
      <c r="AF213" s="1277"/>
      <c r="AG213" s="1277"/>
      <c r="AH213" s="1277"/>
      <c r="AI213" s="1277"/>
      <c r="AJ213" s="1277"/>
      <c r="AK213" s="1819"/>
      <c r="AL213" s="1819"/>
      <c r="AM213" s="1819"/>
      <c r="AN213" s="1277"/>
      <c r="AO213" s="1277"/>
      <c r="AP213" s="1277"/>
      <c r="AQ213" s="4432" t="s">
        <v>590</v>
      </c>
      <c r="AR213" s="4433" t="str">
        <f>"Refunds of qualified education expenses paid in "&amp;TaxYear&amp;" if the refund"</f>
        <v>Refunds of qualified education expenses paid in 2021 if the refund</v>
      </c>
      <c r="AS213" s="3684"/>
      <c r="AT213" s="3684"/>
      <c r="AU213" s="3684"/>
      <c r="AV213" s="3684"/>
      <c r="AW213" s="3684"/>
      <c r="AX213" s="3684"/>
      <c r="AY213" s="3684"/>
      <c r="AZ213" s="4428"/>
      <c r="BA213" s="946"/>
      <c r="BB213" s="946"/>
    </row>
    <row r="214" spans="1:54" s="3402" customFormat="1" ht="15">
      <c r="A214" s="1127"/>
      <c r="B214" s="4370">
        <v>25</v>
      </c>
      <c r="C214" s="1574"/>
      <c r="D214" s="1574"/>
      <c r="E214" s="3072" t="s">
        <v>3764</v>
      </c>
      <c r="F214" s="1574"/>
      <c r="G214" s="1574"/>
      <c r="H214" s="1574"/>
      <c r="I214" s="1574"/>
      <c r="J214" s="1574"/>
      <c r="K214" s="1574"/>
      <c r="L214" s="1574"/>
      <c r="M214" s="1574"/>
      <c r="N214" s="1574"/>
      <c r="O214" s="1574"/>
      <c r="P214" s="1574"/>
      <c r="Q214" s="1574"/>
      <c r="R214" s="1574"/>
      <c r="S214" s="1574"/>
      <c r="T214" s="1574"/>
      <c r="U214" s="1574"/>
      <c r="V214" s="1574"/>
      <c r="W214" s="1574"/>
      <c r="X214" s="1574"/>
      <c r="Y214" s="1574"/>
      <c r="Z214" s="1574"/>
      <c r="AA214" s="1574"/>
      <c r="AB214" s="1574"/>
      <c r="AC214" s="1574"/>
      <c r="AD214" s="1574"/>
      <c r="AE214" s="1574"/>
      <c r="AF214" s="1574"/>
      <c r="AG214" s="1574"/>
      <c r="AH214" s="1574"/>
      <c r="AI214" s="1574"/>
      <c r="AJ214" s="1574"/>
      <c r="AK214" s="1127"/>
      <c r="AL214" s="1127"/>
      <c r="AM214" s="1127"/>
      <c r="AN214" s="1179"/>
      <c r="AO214" s="1179"/>
      <c r="AP214" s="1179"/>
      <c r="AQ214" s="4435"/>
      <c r="AR214" s="4433" t="str">
        <f>"is received in "&amp;TaxYear&amp;" or in "&amp;TaxYear+1&amp;" before you file your "&amp;TaxYear&amp;" tax return."</f>
        <v>is received in 2021 or in 2022 before you file your 2021 tax return.</v>
      </c>
      <c r="AS214" s="4436"/>
      <c r="AT214" s="4436"/>
      <c r="AU214" s="4436"/>
      <c r="AV214" s="4436"/>
      <c r="AW214" s="4413" t="s">
        <v>3602</v>
      </c>
      <c r="AX214" s="1849"/>
      <c r="AY214" s="3684"/>
      <c r="AZ214" s="4434"/>
      <c r="BA214" s="42"/>
      <c r="BB214" s="42"/>
    </row>
    <row r="215" spans="1:54" s="3402" customFormat="1" ht="15">
      <c r="A215" s="1127"/>
      <c r="B215" s="1179"/>
      <c r="C215" s="1179"/>
      <c r="D215" s="1179"/>
      <c r="E215" s="3355" t="str">
        <f>"education before "&amp;TaxYear&amp;"? See instructions."</f>
        <v>education before 2021? See instructions.</v>
      </c>
      <c r="F215" s="1179"/>
      <c r="G215" s="1179"/>
      <c r="H215" s="1179"/>
      <c r="I215" s="1179"/>
      <c r="J215" s="1179"/>
      <c r="K215" s="1179"/>
      <c r="L215" s="1179"/>
      <c r="M215" s="1179"/>
      <c r="N215" s="1179"/>
      <c r="O215" s="1179"/>
      <c r="P215" s="1179"/>
      <c r="Q215" s="1179"/>
      <c r="R215" s="1179"/>
      <c r="S215" s="1179"/>
      <c r="T215" s="4365"/>
      <c r="U215" s="1276" t="s">
        <v>3723</v>
      </c>
      <c r="V215" s="1179"/>
      <c r="W215" s="1179"/>
      <c r="X215" s="1179"/>
      <c r="Y215" s="1179"/>
      <c r="Z215" s="1179"/>
      <c r="AA215" s="1179"/>
      <c r="AB215" s="1179"/>
      <c r="AC215" s="4383" t="str">
        <f>IF(T215&lt;&gt;"","","X")</f>
        <v>X</v>
      </c>
      <c r="AD215" s="1276" t="s">
        <v>3733</v>
      </c>
      <c r="AE215" s="1179"/>
      <c r="AF215" s="1179"/>
      <c r="AG215" s="1179"/>
      <c r="AH215" s="1179"/>
      <c r="AI215" s="1179"/>
      <c r="AJ215" s="1179"/>
      <c r="AK215" s="1127"/>
      <c r="AL215" s="1127"/>
      <c r="AM215" s="1127"/>
      <c r="AN215" s="1179"/>
      <c r="AO215" s="1179"/>
      <c r="AP215" s="1179"/>
      <c r="AQ215" s="4435"/>
      <c r="AR215" s="4433"/>
      <c r="AS215" s="4436"/>
      <c r="AT215" s="4436"/>
      <c r="AU215" s="4436"/>
      <c r="AV215" s="4436"/>
      <c r="AW215" s="4436"/>
      <c r="AX215" s="4436"/>
      <c r="AY215" s="3684"/>
      <c r="AZ215" s="4434"/>
      <c r="BA215" s="42"/>
      <c r="BB215" s="42"/>
    </row>
    <row r="216" spans="1:54" s="4382" customFormat="1" ht="16.5" customHeight="1">
      <c r="A216" s="1819"/>
      <c r="B216" s="1277"/>
      <c r="C216" s="1277"/>
      <c r="D216" s="1277"/>
      <c r="E216" s="3719"/>
      <c r="F216" s="1277"/>
      <c r="G216" s="1277"/>
      <c r="H216" s="1277"/>
      <c r="I216" s="1277"/>
      <c r="J216" s="1277"/>
      <c r="K216" s="1277"/>
      <c r="L216" s="1277"/>
      <c r="M216" s="1277"/>
      <c r="N216" s="1277"/>
      <c r="O216" s="1277"/>
      <c r="P216" s="1277"/>
      <c r="Q216" s="1277"/>
      <c r="R216" s="1277"/>
      <c r="S216" s="1277"/>
      <c r="T216" s="1277"/>
      <c r="U216" s="1277" t="s">
        <v>3724</v>
      </c>
      <c r="V216" s="1277"/>
      <c r="W216" s="1277"/>
      <c r="X216" s="1277"/>
      <c r="Y216" s="1277"/>
      <c r="Z216" s="1277"/>
      <c r="AA216" s="1277"/>
      <c r="AB216" s="1277"/>
      <c r="AC216" s="1277"/>
      <c r="AD216" s="1277"/>
      <c r="AE216" s="1277"/>
      <c r="AF216" s="1277"/>
      <c r="AG216" s="1277"/>
      <c r="AH216" s="1277"/>
      <c r="AI216" s="1277"/>
      <c r="AJ216" s="1277"/>
      <c r="AK216" s="1819"/>
      <c r="AL216" s="1819"/>
      <c r="AM216" s="1819"/>
      <c r="AN216" s="1277"/>
      <c r="AO216" s="1277"/>
      <c r="AP216" s="1277"/>
      <c r="AQ216" s="4429" t="s">
        <v>3760</v>
      </c>
      <c r="AR216" s="4410"/>
      <c r="AS216" s="4410"/>
      <c r="AT216" s="4410"/>
      <c r="AU216" s="4410"/>
      <c r="AV216" s="4410"/>
      <c r="AW216" s="4413"/>
      <c r="AX216" s="4413" t="s">
        <v>1</v>
      </c>
      <c r="AY216" s="2045">
        <f>SUM(AX210,AX212,AX214)</f>
        <v>0</v>
      </c>
      <c r="AZ216" s="4411"/>
      <c r="BA216" s="946"/>
      <c r="BB216" s="946"/>
    </row>
    <row r="217" spans="1:54" s="3402" customFormat="1" ht="15">
      <c r="A217" s="1127"/>
      <c r="B217" s="4370">
        <v>26</v>
      </c>
      <c r="C217" s="1574"/>
      <c r="D217" s="1574"/>
      <c r="E217" s="3072" t="str">
        <f>"Was the student convicted, before the end of "&amp;TaxYear&amp;", of a"</f>
        <v>Was the student convicted, before the end of 2021, of a</v>
      </c>
      <c r="F217" s="1574"/>
      <c r="G217" s="1574"/>
      <c r="H217" s="1574"/>
      <c r="I217" s="1574"/>
      <c r="J217" s="1574"/>
      <c r="K217" s="1574"/>
      <c r="L217" s="1574"/>
      <c r="M217" s="1574"/>
      <c r="N217" s="1574"/>
      <c r="O217" s="1574"/>
      <c r="P217" s="1574"/>
      <c r="Q217" s="1574"/>
      <c r="R217" s="1574"/>
      <c r="S217" s="1574"/>
      <c r="T217" s="1574"/>
      <c r="U217" s="1574"/>
      <c r="V217" s="1574"/>
      <c r="W217" s="1574"/>
      <c r="X217" s="1574"/>
      <c r="Y217" s="1574"/>
      <c r="Z217" s="1574"/>
      <c r="AA217" s="1574"/>
      <c r="AB217" s="1574"/>
      <c r="AC217" s="1574"/>
      <c r="AD217" s="1574"/>
      <c r="AE217" s="1574"/>
      <c r="AF217" s="1574"/>
      <c r="AG217" s="1574"/>
      <c r="AH217" s="1574"/>
      <c r="AI217" s="1574"/>
      <c r="AJ217" s="1574"/>
      <c r="AK217" s="1127"/>
      <c r="AL217" s="1127"/>
      <c r="AM217" s="1127"/>
      <c r="AN217" s="1179"/>
      <c r="AO217" s="1179"/>
      <c r="AP217" s="1179"/>
      <c r="AQ217" s="4435"/>
      <c r="AR217" s="4433"/>
      <c r="AS217" s="4436"/>
      <c r="AT217" s="4436"/>
      <c r="AU217" s="4436"/>
      <c r="AV217" s="4436"/>
      <c r="AW217" s="4436"/>
      <c r="AX217" s="4436"/>
      <c r="AY217" s="3684"/>
      <c r="AZ217" s="4434"/>
      <c r="BA217" s="42"/>
      <c r="BB217" s="42"/>
    </row>
    <row r="218" spans="1:54" s="3402" customFormat="1" ht="15">
      <c r="A218" s="1127"/>
      <c r="B218" s="1179"/>
      <c r="C218" s="1179"/>
      <c r="D218" s="1179"/>
      <c r="E218" s="3355" t="s">
        <v>3734</v>
      </c>
      <c r="F218" s="1179"/>
      <c r="G218" s="1179"/>
      <c r="H218" s="1179"/>
      <c r="I218" s="1179"/>
      <c r="J218" s="1179"/>
      <c r="K218" s="1179"/>
      <c r="L218" s="1179"/>
      <c r="M218" s="1179"/>
      <c r="N218" s="1179"/>
      <c r="O218" s="1179"/>
      <c r="P218" s="1179"/>
      <c r="Q218" s="1179"/>
      <c r="R218" s="1179"/>
      <c r="S218" s="1179"/>
      <c r="T218" s="4365"/>
      <c r="U218" s="1276" t="s">
        <v>3723</v>
      </c>
      <c r="V218" s="1179"/>
      <c r="W218" s="1179"/>
      <c r="X218" s="1179"/>
      <c r="Y218" s="1179"/>
      <c r="Z218" s="1179"/>
      <c r="AA218" s="1179"/>
      <c r="AB218" s="1179"/>
      <c r="AC218" s="4383" t="str">
        <f>IF(T218&lt;&gt;"","","X")</f>
        <v>X</v>
      </c>
      <c r="AD218" s="1276" t="s">
        <v>3736</v>
      </c>
      <c r="AE218" s="1179"/>
      <c r="AF218" s="1179"/>
      <c r="AG218" s="1179"/>
      <c r="AH218" s="1179"/>
      <c r="AI218" s="1179"/>
      <c r="AJ218" s="1179"/>
      <c r="AK218" s="1127"/>
      <c r="AL218" s="1127"/>
      <c r="AM218" s="1127"/>
      <c r="AN218" s="1179"/>
      <c r="AO218" s="24" t="s">
        <v>90</v>
      </c>
      <c r="AP218" s="1179"/>
      <c r="AQ218" s="4429" t="s">
        <v>3761</v>
      </c>
      <c r="AR218" s="4433"/>
      <c r="AS218" s="4436"/>
      <c r="AT218" s="4436"/>
      <c r="AU218" s="4436"/>
      <c r="AV218" s="4436"/>
      <c r="AW218" s="4436"/>
      <c r="AX218" s="4436"/>
      <c r="AY218" s="3684"/>
      <c r="AZ218" s="4434"/>
      <c r="BA218" s="42"/>
      <c r="BB218" s="42"/>
    </row>
    <row r="219" spans="1:54" s="4382" customFormat="1" ht="16.5" customHeight="1">
      <c r="A219" s="1819"/>
      <c r="B219" s="1820"/>
      <c r="C219" s="1820"/>
      <c r="D219" s="1820"/>
      <c r="E219" s="4371" t="s">
        <v>3735</v>
      </c>
      <c r="F219" s="1820"/>
      <c r="G219" s="1820"/>
      <c r="H219" s="1820"/>
      <c r="I219" s="1820"/>
      <c r="J219" s="1820"/>
      <c r="K219" s="1820"/>
      <c r="L219" s="1820"/>
      <c r="M219" s="1820"/>
      <c r="N219" s="1820"/>
      <c r="O219" s="1820"/>
      <c r="P219" s="1820"/>
      <c r="Q219" s="1820"/>
      <c r="R219" s="1820"/>
      <c r="S219" s="1820"/>
      <c r="T219" s="1820"/>
      <c r="U219" s="1820" t="s">
        <v>3724</v>
      </c>
      <c r="V219" s="1820"/>
      <c r="W219" s="1820"/>
      <c r="X219" s="1820"/>
      <c r="Y219" s="1820"/>
      <c r="Z219" s="1820"/>
      <c r="AA219" s="1820"/>
      <c r="AB219" s="1820"/>
      <c r="AC219" s="1820"/>
      <c r="AD219" s="2793" t="s">
        <v>3737</v>
      </c>
      <c r="AE219" s="1820"/>
      <c r="AF219" s="1820"/>
      <c r="AG219" s="1820"/>
      <c r="AH219" s="1820"/>
      <c r="AI219" s="1820"/>
      <c r="AJ219" s="1820"/>
      <c r="AK219" s="1819"/>
      <c r="AL219" s="1819"/>
      <c r="AM219" s="1819"/>
      <c r="AN219" s="1277"/>
      <c r="AO219" s="24" t="s">
        <v>411</v>
      </c>
      <c r="AP219" s="1277"/>
      <c r="AQ219" s="4431" t="s">
        <v>2526</v>
      </c>
      <c r="AR219" s="4410"/>
      <c r="AS219" s="4410"/>
      <c r="AT219" s="4437" t="s">
        <v>3772</v>
      </c>
      <c r="AU219" s="4410"/>
      <c r="AV219" s="4410"/>
      <c r="AW219" s="4413"/>
      <c r="AX219" s="4413" t="s">
        <v>399</v>
      </c>
      <c r="AY219" s="2045" t="str">
        <f>IF(AY206="","",MAX(0,SUM(AY206,-AY216)))</f>
        <v/>
      </c>
      <c r="AZ219" s="4411"/>
      <c r="BA219" s="946"/>
      <c r="BB219" s="946"/>
    </row>
    <row r="220" spans="1:54" s="3402" customFormat="1" ht="9.75" customHeight="1" thickBot="1">
      <c r="A220" s="1127"/>
      <c r="B220" s="4395"/>
      <c r="C220" s="4395"/>
      <c r="D220" s="4395"/>
      <c r="E220" s="4395"/>
      <c r="F220" s="4395"/>
      <c r="G220" s="4395"/>
      <c r="H220" s="4395"/>
      <c r="I220" s="4395"/>
      <c r="J220" s="4395"/>
      <c r="K220" s="4395"/>
      <c r="L220" s="4395"/>
      <c r="M220" s="4395"/>
      <c r="N220" s="4395"/>
      <c r="O220" s="4395"/>
      <c r="P220" s="4395"/>
      <c r="Q220" s="4395"/>
      <c r="R220" s="4395"/>
      <c r="S220" s="4395"/>
      <c r="T220" s="4395"/>
      <c r="U220" s="4395"/>
      <c r="V220" s="4395"/>
      <c r="W220" s="4395"/>
      <c r="X220" s="4395"/>
      <c r="Y220" s="4395"/>
      <c r="Z220" s="4395"/>
      <c r="AA220" s="4395"/>
      <c r="AB220" s="4395"/>
      <c r="AC220" s="4395"/>
      <c r="AD220" s="4395"/>
      <c r="AE220" s="4395"/>
      <c r="AF220" s="4395"/>
      <c r="AG220" s="4395"/>
      <c r="AH220" s="4395"/>
      <c r="AI220" s="4395"/>
      <c r="AJ220" s="4395"/>
      <c r="AK220" s="1127"/>
      <c r="AL220" s="1127"/>
      <c r="AM220" s="1127"/>
      <c r="AN220" s="1179"/>
      <c r="AO220" s="1179"/>
      <c r="AP220" s="1179"/>
      <c r="AQ220" s="4438"/>
      <c r="AR220" s="4439"/>
      <c r="AS220" s="4440"/>
      <c r="AT220" s="4440"/>
      <c r="AU220" s="4440"/>
      <c r="AV220" s="4440"/>
      <c r="AW220" s="4440"/>
      <c r="AX220" s="4440"/>
      <c r="AY220" s="4440"/>
      <c r="AZ220" s="4441"/>
      <c r="BA220" s="42"/>
      <c r="BB220" s="42"/>
    </row>
    <row r="221" spans="1:54" s="4381" customFormat="1" ht="14.25" customHeight="1">
      <c r="A221" s="4353"/>
      <c r="B221" s="4396"/>
      <c r="C221" s="4396"/>
      <c r="D221" s="4396"/>
      <c r="E221" s="4398" t="s">
        <v>4249</v>
      </c>
      <c r="F221" s="4396"/>
      <c r="G221" s="4396"/>
      <c r="H221" s="4396"/>
      <c r="I221" s="4396"/>
      <c r="J221" s="4396"/>
      <c r="K221" s="4396"/>
      <c r="L221" s="4396"/>
      <c r="M221" s="4396"/>
      <c r="N221" s="4396"/>
      <c r="O221" s="4396"/>
      <c r="P221" s="4396"/>
      <c r="Q221" s="4396"/>
      <c r="R221" s="4396"/>
      <c r="S221" s="4396"/>
      <c r="T221" s="4396"/>
      <c r="U221" s="4396"/>
      <c r="V221" s="4396"/>
      <c r="W221" s="4396"/>
      <c r="X221" s="4396"/>
      <c r="Y221" s="4396"/>
      <c r="Z221" s="4396"/>
      <c r="AA221" s="4396"/>
      <c r="AB221" s="4396"/>
      <c r="AC221" s="4396"/>
      <c r="AD221" s="4396"/>
      <c r="AE221" s="4396"/>
      <c r="AF221" s="4396"/>
      <c r="AG221" s="4396"/>
      <c r="AH221" s="4396"/>
      <c r="AI221" s="4396"/>
      <c r="AJ221" s="4396"/>
      <c r="AK221" s="4353"/>
      <c r="AL221" s="4353"/>
      <c r="AM221" s="4353"/>
      <c r="AN221" s="4354"/>
      <c r="AO221" s="3558" t="b">
        <f>OR(AND(AH224,AO232&lt;&gt;""),AND(NOT(AH224),AO229&lt;&gt;""))</f>
        <v>0</v>
      </c>
      <c r="AP221" s="2051"/>
      <c r="AQ221" s="2595"/>
      <c r="AR221" s="2601"/>
      <c r="AS221" s="2595"/>
      <c r="AT221" s="2595"/>
      <c r="AU221" s="2595"/>
      <c r="AV221" s="2595"/>
      <c r="AW221" s="2595"/>
      <c r="AX221" s="2595"/>
      <c r="AY221" s="2595"/>
      <c r="AZ221" s="2595"/>
      <c r="BA221" s="4355"/>
      <c r="BB221" s="4355"/>
    </row>
    <row r="222" spans="1:54" s="4381" customFormat="1" ht="16.5" customHeight="1">
      <c r="A222" s="4353"/>
      <c r="B222" s="4396"/>
      <c r="C222" s="4396"/>
      <c r="D222" s="4396"/>
      <c r="E222" s="4399" t="s">
        <v>4250</v>
      </c>
      <c r="F222" s="4396"/>
      <c r="G222" s="4396"/>
      <c r="H222" s="4396"/>
      <c r="I222" s="4396"/>
      <c r="J222" s="4396"/>
      <c r="K222" s="4396"/>
      <c r="L222" s="4396"/>
      <c r="M222" s="4396"/>
      <c r="N222" s="4396"/>
      <c r="O222" s="4396"/>
      <c r="P222" s="4396"/>
      <c r="Q222" s="4396"/>
      <c r="R222" s="4396"/>
      <c r="S222" s="4396"/>
      <c r="T222" s="4396"/>
      <c r="U222" s="4396"/>
      <c r="V222" s="4396"/>
      <c r="W222" s="4396"/>
      <c r="X222" s="4396"/>
      <c r="Y222" s="4396"/>
      <c r="Z222" s="4396"/>
      <c r="AA222" s="4396"/>
      <c r="AB222" s="4396"/>
      <c r="AC222" s="4396"/>
      <c r="AD222" s="4396"/>
      <c r="AE222" s="4396"/>
      <c r="AF222" s="4396"/>
      <c r="AG222" s="4396"/>
      <c r="AH222" s="4396"/>
      <c r="AI222" s="4396"/>
      <c r="AJ222" s="4396"/>
      <c r="AK222" s="4353"/>
      <c r="AL222" s="4353"/>
      <c r="AM222" s="4353"/>
      <c r="AN222" s="4354"/>
      <c r="AO222" s="3558" t="b">
        <f>OR(AND(AH224,AO232&lt;&gt;""),AND(NOT(AH224),AO229&lt;&gt;""))</f>
        <v>0</v>
      </c>
      <c r="AP222" s="2051"/>
      <c r="AQ222" s="2595"/>
      <c r="AR222" s="2601"/>
      <c r="AS222" s="2595"/>
      <c r="AT222" s="2595"/>
      <c r="AU222" s="2595"/>
      <c r="AV222" s="2595"/>
      <c r="AW222" s="2595"/>
      <c r="AX222" s="2595"/>
      <c r="AY222" s="2595"/>
      <c r="AZ222" s="2595"/>
      <c r="BA222" s="4355"/>
      <c r="BB222" s="4355"/>
    </row>
    <row r="223" spans="1:54" s="3402" customFormat="1" ht="6" customHeight="1">
      <c r="A223" s="1127"/>
      <c r="B223" s="4397"/>
      <c r="C223" s="4397"/>
      <c r="D223" s="4397"/>
      <c r="E223" s="4397"/>
      <c r="F223" s="4397"/>
      <c r="G223" s="4397"/>
      <c r="H223" s="4397"/>
      <c r="I223" s="4397"/>
      <c r="J223" s="4397"/>
      <c r="K223" s="4397"/>
      <c r="L223" s="4397"/>
      <c r="M223" s="4397"/>
      <c r="N223" s="4397"/>
      <c r="O223" s="4397"/>
      <c r="P223" s="4397"/>
      <c r="Q223" s="4397"/>
      <c r="R223" s="4397"/>
      <c r="S223" s="4397"/>
      <c r="T223" s="4397"/>
      <c r="U223" s="4397"/>
      <c r="V223" s="4397"/>
      <c r="W223" s="4397"/>
      <c r="X223" s="4397"/>
      <c r="Y223" s="4397"/>
      <c r="Z223" s="4397"/>
      <c r="AA223" s="4397"/>
      <c r="AB223" s="4397"/>
      <c r="AC223" s="4397"/>
      <c r="AD223" s="4397"/>
      <c r="AE223" s="4397"/>
      <c r="AF223" s="4397"/>
      <c r="AG223" s="4397"/>
      <c r="AH223" s="4397"/>
      <c r="AI223" s="4397"/>
      <c r="AJ223" s="4397"/>
      <c r="AK223" s="1127"/>
      <c r="AL223" s="1127"/>
      <c r="AM223" s="1127"/>
      <c r="AN223" s="1179"/>
      <c r="AO223" s="1179"/>
      <c r="AP223" s="1179"/>
      <c r="AQ223" s="2595"/>
      <c r="AR223" s="2595"/>
      <c r="AS223" s="2595"/>
      <c r="AT223" s="2595"/>
      <c r="AU223" s="2595"/>
      <c r="AV223" s="2595"/>
      <c r="AW223" s="2595"/>
      <c r="AX223" s="2595"/>
      <c r="AY223" s="2595"/>
      <c r="AZ223" s="2595"/>
      <c r="BA223" s="42"/>
      <c r="BB223" s="42"/>
    </row>
    <row r="224" spans="1:54" s="3402" customFormat="1" ht="16.5" customHeight="1" thickBot="1">
      <c r="A224" s="1127"/>
      <c r="B224" s="1565"/>
      <c r="C224" s="4749" t="s">
        <v>3738</v>
      </c>
      <c r="D224" s="1553"/>
      <c r="E224" s="1553"/>
      <c r="F224" s="1553"/>
      <c r="G224" s="1553"/>
      <c r="H224" s="1553"/>
      <c r="I224" s="1553"/>
      <c r="J224" s="1553"/>
      <c r="K224" s="1553"/>
      <c r="L224" s="1553"/>
      <c r="M224" s="1553"/>
      <c r="N224" s="1553"/>
      <c r="O224" s="1553"/>
      <c r="P224" s="1553"/>
      <c r="Q224" s="1553"/>
      <c r="R224" s="1553"/>
      <c r="S224" s="1553"/>
      <c r="T224" s="1553"/>
      <c r="U224" s="1553"/>
      <c r="V224" s="1553"/>
      <c r="W224" s="1553"/>
      <c r="X224" s="1553"/>
      <c r="Y224" s="1553"/>
      <c r="Z224" s="1553"/>
      <c r="AA224" s="1553"/>
      <c r="AB224" s="9233" t="b">
        <f>AND(AE225&lt;&gt;"",AE225&gt;AO226)</f>
        <v>0</v>
      </c>
      <c r="AC224" s="9233"/>
      <c r="AD224" s="1553"/>
      <c r="AE224" s="1553"/>
      <c r="AF224" s="1553"/>
      <c r="AG224" s="1553"/>
      <c r="AH224" s="9233" t="b">
        <f>AND(T206="",AC211="",T215="",T218="")</f>
        <v>1</v>
      </c>
      <c r="AI224" s="9233"/>
      <c r="AJ224" s="9233"/>
      <c r="AK224" s="1127"/>
      <c r="AL224" s="1127"/>
      <c r="AM224" s="1127"/>
      <c r="AN224" s="1179"/>
      <c r="AO224" s="1179"/>
      <c r="AP224" s="1179"/>
      <c r="AQ224" s="2595"/>
      <c r="AR224" s="2595"/>
      <c r="AS224" s="2595"/>
      <c r="AT224" s="2595"/>
      <c r="AU224" s="2595"/>
      <c r="AV224" s="2595"/>
      <c r="AW224" s="2595"/>
      <c r="AX224" s="2595"/>
      <c r="AY224" s="2595"/>
      <c r="AZ224" s="2595"/>
      <c r="BA224" s="42"/>
      <c r="BB224" s="42"/>
    </row>
    <row r="225" spans="1:54" s="3402" customFormat="1" ht="16.5" customHeight="1" thickBot="1">
      <c r="A225" s="1127"/>
      <c r="B225" s="4370">
        <v>27</v>
      </c>
      <c r="C225" s="1179"/>
      <c r="D225" s="2686" t="s">
        <v>3739</v>
      </c>
      <c r="E225" s="2686"/>
      <c r="F225" s="1179"/>
      <c r="G225" s="1179"/>
      <c r="H225" s="1179"/>
      <c r="I225" s="1179"/>
      <c r="J225" s="1179"/>
      <c r="K225" s="1179"/>
      <c r="L225" s="1179"/>
      <c r="M225" s="1179"/>
      <c r="N225" s="1179"/>
      <c r="O225" s="1179"/>
      <c r="P225" s="1179"/>
      <c r="Q225" s="1179"/>
      <c r="R225" s="4750" t="str">
        <f>"Don't enter more than "&amp;TEXT(AO226,"$0,000")&amp;"."</f>
        <v>Don't enter more than $4,000.</v>
      </c>
      <c r="S225" s="1179"/>
      <c r="T225" s="1179"/>
      <c r="U225" s="1179"/>
      <c r="V225" s="1179"/>
      <c r="W225" s="1179"/>
      <c r="X225" s="1179"/>
      <c r="Y225" s="1179"/>
      <c r="Z225" s="4392"/>
      <c r="AA225" s="4392"/>
      <c r="AB225" s="4390"/>
      <c r="AC225" s="4391"/>
      <c r="AD225" s="2224">
        <v>27</v>
      </c>
      <c r="AE225" s="9531" t="str">
        <f>IF(AO225&lt;&gt;"",ROUND(AO225,0),IF(OR(NOT(AH224),AY219=""),"",MIN(AO226,AY219)))</f>
        <v/>
      </c>
      <c r="AF225" s="9532"/>
      <c r="AG225" s="9532"/>
      <c r="AH225" s="9532"/>
      <c r="AI225" s="9532"/>
      <c r="AJ225" s="9532"/>
      <c r="AK225" s="1127"/>
      <c r="AL225" s="1127"/>
      <c r="AM225" s="1127"/>
      <c r="AN225" s="1179"/>
      <c r="AO225" s="4377"/>
      <c r="AP225" s="1179"/>
      <c r="AQ225" s="2595"/>
      <c r="AR225" s="2595"/>
      <c r="AS225" s="2595"/>
      <c r="AT225" s="2595"/>
      <c r="AU225" s="2595"/>
      <c r="AV225" s="2595"/>
      <c r="AW225" s="2595"/>
      <c r="AX225" s="2595"/>
      <c r="AY225" s="2595"/>
      <c r="AZ225" s="2595"/>
      <c r="BA225" s="42"/>
      <c r="BB225" s="42"/>
    </row>
    <row r="226" spans="1:54" s="3402" customFormat="1" ht="17.25" customHeight="1">
      <c r="A226" s="1127"/>
      <c r="B226" s="1559">
        <v>28</v>
      </c>
      <c r="C226" s="1179"/>
      <c r="D226" s="2686" t="str">
        <f>"Subtract "&amp;TEXT(AO227,"$0,000")&amp;" from line 27. If zero or less, enter -0-"</f>
        <v>Subtract $2,000 from line 27. If zero or less, enter -0-</v>
      </c>
      <c r="E226" s="1179"/>
      <c r="F226" s="1179"/>
      <c r="G226" s="1179"/>
      <c r="H226" s="1179"/>
      <c r="I226" s="1179"/>
      <c r="J226" s="1179"/>
      <c r="K226" s="1179"/>
      <c r="L226" s="1179"/>
      <c r="M226" s="1179"/>
      <c r="N226" s="1179"/>
      <c r="O226" s="1179"/>
      <c r="P226" s="1179"/>
      <c r="Q226" s="1179"/>
      <c r="R226" s="1179"/>
      <c r="S226" s="1179"/>
      <c r="T226" s="1179"/>
      <c r="U226" s="1179"/>
      <c r="V226" s="1179"/>
      <c r="W226" s="1179"/>
      <c r="X226" s="1179"/>
      <c r="Y226" s="1179"/>
      <c r="Z226" s="1681"/>
      <c r="AA226" s="1681"/>
      <c r="AB226" s="1179"/>
      <c r="AC226" s="1560" t="s">
        <v>3767</v>
      </c>
      <c r="AD226" s="2224">
        <v>28</v>
      </c>
      <c r="AE226" s="9531" t="str">
        <f>IF(OR(NOT(AH224),AY219=""),"",MAX(0,SUM(AE225,-AO227)))</f>
        <v/>
      </c>
      <c r="AF226" s="9532"/>
      <c r="AG226" s="9532"/>
      <c r="AH226" s="9532"/>
      <c r="AI226" s="9532"/>
      <c r="AJ226" s="9532"/>
      <c r="AK226" s="1127"/>
      <c r="AL226" s="1127"/>
      <c r="AM226" s="1127"/>
      <c r="AN226" s="1179"/>
      <c r="AO226" s="1284">
        <v>4000</v>
      </c>
      <c r="AP226" s="1179"/>
      <c r="AQ226" s="2595"/>
      <c r="AR226" s="2595"/>
      <c r="AS226" s="2595"/>
      <c r="AT226" s="2595"/>
      <c r="AU226" s="2595"/>
      <c r="AV226" s="2595"/>
      <c r="AW226" s="2595"/>
      <c r="AX226" s="2595"/>
      <c r="AY226" s="2595"/>
      <c r="AZ226" s="2595"/>
      <c r="BA226" s="42"/>
      <c r="BB226" s="42"/>
    </row>
    <row r="227" spans="1:54" s="3402" customFormat="1" ht="17.25" customHeight="1">
      <c r="A227" s="1127"/>
      <c r="B227" s="1559">
        <v>29</v>
      </c>
      <c r="C227" s="1179"/>
      <c r="D227" s="2686" t="str">
        <f>"Multiply line 28 by "&amp;TEXT(AB228,"0%")&amp;" ("&amp;TEXT(AB228,"0.00")&amp;")"</f>
        <v>Multiply line 28 by 25% (0.25)</v>
      </c>
      <c r="E227" s="2686"/>
      <c r="F227" s="2686"/>
      <c r="G227" s="1179"/>
      <c r="H227" s="1179"/>
      <c r="I227" s="1179"/>
      <c r="J227" s="1179"/>
      <c r="K227" s="1179"/>
      <c r="L227" s="1283"/>
      <c r="M227" s="1283"/>
      <c r="N227" s="1283"/>
      <c r="O227" s="1283"/>
      <c r="P227" s="1283"/>
      <c r="Q227" s="1283"/>
      <c r="R227" s="1283"/>
      <c r="S227" s="1283"/>
      <c r="T227" s="1283"/>
      <c r="U227" s="1283"/>
      <c r="V227" s="1283"/>
      <c r="W227" s="1283"/>
      <c r="X227" s="1283"/>
      <c r="Y227" s="1283"/>
      <c r="Z227" s="1283"/>
      <c r="AA227" s="1283"/>
      <c r="AB227" s="1283"/>
      <c r="AC227" s="1560" t="s">
        <v>3766</v>
      </c>
      <c r="AD227" s="2224">
        <v>29</v>
      </c>
      <c r="AE227" s="9531" t="str">
        <f>IF(OR(NOT(AH224),AY219=""),"",ROUND(AE226*AB228,0))</f>
        <v/>
      </c>
      <c r="AF227" s="9532"/>
      <c r="AG227" s="9532"/>
      <c r="AH227" s="9532"/>
      <c r="AI227" s="9532"/>
      <c r="AJ227" s="9532"/>
      <c r="AK227" s="1127"/>
      <c r="AL227" s="1127"/>
      <c r="AM227" s="1127"/>
      <c r="AN227" s="1179"/>
      <c r="AO227" s="1284">
        <v>2000</v>
      </c>
      <c r="AP227" s="1179"/>
      <c r="AQ227" s="2595"/>
      <c r="AR227" s="2595"/>
      <c r="AS227" s="2595"/>
      <c r="AT227" s="2595"/>
      <c r="AU227" s="2595"/>
      <c r="AV227" s="2595"/>
      <c r="AW227" s="2595"/>
      <c r="AX227" s="2595"/>
      <c r="AY227" s="2595"/>
      <c r="AZ227" s="2595"/>
      <c r="BA227" s="42"/>
      <c r="BB227" s="42"/>
    </row>
    <row r="228" spans="1:54" s="3402" customFormat="1" ht="15.75" customHeight="1" thickBot="1">
      <c r="A228" s="1127"/>
      <c r="B228" s="1559">
        <v>30</v>
      </c>
      <c r="C228" s="1179"/>
      <c r="D228" s="2686" t="s">
        <v>3740</v>
      </c>
      <c r="E228" s="2686"/>
      <c r="F228" s="2686"/>
      <c r="G228" s="1179"/>
      <c r="H228" s="1179"/>
      <c r="I228" s="1179"/>
      <c r="J228" s="1179"/>
      <c r="K228" s="1179"/>
      <c r="L228" s="1179"/>
      <c r="M228" s="1179"/>
      <c r="N228" s="1179"/>
      <c r="O228" s="1179"/>
      <c r="P228" s="1179"/>
      <c r="Q228" s="1179"/>
      <c r="R228" s="1179"/>
      <c r="S228" s="1179"/>
      <c r="T228" s="1179"/>
      <c r="U228" s="1179"/>
      <c r="V228" s="1179"/>
      <c r="W228" s="1179"/>
      <c r="X228" s="1179"/>
      <c r="Y228" s="1179"/>
      <c r="Z228" s="1179"/>
      <c r="AA228" s="1179"/>
      <c r="AB228" s="7772">
        <v>0.25</v>
      </c>
      <c r="AC228" s="7773"/>
      <c r="AD228" s="1555"/>
      <c r="AE228" s="1179"/>
      <c r="AF228" s="1179"/>
      <c r="AG228" s="1179"/>
      <c r="AH228" s="1179"/>
      <c r="AI228" s="1179"/>
      <c r="AJ228" s="1179"/>
      <c r="AK228" s="1127"/>
      <c r="AL228" s="1127"/>
      <c r="AM228" s="1127"/>
      <c r="AN228" s="1179"/>
      <c r="AO228" s="1179"/>
      <c r="AP228" s="1179"/>
      <c r="AQ228" s="2595"/>
      <c r="AR228" s="2595"/>
      <c r="AS228" s="2595"/>
      <c r="AT228" s="2595"/>
      <c r="AU228" s="2595"/>
      <c r="AV228" s="2595"/>
      <c r="AW228" s="2595"/>
      <c r="AX228" s="2595"/>
      <c r="AY228" s="2595"/>
      <c r="AZ228" s="2595"/>
      <c r="BA228" s="42"/>
      <c r="BB228" s="42"/>
    </row>
    <row r="229" spans="1:54" s="3402" customFormat="1" ht="15.75" thickBot="1">
      <c r="A229" s="1127"/>
      <c r="B229" s="1179"/>
      <c r="C229" s="1179"/>
      <c r="D229" s="2686" t="s">
        <v>3741</v>
      </c>
      <c r="E229" s="2686"/>
      <c r="F229" s="2686"/>
      <c r="G229" s="1179"/>
      <c r="H229" s="1179"/>
      <c r="I229" s="1179"/>
      <c r="J229" s="1179"/>
      <c r="K229" s="1179"/>
      <c r="L229" s="1179"/>
      <c r="M229" s="1179"/>
      <c r="N229" s="1179"/>
      <c r="O229" s="1179"/>
      <c r="P229" s="1179"/>
      <c r="Q229" s="1179"/>
      <c r="R229" s="1179"/>
      <c r="S229" s="1179"/>
      <c r="T229" s="1179"/>
      <c r="U229" s="1179"/>
      <c r="V229" s="1179"/>
      <c r="W229" s="1179"/>
      <c r="X229" s="1179"/>
      <c r="Y229" s="1179"/>
      <c r="Z229" s="1179"/>
      <c r="AA229" s="1179"/>
      <c r="AB229" s="1179"/>
      <c r="AC229" s="1560" t="s">
        <v>1784</v>
      </c>
      <c r="AD229" s="2214">
        <v>30</v>
      </c>
      <c r="AE229" s="9480" t="str">
        <f>IF(AO229&lt;&gt;"",ROUND(AO229,0),IF(OR(NOT(AH224),AE225=0,AE225="",AY219=""),"",IF(OR(AE226=0,AE226=""),AE225,SUM(AE227,AO227))))</f>
        <v/>
      </c>
      <c r="AF229" s="9481"/>
      <c r="AG229" s="9481"/>
      <c r="AH229" s="9481"/>
      <c r="AI229" s="9481"/>
      <c r="AJ229" s="9481"/>
      <c r="AK229" s="1127"/>
      <c r="AL229" s="1127"/>
      <c r="AM229" s="1127"/>
      <c r="AN229" s="1179"/>
      <c r="AO229" s="4377"/>
      <c r="AP229" s="1179"/>
      <c r="AQ229" s="2595"/>
      <c r="AR229" s="2595"/>
      <c r="AS229" s="2595"/>
      <c r="AT229" s="2595"/>
      <c r="AU229" s="2595"/>
      <c r="AV229" s="2595"/>
      <c r="AW229" s="2595"/>
      <c r="AX229" s="2595"/>
      <c r="AY229" s="2595"/>
      <c r="AZ229" s="2595"/>
      <c r="BA229" s="42"/>
      <c r="BB229" s="42"/>
    </row>
    <row r="230" spans="1:54" s="3402" customFormat="1" ht="16.5" customHeight="1">
      <c r="A230" s="1127"/>
      <c r="B230" s="1565"/>
      <c r="C230" s="4749" t="s">
        <v>3742</v>
      </c>
      <c r="D230" s="1554"/>
      <c r="E230" s="1554"/>
      <c r="F230" s="1554"/>
      <c r="G230" s="1554"/>
      <c r="H230" s="1554"/>
      <c r="I230" s="1554"/>
      <c r="J230" s="1554"/>
      <c r="K230" s="1554"/>
      <c r="L230" s="1554"/>
      <c r="M230" s="1554"/>
      <c r="N230" s="1554"/>
      <c r="O230" s="1554"/>
      <c r="P230" s="1554"/>
      <c r="Q230" s="1554"/>
      <c r="R230" s="1554"/>
      <c r="S230" s="1554"/>
      <c r="T230" s="1554"/>
      <c r="U230" s="1554"/>
      <c r="V230" s="1554"/>
      <c r="W230" s="1554"/>
      <c r="X230" s="1554"/>
      <c r="Y230" s="1554"/>
      <c r="Z230" s="1554"/>
      <c r="AA230" s="1554"/>
      <c r="AB230" s="1554"/>
      <c r="AC230" s="1554"/>
      <c r="AD230" s="1554"/>
      <c r="AE230" s="1554"/>
      <c r="AF230" s="1554"/>
      <c r="AG230" s="1554"/>
      <c r="AH230" s="1554"/>
      <c r="AI230" s="1554"/>
      <c r="AJ230" s="1554"/>
      <c r="AK230" s="1127"/>
      <c r="AL230" s="1127"/>
      <c r="AM230" s="1127"/>
      <c r="AN230" s="1179"/>
      <c r="AO230" s="1179"/>
      <c r="AP230" s="1179"/>
      <c r="AQ230" s="2595"/>
      <c r="AR230" s="2595"/>
      <c r="AS230" s="2595"/>
      <c r="AT230" s="2595"/>
      <c r="AU230" s="2595"/>
      <c r="AV230" s="2595"/>
      <c r="AW230" s="2595"/>
      <c r="AX230" s="2595"/>
      <c r="AY230" s="2595"/>
      <c r="AZ230" s="2595"/>
      <c r="BA230" s="42"/>
      <c r="BB230" s="42"/>
    </row>
    <row r="231" spans="1:54" s="3402" customFormat="1" ht="15.75" customHeight="1" thickBot="1">
      <c r="A231" s="1127"/>
      <c r="B231" s="1559">
        <v>31</v>
      </c>
      <c r="C231" s="1179"/>
      <c r="D231" s="2686" t="s">
        <v>3762</v>
      </c>
      <c r="E231" s="2686"/>
      <c r="F231" s="2686"/>
      <c r="G231" s="1179"/>
      <c r="H231" s="1179"/>
      <c r="I231" s="1179"/>
      <c r="J231" s="1179"/>
      <c r="K231" s="1179"/>
      <c r="L231" s="1179"/>
      <c r="M231" s="1179"/>
      <c r="N231" s="1179"/>
      <c r="O231" s="1179"/>
      <c r="P231" s="1179"/>
      <c r="Q231" s="1179"/>
      <c r="R231" s="1179"/>
      <c r="S231" s="1179"/>
      <c r="T231" s="1179"/>
      <c r="U231" s="1179"/>
      <c r="V231" s="1179"/>
      <c r="W231" s="1179"/>
      <c r="X231" s="1179"/>
      <c r="Y231" s="1179"/>
      <c r="Z231" s="1179"/>
      <c r="AA231" s="1179"/>
      <c r="AB231" s="1179"/>
      <c r="AC231" s="1179"/>
      <c r="AD231" s="1555"/>
      <c r="AE231" s="1179"/>
      <c r="AF231" s="1179"/>
      <c r="AG231" s="1179"/>
      <c r="AH231" s="1179"/>
      <c r="AI231" s="1179"/>
      <c r="AJ231" s="1179"/>
      <c r="AK231" s="1127"/>
      <c r="AL231" s="1127"/>
      <c r="AM231" s="1127"/>
      <c r="AN231" s="1179"/>
      <c r="AO231" s="1179"/>
      <c r="AP231" s="1179"/>
      <c r="AQ231" s="2595"/>
      <c r="AR231" s="2595"/>
      <c r="AS231" s="2595"/>
      <c r="AT231" s="2595"/>
      <c r="AU231" s="2595"/>
      <c r="AV231" s="2595"/>
      <c r="AW231" s="2595"/>
      <c r="AX231" s="2595"/>
      <c r="AY231" s="2595"/>
      <c r="AZ231" s="2595"/>
      <c r="BA231" s="42"/>
      <c r="BB231" s="42"/>
    </row>
    <row r="232" spans="1:54" s="3402" customFormat="1" ht="15.75" thickBot="1">
      <c r="A232" s="1127"/>
      <c r="B232" s="1280"/>
      <c r="C232" s="1280"/>
      <c r="D232" s="2704" t="s">
        <v>3763</v>
      </c>
      <c r="E232" s="2704"/>
      <c r="F232" s="2704"/>
      <c r="G232" s="1280"/>
      <c r="H232" s="1280"/>
      <c r="I232" s="1280"/>
      <c r="J232" s="1280"/>
      <c r="K232" s="1280"/>
      <c r="L232" s="1280"/>
      <c r="M232" s="1280"/>
      <c r="N232" s="1280"/>
      <c r="O232" s="1280"/>
      <c r="P232" s="1280"/>
      <c r="Q232" s="1280"/>
      <c r="R232" s="1280"/>
      <c r="S232" s="1280"/>
      <c r="T232" s="1280"/>
      <c r="U232" s="1280"/>
      <c r="V232" s="1280"/>
      <c r="W232" s="1280"/>
      <c r="X232" s="1280"/>
      <c r="Y232" s="1280"/>
      <c r="Z232" s="1280"/>
      <c r="AA232" s="1280"/>
      <c r="AB232" s="1280"/>
      <c r="AC232" s="3307" t="s">
        <v>3766</v>
      </c>
      <c r="AD232" s="4372">
        <v>31</v>
      </c>
      <c r="AE232" s="9119" t="str">
        <f>IF(AO232&lt;&gt;"",ROUND(AO232,0),IF(OR(AH224,AY219=""),"",AY219))</f>
        <v/>
      </c>
      <c r="AF232" s="9482"/>
      <c r="AG232" s="9482"/>
      <c r="AH232" s="9482"/>
      <c r="AI232" s="9482"/>
      <c r="AJ232" s="9482"/>
      <c r="AK232" s="1127"/>
      <c r="AL232" s="1127"/>
      <c r="AM232" s="1127"/>
      <c r="AN232" s="1179"/>
      <c r="AO232" s="4377"/>
      <c r="AP232" s="1179"/>
      <c r="AQ232" s="2595"/>
      <c r="AR232" s="2595"/>
      <c r="AS232" s="2595"/>
      <c r="AT232" s="2595"/>
      <c r="AU232" s="2595"/>
      <c r="AV232" s="2595"/>
      <c r="AW232" s="2595"/>
      <c r="AX232" s="2595"/>
      <c r="AY232" s="2595"/>
      <c r="AZ232" s="2595"/>
      <c r="BA232" s="42"/>
      <c r="BB232" s="42"/>
    </row>
    <row r="233" spans="1:54" s="3402" customFormat="1" ht="15.75">
      <c r="A233" s="1127"/>
      <c r="B233" s="1709"/>
      <c r="C233" s="70"/>
      <c r="D233" s="70"/>
      <c r="E233" s="70"/>
      <c r="F233" s="70"/>
      <c r="G233" s="70"/>
      <c r="H233" s="70"/>
      <c r="I233" s="70"/>
      <c r="J233" s="70"/>
      <c r="K233" s="70"/>
      <c r="L233" s="70"/>
      <c r="M233" s="70"/>
      <c r="N233" s="70"/>
      <c r="O233" s="70"/>
      <c r="P233" s="70"/>
      <c r="Q233" s="23"/>
      <c r="R233" s="23"/>
      <c r="S233" s="23"/>
      <c r="T233" s="23"/>
      <c r="U233" s="501"/>
      <c r="V233" s="23"/>
      <c r="W233" s="501"/>
      <c r="X233" s="23"/>
      <c r="Y233" s="23"/>
      <c r="Z233" s="23"/>
      <c r="AA233" s="23"/>
      <c r="AB233" s="23"/>
      <c r="AC233" s="23"/>
      <c r="AD233" s="23"/>
      <c r="AE233" s="23"/>
      <c r="AF233" s="23"/>
      <c r="AG233" s="23"/>
      <c r="AH233" s="1035" t="s">
        <v>3708</v>
      </c>
      <c r="AI233" s="23"/>
      <c r="AJ233" s="1035" t="str">
        <f>"("&amp;TaxYear&amp;")"</f>
        <v>(2021)</v>
      </c>
      <c r="AK233" s="1127"/>
      <c r="AL233" s="1127"/>
      <c r="AM233" s="1127"/>
      <c r="AN233" s="1927"/>
      <c r="AO233" s="1927"/>
      <c r="AP233" s="1179"/>
      <c r="AQ233" s="2595"/>
      <c r="AR233" s="2595"/>
      <c r="AS233" s="2595"/>
      <c r="AT233" s="2595"/>
      <c r="AU233" s="2595"/>
      <c r="AV233" s="2595"/>
      <c r="AW233" s="2595"/>
      <c r="AX233" s="2595"/>
      <c r="AY233" s="2595"/>
      <c r="AZ233" s="2595"/>
      <c r="BA233" s="42"/>
      <c r="BB233" s="42"/>
    </row>
    <row r="234" spans="1:54" s="3402" customFormat="1" ht="18" customHeight="1" thickBot="1">
      <c r="A234" s="1127"/>
      <c r="B234" s="1359" t="str">
        <f>"Form 8863 ("&amp;TaxYear&amp;")"</f>
        <v>Form 8863 (2021)</v>
      </c>
      <c r="C234" s="1359"/>
      <c r="D234" s="1359"/>
      <c r="E234" s="1359"/>
      <c r="F234" s="1359"/>
      <c r="G234" s="1359"/>
      <c r="H234" s="1359"/>
      <c r="I234" s="1359"/>
      <c r="J234" s="1359"/>
      <c r="K234" s="1359"/>
      <c r="L234" s="1359"/>
      <c r="M234" s="1359"/>
      <c r="N234" s="1359"/>
      <c r="O234" s="1359"/>
      <c r="P234" s="1359"/>
      <c r="Q234" s="1359"/>
      <c r="R234" s="1359"/>
      <c r="S234" s="1359"/>
      <c r="T234" s="1359"/>
      <c r="U234" s="1359"/>
      <c r="V234" s="1359"/>
      <c r="W234" s="1359"/>
      <c r="X234" s="1359"/>
      <c r="Y234" s="1359"/>
      <c r="Z234" s="1359"/>
      <c r="AA234" s="1359"/>
      <c r="AB234" s="1359"/>
      <c r="AC234" s="1359"/>
      <c r="AD234" s="1359"/>
      <c r="AE234" s="1359"/>
      <c r="AF234" s="1359"/>
      <c r="AG234" s="1359"/>
      <c r="AH234" s="1359"/>
      <c r="AI234" s="1815" t="s">
        <v>197</v>
      </c>
      <c r="AJ234" s="1816">
        <v>2</v>
      </c>
      <c r="AK234" s="1127"/>
      <c r="AL234" s="1127"/>
      <c r="AM234" s="1127"/>
      <c r="AN234" s="1179"/>
      <c r="AO234" s="1179"/>
      <c r="AP234" s="1179"/>
      <c r="AQ234" s="2595"/>
      <c r="AR234" s="2595"/>
      <c r="AS234" s="2595"/>
      <c r="AT234" s="2595"/>
      <c r="AU234" s="2595"/>
      <c r="AV234" s="2595"/>
      <c r="AW234" s="2595"/>
      <c r="AX234" s="2595"/>
      <c r="AY234" s="2595"/>
      <c r="AZ234" s="2595"/>
      <c r="BA234" s="42"/>
      <c r="BB234" s="42"/>
    </row>
    <row r="235" spans="1:54" s="3402" customFormat="1" ht="16.5" customHeight="1" thickTop="1">
      <c r="A235" s="1127"/>
      <c r="B235" s="4360" t="s">
        <v>55</v>
      </c>
      <c r="C235" s="1553"/>
      <c r="D235" s="1553"/>
      <c r="E235" s="1553"/>
      <c r="F235" s="1553"/>
      <c r="G235" s="1553"/>
      <c r="H235" s="1553"/>
      <c r="I235" s="1553"/>
      <c r="J235" s="1553"/>
      <c r="K235" s="1553"/>
      <c r="L235" s="1553"/>
      <c r="M235" s="1553"/>
      <c r="N235" s="1553"/>
      <c r="O235" s="1553"/>
      <c r="P235" s="1553"/>
      <c r="Q235" s="1553"/>
      <c r="R235" s="1553"/>
      <c r="S235" s="1553"/>
      <c r="T235" s="1553"/>
      <c r="U235" s="1553"/>
      <c r="V235" s="1553"/>
      <c r="W235" s="1553"/>
      <c r="X235" s="1553"/>
      <c r="Y235" s="1553"/>
      <c r="Z235" s="1553"/>
      <c r="AA235" s="1553"/>
      <c r="AB235" s="1553"/>
      <c r="AC235" s="9512" t="s">
        <v>89</v>
      </c>
      <c r="AD235" s="9513"/>
      <c r="AE235" s="9513"/>
      <c r="AF235" s="9513"/>
      <c r="AG235" s="9513"/>
      <c r="AH235" s="9513"/>
      <c r="AI235" s="9513"/>
      <c r="AJ235" s="9513"/>
      <c r="AK235" s="1127"/>
      <c r="AL235" s="1127"/>
      <c r="AM235" s="1127"/>
      <c r="AN235" s="1179"/>
      <c r="AO235" s="1179"/>
      <c r="AP235" s="1179"/>
      <c r="AQ235" s="2595"/>
      <c r="AR235" s="2595"/>
      <c r="AS235" s="2595"/>
      <c r="AT235" s="2595"/>
      <c r="AU235" s="2595"/>
      <c r="AV235" s="2595"/>
      <c r="AW235" s="2595"/>
      <c r="AX235" s="2595"/>
      <c r="AY235" s="2595"/>
      <c r="AZ235" s="2595"/>
      <c r="BA235" s="42"/>
      <c r="BB235" s="42"/>
    </row>
    <row r="236" spans="1:54" s="3402" customFormat="1" ht="21.75" customHeight="1">
      <c r="A236" s="1127"/>
      <c r="B236" s="9516" t="str">
        <f>Names</f>
        <v/>
      </c>
      <c r="C236" s="9517"/>
      <c r="D236" s="9517"/>
      <c r="E236" s="9517"/>
      <c r="F236" s="9517"/>
      <c r="G236" s="9517"/>
      <c r="H236" s="9517"/>
      <c r="I236" s="9517"/>
      <c r="J236" s="9517"/>
      <c r="K236" s="9517"/>
      <c r="L236" s="9517"/>
      <c r="M236" s="9517"/>
      <c r="N236" s="9517"/>
      <c r="O236" s="9517"/>
      <c r="P236" s="9517"/>
      <c r="Q236" s="9517"/>
      <c r="R236" s="9517"/>
      <c r="S236" s="9517"/>
      <c r="T236" s="9517"/>
      <c r="U236" s="9517"/>
      <c r="V236" s="9517"/>
      <c r="W236" s="9517"/>
      <c r="X236" s="9517"/>
      <c r="Y236" s="9517"/>
      <c r="Z236" s="9517"/>
      <c r="AA236" s="9517"/>
      <c r="AB236" s="9518"/>
      <c r="AC236" s="9514">
        <f>IF(OR(NoSSN,SS_Yours=""),"",SS_Yours)</f>
        <v>1010001</v>
      </c>
      <c r="AD236" s="9515"/>
      <c r="AE236" s="9515"/>
      <c r="AF236" s="9515"/>
      <c r="AG236" s="9515"/>
      <c r="AH236" s="9515"/>
      <c r="AI236" s="9515"/>
      <c r="AJ236" s="9515"/>
      <c r="AK236" s="1127"/>
      <c r="AL236" s="1127"/>
      <c r="AM236" s="1127"/>
      <c r="AN236" s="1179"/>
      <c r="AO236" s="1179"/>
      <c r="AP236" s="1179"/>
      <c r="AQ236" s="2595"/>
      <c r="AR236" s="2595"/>
      <c r="AS236" s="2595"/>
      <c r="AT236" s="2595"/>
      <c r="AU236" s="2595"/>
      <c r="AV236" s="2595"/>
      <c r="AW236" s="2595"/>
      <c r="AX236" s="2595"/>
      <c r="AY236" s="2595"/>
      <c r="AZ236" s="2595"/>
      <c r="BA236" s="42"/>
      <c r="BB236" s="42"/>
    </row>
    <row r="237" spans="1:54" s="3402" customFormat="1" ht="5.25" customHeight="1">
      <c r="A237" s="1127"/>
      <c r="B237" s="4373"/>
      <c r="C237" s="4373"/>
      <c r="D237" s="4373" t="s">
        <v>3770</v>
      </c>
      <c r="E237" s="4373"/>
      <c r="F237" s="4373"/>
      <c r="G237" s="4373"/>
      <c r="H237" s="4373"/>
      <c r="I237" s="4373"/>
      <c r="J237" s="4373"/>
      <c r="K237" s="4373"/>
      <c r="L237" s="4373"/>
      <c r="M237" s="4373"/>
      <c r="N237" s="4373"/>
      <c r="O237" s="4373"/>
      <c r="P237" s="4373"/>
      <c r="Q237" s="4373"/>
      <c r="R237" s="4373"/>
      <c r="S237" s="4373"/>
      <c r="T237" s="4373"/>
      <c r="U237" s="4373"/>
      <c r="V237" s="4373"/>
      <c r="W237" s="4373"/>
      <c r="X237" s="4373"/>
      <c r="Y237" s="4373"/>
      <c r="Z237" s="4373"/>
      <c r="AA237" s="4373"/>
      <c r="AB237" s="4373"/>
      <c r="AC237" s="4373"/>
      <c r="AD237" s="4373"/>
      <c r="AE237" s="4373"/>
      <c r="AF237" s="4373"/>
      <c r="AG237" s="4373"/>
      <c r="AH237" s="4373"/>
      <c r="AI237" s="4373"/>
      <c r="AJ237" s="4373"/>
      <c r="AK237" s="1127"/>
      <c r="AL237" s="1127"/>
      <c r="AM237" s="1127"/>
      <c r="AN237" s="1179"/>
      <c r="AO237" s="1179"/>
      <c r="AP237" s="1179"/>
      <c r="AQ237" s="2595"/>
      <c r="AR237" s="2595"/>
      <c r="AS237" s="2595"/>
      <c r="AT237" s="2595"/>
      <c r="AU237" s="2595"/>
      <c r="AV237" s="2595"/>
      <c r="AW237" s="2595"/>
      <c r="AX237" s="2595"/>
      <c r="AY237" s="2595"/>
      <c r="AZ237" s="2595"/>
      <c r="BA237" s="42"/>
      <c r="BB237" s="42"/>
    </row>
    <row r="238" spans="1:54" s="4381" customFormat="1" ht="15.75" customHeight="1">
      <c r="A238" s="4353"/>
      <c r="B238" s="4374"/>
      <c r="C238" s="4374"/>
      <c r="D238" s="4393" t="s">
        <v>3771</v>
      </c>
      <c r="E238" s="4374"/>
      <c r="F238" s="4374"/>
      <c r="G238" s="4374"/>
      <c r="H238" s="4374"/>
      <c r="I238" s="4374"/>
      <c r="J238" s="4374"/>
      <c r="K238" s="4374"/>
      <c r="L238" s="4374"/>
      <c r="M238" s="4374"/>
      <c r="N238" s="4374"/>
      <c r="O238" s="4374"/>
      <c r="P238" s="4374"/>
      <c r="Q238" s="4374"/>
      <c r="R238" s="4374"/>
      <c r="S238" s="4374"/>
      <c r="T238" s="4374"/>
      <c r="U238" s="4374"/>
      <c r="V238" s="4374"/>
      <c r="W238" s="4374"/>
      <c r="X238" s="4374"/>
      <c r="Y238" s="4374"/>
      <c r="Z238" s="4374"/>
      <c r="AA238" s="4374"/>
      <c r="AB238" s="4374"/>
      <c r="AC238" s="4374"/>
      <c r="AD238" s="4374"/>
      <c r="AE238" s="4374"/>
      <c r="AF238" s="4374"/>
      <c r="AG238" s="4374"/>
      <c r="AH238" s="4374"/>
      <c r="AI238" s="4374"/>
      <c r="AJ238" s="4374"/>
      <c r="AK238" s="4353"/>
      <c r="AL238" s="4353"/>
      <c r="AM238" s="4353"/>
      <c r="AN238" s="4354"/>
      <c r="AO238" s="4354"/>
      <c r="AP238" s="2051"/>
      <c r="AQ238" s="4380"/>
      <c r="AR238" s="4380"/>
      <c r="AS238" s="4380"/>
      <c r="AT238" s="4380"/>
      <c r="AU238" s="4380"/>
      <c r="AV238" s="4380"/>
      <c r="AW238" s="4380"/>
      <c r="AX238" s="4380"/>
      <c r="AY238" s="4380"/>
      <c r="AZ238" s="4380"/>
      <c r="BA238" s="4355"/>
      <c r="BB238" s="4355"/>
    </row>
    <row r="239" spans="1:54" s="4381" customFormat="1" ht="15.75" customHeight="1">
      <c r="A239" s="4353"/>
      <c r="B239" s="4374"/>
      <c r="C239" s="4374"/>
      <c r="D239" s="4393" t="s">
        <v>3769</v>
      </c>
      <c r="E239" s="4374"/>
      <c r="F239" s="4374"/>
      <c r="G239" s="4374"/>
      <c r="H239" s="4374"/>
      <c r="I239" s="4374"/>
      <c r="J239" s="4374"/>
      <c r="K239" s="4374"/>
      <c r="L239" s="4374"/>
      <c r="M239" s="4374"/>
      <c r="N239" s="4374"/>
      <c r="O239" s="4374"/>
      <c r="P239" s="4374"/>
      <c r="Q239" s="4374"/>
      <c r="R239" s="4374"/>
      <c r="S239" s="4374"/>
      <c r="T239" s="4374"/>
      <c r="U239" s="4374"/>
      <c r="V239" s="4374"/>
      <c r="W239" s="4374"/>
      <c r="X239" s="4374"/>
      <c r="Y239" s="4374"/>
      <c r="Z239" s="4374"/>
      <c r="AA239" s="4374"/>
      <c r="AB239" s="4374"/>
      <c r="AC239" s="4374"/>
      <c r="AD239" s="4374"/>
      <c r="AE239" s="4374"/>
      <c r="AF239" s="4374"/>
      <c r="AG239" s="4374"/>
      <c r="AH239" s="4374"/>
      <c r="AI239" s="4374"/>
      <c r="AJ239" s="4374"/>
      <c r="AK239" s="4353"/>
      <c r="AL239" s="4353"/>
      <c r="AM239" s="4353"/>
      <c r="AN239" s="4354"/>
      <c r="AO239" s="4354"/>
      <c r="AP239" s="2051"/>
      <c r="AQ239" s="4380"/>
      <c r="AR239" s="4380"/>
      <c r="AS239" s="4380"/>
      <c r="AT239" s="4380"/>
      <c r="AU239" s="4380"/>
      <c r="AV239" s="4380"/>
      <c r="AW239" s="4380"/>
      <c r="AX239" s="4380"/>
      <c r="AY239" s="4380"/>
      <c r="AZ239" s="4380"/>
      <c r="BA239" s="4355"/>
      <c r="BB239" s="4355"/>
    </row>
    <row r="240" spans="1:54" s="4381" customFormat="1" ht="15.75" customHeight="1">
      <c r="A240" s="4353"/>
      <c r="B240" s="4374"/>
      <c r="C240" s="4374"/>
      <c r="D240" s="4394" t="s">
        <v>3768</v>
      </c>
      <c r="E240" s="4374"/>
      <c r="F240" s="4374"/>
      <c r="G240" s="4374"/>
      <c r="H240" s="4374"/>
      <c r="I240" s="4374"/>
      <c r="J240" s="4374"/>
      <c r="K240" s="4374"/>
      <c r="L240" s="4374"/>
      <c r="M240" s="4374"/>
      <c r="N240" s="4374"/>
      <c r="O240" s="4374"/>
      <c r="P240" s="4374"/>
      <c r="Q240" s="4374"/>
      <c r="R240" s="4374"/>
      <c r="S240" s="4374"/>
      <c r="T240" s="4374"/>
      <c r="U240" s="4374"/>
      <c r="V240" s="4374"/>
      <c r="W240" s="4374"/>
      <c r="X240" s="4374"/>
      <c r="Y240" s="4374"/>
      <c r="Z240" s="4374"/>
      <c r="AA240" s="4374"/>
      <c r="AB240" s="4374"/>
      <c r="AC240" s="4374"/>
      <c r="AD240" s="4374"/>
      <c r="AE240" s="4374"/>
      <c r="AF240" s="4374"/>
      <c r="AG240" s="4374"/>
      <c r="AH240" s="4374"/>
      <c r="AI240" s="4374"/>
      <c r="AJ240" s="4374"/>
      <c r="AK240" s="4353"/>
      <c r="AL240" s="4353"/>
      <c r="AM240" s="4353"/>
      <c r="AN240" s="4354"/>
      <c r="AO240" s="4354"/>
      <c r="AP240" s="2051"/>
      <c r="AQ240" s="4380"/>
      <c r="AR240" s="4380"/>
      <c r="AS240" s="4380"/>
      <c r="AT240" s="4380"/>
      <c r="AU240" s="4380"/>
      <c r="AV240" s="4380"/>
      <c r="AW240" s="4380"/>
      <c r="AX240" s="4380"/>
      <c r="AY240" s="4380"/>
      <c r="AZ240" s="4380"/>
      <c r="BA240" s="4355"/>
      <c r="BB240" s="4355"/>
    </row>
    <row r="241" spans="1:54" s="3402" customFormat="1" ht="6" customHeight="1">
      <c r="A241" s="1127"/>
      <c r="B241" s="4375"/>
      <c r="C241" s="4375"/>
      <c r="D241" s="4375"/>
      <c r="E241" s="4375"/>
      <c r="F241" s="4375"/>
      <c r="G241" s="4375"/>
      <c r="H241" s="4375"/>
      <c r="I241" s="4375"/>
      <c r="J241" s="4375"/>
      <c r="K241" s="4375"/>
      <c r="L241" s="4375"/>
      <c r="M241" s="4375"/>
      <c r="N241" s="4375"/>
      <c r="O241" s="4375"/>
      <c r="P241" s="4375"/>
      <c r="Q241" s="4375"/>
      <c r="R241" s="4375"/>
      <c r="S241" s="4375"/>
      <c r="T241" s="4375"/>
      <c r="U241" s="4375"/>
      <c r="V241" s="4375"/>
      <c r="W241" s="4375"/>
      <c r="X241" s="4375"/>
      <c r="Y241" s="4375"/>
      <c r="Z241" s="4375"/>
      <c r="AA241" s="4375"/>
      <c r="AB241" s="4375"/>
      <c r="AC241" s="4375"/>
      <c r="AD241" s="4375"/>
      <c r="AE241" s="4375"/>
      <c r="AF241" s="4375"/>
      <c r="AG241" s="4375"/>
      <c r="AH241" s="4375"/>
      <c r="AI241" s="4375"/>
      <c r="AJ241" s="4375"/>
      <c r="AK241" s="1127"/>
      <c r="AL241" s="1127"/>
      <c r="AM241" s="1127"/>
      <c r="AN241" s="1179"/>
      <c r="AO241" s="1179"/>
      <c r="AP241" s="1179"/>
      <c r="AQ241" s="2595"/>
      <c r="AR241" s="2595"/>
      <c r="AS241" s="2595"/>
      <c r="AT241" s="2595"/>
      <c r="AU241" s="2595"/>
      <c r="AV241" s="2595"/>
      <c r="AW241" s="2595"/>
      <c r="AX241" s="2595"/>
      <c r="AY241" s="2595"/>
      <c r="AZ241" s="2595"/>
      <c r="BA241" s="42"/>
      <c r="BB241" s="42"/>
    </row>
    <row r="242" spans="1:54" s="3402" customFormat="1" ht="19.5" customHeight="1">
      <c r="A242" s="1127"/>
      <c r="B242" s="6769" t="s">
        <v>319</v>
      </c>
      <c r="C242" s="6769"/>
      <c r="D242" s="1571"/>
      <c r="E242" s="4748" t="s">
        <v>4248</v>
      </c>
      <c r="F242" s="1553"/>
      <c r="G242" s="1553"/>
      <c r="H242" s="1553"/>
      <c r="I242" s="1553"/>
      <c r="J242" s="1553"/>
      <c r="K242" s="1553"/>
      <c r="L242" s="1553"/>
      <c r="M242" s="1553"/>
      <c r="N242" s="1553"/>
      <c r="O242" s="1553"/>
      <c r="P242" s="1553"/>
      <c r="Q242" s="1553"/>
      <c r="R242" s="1553"/>
      <c r="S242" s="1553"/>
      <c r="T242" s="1553"/>
      <c r="U242" s="1553"/>
      <c r="V242" s="1553"/>
      <c r="W242" s="1553"/>
      <c r="X242" s="1553"/>
      <c r="Y242" s="1553"/>
      <c r="Z242" s="1553"/>
      <c r="AA242" s="1553"/>
      <c r="AB242" s="1553"/>
      <c r="AC242" s="1553"/>
      <c r="AD242" s="1553"/>
      <c r="AE242" s="1553"/>
      <c r="AF242" s="1553"/>
      <c r="AG242" s="1553"/>
      <c r="AH242" s="1553"/>
      <c r="AI242" s="1553"/>
      <c r="AJ242" s="1553"/>
      <c r="AK242" s="1127"/>
      <c r="AL242" s="1127"/>
      <c r="AM242" s="1127"/>
      <c r="AN242" s="1179"/>
      <c r="AO242" s="1179"/>
      <c r="AP242" s="1179"/>
      <c r="AQ242" s="2595"/>
      <c r="AR242" s="2595"/>
      <c r="AS242" s="2595"/>
      <c r="AT242" s="2595"/>
      <c r="AU242" s="2595"/>
      <c r="AV242" s="2595"/>
      <c r="AW242" s="2595"/>
      <c r="AX242" s="2595"/>
      <c r="AY242" s="2595"/>
      <c r="AZ242" s="2595"/>
      <c r="BA242" s="42"/>
      <c r="BB242" s="42"/>
    </row>
    <row r="243" spans="1:54" s="3402" customFormat="1" ht="16.5" customHeight="1">
      <c r="A243" s="1127"/>
      <c r="B243" s="1559" t="s">
        <v>1113</v>
      </c>
      <c r="C243" s="1179"/>
      <c r="D243" s="4361" t="s">
        <v>3710</v>
      </c>
      <c r="E243" s="1574"/>
      <c r="F243" s="1574"/>
      <c r="G243" s="1574"/>
      <c r="H243" s="1574"/>
      <c r="I243" s="1574"/>
      <c r="J243" s="1574"/>
      <c r="K243" s="1574"/>
      <c r="L243" s="1574"/>
      <c r="M243" s="1575"/>
      <c r="N243" s="1576"/>
      <c r="O243" s="1706"/>
      <c r="P243" s="1574"/>
      <c r="Q243" s="1574"/>
      <c r="R243" s="1706"/>
      <c r="S243" s="1706"/>
      <c r="T243" s="1576">
        <v>21</v>
      </c>
      <c r="U243" s="4361" t="s">
        <v>3711</v>
      </c>
      <c r="V243" s="1706"/>
      <c r="W243" s="1706"/>
      <c r="X243" s="1706"/>
      <c r="Y243" s="1706"/>
      <c r="Z243" s="1706"/>
      <c r="AA243" s="1706"/>
      <c r="AB243" s="4363"/>
      <c r="AC243" s="1706"/>
      <c r="AD243" s="1706"/>
      <c r="AE243" s="1706"/>
      <c r="AF243" s="1706"/>
      <c r="AG243" s="1574"/>
      <c r="AH243" s="1706"/>
      <c r="AI243" s="1706"/>
      <c r="AJ243" s="1706"/>
      <c r="AK243" s="1127"/>
      <c r="AL243" s="1127"/>
      <c r="AM243" s="1127"/>
      <c r="AN243" s="1179"/>
      <c r="AO243" s="1179"/>
      <c r="AP243" s="1179"/>
      <c r="AQ243" s="2595"/>
      <c r="AR243" s="2595"/>
      <c r="AS243" s="2595"/>
      <c r="AT243" s="2595"/>
      <c r="AU243" s="2595"/>
      <c r="AV243" s="2595"/>
      <c r="AW243" s="2595"/>
      <c r="AX243" s="2595"/>
      <c r="AY243" s="2595"/>
      <c r="AZ243" s="2595"/>
      <c r="BA243" s="42"/>
      <c r="BB243" s="42"/>
    </row>
    <row r="244" spans="1:54" s="3402" customFormat="1" ht="15">
      <c r="A244" s="1127"/>
      <c r="B244" s="1559"/>
      <c r="C244" s="1179"/>
      <c r="D244" s="9524"/>
      <c r="E244" s="9524"/>
      <c r="F244" s="9524"/>
      <c r="G244" s="9524"/>
      <c r="H244" s="9524"/>
      <c r="I244" s="9524"/>
      <c r="J244" s="9524"/>
      <c r="K244" s="9524"/>
      <c r="L244" s="9524"/>
      <c r="M244" s="9524"/>
      <c r="N244" s="9524"/>
      <c r="O244" s="9524"/>
      <c r="P244" s="9524"/>
      <c r="Q244" s="9524"/>
      <c r="R244" s="9524"/>
      <c r="S244" s="9525"/>
      <c r="T244" s="4442"/>
      <c r="U244" s="3081" t="s">
        <v>3712</v>
      </c>
      <c r="V244" s="4443"/>
      <c r="W244" s="4443"/>
      <c r="X244" s="4443"/>
      <c r="Y244" s="4443"/>
      <c r="Z244" s="4443"/>
      <c r="AA244" s="4443"/>
      <c r="AB244" s="4443"/>
      <c r="AC244" s="4443"/>
      <c r="AD244" s="4443"/>
      <c r="AE244" s="4443"/>
      <c r="AF244" s="4443"/>
      <c r="AG244" s="4443"/>
      <c r="AH244" s="4443"/>
      <c r="AI244" s="4443"/>
      <c r="AJ244" s="4443"/>
      <c r="AK244" s="1127"/>
      <c r="AL244" s="1127"/>
      <c r="AM244" s="1127"/>
      <c r="AN244" s="1179"/>
      <c r="AO244" s="1179"/>
      <c r="AP244" s="1179"/>
      <c r="AQ244" s="2595"/>
      <c r="AR244" s="2595"/>
      <c r="AS244" s="2595"/>
      <c r="AT244" s="2595"/>
      <c r="AU244" s="2595"/>
      <c r="AV244" s="2595"/>
      <c r="AW244" s="2595"/>
      <c r="AX244" s="2595"/>
      <c r="AY244" s="2595"/>
      <c r="AZ244" s="2595"/>
      <c r="BA244" s="42"/>
      <c r="BB244" s="42"/>
    </row>
    <row r="245" spans="1:54" s="3402" customFormat="1" ht="18" customHeight="1">
      <c r="A245" s="1127"/>
      <c r="B245" s="1559"/>
      <c r="C245" s="1179"/>
      <c r="D245" s="9526"/>
      <c r="E245" s="9526"/>
      <c r="F245" s="9526"/>
      <c r="G245" s="9526"/>
      <c r="H245" s="9526"/>
      <c r="I245" s="9526"/>
      <c r="J245" s="9526"/>
      <c r="K245" s="9526"/>
      <c r="L245" s="9526"/>
      <c r="M245" s="9526"/>
      <c r="N245" s="9526"/>
      <c r="O245" s="9526"/>
      <c r="P245" s="9526"/>
      <c r="Q245" s="9526"/>
      <c r="R245" s="9526"/>
      <c r="S245" s="9527"/>
      <c r="T245" s="4364"/>
      <c r="U245" s="9528"/>
      <c r="V245" s="9528"/>
      <c r="W245" s="9528"/>
      <c r="X245" s="9528"/>
      <c r="Y245" s="9528"/>
      <c r="Z245" s="9528"/>
      <c r="AA245" s="9528"/>
      <c r="AB245" s="9528"/>
      <c r="AC245" s="9528"/>
      <c r="AD245" s="9528"/>
      <c r="AE245" s="9528"/>
      <c r="AF245" s="9528"/>
      <c r="AG245" s="9528"/>
      <c r="AH245" s="9528"/>
      <c r="AI245" s="9528"/>
      <c r="AJ245" s="9528"/>
      <c r="AK245" s="1127"/>
      <c r="AL245" s="1127"/>
      <c r="AM245" s="1127"/>
      <c r="AN245" s="1179"/>
      <c r="AO245" s="1179"/>
      <c r="AP245" s="1179"/>
      <c r="AQ245" s="2595"/>
      <c r="AR245" s="2595"/>
      <c r="AS245" s="2595"/>
      <c r="AT245" s="2595"/>
      <c r="AU245" s="2595"/>
      <c r="AV245" s="2595"/>
      <c r="AW245" s="2595"/>
      <c r="AX245" s="2595"/>
      <c r="AY245" s="2595"/>
      <c r="AZ245" s="2595"/>
      <c r="BA245" s="42"/>
      <c r="BB245" s="42"/>
    </row>
    <row r="246" spans="1:54" s="3402" customFormat="1" ht="16.5" customHeight="1">
      <c r="A246" s="1127"/>
      <c r="B246" s="1565">
        <v>22</v>
      </c>
      <c r="C246" s="1554"/>
      <c r="D246" s="2791" t="s">
        <v>3713</v>
      </c>
      <c r="E246" s="1553"/>
      <c r="F246" s="1553"/>
      <c r="G246" s="1553"/>
      <c r="H246" s="1553"/>
      <c r="I246" s="1553"/>
      <c r="J246" s="1553"/>
      <c r="K246" s="1553"/>
      <c r="L246" s="1553"/>
      <c r="M246" s="1553"/>
      <c r="N246" s="1553"/>
      <c r="O246" s="1553"/>
      <c r="P246" s="1553"/>
      <c r="Q246" s="1553"/>
      <c r="R246" s="1553"/>
      <c r="S246" s="1553"/>
      <c r="T246" s="1553"/>
      <c r="U246" s="1553"/>
      <c r="V246" s="1553"/>
      <c r="W246" s="1553"/>
      <c r="X246" s="1553"/>
      <c r="Y246" s="1553"/>
      <c r="Z246" s="1553"/>
      <c r="AA246" s="1553"/>
      <c r="AB246" s="1553"/>
      <c r="AC246" s="1553"/>
      <c r="AD246" s="1553"/>
      <c r="AE246" s="1553"/>
      <c r="AF246" s="1553"/>
      <c r="AG246" s="1553"/>
      <c r="AH246" s="1553"/>
      <c r="AI246" s="1553"/>
      <c r="AJ246" s="1553"/>
      <c r="AK246" s="1127"/>
      <c r="AL246" s="1127"/>
      <c r="AM246" s="1127"/>
      <c r="AN246" s="1179"/>
      <c r="AO246" s="1179"/>
      <c r="AP246" s="1179"/>
      <c r="AQ246" s="2595"/>
      <c r="AR246" s="2595"/>
      <c r="AS246" s="2595"/>
      <c r="AT246" s="2595"/>
      <c r="AU246" s="2595"/>
      <c r="AV246" s="2595"/>
      <c r="AW246" s="2595"/>
      <c r="AX246" s="2595"/>
      <c r="AY246" s="2595"/>
      <c r="AZ246" s="2595"/>
      <c r="BA246" s="42"/>
      <c r="BB246" s="42"/>
    </row>
    <row r="247" spans="1:54" s="3402" customFormat="1" ht="16.5" customHeight="1">
      <c r="A247" s="1127"/>
      <c r="B247" s="1559"/>
      <c r="C247" s="1179"/>
      <c r="D247" s="1573" t="s">
        <v>591</v>
      </c>
      <c r="E247" s="1706" t="s">
        <v>3714</v>
      </c>
      <c r="F247" s="1574"/>
      <c r="G247" s="1574"/>
      <c r="H247" s="1574"/>
      <c r="I247" s="1574"/>
      <c r="J247" s="1574"/>
      <c r="K247" s="1574"/>
      <c r="L247" s="1574"/>
      <c r="M247" s="1574"/>
      <c r="N247" s="1573"/>
      <c r="O247" s="1706"/>
      <c r="P247" s="1574"/>
      <c r="Q247" s="1574"/>
      <c r="R247" s="1706"/>
      <c r="S247" s="4362"/>
      <c r="T247" s="1576"/>
      <c r="U247" s="1573" t="s">
        <v>592</v>
      </c>
      <c r="V247" s="1706" t="s">
        <v>3715</v>
      </c>
      <c r="W247" s="1706"/>
      <c r="X247" s="1706"/>
      <c r="Y247" s="1706"/>
      <c r="Z247" s="1706"/>
      <c r="AA247" s="1706"/>
      <c r="AB247" s="4363"/>
      <c r="AC247" s="1706"/>
      <c r="AD247" s="1706"/>
      <c r="AE247" s="1706"/>
      <c r="AF247" s="1574"/>
      <c r="AG247" s="1706"/>
      <c r="AH247" s="1706"/>
      <c r="AI247" s="1706"/>
      <c r="AJ247" s="1706"/>
      <c r="AK247" s="1127"/>
      <c r="AL247" s="1127"/>
      <c r="AM247" s="1127"/>
      <c r="AN247" s="1179"/>
      <c r="AO247" s="1179"/>
      <c r="AP247" s="1179"/>
      <c r="AQ247" s="2595"/>
      <c r="AR247" s="2595"/>
      <c r="AS247" s="2595"/>
      <c r="AT247" s="2595"/>
      <c r="AU247" s="2595"/>
      <c r="AV247" s="2595"/>
      <c r="AW247" s="2595"/>
      <c r="AX247" s="2595"/>
      <c r="AY247" s="2595"/>
      <c r="AZ247" s="2595"/>
      <c r="BA247" s="42"/>
      <c r="BB247" s="42"/>
    </row>
    <row r="248" spans="1:54" s="3402" customFormat="1" ht="18">
      <c r="A248" s="1127"/>
      <c r="B248" s="1559"/>
      <c r="C248" s="42"/>
      <c r="D248" s="9522"/>
      <c r="E248" s="9522"/>
      <c r="F248" s="9522"/>
      <c r="G248" s="9522"/>
      <c r="H248" s="9522"/>
      <c r="I248" s="9522"/>
      <c r="J248" s="9522"/>
      <c r="K248" s="9522"/>
      <c r="L248" s="9522"/>
      <c r="M248" s="9522"/>
      <c r="N248" s="9522"/>
      <c r="O248" s="9522"/>
      <c r="P248" s="9522"/>
      <c r="Q248" s="9522"/>
      <c r="R248" s="9522"/>
      <c r="S248" s="9523"/>
      <c r="T248" s="9529"/>
      <c r="U248" s="9530"/>
      <c r="V248" s="9530"/>
      <c r="W248" s="9530"/>
      <c r="X248" s="9530"/>
      <c r="Y248" s="9530"/>
      <c r="Z248" s="9530"/>
      <c r="AA248" s="9530"/>
      <c r="AB248" s="9530"/>
      <c r="AC248" s="9530"/>
      <c r="AD248" s="9530"/>
      <c r="AE248" s="9530"/>
      <c r="AF248" s="9530"/>
      <c r="AG248" s="9530"/>
      <c r="AH248" s="9530"/>
      <c r="AI248" s="9530"/>
      <c r="AJ248" s="9530"/>
      <c r="AK248" s="1127"/>
      <c r="AL248" s="1127"/>
      <c r="AM248" s="1127"/>
      <c r="AN248" s="1179"/>
      <c r="AO248" s="1179"/>
      <c r="AP248" s="1179"/>
      <c r="AQ248" s="2595"/>
      <c r="AR248" s="2595"/>
      <c r="AS248" s="2595"/>
      <c r="AT248" s="2595"/>
      <c r="AU248" s="2595"/>
      <c r="AV248" s="2595"/>
      <c r="AW248" s="2595"/>
      <c r="AX248" s="2595"/>
      <c r="AY248" s="2595"/>
      <c r="AZ248" s="2595"/>
      <c r="BA248" s="42"/>
      <c r="BB248" s="42"/>
    </row>
    <row r="249" spans="1:54" s="3402" customFormat="1" ht="12.75" customHeight="1">
      <c r="A249" s="1127"/>
      <c r="B249" s="1179"/>
      <c r="C249" s="1179"/>
      <c r="D249" s="4359" t="s">
        <v>2080</v>
      </c>
      <c r="E249" s="2686" t="s">
        <v>3716</v>
      </c>
      <c r="F249" s="1179"/>
      <c r="G249" s="1179"/>
      <c r="H249" s="1179"/>
      <c r="I249" s="1179"/>
      <c r="J249" s="1179"/>
      <c r="K249" s="1179"/>
      <c r="L249" s="1179"/>
      <c r="M249" s="1179"/>
      <c r="N249" s="1179"/>
      <c r="O249" s="1179"/>
      <c r="P249" s="1179"/>
      <c r="Q249" s="1179"/>
      <c r="R249" s="1179"/>
      <c r="S249" s="1575"/>
      <c r="T249" s="1179"/>
      <c r="U249" s="4359" t="s">
        <v>2080</v>
      </c>
      <c r="V249" s="2686" t="s">
        <v>3716</v>
      </c>
      <c r="W249" s="1179"/>
      <c r="X249" s="1179"/>
      <c r="Y249" s="1179"/>
      <c r="Z249" s="1179"/>
      <c r="AA249" s="1179"/>
      <c r="AB249" s="1179"/>
      <c r="AC249" s="1179"/>
      <c r="AD249" s="1179"/>
      <c r="AE249" s="1179"/>
      <c r="AF249" s="1179"/>
      <c r="AG249" s="1179"/>
      <c r="AH249" s="1179"/>
      <c r="AI249" s="1179"/>
      <c r="AJ249" s="1179"/>
      <c r="AK249" s="1127"/>
      <c r="AL249" s="1127"/>
      <c r="AM249" s="1127"/>
      <c r="AN249" s="1179"/>
      <c r="AO249" s="1179"/>
      <c r="AP249" s="1179"/>
      <c r="AQ249" s="2595"/>
      <c r="AR249" s="2595"/>
      <c r="AS249" s="2595"/>
      <c r="AT249" s="2595"/>
      <c r="AU249" s="2595"/>
      <c r="AV249" s="2595"/>
      <c r="AW249" s="2595"/>
      <c r="AX249" s="2595"/>
      <c r="AY249" s="2595"/>
      <c r="AZ249" s="2595"/>
      <c r="BA249" s="42"/>
      <c r="BB249" s="42"/>
    </row>
    <row r="250" spans="1:54" s="3402" customFormat="1" ht="14.25">
      <c r="A250" s="1127"/>
      <c r="B250" s="1179"/>
      <c r="C250" s="1179"/>
      <c r="D250" s="1179"/>
      <c r="E250" s="2686" t="s">
        <v>3717</v>
      </c>
      <c r="F250" s="1179"/>
      <c r="G250" s="1179"/>
      <c r="H250" s="1179"/>
      <c r="I250" s="1179"/>
      <c r="J250" s="1179"/>
      <c r="K250" s="1179"/>
      <c r="L250" s="1179"/>
      <c r="M250" s="1179"/>
      <c r="N250" s="1179"/>
      <c r="O250" s="1179"/>
      <c r="P250" s="1179"/>
      <c r="Q250" s="1179"/>
      <c r="R250" s="1179"/>
      <c r="S250" s="1583"/>
      <c r="T250" s="1179"/>
      <c r="U250" s="1179"/>
      <c r="V250" s="2686" t="s">
        <v>3717</v>
      </c>
      <c r="W250" s="1179"/>
      <c r="X250" s="1179"/>
      <c r="Y250" s="1179"/>
      <c r="Z250" s="1179"/>
      <c r="AA250" s="1179"/>
      <c r="AB250" s="1179"/>
      <c r="AC250" s="1179"/>
      <c r="AD250" s="1179"/>
      <c r="AE250" s="1179"/>
      <c r="AF250" s="1179"/>
      <c r="AG250" s="1179"/>
      <c r="AH250" s="1179"/>
      <c r="AI250" s="1179"/>
      <c r="AJ250" s="1179"/>
      <c r="AK250" s="1127"/>
      <c r="AL250" s="1127"/>
      <c r="AM250" s="1127"/>
      <c r="AN250" s="1179"/>
      <c r="AO250" s="1179"/>
      <c r="AP250" s="1179"/>
      <c r="AQ250" s="2595"/>
      <c r="AR250" s="2595"/>
      <c r="AS250" s="2595"/>
      <c r="AT250" s="2595"/>
      <c r="AU250" s="2595"/>
      <c r="AV250" s="2595"/>
      <c r="AW250" s="2595"/>
      <c r="AX250" s="2595"/>
      <c r="AY250" s="2595"/>
      <c r="AZ250" s="2595"/>
      <c r="BA250" s="42"/>
      <c r="BB250" s="42"/>
    </row>
    <row r="251" spans="1:54" s="3402" customFormat="1" ht="14.25">
      <c r="A251" s="1127"/>
      <c r="B251" s="1179"/>
      <c r="C251" s="1179"/>
      <c r="D251" s="1179"/>
      <c r="E251" s="2686" t="s">
        <v>485</v>
      </c>
      <c r="F251" s="1179"/>
      <c r="G251" s="1179"/>
      <c r="H251" s="1179"/>
      <c r="I251" s="1179"/>
      <c r="J251" s="1179"/>
      <c r="K251" s="1179"/>
      <c r="L251" s="1179"/>
      <c r="M251" s="1179"/>
      <c r="N251" s="1179"/>
      <c r="O251" s="1179"/>
      <c r="P251" s="1179"/>
      <c r="Q251" s="1179"/>
      <c r="R251" s="1179"/>
      <c r="S251" s="1583"/>
      <c r="T251" s="1179"/>
      <c r="U251" s="1179"/>
      <c r="V251" s="2686" t="s">
        <v>485</v>
      </c>
      <c r="W251" s="1179"/>
      <c r="X251" s="1179"/>
      <c r="Y251" s="1179"/>
      <c r="Z251" s="1179"/>
      <c r="AA251" s="1179"/>
      <c r="AB251" s="1179"/>
      <c r="AC251" s="1179"/>
      <c r="AD251" s="1179"/>
      <c r="AE251" s="1179"/>
      <c r="AF251" s="1179"/>
      <c r="AG251" s="1179"/>
      <c r="AH251" s="1179"/>
      <c r="AI251" s="1179"/>
      <c r="AJ251" s="1179"/>
      <c r="AK251" s="1127"/>
      <c r="AL251" s="1127"/>
      <c r="AM251" s="1127"/>
      <c r="AN251" s="1179"/>
      <c r="AO251" s="1179"/>
      <c r="AP251" s="1179"/>
      <c r="AQ251" s="2595"/>
      <c r="AR251" s="2595"/>
      <c r="AS251" s="2595"/>
      <c r="AT251" s="2595"/>
      <c r="AU251" s="2595"/>
      <c r="AV251" s="2595"/>
      <c r="AW251" s="2595"/>
      <c r="AX251" s="2595"/>
      <c r="AY251" s="2595"/>
      <c r="AZ251" s="2595"/>
      <c r="BA251" s="42"/>
      <c r="BB251" s="42"/>
    </row>
    <row r="252" spans="1:54" s="3402" customFormat="1" ht="15.75">
      <c r="A252" s="1127"/>
      <c r="B252" s="1559"/>
      <c r="C252" s="42"/>
      <c r="D252" s="9475"/>
      <c r="E252" s="9475"/>
      <c r="F252" s="9475"/>
      <c r="G252" s="9475"/>
      <c r="H252" s="9475"/>
      <c r="I252" s="9475"/>
      <c r="J252" s="9475"/>
      <c r="K252" s="9475"/>
      <c r="L252" s="9475"/>
      <c r="M252" s="9475"/>
      <c r="N252" s="9475"/>
      <c r="O252" s="9475"/>
      <c r="P252" s="9475"/>
      <c r="Q252" s="9475"/>
      <c r="R252" s="9475"/>
      <c r="S252" s="9476"/>
      <c r="T252" s="6332"/>
      <c r="U252" s="6323"/>
      <c r="V252" s="6323"/>
      <c r="W252" s="6323"/>
      <c r="X252" s="6323"/>
      <c r="Y252" s="6323"/>
      <c r="Z252" s="6323"/>
      <c r="AA252" s="6323"/>
      <c r="AB252" s="6323"/>
      <c r="AC252" s="6323"/>
      <c r="AD252" s="6323"/>
      <c r="AE252" s="6323"/>
      <c r="AF252" s="6323"/>
      <c r="AG252" s="6323"/>
      <c r="AH252" s="6323"/>
      <c r="AI252" s="6323"/>
      <c r="AJ252" s="6323"/>
      <c r="AK252" s="1127"/>
      <c r="AL252" s="1127"/>
      <c r="AM252" s="1127"/>
      <c r="AN252" s="1179"/>
      <c r="AO252" s="1179"/>
      <c r="AP252" s="1179"/>
      <c r="AQ252" s="2595"/>
      <c r="AR252" s="2595"/>
      <c r="AS252" s="2595"/>
      <c r="AT252" s="2595"/>
      <c r="AU252" s="2595"/>
      <c r="AV252" s="2595"/>
      <c r="AW252" s="2595"/>
      <c r="AX252" s="2595"/>
      <c r="AY252" s="2595"/>
      <c r="AZ252" s="2595"/>
      <c r="BA252" s="42"/>
      <c r="BB252" s="42"/>
    </row>
    <row r="253" spans="1:54" s="3402" customFormat="1" ht="16.5" customHeight="1">
      <c r="A253" s="1127"/>
      <c r="B253" s="1179"/>
      <c r="C253" s="1179"/>
      <c r="D253" s="4359" t="s">
        <v>2082</v>
      </c>
      <c r="E253" s="9483" t="str">
        <f>"Did the student receive Form 1098-T"&amp;CHAR(10)&amp;"from this institution for "&amp;TaxYear&amp;"?"</f>
        <v>Did the student receive Form 1098-T
from this institution for 2021?</v>
      </c>
      <c r="F253" s="9483"/>
      <c r="G253" s="9483"/>
      <c r="H253" s="9483"/>
      <c r="I253" s="9483"/>
      <c r="J253" s="9483"/>
      <c r="K253" s="9483"/>
      <c r="L253" s="9483"/>
      <c r="M253" s="9483"/>
      <c r="N253" s="9483"/>
      <c r="O253" s="1179"/>
      <c r="P253" s="1179"/>
      <c r="Q253" s="1179"/>
      <c r="R253" s="1179"/>
      <c r="S253" s="1179"/>
      <c r="T253" s="1581"/>
      <c r="U253" s="4359" t="s">
        <v>2082</v>
      </c>
      <c r="V253" s="9483" t="str">
        <f>"Did the student receive Form 1098-T"&amp;CHAR(10)&amp;"from this institution for "&amp;TaxYear&amp;"?"</f>
        <v>Did the student receive Form 1098-T
from this institution for 2021?</v>
      </c>
      <c r="W253" s="9483"/>
      <c r="X253" s="9483"/>
      <c r="Y253" s="9483"/>
      <c r="Z253" s="9483"/>
      <c r="AA253" s="9483"/>
      <c r="AB253" s="9483"/>
      <c r="AC253" s="9483"/>
      <c r="AD253" s="9483"/>
      <c r="AE253" s="9483"/>
      <c r="AF253" s="1179"/>
      <c r="AG253" s="1179"/>
      <c r="AH253" s="1179"/>
      <c r="AI253" s="1179"/>
      <c r="AJ253" s="1179"/>
      <c r="AK253" s="1127"/>
      <c r="AL253" s="1127"/>
      <c r="AM253" s="1127"/>
      <c r="AN253" s="1179"/>
      <c r="AO253" s="1179"/>
      <c r="AP253" s="1179"/>
      <c r="AQ253" s="2595"/>
      <c r="AR253" s="2595"/>
      <c r="AS253" s="2595"/>
      <c r="AT253" s="2595"/>
      <c r="AU253" s="2595"/>
      <c r="AV253" s="2595"/>
      <c r="AW253" s="2595"/>
      <c r="AX253" s="2595"/>
      <c r="AY253" s="2595"/>
      <c r="AZ253" s="2595"/>
      <c r="BA253" s="42"/>
      <c r="BB253" s="42"/>
    </row>
    <row r="254" spans="1:54" s="3402" customFormat="1" ht="14.25" customHeight="1">
      <c r="A254" s="1127"/>
      <c r="B254" s="1179"/>
      <c r="C254" s="1179"/>
      <c r="D254" s="1179"/>
      <c r="E254" s="9484"/>
      <c r="F254" s="9484"/>
      <c r="G254" s="9484"/>
      <c r="H254" s="9484"/>
      <c r="I254" s="9484"/>
      <c r="J254" s="9484"/>
      <c r="K254" s="9484"/>
      <c r="L254" s="9484"/>
      <c r="M254" s="9484"/>
      <c r="N254" s="9484"/>
      <c r="O254" s="4365"/>
      <c r="P254" s="1283" t="s">
        <v>271</v>
      </c>
      <c r="Q254" s="1179"/>
      <c r="R254" s="4365"/>
      <c r="S254" s="1283" t="s">
        <v>272</v>
      </c>
      <c r="T254" s="3717"/>
      <c r="U254" s="1179"/>
      <c r="V254" s="9484"/>
      <c r="W254" s="9484"/>
      <c r="X254" s="9484"/>
      <c r="Y254" s="9484"/>
      <c r="Z254" s="9484"/>
      <c r="AA254" s="9484"/>
      <c r="AB254" s="9484"/>
      <c r="AC254" s="9484"/>
      <c r="AD254" s="9484"/>
      <c r="AE254" s="9484"/>
      <c r="AF254" s="4365"/>
      <c r="AG254" s="1283" t="s">
        <v>271</v>
      </c>
      <c r="AH254" s="1179"/>
      <c r="AI254" s="4365"/>
      <c r="AJ254" s="1283" t="s">
        <v>272</v>
      </c>
      <c r="AK254" s="1127"/>
      <c r="AL254" s="1127"/>
      <c r="AM254" s="1127"/>
      <c r="AN254" s="1179"/>
      <c r="AO254" s="1179"/>
      <c r="AP254" s="1179"/>
      <c r="AQ254" s="2595"/>
      <c r="AR254" s="2595"/>
      <c r="AS254" s="2595"/>
      <c r="AT254" s="2595"/>
      <c r="AU254" s="2595"/>
      <c r="AV254" s="2595"/>
      <c r="AW254" s="2595"/>
      <c r="AX254" s="2595"/>
      <c r="AY254" s="2595"/>
      <c r="AZ254" s="2595"/>
      <c r="BA254" s="42"/>
      <c r="BB254" s="42"/>
    </row>
    <row r="255" spans="1:54" s="3402" customFormat="1" ht="7.5" customHeight="1">
      <c r="A255" s="1127"/>
      <c r="B255" s="1553"/>
      <c r="C255" s="1553"/>
      <c r="D255" s="1553"/>
      <c r="E255" s="9485"/>
      <c r="F255" s="9485"/>
      <c r="G255" s="9485"/>
      <c r="H255" s="9485"/>
      <c r="I255" s="9485"/>
      <c r="J255" s="9485"/>
      <c r="K255" s="9485"/>
      <c r="L255" s="9485"/>
      <c r="M255" s="9485"/>
      <c r="N255" s="9485"/>
      <c r="O255" s="1553"/>
      <c r="P255" s="1553"/>
      <c r="Q255" s="1553"/>
      <c r="R255" s="1553"/>
      <c r="S255" s="1553"/>
      <c r="T255" s="1586"/>
      <c r="U255" s="1553"/>
      <c r="V255" s="9485"/>
      <c r="W255" s="9485"/>
      <c r="X255" s="9485"/>
      <c r="Y255" s="9485"/>
      <c r="Z255" s="9485"/>
      <c r="AA255" s="9485"/>
      <c r="AB255" s="9485"/>
      <c r="AC255" s="9485"/>
      <c r="AD255" s="9485"/>
      <c r="AE255" s="9485"/>
      <c r="AF255" s="1553"/>
      <c r="AG255" s="1553"/>
      <c r="AH255" s="1553"/>
      <c r="AI255" s="1553"/>
      <c r="AJ255" s="1553"/>
      <c r="AK255" s="1127"/>
      <c r="AL255" s="1127"/>
      <c r="AM255" s="1127"/>
      <c r="AN255" s="1179"/>
      <c r="AO255" s="1179"/>
      <c r="AP255" s="1179"/>
      <c r="AQ255" s="2599"/>
      <c r="AR255" s="2599"/>
      <c r="AS255" s="2599"/>
      <c r="AT255" s="2599"/>
      <c r="AU255" s="2599"/>
      <c r="AV255" s="2599"/>
      <c r="AW255" s="2599"/>
      <c r="AX255" s="2599"/>
      <c r="AY255" s="2599"/>
      <c r="AZ255" s="2599"/>
      <c r="BA255" s="42"/>
      <c r="BB255" s="42"/>
    </row>
    <row r="256" spans="1:54" s="3402" customFormat="1" ht="16.5" customHeight="1">
      <c r="A256" s="1127"/>
      <c r="B256" s="1179"/>
      <c r="C256" s="1179"/>
      <c r="D256" s="4367" t="s">
        <v>3718</v>
      </c>
      <c r="E256" s="9483" t="str">
        <f>"Did the student receive Form 1098-T"&amp;CHAR(10)&amp;"from this institution for "&amp;TaxYear-1&amp;" with box"&amp;CHAR(10)&amp;"7 checked?"</f>
        <v>Did the student receive Form 1098-T
from this institution for 2020 with box
7 checked?</v>
      </c>
      <c r="F256" s="9483"/>
      <c r="G256" s="9483"/>
      <c r="H256" s="9483"/>
      <c r="I256" s="9483"/>
      <c r="J256" s="9483"/>
      <c r="K256" s="9483"/>
      <c r="L256" s="9483"/>
      <c r="M256" s="9483"/>
      <c r="N256" s="9483"/>
      <c r="O256" s="1179"/>
      <c r="P256" s="1179"/>
      <c r="Q256" s="1179"/>
      <c r="R256" s="1179"/>
      <c r="S256" s="1179"/>
      <c r="T256" s="1582"/>
      <c r="U256" s="4367" t="s">
        <v>3718</v>
      </c>
      <c r="V256" s="9483" t="str">
        <f>"Did the student receive Form 1098-T"&amp;CHAR(10)&amp;"from this institution for "&amp;TaxYear-1&amp;" with box"&amp;CHAR(10)&amp;"7 checked?"</f>
        <v>Did the student receive Form 1098-T
from this institution for 2020 with box
7 checked?</v>
      </c>
      <c r="W256" s="9483"/>
      <c r="X256" s="9483"/>
      <c r="Y256" s="9483"/>
      <c r="Z256" s="9483"/>
      <c r="AA256" s="9483"/>
      <c r="AB256" s="9483"/>
      <c r="AC256" s="9483"/>
      <c r="AD256" s="9483"/>
      <c r="AE256" s="9483"/>
      <c r="AF256" s="1179"/>
      <c r="AG256" s="1179"/>
      <c r="AH256" s="1179"/>
      <c r="AI256" s="1179"/>
      <c r="AJ256" s="1179"/>
      <c r="AK256" s="1127"/>
      <c r="AL256" s="1127"/>
      <c r="AM256" s="1127"/>
      <c r="AN256" s="1179"/>
      <c r="AO256" s="1179"/>
      <c r="AP256" s="1179"/>
      <c r="AQ256" s="2595"/>
      <c r="AR256" s="2595"/>
      <c r="AS256" s="2595"/>
      <c r="AT256" s="2595"/>
      <c r="AU256" s="2595"/>
      <c r="AV256" s="2595"/>
      <c r="AW256" s="2595"/>
      <c r="AX256" s="2595"/>
      <c r="AY256" s="2595"/>
      <c r="AZ256" s="2595"/>
      <c r="BA256" s="42"/>
      <c r="BB256" s="42"/>
    </row>
    <row r="257" spans="1:54" s="3402" customFormat="1" ht="14.25" customHeight="1">
      <c r="A257" s="1127"/>
      <c r="B257" s="1179"/>
      <c r="C257" s="1179"/>
      <c r="D257" s="1179"/>
      <c r="E257" s="9484"/>
      <c r="F257" s="9484"/>
      <c r="G257" s="9484"/>
      <c r="H257" s="9484"/>
      <c r="I257" s="9484"/>
      <c r="J257" s="9484"/>
      <c r="K257" s="9484"/>
      <c r="L257" s="9484"/>
      <c r="M257" s="9484"/>
      <c r="N257" s="9484"/>
      <c r="O257" s="4365"/>
      <c r="P257" s="1283" t="s">
        <v>271</v>
      </c>
      <c r="Q257" s="1179"/>
      <c r="R257" s="4365"/>
      <c r="S257" s="1283" t="s">
        <v>272</v>
      </c>
      <c r="T257" s="3717"/>
      <c r="U257" s="1179"/>
      <c r="V257" s="9484"/>
      <c r="W257" s="9484"/>
      <c r="X257" s="9484"/>
      <c r="Y257" s="9484"/>
      <c r="Z257" s="9484"/>
      <c r="AA257" s="9484"/>
      <c r="AB257" s="9484"/>
      <c r="AC257" s="9484"/>
      <c r="AD257" s="9484"/>
      <c r="AE257" s="9484"/>
      <c r="AF257" s="4365"/>
      <c r="AG257" s="1283" t="s">
        <v>271</v>
      </c>
      <c r="AH257" s="1179"/>
      <c r="AI257" s="4365"/>
      <c r="AJ257" s="1283" t="s">
        <v>272</v>
      </c>
      <c r="AK257" s="1127"/>
      <c r="AL257" s="1127"/>
      <c r="AM257" s="1127"/>
      <c r="AN257" s="1179"/>
      <c r="AO257" s="1179"/>
      <c r="AP257" s="1179"/>
      <c r="AQ257" s="2595"/>
      <c r="AR257" s="2595"/>
      <c r="AS257" s="2595"/>
      <c r="AT257" s="2595"/>
      <c r="AU257" s="2595"/>
      <c r="AV257" s="2595"/>
      <c r="AW257" s="2595"/>
      <c r="AX257" s="2595"/>
      <c r="AY257" s="2595"/>
      <c r="AZ257" s="2595"/>
      <c r="BA257" s="42"/>
      <c r="BB257" s="42"/>
    </row>
    <row r="258" spans="1:54" s="3402" customFormat="1" ht="13.5" customHeight="1">
      <c r="A258" s="1127"/>
      <c r="B258" s="1553"/>
      <c r="C258" s="1553"/>
      <c r="D258" s="1553"/>
      <c r="E258" s="9485"/>
      <c r="F258" s="9485"/>
      <c r="G258" s="9485"/>
      <c r="H258" s="9485"/>
      <c r="I258" s="9485"/>
      <c r="J258" s="9485"/>
      <c r="K258" s="9485"/>
      <c r="L258" s="9485"/>
      <c r="M258" s="9485"/>
      <c r="N258" s="9485"/>
      <c r="O258" s="1553"/>
      <c r="P258" s="1553"/>
      <c r="Q258" s="1553"/>
      <c r="R258" s="1553"/>
      <c r="S258" s="1553"/>
      <c r="T258" s="1586"/>
      <c r="U258" s="1553"/>
      <c r="V258" s="9485"/>
      <c r="W258" s="9485"/>
      <c r="X258" s="9485"/>
      <c r="Y258" s="9485"/>
      <c r="Z258" s="9485"/>
      <c r="AA258" s="9485"/>
      <c r="AB258" s="9485"/>
      <c r="AC258" s="9485"/>
      <c r="AD258" s="9485"/>
      <c r="AE258" s="9485"/>
      <c r="AF258" s="1553"/>
      <c r="AG258" s="1553"/>
      <c r="AH258" s="1553"/>
      <c r="AI258" s="1553"/>
      <c r="AJ258" s="1553"/>
      <c r="AK258" s="1127"/>
      <c r="AL258" s="1127"/>
      <c r="AM258" s="1127"/>
      <c r="AN258" s="1179"/>
      <c r="AO258" s="1179"/>
      <c r="AP258" s="1179"/>
      <c r="AQ258" s="2595"/>
      <c r="AR258" s="2595"/>
      <c r="AS258" s="2595"/>
      <c r="AT258" s="2595"/>
      <c r="AU258" s="2595"/>
      <c r="AV258" s="2595"/>
      <c r="AW258" s="2595"/>
      <c r="AX258" s="2595"/>
      <c r="AY258" s="2595"/>
      <c r="AZ258" s="2595"/>
      <c r="BA258" s="42"/>
      <c r="BB258" s="42"/>
    </row>
    <row r="259" spans="1:54" s="3402" customFormat="1" ht="21" customHeight="1" thickBot="1">
      <c r="A259" s="1127"/>
      <c r="B259" s="1179"/>
      <c r="C259" s="1179"/>
      <c r="D259" s="4367" t="s">
        <v>3313</v>
      </c>
      <c r="E259" s="9483" t="s">
        <v>3719</v>
      </c>
      <c r="F259" s="9483"/>
      <c r="G259" s="9483"/>
      <c r="H259" s="9483"/>
      <c r="I259" s="9483"/>
      <c r="J259" s="9483"/>
      <c r="K259" s="9483"/>
      <c r="L259" s="9483"/>
      <c r="M259" s="9483"/>
      <c r="N259" s="9483"/>
      <c r="O259" s="9483"/>
      <c r="P259" s="9483"/>
      <c r="Q259" s="9483"/>
      <c r="R259" s="9483"/>
      <c r="S259" s="9520"/>
      <c r="T259" s="1582"/>
      <c r="U259" s="4367" t="s">
        <v>3313</v>
      </c>
      <c r="V259" s="9483" t="s">
        <v>3719</v>
      </c>
      <c r="W259" s="9483"/>
      <c r="X259" s="9483"/>
      <c r="Y259" s="9483"/>
      <c r="Z259" s="9483"/>
      <c r="AA259" s="9483"/>
      <c r="AB259" s="9483"/>
      <c r="AC259" s="9483"/>
      <c r="AD259" s="9483"/>
      <c r="AE259" s="9483"/>
      <c r="AF259" s="9483"/>
      <c r="AG259" s="9483"/>
      <c r="AH259" s="9483"/>
      <c r="AI259" s="9483"/>
      <c r="AJ259" s="9483"/>
      <c r="AK259" s="1127"/>
      <c r="AL259" s="1127"/>
      <c r="AM259" s="1127"/>
      <c r="AN259" s="1179"/>
      <c r="AO259" s="1179"/>
      <c r="AP259" s="1179"/>
      <c r="AQ259" s="2595"/>
      <c r="AR259" s="2595"/>
      <c r="AS259" s="2595"/>
      <c r="AT259" s="2595"/>
      <c r="AU259" s="2595"/>
      <c r="AV259" s="2595"/>
      <c r="AW259" s="2595"/>
      <c r="AX259" s="2595"/>
      <c r="AY259" s="2595"/>
      <c r="AZ259" s="2595"/>
      <c r="BA259" s="42"/>
      <c r="BB259" s="42"/>
    </row>
    <row r="260" spans="1:54" s="3402" customFormat="1" ht="14.25" customHeight="1">
      <c r="A260" s="1127"/>
      <c r="B260" s="1179"/>
      <c r="C260" s="1179"/>
      <c r="D260" s="1179"/>
      <c r="E260" s="9484"/>
      <c r="F260" s="9484"/>
      <c r="G260" s="9484"/>
      <c r="H260" s="9484"/>
      <c r="I260" s="9484"/>
      <c r="J260" s="9484"/>
      <c r="K260" s="9484"/>
      <c r="L260" s="9484"/>
      <c r="M260" s="9484"/>
      <c r="N260" s="9484"/>
      <c r="O260" s="9484"/>
      <c r="P260" s="9484"/>
      <c r="Q260" s="9484"/>
      <c r="R260" s="9484"/>
      <c r="S260" s="9521"/>
      <c r="T260" s="3717"/>
      <c r="U260" s="1179"/>
      <c r="V260" s="9484"/>
      <c r="W260" s="9484"/>
      <c r="X260" s="9484"/>
      <c r="Y260" s="9484"/>
      <c r="Z260" s="9484"/>
      <c r="AA260" s="9484"/>
      <c r="AB260" s="9484"/>
      <c r="AC260" s="9484"/>
      <c r="AD260" s="9484"/>
      <c r="AE260" s="9484"/>
      <c r="AF260" s="9484"/>
      <c r="AG260" s="9484"/>
      <c r="AH260" s="9484"/>
      <c r="AI260" s="9484"/>
      <c r="AJ260" s="9484"/>
      <c r="AK260" s="1127"/>
      <c r="AL260" s="1127"/>
      <c r="AM260" s="1127"/>
      <c r="AN260" s="1179"/>
      <c r="AO260" s="1179"/>
      <c r="AP260" s="1179"/>
      <c r="AQ260" s="4418" t="s">
        <v>3755</v>
      </c>
      <c r="AR260" s="4419"/>
      <c r="AS260" s="4419"/>
      <c r="AT260" s="4419"/>
      <c r="AU260" s="4419"/>
      <c r="AV260" s="4419"/>
      <c r="AW260" s="4419"/>
      <c r="AX260" s="4419"/>
      <c r="AY260" s="4419"/>
      <c r="AZ260" s="4420"/>
      <c r="BA260" s="42"/>
      <c r="BB260" s="42"/>
    </row>
    <row r="261" spans="1:54" s="3402" customFormat="1" ht="26.25" customHeight="1">
      <c r="A261" s="1127"/>
      <c r="B261" s="1179"/>
      <c r="C261" s="1179"/>
      <c r="D261" s="1179"/>
      <c r="E261" s="9484"/>
      <c r="F261" s="9484"/>
      <c r="G261" s="9484"/>
      <c r="H261" s="9484"/>
      <c r="I261" s="9484"/>
      <c r="J261" s="9484"/>
      <c r="K261" s="9484"/>
      <c r="L261" s="9484"/>
      <c r="M261" s="9484"/>
      <c r="N261" s="9484"/>
      <c r="O261" s="9484"/>
      <c r="P261" s="9484"/>
      <c r="Q261" s="9484"/>
      <c r="R261" s="9484"/>
      <c r="S261" s="9521"/>
      <c r="T261" s="1582"/>
      <c r="U261" s="1179"/>
      <c r="V261" s="9484"/>
      <c r="W261" s="9484"/>
      <c r="X261" s="9484"/>
      <c r="Y261" s="9484"/>
      <c r="Z261" s="9484"/>
      <c r="AA261" s="9484"/>
      <c r="AB261" s="9484"/>
      <c r="AC261" s="9484"/>
      <c r="AD261" s="9484"/>
      <c r="AE261" s="9484"/>
      <c r="AF261" s="9484"/>
      <c r="AG261" s="9484"/>
      <c r="AH261" s="9484"/>
      <c r="AI261" s="9484"/>
      <c r="AJ261" s="9484"/>
      <c r="AK261" s="1127"/>
      <c r="AL261" s="1127"/>
      <c r="AM261" s="1127"/>
      <c r="AN261" s="1179"/>
      <c r="AO261" s="1179"/>
      <c r="AP261" s="1179"/>
      <c r="AQ261" s="4421" t="s">
        <v>3756</v>
      </c>
      <c r="AR261" s="4422"/>
      <c r="AS261" s="4422"/>
      <c r="AT261" s="4422"/>
      <c r="AU261" s="4422"/>
      <c r="AV261" s="4422"/>
      <c r="AW261" s="4422"/>
      <c r="AX261" s="4422"/>
      <c r="AY261" s="4422"/>
      <c r="AZ261" s="4423"/>
      <c r="BA261" s="42"/>
      <c r="BB261" s="42"/>
    </row>
    <row r="262" spans="1:54" s="3402" customFormat="1" ht="17.25" customHeight="1">
      <c r="A262" s="1127"/>
      <c r="B262" s="1179"/>
      <c r="C262" s="1179"/>
      <c r="D262" s="1179"/>
      <c r="E262" s="4365"/>
      <c r="F262" s="4365"/>
      <c r="G262" s="4369" t="s">
        <v>3720</v>
      </c>
      <c r="H262" s="4365"/>
      <c r="I262" s="4365"/>
      <c r="J262" s="4365"/>
      <c r="K262" s="4365"/>
      <c r="L262" s="4365"/>
      <c r="M262" s="4365"/>
      <c r="N262" s="4365"/>
      <c r="O262" s="4366"/>
      <c r="P262" s="4366"/>
      <c r="Q262" s="4366"/>
      <c r="R262" s="4366"/>
      <c r="S262" s="4368"/>
      <c r="T262" s="1582"/>
      <c r="U262" s="1179"/>
      <c r="V262" s="4365"/>
      <c r="W262" s="4365"/>
      <c r="X262" s="4369" t="s">
        <v>3720</v>
      </c>
      <c r="Y262" s="4365"/>
      <c r="Z262" s="4365"/>
      <c r="AA262" s="4365"/>
      <c r="AB262" s="4365"/>
      <c r="AC262" s="4365"/>
      <c r="AD262" s="4365"/>
      <c r="AE262" s="4365"/>
      <c r="AF262" s="1179"/>
      <c r="AG262" s="1179"/>
      <c r="AH262" s="1179"/>
      <c r="AI262" s="1179"/>
      <c r="AJ262" s="1179"/>
      <c r="AK262" s="1127"/>
      <c r="AL262" s="1127"/>
      <c r="AM262" s="1127"/>
      <c r="AN262" s="1179"/>
      <c r="AO262" s="1179"/>
      <c r="AP262" s="1179"/>
      <c r="AQ262" s="4424" t="str">
        <f>"(see below) in "&amp;TaxYear&amp;" for which you paid (or are treated as having paid) qualified education expenses in "&amp;TaxYear&amp;"."</f>
        <v>(see below) in 2021 for which you paid (or are treated as having paid) qualified education expenses in 2021.</v>
      </c>
      <c r="AR262" s="4425"/>
      <c r="AS262" s="4425"/>
      <c r="AT262" s="4425"/>
      <c r="AU262" s="4425"/>
      <c r="AV262" s="4425"/>
      <c r="AW262" s="4425"/>
      <c r="AX262" s="4425"/>
      <c r="AY262" s="4425"/>
      <c r="AZ262" s="4426"/>
      <c r="BA262" s="42"/>
      <c r="BB262" s="42"/>
    </row>
    <row r="263" spans="1:54" s="3402" customFormat="1" ht="14.25">
      <c r="A263" s="1127"/>
      <c r="B263" s="1553"/>
      <c r="C263" s="1553"/>
      <c r="D263" s="1553"/>
      <c r="E263" s="2791"/>
      <c r="F263" s="1553"/>
      <c r="G263" s="1553"/>
      <c r="H263" s="1553"/>
      <c r="I263" s="1553"/>
      <c r="J263" s="1553"/>
      <c r="K263" s="1553"/>
      <c r="L263" s="1553"/>
      <c r="M263" s="1553"/>
      <c r="N263" s="1553"/>
      <c r="O263" s="1553"/>
      <c r="P263" s="1553"/>
      <c r="Q263" s="1553"/>
      <c r="R263" s="1553"/>
      <c r="S263" s="3008"/>
      <c r="T263" s="1586"/>
      <c r="U263" s="1553"/>
      <c r="V263" s="1553"/>
      <c r="W263" s="1553"/>
      <c r="X263" s="1553"/>
      <c r="Y263" s="1553"/>
      <c r="Z263" s="1553"/>
      <c r="AA263" s="1553"/>
      <c r="AB263" s="1553"/>
      <c r="AC263" s="1553"/>
      <c r="AD263" s="1553"/>
      <c r="AE263" s="1553"/>
      <c r="AF263" s="1553"/>
      <c r="AG263" s="1553"/>
      <c r="AH263" s="1553"/>
      <c r="AI263" s="1553"/>
      <c r="AJ263" s="1553"/>
      <c r="AK263" s="1127"/>
      <c r="AL263" s="1127"/>
      <c r="AM263" s="1127"/>
      <c r="AN263" s="1179"/>
      <c r="AO263" s="1179"/>
      <c r="AP263" s="1179"/>
      <c r="AQ263" s="4427"/>
      <c r="AR263" s="3684"/>
      <c r="AS263" s="3684"/>
      <c r="AT263" s="3684"/>
      <c r="AU263" s="3684"/>
      <c r="AV263" s="3684"/>
      <c r="AW263" s="3684"/>
      <c r="AX263" s="3684"/>
      <c r="AY263" s="3684"/>
      <c r="AZ263" s="4428"/>
      <c r="BA263" s="42"/>
      <c r="BB263" s="42"/>
    </row>
    <row r="264" spans="1:54" s="3402" customFormat="1" ht="15">
      <c r="A264" s="1127"/>
      <c r="B264" s="1559">
        <v>23</v>
      </c>
      <c r="C264" s="1179"/>
      <c r="D264" s="1179"/>
      <c r="E264" s="2686" t="s">
        <v>3721</v>
      </c>
      <c r="F264" s="1179"/>
      <c r="G264" s="1179"/>
      <c r="H264" s="1179"/>
      <c r="I264" s="1179"/>
      <c r="J264" s="1179"/>
      <c r="K264" s="1179"/>
      <c r="L264" s="1179"/>
      <c r="M264" s="1179"/>
      <c r="N264" s="1179"/>
      <c r="O264" s="1179"/>
      <c r="P264" s="1179"/>
      <c r="Q264" s="1179"/>
      <c r="R264" s="1179"/>
      <c r="S264" s="1179"/>
      <c r="T264" s="1179"/>
      <c r="U264" s="1179"/>
      <c r="V264" s="1179"/>
      <c r="W264" s="1179"/>
      <c r="X264" s="1179"/>
      <c r="Y264" s="1179"/>
      <c r="Z264" s="1179"/>
      <c r="AA264" s="1179"/>
      <c r="AB264" s="1179"/>
      <c r="AC264" s="1179"/>
      <c r="AD264" s="1179"/>
      <c r="AE264" s="1179"/>
      <c r="AF264" s="1179"/>
      <c r="AG264" s="1179"/>
      <c r="AH264" s="1179"/>
      <c r="AI264" s="1179"/>
      <c r="AJ264" s="1179"/>
      <c r="AK264" s="1127"/>
      <c r="AL264" s="1127"/>
      <c r="AM264" s="1127"/>
      <c r="AN264" s="1179"/>
      <c r="AO264" s="1179"/>
      <c r="AP264" s="1179"/>
      <c r="AQ264" s="4429" t="s">
        <v>3758</v>
      </c>
      <c r="AR264" s="3684"/>
      <c r="AS264" s="3684"/>
      <c r="AT264" s="3684"/>
      <c r="AU264" s="3684"/>
      <c r="AV264" s="3684"/>
      <c r="AW264" s="3684"/>
      <c r="AX264" s="3684"/>
      <c r="AY264" s="3684"/>
      <c r="AZ264" s="4428"/>
      <c r="BA264" s="42"/>
      <c r="BB264" s="42"/>
    </row>
    <row r="265" spans="1:54" s="3402" customFormat="1" ht="15">
      <c r="A265" s="1127"/>
      <c r="B265" s="1179"/>
      <c r="C265" s="1179"/>
      <c r="D265" s="1179"/>
      <c r="E265" s="3355" t="s">
        <v>3722</v>
      </c>
      <c r="F265" s="1179"/>
      <c r="G265" s="1179"/>
      <c r="H265" s="1179"/>
      <c r="I265" s="1179"/>
      <c r="J265" s="1179"/>
      <c r="K265" s="1179"/>
      <c r="L265" s="1179"/>
      <c r="M265" s="1179"/>
      <c r="N265" s="1179"/>
      <c r="O265" s="1179"/>
      <c r="P265" s="1179"/>
      <c r="Q265" s="1179"/>
      <c r="R265" s="1179"/>
      <c r="S265" s="1179"/>
      <c r="T265" s="4365"/>
      <c r="U265" s="1276" t="s">
        <v>3723</v>
      </c>
      <c r="V265" s="1179"/>
      <c r="W265" s="1179"/>
      <c r="X265" s="1179"/>
      <c r="Y265" s="1179"/>
      <c r="Z265" s="1179"/>
      <c r="AA265" s="1179"/>
      <c r="AB265" s="1179"/>
      <c r="AC265" s="4383" t="str">
        <f>IF(T265&lt;&gt;"","","X")</f>
        <v>X</v>
      </c>
      <c r="AD265" s="1276" t="s">
        <v>3732</v>
      </c>
      <c r="AE265" s="1179"/>
      <c r="AF265" s="1179"/>
      <c r="AG265" s="1179"/>
      <c r="AH265" s="1179"/>
      <c r="AI265" s="1179"/>
      <c r="AJ265" s="1179"/>
      <c r="AK265" s="1127"/>
      <c r="AL265" s="1127"/>
      <c r="AM265" s="1127"/>
      <c r="AN265" s="1179"/>
      <c r="AO265" s="1179"/>
      <c r="AP265" s="1179"/>
      <c r="AQ265" s="4430" t="str">
        <f>TaxYear&amp;" for the academic period"</f>
        <v>2021 for the academic period</v>
      </c>
      <c r="AR265" s="4410"/>
      <c r="AS265" s="4410"/>
      <c r="AT265" s="4410"/>
      <c r="AU265" s="4410"/>
      <c r="AV265" s="4410"/>
      <c r="AW265" s="4413"/>
      <c r="AX265" s="4413" t="s">
        <v>294</v>
      </c>
      <c r="AY265" s="1849"/>
      <c r="AZ265" s="4411"/>
      <c r="BA265" s="42"/>
      <c r="BB265" s="42"/>
    </row>
    <row r="266" spans="1:54" s="4382" customFormat="1" ht="16.5" customHeight="1">
      <c r="A266" s="1819"/>
      <c r="B266" s="1277"/>
      <c r="C266" s="1277"/>
      <c r="D266" s="1277"/>
      <c r="E266" s="3719" t="str">
        <f>"before "&amp;TaxYear&amp;"?"</f>
        <v>before 2021?</v>
      </c>
      <c r="F266" s="1277"/>
      <c r="G266" s="1277"/>
      <c r="H266" s="1277"/>
      <c r="I266" s="1277"/>
      <c r="J266" s="1277"/>
      <c r="K266" s="1277"/>
      <c r="L266" s="1277"/>
      <c r="M266" s="1277"/>
      <c r="N266" s="1277"/>
      <c r="O266" s="1277"/>
      <c r="P266" s="1277"/>
      <c r="Q266" s="1277"/>
      <c r="R266" s="1277"/>
      <c r="S266" s="1277"/>
      <c r="T266" s="1277"/>
      <c r="U266" s="1277" t="s">
        <v>3724</v>
      </c>
      <c r="V266" s="1277"/>
      <c r="W266" s="1277"/>
      <c r="X266" s="1277"/>
      <c r="Y266" s="1277"/>
      <c r="Z266" s="1277"/>
      <c r="AA266" s="1277"/>
      <c r="AB266" s="1277"/>
      <c r="AC266" s="1277"/>
      <c r="AD266" s="1277"/>
      <c r="AE266" s="1277"/>
      <c r="AF266" s="1277"/>
      <c r="AG266" s="1277"/>
      <c r="AH266" s="1277"/>
      <c r="AI266" s="1277"/>
      <c r="AJ266" s="1277"/>
      <c r="AK266" s="1819"/>
      <c r="AL266" s="1819"/>
      <c r="AM266" s="1819"/>
      <c r="AN266" s="1277"/>
      <c r="AO266" s="1277"/>
      <c r="AP266" s="1277"/>
      <c r="AQ266" s="4431"/>
      <c r="AR266" s="4410"/>
      <c r="AS266" s="4410"/>
      <c r="AT266" s="4410"/>
      <c r="AU266" s="4410"/>
      <c r="AV266" s="4410"/>
      <c r="AW266" s="4413"/>
      <c r="AX266" s="4413"/>
      <c r="AY266" s="4413"/>
      <c r="AZ266" s="4411"/>
      <c r="BA266" s="946"/>
      <c r="BB266" s="946"/>
    </row>
    <row r="267" spans="1:54" s="3402" customFormat="1" ht="15">
      <c r="A267" s="1127"/>
      <c r="B267" s="4370">
        <v>24</v>
      </c>
      <c r="C267" s="1574"/>
      <c r="D267" s="1574"/>
      <c r="E267" s="3072" t="s">
        <v>3725</v>
      </c>
      <c r="F267" s="1574"/>
      <c r="G267" s="1574"/>
      <c r="H267" s="1574"/>
      <c r="I267" s="1574"/>
      <c r="J267" s="1574"/>
      <c r="K267" s="1574"/>
      <c r="L267" s="1574"/>
      <c r="M267" s="1574"/>
      <c r="N267" s="1574"/>
      <c r="O267" s="1574"/>
      <c r="P267" s="1574"/>
      <c r="Q267" s="1574"/>
      <c r="R267" s="1574"/>
      <c r="S267" s="1574"/>
      <c r="T267" s="1574"/>
      <c r="U267" s="1574"/>
      <c r="V267" s="1574"/>
      <c r="W267" s="1574"/>
      <c r="X267" s="1574"/>
      <c r="Y267" s="1574"/>
      <c r="Z267" s="1574"/>
      <c r="AA267" s="1574"/>
      <c r="AB267" s="1574"/>
      <c r="AC267" s="1574"/>
      <c r="AD267" s="1574"/>
      <c r="AE267" s="1574"/>
      <c r="AF267" s="1574"/>
      <c r="AG267" s="1574"/>
      <c r="AH267" s="1574"/>
      <c r="AI267" s="1574"/>
      <c r="AJ267" s="1574"/>
      <c r="AK267" s="1127"/>
      <c r="AL267" s="1127"/>
      <c r="AM267" s="1127"/>
      <c r="AN267" s="1179"/>
      <c r="AO267" s="1179"/>
      <c r="AP267" s="1179"/>
      <c r="AQ267" s="4429" t="s">
        <v>3757</v>
      </c>
      <c r="AR267" s="4422"/>
      <c r="AS267" s="4422"/>
      <c r="AT267" s="4422"/>
      <c r="AU267" s="4422"/>
      <c r="AV267" s="4422"/>
      <c r="AW267" s="4422"/>
      <c r="AX267" s="4422"/>
      <c r="AY267" s="3684"/>
      <c r="AZ267" s="4423"/>
      <c r="BA267" s="42"/>
      <c r="BB267" s="42"/>
    </row>
    <row r="268" spans="1:54" s="3402" customFormat="1" ht="15">
      <c r="A268" s="1127"/>
      <c r="B268" s="1559"/>
      <c r="C268" s="1179"/>
      <c r="D268" s="1179"/>
      <c r="E268" s="2686" t="s">
        <v>3727</v>
      </c>
      <c r="F268" s="1179"/>
      <c r="G268" s="1179"/>
      <c r="H268" s="1179"/>
      <c r="I268" s="1179"/>
      <c r="J268" s="1179"/>
      <c r="K268" s="1179"/>
      <c r="L268" s="1179"/>
      <c r="M268" s="1179"/>
      <c r="N268" s="1179"/>
      <c r="O268" s="1179"/>
      <c r="P268" s="1179"/>
      <c r="Q268" s="1179"/>
      <c r="R268" s="1179"/>
      <c r="S268" s="1179"/>
      <c r="T268" s="1179"/>
      <c r="U268" s="1179"/>
      <c r="V268" s="1179"/>
      <c r="W268" s="1179"/>
      <c r="X268" s="1179"/>
      <c r="Y268" s="1179"/>
      <c r="Z268" s="1179"/>
      <c r="AA268" s="1179"/>
      <c r="AB268" s="1179"/>
      <c r="AC268" s="1179"/>
      <c r="AD268" s="1179"/>
      <c r="AE268" s="1179"/>
      <c r="AF268" s="1179"/>
      <c r="AG268" s="1179"/>
      <c r="AH268" s="1179"/>
      <c r="AI268" s="1179"/>
      <c r="AJ268" s="1179"/>
      <c r="AK268" s="1127"/>
      <c r="AL268" s="1127"/>
      <c r="AM268" s="1127"/>
      <c r="AN268" s="1179"/>
      <c r="AO268" s="1179"/>
      <c r="AP268" s="1179"/>
      <c r="AQ268" s="4432" t="s">
        <v>591</v>
      </c>
      <c r="AR268" s="4433" t="str">
        <f>"Tax-free educational assistance received in "&amp;TaxYear&amp;" allocable to"</f>
        <v>Tax-free educational assistance received in 2021 allocable to</v>
      </c>
      <c r="AS268" s="3684"/>
      <c r="AT268" s="3684"/>
      <c r="AU268" s="3684"/>
      <c r="AV268" s="3684"/>
      <c r="AW268" s="3684"/>
      <c r="AX268" s="3684"/>
      <c r="AY268" s="3684"/>
      <c r="AZ268" s="4428"/>
      <c r="BA268" s="42"/>
      <c r="BB268" s="42"/>
    </row>
    <row r="269" spans="1:54" s="3402" customFormat="1" ht="15">
      <c r="A269" s="1127"/>
      <c r="B269" s="1559"/>
      <c r="C269" s="1179"/>
      <c r="D269" s="1179"/>
      <c r="E269" s="2686" t="str">
        <f>TaxYear&amp;" at an eligible educational institution in a program"</f>
        <v>2021 at an eligible educational institution in a program</v>
      </c>
      <c r="F269" s="1179"/>
      <c r="G269" s="1179"/>
      <c r="H269" s="1179"/>
      <c r="I269" s="1179"/>
      <c r="J269" s="1179"/>
      <c r="K269" s="1179"/>
      <c r="L269" s="1179"/>
      <c r="M269" s="1179"/>
      <c r="N269" s="1179"/>
      <c r="O269" s="1179"/>
      <c r="P269" s="1179"/>
      <c r="Q269" s="1179"/>
      <c r="R269" s="1179"/>
      <c r="S269" s="1179"/>
      <c r="T269" s="1179"/>
      <c r="U269" s="1179"/>
      <c r="V269" s="1179"/>
      <c r="W269" s="1179"/>
      <c r="X269" s="1179"/>
      <c r="Y269" s="1179"/>
      <c r="Z269" s="1179"/>
      <c r="AA269" s="1179"/>
      <c r="AB269" s="1179"/>
      <c r="AC269" s="1179"/>
      <c r="AD269" s="1179"/>
      <c r="AE269" s="1179"/>
      <c r="AF269" s="1179"/>
      <c r="AG269" s="1179"/>
      <c r="AH269" s="1179"/>
      <c r="AI269" s="1179"/>
      <c r="AJ269" s="1179"/>
      <c r="AK269" s="1127"/>
      <c r="AL269" s="1127"/>
      <c r="AM269" s="1127"/>
      <c r="AN269" s="1179"/>
      <c r="AO269" s="1179"/>
      <c r="AP269" s="1179"/>
      <c r="AQ269" s="4435"/>
      <c r="AR269" s="4433" t="s">
        <v>3759</v>
      </c>
      <c r="AS269" s="4436"/>
      <c r="AT269" s="4436"/>
      <c r="AU269" s="4436"/>
      <c r="AV269" s="4436"/>
      <c r="AW269" s="4413" t="s">
        <v>1630</v>
      </c>
      <c r="AX269" s="1849"/>
      <c r="AY269" s="3684"/>
      <c r="AZ269" s="4434"/>
      <c r="BA269" s="42"/>
      <c r="BB269" s="42"/>
    </row>
    <row r="270" spans="1:54" s="3402" customFormat="1" ht="15">
      <c r="A270" s="1127"/>
      <c r="B270" s="1179"/>
      <c r="C270" s="1179"/>
      <c r="D270" s="1179"/>
      <c r="E270" s="3355" t="s">
        <v>3728</v>
      </c>
      <c r="F270" s="1179"/>
      <c r="G270" s="1179"/>
      <c r="H270" s="1179"/>
      <c r="I270" s="1179"/>
      <c r="J270" s="1179"/>
      <c r="K270" s="1179"/>
      <c r="L270" s="1179"/>
      <c r="M270" s="1179"/>
      <c r="N270" s="1179"/>
      <c r="O270" s="1179"/>
      <c r="P270" s="1179"/>
      <c r="Q270" s="1179"/>
      <c r="R270" s="1179"/>
      <c r="S270" s="1179"/>
      <c r="T270" s="4383" t="str">
        <f>IF(AC270&lt;&gt;"","","X")</f>
        <v>X</v>
      </c>
      <c r="U270" s="1276" t="s">
        <v>3779</v>
      </c>
      <c r="V270" s="1179"/>
      <c r="W270" s="1179"/>
      <c r="X270" s="1179"/>
      <c r="Y270" s="1179"/>
      <c r="Z270" s="1179"/>
      <c r="AA270" s="1179"/>
      <c r="AB270" s="1179"/>
      <c r="AC270" s="4365"/>
      <c r="AD270" s="1276" t="s">
        <v>3730</v>
      </c>
      <c r="AE270" s="1179"/>
      <c r="AF270" s="1179"/>
      <c r="AG270" s="1179"/>
      <c r="AH270" s="1179"/>
      <c r="AI270" s="1179"/>
      <c r="AJ270" s="1179"/>
      <c r="AK270" s="1127"/>
      <c r="AL270" s="1127"/>
      <c r="AM270" s="1127"/>
      <c r="AN270" s="1179"/>
      <c r="AO270" s="1179"/>
      <c r="AP270" s="1179"/>
      <c r="AQ270" s="4432" t="s">
        <v>592</v>
      </c>
      <c r="AR270" s="4433" t="str">
        <f>"Tax-free educational assistance received in "&amp;TaxYear+1&amp;" (and before you"</f>
        <v>Tax-free educational assistance received in 2022 (and before you</v>
      </c>
      <c r="AS270" s="3684"/>
      <c r="AT270" s="3684"/>
      <c r="AU270" s="3684"/>
      <c r="AV270" s="3684"/>
      <c r="AW270" s="3684"/>
      <c r="AX270" s="3684"/>
      <c r="AY270" s="3684"/>
      <c r="AZ270" s="4428"/>
      <c r="BA270" s="42"/>
      <c r="BB270" s="42"/>
    </row>
    <row r="271" spans="1:54" s="3402" customFormat="1" ht="14.25">
      <c r="A271" s="1127"/>
      <c r="B271" s="1179"/>
      <c r="C271" s="1179"/>
      <c r="D271" s="1179"/>
      <c r="E271" s="3355" t="s">
        <v>3729</v>
      </c>
      <c r="F271" s="1179"/>
      <c r="G271" s="1179"/>
      <c r="H271" s="1179"/>
      <c r="I271" s="1179"/>
      <c r="J271" s="1179"/>
      <c r="K271" s="1179"/>
      <c r="L271" s="1179"/>
      <c r="M271" s="1179"/>
      <c r="N271" s="1179"/>
      <c r="O271" s="1179"/>
      <c r="P271" s="1179"/>
      <c r="Q271" s="1179"/>
      <c r="R271" s="1179"/>
      <c r="S271" s="1179"/>
      <c r="T271" s="1179"/>
      <c r="U271" s="1179"/>
      <c r="V271" s="1179"/>
      <c r="W271" s="1179"/>
      <c r="X271" s="1179"/>
      <c r="Y271" s="1179"/>
      <c r="Z271" s="1179"/>
      <c r="AA271" s="1179"/>
      <c r="AB271" s="1179"/>
      <c r="AC271" s="1179"/>
      <c r="AD271" s="1276" t="s">
        <v>3731</v>
      </c>
      <c r="AE271" s="1179"/>
      <c r="AF271" s="1179"/>
      <c r="AG271" s="1179"/>
      <c r="AH271" s="1179"/>
      <c r="AI271" s="1179"/>
      <c r="AJ271" s="1179"/>
      <c r="AK271" s="1127"/>
      <c r="AL271" s="1127"/>
      <c r="AM271" s="1127"/>
      <c r="AN271" s="1179"/>
      <c r="AO271" s="1179"/>
      <c r="AP271" s="1179"/>
      <c r="AQ271" s="4435"/>
      <c r="AR271" s="4433" t="str">
        <f>"file your "&amp;TaxYear&amp;" tax return) allocable to the academic period"</f>
        <v>file your 2021 tax return) allocable to the academic period</v>
      </c>
      <c r="AS271" s="4436"/>
      <c r="AT271" s="4436"/>
      <c r="AU271" s="4436"/>
      <c r="AV271" s="4436"/>
      <c r="AW271" s="4413" t="s">
        <v>2537</v>
      </c>
      <c r="AX271" s="1849"/>
      <c r="AY271" s="3684"/>
      <c r="AZ271" s="4434"/>
      <c r="BA271" s="42"/>
      <c r="BB271" s="42"/>
    </row>
    <row r="272" spans="1:54" s="4382" customFormat="1" ht="16.5" customHeight="1">
      <c r="A272" s="1819"/>
      <c r="B272" s="1277"/>
      <c r="C272" s="1277"/>
      <c r="D272" s="1277"/>
      <c r="E272" s="3719" t="s">
        <v>587</v>
      </c>
      <c r="F272" s="1277"/>
      <c r="G272" s="1277"/>
      <c r="H272" s="1277"/>
      <c r="I272" s="1277"/>
      <c r="J272" s="1277"/>
      <c r="K272" s="1277"/>
      <c r="L272" s="1277"/>
      <c r="M272" s="1277"/>
      <c r="N272" s="1277"/>
      <c r="O272" s="1277"/>
      <c r="P272" s="1277"/>
      <c r="Q272" s="1277"/>
      <c r="R272" s="1277"/>
      <c r="S272" s="1277"/>
      <c r="T272" s="1277"/>
      <c r="U272" s="1277"/>
      <c r="V272" s="1277"/>
      <c r="W272" s="1277"/>
      <c r="X272" s="1277"/>
      <c r="Y272" s="1277"/>
      <c r="Z272" s="1277"/>
      <c r="AA272" s="1277"/>
      <c r="AB272" s="1277"/>
      <c r="AC272" s="1277"/>
      <c r="AD272" s="1277"/>
      <c r="AE272" s="1277"/>
      <c r="AF272" s="1277"/>
      <c r="AG272" s="1277"/>
      <c r="AH272" s="1277"/>
      <c r="AI272" s="1277"/>
      <c r="AJ272" s="1277"/>
      <c r="AK272" s="1819"/>
      <c r="AL272" s="1819"/>
      <c r="AM272" s="1819"/>
      <c r="AN272" s="1277"/>
      <c r="AO272" s="1277"/>
      <c r="AP272" s="1277"/>
      <c r="AQ272" s="4432" t="s">
        <v>590</v>
      </c>
      <c r="AR272" s="4433" t="str">
        <f>"Refunds of qualified education expenses paid in "&amp;TaxYear&amp;" if the refund"</f>
        <v>Refunds of qualified education expenses paid in 2021 if the refund</v>
      </c>
      <c r="AS272" s="3684"/>
      <c r="AT272" s="3684"/>
      <c r="AU272" s="3684"/>
      <c r="AV272" s="3684"/>
      <c r="AW272" s="3684"/>
      <c r="AX272" s="3684"/>
      <c r="AY272" s="3684"/>
      <c r="AZ272" s="4428"/>
      <c r="BA272" s="946"/>
      <c r="BB272" s="946"/>
    </row>
    <row r="273" spans="1:54" s="3402" customFormat="1" ht="15">
      <c r="A273" s="1127"/>
      <c r="B273" s="4370">
        <v>25</v>
      </c>
      <c r="C273" s="1574"/>
      <c r="D273" s="1574"/>
      <c r="E273" s="3072" t="s">
        <v>3764</v>
      </c>
      <c r="F273" s="1574"/>
      <c r="G273" s="1574"/>
      <c r="H273" s="1574"/>
      <c r="I273" s="1574"/>
      <c r="J273" s="1574"/>
      <c r="K273" s="1574"/>
      <c r="L273" s="1574"/>
      <c r="M273" s="1574"/>
      <c r="N273" s="1574"/>
      <c r="O273" s="1574"/>
      <c r="P273" s="1574"/>
      <c r="Q273" s="1574"/>
      <c r="R273" s="1574"/>
      <c r="S273" s="1574"/>
      <c r="T273" s="1574"/>
      <c r="U273" s="1574"/>
      <c r="V273" s="1574"/>
      <c r="W273" s="1574"/>
      <c r="X273" s="1574"/>
      <c r="Y273" s="1574"/>
      <c r="Z273" s="1574"/>
      <c r="AA273" s="1574"/>
      <c r="AB273" s="1574"/>
      <c r="AC273" s="1574"/>
      <c r="AD273" s="1574"/>
      <c r="AE273" s="1574"/>
      <c r="AF273" s="1574"/>
      <c r="AG273" s="1574"/>
      <c r="AH273" s="1574"/>
      <c r="AI273" s="1574"/>
      <c r="AJ273" s="1574"/>
      <c r="AK273" s="1127"/>
      <c r="AL273" s="1127"/>
      <c r="AM273" s="1127"/>
      <c r="AN273" s="1179"/>
      <c r="AO273" s="1179"/>
      <c r="AP273" s="1179"/>
      <c r="AQ273" s="4435"/>
      <c r="AR273" s="4433" t="str">
        <f>"is received in "&amp;TaxYear&amp;" or in "&amp;TaxYear+1&amp;" before you file your "&amp;TaxYear&amp;" tax return."</f>
        <v>is received in 2021 or in 2022 before you file your 2021 tax return.</v>
      </c>
      <c r="AS273" s="4436"/>
      <c r="AT273" s="4436"/>
      <c r="AU273" s="4436"/>
      <c r="AV273" s="4436"/>
      <c r="AW273" s="4413" t="s">
        <v>3602</v>
      </c>
      <c r="AX273" s="1849"/>
      <c r="AY273" s="3684"/>
      <c r="AZ273" s="4434"/>
      <c r="BA273" s="42"/>
      <c r="BB273" s="42"/>
    </row>
    <row r="274" spans="1:54" s="3402" customFormat="1" ht="15">
      <c r="A274" s="1127"/>
      <c r="B274" s="1179"/>
      <c r="C274" s="1179"/>
      <c r="D274" s="1179"/>
      <c r="E274" s="3355" t="str">
        <f>"education before "&amp;TaxYear&amp;"? See instructions."</f>
        <v>education before 2021? See instructions.</v>
      </c>
      <c r="F274" s="1179"/>
      <c r="G274" s="1179"/>
      <c r="H274" s="1179"/>
      <c r="I274" s="1179"/>
      <c r="J274" s="1179"/>
      <c r="K274" s="1179"/>
      <c r="L274" s="1179"/>
      <c r="M274" s="1179"/>
      <c r="N274" s="1179"/>
      <c r="O274" s="1179"/>
      <c r="P274" s="1179"/>
      <c r="Q274" s="1179"/>
      <c r="R274" s="1179"/>
      <c r="S274" s="1179"/>
      <c r="T274" s="4365"/>
      <c r="U274" s="1276" t="s">
        <v>3723</v>
      </c>
      <c r="V274" s="1179"/>
      <c r="W274" s="1179"/>
      <c r="X274" s="1179"/>
      <c r="Y274" s="1179"/>
      <c r="Z274" s="1179"/>
      <c r="AA274" s="1179"/>
      <c r="AB274" s="1179"/>
      <c r="AC274" s="4383" t="str">
        <f>IF(T274&lt;&gt;"","","X")</f>
        <v>X</v>
      </c>
      <c r="AD274" s="1276" t="s">
        <v>3733</v>
      </c>
      <c r="AE274" s="1179"/>
      <c r="AF274" s="1179"/>
      <c r="AG274" s="1179"/>
      <c r="AH274" s="1179"/>
      <c r="AI274" s="1179"/>
      <c r="AJ274" s="1179"/>
      <c r="AK274" s="1127"/>
      <c r="AL274" s="1127"/>
      <c r="AM274" s="1127"/>
      <c r="AN274" s="1179"/>
      <c r="AO274" s="1179"/>
      <c r="AP274" s="1179"/>
      <c r="AQ274" s="4435"/>
      <c r="AR274" s="4433"/>
      <c r="AS274" s="4436"/>
      <c r="AT274" s="4436"/>
      <c r="AU274" s="4436"/>
      <c r="AV274" s="4436"/>
      <c r="AW274" s="4436"/>
      <c r="AX274" s="4436"/>
      <c r="AY274" s="3684"/>
      <c r="AZ274" s="4434"/>
      <c r="BA274" s="42"/>
      <c r="BB274" s="42"/>
    </row>
    <row r="275" spans="1:54" s="4382" customFormat="1" ht="16.5" customHeight="1">
      <c r="A275" s="1819"/>
      <c r="B275" s="1277"/>
      <c r="C275" s="1277"/>
      <c r="D275" s="1277"/>
      <c r="E275" s="3719"/>
      <c r="F275" s="1277"/>
      <c r="G275" s="1277"/>
      <c r="H275" s="1277"/>
      <c r="I275" s="1277"/>
      <c r="J275" s="1277"/>
      <c r="K275" s="1277"/>
      <c r="L275" s="1277"/>
      <c r="M275" s="1277"/>
      <c r="N275" s="1277"/>
      <c r="O275" s="1277"/>
      <c r="P275" s="1277"/>
      <c r="Q275" s="1277"/>
      <c r="R275" s="1277"/>
      <c r="S275" s="1277"/>
      <c r="T275" s="1277"/>
      <c r="U275" s="1277" t="s">
        <v>3724</v>
      </c>
      <c r="V275" s="1277"/>
      <c r="W275" s="1277"/>
      <c r="X275" s="1277"/>
      <c r="Y275" s="1277"/>
      <c r="Z275" s="1277"/>
      <c r="AA275" s="1277"/>
      <c r="AB275" s="1277"/>
      <c r="AC275" s="1277"/>
      <c r="AD275" s="1277"/>
      <c r="AE275" s="1277"/>
      <c r="AF275" s="1277"/>
      <c r="AG275" s="1277"/>
      <c r="AH275" s="1277"/>
      <c r="AI275" s="1277"/>
      <c r="AJ275" s="1277"/>
      <c r="AK275" s="1819"/>
      <c r="AL275" s="1819"/>
      <c r="AM275" s="1819"/>
      <c r="AN275" s="1277"/>
      <c r="AO275" s="1277"/>
      <c r="AP275" s="1277"/>
      <c r="AQ275" s="4429" t="s">
        <v>3760</v>
      </c>
      <c r="AR275" s="4410"/>
      <c r="AS275" s="4410"/>
      <c r="AT275" s="4410"/>
      <c r="AU275" s="4410"/>
      <c r="AV275" s="4410"/>
      <c r="AW275" s="4413"/>
      <c r="AX275" s="4413" t="s">
        <v>1</v>
      </c>
      <c r="AY275" s="2045">
        <f>SUM(AX269,AX271,AX273)</f>
        <v>0</v>
      </c>
      <c r="AZ275" s="4411"/>
      <c r="BA275" s="946"/>
      <c r="BB275" s="946"/>
    </row>
    <row r="276" spans="1:54" s="3402" customFormat="1" ht="15">
      <c r="A276" s="1127"/>
      <c r="B276" s="4370">
        <v>26</v>
      </c>
      <c r="C276" s="1574"/>
      <c r="D276" s="1574"/>
      <c r="E276" s="3072" t="str">
        <f>"Was the student convicted, before the end of "&amp;TaxYear&amp;", of a"</f>
        <v>Was the student convicted, before the end of 2021, of a</v>
      </c>
      <c r="F276" s="1574"/>
      <c r="G276" s="1574"/>
      <c r="H276" s="1574"/>
      <c r="I276" s="1574"/>
      <c r="J276" s="1574"/>
      <c r="K276" s="1574"/>
      <c r="L276" s="1574"/>
      <c r="M276" s="1574"/>
      <c r="N276" s="1574"/>
      <c r="O276" s="1574"/>
      <c r="P276" s="1574"/>
      <c r="Q276" s="1574"/>
      <c r="R276" s="1574"/>
      <c r="S276" s="1574"/>
      <c r="T276" s="1574"/>
      <c r="U276" s="1574"/>
      <c r="V276" s="1574"/>
      <c r="W276" s="1574"/>
      <c r="X276" s="1574"/>
      <c r="Y276" s="1574"/>
      <c r="Z276" s="1574"/>
      <c r="AA276" s="1574"/>
      <c r="AB276" s="1574"/>
      <c r="AC276" s="1574"/>
      <c r="AD276" s="1574"/>
      <c r="AE276" s="1574"/>
      <c r="AF276" s="1574"/>
      <c r="AG276" s="1574"/>
      <c r="AH276" s="1574"/>
      <c r="AI276" s="1574"/>
      <c r="AJ276" s="1574"/>
      <c r="AK276" s="1127"/>
      <c r="AL276" s="1127"/>
      <c r="AM276" s="1127"/>
      <c r="AN276" s="1179"/>
      <c r="AO276" s="1179"/>
      <c r="AP276" s="1179"/>
      <c r="AQ276" s="4435"/>
      <c r="AR276" s="4433"/>
      <c r="AS276" s="4436"/>
      <c r="AT276" s="4436"/>
      <c r="AU276" s="4436"/>
      <c r="AV276" s="4436"/>
      <c r="AW276" s="4436"/>
      <c r="AX276" s="4436"/>
      <c r="AY276" s="3684"/>
      <c r="AZ276" s="4434"/>
      <c r="BA276" s="42"/>
      <c r="BB276" s="42"/>
    </row>
    <row r="277" spans="1:54" s="3402" customFormat="1" ht="15">
      <c r="A277" s="1127"/>
      <c r="B277" s="1179"/>
      <c r="C277" s="1179"/>
      <c r="D277" s="1179"/>
      <c r="E277" s="3355" t="s">
        <v>3734</v>
      </c>
      <c r="F277" s="1179"/>
      <c r="G277" s="1179"/>
      <c r="H277" s="1179"/>
      <c r="I277" s="1179"/>
      <c r="J277" s="1179"/>
      <c r="K277" s="1179"/>
      <c r="L277" s="1179"/>
      <c r="M277" s="1179"/>
      <c r="N277" s="1179"/>
      <c r="O277" s="1179"/>
      <c r="P277" s="1179"/>
      <c r="Q277" s="1179"/>
      <c r="R277" s="1179"/>
      <c r="S277" s="1179"/>
      <c r="T277" s="4365"/>
      <c r="U277" s="1276" t="s">
        <v>3723</v>
      </c>
      <c r="V277" s="1179"/>
      <c r="W277" s="1179"/>
      <c r="X277" s="1179"/>
      <c r="Y277" s="1179"/>
      <c r="Z277" s="1179"/>
      <c r="AA277" s="1179"/>
      <c r="AB277" s="1179"/>
      <c r="AC277" s="4383" t="str">
        <f>IF(T277&lt;&gt;"","","X")</f>
        <v>X</v>
      </c>
      <c r="AD277" s="1276" t="s">
        <v>3736</v>
      </c>
      <c r="AE277" s="1179"/>
      <c r="AF277" s="1179"/>
      <c r="AG277" s="1179"/>
      <c r="AH277" s="1179"/>
      <c r="AI277" s="1179"/>
      <c r="AJ277" s="1179"/>
      <c r="AK277" s="1127"/>
      <c r="AL277" s="1127"/>
      <c r="AM277" s="1127"/>
      <c r="AN277" s="1179"/>
      <c r="AO277" s="24" t="s">
        <v>90</v>
      </c>
      <c r="AP277" s="1179"/>
      <c r="AQ277" s="4429" t="s">
        <v>3761</v>
      </c>
      <c r="AR277" s="4433"/>
      <c r="AS277" s="4436"/>
      <c r="AT277" s="4436"/>
      <c r="AU277" s="4436"/>
      <c r="AV277" s="4436"/>
      <c r="AW277" s="4436"/>
      <c r="AX277" s="4436"/>
      <c r="AY277" s="3684"/>
      <c r="AZ277" s="4434"/>
      <c r="BA277" s="42"/>
      <c r="BB277" s="42"/>
    </row>
    <row r="278" spans="1:54" s="4382" customFormat="1" ht="16.5" customHeight="1">
      <c r="A278" s="1819"/>
      <c r="B278" s="1820"/>
      <c r="C278" s="1820"/>
      <c r="D278" s="1820"/>
      <c r="E278" s="4371" t="s">
        <v>3735</v>
      </c>
      <c r="F278" s="1820"/>
      <c r="G278" s="1820"/>
      <c r="H278" s="1820"/>
      <c r="I278" s="1820"/>
      <c r="J278" s="1820"/>
      <c r="K278" s="1820"/>
      <c r="L278" s="1820"/>
      <c r="M278" s="1820"/>
      <c r="N278" s="1820"/>
      <c r="O278" s="1820"/>
      <c r="P278" s="1820"/>
      <c r="Q278" s="1820"/>
      <c r="R278" s="1820"/>
      <c r="S278" s="1820"/>
      <c r="T278" s="1820"/>
      <c r="U278" s="1820" t="s">
        <v>3724</v>
      </c>
      <c r="V278" s="1820"/>
      <c r="W278" s="1820"/>
      <c r="X278" s="1820"/>
      <c r="Y278" s="1820"/>
      <c r="Z278" s="1820"/>
      <c r="AA278" s="1820"/>
      <c r="AB278" s="1820"/>
      <c r="AC278" s="1820"/>
      <c r="AD278" s="2793" t="s">
        <v>3737</v>
      </c>
      <c r="AE278" s="1820"/>
      <c r="AF278" s="1820"/>
      <c r="AG278" s="1820"/>
      <c r="AH278" s="1820"/>
      <c r="AI278" s="1820"/>
      <c r="AJ278" s="1820"/>
      <c r="AK278" s="1819"/>
      <c r="AL278" s="1819"/>
      <c r="AM278" s="1819"/>
      <c r="AN278" s="1277"/>
      <c r="AO278" s="24" t="s">
        <v>411</v>
      </c>
      <c r="AP278" s="1277"/>
      <c r="AQ278" s="4431" t="s">
        <v>2526</v>
      </c>
      <c r="AR278" s="4410"/>
      <c r="AS278" s="4410"/>
      <c r="AT278" s="4437" t="s">
        <v>3772</v>
      </c>
      <c r="AU278" s="4410"/>
      <c r="AV278" s="4410"/>
      <c r="AW278" s="4413"/>
      <c r="AX278" s="4413" t="s">
        <v>399</v>
      </c>
      <c r="AY278" s="2045" t="str">
        <f>IF(AY265="","",MAX(0,SUM(AY265,-AY275)))</f>
        <v/>
      </c>
      <c r="AZ278" s="4411"/>
      <c r="BA278" s="946"/>
      <c r="BB278" s="946"/>
    </row>
    <row r="279" spans="1:54" s="3402" customFormat="1" ht="9.75" customHeight="1" thickBot="1">
      <c r="A279" s="1127"/>
      <c r="B279" s="4395"/>
      <c r="C279" s="4395"/>
      <c r="D279" s="4395"/>
      <c r="E279" s="4395"/>
      <c r="F279" s="4395"/>
      <c r="G279" s="4395"/>
      <c r="H279" s="4395"/>
      <c r="I279" s="4395"/>
      <c r="J279" s="4395"/>
      <c r="K279" s="4395"/>
      <c r="L279" s="4395"/>
      <c r="M279" s="4395"/>
      <c r="N279" s="4395"/>
      <c r="O279" s="4395"/>
      <c r="P279" s="4395"/>
      <c r="Q279" s="4395"/>
      <c r="R279" s="4395"/>
      <c r="S279" s="4395"/>
      <c r="T279" s="4395"/>
      <c r="U279" s="4395"/>
      <c r="V279" s="4395"/>
      <c r="W279" s="4395"/>
      <c r="X279" s="4395"/>
      <c r="Y279" s="4395"/>
      <c r="Z279" s="4395"/>
      <c r="AA279" s="4395"/>
      <c r="AB279" s="4395"/>
      <c r="AC279" s="4395"/>
      <c r="AD279" s="4395"/>
      <c r="AE279" s="4395"/>
      <c r="AF279" s="4395"/>
      <c r="AG279" s="4395"/>
      <c r="AH279" s="4395"/>
      <c r="AI279" s="4395"/>
      <c r="AJ279" s="4395"/>
      <c r="AK279" s="1127"/>
      <c r="AL279" s="1127"/>
      <c r="AM279" s="1127"/>
      <c r="AN279" s="1179"/>
      <c r="AO279" s="1179"/>
      <c r="AP279" s="1179"/>
      <c r="AQ279" s="4438"/>
      <c r="AR279" s="4439"/>
      <c r="AS279" s="4440"/>
      <c r="AT279" s="4440"/>
      <c r="AU279" s="4440"/>
      <c r="AV279" s="4440"/>
      <c r="AW279" s="4440"/>
      <c r="AX279" s="4440"/>
      <c r="AY279" s="4440"/>
      <c r="AZ279" s="4441"/>
      <c r="BA279" s="42"/>
      <c r="BB279" s="42"/>
    </row>
    <row r="280" spans="1:54" s="4381" customFormat="1" ht="14.25" customHeight="1">
      <c r="A280" s="4353"/>
      <c r="B280" s="4396"/>
      <c r="C280" s="4396"/>
      <c r="D280" s="4396"/>
      <c r="E280" s="4398" t="s">
        <v>4249</v>
      </c>
      <c r="F280" s="4396"/>
      <c r="G280" s="4396"/>
      <c r="H280" s="4396"/>
      <c r="I280" s="4396"/>
      <c r="J280" s="4396"/>
      <c r="K280" s="4396"/>
      <c r="L280" s="4396"/>
      <c r="M280" s="4396"/>
      <c r="N280" s="4396"/>
      <c r="O280" s="4396"/>
      <c r="P280" s="4396"/>
      <c r="Q280" s="4396"/>
      <c r="R280" s="4396"/>
      <c r="S280" s="4396"/>
      <c r="T280" s="4396"/>
      <c r="U280" s="4396"/>
      <c r="V280" s="4396"/>
      <c r="W280" s="4396"/>
      <c r="X280" s="4396"/>
      <c r="Y280" s="4396"/>
      <c r="Z280" s="4396"/>
      <c r="AA280" s="4396"/>
      <c r="AB280" s="4396"/>
      <c r="AC280" s="4396"/>
      <c r="AD280" s="4396"/>
      <c r="AE280" s="4396"/>
      <c r="AF280" s="4396"/>
      <c r="AG280" s="4396"/>
      <c r="AH280" s="4396"/>
      <c r="AI280" s="4396"/>
      <c r="AJ280" s="4396"/>
      <c r="AK280" s="4353"/>
      <c r="AL280" s="4353"/>
      <c r="AM280" s="4353"/>
      <c r="AN280" s="4354"/>
      <c r="AO280" s="3558" t="b">
        <f>OR(AND(AH283,AO291&lt;&gt;""),AND(NOT(AH283),AO288&lt;&gt;""))</f>
        <v>0</v>
      </c>
      <c r="AP280" s="2051"/>
      <c r="AQ280" s="2595"/>
      <c r="AR280" s="2601"/>
      <c r="AS280" s="2595"/>
      <c r="AT280" s="2595"/>
      <c r="AU280" s="2595"/>
      <c r="AV280" s="2595"/>
      <c r="AW280" s="2595"/>
      <c r="AX280" s="2595"/>
      <c r="AY280" s="2595"/>
      <c r="AZ280" s="2595"/>
      <c r="BA280" s="4355"/>
      <c r="BB280" s="4355"/>
    </row>
    <row r="281" spans="1:54" s="4381" customFormat="1" ht="16.5" customHeight="1">
      <c r="A281" s="4353"/>
      <c r="B281" s="4396"/>
      <c r="C281" s="4396"/>
      <c r="D281" s="4396"/>
      <c r="E281" s="4399" t="s">
        <v>4250</v>
      </c>
      <c r="F281" s="4396"/>
      <c r="G281" s="4396"/>
      <c r="H281" s="4396"/>
      <c r="I281" s="4396"/>
      <c r="J281" s="4396"/>
      <c r="K281" s="4396"/>
      <c r="L281" s="4396"/>
      <c r="M281" s="4396"/>
      <c r="N281" s="4396"/>
      <c r="O281" s="4396"/>
      <c r="P281" s="4396"/>
      <c r="Q281" s="4396"/>
      <c r="R281" s="4396"/>
      <c r="S281" s="4396"/>
      <c r="T281" s="4396"/>
      <c r="U281" s="4396"/>
      <c r="V281" s="4396"/>
      <c r="W281" s="4396"/>
      <c r="X281" s="4396"/>
      <c r="Y281" s="4396"/>
      <c r="Z281" s="4396"/>
      <c r="AA281" s="4396"/>
      <c r="AB281" s="4396"/>
      <c r="AC281" s="4396"/>
      <c r="AD281" s="4396"/>
      <c r="AE281" s="4396"/>
      <c r="AF281" s="4396"/>
      <c r="AG281" s="4396"/>
      <c r="AH281" s="4396"/>
      <c r="AI281" s="4396"/>
      <c r="AJ281" s="4396"/>
      <c r="AK281" s="4353"/>
      <c r="AL281" s="4353"/>
      <c r="AM281" s="4353"/>
      <c r="AN281" s="4354"/>
      <c r="AO281" s="3558" t="b">
        <f>OR(AND(AH283,AO291&lt;&gt;""),AND(NOT(AH283),AO288&lt;&gt;""))</f>
        <v>0</v>
      </c>
      <c r="AP281" s="2051"/>
      <c r="AQ281" s="2595"/>
      <c r="AR281" s="2601"/>
      <c r="AS281" s="2595"/>
      <c r="AT281" s="2595"/>
      <c r="AU281" s="2595"/>
      <c r="AV281" s="2595"/>
      <c r="AW281" s="2595"/>
      <c r="AX281" s="2595"/>
      <c r="AY281" s="2595"/>
      <c r="AZ281" s="2595"/>
      <c r="BA281" s="4355"/>
      <c r="BB281" s="4355"/>
    </row>
    <row r="282" spans="1:54" s="3402" customFormat="1" ht="6" customHeight="1">
      <c r="A282" s="1127"/>
      <c r="B282" s="4397"/>
      <c r="C282" s="4397"/>
      <c r="D282" s="4397"/>
      <c r="E282" s="4397"/>
      <c r="F282" s="4397"/>
      <c r="G282" s="4397"/>
      <c r="H282" s="4397"/>
      <c r="I282" s="4397"/>
      <c r="J282" s="4397"/>
      <c r="K282" s="4397"/>
      <c r="L282" s="4397"/>
      <c r="M282" s="4397"/>
      <c r="N282" s="4397"/>
      <c r="O282" s="4397"/>
      <c r="P282" s="4397"/>
      <c r="Q282" s="4397"/>
      <c r="R282" s="4397"/>
      <c r="S282" s="4397"/>
      <c r="T282" s="4397"/>
      <c r="U282" s="4397"/>
      <c r="V282" s="4397"/>
      <c r="W282" s="4397"/>
      <c r="X282" s="4397"/>
      <c r="Y282" s="4397"/>
      <c r="Z282" s="4397"/>
      <c r="AA282" s="4397"/>
      <c r="AB282" s="4397"/>
      <c r="AC282" s="4397"/>
      <c r="AD282" s="4397"/>
      <c r="AE282" s="4397"/>
      <c r="AF282" s="4397"/>
      <c r="AG282" s="4397"/>
      <c r="AH282" s="4397"/>
      <c r="AI282" s="4397"/>
      <c r="AJ282" s="4397"/>
      <c r="AK282" s="1127"/>
      <c r="AL282" s="1127"/>
      <c r="AM282" s="1127"/>
      <c r="AN282" s="1179"/>
      <c r="AO282" s="1179"/>
      <c r="AP282" s="1179"/>
      <c r="AQ282" s="2595"/>
      <c r="AR282" s="2595"/>
      <c r="AS282" s="2595"/>
      <c r="AT282" s="2595"/>
      <c r="AU282" s="2595"/>
      <c r="AV282" s="2595"/>
      <c r="AW282" s="2595"/>
      <c r="AX282" s="2595"/>
      <c r="AY282" s="2595"/>
      <c r="AZ282" s="2595"/>
      <c r="BA282" s="42"/>
      <c r="BB282" s="42"/>
    </row>
    <row r="283" spans="1:54" s="3402" customFormat="1" ht="16.5" customHeight="1" thickBot="1">
      <c r="A283" s="1127"/>
      <c r="B283" s="1565"/>
      <c r="C283" s="4749" t="s">
        <v>3738</v>
      </c>
      <c r="D283" s="1553"/>
      <c r="E283" s="1553"/>
      <c r="F283" s="1553"/>
      <c r="G283" s="1553"/>
      <c r="H283" s="1553"/>
      <c r="I283" s="1553"/>
      <c r="J283" s="1553"/>
      <c r="K283" s="1553"/>
      <c r="L283" s="1553"/>
      <c r="M283" s="1553"/>
      <c r="N283" s="1553"/>
      <c r="O283" s="1553"/>
      <c r="P283" s="1553"/>
      <c r="Q283" s="1553"/>
      <c r="R283" s="1553"/>
      <c r="S283" s="1553"/>
      <c r="T283" s="1553"/>
      <c r="U283" s="1553"/>
      <c r="V283" s="1553"/>
      <c r="W283" s="1553"/>
      <c r="X283" s="1553"/>
      <c r="Y283" s="1553"/>
      <c r="Z283" s="1553"/>
      <c r="AA283" s="1553"/>
      <c r="AB283" s="9233" t="b">
        <f>AND(AE284&lt;&gt;"",AE284&gt;AO285)</f>
        <v>0</v>
      </c>
      <c r="AC283" s="9233"/>
      <c r="AD283" s="1553"/>
      <c r="AE283" s="1553"/>
      <c r="AF283" s="1553"/>
      <c r="AG283" s="1553"/>
      <c r="AH283" s="9233" t="b">
        <f>AND(T265="",AC270="",T274="",T277="")</f>
        <v>1</v>
      </c>
      <c r="AI283" s="9233"/>
      <c r="AJ283" s="9233"/>
      <c r="AK283" s="1127"/>
      <c r="AL283" s="1127"/>
      <c r="AM283" s="1127"/>
      <c r="AN283" s="1179"/>
      <c r="AO283" s="1179"/>
      <c r="AP283" s="1179"/>
      <c r="AQ283" s="2595"/>
      <c r="AR283" s="2595"/>
      <c r="AS283" s="2595"/>
      <c r="AT283" s="2595"/>
      <c r="AU283" s="2595"/>
      <c r="AV283" s="2595"/>
      <c r="AW283" s="2595"/>
      <c r="AX283" s="2595"/>
      <c r="AY283" s="2595"/>
      <c r="AZ283" s="2595"/>
      <c r="BA283" s="42"/>
      <c r="BB283" s="42"/>
    </row>
    <row r="284" spans="1:54" s="3402" customFormat="1" ht="16.5" customHeight="1" thickBot="1">
      <c r="A284" s="1127"/>
      <c r="B284" s="4370">
        <v>27</v>
      </c>
      <c r="C284" s="1179"/>
      <c r="D284" s="2686" t="s">
        <v>3739</v>
      </c>
      <c r="E284" s="2686"/>
      <c r="F284" s="1179"/>
      <c r="G284" s="1179"/>
      <c r="H284" s="1179"/>
      <c r="I284" s="1179"/>
      <c r="J284" s="1179"/>
      <c r="K284" s="1179"/>
      <c r="L284" s="1179"/>
      <c r="M284" s="1179"/>
      <c r="N284" s="1179"/>
      <c r="O284" s="1179"/>
      <c r="P284" s="1179"/>
      <c r="Q284" s="1179"/>
      <c r="R284" s="4750" t="str">
        <f>"Don't enter more than "&amp;TEXT(AO285,"$0,000")&amp;"."</f>
        <v>Don't enter more than $4,000.</v>
      </c>
      <c r="S284" s="1179"/>
      <c r="T284" s="1179"/>
      <c r="U284" s="1179"/>
      <c r="V284" s="1179"/>
      <c r="W284" s="1179"/>
      <c r="X284" s="1179"/>
      <c r="Y284" s="1179"/>
      <c r="Z284" s="4392"/>
      <c r="AA284" s="4392"/>
      <c r="AB284" s="4390"/>
      <c r="AC284" s="4391"/>
      <c r="AD284" s="2224">
        <v>27</v>
      </c>
      <c r="AE284" s="9531" t="str">
        <f>IF(AO284&lt;&gt;"",ROUND(AO284,0),IF(OR(NOT(AH283),AY278=""),"",MIN(AO285,AY278)))</f>
        <v/>
      </c>
      <c r="AF284" s="9532"/>
      <c r="AG284" s="9532"/>
      <c r="AH284" s="9532"/>
      <c r="AI284" s="9532"/>
      <c r="AJ284" s="9532"/>
      <c r="AK284" s="1127"/>
      <c r="AL284" s="1127"/>
      <c r="AM284" s="1127"/>
      <c r="AN284" s="1179"/>
      <c r="AO284" s="4377"/>
      <c r="AP284" s="1179"/>
      <c r="AQ284" s="2595"/>
      <c r="AR284" s="2595"/>
      <c r="AS284" s="2595"/>
      <c r="AT284" s="2595"/>
      <c r="AU284" s="2595"/>
      <c r="AV284" s="2595"/>
      <c r="AW284" s="2595"/>
      <c r="AX284" s="2595"/>
      <c r="AY284" s="2595"/>
      <c r="AZ284" s="2595"/>
      <c r="BA284" s="42"/>
      <c r="BB284" s="42"/>
    </row>
    <row r="285" spans="1:54" s="3402" customFormat="1" ht="17.25" customHeight="1">
      <c r="A285" s="1127"/>
      <c r="B285" s="1559">
        <v>28</v>
      </c>
      <c r="C285" s="1179"/>
      <c r="D285" s="2686" t="str">
        <f>"Subtract "&amp;TEXT(AO286,"$0,000")&amp;" from line 27. If zero or less, enter -0-"</f>
        <v>Subtract $2,000 from line 27. If zero or less, enter -0-</v>
      </c>
      <c r="E285" s="1179"/>
      <c r="F285" s="1179"/>
      <c r="G285" s="1179"/>
      <c r="H285" s="1179"/>
      <c r="I285" s="1179"/>
      <c r="J285" s="1179"/>
      <c r="K285" s="1179"/>
      <c r="L285" s="1179"/>
      <c r="M285" s="1179"/>
      <c r="N285" s="1179"/>
      <c r="O285" s="1179"/>
      <c r="P285" s="1179"/>
      <c r="Q285" s="1179"/>
      <c r="R285" s="1179"/>
      <c r="S285" s="1179"/>
      <c r="T285" s="1179"/>
      <c r="U285" s="1179"/>
      <c r="V285" s="1179"/>
      <c r="W285" s="1179"/>
      <c r="X285" s="1179"/>
      <c r="Y285" s="1179"/>
      <c r="Z285" s="1681"/>
      <c r="AA285" s="1681"/>
      <c r="AB285" s="1179"/>
      <c r="AC285" s="1560" t="s">
        <v>3767</v>
      </c>
      <c r="AD285" s="2224">
        <v>28</v>
      </c>
      <c r="AE285" s="9531" t="str">
        <f>IF(OR(NOT(AH283),AY278=""),"",MAX(0,SUM(AE284,-AO286)))</f>
        <v/>
      </c>
      <c r="AF285" s="9532"/>
      <c r="AG285" s="9532"/>
      <c r="AH285" s="9532"/>
      <c r="AI285" s="9532"/>
      <c r="AJ285" s="9532"/>
      <c r="AK285" s="1127"/>
      <c r="AL285" s="1127"/>
      <c r="AM285" s="1127"/>
      <c r="AN285" s="1179"/>
      <c r="AO285" s="1284">
        <v>4000</v>
      </c>
      <c r="AP285" s="1179"/>
      <c r="AQ285" s="2595"/>
      <c r="AR285" s="2595"/>
      <c r="AS285" s="2595"/>
      <c r="AT285" s="2595"/>
      <c r="AU285" s="2595"/>
      <c r="AV285" s="2595"/>
      <c r="AW285" s="2595"/>
      <c r="AX285" s="2595"/>
      <c r="AY285" s="2595"/>
      <c r="AZ285" s="2595"/>
      <c r="BA285" s="42"/>
      <c r="BB285" s="42"/>
    </row>
    <row r="286" spans="1:54" s="3402" customFormat="1" ht="17.25" customHeight="1">
      <c r="A286" s="1127"/>
      <c r="B286" s="1559">
        <v>29</v>
      </c>
      <c r="C286" s="1179"/>
      <c r="D286" s="2686" t="str">
        <f>"Multiply line 28 by "&amp;TEXT(AB287,"0%")&amp;" ("&amp;TEXT(AB287,"0.00")&amp;")"</f>
        <v>Multiply line 28 by 25% (0.25)</v>
      </c>
      <c r="E286" s="2686"/>
      <c r="F286" s="2686"/>
      <c r="G286" s="1179"/>
      <c r="H286" s="1179"/>
      <c r="I286" s="1179"/>
      <c r="J286" s="1179"/>
      <c r="K286" s="1179"/>
      <c r="L286" s="1283"/>
      <c r="M286" s="1283"/>
      <c r="N286" s="1283"/>
      <c r="O286" s="1283"/>
      <c r="P286" s="1283"/>
      <c r="Q286" s="1283"/>
      <c r="R286" s="1283"/>
      <c r="S286" s="1283"/>
      <c r="T286" s="1283"/>
      <c r="U286" s="1283"/>
      <c r="V286" s="1283"/>
      <c r="W286" s="1283"/>
      <c r="X286" s="1283"/>
      <c r="Y286" s="1283"/>
      <c r="Z286" s="1283"/>
      <c r="AA286" s="1283"/>
      <c r="AB286" s="1283"/>
      <c r="AC286" s="1560" t="s">
        <v>3766</v>
      </c>
      <c r="AD286" s="2224">
        <v>29</v>
      </c>
      <c r="AE286" s="9531" t="str">
        <f>IF(OR(NOT(AH283),AY278=""),"",ROUND(AE285*AB287,0))</f>
        <v/>
      </c>
      <c r="AF286" s="9532"/>
      <c r="AG286" s="9532"/>
      <c r="AH286" s="9532"/>
      <c r="AI286" s="9532"/>
      <c r="AJ286" s="9532"/>
      <c r="AK286" s="1127"/>
      <c r="AL286" s="1127"/>
      <c r="AM286" s="1127"/>
      <c r="AN286" s="1179"/>
      <c r="AO286" s="1284">
        <v>2000</v>
      </c>
      <c r="AP286" s="1179"/>
      <c r="AQ286" s="2595"/>
      <c r="AR286" s="2595"/>
      <c r="AS286" s="2595"/>
      <c r="AT286" s="2595"/>
      <c r="AU286" s="2595"/>
      <c r="AV286" s="2595"/>
      <c r="AW286" s="2595"/>
      <c r="AX286" s="2595"/>
      <c r="AY286" s="2595"/>
      <c r="AZ286" s="2595"/>
      <c r="BA286" s="42"/>
      <c r="BB286" s="42"/>
    </row>
    <row r="287" spans="1:54" s="3402" customFormat="1" ht="15.75" customHeight="1" thickBot="1">
      <c r="A287" s="1127"/>
      <c r="B287" s="1559">
        <v>30</v>
      </c>
      <c r="C287" s="1179"/>
      <c r="D287" s="2686" t="s">
        <v>3740</v>
      </c>
      <c r="E287" s="2686"/>
      <c r="F287" s="2686"/>
      <c r="G287" s="1179"/>
      <c r="H287" s="1179"/>
      <c r="I287" s="1179"/>
      <c r="J287" s="1179"/>
      <c r="K287" s="1179"/>
      <c r="L287" s="1179"/>
      <c r="M287" s="1179"/>
      <c r="N287" s="1179"/>
      <c r="O287" s="1179"/>
      <c r="P287" s="1179"/>
      <c r="Q287" s="1179"/>
      <c r="R287" s="1179"/>
      <c r="S287" s="1179"/>
      <c r="T287" s="1179"/>
      <c r="U287" s="1179"/>
      <c r="V287" s="1179"/>
      <c r="W287" s="1179"/>
      <c r="X287" s="1179"/>
      <c r="Y287" s="1179"/>
      <c r="Z287" s="1179"/>
      <c r="AA287" s="1179"/>
      <c r="AB287" s="7772">
        <v>0.25</v>
      </c>
      <c r="AC287" s="7773"/>
      <c r="AD287" s="1555"/>
      <c r="AE287" s="1179"/>
      <c r="AF287" s="1179"/>
      <c r="AG287" s="1179"/>
      <c r="AH287" s="1179"/>
      <c r="AI287" s="1179"/>
      <c r="AJ287" s="1179"/>
      <c r="AK287" s="1127"/>
      <c r="AL287" s="1127"/>
      <c r="AM287" s="1127"/>
      <c r="AN287" s="1179"/>
      <c r="AO287" s="1179"/>
      <c r="AP287" s="1179"/>
      <c r="AQ287" s="2595"/>
      <c r="AR287" s="2595"/>
      <c r="AS287" s="2595"/>
      <c r="AT287" s="2595"/>
      <c r="AU287" s="2595"/>
      <c r="AV287" s="2595"/>
      <c r="AW287" s="2595"/>
      <c r="AX287" s="2595"/>
      <c r="AY287" s="2595"/>
      <c r="AZ287" s="2595"/>
      <c r="BA287" s="42"/>
      <c r="BB287" s="42"/>
    </row>
    <row r="288" spans="1:54" s="3402" customFormat="1" ht="15.75" thickBot="1">
      <c r="A288" s="1127"/>
      <c r="B288" s="1179"/>
      <c r="C288" s="1179"/>
      <c r="D288" s="2686" t="s">
        <v>3741</v>
      </c>
      <c r="E288" s="2686"/>
      <c r="F288" s="2686"/>
      <c r="G288" s="1179"/>
      <c r="H288" s="1179"/>
      <c r="I288" s="1179"/>
      <c r="J288" s="1179"/>
      <c r="K288" s="1179"/>
      <c r="L288" s="1179"/>
      <c r="M288" s="1179"/>
      <c r="N288" s="1179"/>
      <c r="O288" s="1179"/>
      <c r="P288" s="1179"/>
      <c r="Q288" s="1179"/>
      <c r="R288" s="1179"/>
      <c r="S288" s="1179"/>
      <c r="T288" s="1179"/>
      <c r="U288" s="1179"/>
      <c r="V288" s="1179"/>
      <c r="W288" s="1179"/>
      <c r="X288" s="1179"/>
      <c r="Y288" s="1179"/>
      <c r="Z288" s="1179"/>
      <c r="AA288" s="1179"/>
      <c r="AB288" s="1179"/>
      <c r="AC288" s="1560" t="s">
        <v>1784</v>
      </c>
      <c r="AD288" s="2214">
        <v>30</v>
      </c>
      <c r="AE288" s="9480" t="str">
        <f>IF(AO288&lt;&gt;"",ROUND(AO288,0),IF(OR(NOT(AH283),AE284=0,AE284="",AY278=""),"",IF(OR(AE285=0,AE285=""),AE284,SUM(AE286,AO286))))</f>
        <v/>
      </c>
      <c r="AF288" s="9481"/>
      <c r="AG288" s="9481"/>
      <c r="AH288" s="9481"/>
      <c r="AI288" s="9481"/>
      <c r="AJ288" s="9481"/>
      <c r="AK288" s="1127"/>
      <c r="AL288" s="1127"/>
      <c r="AM288" s="1127"/>
      <c r="AN288" s="1179"/>
      <c r="AO288" s="4377"/>
      <c r="AP288" s="1179"/>
      <c r="AQ288" s="2595"/>
      <c r="AR288" s="2595"/>
      <c r="AS288" s="2595"/>
      <c r="AT288" s="2595"/>
      <c r="AU288" s="2595"/>
      <c r="AV288" s="2595"/>
      <c r="AW288" s="2595"/>
      <c r="AX288" s="2595"/>
      <c r="AY288" s="2595"/>
      <c r="AZ288" s="2595"/>
      <c r="BA288" s="42"/>
      <c r="BB288" s="42"/>
    </row>
    <row r="289" spans="1:54" s="3402" customFormat="1" ht="16.5" customHeight="1">
      <c r="A289" s="1127"/>
      <c r="B289" s="1565"/>
      <c r="C289" s="4749" t="s">
        <v>3742</v>
      </c>
      <c r="D289" s="1554"/>
      <c r="E289" s="1554"/>
      <c r="F289" s="1554"/>
      <c r="G289" s="1554"/>
      <c r="H289" s="1554"/>
      <c r="I289" s="1554"/>
      <c r="J289" s="1554"/>
      <c r="K289" s="1554"/>
      <c r="L289" s="1554"/>
      <c r="M289" s="1554"/>
      <c r="N289" s="1554"/>
      <c r="O289" s="1554"/>
      <c r="P289" s="1554"/>
      <c r="Q289" s="1554"/>
      <c r="R289" s="1554"/>
      <c r="S289" s="1554"/>
      <c r="T289" s="1554"/>
      <c r="U289" s="1554"/>
      <c r="V289" s="1554"/>
      <c r="W289" s="1554"/>
      <c r="X289" s="1554"/>
      <c r="Y289" s="1554"/>
      <c r="Z289" s="1554"/>
      <c r="AA289" s="1554"/>
      <c r="AB289" s="1554"/>
      <c r="AC289" s="1554"/>
      <c r="AD289" s="1554"/>
      <c r="AE289" s="1554"/>
      <c r="AF289" s="1554"/>
      <c r="AG289" s="1554"/>
      <c r="AH289" s="1554"/>
      <c r="AI289" s="1554"/>
      <c r="AJ289" s="1554"/>
      <c r="AK289" s="1127"/>
      <c r="AL289" s="1127"/>
      <c r="AM289" s="1127"/>
      <c r="AN289" s="1179"/>
      <c r="AO289" s="1179"/>
      <c r="AP289" s="1179"/>
      <c r="AQ289" s="2595"/>
      <c r="AR289" s="2595"/>
      <c r="AS289" s="2595"/>
      <c r="AT289" s="2595"/>
      <c r="AU289" s="2595"/>
      <c r="AV289" s="2595"/>
      <c r="AW289" s="2595"/>
      <c r="AX289" s="2595"/>
      <c r="AY289" s="2595"/>
      <c r="AZ289" s="2595"/>
      <c r="BA289" s="42"/>
      <c r="BB289" s="42"/>
    </row>
    <row r="290" spans="1:54" s="3402" customFormat="1" ht="15.75" customHeight="1" thickBot="1">
      <c r="A290" s="1127"/>
      <c r="B290" s="1559">
        <v>31</v>
      </c>
      <c r="C290" s="1179"/>
      <c r="D290" s="2686" t="s">
        <v>3762</v>
      </c>
      <c r="E290" s="2686"/>
      <c r="F290" s="2686"/>
      <c r="G290" s="1179"/>
      <c r="H290" s="1179"/>
      <c r="I290" s="1179"/>
      <c r="J290" s="1179"/>
      <c r="K290" s="1179"/>
      <c r="L290" s="1179"/>
      <c r="M290" s="1179"/>
      <c r="N290" s="1179"/>
      <c r="O290" s="1179"/>
      <c r="P290" s="1179"/>
      <c r="Q290" s="1179"/>
      <c r="R290" s="1179"/>
      <c r="S290" s="1179"/>
      <c r="T290" s="1179"/>
      <c r="U290" s="1179"/>
      <c r="V290" s="1179"/>
      <c r="W290" s="1179"/>
      <c r="X290" s="1179"/>
      <c r="Y290" s="1179"/>
      <c r="Z290" s="1179"/>
      <c r="AA290" s="1179"/>
      <c r="AB290" s="1179"/>
      <c r="AC290" s="1179"/>
      <c r="AD290" s="1555"/>
      <c r="AE290" s="1179"/>
      <c r="AF290" s="1179"/>
      <c r="AG290" s="1179"/>
      <c r="AH290" s="1179"/>
      <c r="AI290" s="1179"/>
      <c r="AJ290" s="1179"/>
      <c r="AK290" s="1127"/>
      <c r="AL290" s="1127"/>
      <c r="AM290" s="1127"/>
      <c r="AN290" s="1179"/>
      <c r="AO290" s="1179"/>
      <c r="AP290" s="1179"/>
      <c r="AQ290" s="2595"/>
      <c r="AR290" s="2595"/>
      <c r="AS290" s="2595"/>
      <c r="AT290" s="2595"/>
      <c r="AU290" s="2595"/>
      <c r="AV290" s="2595"/>
      <c r="AW290" s="2595"/>
      <c r="AX290" s="2595"/>
      <c r="AY290" s="2595"/>
      <c r="AZ290" s="2595"/>
      <c r="BA290" s="42"/>
      <c r="BB290" s="42"/>
    </row>
    <row r="291" spans="1:54" s="3402" customFormat="1" ht="15.75" thickBot="1">
      <c r="A291" s="1127"/>
      <c r="B291" s="1280"/>
      <c r="C291" s="1280"/>
      <c r="D291" s="2704" t="s">
        <v>3763</v>
      </c>
      <c r="E291" s="2704"/>
      <c r="F291" s="2704"/>
      <c r="G291" s="1280"/>
      <c r="H291" s="1280"/>
      <c r="I291" s="1280"/>
      <c r="J291" s="1280"/>
      <c r="K291" s="1280"/>
      <c r="L291" s="1280"/>
      <c r="M291" s="1280"/>
      <c r="N291" s="1280"/>
      <c r="O291" s="1280"/>
      <c r="P291" s="1280"/>
      <c r="Q291" s="1280"/>
      <c r="R291" s="1280"/>
      <c r="S291" s="1280"/>
      <c r="T291" s="1280"/>
      <c r="U291" s="1280"/>
      <c r="V291" s="1280"/>
      <c r="W291" s="1280"/>
      <c r="X291" s="1280"/>
      <c r="Y291" s="1280"/>
      <c r="Z291" s="1280"/>
      <c r="AA291" s="1280"/>
      <c r="AB291" s="1280"/>
      <c r="AC291" s="3307" t="s">
        <v>3766</v>
      </c>
      <c r="AD291" s="4372">
        <v>31</v>
      </c>
      <c r="AE291" s="9119" t="str">
        <f>IF(AO291&lt;&gt;"",ROUND(AO291,0),IF(OR(AH283,AY278=""),"",AY278))</f>
        <v/>
      </c>
      <c r="AF291" s="9482"/>
      <c r="AG291" s="9482"/>
      <c r="AH291" s="9482"/>
      <c r="AI291" s="9482"/>
      <c r="AJ291" s="9482"/>
      <c r="AK291" s="1127"/>
      <c r="AL291" s="1127"/>
      <c r="AM291" s="1127"/>
      <c r="AN291" s="1179"/>
      <c r="AO291" s="4377"/>
      <c r="AP291" s="1179"/>
      <c r="AQ291" s="2595"/>
      <c r="AR291" s="2595"/>
      <c r="AS291" s="2595"/>
      <c r="AT291" s="2595"/>
      <c r="AU291" s="2595"/>
      <c r="AV291" s="2595"/>
      <c r="AW291" s="2595"/>
      <c r="AX291" s="2595"/>
      <c r="AY291" s="2595"/>
      <c r="AZ291" s="2595"/>
      <c r="BA291" s="42"/>
      <c r="BB291" s="42"/>
    </row>
    <row r="292" spans="1:54" s="3402" customFormat="1" ht="15.75">
      <c r="A292" s="1127"/>
      <c r="B292" s="1709"/>
      <c r="C292" s="70"/>
      <c r="D292" s="70"/>
      <c r="E292" s="70"/>
      <c r="F292" s="70"/>
      <c r="G292" s="70"/>
      <c r="H292" s="70"/>
      <c r="I292" s="70"/>
      <c r="J292" s="70"/>
      <c r="K292" s="70"/>
      <c r="L292" s="70"/>
      <c r="M292" s="70"/>
      <c r="N292" s="70"/>
      <c r="O292" s="70"/>
      <c r="P292" s="70"/>
      <c r="Q292" s="23"/>
      <c r="R292" s="23"/>
      <c r="S292" s="23"/>
      <c r="T292" s="23"/>
      <c r="U292" s="501"/>
      <c r="V292" s="23"/>
      <c r="W292" s="501"/>
      <c r="X292" s="23"/>
      <c r="Y292" s="23"/>
      <c r="Z292" s="23"/>
      <c r="AA292" s="23"/>
      <c r="AB292" s="23"/>
      <c r="AC292" s="23"/>
      <c r="AD292" s="23"/>
      <c r="AE292" s="23"/>
      <c r="AF292" s="23"/>
      <c r="AG292" s="23"/>
      <c r="AH292" s="1035" t="s">
        <v>3708</v>
      </c>
      <c r="AI292" s="23"/>
      <c r="AJ292" s="1035" t="str">
        <f>"("&amp;TaxYear&amp;")"</f>
        <v>(2021)</v>
      </c>
      <c r="AK292" s="1127"/>
      <c r="AL292" s="1127"/>
      <c r="AM292" s="1127"/>
      <c r="AN292" s="1927"/>
      <c r="AO292" s="1927"/>
      <c r="AP292" s="1179"/>
      <c r="AQ292" s="2595"/>
      <c r="AR292" s="2595"/>
      <c r="AS292" s="2595"/>
      <c r="AT292" s="2595"/>
      <c r="AU292" s="2595"/>
      <c r="AV292" s="2595"/>
      <c r="AW292" s="2595"/>
      <c r="AX292" s="2595"/>
      <c r="AY292" s="2595"/>
      <c r="AZ292" s="2595"/>
      <c r="BA292" s="42"/>
      <c r="BB292" s="42"/>
    </row>
    <row r="293" spans="1:54">
      <c r="A293" s="1927"/>
      <c r="B293" s="1927"/>
      <c r="C293" s="1927"/>
      <c r="D293" s="1927"/>
      <c r="E293" s="1927"/>
      <c r="F293" s="1927"/>
      <c r="G293" s="1927"/>
      <c r="H293" s="1927"/>
      <c r="I293" s="1927"/>
      <c r="J293" s="1927"/>
      <c r="K293" s="1927"/>
      <c r="L293" s="1927"/>
      <c r="M293" s="1927"/>
      <c r="N293" s="1927"/>
      <c r="O293" s="1927"/>
      <c r="P293" s="1927"/>
      <c r="Q293" s="1927"/>
      <c r="R293" s="1927"/>
      <c r="S293" s="1927"/>
      <c r="T293" s="1927"/>
      <c r="U293" s="1927"/>
      <c r="V293" s="1927"/>
      <c r="W293" s="1927"/>
      <c r="X293" s="1927"/>
      <c r="Y293" s="1927"/>
      <c r="Z293" s="1927"/>
      <c r="AA293" s="1927"/>
      <c r="AB293" s="1927"/>
      <c r="AC293" s="1927"/>
      <c r="AD293" s="1927"/>
      <c r="AE293" s="1927"/>
      <c r="AF293" s="1927"/>
      <c r="AG293" s="1927"/>
      <c r="AH293" s="1927"/>
      <c r="AI293" s="1927"/>
      <c r="AJ293" s="1927"/>
      <c r="AK293" s="1927"/>
      <c r="AL293" s="1927"/>
      <c r="AM293" s="1927"/>
      <c r="AN293" s="1927"/>
      <c r="AO293" s="1927"/>
      <c r="AP293" s="1179"/>
    </row>
  </sheetData>
  <sheetProtection password="F07E" sheet="1" objects="1" scenarios="1"/>
  <mergeCells count="152">
    <mergeCell ref="AN104:AP106"/>
    <mergeCell ref="AB287:AC287"/>
    <mergeCell ref="AE288:AJ288"/>
    <mergeCell ref="AE291:AJ291"/>
    <mergeCell ref="AB283:AC283"/>
    <mergeCell ref="AH283:AJ283"/>
    <mergeCell ref="AE284:AJ284"/>
    <mergeCell ref="AE285:AJ285"/>
    <mergeCell ref="AE286:AJ286"/>
    <mergeCell ref="AE232:AJ232"/>
    <mergeCell ref="AC235:AJ235"/>
    <mergeCell ref="B236:AB236"/>
    <mergeCell ref="AC236:AJ236"/>
    <mergeCell ref="B242:C242"/>
    <mergeCell ref="E253:N255"/>
    <mergeCell ref="V253:AE255"/>
    <mergeCell ref="E256:N258"/>
    <mergeCell ref="V256:AE258"/>
    <mergeCell ref="E259:S261"/>
    <mergeCell ref="V259:AJ261"/>
    <mergeCell ref="D244:S245"/>
    <mergeCell ref="U245:AJ245"/>
    <mergeCell ref="D248:S248"/>
    <mergeCell ref="T248:AJ248"/>
    <mergeCell ref="T252:AJ252"/>
    <mergeCell ref="D189:S189"/>
    <mergeCell ref="T189:AJ189"/>
    <mergeCell ref="T193:AJ193"/>
    <mergeCell ref="E194:N196"/>
    <mergeCell ref="V194:AE196"/>
    <mergeCell ref="AC176:AJ176"/>
    <mergeCell ref="B177:AB177"/>
    <mergeCell ref="AC177:AJ177"/>
    <mergeCell ref="B183:C183"/>
    <mergeCell ref="D185:S186"/>
    <mergeCell ref="U186:AJ186"/>
    <mergeCell ref="AE225:AJ225"/>
    <mergeCell ref="AE226:AJ226"/>
    <mergeCell ref="AE227:AJ227"/>
    <mergeCell ref="AB228:AC228"/>
    <mergeCell ref="AE229:AJ229"/>
    <mergeCell ref="E197:N199"/>
    <mergeCell ref="V197:AE199"/>
    <mergeCell ref="E200:S202"/>
    <mergeCell ref="V200:AJ202"/>
    <mergeCell ref="AB224:AC224"/>
    <mergeCell ref="AH224:AJ224"/>
    <mergeCell ref="AE167:AJ167"/>
    <mergeCell ref="AE168:AJ168"/>
    <mergeCell ref="AB169:AC169"/>
    <mergeCell ref="AE170:AJ170"/>
    <mergeCell ref="AE173:AJ173"/>
    <mergeCell ref="E141:S143"/>
    <mergeCell ref="V141:AJ143"/>
    <mergeCell ref="AB165:AC165"/>
    <mergeCell ref="AH165:AJ165"/>
    <mergeCell ref="AE166:AJ166"/>
    <mergeCell ref="T134:AJ134"/>
    <mergeCell ref="E135:N137"/>
    <mergeCell ref="V135:AE137"/>
    <mergeCell ref="E138:N140"/>
    <mergeCell ref="V138:AE140"/>
    <mergeCell ref="B124:C124"/>
    <mergeCell ref="D126:S127"/>
    <mergeCell ref="U127:AJ127"/>
    <mergeCell ref="D130:S130"/>
    <mergeCell ref="T130:AJ130"/>
    <mergeCell ref="AC117:AJ117"/>
    <mergeCell ref="B118:AB118"/>
    <mergeCell ref="AC118:AJ118"/>
    <mergeCell ref="AB110:AC110"/>
    <mergeCell ref="AB106:AC106"/>
    <mergeCell ref="B65:C65"/>
    <mergeCell ref="AH106:AJ106"/>
    <mergeCell ref="AB40:AC40"/>
    <mergeCell ref="Z40:AA40"/>
    <mergeCell ref="E79:N81"/>
    <mergeCell ref="E82:S84"/>
    <mergeCell ref="E76:N78"/>
    <mergeCell ref="D71:S71"/>
    <mergeCell ref="D67:S68"/>
    <mergeCell ref="X44:AC44"/>
    <mergeCell ref="X46:AC46"/>
    <mergeCell ref="X48:AC48"/>
    <mergeCell ref="U68:AJ68"/>
    <mergeCell ref="T71:AJ71"/>
    <mergeCell ref="X45:AC45"/>
    <mergeCell ref="AE107:AJ107"/>
    <mergeCell ref="AE108:AJ108"/>
    <mergeCell ref="AE109:AJ109"/>
    <mergeCell ref="D75:S75"/>
    <mergeCell ref="AE32:AJ32"/>
    <mergeCell ref="AE40:AJ40"/>
    <mergeCell ref="AE31:AJ31"/>
    <mergeCell ref="AE35:AJ35"/>
    <mergeCell ref="AE37:AJ37"/>
    <mergeCell ref="AC58:AJ58"/>
    <mergeCell ref="AC59:AJ59"/>
    <mergeCell ref="B59:AB59"/>
    <mergeCell ref="B34:C34"/>
    <mergeCell ref="AE36:AJ36"/>
    <mergeCell ref="AE38:AJ38"/>
    <mergeCell ref="AE39:AJ39"/>
    <mergeCell ref="AE41:AJ41"/>
    <mergeCell ref="AQ45:AY45"/>
    <mergeCell ref="D2:G3"/>
    <mergeCell ref="AC2:AJ2"/>
    <mergeCell ref="B3:C3"/>
    <mergeCell ref="AC3:AJ4"/>
    <mergeCell ref="I5:AB5"/>
    <mergeCell ref="AD5:AG5"/>
    <mergeCell ref="AH5:AI6"/>
    <mergeCell ref="X16:AC16"/>
    <mergeCell ref="I6:AB6"/>
    <mergeCell ref="AD6:AG6"/>
    <mergeCell ref="B8:X9"/>
    <mergeCell ref="Y8:AJ9"/>
    <mergeCell ref="AN38:AN41"/>
    <mergeCell ref="B12:C12"/>
    <mergeCell ref="AN9:AN12"/>
    <mergeCell ref="AO8:AO10"/>
    <mergeCell ref="AO37:AO39"/>
    <mergeCell ref="I2:AB3"/>
    <mergeCell ref="X19:AC19"/>
    <mergeCell ref="X21:AC21"/>
    <mergeCell ref="X24:AC24"/>
    <mergeCell ref="X15:AC15"/>
    <mergeCell ref="X20:AC20"/>
    <mergeCell ref="AH12:AJ12"/>
    <mergeCell ref="D134:S134"/>
    <mergeCell ref="D193:S193"/>
    <mergeCell ref="D252:S252"/>
    <mergeCell ref="AE30:AJ30"/>
    <mergeCell ref="AE53:AJ53"/>
    <mergeCell ref="X41:AC41"/>
    <mergeCell ref="AE27:AJ27"/>
    <mergeCell ref="AE111:AJ111"/>
    <mergeCell ref="AE114:AJ114"/>
    <mergeCell ref="T75:AJ75"/>
    <mergeCell ref="V79:AE81"/>
    <mergeCell ref="V82:AJ84"/>
    <mergeCell ref="V76:AE78"/>
    <mergeCell ref="AE52:AJ52"/>
    <mergeCell ref="AE55:AJ55"/>
    <mergeCell ref="AE14:AJ14"/>
    <mergeCell ref="AE33:AJ33"/>
    <mergeCell ref="AE15:AJ15"/>
    <mergeCell ref="AE16:AJ16"/>
    <mergeCell ref="AE23:AJ23"/>
    <mergeCell ref="AE24:AJ24"/>
    <mergeCell ref="AE21:AJ21"/>
    <mergeCell ref="AE20:AJ20"/>
  </mergeCells>
  <conditionalFormatting sqref="B60">
    <cfRule type="expression" dxfId="581" priority="534">
      <formula>IF(AND(File_Marr_Sep&lt;&gt;"",$AI$10=""),1,0)</formula>
    </cfRule>
  </conditionalFormatting>
  <conditionalFormatting sqref="B102">
    <cfRule type="expression" dxfId="580" priority="512">
      <formula>IF(AND(File_Marr_Sep&lt;&gt;"",$AI$10=""),1,0)</formula>
    </cfRule>
  </conditionalFormatting>
  <conditionalFormatting sqref="B119">
    <cfRule type="expression" dxfId="579" priority="416">
      <formula>IF(AND(File_Marr_Sep&lt;&gt;"",$AI$10=""),1,0)</formula>
    </cfRule>
  </conditionalFormatting>
  <conditionalFormatting sqref="B161">
    <cfRule type="expression" dxfId="578" priority="404">
      <formula>IF(AND(File_Marr_Sep&lt;&gt;"",$AI$10=""),1,0)</formula>
    </cfRule>
  </conditionalFormatting>
  <conditionalFormatting sqref="B178">
    <cfRule type="expression" dxfId="577" priority="337">
      <formula>IF(AND(File_Marr_Sep&lt;&gt;"",$AI$10=""),1,0)</formula>
    </cfRule>
  </conditionalFormatting>
  <conditionalFormatting sqref="B220">
    <cfRule type="expression" dxfId="576" priority="325">
      <formula>IF(AND(File_Marr_Sep&lt;&gt;"",$AI$10=""),1,0)</formula>
    </cfRule>
  </conditionalFormatting>
  <conditionalFormatting sqref="B237">
    <cfRule type="expression" dxfId="575" priority="258">
      <formula>IF(AND(File_Marr_Sep&lt;&gt;"",$AI$10=""),1,0)</formula>
    </cfRule>
  </conditionalFormatting>
  <conditionalFormatting sqref="B279">
    <cfRule type="expression" dxfId="574" priority="246">
      <formula>IF(AND(File_Marr_Sep&lt;&gt;"",$AI$10=""),1,0)</formula>
    </cfRule>
  </conditionalFormatting>
  <conditionalFormatting sqref="B10:C11 E10:AH11">
    <cfRule type="expression" dxfId="573" priority="619">
      <formula>IF(AND(File_Marr_Sep&lt;&gt;"",$AI$10=""),1,0)</formula>
    </cfRule>
  </conditionalFormatting>
  <conditionalFormatting sqref="B162:D163 B164:AJ164 B221:D222 B223:AJ223 B280:D281 B282:AJ282">
    <cfRule type="expression" dxfId="572" priority="472">
      <formula>$AO$103</formula>
    </cfRule>
  </conditionalFormatting>
  <conditionalFormatting sqref="B8:K8">
    <cfRule type="expression" dxfId="571" priority="693">
      <formula>IF(NoColor,1,0)</formula>
    </cfRule>
  </conditionalFormatting>
  <conditionalFormatting sqref="B59:AJ59 D75">
    <cfRule type="expression" dxfId="570" priority="535">
      <formula>NoColor</formula>
    </cfRule>
  </conditionalFormatting>
  <conditionalFormatting sqref="B102:AJ105">
    <cfRule type="expression" dxfId="569" priority="424">
      <formula>$AO$103</formula>
    </cfRule>
  </conditionalFormatting>
  <conditionalFormatting sqref="B118:AJ118">
    <cfRule type="expression" dxfId="568" priority="417">
      <formula>NoColor</formula>
    </cfRule>
  </conditionalFormatting>
  <conditionalFormatting sqref="B161:AJ161">
    <cfRule type="expression" dxfId="567" priority="391">
      <formula>$AO$103</formula>
    </cfRule>
  </conditionalFormatting>
  <conditionalFormatting sqref="B177:AJ177">
    <cfRule type="expression" dxfId="566" priority="338">
      <formula>NoColor</formula>
    </cfRule>
  </conditionalFormatting>
  <conditionalFormatting sqref="B220:AJ220">
    <cfRule type="expression" dxfId="565" priority="312">
      <formula>$AO$103</formula>
    </cfRule>
  </conditionalFormatting>
  <conditionalFormatting sqref="B236:AJ236">
    <cfRule type="expression" dxfId="564" priority="259">
      <formula>NoColor</formula>
    </cfRule>
  </conditionalFormatting>
  <conditionalFormatting sqref="B279:AJ279">
    <cfRule type="expression" dxfId="563" priority="233">
      <formula>$AO$103</formula>
    </cfRule>
  </conditionalFormatting>
  <conditionalFormatting sqref="D21">
    <cfRule type="expression" dxfId="562" priority="491">
      <formula>X20</formula>
    </cfRule>
  </conditionalFormatting>
  <conditionalFormatting sqref="D60">
    <cfRule type="expression" dxfId="561" priority="499">
      <formula>IF(AND(File_Marr_Sep&lt;&gt;"",$AI$10=""),1,0)</formula>
    </cfRule>
  </conditionalFormatting>
  <conditionalFormatting sqref="D67">
    <cfRule type="expression" dxfId="560" priority="667">
      <formula>IF(NoColor,1,0)</formula>
    </cfRule>
  </conditionalFormatting>
  <conditionalFormatting sqref="D71">
    <cfRule type="expression" dxfId="559" priority="517">
      <formula>IF(NoColor,1,0)</formula>
    </cfRule>
  </conditionalFormatting>
  <conditionalFormatting sqref="D119">
    <cfRule type="expression" dxfId="558" priority="395">
      <formula>IF(AND(File_Marr_Sep&lt;&gt;"",$AI$10=""),1,0)</formula>
    </cfRule>
  </conditionalFormatting>
  <conditionalFormatting sqref="D126">
    <cfRule type="expression" dxfId="557" priority="58">
      <formula>IF(NoColor,1,0)</formula>
    </cfRule>
  </conditionalFormatting>
  <conditionalFormatting sqref="D130">
    <cfRule type="expression" dxfId="556" priority="19">
      <formula>IF(NoColor,1,0)</formula>
    </cfRule>
  </conditionalFormatting>
  <conditionalFormatting sqref="D134">
    <cfRule type="expression" dxfId="555" priority="20">
      <formula>NoColor</formula>
    </cfRule>
  </conditionalFormatting>
  <conditionalFormatting sqref="D178">
    <cfRule type="expression" dxfId="554" priority="316">
      <formula>IF(AND(File_Marr_Sep&lt;&gt;"",$AI$10=""),1,0)</formula>
    </cfRule>
  </conditionalFormatting>
  <conditionalFormatting sqref="D185">
    <cfRule type="expression" dxfId="553" priority="46">
      <formula>IF(NoColor,1,0)</formula>
    </cfRule>
  </conditionalFormatting>
  <conditionalFormatting sqref="D189">
    <cfRule type="expression" dxfId="552" priority="15">
      <formula>IF(NoColor,1,0)</formula>
    </cfRule>
  </conditionalFormatting>
  <conditionalFormatting sqref="D193">
    <cfRule type="expression" dxfId="551" priority="16">
      <formula>NoColor</formula>
    </cfRule>
  </conditionalFormatting>
  <conditionalFormatting sqref="D237">
    <cfRule type="expression" dxfId="550" priority="237">
      <formula>IF(AND(File_Marr_Sep&lt;&gt;"",$AI$10=""),1,0)</formula>
    </cfRule>
  </conditionalFormatting>
  <conditionalFormatting sqref="D244">
    <cfRule type="expression" dxfId="549" priority="34">
      <formula>IF(NoColor,1,0)</formula>
    </cfRule>
  </conditionalFormatting>
  <conditionalFormatting sqref="D248">
    <cfRule type="expression" dxfId="548" priority="11">
      <formula>IF(NoColor,1,0)</formula>
    </cfRule>
  </conditionalFormatting>
  <conditionalFormatting sqref="D252">
    <cfRule type="expression" dxfId="547" priority="12">
      <formula>NoColor</formula>
    </cfRule>
  </conditionalFormatting>
  <conditionalFormatting sqref="E162:E163">
    <cfRule type="expression" dxfId="546" priority="167">
      <formula>AO162</formula>
    </cfRule>
  </conditionalFormatting>
  <conditionalFormatting sqref="E221:E222">
    <cfRule type="expression" dxfId="545" priority="161">
      <formula>AO221</formula>
    </cfRule>
  </conditionalFormatting>
  <conditionalFormatting sqref="E280:E281">
    <cfRule type="expression" dxfId="544" priority="155">
      <formula>AO280</formula>
    </cfRule>
  </conditionalFormatting>
  <conditionalFormatting sqref="E85:F85">
    <cfRule type="expression" dxfId="543" priority="459">
      <formula>NoColor</formula>
    </cfRule>
  </conditionalFormatting>
  <conditionalFormatting sqref="E144:F144">
    <cfRule type="expression" dxfId="542" priority="380">
      <formula>NoColor</formula>
    </cfRule>
  </conditionalFormatting>
  <conditionalFormatting sqref="E203:F203">
    <cfRule type="expression" dxfId="541" priority="301">
      <formula>NoColor</formula>
    </cfRule>
  </conditionalFormatting>
  <conditionalFormatting sqref="E262:F262">
    <cfRule type="expression" dxfId="540" priority="222">
      <formula>NoColor</formula>
    </cfRule>
  </conditionalFormatting>
  <conditionalFormatting sqref="F162:AJ163">
    <cfRule type="expression" dxfId="539" priority="168">
      <formula>$AO$103</formula>
    </cfRule>
  </conditionalFormatting>
  <conditionalFormatting sqref="F221:AJ222">
    <cfRule type="expression" dxfId="538" priority="162">
      <formula>$AO$103</formula>
    </cfRule>
  </conditionalFormatting>
  <conditionalFormatting sqref="F280:AJ281">
    <cfRule type="expression" dxfId="537" priority="156">
      <formula>$AO$103</formula>
    </cfRule>
  </conditionalFormatting>
  <conditionalFormatting sqref="H85:N85">
    <cfRule type="expression" dxfId="536" priority="452">
      <formula>NoColor</formula>
    </cfRule>
  </conditionalFormatting>
  <conditionalFormatting sqref="H144:N144">
    <cfRule type="expression" dxfId="535" priority="373">
      <formula>NoColor</formula>
    </cfRule>
  </conditionalFormatting>
  <conditionalFormatting sqref="H203:N203">
    <cfRule type="expression" dxfId="534" priority="294">
      <formula>NoColor</formula>
    </cfRule>
  </conditionalFormatting>
  <conditionalFormatting sqref="H262:N262">
    <cfRule type="expression" dxfId="533" priority="215">
      <formula>NoColor</formula>
    </cfRule>
  </conditionalFormatting>
  <conditionalFormatting sqref="M16:R16">
    <cfRule type="expression" dxfId="532" priority="684">
      <formula>IF(NoColor,1,0)</formula>
    </cfRule>
  </conditionalFormatting>
  <conditionalFormatting sqref="N20">
    <cfRule type="expression" dxfId="531" priority="492">
      <formula>X20</formula>
    </cfRule>
  </conditionalFormatting>
  <conditionalFormatting sqref="O77">
    <cfRule type="expression" dxfId="530" priority="468">
      <formula>NoColor</formula>
    </cfRule>
  </conditionalFormatting>
  <conditionalFormatting sqref="O80">
    <cfRule type="expression" dxfId="529" priority="466">
      <formula>NoColor</formula>
    </cfRule>
  </conditionalFormatting>
  <conditionalFormatting sqref="O136">
    <cfRule type="expression" dxfId="528" priority="389">
      <formula>NoColor</formula>
    </cfRule>
  </conditionalFormatting>
  <conditionalFormatting sqref="O139">
    <cfRule type="expression" dxfId="527" priority="387">
      <formula>NoColor</formula>
    </cfRule>
  </conditionalFormatting>
  <conditionalFormatting sqref="O195">
    <cfRule type="expression" dxfId="526" priority="310">
      <formula>NoColor</formula>
    </cfRule>
  </conditionalFormatting>
  <conditionalFormatting sqref="O198">
    <cfRule type="expression" dxfId="525" priority="308">
      <formula>NoColor</formula>
    </cfRule>
  </conditionalFormatting>
  <conditionalFormatting sqref="O254">
    <cfRule type="expression" dxfId="524" priority="231">
      <formula>NoColor</formula>
    </cfRule>
  </conditionalFormatting>
  <conditionalFormatting sqref="O257">
    <cfRule type="expression" dxfId="523" priority="229">
      <formula>NoColor</formula>
    </cfRule>
  </conditionalFormatting>
  <conditionalFormatting sqref="R77">
    <cfRule type="expression" dxfId="522" priority="467">
      <formula>NoColor</formula>
    </cfRule>
  </conditionalFormatting>
  <conditionalFormatting sqref="R80">
    <cfRule type="expression" dxfId="521" priority="465">
      <formula>NoColor</formula>
    </cfRule>
  </conditionalFormatting>
  <conditionalFormatting sqref="R107">
    <cfRule type="expression" dxfId="520" priority="475">
      <formula>AND($AH$106,$AB$106)</formula>
    </cfRule>
  </conditionalFormatting>
  <conditionalFormatting sqref="R136">
    <cfRule type="expression" dxfId="519" priority="388">
      <formula>NoColor</formula>
    </cfRule>
  </conditionalFormatting>
  <conditionalFormatting sqref="R139">
    <cfRule type="expression" dxfId="518" priority="386">
      <formula>NoColor</formula>
    </cfRule>
  </conditionalFormatting>
  <conditionalFormatting sqref="R166">
    <cfRule type="expression" dxfId="517" priority="394">
      <formula>AND($AH$106,$AB$106)</formula>
    </cfRule>
  </conditionalFormatting>
  <conditionalFormatting sqref="R195">
    <cfRule type="expression" dxfId="516" priority="309">
      <formula>NoColor</formula>
    </cfRule>
  </conditionalFormatting>
  <conditionalFormatting sqref="R198">
    <cfRule type="expression" dxfId="515" priority="307">
      <formula>NoColor</formula>
    </cfRule>
  </conditionalFormatting>
  <conditionalFormatting sqref="R225">
    <cfRule type="expression" dxfId="514" priority="315">
      <formula>AND($AH$106,$AB$106)</formula>
    </cfRule>
  </conditionalFormatting>
  <conditionalFormatting sqref="R254">
    <cfRule type="expression" dxfId="513" priority="230">
      <formula>NoColor</formula>
    </cfRule>
  </conditionalFormatting>
  <conditionalFormatting sqref="R257">
    <cfRule type="expression" dxfId="512" priority="228">
      <formula>NoColor</formula>
    </cfRule>
  </conditionalFormatting>
  <conditionalFormatting sqref="R284">
    <cfRule type="expression" dxfId="511" priority="236">
      <formula>AND($AH$106,$AB$106)</formula>
    </cfRule>
  </conditionalFormatting>
  <conditionalFormatting sqref="T75">
    <cfRule type="expression" dxfId="510" priority="515">
      <formula>IF(NoColor,1,0)</formula>
    </cfRule>
  </conditionalFormatting>
  <conditionalFormatting sqref="T88">
    <cfRule type="expression" dxfId="509" priority="441">
      <formula>NoColor</formula>
    </cfRule>
  </conditionalFormatting>
  <conditionalFormatting sqref="T93">
    <cfRule type="expression" dxfId="508" priority="436">
      <formula>NoColor</formula>
    </cfRule>
  </conditionalFormatting>
  <conditionalFormatting sqref="T97">
    <cfRule type="expression" dxfId="507" priority="439">
      <formula>NoColor</formula>
    </cfRule>
  </conditionalFormatting>
  <conditionalFormatting sqref="T100">
    <cfRule type="expression" dxfId="506" priority="438">
      <formula>NoColor</formula>
    </cfRule>
  </conditionalFormatting>
  <conditionalFormatting sqref="T134">
    <cfRule type="expression" dxfId="505" priority="5">
      <formula>IF(NoColor,1,0)</formula>
    </cfRule>
  </conditionalFormatting>
  <conditionalFormatting sqref="T147">
    <cfRule type="expression" dxfId="504" priority="362">
      <formula>NoColor</formula>
    </cfRule>
  </conditionalFormatting>
  <conditionalFormatting sqref="T152">
    <cfRule type="expression" dxfId="503" priority="357">
      <formula>NoColor</formula>
    </cfRule>
  </conditionalFormatting>
  <conditionalFormatting sqref="T156">
    <cfRule type="expression" dxfId="502" priority="360">
      <formula>NoColor</formula>
    </cfRule>
  </conditionalFormatting>
  <conditionalFormatting sqref="T159">
    <cfRule type="expression" dxfId="501" priority="359">
      <formula>NoColor</formula>
    </cfRule>
  </conditionalFormatting>
  <conditionalFormatting sqref="T193">
    <cfRule type="expression" dxfId="500" priority="4">
      <formula>IF(NoColor,1,0)</formula>
    </cfRule>
  </conditionalFormatting>
  <conditionalFormatting sqref="T206">
    <cfRule type="expression" dxfId="499" priority="283">
      <formula>NoColor</formula>
    </cfRule>
  </conditionalFormatting>
  <conditionalFormatting sqref="T211">
    <cfRule type="expression" dxfId="498" priority="278">
      <formula>NoColor</formula>
    </cfRule>
  </conditionalFormatting>
  <conditionalFormatting sqref="T215">
    <cfRule type="expression" dxfId="497" priority="281">
      <formula>NoColor</formula>
    </cfRule>
  </conditionalFormatting>
  <conditionalFormatting sqref="T218">
    <cfRule type="expression" dxfId="496" priority="280">
      <formula>NoColor</formula>
    </cfRule>
  </conditionalFormatting>
  <conditionalFormatting sqref="T252">
    <cfRule type="expression" dxfId="495" priority="3">
      <formula>IF(NoColor,1,0)</formula>
    </cfRule>
  </conditionalFormatting>
  <conditionalFormatting sqref="T265">
    <cfRule type="expression" dxfId="494" priority="204">
      <formula>NoColor</formula>
    </cfRule>
  </conditionalFormatting>
  <conditionalFormatting sqref="T270">
    <cfRule type="expression" dxfId="493" priority="199">
      <formula>NoColor</formula>
    </cfRule>
  </conditionalFormatting>
  <conditionalFormatting sqref="T274">
    <cfRule type="expression" dxfId="492" priority="202">
      <formula>NoColor</formula>
    </cfRule>
  </conditionalFormatting>
  <conditionalFormatting sqref="T277">
    <cfRule type="expression" dxfId="491" priority="201">
      <formula>NoColor</formula>
    </cfRule>
  </conditionalFormatting>
  <conditionalFormatting sqref="T68:U68">
    <cfRule type="expression" dxfId="490" priority="527">
      <formula>AND(NOT(NoColor),NoSSN)</formula>
    </cfRule>
    <cfRule type="expression" dxfId="489" priority="526">
      <formula>IF(NoColor,1,0)</formula>
    </cfRule>
  </conditionalFormatting>
  <conditionalFormatting sqref="T127:U127">
    <cfRule type="expression" dxfId="488" priority="54">
      <formula>AND(NOT(NoColor),NoSSN)</formula>
    </cfRule>
    <cfRule type="expression" dxfId="487" priority="53">
      <formula>IF(NoColor,1,0)</formula>
    </cfRule>
  </conditionalFormatting>
  <conditionalFormatting sqref="T186:U186">
    <cfRule type="expression" dxfId="486" priority="41">
      <formula>IF(NoColor,1,0)</formula>
    </cfRule>
    <cfRule type="expression" dxfId="485" priority="42">
      <formula>AND(NOT(NoColor),NoSSN)</formula>
    </cfRule>
  </conditionalFormatting>
  <conditionalFormatting sqref="T245:U245">
    <cfRule type="expression" dxfId="484" priority="29">
      <formula>IF(NoColor,1,0)</formula>
    </cfRule>
    <cfRule type="expression" dxfId="483" priority="30">
      <formula>AND(NOT(NoColor),NoSSN)</formula>
    </cfRule>
  </conditionalFormatting>
  <conditionalFormatting sqref="T71:AJ71">
    <cfRule type="expression" dxfId="482" priority="442">
      <formula>NoColor</formula>
    </cfRule>
  </conditionalFormatting>
  <conditionalFormatting sqref="T130:AJ130">
    <cfRule type="expression" dxfId="481" priority="8">
      <formula>NoColor</formula>
    </cfRule>
  </conditionalFormatting>
  <conditionalFormatting sqref="T189:AJ189">
    <cfRule type="expression" dxfId="480" priority="7">
      <formula>NoColor</formula>
    </cfRule>
  </conditionalFormatting>
  <conditionalFormatting sqref="T248:AJ248">
    <cfRule type="expression" dxfId="479" priority="6">
      <formula>NoColor</formula>
    </cfRule>
  </conditionalFormatting>
  <conditionalFormatting sqref="U68:AJ68">
    <cfRule type="expression" dxfId="478" priority="427">
      <formula>AND(NoColor,NoSSN)</formula>
    </cfRule>
  </conditionalFormatting>
  <conditionalFormatting sqref="U127:AJ127">
    <cfRule type="expression" dxfId="477" priority="47">
      <formula>AND(NoColor,NoSSN)</formula>
    </cfRule>
  </conditionalFormatting>
  <conditionalFormatting sqref="U186:AJ186">
    <cfRule type="expression" dxfId="476" priority="35">
      <formula>AND(NoColor,NoSSN)</formula>
    </cfRule>
  </conditionalFormatting>
  <conditionalFormatting sqref="U245:AJ245">
    <cfRule type="expression" dxfId="475" priority="23">
      <formula>AND(NoColor,NoSSN)</formula>
    </cfRule>
  </conditionalFormatting>
  <conditionalFormatting sqref="V85:W85">
    <cfRule type="expression" dxfId="474" priority="443">
      <formula>NoColor</formula>
    </cfRule>
  </conditionalFormatting>
  <conditionalFormatting sqref="V144:W144">
    <cfRule type="expression" dxfId="473" priority="364">
      <formula>NoColor</formula>
    </cfRule>
  </conditionalFormatting>
  <conditionalFormatting sqref="V203:W203">
    <cfRule type="expression" dxfId="472" priority="285">
      <formula>NoColor</formula>
    </cfRule>
  </conditionalFormatting>
  <conditionalFormatting sqref="V262:W262">
    <cfRule type="expression" dxfId="471" priority="206">
      <formula>NoColor</formula>
    </cfRule>
  </conditionalFormatting>
  <conditionalFormatting sqref="V67:Y67">
    <cfRule type="expression" dxfId="470" priority="665">
      <formula>IF(NoColor,1,0)</formula>
    </cfRule>
  </conditionalFormatting>
  <conditionalFormatting sqref="V126:Y126">
    <cfRule type="expression" dxfId="469" priority="57">
      <formula>IF(NoColor,1,0)</formula>
    </cfRule>
  </conditionalFormatting>
  <conditionalFormatting sqref="V185:Y185">
    <cfRule type="expression" dxfId="468" priority="45">
      <formula>IF(NoColor,1,0)</formula>
    </cfRule>
  </conditionalFormatting>
  <conditionalFormatting sqref="V244:Y244">
    <cfRule type="expression" dxfId="467" priority="33">
      <formula>IF(NoColor,1,0)</formula>
    </cfRule>
  </conditionalFormatting>
  <conditionalFormatting sqref="X16:AC16">
    <cfRule type="expression" dxfId="466" priority="587">
      <formula>IF(NoColor,1,0)</formula>
    </cfRule>
  </conditionalFormatting>
  <conditionalFormatting sqref="X19:AC19">
    <cfRule type="expression" dxfId="465" priority="497">
      <formula>IF(NoColor,1,0)</formula>
    </cfRule>
  </conditionalFormatting>
  <conditionalFormatting sqref="X21:AC21">
    <cfRule type="expression" dxfId="464" priority="495">
      <formula>IF(NoColor,1,0)</formula>
    </cfRule>
  </conditionalFormatting>
  <conditionalFormatting sqref="X24:AC24">
    <cfRule type="expression" dxfId="463" priority="493">
      <formula>IF(NoColor,1,0)</formula>
    </cfRule>
  </conditionalFormatting>
  <conditionalFormatting sqref="X41:AC41">
    <cfRule type="expression" dxfId="462" priority="562">
      <formula>IF(NoColor,1,0)</formula>
    </cfRule>
  </conditionalFormatting>
  <conditionalFormatting sqref="X44:AC44">
    <cfRule type="expression" dxfId="461" priority="552">
      <formula>IF(NoColor,1,0)</formula>
    </cfRule>
  </conditionalFormatting>
  <conditionalFormatting sqref="X46:AC46">
    <cfRule type="expression" dxfId="460" priority="481">
      <formula>IF(NoColor,1,0)</formula>
    </cfRule>
  </conditionalFormatting>
  <conditionalFormatting sqref="X48:AC48">
    <cfRule type="expression" dxfId="459" priority="548">
      <formula>IF(NoColor,1,0)</formula>
    </cfRule>
  </conditionalFormatting>
  <conditionalFormatting sqref="Y8">
    <cfRule type="expression" dxfId="458" priority="620">
      <formula>IF(NoColor,1,0)</formula>
    </cfRule>
  </conditionalFormatting>
  <conditionalFormatting sqref="Y85:AE85">
    <cfRule type="expression" dxfId="457" priority="445">
      <formula>NoColor</formula>
    </cfRule>
  </conditionalFormatting>
  <conditionalFormatting sqref="Y144:AE144">
    <cfRule type="expression" dxfId="456" priority="366">
      <formula>NoColor</formula>
    </cfRule>
  </conditionalFormatting>
  <conditionalFormatting sqref="Y203:AE203">
    <cfRule type="expression" dxfId="455" priority="287">
      <formula>NoColor</formula>
    </cfRule>
  </conditionalFormatting>
  <conditionalFormatting sqref="Y262:AE262">
    <cfRule type="expression" dxfId="454" priority="208">
      <formula>NoColor</formula>
    </cfRule>
  </conditionalFormatting>
  <conditionalFormatting sqref="AB31">
    <cfRule type="expression" dxfId="453" priority="471">
      <formula>NoColor</formula>
    </cfRule>
  </conditionalFormatting>
  <conditionalFormatting sqref="AC88">
    <cfRule type="expression" dxfId="452" priority="437">
      <formula>NoColor</formula>
    </cfRule>
  </conditionalFormatting>
  <conditionalFormatting sqref="AC93">
    <cfRule type="expression" dxfId="451" priority="440">
      <formula>NoColor</formula>
    </cfRule>
  </conditionalFormatting>
  <conditionalFormatting sqref="AC97">
    <cfRule type="expression" dxfId="450" priority="435">
      <formula>NoColor</formula>
    </cfRule>
  </conditionalFormatting>
  <conditionalFormatting sqref="AC100">
    <cfRule type="expression" dxfId="449" priority="434">
      <formula>NoColor</formula>
    </cfRule>
  </conditionalFormatting>
  <conditionalFormatting sqref="AC147">
    <cfRule type="expression" dxfId="448" priority="358">
      <formula>NoColor</formula>
    </cfRule>
  </conditionalFormatting>
  <conditionalFormatting sqref="AC152">
    <cfRule type="expression" dxfId="447" priority="361">
      <formula>NoColor</formula>
    </cfRule>
  </conditionalFormatting>
  <conditionalFormatting sqref="AC156">
    <cfRule type="expression" dxfId="446" priority="356">
      <formula>NoColor</formula>
    </cfRule>
  </conditionalFormatting>
  <conditionalFormatting sqref="AC159">
    <cfRule type="expression" dxfId="445" priority="355">
      <formula>NoColor</formula>
    </cfRule>
  </conditionalFormatting>
  <conditionalFormatting sqref="AC206">
    <cfRule type="expression" dxfId="444" priority="279">
      <formula>NoColor</formula>
    </cfRule>
  </conditionalFormatting>
  <conditionalFormatting sqref="AC211">
    <cfRule type="expression" dxfId="443" priority="282">
      <formula>NoColor</formula>
    </cfRule>
  </conditionalFormatting>
  <conditionalFormatting sqref="AC215">
    <cfRule type="expression" dxfId="442" priority="277">
      <formula>NoColor</formula>
    </cfRule>
  </conditionalFormatting>
  <conditionalFormatting sqref="AC218">
    <cfRule type="expression" dxfId="441" priority="276">
      <formula>NoColor</formula>
    </cfRule>
  </conditionalFormatting>
  <conditionalFormatting sqref="AC265">
    <cfRule type="expression" dxfId="440" priority="200">
      <formula>NoColor</formula>
    </cfRule>
  </conditionalFormatting>
  <conditionalFormatting sqref="AC270">
    <cfRule type="expression" dxfId="439" priority="203">
      <formula>NoColor</formula>
    </cfRule>
  </conditionalFormatting>
  <conditionalFormatting sqref="AC274">
    <cfRule type="expression" dxfId="438" priority="198">
      <formula>NoColor</formula>
    </cfRule>
  </conditionalFormatting>
  <conditionalFormatting sqref="AC277">
    <cfRule type="expression" dxfId="437" priority="197">
      <formula>NoColor</formula>
    </cfRule>
  </conditionalFormatting>
  <conditionalFormatting sqref="AC59:AJ59">
    <cfRule type="expression" dxfId="436" priority="537">
      <formula>NoSSN</formula>
    </cfRule>
  </conditionalFormatting>
  <conditionalFormatting sqref="AC118:AJ118">
    <cfRule type="expression" dxfId="435" priority="419">
      <formula>NoSSN</formula>
    </cfRule>
  </conditionalFormatting>
  <conditionalFormatting sqref="AC177:AJ177">
    <cfRule type="expression" dxfId="434" priority="340">
      <formula>NoSSN</formula>
    </cfRule>
  </conditionalFormatting>
  <conditionalFormatting sqref="AC236:AJ236">
    <cfRule type="expression" dxfId="433" priority="261">
      <formula>NoSSN</formula>
    </cfRule>
  </conditionalFormatting>
  <conditionalFormatting sqref="AE14:AJ14">
    <cfRule type="expression" dxfId="432" priority="487">
      <formula>IF(NoColor,1,0)</formula>
    </cfRule>
  </conditionalFormatting>
  <conditionalFormatting sqref="AE27:AJ27">
    <cfRule type="expression" dxfId="431" priority="566">
      <formula>IF(NoColor,1,0)</formula>
    </cfRule>
  </conditionalFormatting>
  <conditionalFormatting sqref="AE31:AJ31">
    <cfRule type="expression" dxfId="430" priority="485">
      <formula>IF(NoColor,1,0)</formula>
    </cfRule>
  </conditionalFormatting>
  <conditionalFormatting sqref="AE33:AJ33">
    <cfRule type="expression" dxfId="429" priority="688">
      <formula>IF(NoColor,1,0)</formula>
    </cfRule>
  </conditionalFormatting>
  <conditionalFormatting sqref="AE35:AJ35">
    <cfRule type="expression" dxfId="428" priority="560">
      <formula>IF(NoColor,1,0)</formula>
    </cfRule>
  </conditionalFormatting>
  <conditionalFormatting sqref="AE37:AJ39">
    <cfRule type="expression" dxfId="427" priority="483">
      <formula>IF(NoColor,1,0)</formula>
    </cfRule>
  </conditionalFormatting>
  <conditionalFormatting sqref="AE52:AJ53">
    <cfRule type="expression" dxfId="426" priority="477">
      <formula>IF(NoColor,1,0)</formula>
    </cfRule>
  </conditionalFormatting>
  <conditionalFormatting sqref="AE55:AJ55">
    <cfRule type="expression" dxfId="425" priority="542">
      <formula>IF(NoColor,1,0)</formula>
    </cfRule>
  </conditionalFormatting>
  <conditionalFormatting sqref="AE107:AJ109">
    <cfRule type="expression" dxfId="424" priority="504">
      <formula>IF(NoColor,1,0)</formula>
    </cfRule>
  </conditionalFormatting>
  <conditionalFormatting sqref="AE111:AJ111">
    <cfRule type="expression" dxfId="423" priority="77">
      <formula>IF(NoColor,1,0)</formula>
    </cfRule>
  </conditionalFormatting>
  <conditionalFormatting sqref="AE114:AJ114">
    <cfRule type="expression" dxfId="422" priority="473">
      <formula>IF(NoColor,1,0)</formula>
    </cfRule>
  </conditionalFormatting>
  <conditionalFormatting sqref="AE166:AJ168">
    <cfRule type="expression" dxfId="421" priority="113">
      <formula>IF(NoColor,1,0)</formula>
    </cfRule>
  </conditionalFormatting>
  <conditionalFormatting sqref="AE170:AJ170">
    <cfRule type="expression" dxfId="420" priority="79">
      <formula>IF(NoColor,1,0)</formula>
    </cfRule>
  </conditionalFormatting>
  <conditionalFormatting sqref="AE173:AJ173">
    <cfRule type="expression" dxfId="419" priority="87">
      <formula>IF(NoColor,1,0)</formula>
    </cfRule>
  </conditionalFormatting>
  <conditionalFormatting sqref="AE225:AJ227">
    <cfRule type="expression" dxfId="418" priority="103">
      <formula>IF(NoColor,1,0)</formula>
    </cfRule>
  </conditionalFormatting>
  <conditionalFormatting sqref="AE229:AJ229">
    <cfRule type="expression" dxfId="417" priority="81">
      <formula>IF(NoColor,1,0)</formula>
    </cfRule>
  </conditionalFormatting>
  <conditionalFormatting sqref="AE232:AJ232">
    <cfRule type="expression" dxfId="416" priority="85">
      <formula>IF(NoColor,1,0)</formula>
    </cfRule>
  </conditionalFormatting>
  <conditionalFormatting sqref="AE284:AJ286">
    <cfRule type="expression" dxfId="415" priority="93">
      <formula>IF(NoColor,1,0)</formula>
    </cfRule>
  </conditionalFormatting>
  <conditionalFormatting sqref="AE288:AJ288">
    <cfRule type="expression" dxfId="414" priority="89">
      <formula>IF(NoColor,1,0)</formula>
    </cfRule>
  </conditionalFormatting>
  <conditionalFormatting sqref="AE291:AJ291">
    <cfRule type="expression" dxfId="413" priority="83">
      <formula>IF(NoColor,1,0)</formula>
    </cfRule>
  </conditionalFormatting>
  <conditionalFormatting sqref="AF77">
    <cfRule type="expression" dxfId="412" priority="464">
      <formula>NoColor</formula>
    </cfRule>
  </conditionalFormatting>
  <conditionalFormatting sqref="AF80">
    <cfRule type="expression" dxfId="411" priority="462">
      <formula>NoColor</formula>
    </cfRule>
  </conditionalFormatting>
  <conditionalFormatting sqref="AF136">
    <cfRule type="expression" dxfId="410" priority="385">
      <formula>NoColor</formula>
    </cfRule>
  </conditionalFormatting>
  <conditionalFormatting sqref="AF139">
    <cfRule type="expression" dxfId="409" priority="383">
      <formula>NoColor</formula>
    </cfRule>
  </conditionalFormatting>
  <conditionalFormatting sqref="AF195">
    <cfRule type="expression" dxfId="408" priority="306">
      <formula>NoColor</formula>
    </cfRule>
  </conditionalFormatting>
  <conditionalFormatting sqref="AF198">
    <cfRule type="expression" dxfId="407" priority="304">
      <formula>NoColor</formula>
    </cfRule>
  </conditionalFormatting>
  <conditionalFormatting sqref="AF254">
    <cfRule type="expression" dxfId="406" priority="227">
      <formula>NoColor</formula>
    </cfRule>
  </conditionalFormatting>
  <conditionalFormatting sqref="AF257">
    <cfRule type="expression" dxfId="405" priority="225">
      <formula>NoColor</formula>
    </cfRule>
  </conditionalFormatting>
  <conditionalFormatting sqref="AI77">
    <cfRule type="expression" dxfId="404" priority="463">
      <formula>NoColor</formula>
    </cfRule>
  </conditionalFormatting>
  <conditionalFormatting sqref="AI80">
    <cfRule type="expression" dxfId="403" priority="461">
      <formula>NoColor</formula>
    </cfRule>
  </conditionalFormatting>
  <conditionalFormatting sqref="AI136">
    <cfRule type="expression" dxfId="402" priority="384">
      <formula>NoColor</formula>
    </cfRule>
  </conditionalFormatting>
  <conditionalFormatting sqref="AI139">
    <cfRule type="expression" dxfId="401" priority="382">
      <formula>NoColor</formula>
    </cfRule>
  </conditionalFormatting>
  <conditionalFormatting sqref="AI195">
    <cfRule type="expression" dxfId="400" priority="305">
      <formula>NoColor</formula>
    </cfRule>
  </conditionalFormatting>
  <conditionalFormatting sqref="AI198">
    <cfRule type="expression" dxfId="399" priority="303">
      <formula>NoColor</formula>
    </cfRule>
  </conditionalFormatting>
  <conditionalFormatting sqref="AI254">
    <cfRule type="expression" dxfId="398" priority="226">
      <formula>NoColor</formula>
    </cfRule>
  </conditionalFormatting>
  <conditionalFormatting sqref="AI257">
    <cfRule type="expression" dxfId="397" priority="224">
      <formula>NoColor</formula>
    </cfRule>
  </conditionalFormatting>
  <conditionalFormatting sqref="AN104">
    <cfRule type="expression" dxfId="396" priority="1">
      <formula>IF(AND(File_Marr_Sep&lt;&gt;"",$AI$10&lt;&gt;""),TRUE,FALSE)</formula>
    </cfRule>
    <cfRule type="expression" dxfId="395" priority="2">
      <formula>OR(File_Marr_Sep&lt;&gt;"",AND(File_Marr_Sep="",AI104&lt;&gt;""))</formula>
    </cfRule>
  </conditionalFormatting>
  <conditionalFormatting sqref="AN61:AO63 AN103:AO103 AN120:AO122 AN179:AO181 AN238:AO240">
    <cfRule type="expression" dxfId="394" priority="584">
      <formula>OR(File_Marr_Sep&lt;&gt;"",AND(File_Marr_Sep="",AI61&lt;&gt;""))</formula>
    </cfRule>
    <cfRule type="expression" dxfId="393" priority="583">
      <formula>IF(AND(File_Marr_Sep&lt;&gt;"",$AI$10&lt;&gt;""),TRUE,FALSE)</formula>
    </cfRule>
  </conditionalFormatting>
  <conditionalFormatting sqref="AN162:AO163">
    <cfRule type="expression" dxfId="392" priority="169">
      <formula>IF(AND(File_Marr_Sep&lt;&gt;"",$AI$10&lt;&gt;""),TRUE,FALSE)</formula>
    </cfRule>
    <cfRule type="expression" dxfId="391" priority="170">
      <formula>OR(File_Marr_Sep&lt;&gt;"",AND(File_Marr_Sep="",AI162&lt;&gt;""))</formula>
    </cfRule>
  </conditionalFormatting>
  <conditionalFormatting sqref="AN221:AO222">
    <cfRule type="expression" dxfId="390" priority="164">
      <formula>OR(File_Marr_Sep&lt;&gt;"",AND(File_Marr_Sep="",AI221&lt;&gt;""))</formula>
    </cfRule>
    <cfRule type="expression" dxfId="389" priority="163">
      <formula>IF(AND(File_Marr_Sep&lt;&gt;"",$AI$10&lt;&gt;""),TRUE,FALSE)</formula>
    </cfRule>
  </conditionalFormatting>
  <conditionalFormatting sqref="AN280:AO281">
    <cfRule type="expression" dxfId="388" priority="158">
      <formula>OR(File_Marr_Sep&lt;&gt;"",AND(File_Marr_Sep="",AI280&lt;&gt;""))</formula>
    </cfRule>
    <cfRule type="expression" dxfId="387" priority="157">
      <formula>IF(AND(File_Marr_Sep&lt;&gt;"",$AI$10&lt;&gt;""),TRUE,FALSE)</formula>
    </cfRule>
  </conditionalFormatting>
  <conditionalFormatting sqref="AO13:AO17">
    <cfRule type="expression" dxfId="386" priority="185">
      <formula>NoColor</formula>
    </cfRule>
  </conditionalFormatting>
  <conditionalFormatting sqref="AO42:AO46">
    <cfRule type="expression" dxfId="385" priority="470">
      <formula>NoColor</formula>
    </cfRule>
  </conditionalFormatting>
  <conditionalFormatting sqref="AX47:AX50">
    <cfRule type="expression" dxfId="384" priority="22">
      <formula>NoColor</formula>
    </cfRule>
  </conditionalFormatting>
  <conditionalFormatting sqref="AX52:AX54">
    <cfRule type="expression" dxfId="383" priority="21">
      <formula>NoColor</formula>
    </cfRule>
  </conditionalFormatting>
  <conditionalFormatting sqref="AX92">
    <cfRule type="expression" dxfId="382" priority="430">
      <formula>NoColor</formula>
    </cfRule>
  </conditionalFormatting>
  <conditionalFormatting sqref="AX94">
    <cfRule type="expression" dxfId="381" priority="429">
      <formula>NoColor</formula>
    </cfRule>
  </conditionalFormatting>
  <conditionalFormatting sqref="AX96">
    <cfRule type="expression" dxfId="380" priority="428">
      <formula>NoColor</formula>
    </cfRule>
  </conditionalFormatting>
  <conditionalFormatting sqref="AX151">
    <cfRule type="expression" dxfId="379" priority="73">
      <formula>NoColor</formula>
    </cfRule>
  </conditionalFormatting>
  <conditionalFormatting sqref="AX153">
    <cfRule type="expression" dxfId="378" priority="72">
      <formula>NoColor</formula>
    </cfRule>
  </conditionalFormatting>
  <conditionalFormatting sqref="AX155">
    <cfRule type="expression" dxfId="377" priority="71">
      <formula>NoColor</formula>
    </cfRule>
  </conditionalFormatting>
  <conditionalFormatting sqref="AX210">
    <cfRule type="expression" dxfId="376" priority="67">
      <formula>NoColor</formula>
    </cfRule>
  </conditionalFormatting>
  <conditionalFormatting sqref="AX212">
    <cfRule type="expression" dxfId="375" priority="66">
      <formula>NoColor</formula>
    </cfRule>
  </conditionalFormatting>
  <conditionalFormatting sqref="AX214">
    <cfRule type="expression" dxfId="374" priority="65">
      <formula>NoColor</formula>
    </cfRule>
  </conditionalFormatting>
  <conditionalFormatting sqref="AX269">
    <cfRule type="expression" dxfId="373" priority="61">
      <formula>NoColor</formula>
    </cfRule>
  </conditionalFormatting>
  <conditionalFormatting sqref="AX271">
    <cfRule type="expression" dxfId="372" priority="60">
      <formula>NoColor</formula>
    </cfRule>
  </conditionalFormatting>
  <conditionalFormatting sqref="AX273">
    <cfRule type="expression" dxfId="371" priority="59">
      <formula>NoColor</formula>
    </cfRule>
  </conditionalFormatting>
  <conditionalFormatting sqref="AY88">
    <cfRule type="expression" dxfId="370" priority="433">
      <formula>NoColor</formula>
    </cfRule>
  </conditionalFormatting>
  <conditionalFormatting sqref="AY98">
    <cfRule type="expression" dxfId="369" priority="432">
      <formula>NoColor</formula>
    </cfRule>
  </conditionalFormatting>
  <conditionalFormatting sqref="AY101">
    <cfRule type="expression" dxfId="368" priority="431">
      <formula>NoColor</formula>
    </cfRule>
  </conditionalFormatting>
  <conditionalFormatting sqref="AY147">
    <cfRule type="expression" dxfId="367" priority="76">
      <formula>NoColor</formula>
    </cfRule>
  </conditionalFormatting>
  <conditionalFormatting sqref="AY157">
    <cfRule type="expression" dxfId="366" priority="75">
      <formula>NoColor</formula>
    </cfRule>
  </conditionalFormatting>
  <conditionalFormatting sqref="AY160">
    <cfRule type="expression" dxfId="365" priority="74">
      <formula>NoColor</formula>
    </cfRule>
  </conditionalFormatting>
  <conditionalFormatting sqref="AY206">
    <cfRule type="expression" dxfId="364" priority="70">
      <formula>NoColor</formula>
    </cfRule>
  </conditionalFormatting>
  <conditionalFormatting sqref="AY216">
    <cfRule type="expression" dxfId="363" priority="69">
      <formula>NoColor</formula>
    </cfRule>
  </conditionalFormatting>
  <conditionalFormatting sqref="AY219">
    <cfRule type="expression" dxfId="362" priority="68">
      <formula>NoColor</formula>
    </cfRule>
  </conditionalFormatting>
  <conditionalFormatting sqref="AY265">
    <cfRule type="expression" dxfId="361" priority="64">
      <formula>NoColor</formula>
    </cfRule>
  </conditionalFormatting>
  <conditionalFormatting sqref="AY275">
    <cfRule type="expression" dxfId="360" priority="63">
      <formula>NoColor</formula>
    </cfRule>
  </conditionalFormatting>
  <conditionalFormatting sqref="AY278">
    <cfRule type="expression" dxfId="359" priority="62">
      <formula>NoColor</formula>
    </cfRule>
  </conditionalFormatting>
  <pageMargins left="0.45" right="0.2" top="0.5" bottom="0.25" header="0" footer="0"/>
  <pageSetup scale="75" fitToHeight="0" orientation="portrait" r:id="rId1"/>
  <rowBreaks count="4" manualBreakCount="4">
    <brk id="56" min="1" max="35" man="1"/>
    <brk id="115" min="1" max="35" man="1"/>
    <brk id="174" min="1" max="35" man="1"/>
    <brk id="233" min="1" max="35"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CA69"/>
  <sheetViews>
    <sheetView zoomScaleNormal="100" zoomScaleSheetLayoutView="100" workbookViewId="0">
      <selection activeCell="T31" sqref="T31:Z33"/>
    </sheetView>
  </sheetViews>
  <sheetFormatPr defaultColWidth="9.140625" defaultRowHeight="12.75"/>
  <cols>
    <col min="1" max="1" width="3.7109375" style="42" customWidth="1"/>
    <col min="2" max="2" width="5.140625" style="42" customWidth="1"/>
    <col min="3" max="3" width="6.140625" style="42" customWidth="1"/>
    <col min="4" max="11" width="4" style="42" customWidth="1"/>
    <col min="12" max="12" width="3.7109375" style="42" customWidth="1"/>
    <col min="13" max="13" width="4.7109375" style="42" customWidth="1"/>
    <col min="14" max="14" width="4.42578125" style="42" customWidth="1"/>
    <col min="15" max="16" width="3.7109375" style="42" customWidth="1"/>
    <col min="17" max="17" width="5.140625" style="42" customWidth="1"/>
    <col min="18" max="22" width="3.7109375" style="42" customWidth="1"/>
    <col min="23" max="23" width="4.85546875" style="42" customWidth="1"/>
    <col min="24" max="29" width="3.7109375" style="42" customWidth="1"/>
    <col min="30" max="30" width="5.5703125" style="42" customWidth="1"/>
    <col min="31" max="32" width="3.7109375" style="42" customWidth="1"/>
    <col min="33" max="33" width="4.42578125" style="42" customWidth="1"/>
    <col min="34" max="36" width="3.7109375" style="42" customWidth="1"/>
    <col min="37" max="37" width="4.5703125" style="42" customWidth="1"/>
    <col min="38" max="38" width="4.42578125" style="42" customWidth="1"/>
    <col min="39" max="39" width="2.42578125" style="42" customWidth="1"/>
    <col min="40" max="40" width="4.5703125" style="42" customWidth="1"/>
    <col min="41" max="41" width="43.28515625" style="42" customWidth="1"/>
    <col min="42" max="42" width="5.140625" style="42" customWidth="1"/>
    <col min="43" max="43" width="10.140625" style="42" customWidth="1"/>
    <col min="44" max="44" width="3.140625" style="42" customWidth="1"/>
    <col min="45" max="45" width="4.5703125" style="42" customWidth="1"/>
    <col min="46" max="46" width="13.140625" style="5950" customWidth="1"/>
    <col min="47" max="54" width="10.7109375" style="3402" customWidth="1"/>
    <col min="55" max="16384" width="9.140625" style="42"/>
  </cols>
  <sheetData>
    <row r="1" spans="1:79" ht="16.5" customHeight="1">
      <c r="A1" s="1127"/>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79"/>
      <c r="AM1" s="1179"/>
      <c r="AN1" s="1179"/>
      <c r="AO1" s="1179"/>
      <c r="AP1" s="1179"/>
      <c r="AQ1" s="1179"/>
      <c r="AR1" s="1179"/>
      <c r="AS1" s="1179"/>
      <c r="AT1" s="5901"/>
      <c r="AU1" s="2595"/>
      <c r="AV1" s="2595"/>
      <c r="AW1" s="2595"/>
      <c r="AX1" s="2595"/>
      <c r="AY1" s="2595"/>
      <c r="AZ1" s="2595"/>
      <c r="BA1" s="2595"/>
      <c r="BB1" s="2595"/>
    </row>
    <row r="2" spans="1:79" ht="18" customHeight="1">
      <c r="A2" s="1127"/>
      <c r="B2" s="1179"/>
      <c r="C2" s="1179"/>
      <c r="D2" s="8623" t="s">
        <v>5917</v>
      </c>
      <c r="E2" s="8624"/>
      <c r="F2" s="8624"/>
      <c r="G2" s="8624"/>
      <c r="H2" s="1244"/>
      <c r="I2" s="3311"/>
      <c r="J2" s="1179"/>
      <c r="K2" s="1179"/>
      <c r="L2" s="1179"/>
      <c r="M2" s="1179"/>
      <c r="N2" s="1179"/>
      <c r="O2" s="1179"/>
      <c r="P2" s="1179"/>
      <c r="Q2" s="1179"/>
      <c r="R2" s="1179"/>
      <c r="S2" s="1179"/>
      <c r="T2" s="1179"/>
      <c r="U2" s="1179"/>
      <c r="V2" s="1179"/>
      <c r="W2" s="1179"/>
      <c r="X2" s="1179"/>
      <c r="Y2" s="1179"/>
      <c r="Z2" s="1179"/>
      <c r="AA2" s="1179"/>
      <c r="AB2" s="3245"/>
      <c r="AC2" s="9436" t="s">
        <v>152</v>
      </c>
      <c r="AD2" s="8628"/>
      <c r="AE2" s="8628"/>
      <c r="AF2" s="8628"/>
      <c r="AG2" s="8628"/>
      <c r="AH2" s="8628"/>
      <c r="AI2" s="8628"/>
      <c r="AJ2" s="8628"/>
      <c r="AK2" s="1127"/>
      <c r="AL2" s="1179"/>
      <c r="AM2" s="1179"/>
      <c r="AN2" s="1179"/>
      <c r="AO2" s="1179"/>
      <c r="AP2" s="1179"/>
      <c r="AQ2" s="1179"/>
      <c r="AR2" s="1179"/>
      <c r="AS2" s="1179"/>
      <c r="AT2" s="5901" t="s">
        <v>2033</v>
      </c>
      <c r="AU2" s="2595"/>
      <c r="AV2" s="2595"/>
      <c r="AW2" s="2595"/>
      <c r="AX2" s="2595"/>
      <c r="AY2" s="2595"/>
      <c r="AZ2" s="2595"/>
      <c r="BA2" s="2595"/>
      <c r="BB2" s="2595"/>
    </row>
    <row r="3" spans="1:79" ht="24" customHeight="1">
      <c r="A3" s="1127"/>
      <c r="B3" s="8629" t="s">
        <v>291</v>
      </c>
      <c r="C3" s="6406"/>
      <c r="D3" s="8624"/>
      <c r="E3" s="8624"/>
      <c r="F3" s="8624"/>
      <c r="G3" s="8624"/>
      <c r="H3" s="1244"/>
      <c r="I3" s="9550" t="s">
        <v>5918</v>
      </c>
      <c r="J3" s="9551"/>
      <c r="K3" s="9551"/>
      <c r="L3" s="9551"/>
      <c r="M3" s="9551"/>
      <c r="N3" s="9551"/>
      <c r="O3" s="9551"/>
      <c r="P3" s="9551"/>
      <c r="Q3" s="9551"/>
      <c r="R3" s="9551"/>
      <c r="S3" s="9551"/>
      <c r="T3" s="9551"/>
      <c r="U3" s="9551"/>
      <c r="V3" s="9551"/>
      <c r="W3" s="9551"/>
      <c r="X3" s="9551"/>
      <c r="Y3" s="9551"/>
      <c r="Z3" s="9551"/>
      <c r="AA3" s="9551"/>
      <c r="AB3" s="9552"/>
      <c r="AC3" s="8630">
        <f>TaxYear</f>
        <v>2021</v>
      </c>
      <c r="AD3" s="8631"/>
      <c r="AE3" s="8631"/>
      <c r="AF3" s="8631"/>
      <c r="AG3" s="8631"/>
      <c r="AH3" s="8631"/>
      <c r="AI3" s="8631"/>
      <c r="AJ3" s="8631"/>
      <c r="AK3" s="1127"/>
      <c r="AL3" s="1179"/>
      <c r="AM3" s="1179"/>
      <c r="AN3" s="1179"/>
      <c r="AO3" s="1179"/>
      <c r="AP3" s="1179"/>
      <c r="AQ3" s="1179"/>
      <c r="AR3" s="1179"/>
      <c r="AS3" s="1179"/>
      <c r="AT3" s="5949" t="s">
        <v>111</v>
      </c>
      <c r="AU3" s="2595"/>
      <c r="AV3" s="2595"/>
      <c r="AW3" s="2595"/>
      <c r="AX3" s="2595"/>
      <c r="AY3" s="2595"/>
      <c r="AZ3" s="2595"/>
      <c r="BA3" s="2595"/>
      <c r="BB3" s="2595"/>
    </row>
    <row r="4" spans="1:79" ht="6.75" customHeight="1">
      <c r="A4" s="1127"/>
      <c r="B4" s="1179"/>
      <c r="C4" s="1179"/>
      <c r="D4" s="1179"/>
      <c r="E4" s="1179"/>
      <c r="F4" s="1179"/>
      <c r="G4" s="1179"/>
      <c r="H4" s="1244"/>
      <c r="I4" s="1547"/>
      <c r="J4" s="1548"/>
      <c r="K4" s="1548"/>
      <c r="L4" s="1548"/>
      <c r="M4" s="1548"/>
      <c r="N4" s="1548"/>
      <c r="O4" s="1548"/>
      <c r="P4" s="1548"/>
      <c r="Q4" s="1548"/>
      <c r="R4" s="1548"/>
      <c r="S4" s="1548"/>
      <c r="T4" s="1548"/>
      <c r="U4" s="1548"/>
      <c r="V4" s="1548"/>
      <c r="W4" s="1548"/>
      <c r="X4" s="1548"/>
      <c r="Y4" s="1548"/>
      <c r="Z4" s="1548"/>
      <c r="AA4" s="1548"/>
      <c r="AB4" s="1549"/>
      <c r="AC4" s="8632"/>
      <c r="AD4" s="8633"/>
      <c r="AE4" s="8633"/>
      <c r="AF4" s="8633"/>
      <c r="AG4" s="8633"/>
      <c r="AH4" s="8633"/>
      <c r="AI4" s="8633"/>
      <c r="AJ4" s="8633"/>
      <c r="AK4" s="1127"/>
      <c r="AL4" s="1179"/>
      <c r="AM4" s="1179"/>
      <c r="AN4" s="1179"/>
      <c r="AO4" s="1179"/>
      <c r="AP4" s="1179"/>
      <c r="AQ4" s="1179"/>
      <c r="AR4" s="1179"/>
      <c r="AS4" s="1179"/>
      <c r="AT4" s="5902"/>
      <c r="AU4" s="2595"/>
      <c r="AV4" s="2595"/>
      <c r="AW4" s="2595"/>
      <c r="AX4" s="2595"/>
      <c r="AY4" s="2595"/>
      <c r="AZ4" s="2595"/>
      <c r="BA4" s="2595"/>
      <c r="BB4" s="2595"/>
    </row>
    <row r="5" spans="1:79" ht="12.75" customHeight="1">
      <c r="A5" s="1127"/>
      <c r="B5" s="1179" t="s">
        <v>176</v>
      </c>
      <c r="C5" s="1179"/>
      <c r="D5" s="1179"/>
      <c r="E5" s="1179"/>
      <c r="F5" s="1179"/>
      <c r="G5" s="1179"/>
      <c r="H5" s="1244"/>
      <c r="I5" s="9431" t="s">
        <v>3286</v>
      </c>
      <c r="J5" s="9432"/>
      <c r="K5" s="9432"/>
      <c r="L5" s="9432"/>
      <c r="M5" s="9432"/>
      <c r="N5" s="9432"/>
      <c r="O5" s="9432"/>
      <c r="P5" s="9432"/>
      <c r="Q5" s="9432"/>
      <c r="R5" s="9432"/>
      <c r="S5" s="9432"/>
      <c r="T5" s="9432"/>
      <c r="U5" s="9432"/>
      <c r="V5" s="9432"/>
      <c r="W5" s="9432"/>
      <c r="X5" s="9432"/>
      <c r="Y5" s="9432"/>
      <c r="Z5" s="9432"/>
      <c r="AA5" s="9432"/>
      <c r="AB5" s="9433"/>
      <c r="AC5" s="1278"/>
      <c r="AD5" s="8894" t="s">
        <v>781</v>
      </c>
      <c r="AE5" s="6665"/>
      <c r="AF5" s="6665"/>
      <c r="AG5" s="6665"/>
      <c r="AH5" s="7744">
        <v>54</v>
      </c>
      <c r="AI5" s="7744"/>
      <c r="AJ5" s="1179"/>
      <c r="AK5" s="1127"/>
      <c r="AL5" s="1179"/>
      <c r="AM5" s="1179"/>
      <c r="AN5" s="1179"/>
      <c r="AO5" s="1179"/>
      <c r="AP5" s="1179"/>
      <c r="AQ5" s="1179"/>
      <c r="AR5" s="1179"/>
      <c r="AS5" s="1179"/>
      <c r="AT5" s="5902"/>
      <c r="AU5" s="2595"/>
      <c r="AV5" s="2595"/>
      <c r="AW5" s="2595"/>
      <c r="AX5" s="2595"/>
      <c r="AY5" s="2595"/>
      <c r="AZ5" s="2595"/>
      <c r="BA5" s="2595"/>
      <c r="BB5" s="2595"/>
    </row>
    <row r="6" spans="1:79" ht="13.5" customHeight="1" thickBot="1">
      <c r="A6" s="1127"/>
      <c r="B6" s="1280" t="s">
        <v>395</v>
      </c>
      <c r="C6" s="1280"/>
      <c r="D6" s="1280"/>
      <c r="E6" s="1280"/>
      <c r="F6" s="1280"/>
      <c r="G6" s="1280"/>
      <c r="H6" s="1281"/>
      <c r="I6" s="9448" t="s">
        <v>5919</v>
      </c>
      <c r="J6" s="9449"/>
      <c r="K6" s="9449"/>
      <c r="L6" s="9449"/>
      <c r="M6" s="9449"/>
      <c r="N6" s="9449"/>
      <c r="O6" s="9449"/>
      <c r="P6" s="9449"/>
      <c r="Q6" s="9449"/>
      <c r="R6" s="9449"/>
      <c r="S6" s="9449"/>
      <c r="T6" s="9449"/>
      <c r="U6" s="9449"/>
      <c r="V6" s="9449"/>
      <c r="W6" s="9449"/>
      <c r="X6" s="9449"/>
      <c r="Y6" s="9449"/>
      <c r="Z6" s="9449"/>
      <c r="AA6" s="9449"/>
      <c r="AB6" s="9450"/>
      <c r="AC6" s="1550"/>
      <c r="AD6" s="8876" t="s">
        <v>1128</v>
      </c>
      <c r="AE6" s="8877"/>
      <c r="AF6" s="8877"/>
      <c r="AG6" s="8877"/>
      <c r="AH6" s="8895"/>
      <c r="AI6" s="8895"/>
      <c r="AJ6" s="1280"/>
      <c r="AK6" s="1127"/>
      <c r="AL6" s="1179"/>
      <c r="AM6" s="1179"/>
      <c r="AN6" s="1179"/>
      <c r="AO6" s="1179"/>
      <c r="AP6" s="1179"/>
      <c r="AQ6" s="1179"/>
      <c r="AR6" s="1179"/>
      <c r="AS6" s="1179"/>
      <c r="AT6" s="5902"/>
      <c r="AU6" s="2595"/>
      <c r="AV6" s="2595"/>
      <c r="AW6" s="2595"/>
      <c r="AX6" s="2595"/>
      <c r="AY6" s="2595"/>
      <c r="AZ6" s="2595"/>
      <c r="BA6" s="2595"/>
      <c r="BB6" s="2595"/>
    </row>
    <row r="7" spans="1:79">
      <c r="A7" s="1127"/>
      <c r="B7" s="1551" t="s">
        <v>55</v>
      </c>
      <c r="C7" s="1551"/>
      <c r="D7" s="1551"/>
      <c r="E7" s="1551"/>
      <c r="F7" s="1551"/>
      <c r="G7" s="1551"/>
      <c r="H7" s="1551"/>
      <c r="I7" s="1551"/>
      <c r="J7" s="1551"/>
      <c r="K7" s="1551"/>
      <c r="L7" s="1551"/>
      <c r="M7" s="1551"/>
      <c r="N7" s="1551"/>
      <c r="O7" s="1551"/>
      <c r="P7" s="1551"/>
      <c r="Q7" s="1551"/>
      <c r="R7" s="1551"/>
      <c r="S7" s="1551"/>
      <c r="T7" s="1551"/>
      <c r="U7" s="1551"/>
      <c r="V7" s="1551"/>
      <c r="W7" s="1551"/>
      <c r="X7" s="1551"/>
      <c r="Y7" s="4451" t="s">
        <v>89</v>
      </c>
      <c r="Z7" s="1274"/>
      <c r="AA7" s="1274"/>
      <c r="AB7" s="1274"/>
      <c r="AC7" s="1582"/>
      <c r="AD7" s="1702"/>
      <c r="AE7" s="1702"/>
      <c r="AF7" s="1702"/>
      <c r="AG7" s="1702"/>
      <c r="AH7" s="1702"/>
      <c r="AI7" s="1702"/>
      <c r="AJ7" s="1702"/>
      <c r="AK7" s="1127"/>
      <c r="AL7" s="1179"/>
      <c r="AM7" s="1179"/>
      <c r="AN7" s="1179"/>
      <c r="AO7" s="1179"/>
      <c r="AP7" s="1179"/>
      <c r="AQ7" s="1179"/>
      <c r="AR7" s="1179"/>
      <c r="AS7" s="1179"/>
      <c r="AT7" s="5902"/>
      <c r="AU7" s="2595"/>
      <c r="AV7" s="2595"/>
      <c r="AW7" s="2595"/>
      <c r="AX7" s="2595"/>
      <c r="AY7" s="2595"/>
      <c r="AZ7" s="2595"/>
      <c r="BA7" s="2595"/>
      <c r="BB7" s="2595"/>
    </row>
    <row r="8" spans="1:79">
      <c r="A8" s="1127"/>
      <c r="B8" s="8657" t="str">
        <f>IF(Names="","",Names)</f>
        <v/>
      </c>
      <c r="C8" s="8658"/>
      <c r="D8" s="8658"/>
      <c r="E8" s="8658"/>
      <c r="F8" s="8658"/>
      <c r="G8" s="8658"/>
      <c r="H8" s="8658"/>
      <c r="I8" s="8658"/>
      <c r="J8" s="8658"/>
      <c r="K8" s="8658"/>
      <c r="L8" s="6939"/>
      <c r="M8" s="6939"/>
      <c r="N8" s="6939"/>
      <c r="O8" s="6939"/>
      <c r="P8" s="6939"/>
      <c r="Q8" s="6939"/>
      <c r="R8" s="6939"/>
      <c r="S8" s="6939"/>
      <c r="T8" s="7060"/>
      <c r="U8" s="7060"/>
      <c r="V8" s="7060"/>
      <c r="W8" s="7060"/>
      <c r="X8" s="8659"/>
      <c r="Y8" s="8662">
        <f>IF(OR(NoSSN,SS_Yours=""),"",SS_Yours)</f>
        <v>1010001</v>
      </c>
      <c r="Z8" s="6618"/>
      <c r="AA8" s="6618"/>
      <c r="AB8" s="6618"/>
      <c r="AC8" s="6618"/>
      <c r="AD8" s="6618"/>
      <c r="AE8" s="6618"/>
      <c r="AF8" s="6618"/>
      <c r="AG8" s="6618"/>
      <c r="AH8" s="6618"/>
      <c r="AI8" s="6618"/>
      <c r="AJ8" s="6618"/>
      <c r="AK8" s="1127"/>
      <c r="AL8" s="1179"/>
      <c r="AM8" s="1179"/>
      <c r="AN8" s="1179"/>
      <c r="AO8" s="1179"/>
      <c r="AP8" s="1179"/>
      <c r="AQ8" s="1179"/>
      <c r="AR8" s="1179"/>
      <c r="AS8" s="1179"/>
      <c r="AT8" s="5902"/>
      <c r="AU8" s="2595"/>
      <c r="AV8" s="2595"/>
      <c r="AW8" s="2595"/>
      <c r="AX8" s="2595"/>
      <c r="AY8" s="2595"/>
      <c r="AZ8" s="2595"/>
      <c r="BA8" s="2595"/>
      <c r="BB8" s="2595"/>
    </row>
    <row r="9" spans="1:79">
      <c r="A9" s="1127"/>
      <c r="B9" s="8660"/>
      <c r="C9" s="8660"/>
      <c r="D9" s="8660"/>
      <c r="E9" s="8660"/>
      <c r="F9" s="8660"/>
      <c r="G9" s="8660"/>
      <c r="H9" s="8660"/>
      <c r="I9" s="8660"/>
      <c r="J9" s="8660"/>
      <c r="K9" s="8660"/>
      <c r="L9" s="8660"/>
      <c r="M9" s="8660"/>
      <c r="N9" s="8660"/>
      <c r="O9" s="8660"/>
      <c r="P9" s="8660"/>
      <c r="Q9" s="8660"/>
      <c r="R9" s="8660"/>
      <c r="S9" s="8660"/>
      <c r="T9" s="8208"/>
      <c r="U9" s="8208"/>
      <c r="V9" s="8208"/>
      <c r="W9" s="8208"/>
      <c r="X9" s="8661"/>
      <c r="Y9" s="6619"/>
      <c r="Z9" s="6616"/>
      <c r="AA9" s="6616"/>
      <c r="AB9" s="6616"/>
      <c r="AC9" s="6616"/>
      <c r="AD9" s="6616"/>
      <c r="AE9" s="6616"/>
      <c r="AF9" s="6616"/>
      <c r="AG9" s="6616"/>
      <c r="AH9" s="6616"/>
      <c r="AI9" s="6616"/>
      <c r="AJ9" s="6616"/>
      <c r="AK9" s="1127"/>
      <c r="AL9" s="1179"/>
      <c r="AM9" s="1179"/>
      <c r="AN9" s="1179"/>
      <c r="AO9" s="1179"/>
      <c r="AP9" s="1179"/>
      <c r="AQ9" s="1179"/>
      <c r="AR9" s="1179"/>
      <c r="AS9" s="1179"/>
      <c r="AT9" s="5902"/>
      <c r="AU9" s="2595"/>
      <c r="AV9" s="2595"/>
      <c r="AW9" s="2595"/>
      <c r="AX9" s="2595"/>
      <c r="AY9" s="2595"/>
      <c r="AZ9" s="2595"/>
      <c r="BA9" s="2595"/>
      <c r="BB9" s="2595"/>
    </row>
    <row r="10" spans="1:79" ht="16.5" customHeight="1">
      <c r="A10" s="1127"/>
      <c r="B10" s="5743"/>
      <c r="C10" s="5744"/>
      <c r="D10" s="5744"/>
      <c r="E10" s="6086" t="s">
        <v>5955</v>
      </c>
      <c r="F10" s="5744"/>
      <c r="G10" s="5744"/>
      <c r="H10" s="5744"/>
      <c r="I10" s="5744"/>
      <c r="J10" s="5744"/>
      <c r="K10" s="5744"/>
      <c r="L10" s="5744"/>
      <c r="M10" s="5744"/>
      <c r="N10" s="5744"/>
      <c r="O10" s="5744"/>
      <c r="P10" s="5744"/>
      <c r="Q10" s="5744"/>
      <c r="R10" s="5744"/>
      <c r="S10" s="5744"/>
      <c r="T10" s="5744"/>
      <c r="U10" s="5744"/>
      <c r="V10" s="5744"/>
      <c r="W10" s="5744"/>
      <c r="X10" s="5744"/>
      <c r="Y10" s="5744"/>
      <c r="Z10" s="5744"/>
      <c r="AA10" s="5744"/>
      <c r="AB10" s="5744"/>
      <c r="AC10" s="5744"/>
      <c r="AD10" s="5744"/>
      <c r="AE10" s="5744"/>
      <c r="AF10" s="5744"/>
      <c r="AG10" s="5744"/>
      <c r="AH10" s="5744"/>
      <c r="AI10" s="1179"/>
      <c r="AJ10" s="1179"/>
      <c r="AK10" s="1127"/>
      <c r="AL10" s="1179"/>
      <c r="AM10" s="1179"/>
      <c r="AN10" s="1179"/>
      <c r="AO10" s="1179"/>
      <c r="AP10" s="1179"/>
      <c r="AQ10" s="1179"/>
      <c r="AR10" s="1179"/>
      <c r="AS10" s="1179"/>
      <c r="AT10" s="5902"/>
      <c r="AU10" s="2595"/>
      <c r="AV10" s="2595"/>
      <c r="AW10" s="2595"/>
      <c r="AX10" s="2595"/>
      <c r="AY10" s="2595"/>
      <c r="AZ10" s="2595"/>
      <c r="BA10" s="2595"/>
      <c r="BB10" s="2595"/>
    </row>
    <row r="11" spans="1:79" ht="15" customHeight="1">
      <c r="A11" s="1127"/>
      <c r="B11" s="4065"/>
      <c r="C11" s="4197"/>
      <c r="D11" s="4197"/>
      <c r="E11" s="2944" t="s">
        <v>1275</v>
      </c>
      <c r="F11" s="6087" t="str">
        <f>"The amount on Form 1040, 1040-SR, or 1040-NR, line 11, is more than "&amp;TEXT(AB12,"$0,000")&amp;" ("&amp;TEXT(AE12,"$0,000")&amp;" if head of household; "&amp;TEXT(AH12,"$0,000")&amp;" if"</f>
        <v>The amount on Form 1040, 1040-SR, or 1040-NR, line 11, is more than $33,000 ($49,500 if head of household; $66,000 if</v>
      </c>
      <c r="G11" s="4197"/>
      <c r="H11" s="4197"/>
      <c r="I11" s="4197"/>
      <c r="J11" s="4197"/>
      <c r="K11" s="4197"/>
      <c r="L11" s="4197"/>
      <c r="M11" s="4197"/>
      <c r="N11" s="4197"/>
      <c r="O11" s="4197"/>
      <c r="P11" s="4197"/>
      <c r="Q11" s="4197"/>
      <c r="R11" s="4197"/>
      <c r="S11" s="4197"/>
      <c r="T11" s="4197"/>
      <c r="U11" s="4197"/>
      <c r="V11" s="4197"/>
      <c r="W11" s="4197"/>
      <c r="X11" s="4197"/>
      <c r="Y11" s="4197"/>
      <c r="Z11" s="4197"/>
      <c r="AA11" s="4197"/>
      <c r="AB11" s="4197"/>
      <c r="AC11" s="4197"/>
      <c r="AD11" s="4197"/>
      <c r="AE11" s="4197"/>
      <c r="AF11" s="4197"/>
      <c r="AG11" s="4197"/>
      <c r="AH11" s="4197"/>
      <c r="AI11" s="1179"/>
      <c r="AJ11" s="1179"/>
      <c r="AK11" s="6097"/>
      <c r="AL11" s="1179" t="str">
        <f>IF(OR(V12,R15)," Hide emphasis.","")</f>
        <v/>
      </c>
      <c r="AM11" s="1179"/>
      <c r="AN11" s="1179"/>
      <c r="AO11" s="1179"/>
      <c r="AP11" s="1179"/>
      <c r="AQ11" s="1179"/>
      <c r="AR11" s="1179"/>
      <c r="AS11" s="1179"/>
      <c r="AT11" s="5902"/>
      <c r="AU11" s="2595"/>
      <c r="AV11" s="2595"/>
      <c r="AW11" s="2595"/>
      <c r="AX11" s="2595"/>
      <c r="AY11" s="2595"/>
      <c r="AZ11" s="2595"/>
      <c r="BA11" s="2595"/>
      <c r="BB11" s="2595"/>
    </row>
    <row r="12" spans="1:79" ht="15" customHeight="1">
      <c r="A12" s="1127"/>
      <c r="B12" s="4065"/>
      <c r="C12" s="4197"/>
      <c r="D12" s="4197"/>
      <c r="E12" s="6087" t="s">
        <v>5921</v>
      </c>
      <c r="F12" s="4197"/>
      <c r="G12" s="4197"/>
      <c r="H12" s="4197"/>
      <c r="I12" s="4197"/>
      <c r="J12" s="4197"/>
      <c r="K12" s="4197"/>
      <c r="L12" s="4197"/>
      <c r="M12" s="4197"/>
      <c r="N12" s="4197"/>
      <c r="O12" s="4197"/>
      <c r="P12" s="4197"/>
      <c r="Q12" s="4197"/>
      <c r="R12" s="4197"/>
      <c r="S12" s="4197"/>
      <c r="T12" s="4197"/>
      <c r="U12" s="4197"/>
      <c r="V12" s="9536" t="b">
        <f>AND(NumFileStatusBoxes=1,Adj_Gross_Inc&gt;Y12)</f>
        <v>0</v>
      </c>
      <c r="W12" s="9536"/>
      <c r="X12" s="9536"/>
      <c r="Y12" s="9536" t="str">
        <f>IF(File_Marr_Joint&lt;&gt;"",AH12,IF(File_Head&lt;&gt;"",AE12,IF(NumFileStatusBoxes=1,AB12,"")))</f>
        <v/>
      </c>
      <c r="Z12" s="9536"/>
      <c r="AA12" s="9536"/>
      <c r="AB12" s="9546">
        <f>D39</f>
        <v>33000</v>
      </c>
      <c r="AC12" s="9536"/>
      <c r="AD12" s="9536"/>
      <c r="AE12" s="9546">
        <f>D42</f>
        <v>49500</v>
      </c>
      <c r="AF12" s="9536"/>
      <c r="AG12" s="9536"/>
      <c r="AH12" s="9546">
        <f>D43</f>
        <v>66000</v>
      </c>
      <c r="AI12" s="9536"/>
      <c r="AJ12" s="9536"/>
      <c r="AK12" s="6097"/>
      <c r="AL12" s="1548" t="str">
        <f>IF(OR(V12,R15)," Override CAUTION.","")</f>
        <v/>
      </c>
      <c r="AM12" s="1179"/>
      <c r="AN12" s="1179"/>
      <c r="AO12" s="1179"/>
      <c r="AP12" s="1179"/>
      <c r="AQ12" s="1179"/>
      <c r="AR12" s="1179"/>
      <c r="AS12" s="1179"/>
      <c r="AT12" s="5902"/>
      <c r="AU12" s="2595"/>
      <c r="AV12" s="2595"/>
      <c r="AW12" s="2595"/>
      <c r="AX12" s="2595"/>
      <c r="AY12" s="2595"/>
      <c r="AZ12" s="2595"/>
      <c r="BA12" s="2595"/>
      <c r="BB12" s="2595"/>
    </row>
    <row r="13" spans="1:79" ht="15" customHeight="1">
      <c r="A13" s="1127"/>
      <c r="B13" s="4065"/>
      <c r="C13" s="4197"/>
      <c r="D13" s="4197"/>
      <c r="E13" s="2944" t="s">
        <v>1275</v>
      </c>
      <c r="F13" s="6087" t="s">
        <v>5958</v>
      </c>
      <c r="G13" s="4197"/>
      <c r="H13" s="4197"/>
      <c r="I13" s="4197"/>
      <c r="J13" s="4197"/>
      <c r="K13" s="4197"/>
      <c r="L13" s="4197"/>
      <c r="M13" s="4197"/>
      <c r="N13" s="4197"/>
      <c r="O13" s="4197"/>
      <c r="P13" s="4197"/>
      <c r="Q13" s="4197"/>
      <c r="R13" s="4197"/>
      <c r="S13" s="4197"/>
      <c r="T13" s="4197"/>
      <c r="U13" s="4197"/>
      <c r="V13" s="6087" t="str">
        <f>"(a) was born after January 1, "&amp;TaxYear-17&amp;";"</f>
        <v>(a) was born after January 1, 2004;</v>
      </c>
      <c r="W13" s="4197"/>
      <c r="X13" s="4197"/>
      <c r="Y13" s="4197"/>
      <c r="Z13" s="4197"/>
      <c r="AA13" s="4197"/>
      <c r="AB13" s="4197"/>
      <c r="AC13" s="4197"/>
      <c r="AD13" s="4197"/>
      <c r="AE13" s="6087" t="s">
        <v>5959</v>
      </c>
      <c r="AF13" s="4197"/>
      <c r="AG13" s="4197"/>
      <c r="AH13" s="4197"/>
      <c r="AI13" s="1179"/>
      <c r="AJ13" s="1179"/>
      <c r="AK13" s="1127"/>
      <c r="AL13" s="1179"/>
      <c r="AM13" s="1179"/>
      <c r="AN13" s="1179"/>
      <c r="AO13" s="1179"/>
      <c r="AP13" s="1179"/>
      <c r="AQ13" s="1179"/>
      <c r="AR13" s="1179"/>
      <c r="AS13" s="1179"/>
      <c r="AT13" s="5902"/>
      <c r="AU13" s="2595"/>
      <c r="AV13" s="2595"/>
      <c r="AW13" s="2595"/>
      <c r="AX13" s="2595"/>
      <c r="AY13" s="2595"/>
      <c r="AZ13" s="2595"/>
      <c r="BA13" s="2595"/>
      <c r="BB13" s="2595"/>
    </row>
    <row r="14" spans="1:79" ht="15" customHeight="1" thickBot="1">
      <c r="A14" s="1127"/>
      <c r="B14" s="4065"/>
      <c r="C14" s="4197"/>
      <c r="D14" s="4197"/>
      <c r="E14" s="6087" t="str">
        <f>"dependent on someone else’s "&amp;TaxYear&amp;" tax return;"</f>
        <v>dependent on someone else’s 2021 tax return;</v>
      </c>
      <c r="F14" s="4197"/>
      <c r="G14" s="4197"/>
      <c r="H14" s="4197"/>
      <c r="I14" s="4197"/>
      <c r="J14" s="4197"/>
      <c r="K14" s="4197"/>
      <c r="L14" s="4197"/>
      <c r="M14" s="4197"/>
      <c r="N14" s="4197"/>
      <c r="O14" s="4197"/>
      <c r="P14" s="6094" t="s">
        <v>5957</v>
      </c>
      <c r="Q14" s="4197"/>
      <c r="R14" s="4197"/>
      <c r="S14" s="4197"/>
      <c r="T14" s="4197"/>
      <c r="U14" s="4197"/>
      <c r="V14" s="4197"/>
      <c r="W14" s="4197"/>
      <c r="X14" s="4197"/>
      <c r="Y14" s="4197"/>
      <c r="Z14" s="4197"/>
      <c r="AA14" s="4197"/>
      <c r="AB14" s="4197"/>
      <c r="AC14" s="9537" t="b">
        <f>OR(AE14,AH14)</f>
        <v>0</v>
      </c>
      <c r="AD14" s="9537"/>
      <c r="AE14" s="9537" t="b">
        <f>YourAge&lt;=17</f>
        <v>0</v>
      </c>
      <c r="AF14" s="9537"/>
      <c r="AG14" s="9537"/>
      <c r="AH14" s="9537" t="b">
        <f>SpouseAge&lt;=17</f>
        <v>0</v>
      </c>
      <c r="AI14" s="9537"/>
      <c r="AJ14" s="9537"/>
      <c r="AK14" s="1127"/>
      <c r="AL14" s="1179"/>
      <c r="AM14" s="1179"/>
      <c r="AN14" s="1179"/>
      <c r="AO14" s="1179"/>
      <c r="AP14" s="1179"/>
      <c r="AQ14" s="1179"/>
      <c r="AR14" s="1179"/>
      <c r="AS14" s="1179"/>
      <c r="AT14" s="5902"/>
      <c r="AU14" s="2595"/>
      <c r="AV14" s="2595"/>
      <c r="AW14" s="2595"/>
      <c r="AX14" s="2595"/>
      <c r="AY14" s="2595"/>
      <c r="AZ14" s="2595"/>
      <c r="BA14" s="2595"/>
      <c r="BB14" s="2595"/>
    </row>
    <row r="15" spans="1:79" ht="15" customHeight="1">
      <c r="A15" s="1127"/>
      <c r="B15" s="4065"/>
      <c r="C15" s="4197"/>
      <c r="D15" s="4197"/>
      <c r="E15" s="4197"/>
      <c r="F15" s="4197"/>
      <c r="G15" s="4197"/>
      <c r="H15" s="4197"/>
      <c r="I15" s="4197"/>
      <c r="J15" s="4197"/>
      <c r="K15" s="4197"/>
      <c r="L15" s="4197"/>
      <c r="M15" s="4197"/>
      <c r="N15" s="4197"/>
      <c r="O15" s="4197"/>
      <c r="P15" s="4197"/>
      <c r="Q15" s="4197"/>
      <c r="R15" s="9536" t="b">
        <f>OR(T15,V15)</f>
        <v>0</v>
      </c>
      <c r="S15" s="9536"/>
      <c r="T15" s="9536" t="b">
        <f>DependentYOU&lt;&gt;""</f>
        <v>0</v>
      </c>
      <c r="U15" s="9536"/>
      <c r="V15" s="9536" t="b">
        <f>DependentSPOUSE&lt;&gt;""</f>
        <v>0</v>
      </c>
      <c r="W15" s="9600"/>
      <c r="X15" s="6095"/>
      <c r="Y15" s="9541" t="s">
        <v>5923</v>
      </c>
      <c r="Z15" s="9539"/>
      <c r="AA15" s="9539"/>
      <c r="AB15" s="9539"/>
      <c r="AC15" s="9539"/>
      <c r="AD15" s="9540"/>
      <c r="AE15" s="9538" t="s">
        <v>5922</v>
      </c>
      <c r="AF15" s="9539"/>
      <c r="AG15" s="9539"/>
      <c r="AH15" s="9539"/>
      <c r="AI15" s="9539"/>
      <c r="AJ15" s="9540"/>
      <c r="AK15" s="1127"/>
      <c r="AL15" s="1179"/>
      <c r="AM15" s="1179"/>
      <c r="AN15" s="1179"/>
      <c r="AO15" s="1179"/>
      <c r="AP15" s="1179"/>
      <c r="AQ15" s="1179"/>
      <c r="AR15" s="1179"/>
      <c r="AS15" s="1179"/>
      <c r="AT15" s="5902"/>
      <c r="AU15" s="2595"/>
      <c r="AV15" s="2595"/>
      <c r="AW15" s="2595"/>
      <c r="AX15" s="2595"/>
      <c r="AY15" s="2595"/>
      <c r="AZ15" s="2595"/>
      <c r="BA15" s="2595"/>
      <c r="BB15" s="2595"/>
    </row>
    <row r="16" spans="1:79" s="2595" customFormat="1" ht="18" customHeight="1">
      <c r="A16" s="1127"/>
      <c r="B16" s="1179"/>
      <c r="C16" s="4507" t="s">
        <v>148</v>
      </c>
      <c r="D16" s="5774" t="s">
        <v>5924</v>
      </c>
      <c r="E16" s="1179"/>
      <c r="F16" s="1179"/>
      <c r="G16" s="1179"/>
      <c r="H16" s="1179"/>
      <c r="I16" s="1179"/>
      <c r="J16" s="1179"/>
      <c r="K16" s="1179"/>
      <c r="L16" s="1179"/>
      <c r="M16" s="1179"/>
      <c r="N16" s="1179"/>
      <c r="O16" s="1179"/>
      <c r="P16" s="1179"/>
      <c r="Q16" s="1179"/>
      <c r="R16" s="1179"/>
      <c r="S16" s="1179"/>
      <c r="T16" s="1179"/>
      <c r="U16" s="1179"/>
      <c r="V16" s="1179"/>
      <c r="W16" s="3769"/>
      <c r="X16" s="1558"/>
      <c r="Y16" s="1581"/>
      <c r="Z16" s="1574"/>
      <c r="AA16" s="1574"/>
      <c r="AB16" s="1574"/>
      <c r="AC16" s="9138" t="b">
        <f>AND(AK12="",OR(V12,T15,AE14))</f>
        <v>0</v>
      </c>
      <c r="AD16" s="9139"/>
      <c r="AE16" s="1179"/>
      <c r="AF16" s="1179"/>
      <c r="AG16" s="1179"/>
      <c r="AH16" s="1179"/>
      <c r="AI16" s="9138" t="b">
        <f>AND(AK12="",OR(V12,V15,AH14))</f>
        <v>0</v>
      </c>
      <c r="AJ16" s="9138"/>
      <c r="AK16" s="1127"/>
      <c r="AL16" s="1179"/>
      <c r="AM16" s="1179"/>
      <c r="AN16" s="1179"/>
      <c r="AO16" s="1179"/>
      <c r="AP16" s="1179"/>
      <c r="AQ16" s="1179"/>
      <c r="AR16" s="1179"/>
      <c r="AS16" s="1179"/>
      <c r="AT16" s="590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row>
    <row r="17" spans="1:79" s="2595" customFormat="1" ht="15" customHeight="1">
      <c r="A17" s="1127"/>
      <c r="B17" s="1179"/>
      <c r="C17" s="4507"/>
      <c r="D17" s="5774" t="str">
        <f>"designated beneficiary for "&amp;TaxYear&amp;"."</f>
        <v>designated beneficiary for 2021.</v>
      </c>
      <c r="E17" s="1179"/>
      <c r="F17" s="1179"/>
      <c r="G17" s="1179"/>
      <c r="H17" s="1179"/>
      <c r="I17" s="1179"/>
      <c r="J17" s="1179"/>
      <c r="K17" s="1179"/>
      <c r="L17" s="1179"/>
      <c r="M17" s="5774" t="s">
        <v>5965</v>
      </c>
      <c r="N17" s="1179"/>
      <c r="O17" s="1179"/>
      <c r="P17" s="1179"/>
      <c r="Q17" s="1179"/>
      <c r="R17" s="1179"/>
      <c r="S17" s="1179"/>
      <c r="T17" s="1179"/>
      <c r="U17" s="1179"/>
      <c r="V17" s="1179"/>
      <c r="W17" s="3769"/>
      <c r="X17" s="2224" t="s">
        <v>148</v>
      </c>
      <c r="Y17" s="9534"/>
      <c r="Z17" s="9535"/>
      <c r="AA17" s="9535"/>
      <c r="AB17" s="9535"/>
      <c r="AC17" s="9535"/>
      <c r="AD17" s="9535"/>
      <c r="AE17" s="9534"/>
      <c r="AF17" s="9535"/>
      <c r="AG17" s="9535"/>
      <c r="AH17" s="9535"/>
      <c r="AI17" s="9535"/>
      <c r="AJ17" s="6708"/>
      <c r="AK17" s="1127"/>
      <c r="AL17" s="1179"/>
      <c r="AM17" s="1179"/>
      <c r="AN17" s="1179"/>
      <c r="AO17" s="1179"/>
      <c r="AP17" s="1179"/>
      <c r="AQ17" s="1179"/>
      <c r="AR17" s="1179"/>
      <c r="AS17" s="1179"/>
      <c r="AT17" s="590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row>
    <row r="18" spans="1:79" s="2595" customFormat="1" ht="15" customHeight="1">
      <c r="A18" s="1127"/>
      <c r="B18" s="1179"/>
      <c r="C18" s="4507" t="s">
        <v>149</v>
      </c>
      <c r="D18" s="5774" t="s">
        <v>5944</v>
      </c>
      <c r="E18" s="1179"/>
      <c r="F18" s="1276"/>
      <c r="G18" s="1179"/>
      <c r="H18" s="1179"/>
      <c r="I18" s="1179"/>
      <c r="J18" s="1179"/>
      <c r="K18" s="1179"/>
      <c r="L18" s="1179"/>
      <c r="M18" s="1179"/>
      <c r="N18" s="1179"/>
      <c r="O18" s="1179"/>
      <c r="P18" s="1179"/>
      <c r="Q18" s="1179"/>
      <c r="R18" s="1179"/>
      <c r="S18" s="1179"/>
      <c r="T18" s="1179"/>
      <c r="U18" s="1179"/>
      <c r="V18" s="1179"/>
      <c r="W18" s="3769"/>
      <c r="X18" s="1558"/>
      <c r="Y18" s="1581"/>
      <c r="Z18" s="1574"/>
      <c r="AA18" s="1574"/>
      <c r="AB18" s="1574"/>
      <c r="AC18" s="1574"/>
      <c r="AD18" s="1575"/>
      <c r="AE18" s="1179"/>
      <c r="AF18" s="1179"/>
      <c r="AG18" s="1179"/>
      <c r="AH18" s="1179"/>
      <c r="AI18" s="1179"/>
      <c r="AJ18" s="1179"/>
      <c r="AK18" s="1127"/>
      <c r="AL18" s="1179"/>
      <c r="AM18" s="1179"/>
      <c r="AN18" s="1179"/>
      <c r="AO18" s="1179"/>
      <c r="AP18" s="1179"/>
      <c r="AQ18" s="1179"/>
      <c r="AR18" s="1179"/>
      <c r="AS18" s="1179"/>
      <c r="AT18" s="590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row>
    <row r="19" spans="1:79" s="2595" customFormat="1" ht="15" customHeight="1" thickBot="1">
      <c r="A19" s="1127"/>
      <c r="B19" s="1179"/>
      <c r="C19" s="4507"/>
      <c r="D19" s="5774" t="str">
        <f>"contributions, and 501(c)(18)(D) plan contributions for "&amp;TaxYear&amp;" (see instructions)"</f>
        <v>contributions, and 501(c)(18)(D) plan contributions for 2021 (see instructions)</v>
      </c>
      <c r="E19" s="1179"/>
      <c r="F19" s="1179"/>
      <c r="G19" s="1179"/>
      <c r="H19" s="1179"/>
      <c r="I19" s="1179"/>
      <c r="J19" s="1179"/>
      <c r="K19" s="1179"/>
      <c r="L19" s="1179"/>
      <c r="M19" s="1179"/>
      <c r="N19" s="1179"/>
      <c r="O19" s="1179"/>
      <c r="P19" s="1179"/>
      <c r="Q19" s="1179"/>
      <c r="R19" s="1179"/>
      <c r="S19" s="1179"/>
      <c r="T19" s="1179"/>
      <c r="U19" s="1179"/>
      <c r="V19" s="1179"/>
      <c r="W19" s="3769"/>
      <c r="X19" s="4372" t="s">
        <v>149</v>
      </c>
      <c r="Y19" s="9542"/>
      <c r="Z19" s="9543"/>
      <c r="AA19" s="9543"/>
      <c r="AB19" s="9543"/>
      <c r="AC19" s="9543"/>
      <c r="AD19" s="9543"/>
      <c r="AE19" s="9542"/>
      <c r="AF19" s="9543"/>
      <c r="AG19" s="9543"/>
      <c r="AH19" s="9543"/>
      <c r="AI19" s="9543"/>
      <c r="AJ19" s="8782"/>
      <c r="AK19" s="1127"/>
      <c r="AL19" s="1179"/>
      <c r="AM19" s="1179"/>
      <c r="AN19" s="1179"/>
      <c r="AO19" s="1179"/>
      <c r="AP19" s="1179"/>
      <c r="AQ19" s="1179"/>
      <c r="AR19" s="1179"/>
      <c r="AS19" s="1179"/>
      <c r="AT19" s="590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row>
    <row r="20" spans="1:79" s="2595" customFormat="1" ht="15.75">
      <c r="A20" s="1127"/>
      <c r="B20" s="1179"/>
      <c r="C20" s="4507" t="s">
        <v>150</v>
      </c>
      <c r="D20" s="5774" t="s">
        <v>2103</v>
      </c>
      <c r="E20" s="1179"/>
      <c r="F20" s="1179"/>
      <c r="G20" s="1179"/>
      <c r="H20" s="1179"/>
      <c r="I20" s="1179"/>
      <c r="J20" s="1179"/>
      <c r="K20" s="1179"/>
      <c r="L20" s="1179"/>
      <c r="M20" s="1179"/>
      <c r="N20" s="1179"/>
      <c r="O20" s="1179"/>
      <c r="P20" s="1179"/>
      <c r="Q20" s="1179"/>
      <c r="R20" s="1179"/>
      <c r="S20" s="1179"/>
      <c r="T20" s="1179"/>
      <c r="U20" s="1179"/>
      <c r="V20" s="1179"/>
      <c r="W20" s="3769"/>
      <c r="X20" s="6098" t="s">
        <v>150</v>
      </c>
      <c r="Y20" s="9544">
        <f>IF(AC16,"",SUM(ROUND(Y17,0),ROUND(Y19,0)))</f>
        <v>0</v>
      </c>
      <c r="Z20" s="9545"/>
      <c r="AA20" s="9545"/>
      <c r="AB20" s="9545"/>
      <c r="AC20" s="9545"/>
      <c r="AD20" s="9545"/>
      <c r="AE20" s="9544">
        <f>IF(AI16,"",SUM(ROUND(AE17,0),ROUND(AE19,0)))</f>
        <v>0</v>
      </c>
      <c r="AF20" s="9545"/>
      <c r="AG20" s="9545"/>
      <c r="AH20" s="9545"/>
      <c r="AI20" s="9545"/>
      <c r="AJ20" s="9545"/>
      <c r="AK20" s="1127"/>
      <c r="AL20" s="1179"/>
      <c r="AM20" s="1179"/>
      <c r="AN20" s="1179"/>
      <c r="AO20" s="1179"/>
      <c r="AP20" s="1179"/>
      <c r="AQ20" s="1179"/>
      <c r="AR20" s="1179"/>
      <c r="AS20" s="1179"/>
      <c r="AT20" s="590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row>
    <row r="21" spans="1:79" s="2595" customFormat="1" ht="15.75">
      <c r="A21" s="1127"/>
      <c r="B21" s="1179"/>
      <c r="C21" s="4507" t="s">
        <v>151</v>
      </c>
      <c r="D21" s="5774" t="s">
        <v>5963</v>
      </c>
      <c r="E21" s="1179"/>
      <c r="F21" s="1179"/>
      <c r="G21" s="1179"/>
      <c r="H21" s="1179"/>
      <c r="I21" s="1179"/>
      <c r="J21" s="1179"/>
      <c r="K21" s="1179"/>
      <c r="L21" s="1179"/>
      <c r="M21" s="9594">
        <f>TaxYear-3</f>
        <v>2018</v>
      </c>
      <c r="N21" s="9594"/>
      <c r="O21" s="5774" t="s">
        <v>5964</v>
      </c>
      <c r="P21" s="1179"/>
      <c r="Q21" s="1179"/>
      <c r="R21" s="1179"/>
      <c r="S21" s="1556"/>
      <c r="T21" s="1179"/>
      <c r="U21" s="1179"/>
      <c r="V21" s="1560"/>
      <c r="W21" s="3769"/>
      <c r="X21" s="3006"/>
      <c r="Y21" s="6088"/>
      <c r="Z21" s="6089"/>
      <c r="AA21" s="6089"/>
      <c r="AB21" s="6089"/>
      <c r="AC21" s="6089"/>
      <c r="AD21" s="1575"/>
      <c r="AE21" s="3072"/>
      <c r="AF21" s="3072"/>
      <c r="AG21" s="3072"/>
      <c r="AH21" s="3072"/>
      <c r="AI21" s="3072"/>
      <c r="AJ21" s="3072"/>
      <c r="AK21" s="1127"/>
      <c r="AL21" s="1179"/>
      <c r="AM21" s="1179"/>
      <c r="AN21" s="1179"/>
      <c r="AO21" s="1179"/>
      <c r="AP21" s="1179"/>
      <c r="AQ21" s="1179"/>
      <c r="AR21" s="1179"/>
      <c r="AS21" s="1179"/>
      <c r="AT21" s="590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row>
    <row r="22" spans="1:79" s="2595" customFormat="1" ht="15.75">
      <c r="A22" s="1127"/>
      <c r="B22" s="1179"/>
      <c r="C22" s="4507"/>
      <c r="D22" s="5774" t="str">
        <f>"extensions) of your "&amp;TaxYear&amp;" tax return (see instructions). If married filing jointly,"</f>
        <v>extensions) of your 2021 tax return (see instructions). If married filing jointly,</v>
      </c>
      <c r="E22" s="1179"/>
      <c r="F22" s="1179"/>
      <c r="G22" s="1179"/>
      <c r="H22" s="1179"/>
      <c r="I22" s="1179"/>
      <c r="J22" s="1179"/>
      <c r="K22" s="1179"/>
      <c r="L22" s="1179"/>
      <c r="M22" s="1179"/>
      <c r="N22" s="1179"/>
      <c r="O22" s="1179"/>
      <c r="P22" s="1179"/>
      <c r="Q22" s="1560"/>
      <c r="R22" s="1560"/>
      <c r="S22" s="1179"/>
      <c r="T22" s="1179"/>
      <c r="U22" s="1179"/>
      <c r="V22" s="1179"/>
      <c r="W22" s="3769"/>
      <c r="X22" s="3004"/>
      <c r="Y22" s="6091"/>
      <c r="Z22" s="6092"/>
      <c r="AA22" s="6092"/>
      <c r="AB22" s="6092"/>
      <c r="AC22" s="6092"/>
      <c r="AD22" s="1583"/>
      <c r="AE22" s="2686"/>
      <c r="AF22" s="2686"/>
      <c r="AG22" s="2686"/>
      <c r="AH22" s="2686"/>
      <c r="AI22" s="2686"/>
      <c r="AJ22" s="2686"/>
      <c r="AK22" s="1127"/>
      <c r="AL22" s="1179"/>
      <c r="AM22" s="1179"/>
      <c r="AN22" s="1179"/>
      <c r="AO22" s="1179"/>
      <c r="AP22" s="1179"/>
      <c r="AQ22" s="1179"/>
      <c r="AR22" s="1179"/>
      <c r="AS22" s="1179"/>
      <c r="AT22" s="590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row>
    <row r="23" spans="1:79" s="2595" customFormat="1" ht="16.5" thickBot="1">
      <c r="A23" s="681" t="s">
        <v>660</v>
      </c>
      <c r="B23" s="1179"/>
      <c r="C23" s="4507"/>
      <c r="D23" s="5774" t="s">
        <v>5926</v>
      </c>
      <c r="E23" s="1179"/>
      <c r="F23" s="1179"/>
      <c r="G23" s="1179"/>
      <c r="H23" s="1179"/>
      <c r="I23" s="1179"/>
      <c r="J23" s="1179"/>
      <c r="K23" s="1179"/>
      <c r="L23" s="1179"/>
      <c r="M23" s="1179"/>
      <c r="N23" s="1179"/>
      <c r="O23" s="1179"/>
      <c r="P23" s="1179"/>
      <c r="Q23" s="1560"/>
      <c r="R23" s="1560"/>
      <c r="S23" s="1179"/>
      <c r="T23" s="1179"/>
      <c r="U23" s="1179"/>
      <c r="V23" s="1560"/>
      <c r="W23" s="3769"/>
      <c r="X23" s="2214" t="s">
        <v>151</v>
      </c>
      <c r="Y23" s="8782"/>
      <c r="Z23" s="8786"/>
      <c r="AA23" s="8786"/>
      <c r="AB23" s="8786"/>
      <c r="AC23" s="8786"/>
      <c r="AD23" s="8787"/>
      <c r="AE23" s="8782"/>
      <c r="AF23" s="8786"/>
      <c r="AG23" s="8786"/>
      <c r="AH23" s="8786"/>
      <c r="AI23" s="8786"/>
      <c r="AJ23" s="8787"/>
      <c r="AK23" s="1127"/>
      <c r="AL23" s="1179"/>
      <c r="AM23" s="1179"/>
      <c r="AN23" s="1179"/>
      <c r="AO23" s="1179"/>
      <c r="AP23" s="1179"/>
      <c r="AQ23" s="1179"/>
      <c r="AR23" s="1179"/>
      <c r="AS23" s="1179"/>
      <c r="AT23" s="590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row>
    <row r="24" spans="1:79" s="2595" customFormat="1" ht="15.75">
      <c r="A24" s="681" t="s">
        <v>660</v>
      </c>
      <c r="B24" s="1179"/>
      <c r="C24" s="4507" t="s">
        <v>200</v>
      </c>
      <c r="D24" s="5774" t="s">
        <v>495</v>
      </c>
      <c r="E24" s="1179"/>
      <c r="F24" s="1179"/>
      <c r="G24" s="1179"/>
      <c r="H24" s="1179"/>
      <c r="I24" s="1179"/>
      <c r="J24" s="1179"/>
      <c r="K24" s="1179"/>
      <c r="L24" s="1179"/>
      <c r="M24" s="1179"/>
      <c r="N24" s="1179"/>
      <c r="O24" s="1179"/>
      <c r="P24" s="1179"/>
      <c r="Q24" s="1560"/>
      <c r="R24" s="1560"/>
      <c r="S24" s="1179"/>
      <c r="T24" s="1179"/>
      <c r="U24" s="1179"/>
      <c r="V24" s="1560"/>
      <c r="W24" s="3769"/>
      <c r="X24" s="6098" t="s">
        <v>200</v>
      </c>
      <c r="Y24" s="9553">
        <f>IF(AC16,"",IF(Y23="",MAX(0,Y20),MAX(0,SUM(Y20,-ROUND(Y23,0)))))</f>
        <v>0</v>
      </c>
      <c r="Z24" s="9554"/>
      <c r="AA24" s="9554"/>
      <c r="AB24" s="9554"/>
      <c r="AC24" s="9554"/>
      <c r="AD24" s="9555"/>
      <c r="AE24" s="9553">
        <f>IF(AI16,"",IF(AE23="",MAX(0,AE20),MAX(0,SUM(AE20,-ROUND(AE23,0)))))</f>
        <v>0</v>
      </c>
      <c r="AF24" s="9554"/>
      <c r="AG24" s="9554"/>
      <c r="AH24" s="9554"/>
      <c r="AI24" s="9554"/>
      <c r="AJ24" s="9555"/>
      <c r="AK24" s="1127"/>
      <c r="AL24" s="1179"/>
      <c r="AM24" s="1179"/>
      <c r="AN24" s="1179"/>
      <c r="AO24" s="1179"/>
      <c r="AP24" s="1179"/>
      <c r="AQ24" s="1179"/>
      <c r="AR24" s="1179"/>
      <c r="AS24" s="1179"/>
      <c r="AT24" s="590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row>
    <row r="25" spans="1:79" s="2595" customFormat="1" ht="16.5" thickBot="1">
      <c r="A25" s="1127"/>
      <c r="B25" s="1179"/>
      <c r="C25" s="4507" t="s">
        <v>101</v>
      </c>
      <c r="D25" s="5774" t="s">
        <v>5962</v>
      </c>
      <c r="E25" s="1179"/>
      <c r="F25" s="1179"/>
      <c r="G25" s="1179"/>
      <c r="H25" s="1179"/>
      <c r="I25" s="1179"/>
      <c r="J25" s="1179"/>
      <c r="K25" s="1179"/>
      <c r="L25" s="1179"/>
      <c r="M25" s="5774" t="str">
        <f>"line 5 or "&amp;TEXT(V25,"$0,000")</f>
        <v>line 5 or $2,000</v>
      </c>
      <c r="N25" s="1179"/>
      <c r="O25" s="1179"/>
      <c r="P25" s="1179"/>
      <c r="Q25" s="1179"/>
      <c r="R25" s="1179"/>
      <c r="S25" s="1556"/>
      <c r="T25" s="1179"/>
      <c r="U25" s="1179"/>
      <c r="V25" s="9488">
        <v>2000</v>
      </c>
      <c r="W25" s="9601"/>
      <c r="X25" s="6099" t="s">
        <v>101</v>
      </c>
      <c r="Y25" s="9556">
        <f>IF(AC16,"",MIN(Y24,$V$25))</f>
        <v>0</v>
      </c>
      <c r="Z25" s="9557"/>
      <c r="AA25" s="9557"/>
      <c r="AB25" s="9557"/>
      <c r="AC25" s="9557"/>
      <c r="AD25" s="9558"/>
      <c r="AE25" s="9556">
        <f>IF(AI16,"",MIN(AE24,$V$25))</f>
        <v>0</v>
      </c>
      <c r="AF25" s="9557"/>
      <c r="AG25" s="9557"/>
      <c r="AH25" s="9557"/>
      <c r="AI25" s="9557"/>
      <c r="AJ25" s="9558"/>
      <c r="AK25" s="1127"/>
      <c r="AL25" s="1179"/>
      <c r="AM25" s="1179"/>
      <c r="AN25" s="1179"/>
      <c r="AO25" s="1179"/>
      <c r="AP25" s="1179"/>
      <c r="AQ25" s="1179"/>
      <c r="AR25" s="1179"/>
      <c r="AS25" s="1179"/>
      <c r="AT25" s="590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row>
    <row r="26" spans="1:79" s="2595" customFormat="1" ht="15.75">
      <c r="A26" s="1127"/>
      <c r="B26" s="1179"/>
      <c r="C26" s="4507" t="s">
        <v>102</v>
      </c>
      <c r="D26" s="5774" t="s">
        <v>5960</v>
      </c>
      <c r="E26" s="1179"/>
      <c r="F26" s="1179"/>
      <c r="G26" s="1179"/>
      <c r="H26" s="1179"/>
      <c r="I26" s="1179"/>
      <c r="J26" s="1179"/>
      <c r="K26" s="5774" t="s">
        <v>5961</v>
      </c>
      <c r="L26" s="1179"/>
      <c r="M26" s="1179"/>
      <c r="N26" s="1179"/>
      <c r="O26" s="1179"/>
      <c r="P26" s="1179"/>
      <c r="Q26" s="1179"/>
      <c r="R26" s="1179"/>
      <c r="S26" s="1179"/>
      <c r="T26" s="1179"/>
      <c r="U26" s="1179"/>
      <c r="V26" s="1179"/>
      <c r="W26" s="1179"/>
      <c r="X26" s="1179"/>
      <c r="Y26" s="1179"/>
      <c r="Z26" s="1179"/>
      <c r="AA26" s="1179"/>
      <c r="AB26" s="9577" t="b">
        <f>AE26=0</f>
        <v>1</v>
      </c>
      <c r="AC26" s="9578"/>
      <c r="AD26" s="6098" t="s">
        <v>102</v>
      </c>
      <c r="AE26" s="9562">
        <f>SUM(Y25,AE25)</f>
        <v>0</v>
      </c>
      <c r="AF26" s="9563"/>
      <c r="AG26" s="9563"/>
      <c r="AH26" s="9563"/>
      <c r="AI26" s="9563"/>
      <c r="AJ26" s="9564"/>
      <c r="AK26" s="1127"/>
      <c r="AL26" s="1179"/>
      <c r="AM26" s="3988" t="s">
        <v>5954</v>
      </c>
      <c r="AN26" s="1179"/>
      <c r="AO26" s="1179"/>
      <c r="AP26" s="1179"/>
      <c r="AQ26" s="1179"/>
      <c r="AR26" s="1179"/>
      <c r="AS26" s="1179"/>
      <c r="AT26" s="590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row>
    <row r="27" spans="1:79" s="2595" customFormat="1" ht="15.75">
      <c r="A27" s="1127"/>
      <c r="B27" s="1179"/>
      <c r="C27" s="4507" t="s">
        <v>103</v>
      </c>
      <c r="D27" s="5774" t="s">
        <v>5925</v>
      </c>
      <c r="E27" s="1179"/>
      <c r="F27" s="1179"/>
      <c r="G27" s="1179"/>
      <c r="H27" s="1179"/>
      <c r="I27" s="1179"/>
      <c r="J27" s="1179"/>
      <c r="K27" s="1179"/>
      <c r="L27" s="1179"/>
      <c r="M27" s="1179"/>
      <c r="N27" s="1179"/>
      <c r="O27" s="1179"/>
      <c r="P27" s="1179"/>
      <c r="Q27" s="1179"/>
      <c r="R27" s="1179"/>
      <c r="S27" s="1179"/>
      <c r="T27" s="1179"/>
      <c r="U27" s="1179"/>
      <c r="V27" s="1179"/>
      <c r="W27" s="1557">
        <v>8</v>
      </c>
      <c r="X27" s="9559" t="str">
        <f>IF(OR(AB26,AND(V12,AK12="")),"",Adj_Gross_Inc)</f>
        <v/>
      </c>
      <c r="Y27" s="9560"/>
      <c r="Z27" s="9560"/>
      <c r="AA27" s="9560"/>
      <c r="AB27" s="9560"/>
      <c r="AC27" s="9560"/>
      <c r="AD27" s="1561"/>
      <c r="AE27" s="2686"/>
      <c r="AF27" s="2686"/>
      <c r="AG27" s="2686"/>
      <c r="AH27" s="2686"/>
      <c r="AI27" s="2686"/>
      <c r="AJ27" s="2686"/>
      <c r="AK27" s="1127"/>
      <c r="AL27" s="1179"/>
      <c r="AM27" s="2686" t="s">
        <v>5951</v>
      </c>
      <c r="AN27" s="1179"/>
      <c r="AO27" s="1179"/>
      <c r="AP27" s="1179"/>
      <c r="AQ27" s="1179"/>
      <c r="AR27" s="1179"/>
      <c r="AS27" s="1179"/>
      <c r="AT27" s="590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row>
    <row r="28" spans="1:79" s="2595" customFormat="1" ht="15.75">
      <c r="A28" s="1127"/>
      <c r="B28" s="1179"/>
      <c r="C28" s="4507" t="s">
        <v>104</v>
      </c>
      <c r="D28" s="5774" t="s">
        <v>5927</v>
      </c>
      <c r="E28" s="1179"/>
      <c r="F28" s="1179"/>
      <c r="G28" s="1179"/>
      <c r="H28" s="1179"/>
      <c r="I28" s="1179"/>
      <c r="J28" s="1179"/>
      <c r="K28" s="1179"/>
      <c r="L28" s="1179"/>
      <c r="M28" s="1179"/>
      <c r="N28" s="1179"/>
      <c r="O28" s="1179"/>
      <c r="P28" s="1179"/>
      <c r="Q28" s="1179"/>
      <c r="R28" s="1179"/>
      <c r="S28" s="1179"/>
      <c r="T28" s="1179"/>
      <c r="U28" s="1179"/>
      <c r="V28" s="1179"/>
      <c r="W28" s="1179"/>
      <c r="X28" s="1179"/>
      <c r="Y28" s="1179"/>
      <c r="Z28" s="1179"/>
      <c r="AA28" s="1179"/>
      <c r="AB28" s="1179"/>
      <c r="AC28" s="1179"/>
      <c r="AD28" s="1561"/>
      <c r="AE28" s="2686"/>
      <c r="AF28" s="2686"/>
      <c r="AG28" s="2686"/>
      <c r="AH28" s="2686"/>
      <c r="AI28" s="2686"/>
      <c r="AJ28" s="2686"/>
      <c r="AK28" s="1127"/>
      <c r="AL28" s="1179"/>
      <c r="AM28" s="2686" t="s">
        <v>5952</v>
      </c>
      <c r="AN28" s="1179"/>
      <c r="AO28" s="1179"/>
      <c r="AP28" s="1179"/>
      <c r="AQ28" s="1179"/>
      <c r="AR28" s="1179"/>
      <c r="AS28" s="1179"/>
      <c r="AT28" s="590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row>
    <row r="29" spans="1:79" s="2595" customFormat="1" ht="15.75">
      <c r="A29" s="1127"/>
      <c r="B29" s="1179"/>
      <c r="C29" s="4507"/>
      <c r="D29" s="5774"/>
      <c r="E29" s="1179"/>
      <c r="F29" s="1179"/>
      <c r="G29" s="1179"/>
      <c r="H29" s="1179"/>
      <c r="I29" s="1179"/>
      <c r="J29" s="1179"/>
      <c r="K29" s="1179"/>
      <c r="L29" s="9599" t="e">
        <f>IF($X$27&lt;$D35,L34,LOOKUP($X$27,$D35:$D43,L35:L43))</f>
        <v>#N/A</v>
      </c>
      <c r="M29" s="9599"/>
      <c r="N29" s="9599"/>
      <c r="O29" s="9599"/>
      <c r="P29" s="9599" t="e">
        <f>IF($X$27&lt;$D35,P34,LOOKUP($X$27,$D35:$D43,P35:P43))</f>
        <v>#N/A</v>
      </c>
      <c r="Q29" s="9599"/>
      <c r="R29" s="9599"/>
      <c r="S29" s="9599"/>
      <c r="T29" s="6101"/>
      <c r="U29" s="6101"/>
      <c r="V29" s="6101"/>
      <c r="W29" s="9599" t="e">
        <f>IF($X$27&lt;$D35,T34,LOOKUP($X$27,$D35:$D43,T35:T43))</f>
        <v>#N/A</v>
      </c>
      <c r="X29" s="9599"/>
      <c r="Y29" s="9599"/>
      <c r="Z29" s="9599"/>
      <c r="AA29" s="1179"/>
      <c r="AB29" s="1179"/>
      <c r="AC29" s="1179"/>
      <c r="AD29" s="1561"/>
      <c r="AE29" s="2686"/>
      <c r="AF29" s="2686"/>
      <c r="AG29" s="2686"/>
      <c r="AH29" s="2686"/>
      <c r="AI29" s="2686"/>
      <c r="AJ29" s="2686"/>
      <c r="AK29" s="1127"/>
      <c r="AL29" s="1179"/>
      <c r="AM29" s="2686" t="s">
        <v>5953</v>
      </c>
      <c r="AN29" s="1179"/>
      <c r="AO29" s="1179"/>
      <c r="AP29" s="1179"/>
      <c r="AQ29" s="1179"/>
      <c r="AR29" s="1179"/>
      <c r="AS29" s="1179"/>
      <c r="AT29" s="590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row>
    <row r="30" spans="1:79" s="2595" customFormat="1" ht="15.75">
      <c r="A30" s="1127"/>
      <c r="B30" s="1179"/>
      <c r="C30" s="4507"/>
      <c r="D30" s="9595" t="s">
        <v>5966</v>
      </c>
      <c r="E30" s="9596"/>
      <c r="F30" s="9596"/>
      <c r="G30" s="9596"/>
      <c r="H30" s="9596"/>
      <c r="I30" s="9596"/>
      <c r="J30" s="9596"/>
      <c r="K30" s="9597"/>
      <c r="L30" s="7197" t="s">
        <v>5967</v>
      </c>
      <c r="M30" s="7380"/>
      <c r="N30" s="7380"/>
      <c r="O30" s="7380"/>
      <c r="P30" s="7380"/>
      <c r="Q30" s="7380"/>
      <c r="R30" s="7380"/>
      <c r="S30" s="7380"/>
      <c r="T30" s="7380"/>
      <c r="U30" s="7380"/>
      <c r="V30" s="7380"/>
      <c r="W30" s="7380"/>
      <c r="X30" s="7380"/>
      <c r="Y30" s="7380"/>
      <c r="Z30" s="9598"/>
      <c r="AA30" s="1179"/>
      <c r="AB30" s="1179"/>
      <c r="AC30" s="1179"/>
      <c r="AD30" s="1561"/>
      <c r="AE30" s="2686"/>
      <c r="AF30" s="2686"/>
      <c r="AG30" s="2686"/>
      <c r="AH30" s="2686"/>
      <c r="AI30" s="2686"/>
      <c r="AJ30" s="2686"/>
      <c r="AK30" s="1127"/>
      <c r="AL30" s="1179"/>
      <c r="AM30" s="1179"/>
      <c r="AN30" s="1179"/>
      <c r="AO30" s="1179"/>
      <c r="AP30" s="1179"/>
      <c r="AQ30" s="1179"/>
      <c r="AR30" s="1179"/>
      <c r="AS30" s="1179"/>
      <c r="AT30" s="590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row>
    <row r="31" spans="1:79" s="2595" customFormat="1" ht="15.75">
      <c r="A31" s="1127"/>
      <c r="B31" s="1179"/>
      <c r="C31" s="4507"/>
      <c r="D31" s="9586" t="s">
        <v>5932</v>
      </c>
      <c r="E31" s="6869"/>
      <c r="F31" s="6869"/>
      <c r="G31" s="7127"/>
      <c r="H31" s="9586" t="s">
        <v>5933</v>
      </c>
      <c r="I31" s="6869"/>
      <c r="J31" s="6869"/>
      <c r="K31" s="7127"/>
      <c r="L31" s="9565" t="s">
        <v>5930</v>
      </c>
      <c r="M31" s="9566"/>
      <c r="N31" s="9566"/>
      <c r="O31" s="9567"/>
      <c r="P31" s="9565" t="s">
        <v>5931</v>
      </c>
      <c r="Q31" s="9566"/>
      <c r="R31" s="9566"/>
      <c r="S31" s="9567"/>
      <c r="T31" s="9565" t="s">
        <v>5928</v>
      </c>
      <c r="U31" s="9566"/>
      <c r="V31" s="9566"/>
      <c r="W31" s="9566"/>
      <c r="X31" s="9566"/>
      <c r="Y31" s="9566"/>
      <c r="Z31" s="9567"/>
      <c r="AA31" s="1179"/>
      <c r="AB31" s="1179"/>
      <c r="AC31" s="1179"/>
      <c r="AD31" s="1561"/>
      <c r="AE31" s="2686"/>
      <c r="AF31" s="2686"/>
      <c r="AG31" s="2686"/>
      <c r="AH31" s="2686"/>
      <c r="AI31" s="2686"/>
      <c r="AJ31" s="2686"/>
      <c r="AK31" s="1127"/>
      <c r="AL31" s="1179"/>
      <c r="AM31" s="1581"/>
      <c r="AN31" s="2699" t="s">
        <v>5950</v>
      </c>
      <c r="AO31" s="1574"/>
      <c r="AP31" s="1574"/>
      <c r="AQ31" s="1574"/>
      <c r="AR31" s="1575"/>
      <c r="AS31" s="1179"/>
      <c r="AT31" s="590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row>
    <row r="32" spans="1:79" s="2595" customFormat="1" ht="15.75">
      <c r="A32" s="1127"/>
      <c r="B32" s="1179"/>
      <c r="C32" s="4507"/>
      <c r="D32" s="7262"/>
      <c r="E32" s="7263"/>
      <c r="F32" s="7263"/>
      <c r="G32" s="7130"/>
      <c r="H32" s="7262"/>
      <c r="I32" s="7263"/>
      <c r="J32" s="7263"/>
      <c r="K32" s="7130"/>
      <c r="L32" s="9568"/>
      <c r="M32" s="9569"/>
      <c r="N32" s="9569"/>
      <c r="O32" s="9570"/>
      <c r="P32" s="9568"/>
      <c r="Q32" s="9569"/>
      <c r="R32" s="9569"/>
      <c r="S32" s="9570"/>
      <c r="T32" s="9568"/>
      <c r="U32" s="9569"/>
      <c r="V32" s="9569"/>
      <c r="W32" s="9569"/>
      <c r="X32" s="9569"/>
      <c r="Y32" s="9569"/>
      <c r="Z32" s="9570"/>
      <c r="AA32" s="1179"/>
      <c r="AB32" s="1179"/>
      <c r="AC32" s="1179"/>
      <c r="AD32" s="1561"/>
      <c r="AE32" s="2686"/>
      <c r="AF32" s="2686"/>
      <c r="AG32" s="2686"/>
      <c r="AH32" s="2686"/>
      <c r="AI32" s="2686"/>
      <c r="AJ32" s="2686"/>
      <c r="AK32" s="1127"/>
      <c r="AL32" s="1179"/>
      <c r="AM32" s="1582"/>
      <c r="AN32" s="2686" t="s">
        <v>5949</v>
      </c>
      <c r="AO32" s="1179"/>
      <c r="AP32" s="1179"/>
      <c r="AQ32" s="1179"/>
      <c r="AR32" s="1583"/>
      <c r="AS32" s="1179"/>
      <c r="AT32" s="590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row>
    <row r="33" spans="1:79" s="2595" customFormat="1" ht="15.75">
      <c r="A33" s="1127"/>
      <c r="B33" s="1179"/>
      <c r="C33" s="4507"/>
      <c r="D33" s="7264"/>
      <c r="E33" s="7265"/>
      <c r="F33" s="7265"/>
      <c r="G33" s="7133"/>
      <c r="H33" s="7264"/>
      <c r="I33" s="7265"/>
      <c r="J33" s="7265"/>
      <c r="K33" s="7133"/>
      <c r="L33" s="8528" t="s">
        <v>5929</v>
      </c>
      <c r="M33" s="7217"/>
      <c r="N33" s="7217"/>
      <c r="O33" s="7217"/>
      <c r="P33" s="7217"/>
      <c r="Q33" s="7217"/>
      <c r="R33" s="7217"/>
      <c r="S33" s="9585"/>
      <c r="T33" s="9571"/>
      <c r="U33" s="9572"/>
      <c r="V33" s="9572"/>
      <c r="W33" s="9572"/>
      <c r="X33" s="9572"/>
      <c r="Y33" s="9572"/>
      <c r="Z33" s="9573"/>
      <c r="AA33" s="1179"/>
      <c r="AB33" s="1179"/>
      <c r="AC33" s="1179"/>
      <c r="AD33" s="1561"/>
      <c r="AE33" s="2686"/>
      <c r="AF33" s="2686"/>
      <c r="AG33" s="2686"/>
      <c r="AH33" s="2686"/>
      <c r="AI33" s="2686"/>
      <c r="AJ33" s="2686"/>
      <c r="AK33" s="1127"/>
      <c r="AL33" s="1179"/>
      <c r="AM33" s="1582"/>
      <c r="AN33" s="1179"/>
      <c r="AO33" s="1179"/>
      <c r="AP33" s="1179"/>
      <c r="AQ33" s="1179"/>
      <c r="AR33" s="1583"/>
      <c r="AS33" s="1179"/>
      <c r="AT33" s="590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row>
    <row r="34" spans="1:79" s="2595" customFormat="1" ht="15.75">
      <c r="A34" s="1127"/>
      <c r="B34" s="1179"/>
      <c r="C34" s="4507"/>
      <c r="D34" s="9587" t="s">
        <v>709</v>
      </c>
      <c r="E34" s="9588"/>
      <c r="F34" s="9588"/>
      <c r="G34" s="9589"/>
      <c r="H34" s="9590">
        <v>19750</v>
      </c>
      <c r="I34" s="9576"/>
      <c r="J34" s="9576"/>
      <c r="K34" s="9591"/>
      <c r="L34" s="9579">
        <v>0.5</v>
      </c>
      <c r="M34" s="9574"/>
      <c r="N34" s="9574"/>
      <c r="O34" s="9574"/>
      <c r="P34" s="9574">
        <v>0.5</v>
      </c>
      <c r="Q34" s="9574"/>
      <c r="R34" s="9574"/>
      <c r="S34" s="9574"/>
      <c r="T34" s="9574">
        <v>0.5</v>
      </c>
      <c r="U34" s="9574"/>
      <c r="V34" s="9574"/>
      <c r="W34" s="9574"/>
      <c r="X34" s="9574"/>
      <c r="Y34" s="9574"/>
      <c r="Z34" s="9575"/>
      <c r="AA34" s="1179"/>
      <c r="AB34" s="1179"/>
      <c r="AC34" s="1179"/>
      <c r="AD34" s="1561"/>
      <c r="AE34" s="2686"/>
      <c r="AF34" s="2686"/>
      <c r="AG34" s="2686"/>
      <c r="AH34" s="2686"/>
      <c r="AI34" s="2686"/>
      <c r="AJ34" s="2686"/>
      <c r="AK34" s="1127"/>
      <c r="AL34" s="1179"/>
      <c r="AM34" s="1582"/>
      <c r="AN34" s="3432" t="s">
        <v>294</v>
      </c>
      <c r="AO34" s="1276" t="s">
        <v>5344</v>
      </c>
      <c r="AP34" s="1179"/>
      <c r="AQ34" s="1179"/>
      <c r="AR34" s="1583"/>
      <c r="AS34" s="1179"/>
      <c r="AT34" s="590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row>
    <row r="35" spans="1:79" s="2595" customFormat="1" ht="15.75">
      <c r="A35" s="1127"/>
      <c r="B35" s="1179"/>
      <c r="C35" s="4507"/>
      <c r="D35" s="9592">
        <v>19750</v>
      </c>
      <c r="E35" s="9588"/>
      <c r="F35" s="9588"/>
      <c r="G35" s="9589"/>
      <c r="H35" s="9592">
        <v>21500</v>
      </c>
      <c r="I35" s="9588"/>
      <c r="J35" s="9588"/>
      <c r="K35" s="9589"/>
      <c r="L35" s="9579">
        <v>0.5</v>
      </c>
      <c r="M35" s="9574"/>
      <c r="N35" s="9574"/>
      <c r="O35" s="9574"/>
      <c r="P35" s="9574">
        <v>0.5</v>
      </c>
      <c r="Q35" s="9574"/>
      <c r="R35" s="9574"/>
      <c r="S35" s="9574"/>
      <c r="T35" s="9574">
        <v>0.2</v>
      </c>
      <c r="U35" s="9574"/>
      <c r="V35" s="9574"/>
      <c r="W35" s="9574"/>
      <c r="X35" s="9574"/>
      <c r="Y35" s="9574"/>
      <c r="Z35" s="9575"/>
      <c r="AA35" s="1179"/>
      <c r="AB35" s="1179"/>
      <c r="AC35" s="1179"/>
      <c r="AD35" s="1561"/>
      <c r="AE35" s="2686"/>
      <c r="AF35" s="2686"/>
      <c r="AG35" s="2686"/>
      <c r="AH35" s="2686"/>
      <c r="AI35" s="9593">
        <f>IF(AB26,0,IF(File_Marr_Joint&lt;&gt;"",L29,IF(File_Head&lt;&gt;"",P29,W29)))</f>
        <v>0</v>
      </c>
      <c r="AJ35" s="9593"/>
      <c r="AK35" s="1127"/>
      <c r="AL35" s="1179"/>
      <c r="AM35" s="1582"/>
      <c r="AN35" s="1179"/>
      <c r="AO35" s="1276" t="s">
        <v>5345</v>
      </c>
      <c r="AP35" s="3432" t="s">
        <v>294</v>
      </c>
      <c r="AQ35" s="6100" t="str">
        <f>IF(AA44,"",Tax)</f>
        <v/>
      </c>
      <c r="AR35" s="1583"/>
      <c r="AS35" s="1179"/>
      <c r="AT35" s="590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row>
    <row r="36" spans="1:79" s="2595" customFormat="1" ht="15.75">
      <c r="A36" s="1127"/>
      <c r="B36" s="1179"/>
      <c r="C36" s="4507"/>
      <c r="D36" s="9592">
        <v>21500</v>
      </c>
      <c r="E36" s="9588"/>
      <c r="F36" s="9588"/>
      <c r="G36" s="9589"/>
      <c r="H36" s="9592">
        <v>29625</v>
      </c>
      <c r="I36" s="9588"/>
      <c r="J36" s="9588"/>
      <c r="K36" s="9589"/>
      <c r="L36" s="9579">
        <v>0.5</v>
      </c>
      <c r="M36" s="9574"/>
      <c r="N36" s="9574"/>
      <c r="O36" s="9574"/>
      <c r="P36" s="9574">
        <v>0.5</v>
      </c>
      <c r="Q36" s="9574"/>
      <c r="R36" s="9574"/>
      <c r="S36" s="9574"/>
      <c r="T36" s="9574">
        <v>0.1</v>
      </c>
      <c r="U36" s="9574"/>
      <c r="V36" s="9574"/>
      <c r="W36" s="9574"/>
      <c r="X36" s="9574"/>
      <c r="Y36" s="9574"/>
      <c r="Z36" s="9575"/>
      <c r="AA36" s="1179"/>
      <c r="AB36" s="1179"/>
      <c r="AC36" s="1179"/>
      <c r="AD36" s="1557">
        <v>9</v>
      </c>
      <c r="AE36" s="6090"/>
      <c r="AF36" s="2791"/>
      <c r="AG36" s="6093"/>
      <c r="AH36" s="6093" t="s">
        <v>5934</v>
      </c>
      <c r="AI36" s="9549" t="str">
        <f>IF(AB26,"",AI35*10)</f>
        <v/>
      </c>
      <c r="AJ36" s="9549"/>
      <c r="AK36" s="1127"/>
      <c r="AL36" s="1179"/>
      <c r="AM36" s="1582"/>
      <c r="AN36" s="1179"/>
      <c r="AO36" s="1179"/>
      <c r="AP36" s="1179"/>
      <c r="AQ36" s="1179"/>
      <c r="AR36" s="1583"/>
      <c r="AS36" s="1179"/>
      <c r="AT36" s="590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row>
    <row r="37" spans="1:79" s="2595" customFormat="1" ht="15.75">
      <c r="A37" s="1127"/>
      <c r="B37" s="1179"/>
      <c r="C37" s="4507"/>
      <c r="D37" s="9592">
        <v>29625</v>
      </c>
      <c r="E37" s="9588"/>
      <c r="F37" s="9588"/>
      <c r="G37" s="9589"/>
      <c r="H37" s="9592">
        <v>32250</v>
      </c>
      <c r="I37" s="9588"/>
      <c r="J37" s="9588"/>
      <c r="K37" s="9589"/>
      <c r="L37" s="9579">
        <v>0.5</v>
      </c>
      <c r="M37" s="9574"/>
      <c r="N37" s="9574"/>
      <c r="O37" s="9574"/>
      <c r="P37" s="9574">
        <v>0.2</v>
      </c>
      <c r="Q37" s="9574"/>
      <c r="R37" s="9574"/>
      <c r="S37" s="9574"/>
      <c r="T37" s="9574">
        <v>0.1</v>
      </c>
      <c r="U37" s="9574"/>
      <c r="V37" s="9574"/>
      <c r="W37" s="9574"/>
      <c r="X37" s="9574"/>
      <c r="Y37" s="9574"/>
      <c r="Z37" s="9575"/>
      <c r="AA37" s="1179"/>
      <c r="AB37" s="1179"/>
      <c r="AC37" s="1179"/>
      <c r="AD37" s="1558"/>
      <c r="AE37" s="2686"/>
      <c r="AF37" s="2686"/>
      <c r="AG37" s="2686"/>
      <c r="AH37" s="2686"/>
      <c r="AI37" s="2686"/>
      <c r="AJ37" s="2686"/>
      <c r="AK37" s="1127"/>
      <c r="AL37" s="1179"/>
      <c r="AM37" s="1582"/>
      <c r="AN37" s="3432" t="s">
        <v>0</v>
      </c>
      <c r="AO37" s="1276" t="s">
        <v>5945</v>
      </c>
      <c r="AP37" s="1179"/>
      <c r="AQ37" s="1179"/>
      <c r="AR37" s="1583"/>
      <c r="AS37" s="1179"/>
      <c r="AT37" s="590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row>
    <row r="38" spans="1:79" s="2595" customFormat="1" ht="15.75">
      <c r="A38" s="1127"/>
      <c r="B38" s="1179"/>
      <c r="C38" s="4507"/>
      <c r="D38" s="9592">
        <v>32250</v>
      </c>
      <c r="E38" s="9588"/>
      <c r="F38" s="9588"/>
      <c r="G38" s="9589"/>
      <c r="H38" s="9592">
        <v>33000</v>
      </c>
      <c r="I38" s="9588"/>
      <c r="J38" s="9588"/>
      <c r="K38" s="9589"/>
      <c r="L38" s="9579">
        <v>0.5</v>
      </c>
      <c r="M38" s="9574"/>
      <c r="N38" s="9574"/>
      <c r="O38" s="9574"/>
      <c r="P38" s="9574">
        <v>0.1</v>
      </c>
      <c r="Q38" s="9574"/>
      <c r="R38" s="9574"/>
      <c r="S38" s="9574"/>
      <c r="T38" s="9574">
        <v>0.1</v>
      </c>
      <c r="U38" s="9574"/>
      <c r="V38" s="9574"/>
      <c r="W38" s="9574"/>
      <c r="X38" s="9574"/>
      <c r="Y38" s="9574"/>
      <c r="Z38" s="9575"/>
      <c r="AA38" s="1179"/>
      <c r="AB38" s="1179"/>
      <c r="AC38" s="1179"/>
      <c r="AD38" s="1558"/>
      <c r="AE38" s="2686"/>
      <c r="AF38" s="2686"/>
      <c r="AG38" s="2686"/>
      <c r="AH38" s="2686"/>
      <c r="AI38" s="2686"/>
      <c r="AJ38" s="2686"/>
      <c r="AK38" s="1127"/>
      <c r="AL38" s="1179"/>
      <c r="AM38" s="1582"/>
      <c r="AN38" s="1179"/>
      <c r="AO38" s="1179" t="s">
        <v>5946</v>
      </c>
      <c r="AP38" s="1179"/>
      <c r="AQ38" s="1179"/>
      <c r="AR38" s="1583"/>
      <c r="AS38" s="1179"/>
      <c r="AT38" s="590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row>
    <row r="39" spans="1:79" s="2595" customFormat="1" ht="15.75">
      <c r="A39" s="1127"/>
      <c r="B39" s="1179"/>
      <c r="C39" s="4507"/>
      <c r="D39" s="9592">
        <v>33000</v>
      </c>
      <c r="E39" s="9588"/>
      <c r="F39" s="9588"/>
      <c r="G39" s="9589"/>
      <c r="H39" s="9592">
        <v>39500</v>
      </c>
      <c r="I39" s="9588"/>
      <c r="J39" s="9588"/>
      <c r="K39" s="9589"/>
      <c r="L39" s="9579">
        <v>0.5</v>
      </c>
      <c r="M39" s="9574"/>
      <c r="N39" s="9574"/>
      <c r="O39" s="9574"/>
      <c r="P39" s="9574">
        <v>0.1</v>
      </c>
      <c r="Q39" s="9574"/>
      <c r="R39" s="9574"/>
      <c r="S39" s="9574"/>
      <c r="T39" s="9574">
        <v>0</v>
      </c>
      <c r="U39" s="9574"/>
      <c r="V39" s="9574"/>
      <c r="W39" s="9574"/>
      <c r="X39" s="9574"/>
      <c r="Y39" s="9574"/>
      <c r="Z39" s="9575"/>
      <c r="AA39" s="1179"/>
      <c r="AB39" s="1179"/>
      <c r="AC39" s="1179"/>
      <c r="AD39" s="1558"/>
      <c r="AE39" s="2686"/>
      <c r="AF39" s="2686"/>
      <c r="AG39" s="2686"/>
      <c r="AH39" s="2686"/>
      <c r="AI39" s="2686"/>
      <c r="AJ39" s="2686"/>
      <c r="AK39" s="1127"/>
      <c r="AL39" s="1179"/>
      <c r="AM39" s="1582"/>
      <c r="AN39" s="1179"/>
      <c r="AO39" s="1276" t="s">
        <v>5947</v>
      </c>
      <c r="AP39" s="3432" t="s">
        <v>0</v>
      </c>
      <c r="AQ39" s="6100" t="str">
        <f>IF(OR(AB26,AA44),"",SUM(Foreign_Tax_Credit,Care_Expenses,Education,Credit_Elderly,ROUND(Credit_F8978,0)))</f>
        <v/>
      </c>
      <c r="AR39" s="1583"/>
      <c r="AS39" s="1179"/>
      <c r="AT39" s="590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row>
    <row r="40" spans="1:79" s="2595" customFormat="1" ht="15.75">
      <c r="A40" s="1127"/>
      <c r="B40" s="1179"/>
      <c r="C40" s="4507"/>
      <c r="D40" s="9592">
        <v>39500</v>
      </c>
      <c r="E40" s="9588"/>
      <c r="F40" s="9588"/>
      <c r="G40" s="9589"/>
      <c r="H40" s="9592">
        <v>43000</v>
      </c>
      <c r="I40" s="9588"/>
      <c r="J40" s="9588"/>
      <c r="K40" s="9589"/>
      <c r="L40" s="9579">
        <v>0.2</v>
      </c>
      <c r="M40" s="9574"/>
      <c r="N40" s="9574"/>
      <c r="O40" s="9574"/>
      <c r="P40" s="9574">
        <v>0.1</v>
      </c>
      <c r="Q40" s="9574"/>
      <c r="R40" s="9574"/>
      <c r="S40" s="9574"/>
      <c r="T40" s="9574">
        <v>0</v>
      </c>
      <c r="U40" s="9574"/>
      <c r="V40" s="9574"/>
      <c r="W40" s="9574"/>
      <c r="X40" s="9574"/>
      <c r="Y40" s="9574"/>
      <c r="Z40" s="9575"/>
      <c r="AA40" s="1179"/>
      <c r="AB40" s="1179"/>
      <c r="AC40" s="1179"/>
      <c r="AD40" s="1558"/>
      <c r="AE40" s="2686"/>
      <c r="AF40" s="2686"/>
      <c r="AG40" s="2686"/>
      <c r="AH40" s="2686"/>
      <c r="AI40" s="2686"/>
      <c r="AJ40" s="2686"/>
      <c r="AK40" s="1127"/>
      <c r="AL40" s="1179"/>
      <c r="AM40" s="1582"/>
      <c r="AN40" s="1179"/>
      <c r="AO40" s="1179"/>
      <c r="AP40" s="1179"/>
      <c r="AQ40" s="1179"/>
      <c r="AR40" s="1583"/>
      <c r="AS40" s="1179"/>
      <c r="AT40" s="590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row>
    <row r="41" spans="1:79" s="2595" customFormat="1" ht="15.75">
      <c r="A41" s="1127"/>
      <c r="B41" s="1179"/>
      <c r="C41" s="4507"/>
      <c r="D41" s="9592">
        <v>43000</v>
      </c>
      <c r="E41" s="9588"/>
      <c r="F41" s="9588"/>
      <c r="G41" s="9589"/>
      <c r="H41" s="9592">
        <v>49500</v>
      </c>
      <c r="I41" s="9588"/>
      <c r="J41" s="9588"/>
      <c r="K41" s="9589"/>
      <c r="L41" s="9579">
        <v>0.1</v>
      </c>
      <c r="M41" s="9574"/>
      <c r="N41" s="9574"/>
      <c r="O41" s="9574"/>
      <c r="P41" s="9574">
        <v>0.1</v>
      </c>
      <c r="Q41" s="9574"/>
      <c r="R41" s="9574"/>
      <c r="S41" s="9574"/>
      <c r="T41" s="9574">
        <v>0</v>
      </c>
      <c r="U41" s="9574"/>
      <c r="V41" s="9574"/>
      <c r="W41" s="9574"/>
      <c r="X41" s="9574"/>
      <c r="Y41" s="9574"/>
      <c r="Z41" s="9575"/>
      <c r="AA41" s="1179"/>
      <c r="AB41" s="1179"/>
      <c r="AC41" s="1179"/>
      <c r="AD41" s="1558"/>
      <c r="AE41" s="2686"/>
      <c r="AF41" s="2686"/>
      <c r="AG41" s="2686"/>
      <c r="AH41" s="2686"/>
      <c r="AI41" s="2686"/>
      <c r="AJ41" s="2686"/>
      <c r="AK41" s="1127"/>
      <c r="AL41" s="1179"/>
      <c r="AM41" s="1582"/>
      <c r="AN41" s="3432" t="s">
        <v>1</v>
      </c>
      <c r="AO41" s="1276" t="s">
        <v>5948</v>
      </c>
      <c r="AP41" s="1179"/>
      <c r="AQ41" s="1179"/>
      <c r="AR41" s="1583"/>
      <c r="AS41" s="1179"/>
      <c r="AT41" s="590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row>
    <row r="42" spans="1:79" s="2595" customFormat="1" ht="15.75">
      <c r="A42" s="1127"/>
      <c r="B42" s="1179"/>
      <c r="C42" s="4507"/>
      <c r="D42" s="9592">
        <v>49500</v>
      </c>
      <c r="E42" s="9588"/>
      <c r="F42" s="9588"/>
      <c r="G42" s="9589"/>
      <c r="H42" s="9592">
        <v>66000</v>
      </c>
      <c r="I42" s="9588"/>
      <c r="J42" s="9588"/>
      <c r="K42" s="9589"/>
      <c r="L42" s="9579">
        <v>0.1</v>
      </c>
      <c r="M42" s="9574"/>
      <c r="N42" s="9574"/>
      <c r="O42" s="9574"/>
      <c r="P42" s="9574">
        <v>0</v>
      </c>
      <c r="Q42" s="9574"/>
      <c r="R42" s="9574"/>
      <c r="S42" s="9574"/>
      <c r="T42" s="9574">
        <v>0</v>
      </c>
      <c r="U42" s="9574"/>
      <c r="V42" s="9574"/>
      <c r="W42" s="9574"/>
      <c r="X42" s="9574"/>
      <c r="Y42" s="9574"/>
      <c r="Z42" s="9575"/>
      <c r="AA42" s="1179"/>
      <c r="AB42" s="1179"/>
      <c r="AC42" s="1179"/>
      <c r="AD42" s="1558"/>
      <c r="AE42" s="2686"/>
      <c r="AF42" s="2686"/>
      <c r="AG42" s="2686"/>
      <c r="AH42" s="2686"/>
      <c r="AI42" s="2686"/>
      <c r="AJ42" s="2686"/>
      <c r="AK42" s="1127"/>
      <c r="AL42" s="1179"/>
      <c r="AM42" s="1582"/>
      <c r="AN42" s="1179"/>
      <c r="AO42" s="1276" t="s">
        <v>5969</v>
      </c>
      <c r="AP42" s="1179"/>
      <c r="AQ42" s="1284" t="b">
        <f>OR(AA44,AND(AQ39="",AQ35&lt;=0),AND(AQ39&lt;&gt;"",AQ35&lt;=AQ39))</f>
        <v>1</v>
      </c>
      <c r="AR42" s="1583"/>
      <c r="AS42" s="1179"/>
      <c r="AT42" s="590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row>
    <row r="43" spans="1:79" s="2595" customFormat="1" ht="15.75">
      <c r="A43" s="1127"/>
      <c r="B43" s="1179"/>
      <c r="C43" s="4507"/>
      <c r="D43" s="9580">
        <v>66000</v>
      </c>
      <c r="E43" s="9581"/>
      <c r="F43" s="9581"/>
      <c r="G43" s="9582"/>
      <c r="H43" s="9583" t="s">
        <v>709</v>
      </c>
      <c r="I43" s="9581"/>
      <c r="J43" s="9581"/>
      <c r="K43" s="9582"/>
      <c r="L43" s="9584">
        <v>0</v>
      </c>
      <c r="M43" s="9547"/>
      <c r="N43" s="9547"/>
      <c r="O43" s="9547"/>
      <c r="P43" s="9547">
        <v>0</v>
      </c>
      <c r="Q43" s="9547"/>
      <c r="R43" s="9547"/>
      <c r="S43" s="9547"/>
      <c r="T43" s="9547">
        <v>0</v>
      </c>
      <c r="U43" s="9547"/>
      <c r="V43" s="9547"/>
      <c r="W43" s="9547"/>
      <c r="X43" s="9547"/>
      <c r="Y43" s="9547"/>
      <c r="Z43" s="9548"/>
      <c r="AA43" s="1179"/>
      <c r="AB43" s="1179"/>
      <c r="AC43" s="1179"/>
      <c r="AD43" s="1558"/>
      <c r="AE43" s="2686"/>
      <c r="AF43" s="2686"/>
      <c r="AG43" s="2686"/>
      <c r="AH43" s="2686"/>
      <c r="AI43" s="2686"/>
      <c r="AJ43" s="2686"/>
      <c r="AK43" s="1127"/>
      <c r="AL43" s="1179"/>
      <c r="AM43" s="1582"/>
      <c r="AN43" s="1179"/>
      <c r="AO43" s="1276" t="s">
        <v>5968</v>
      </c>
      <c r="AP43" s="3432" t="s">
        <v>1</v>
      </c>
      <c r="AQ43" s="6100" t="str">
        <f>IF(AA44,"",IF(AQ39="",MAX(0,AQ35),SUM(AQ35,-AQ39)))</f>
        <v/>
      </c>
      <c r="AR43" s="1583"/>
      <c r="AS43" s="1179"/>
      <c r="AT43" s="590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row>
    <row r="44" spans="1:79" s="2595" customFormat="1" ht="15.75">
      <c r="A44" s="1127"/>
      <c r="B44" s="1179"/>
      <c r="C44" s="1540"/>
      <c r="D44" s="9576" t="s">
        <v>5935</v>
      </c>
      <c r="E44" s="9576"/>
      <c r="F44" s="9576"/>
      <c r="G44" s="9576"/>
      <c r="H44" s="9576"/>
      <c r="I44" s="9576"/>
      <c r="J44" s="9576"/>
      <c r="K44" s="9576"/>
      <c r="L44" s="9576"/>
      <c r="M44" s="9576"/>
      <c r="N44" s="9576"/>
      <c r="O44" s="9576"/>
      <c r="P44" s="9576"/>
      <c r="Q44" s="9576"/>
      <c r="R44" s="9576"/>
      <c r="S44" s="9576"/>
      <c r="T44" s="9576"/>
      <c r="U44" s="9576"/>
      <c r="V44" s="9576"/>
      <c r="W44" s="9576"/>
      <c r="X44" s="9576"/>
      <c r="Y44" s="9576"/>
      <c r="Z44" s="9576"/>
      <c r="AA44" s="7772" t="b">
        <f>AI35=0</f>
        <v>1</v>
      </c>
      <c r="AB44" s="7772"/>
      <c r="AC44" s="7773"/>
      <c r="AD44" s="1558"/>
      <c r="AE44" s="2686"/>
      <c r="AF44" s="2686"/>
      <c r="AG44" s="2686"/>
      <c r="AH44" s="2686"/>
      <c r="AI44" s="2686"/>
      <c r="AJ44" s="2686"/>
      <c r="AK44" s="1127"/>
      <c r="AL44" s="1179"/>
      <c r="AM44" s="1586"/>
      <c r="AN44" s="1553"/>
      <c r="AO44" s="1553"/>
      <c r="AP44" s="1553"/>
      <c r="AQ44" s="1553"/>
      <c r="AR44" s="3008"/>
      <c r="AS44" s="1179"/>
      <c r="AT44" s="590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row>
    <row r="45" spans="1:79" s="2595" customFormat="1" ht="15" customHeight="1">
      <c r="A45" s="1127"/>
      <c r="B45" s="1179"/>
      <c r="C45" s="4507">
        <v>10</v>
      </c>
      <c r="D45" s="5774" t="s">
        <v>5936</v>
      </c>
      <c r="E45" s="1179"/>
      <c r="F45" s="1179"/>
      <c r="G45" s="1179"/>
      <c r="H45" s="1179"/>
      <c r="I45" s="1179"/>
      <c r="J45" s="1179"/>
      <c r="K45" s="1179"/>
      <c r="L45" s="1179"/>
      <c r="M45" s="1179"/>
      <c r="N45" s="1179"/>
      <c r="O45" s="1179"/>
      <c r="P45" s="1179"/>
      <c r="Q45" s="1179"/>
      <c r="R45" s="1179"/>
      <c r="S45" s="1179"/>
      <c r="T45" s="1179"/>
      <c r="U45" s="1179"/>
      <c r="V45" s="1179"/>
      <c r="W45" s="1179"/>
      <c r="X45" s="1179"/>
      <c r="Y45" s="1179"/>
      <c r="Z45" s="1179"/>
      <c r="AA45" s="1179"/>
      <c r="AB45" s="1179"/>
      <c r="AC45" s="4099"/>
      <c r="AD45" s="1557">
        <v>10</v>
      </c>
      <c r="AE45" s="9559" t="str">
        <f>IF(OR(AB26,AA44),"",ROUND(AE26*AI35,0))</f>
        <v/>
      </c>
      <c r="AF45" s="9560"/>
      <c r="AG45" s="9560"/>
      <c r="AH45" s="9560"/>
      <c r="AI45" s="9560"/>
      <c r="AJ45" s="9561"/>
      <c r="AK45" s="1127"/>
      <c r="AL45" s="1179"/>
      <c r="AM45" s="1179"/>
      <c r="AN45" s="1179"/>
      <c r="AO45" s="1179"/>
      <c r="AP45" s="1179"/>
      <c r="AQ45" s="1179"/>
      <c r="AR45" s="1179"/>
      <c r="AS45" s="1179"/>
      <c r="AT45" s="590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row>
    <row r="46" spans="1:79" s="2595" customFormat="1" ht="15.75">
      <c r="A46" s="1127"/>
      <c r="B46" s="1179"/>
      <c r="C46" s="4507">
        <v>11</v>
      </c>
      <c r="D46" s="1540" t="s">
        <v>5937</v>
      </c>
      <c r="E46" s="1179"/>
      <c r="F46" s="1179"/>
      <c r="G46" s="1179"/>
      <c r="H46" s="1179"/>
      <c r="I46" s="1179"/>
      <c r="J46" s="1179"/>
      <c r="K46" s="1179"/>
      <c r="L46" s="1179"/>
      <c r="M46" s="1179"/>
      <c r="N46" s="1179"/>
      <c r="O46" s="1179"/>
      <c r="P46" s="1179"/>
      <c r="Q46" s="1179"/>
      <c r="R46" s="1179"/>
      <c r="S46" s="1179"/>
      <c r="T46" s="1179"/>
      <c r="U46" s="1179"/>
      <c r="V46" s="1179"/>
      <c r="W46" s="1179"/>
      <c r="X46" s="1179"/>
      <c r="Y46" s="1179"/>
      <c r="Z46" s="1179"/>
      <c r="AA46" s="1179"/>
      <c r="AB46" s="1179"/>
      <c r="AC46" s="1583"/>
      <c r="AD46" s="1557">
        <v>11</v>
      </c>
      <c r="AE46" s="9559" t="str">
        <f>IF(OR(AA44,AQ42),"",AQ43)</f>
        <v/>
      </c>
      <c r="AF46" s="9560"/>
      <c r="AG46" s="9560"/>
      <c r="AH46" s="9560"/>
      <c r="AI46" s="9560"/>
      <c r="AJ46" s="9561"/>
      <c r="AK46" s="1127"/>
      <c r="AL46" s="1179"/>
      <c r="AM46" s="1179"/>
      <c r="AN46" s="1179"/>
      <c r="AO46" s="1179"/>
      <c r="AP46" s="1179"/>
      <c r="AQ46" s="1179"/>
      <c r="AR46" s="1179"/>
      <c r="AS46" s="1179"/>
      <c r="AT46" s="590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row>
    <row r="47" spans="1:79" s="2595" customFormat="1" ht="15.75">
      <c r="A47" s="1127"/>
      <c r="B47" s="1179"/>
      <c r="C47" s="4507">
        <v>12</v>
      </c>
      <c r="D47" s="1540" t="s">
        <v>5956</v>
      </c>
      <c r="E47" s="1179"/>
      <c r="F47" s="1179"/>
      <c r="G47" s="1179"/>
      <c r="H47" s="1179"/>
      <c r="I47" s="1179"/>
      <c r="J47" s="1179"/>
      <c r="K47" s="1179"/>
      <c r="L47" s="1179"/>
      <c r="M47" s="1179"/>
      <c r="N47" s="1179"/>
      <c r="O47" s="1179"/>
      <c r="P47" s="1179"/>
      <c r="Q47" s="1179"/>
      <c r="R47" s="1179"/>
      <c r="S47" s="1179"/>
      <c r="T47" s="1179"/>
      <c r="U47" s="1179"/>
      <c r="V47" s="1179"/>
      <c r="W47" s="1179"/>
      <c r="X47" s="1179"/>
      <c r="Y47" s="1179"/>
      <c r="Z47" s="1179"/>
      <c r="AA47" s="1179"/>
      <c r="AB47" s="1179"/>
      <c r="AC47" s="1583"/>
      <c r="AD47" s="1558"/>
      <c r="AE47" s="1179"/>
      <c r="AF47" s="1179"/>
      <c r="AG47" s="1179"/>
      <c r="AH47" s="1179"/>
      <c r="AI47" s="1179"/>
      <c r="AJ47" s="1179"/>
      <c r="AK47" s="1127"/>
      <c r="AL47" s="8534" t="s">
        <v>91</v>
      </c>
      <c r="AM47" s="8534"/>
      <c r="AN47" s="8534"/>
      <c r="AO47" s="1179"/>
      <c r="AP47" s="1179"/>
      <c r="AQ47" s="1179"/>
      <c r="AR47" s="1179"/>
      <c r="AS47" s="1179"/>
      <c r="AT47" s="590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row>
    <row r="48" spans="1:79" s="2595" customFormat="1" ht="15">
      <c r="A48" s="1127"/>
      <c r="B48" s="1179"/>
      <c r="C48" s="1556"/>
      <c r="D48" s="2686" t="s">
        <v>5938</v>
      </c>
      <c r="E48" s="1179"/>
      <c r="F48" s="1179"/>
      <c r="G48" s="1179"/>
      <c r="H48" s="1179"/>
      <c r="I48" s="1179"/>
      <c r="J48" s="1179"/>
      <c r="K48" s="1179"/>
      <c r="L48" s="1179"/>
      <c r="M48" s="1179"/>
      <c r="N48" s="1179"/>
      <c r="O48" s="1179"/>
      <c r="P48" s="1179"/>
      <c r="Q48" s="1179"/>
      <c r="R48" s="1179"/>
      <c r="S48" s="1179"/>
      <c r="T48" s="1179"/>
      <c r="U48" s="1179"/>
      <c r="V48" s="1179"/>
      <c r="W48" s="1179"/>
      <c r="X48" s="1179"/>
      <c r="Y48" s="1179"/>
      <c r="Z48" s="1179"/>
      <c r="AA48" s="1179"/>
      <c r="AB48" s="1179"/>
      <c r="AC48" s="1583"/>
      <c r="AD48" s="1557">
        <v>12</v>
      </c>
      <c r="AE48" s="9559" t="str">
        <f>IF(AL48&lt;&gt;"",ROUND(AL48,0),IF(OR(AA44,AQ42),"",MIN(AE45,AE46)))</f>
        <v/>
      </c>
      <c r="AF48" s="9560"/>
      <c r="AG48" s="9560"/>
      <c r="AH48" s="9560"/>
      <c r="AI48" s="9560"/>
      <c r="AJ48" s="9561"/>
      <c r="AK48" s="1127"/>
      <c r="AL48" s="9123"/>
      <c r="AM48" s="9123"/>
      <c r="AN48" s="9123"/>
      <c r="AO48" s="1179"/>
      <c r="AP48" s="1179"/>
      <c r="AQ48" s="1179"/>
      <c r="AR48" s="1179"/>
      <c r="AS48" s="1179"/>
      <c r="AT48" s="590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row>
    <row r="49" spans="1:79" s="2595" customFormat="1" ht="15">
      <c r="A49" s="1127"/>
      <c r="B49" s="1179"/>
      <c r="C49" s="1556"/>
      <c r="D49" s="2686"/>
      <c r="E49" s="1179"/>
      <c r="F49" s="1179"/>
      <c r="G49" s="1179"/>
      <c r="H49" s="1179"/>
      <c r="I49" s="1179"/>
      <c r="J49" s="1179"/>
      <c r="K49" s="1179"/>
      <c r="L49" s="1179"/>
      <c r="M49" s="1179"/>
      <c r="N49" s="1179"/>
      <c r="O49" s="1179"/>
      <c r="P49" s="1179"/>
      <c r="Q49" s="1179"/>
      <c r="R49" s="1179"/>
      <c r="S49" s="1179"/>
      <c r="T49" s="1179"/>
      <c r="U49" s="1179"/>
      <c r="V49" s="1179"/>
      <c r="W49" s="1179"/>
      <c r="X49" s="1179"/>
      <c r="Y49" s="1179"/>
      <c r="Z49" s="1179"/>
      <c r="AA49" s="1179"/>
      <c r="AB49" s="1179"/>
      <c r="AC49" s="1179"/>
      <c r="AD49" s="1179"/>
      <c r="AE49" s="1179"/>
      <c r="AF49" s="1179"/>
      <c r="AG49" s="1179"/>
      <c r="AH49" s="1179"/>
      <c r="AI49" s="1179"/>
      <c r="AJ49" s="1179"/>
      <c r="AK49" s="1127"/>
      <c r="AL49" s="1179"/>
      <c r="AM49" s="1179"/>
      <c r="AN49" s="1179"/>
      <c r="AO49" s="1179"/>
      <c r="AP49" s="1179"/>
      <c r="AQ49" s="1179"/>
      <c r="AR49" s="1179"/>
      <c r="AS49" s="1179"/>
      <c r="AT49" s="590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row>
    <row r="50" spans="1:79" s="2595" customFormat="1" ht="15">
      <c r="A50" s="1127"/>
      <c r="B50" s="1179"/>
      <c r="C50" s="1556"/>
      <c r="D50" s="2686" t="s">
        <v>5941</v>
      </c>
      <c r="E50" s="1179"/>
      <c r="F50" s="1179"/>
      <c r="G50" s="1179"/>
      <c r="H50" s="1179"/>
      <c r="I50" s="1179"/>
      <c r="J50" s="1179"/>
      <c r="K50" s="1179"/>
      <c r="L50" s="1179"/>
      <c r="M50" s="1179"/>
      <c r="N50" s="1179"/>
      <c r="O50" s="1179"/>
      <c r="P50" s="1179"/>
      <c r="Q50" s="1179"/>
      <c r="R50" s="1179"/>
      <c r="S50" s="1179"/>
      <c r="T50" s="1179"/>
      <c r="U50" s="1179"/>
      <c r="V50" s="1179"/>
      <c r="W50" s="1179"/>
      <c r="X50" s="1179"/>
      <c r="Y50" s="1179"/>
      <c r="Z50" s="1179"/>
      <c r="AA50" s="1179"/>
      <c r="AB50" s="1179"/>
      <c r="AC50" s="1179"/>
      <c r="AD50" s="1179"/>
      <c r="AE50" s="1179"/>
      <c r="AF50" s="1179"/>
      <c r="AG50" s="1179"/>
      <c r="AH50" s="1179"/>
      <c r="AI50" s="1179"/>
      <c r="AJ50" s="1179"/>
      <c r="AK50" s="1127"/>
      <c r="AL50" s="1179"/>
      <c r="AM50" s="1179"/>
      <c r="AN50" s="1179"/>
      <c r="AO50" s="1179"/>
      <c r="AP50" s="1179"/>
      <c r="AQ50" s="1179"/>
      <c r="AR50" s="1179"/>
      <c r="AS50" s="1179"/>
      <c r="AT50" s="590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row>
    <row r="51" spans="1:79" s="2595" customFormat="1" ht="19.5" customHeight="1" thickBot="1">
      <c r="A51" s="1127"/>
      <c r="B51" s="1179"/>
      <c r="C51" s="1556"/>
      <c r="D51" s="3719" t="s">
        <v>5940</v>
      </c>
      <c r="E51" s="1179"/>
      <c r="F51" s="1179"/>
      <c r="G51" s="1179"/>
      <c r="H51" s="1179"/>
      <c r="I51" s="1179"/>
      <c r="J51" s="1179"/>
      <c r="K51" s="1179"/>
      <c r="L51" s="1179"/>
      <c r="M51" s="1179"/>
      <c r="N51" s="1179"/>
      <c r="O51" s="1179"/>
      <c r="P51" s="1179"/>
      <c r="Q51" s="1179"/>
      <c r="R51" s="1179"/>
      <c r="S51" s="1179"/>
      <c r="T51" s="1179"/>
      <c r="U51" s="1179"/>
      <c r="V51" s="1179"/>
      <c r="W51" s="1179"/>
      <c r="X51" s="1179"/>
      <c r="Y51" s="1179"/>
      <c r="Z51" s="1179"/>
      <c r="AA51" s="1179"/>
      <c r="AB51" s="1179"/>
      <c r="AC51" s="1179"/>
      <c r="AD51" s="1179"/>
      <c r="AE51" s="1179"/>
      <c r="AF51" s="1179"/>
      <c r="AG51" s="1179"/>
      <c r="AH51" s="1179"/>
      <c r="AI51" s="1179"/>
      <c r="AJ51" s="1179"/>
      <c r="AK51" s="1127"/>
      <c r="AL51" s="1179"/>
      <c r="AM51" s="1179"/>
      <c r="AN51" s="1179"/>
      <c r="AO51" s="1179"/>
      <c r="AP51" s="1179"/>
      <c r="AQ51" s="1179"/>
      <c r="AR51" s="1179"/>
      <c r="AS51" s="1179"/>
      <c r="AT51" s="590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row>
    <row r="52" spans="1:79" ht="18" customHeight="1" thickTop="1">
      <c r="A52" s="1127"/>
      <c r="B52" s="6096" t="s">
        <v>484</v>
      </c>
      <c r="C52" s="5946"/>
      <c r="D52" s="5946"/>
      <c r="E52" s="5946"/>
      <c r="F52" s="5946"/>
      <c r="G52" s="5946"/>
      <c r="H52" s="5946"/>
      <c r="I52" s="5946"/>
      <c r="J52" s="5946"/>
      <c r="K52" s="5946"/>
      <c r="L52" s="5946"/>
      <c r="M52" s="5946"/>
      <c r="N52" s="5946"/>
      <c r="O52" s="5946"/>
      <c r="P52" s="5946"/>
      <c r="Q52" s="1358"/>
      <c r="R52" s="1358"/>
      <c r="S52" s="1358"/>
      <c r="T52" s="1358"/>
      <c r="U52" s="5947"/>
      <c r="V52" s="1358"/>
      <c r="W52" s="5398" t="s">
        <v>5942</v>
      </c>
      <c r="X52" s="1358"/>
      <c r="Y52" s="1358"/>
      <c r="Z52" s="1358"/>
      <c r="AA52" s="1358"/>
      <c r="AB52" s="1358"/>
      <c r="AC52" s="1358"/>
      <c r="AD52" s="1358"/>
      <c r="AE52" s="1358"/>
      <c r="AF52" s="1358"/>
      <c r="AG52" s="1358"/>
      <c r="AH52" s="5948" t="s">
        <v>5943</v>
      </c>
      <c r="AI52" s="1358"/>
      <c r="AJ52" s="5948" t="str">
        <f>"("&amp;TaxYear&amp;")"</f>
        <v>(2021)</v>
      </c>
      <c r="AK52" s="1127"/>
      <c r="AL52" s="2770"/>
      <c r="AM52" s="2770"/>
      <c r="AN52" s="1179"/>
      <c r="AO52" s="1179"/>
      <c r="AP52" s="1179"/>
      <c r="AQ52" s="1179"/>
      <c r="AR52" s="1179"/>
      <c r="AS52" s="1276"/>
      <c r="AT52" s="5902"/>
      <c r="AU52" s="2595"/>
      <c r="AV52" s="2595"/>
      <c r="AW52" s="2595"/>
      <c r="AX52" s="2595"/>
      <c r="AY52" s="2595"/>
      <c r="AZ52" s="2595"/>
      <c r="BA52" s="2595"/>
      <c r="BB52" s="2595"/>
      <c r="BD52" s="5943"/>
      <c r="BG52" s="5944"/>
      <c r="BH52" s="5766"/>
      <c r="BI52" s="1731"/>
      <c r="BJ52" s="2674"/>
      <c r="BK52" s="1731"/>
      <c r="BL52" s="1731"/>
      <c r="BM52" s="1731"/>
      <c r="BN52" s="1731"/>
      <c r="BO52" s="1731"/>
      <c r="BQ52" s="3402"/>
      <c r="BR52" s="3402"/>
      <c r="BS52" s="3402"/>
      <c r="BT52" s="3402"/>
      <c r="BU52" s="3402"/>
      <c r="BV52" s="3402"/>
      <c r="BW52" s="3402"/>
      <c r="BX52" s="3402"/>
      <c r="BY52" s="3402"/>
    </row>
    <row r="53" spans="1:79" ht="18" customHeight="1">
      <c r="A53" s="1127"/>
      <c r="B53" s="1127"/>
      <c r="C53" s="1127"/>
      <c r="D53" s="1127"/>
      <c r="E53" s="1127"/>
      <c r="F53" s="1127"/>
      <c r="G53" s="1127"/>
      <c r="H53" s="1127"/>
      <c r="I53" s="1127"/>
      <c r="J53" s="1127"/>
      <c r="K53" s="1127"/>
      <c r="L53" s="1127"/>
      <c r="M53" s="1127"/>
      <c r="N53" s="1127"/>
      <c r="O53" s="1127"/>
      <c r="P53" s="1127"/>
      <c r="Q53" s="1127"/>
      <c r="R53" s="1127"/>
      <c r="S53" s="1127"/>
      <c r="T53" s="1127"/>
      <c r="U53" s="1127"/>
      <c r="V53" s="1127"/>
      <c r="W53" s="1127"/>
      <c r="X53" s="1127"/>
      <c r="Y53" s="1127"/>
      <c r="Z53" s="1127"/>
      <c r="AA53" s="1127"/>
      <c r="AB53" s="1127"/>
      <c r="AC53" s="1127"/>
      <c r="AD53" s="1127"/>
      <c r="AE53" s="1127"/>
      <c r="AF53" s="1127"/>
      <c r="AG53" s="1127"/>
      <c r="AH53" s="1127"/>
      <c r="AI53" s="1127"/>
      <c r="AJ53" s="1127"/>
      <c r="AK53" s="1127"/>
      <c r="AL53" s="2770"/>
      <c r="AM53" s="2770"/>
      <c r="AN53" s="1179"/>
      <c r="AO53" s="1179"/>
      <c r="AP53" s="1179"/>
      <c r="AQ53" s="1179"/>
      <c r="AR53" s="1179"/>
      <c r="AS53" s="1276"/>
      <c r="AT53" s="5902"/>
      <c r="AU53" s="2595"/>
      <c r="AV53" s="2595"/>
      <c r="AW53" s="2595"/>
      <c r="AX53" s="2595"/>
      <c r="AY53" s="2595"/>
      <c r="AZ53" s="2595"/>
      <c r="BA53" s="2595"/>
      <c r="BB53" s="2595"/>
      <c r="BD53" s="5943"/>
      <c r="BG53" s="5944"/>
      <c r="BH53" s="5766"/>
      <c r="BI53" s="1731"/>
      <c r="BJ53" s="2674"/>
      <c r="BK53" s="1731"/>
      <c r="BL53" s="1731"/>
      <c r="BM53" s="1731"/>
      <c r="BN53" s="1731"/>
      <c r="BO53" s="1731"/>
      <c r="BQ53" s="3402"/>
      <c r="BR53" s="3402"/>
      <c r="BS53" s="3402"/>
      <c r="BT53" s="3402"/>
      <c r="BU53" s="3402"/>
      <c r="BV53" s="3402"/>
      <c r="BW53" s="3402"/>
      <c r="BX53" s="3402"/>
      <c r="BY53" s="3402"/>
    </row>
    <row r="54" spans="1:79" s="2595" customFormat="1" ht="25.5" customHeight="1" thickBot="1">
      <c r="A54"/>
      <c r="B54" s="9"/>
      <c r="C54" s="9"/>
      <c r="D54" s="10"/>
      <c r="E54" s="10"/>
      <c r="F54" s="10"/>
      <c r="G54" s="10"/>
      <c r="H54" s="10"/>
      <c r="I54" s="10"/>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5950"/>
      <c r="AU54" s="3402"/>
      <c r="AV54" s="3402"/>
      <c r="AW54" s="3402"/>
      <c r="AX54" s="3402"/>
      <c r="AY54" s="3402"/>
      <c r="AZ54" s="3402"/>
      <c r="BA54" s="3402"/>
      <c r="BB54" s="340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row>
    <row r="55" spans="1:79" s="2595" customFormat="1" ht="13.5" thickBot="1">
      <c r="A55"/>
      <c r="B55" s="7537" t="s">
        <v>5939</v>
      </c>
      <c r="C55" s="7538"/>
      <c r="D55" s="7538"/>
      <c r="E55" s="7538"/>
      <c r="F55" s="7538"/>
      <c r="G55" s="7538"/>
      <c r="H55" s="7538"/>
      <c r="I55" s="7538"/>
      <c r="J55" s="7538"/>
      <c r="K55" s="7538"/>
      <c r="L55" s="7539"/>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5950"/>
      <c r="AU55" s="3402"/>
      <c r="AV55" s="3402"/>
      <c r="AW55" s="3402"/>
      <c r="AX55" s="3402"/>
      <c r="AY55" s="3402"/>
      <c r="AZ55" s="3402"/>
      <c r="BA55" s="3402"/>
      <c r="BB55" s="340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row>
    <row r="56" spans="1:79" s="2595" customFormat="1" ht="27" customHeight="1">
      <c r="A56"/>
      <c r="B56" s="549"/>
      <c r="C56" s="549"/>
      <c r="D56" s="550"/>
      <c r="E56" s="550"/>
      <c r="F56" s="550"/>
      <c r="G56" s="550"/>
      <c r="H56" s="550"/>
      <c r="I56" s="550"/>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5950"/>
      <c r="AU56" s="3402"/>
      <c r="AV56" s="3402"/>
      <c r="AW56" s="3402"/>
      <c r="AX56" s="3402"/>
      <c r="AY56" s="3402"/>
      <c r="AZ56" s="3402"/>
      <c r="BA56" s="3402"/>
      <c r="BB56" s="3402"/>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row>
    <row r="57" spans="1:79" s="2595" customFormat="1" ht="13.5" thickBo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5950"/>
      <c r="AU57" s="3402"/>
      <c r="AV57" s="3402"/>
      <c r="AW57" s="3402"/>
      <c r="AX57" s="3402"/>
      <c r="AY57" s="3402"/>
      <c r="AZ57" s="3402"/>
      <c r="BA57" s="3402"/>
      <c r="BB57" s="3402"/>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row>
    <row r="58" spans="1:79" s="2595" customFormat="1">
      <c r="A58" s="42"/>
      <c r="B58" s="6229" t="s">
        <v>3219</v>
      </c>
      <c r="C58" s="6230"/>
      <c r="D58" s="6230"/>
      <c r="E58" s="6231"/>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5950"/>
      <c r="AU58" s="3402"/>
      <c r="AV58" s="3402"/>
      <c r="AW58" s="3402"/>
      <c r="AX58" s="3402"/>
      <c r="AY58" s="3402"/>
      <c r="AZ58" s="3402"/>
      <c r="BA58" s="3402"/>
      <c r="BB58" s="340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row>
    <row r="59" spans="1:79" s="2595" customFormat="1">
      <c r="A59" s="42"/>
      <c r="B59" s="6232"/>
      <c r="C59" s="9456"/>
      <c r="D59" s="9456"/>
      <c r="E59" s="6234"/>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5950"/>
      <c r="AU59" s="3402"/>
      <c r="AV59" s="3402"/>
      <c r="AW59" s="3402"/>
      <c r="AX59" s="3402"/>
      <c r="AY59" s="3402"/>
      <c r="AZ59" s="3402"/>
      <c r="BA59" s="3402"/>
      <c r="BB59" s="340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row>
    <row r="60" spans="1:79" s="2595" customFormat="1" ht="13.5" thickBot="1">
      <c r="A60" s="42"/>
      <c r="B60" s="6235"/>
      <c r="C60" s="6236"/>
      <c r="D60" s="6236"/>
      <c r="E60" s="6237"/>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5950"/>
      <c r="AU60" s="3402"/>
      <c r="AV60" s="3402"/>
      <c r="AW60" s="3402"/>
      <c r="AX60" s="3402"/>
      <c r="AY60" s="3402"/>
      <c r="AZ60" s="3402"/>
      <c r="BA60" s="3402"/>
      <c r="BB60" s="3402"/>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row>
    <row r="61" spans="1:79" s="2595" customFormat="1" ht="13.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5950"/>
      <c r="AU61" s="3402"/>
      <c r="AV61" s="3402"/>
      <c r="AW61" s="3402"/>
      <c r="AX61" s="3402"/>
      <c r="AY61" s="3402"/>
      <c r="AZ61" s="3402"/>
      <c r="BA61" s="3402"/>
      <c r="BB61" s="340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row>
    <row r="62" spans="1:79" s="2595" customForma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5950"/>
      <c r="AU62" s="3402"/>
      <c r="AV62" s="3402"/>
      <c r="AW62" s="3402"/>
      <c r="AX62" s="3402"/>
      <c r="AY62" s="3402"/>
      <c r="AZ62" s="3402"/>
      <c r="BA62" s="3402"/>
      <c r="BB62" s="340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row>
    <row r="63" spans="1:79" s="2595" customForma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5950"/>
      <c r="AU63" s="3402"/>
      <c r="AV63" s="3402"/>
      <c r="AW63" s="3402"/>
      <c r="AX63" s="3402"/>
      <c r="AY63" s="3402"/>
      <c r="AZ63" s="3402"/>
      <c r="BA63" s="3402"/>
      <c r="BB63" s="340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row>
    <row r="64" spans="1:79" s="2595" customForma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5950"/>
      <c r="AU64" s="3402"/>
      <c r="AV64" s="3402"/>
      <c r="AW64" s="3402"/>
      <c r="AX64" s="3402"/>
      <c r="AY64" s="3402"/>
      <c r="AZ64" s="3402"/>
      <c r="BA64" s="3402"/>
      <c r="BB64" s="340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row>
    <row r="65" spans="1:79" s="2595" customForma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5950"/>
      <c r="AU65" s="3402"/>
      <c r="AV65" s="3402"/>
      <c r="AW65" s="3402"/>
      <c r="AX65" s="3402"/>
      <c r="AY65" s="3402"/>
      <c r="AZ65" s="3402"/>
      <c r="BA65" s="3402"/>
      <c r="BB65" s="340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row>
    <row r="66" spans="1:79" s="2595" customForma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5950"/>
      <c r="AU66" s="3402"/>
      <c r="AV66" s="3402"/>
      <c r="AW66" s="3402"/>
      <c r="AX66" s="3402"/>
      <c r="AY66" s="3402"/>
      <c r="AZ66" s="3402"/>
      <c r="BA66" s="3402"/>
      <c r="BB66" s="340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row>
    <row r="67" spans="1:79" s="2595" customForma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5950"/>
      <c r="AU67" s="3402"/>
      <c r="AV67" s="3402"/>
      <c r="AW67" s="3402"/>
      <c r="AX67" s="3402"/>
      <c r="AY67" s="3402"/>
      <c r="AZ67" s="3402"/>
      <c r="BA67" s="3402"/>
      <c r="BB67" s="340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row>
    <row r="68" spans="1:79" s="2595" customForma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5950"/>
      <c r="AU68" s="3402"/>
      <c r="AV68" s="3402"/>
      <c r="AW68" s="3402"/>
      <c r="AX68" s="3402"/>
      <c r="AY68" s="3402"/>
      <c r="AZ68" s="3402"/>
      <c r="BA68" s="3402"/>
      <c r="BB68" s="340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row>
    <row r="69" spans="1:79" s="2595" customForma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5950"/>
      <c r="AU69" s="3402"/>
      <c r="AV69" s="3402"/>
      <c r="AW69" s="3402"/>
      <c r="AX69" s="3402"/>
      <c r="AY69" s="3402"/>
      <c r="AZ69" s="3402"/>
      <c r="BA69" s="3402"/>
      <c r="BB69" s="340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row>
  </sheetData>
  <sheetProtection password="F07E" sheet="1" objects="1" scenarios="1"/>
  <mergeCells count="116">
    <mergeCell ref="AI35:AJ35"/>
    <mergeCell ref="AA44:AC44"/>
    <mergeCell ref="M21:N21"/>
    <mergeCell ref="D30:K30"/>
    <mergeCell ref="L30:Z30"/>
    <mergeCell ref="L29:O29"/>
    <mergeCell ref="P29:S29"/>
    <mergeCell ref="W29:Z29"/>
    <mergeCell ref="V15:W15"/>
    <mergeCell ref="T15:U15"/>
    <mergeCell ref="R15:S15"/>
    <mergeCell ref="V25:W25"/>
    <mergeCell ref="AC16:AD16"/>
    <mergeCell ref="AI16:AJ16"/>
    <mergeCell ref="D39:G39"/>
    <mergeCell ref="H39:K39"/>
    <mergeCell ref="L39:O39"/>
    <mergeCell ref="P39:S39"/>
    <mergeCell ref="T39:Z39"/>
    <mergeCell ref="D40:G40"/>
    <mergeCell ref="H40:K40"/>
    <mergeCell ref="L40:O40"/>
    <mergeCell ref="P40:S40"/>
    <mergeCell ref="T40:Z40"/>
    <mergeCell ref="D41:G41"/>
    <mergeCell ref="H41:K41"/>
    <mergeCell ref="L41:O41"/>
    <mergeCell ref="P41:S41"/>
    <mergeCell ref="T41:Z41"/>
    <mergeCell ref="D42:G42"/>
    <mergeCell ref="H42:K42"/>
    <mergeCell ref="L42:O42"/>
    <mergeCell ref="P42:S42"/>
    <mergeCell ref="T42:Z42"/>
    <mergeCell ref="B58:E60"/>
    <mergeCell ref="L33:S33"/>
    <mergeCell ref="L31:O32"/>
    <mergeCell ref="P31:S32"/>
    <mergeCell ref="D31:G33"/>
    <mergeCell ref="H31:K33"/>
    <mergeCell ref="D34:G34"/>
    <mergeCell ref="H34:K34"/>
    <mergeCell ref="L34:O34"/>
    <mergeCell ref="P34:S34"/>
    <mergeCell ref="D35:G35"/>
    <mergeCell ref="H35:K35"/>
    <mergeCell ref="L35:O35"/>
    <mergeCell ref="P35:S35"/>
    <mergeCell ref="D36:G36"/>
    <mergeCell ref="H36:K36"/>
    <mergeCell ref="L36:O36"/>
    <mergeCell ref="P36:S36"/>
    <mergeCell ref="D37:G37"/>
    <mergeCell ref="H37:K37"/>
    <mergeCell ref="L37:O37"/>
    <mergeCell ref="P37:S37"/>
    <mergeCell ref="D38:G38"/>
    <mergeCell ref="H38:K38"/>
    <mergeCell ref="B55:L55"/>
    <mergeCell ref="Y24:AD24"/>
    <mergeCell ref="AE24:AJ24"/>
    <mergeCell ref="Y25:AD25"/>
    <mergeCell ref="AE25:AJ25"/>
    <mergeCell ref="AE45:AJ45"/>
    <mergeCell ref="AE26:AJ26"/>
    <mergeCell ref="X27:AC27"/>
    <mergeCell ref="T31:Z33"/>
    <mergeCell ref="T34:Z34"/>
    <mergeCell ref="D44:Z44"/>
    <mergeCell ref="AB26:AC26"/>
    <mergeCell ref="T35:Z35"/>
    <mergeCell ref="T36:Z36"/>
    <mergeCell ref="T37:Z37"/>
    <mergeCell ref="L38:O38"/>
    <mergeCell ref="P38:S38"/>
    <mergeCell ref="T38:Z38"/>
    <mergeCell ref="AE46:AJ46"/>
    <mergeCell ref="AE48:AJ48"/>
    <mergeCell ref="D43:G43"/>
    <mergeCell ref="H43:K43"/>
    <mergeCell ref="L43:O43"/>
    <mergeCell ref="P43:S43"/>
    <mergeCell ref="D2:G3"/>
    <mergeCell ref="AC2:AJ2"/>
    <mergeCell ref="B3:C3"/>
    <mergeCell ref="I3:AB3"/>
    <mergeCell ref="AC3:AJ4"/>
    <mergeCell ref="I5:AB5"/>
    <mergeCell ref="AD5:AG5"/>
    <mergeCell ref="AH5:AI6"/>
    <mergeCell ref="I6:AB6"/>
    <mergeCell ref="AD6:AG6"/>
    <mergeCell ref="AL48:AN48"/>
    <mergeCell ref="AL47:AN47"/>
    <mergeCell ref="B8:X9"/>
    <mergeCell ref="Y8:AJ9"/>
    <mergeCell ref="AE17:AJ17"/>
    <mergeCell ref="V12:X12"/>
    <mergeCell ref="AH14:AJ14"/>
    <mergeCell ref="AE14:AG14"/>
    <mergeCell ref="AC14:AD14"/>
    <mergeCell ref="AE15:AJ15"/>
    <mergeCell ref="Y15:AD15"/>
    <mergeCell ref="Y17:AD17"/>
    <mergeCell ref="Y19:AD19"/>
    <mergeCell ref="AE19:AJ19"/>
    <mergeCell ref="Y20:AD20"/>
    <mergeCell ref="AE20:AJ20"/>
    <mergeCell ref="Y23:AD23"/>
    <mergeCell ref="AE23:AJ23"/>
    <mergeCell ref="AH12:AJ12"/>
    <mergeCell ref="AE12:AG12"/>
    <mergeCell ref="AB12:AD12"/>
    <mergeCell ref="Y12:AA12"/>
    <mergeCell ref="T43:Z43"/>
    <mergeCell ref="AI36:AJ36"/>
  </mergeCells>
  <conditionalFormatting sqref="B8:K8">
    <cfRule type="expression" dxfId="358" priority="100">
      <formula>IF(NoColor,1,0)</formula>
    </cfRule>
  </conditionalFormatting>
  <conditionalFormatting sqref="D44:Z44">
    <cfRule type="expression" dxfId="357" priority="4">
      <formula>$AA$44</formula>
    </cfRule>
  </conditionalFormatting>
  <conditionalFormatting sqref="E12">
    <cfRule type="expression" dxfId="356" priority="12">
      <formula>AND($V$12,$AK$11="")</formula>
    </cfRule>
  </conditionalFormatting>
  <conditionalFormatting sqref="E14">
    <cfRule type="expression" dxfId="355" priority="10">
      <formula>AND($R$15,$AK$11="")</formula>
    </cfRule>
  </conditionalFormatting>
  <conditionalFormatting sqref="F11">
    <cfRule type="expression" dxfId="354" priority="13">
      <formula>AND($V$12,$AK$11="")</formula>
    </cfRule>
  </conditionalFormatting>
  <conditionalFormatting sqref="K26">
    <cfRule type="expression" dxfId="353" priority="5">
      <formula>$AB$26</formula>
    </cfRule>
  </conditionalFormatting>
  <conditionalFormatting sqref="Q22:R24">
    <cfRule type="expression" dxfId="352" priority="99">
      <formula>IF(NoColor,1,0)</formula>
    </cfRule>
  </conditionalFormatting>
  <conditionalFormatting sqref="V13">
    <cfRule type="expression" dxfId="351" priority="9">
      <formula>AND($AC$14,$AK$11="")</formula>
    </cfRule>
  </conditionalFormatting>
  <conditionalFormatting sqref="X27:AC27">
    <cfRule type="expression" dxfId="350" priority="21">
      <formula>IF(NoColor,1,0)</formula>
    </cfRule>
  </conditionalFormatting>
  <conditionalFormatting sqref="Y8">
    <cfRule type="expression" dxfId="349" priority="94">
      <formula>IF(NoColor,1,0)</formula>
    </cfRule>
  </conditionalFormatting>
  <conditionalFormatting sqref="Y22:Y25">
    <cfRule type="expression" dxfId="348" priority="29">
      <formula>IF(NoColor,1,0)</formula>
    </cfRule>
  </conditionalFormatting>
  <conditionalFormatting sqref="Y21:AC22">
    <cfRule type="expression" dxfId="347" priority="27">
      <formula>IF(NoColor,1,0)</formula>
    </cfRule>
  </conditionalFormatting>
  <conditionalFormatting sqref="Y17:AJ17">
    <cfRule type="expression" dxfId="346" priority="33">
      <formula>IF(NoColor,1,0)</formula>
    </cfRule>
  </conditionalFormatting>
  <conditionalFormatting sqref="Y19:AJ20">
    <cfRule type="expression" dxfId="345" priority="8">
      <formula>IF(NoColor,1,0)</formula>
    </cfRule>
  </conditionalFormatting>
  <conditionalFormatting sqref="AE13">
    <cfRule type="expression" dxfId="344" priority="11">
      <formula>AND($R$15,$AK$11="")</formula>
    </cfRule>
  </conditionalFormatting>
  <conditionalFormatting sqref="AE22:AE26">
    <cfRule type="expression" dxfId="343" priority="2">
      <formula>IF(NoColor,1,0)</formula>
    </cfRule>
  </conditionalFormatting>
  <conditionalFormatting sqref="AE26:AJ26">
    <cfRule type="expression" dxfId="342" priority="23">
      <formula>IF(NoColor,1,0)</formula>
    </cfRule>
  </conditionalFormatting>
  <conditionalFormatting sqref="AE45:AJ46">
    <cfRule type="expression" dxfId="341" priority="18">
      <formula>IF(NoColor,1,0)</formula>
    </cfRule>
  </conditionalFormatting>
  <conditionalFormatting sqref="AE48:AJ48">
    <cfRule type="expression" dxfId="340" priority="16">
      <formula>IF(NoColor,1,0)</formula>
    </cfRule>
  </conditionalFormatting>
  <conditionalFormatting sqref="AK11:AK12">
    <cfRule type="expression" dxfId="339" priority="14">
      <formula>OR($V$12,$R$15)</formula>
    </cfRule>
  </conditionalFormatting>
  <conditionalFormatting sqref="AL48:AN48">
    <cfRule type="expression" dxfId="338" priority="1">
      <formula>NoColor</formula>
    </cfRule>
  </conditionalFormatting>
  <conditionalFormatting sqref="AO43">
    <cfRule type="expression" dxfId="337" priority="3">
      <formula>$AQ$42</formula>
    </cfRule>
  </conditionalFormatting>
  <hyperlinks>
    <hyperlink ref="C58:D60" location="'Table of Contents'!A1" display="Table of Contents" xr:uid="{00000000-0004-0000-2E00-000000000000}"/>
    <hyperlink ref="B55:H55" r:id="rId1" display="Download Form 1040 Schedule R" xr:uid="{00000000-0004-0000-2E00-000001000000}"/>
    <hyperlink ref="B55:I55" r:id="rId2" display="Download Form 1040 Form 8962" xr:uid="{00000000-0004-0000-2E00-000002000000}"/>
    <hyperlink ref="B55:L55" r:id="rId3" display="Download Form 8880 &amp; Instructions" xr:uid="{00000000-0004-0000-2E00-000003000000}"/>
  </hyperlinks>
  <pageMargins left="0.45" right="0.45" top="0.25" bottom="0.25" header="0" footer="0"/>
  <pageSetup scale="69" fitToHeight="0" orientation="portrait" r:id="rId4"/>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AT164"/>
  <sheetViews>
    <sheetView zoomScaleNormal="100" zoomScaleSheetLayoutView="130" workbookViewId="0">
      <selection activeCell="O10" sqref="O10"/>
    </sheetView>
  </sheetViews>
  <sheetFormatPr defaultRowHeight="12.75"/>
  <cols>
    <col min="1" max="1" width="2.42578125" style="42" customWidth="1"/>
    <col min="2" max="2" width="7.7109375" customWidth="1"/>
    <col min="3" max="3" width="10" customWidth="1"/>
    <col min="4" max="4" width="4.28515625" customWidth="1"/>
    <col min="5" max="5" width="8.42578125" customWidth="1"/>
    <col min="6" max="6" width="18.5703125" customWidth="1"/>
    <col min="7" max="7" width="8" customWidth="1"/>
    <col min="8" max="8" width="7" customWidth="1"/>
    <col min="9" max="9" width="8" customWidth="1"/>
    <col min="10" max="10" width="3.140625" customWidth="1"/>
    <col min="11" max="11" width="15.7109375" customWidth="1"/>
    <col min="12" max="12" width="3.7109375" customWidth="1"/>
    <col min="13" max="13" width="14.140625" customWidth="1"/>
    <col min="14" max="14" width="2.5703125" customWidth="1"/>
    <col min="15" max="15" width="3" customWidth="1"/>
    <col min="16" max="16" width="9.7109375" style="270" customWidth="1"/>
    <col min="17" max="17" width="14.5703125" customWidth="1"/>
    <col min="18" max="18" width="2.28515625" customWidth="1"/>
    <col min="19" max="19" width="6.7109375" style="2661" hidden="1" customWidth="1"/>
    <col min="20" max="20" width="6.28515625" style="2661" hidden="1" customWidth="1"/>
    <col min="21" max="22" width="7.42578125" style="2661" hidden="1" customWidth="1"/>
    <col min="23" max="23" width="3.28515625" style="2661" customWidth="1"/>
    <col min="24" max="24" width="13.42578125" style="237" customWidth="1"/>
    <col min="25" max="25" width="1.28515625" style="1357" customWidth="1"/>
    <col min="26" max="26" width="3.85546875" style="2632" customWidth="1"/>
    <col min="27" max="27" width="1.28515625" style="1357" customWidth="1"/>
    <col min="28" max="28" width="4.28515625" style="2632" customWidth="1"/>
    <col min="29" max="29" width="1.28515625" style="1357" customWidth="1"/>
    <col min="30" max="30" width="2.7109375" style="2632" customWidth="1"/>
    <col min="31" max="31" width="1.28515625" style="1357" customWidth="1"/>
    <col min="32" max="32" width="9.140625" style="2633" customWidth="1"/>
    <col min="33" max="34" width="3" style="1357" customWidth="1"/>
    <col min="35" max="36" width="7" style="1357" hidden="1" customWidth="1"/>
    <col min="37" max="37" width="6.28515625" style="1357" hidden="1" customWidth="1"/>
    <col min="38" max="38" width="3" style="1357" customWidth="1"/>
    <col min="39" max="46" width="10.7109375" style="2595" customWidth="1"/>
  </cols>
  <sheetData>
    <row r="1" spans="1:46" ht="12" customHeight="1">
      <c r="A1" s="961"/>
      <c r="B1" s="959"/>
      <c r="C1" s="959"/>
      <c r="D1" s="959"/>
      <c r="E1" s="959"/>
      <c r="F1" s="959"/>
      <c r="G1" s="959"/>
      <c r="H1" s="959"/>
      <c r="I1" s="959"/>
      <c r="J1" s="959"/>
      <c r="K1" s="959"/>
      <c r="L1" s="960"/>
      <c r="M1" s="588"/>
      <c r="N1" s="588"/>
      <c r="O1" s="1145"/>
      <c r="P1" s="2857"/>
      <c r="Q1" s="681"/>
      <c r="R1" s="1145"/>
      <c r="W1" s="2648"/>
      <c r="X1" s="2654"/>
      <c r="Y1" s="1410"/>
      <c r="Z1" s="2655"/>
      <c r="AA1" s="1410"/>
      <c r="AB1" s="2655"/>
      <c r="AC1" s="1410"/>
      <c r="AD1" s="2655"/>
      <c r="AE1" s="1410"/>
      <c r="AF1" s="2656"/>
      <c r="AG1" s="1410"/>
      <c r="AH1" s="1410"/>
      <c r="AI1" s="1410"/>
      <c r="AJ1" s="1410"/>
      <c r="AK1" s="1410"/>
      <c r="AL1" s="1410"/>
      <c r="AM1" s="2594" t="s">
        <v>2033</v>
      </c>
    </row>
    <row r="2" spans="1:46" ht="17.25" customHeight="1">
      <c r="A2" s="961"/>
      <c r="B2" s="2386"/>
      <c r="C2" s="2386"/>
      <c r="D2" s="2386"/>
      <c r="E2" s="3920" t="str">
        <f>IF(T5,"You can't deduct contributions if you are someone else's dependent.",IF(U5,"Your spouse can't deduct contributions if you are someone else's dependent.",IF(AND(File_Marr_Joint&lt;&gt;"",O9="",O10=""),"  Indicate in cells O9 &amp; O10 which taxpayer(s) are beneficiaries of an HSA",IF(O9="","  Indicate in cell O9 if you are the beneficiary of an HSA.",IF(AND(O9&lt;&gt;"",O10&lt;&gt;""),"  A separate Form 8889, for your spouse, is available below.","")))))</f>
        <v/>
      </c>
      <c r="F2" s="959"/>
      <c r="G2" s="959"/>
      <c r="H2" s="959"/>
      <c r="I2" s="959"/>
      <c r="J2" s="959"/>
      <c r="K2" s="959"/>
      <c r="L2" s="960"/>
      <c r="M2" s="588"/>
      <c r="N2" s="588"/>
      <c r="O2" s="4845"/>
      <c r="P2" s="4845"/>
      <c r="Q2" s="681"/>
      <c r="R2" s="1145"/>
      <c r="W2" s="2648"/>
      <c r="X2" s="2654"/>
      <c r="Y2" s="1410"/>
      <c r="Z2" s="2655"/>
      <c r="AA2" s="1410"/>
      <c r="AB2" s="2655"/>
      <c r="AC2" s="1410"/>
      <c r="AD2" s="2655"/>
      <c r="AE2" s="1410"/>
      <c r="AF2" s="2656"/>
      <c r="AG2" s="1410"/>
      <c r="AH2" s="1410"/>
      <c r="AI2" s="1410"/>
      <c r="AJ2" s="1410"/>
      <c r="AK2" s="1410"/>
      <c r="AL2" s="1410"/>
    </row>
    <row r="3" spans="1:46" ht="13.5" customHeight="1">
      <c r="A3" s="962"/>
      <c r="B3" s="919"/>
      <c r="C3" s="588"/>
      <c r="D3" s="588"/>
      <c r="E3" s="588"/>
      <c r="F3" s="588"/>
      <c r="G3" s="880"/>
      <c r="H3" s="588"/>
      <c r="I3" s="588"/>
      <c r="J3" s="588"/>
      <c r="K3" s="588"/>
      <c r="L3" s="588"/>
      <c r="M3" s="588"/>
      <c r="N3" s="588"/>
      <c r="O3" s="4846"/>
      <c r="P3" s="2857"/>
      <c r="Q3" s="681"/>
      <c r="R3" s="1145"/>
      <c r="T3" s="9606" t="s">
        <v>2765</v>
      </c>
      <c r="U3" s="9606"/>
      <c r="W3" s="2648"/>
      <c r="X3" s="2654"/>
      <c r="Y3" s="1410"/>
      <c r="Z3" s="2655"/>
      <c r="AA3" s="1410"/>
      <c r="AB3" s="2655"/>
      <c r="AC3" s="1410"/>
      <c r="AD3" s="2655"/>
      <c r="AE3" s="1410"/>
      <c r="AF3" s="2656"/>
      <c r="AG3" s="1410"/>
      <c r="AH3" s="1410"/>
      <c r="AI3" s="1410"/>
      <c r="AJ3" s="1410"/>
      <c r="AK3" s="1410"/>
      <c r="AL3" s="1410"/>
    </row>
    <row r="4" spans="1:46">
      <c r="A4" s="78"/>
      <c r="B4" s="3241"/>
      <c r="C4" s="23"/>
      <c r="D4" s="97"/>
      <c r="E4" s="23"/>
      <c r="F4" s="23"/>
      <c r="G4" s="2117"/>
      <c r="H4" s="2713"/>
      <c r="I4" s="23"/>
      <c r="J4" s="23"/>
      <c r="K4" s="23"/>
      <c r="L4" s="8932" t="s">
        <v>85</v>
      </c>
      <c r="M4" s="8628"/>
      <c r="N4" s="588"/>
      <c r="O4" s="1145"/>
      <c r="P4" s="2857"/>
      <c r="Q4" s="681"/>
      <c r="R4" s="1145"/>
      <c r="T4" s="2632" t="s">
        <v>1720</v>
      </c>
      <c r="U4" s="2632" t="s">
        <v>1735</v>
      </c>
      <c r="W4" s="2648"/>
      <c r="X4" s="2654"/>
      <c r="Y4" s="1410"/>
      <c r="Z4" s="2655"/>
      <c r="AA4" s="1410"/>
      <c r="AB4" s="2655"/>
      <c r="AC4" s="1410"/>
      <c r="AD4" s="2655"/>
      <c r="AE4" s="1410"/>
      <c r="AF4" s="2656"/>
      <c r="AG4" s="1410"/>
      <c r="AH4" s="1410"/>
      <c r="AI4" s="1410"/>
      <c r="AJ4" s="1410"/>
      <c r="AK4" s="1410"/>
      <c r="AL4" s="1410"/>
    </row>
    <row r="5" spans="1:46" ht="21.75" customHeight="1">
      <c r="A5" s="78"/>
      <c r="B5" s="9651" t="s">
        <v>291</v>
      </c>
      <c r="C5" s="9652">
        <v>8889</v>
      </c>
      <c r="D5" s="9653"/>
      <c r="E5" s="9658" t="s">
        <v>1892</v>
      </c>
      <c r="F5" s="9659"/>
      <c r="G5" s="9659"/>
      <c r="H5" s="9659"/>
      <c r="I5" s="9659"/>
      <c r="J5" s="9659"/>
      <c r="K5" s="9660"/>
      <c r="L5" s="7521">
        <f>TaxYear</f>
        <v>2021</v>
      </c>
      <c r="M5" s="9661"/>
      <c r="N5" s="662"/>
      <c r="O5" s="1503"/>
      <c r="P5" s="253"/>
      <c r="Q5" s="9602" t="s">
        <v>5474</v>
      </c>
      <c r="R5" s="1503"/>
      <c r="S5" s="2662"/>
      <c r="T5" s="3501" t="b">
        <f>(DependentYOU&lt;&gt;"")</f>
        <v>0</v>
      </c>
      <c r="U5" s="3501" t="b">
        <f>(DependentSPOUSE&lt;&gt;"")</f>
        <v>0</v>
      </c>
      <c r="V5" s="2662"/>
      <c r="W5" s="2649"/>
      <c r="X5" s="2657"/>
      <c r="Y5" s="1410"/>
      <c r="Z5" s="2655"/>
      <c r="AA5" s="1410"/>
      <c r="AB5" s="2655"/>
      <c r="AC5" s="1410"/>
      <c r="AD5" s="2655"/>
      <c r="AE5" s="1410"/>
      <c r="AF5" s="2656"/>
      <c r="AG5" s="1410"/>
      <c r="AH5" s="1410"/>
      <c r="AI5" s="1410"/>
      <c r="AJ5" s="1410"/>
      <c r="AK5" s="1410"/>
      <c r="AL5" s="1410"/>
    </row>
    <row r="6" spans="1:46" ht="9.75" customHeight="1">
      <c r="A6" s="78"/>
      <c r="B6" s="7060"/>
      <c r="C6" s="9654"/>
      <c r="D6" s="9655"/>
      <c r="E6" s="6870"/>
      <c r="F6" s="9649"/>
      <c r="G6" s="9649"/>
      <c r="H6" s="9649"/>
      <c r="I6" s="9649"/>
      <c r="J6" s="9649"/>
      <c r="K6" s="9650"/>
      <c r="L6" s="9662"/>
      <c r="M6" s="9663"/>
      <c r="N6" s="663"/>
      <c r="O6" s="1262"/>
      <c r="P6" s="165"/>
      <c r="Q6" s="6664"/>
      <c r="R6" s="1262"/>
      <c r="S6" s="2663"/>
      <c r="T6" s="2663"/>
      <c r="U6" s="2663"/>
      <c r="V6" s="2663"/>
      <c r="W6" s="2650"/>
      <c r="X6" s="1262"/>
      <c r="Y6" s="1410"/>
      <c r="Z6" s="2655"/>
      <c r="AA6" s="1410"/>
      <c r="AB6" s="2655"/>
      <c r="AC6" s="1410"/>
      <c r="AD6" s="2655"/>
      <c r="AE6" s="1410"/>
      <c r="AF6" s="2656"/>
      <c r="AG6" s="1410"/>
      <c r="AH6" s="1410"/>
      <c r="AI6" s="1410"/>
      <c r="AJ6" s="1410"/>
      <c r="AK6" s="1410"/>
      <c r="AL6" s="1410"/>
    </row>
    <row r="7" spans="1:46" ht="12.75" customHeight="1">
      <c r="A7" s="78"/>
      <c r="B7" s="8464" t="s">
        <v>176</v>
      </c>
      <c r="C7" s="6665"/>
      <c r="D7" s="9648"/>
      <c r="E7" s="6870" t="s">
        <v>3569</v>
      </c>
      <c r="F7" s="9649"/>
      <c r="G7" s="9649"/>
      <c r="H7" s="9649"/>
      <c r="I7" s="9649"/>
      <c r="J7" s="9649"/>
      <c r="K7" s="9650"/>
      <c r="L7" s="8463" t="s">
        <v>301</v>
      </c>
      <c r="M7" s="7460"/>
      <c r="N7" s="662"/>
      <c r="O7" s="9607" t="s">
        <v>2439</v>
      </c>
      <c r="P7" s="9607"/>
      <c r="Q7" s="5739" t="b">
        <f>AND(O9&lt;&gt;"",O10&lt;&gt;"")</f>
        <v>0</v>
      </c>
      <c r="R7" s="1262"/>
      <c r="S7" s="2664"/>
      <c r="T7" s="2664"/>
      <c r="U7" s="2664"/>
      <c r="V7" s="2664"/>
      <c r="W7" s="2651"/>
      <c r="X7" s="2906" t="s">
        <v>2277</v>
      </c>
      <c r="Y7" s="1410"/>
      <c r="Z7" s="2655"/>
      <c r="AA7" s="1410"/>
      <c r="AB7" s="2655"/>
      <c r="AC7" s="1410"/>
      <c r="AD7" s="2655"/>
      <c r="AE7" s="1410"/>
      <c r="AF7" s="2656"/>
      <c r="AG7" s="1410"/>
      <c r="AH7" s="1410"/>
      <c r="AI7" s="1410"/>
      <c r="AJ7" s="1410"/>
      <c r="AK7" s="1410"/>
      <c r="AL7" s="1410"/>
    </row>
    <row r="8" spans="1:46" ht="12.75" customHeight="1" thickBot="1">
      <c r="A8" s="78"/>
      <c r="B8" s="9625" t="s">
        <v>395</v>
      </c>
      <c r="C8" s="9626"/>
      <c r="D8" s="9627"/>
      <c r="E8" s="9664" t="s">
        <v>2040</v>
      </c>
      <c r="F8" s="9665"/>
      <c r="G8" s="9665"/>
      <c r="H8" s="9665"/>
      <c r="I8" s="9665"/>
      <c r="J8" s="9665"/>
      <c r="K8" s="9666"/>
      <c r="L8" s="9631" t="s">
        <v>2782</v>
      </c>
      <c r="M8" s="9632"/>
      <c r="N8" s="662"/>
      <c r="O8" s="9607" t="s">
        <v>2438</v>
      </c>
      <c r="P8" s="9607"/>
      <c r="Q8" s="9610" t="str">
        <f>IF(AND(O9="",O10=""),"Indicate HSA beneficiary here.",IF($Q$7,"A separate "&amp;CHAR(10)&amp;"Form 8889 is available below.",""))</f>
        <v/>
      </c>
      <c r="R8" s="1503"/>
      <c r="S8" s="2664"/>
      <c r="T8" s="2664"/>
      <c r="U8" s="2664"/>
      <c r="V8" s="2664"/>
      <c r="W8" s="2651"/>
      <c r="X8" s="8042" t="s">
        <v>2278</v>
      </c>
      <c r="Y8" s="8042"/>
      <c r="Z8" s="6364"/>
      <c r="AA8" s="6364"/>
      <c r="AB8" s="6364"/>
      <c r="AC8" s="6364"/>
      <c r="AD8" s="6364"/>
      <c r="AE8" s="6364"/>
      <c r="AF8" s="6364"/>
      <c r="AG8" s="6364"/>
      <c r="AH8" s="3512"/>
      <c r="AI8" s="1410"/>
      <c r="AJ8" s="1410"/>
      <c r="AK8" s="1410"/>
      <c r="AL8" s="1410"/>
    </row>
    <row r="9" spans="1:46" ht="15" customHeight="1" thickBot="1">
      <c r="A9" s="78"/>
      <c r="B9" s="325" t="s">
        <v>3571</v>
      </c>
      <c r="C9" s="159"/>
      <c r="D9" s="159"/>
      <c r="E9" s="134"/>
      <c r="F9" s="135"/>
      <c r="G9" s="144"/>
      <c r="H9" s="135"/>
      <c r="I9" s="135"/>
      <c r="J9" s="9633" t="s">
        <v>4256</v>
      </c>
      <c r="K9" s="9634"/>
      <c r="L9" s="9637">
        <f>IF(NoSSN,"",IF(O9&lt;&gt;"",SS_Yours,IF(O10&lt;&gt;"",SS_Spouse,SS_Yours)))</f>
        <v>1010001</v>
      </c>
      <c r="M9" s="9638"/>
      <c r="N9" s="662"/>
      <c r="O9" s="3520" t="s">
        <v>1202</v>
      </c>
      <c r="P9" s="3504" t="s">
        <v>1720</v>
      </c>
      <c r="Q9" s="9610"/>
      <c r="R9" s="1503"/>
      <c r="S9" s="12"/>
      <c r="T9" s="12"/>
      <c r="U9" s="12"/>
      <c r="V9" s="12"/>
      <c r="W9" s="2652"/>
      <c r="X9" s="8917"/>
      <c r="Y9" s="8917"/>
      <c r="Z9" s="8917"/>
      <c r="AA9" s="8917"/>
      <c r="AB9" s="8917"/>
      <c r="AC9" s="8917"/>
      <c r="AD9" s="8917"/>
      <c r="AE9" s="8917"/>
      <c r="AF9" s="8917"/>
      <c r="AG9" s="8917"/>
      <c r="AH9" s="3512"/>
      <c r="AI9" s="1410"/>
      <c r="AJ9" s="1410"/>
      <c r="AK9" s="1410"/>
      <c r="AL9" s="1410"/>
    </row>
    <row r="10" spans="1:46" ht="15" customHeight="1">
      <c r="A10" s="78"/>
      <c r="B10" s="8906" t="str">
        <f>IF(O9&lt;&gt;"",NameYours,IF(O10&lt;&gt;"",NameSpouse,Names))</f>
        <v xml:space="preserve"> </v>
      </c>
      <c r="C10" s="6290"/>
      <c r="D10" s="6290"/>
      <c r="E10" s="6290"/>
      <c r="F10" s="6290"/>
      <c r="G10" s="6290"/>
      <c r="H10" s="6290"/>
      <c r="I10" s="6290"/>
      <c r="J10" s="9635"/>
      <c r="K10" s="9636"/>
      <c r="L10" s="6290"/>
      <c r="M10" s="6290"/>
      <c r="N10" s="662"/>
      <c r="O10" s="3520"/>
      <c r="P10" s="3504" t="s">
        <v>1735</v>
      </c>
      <c r="Q10" s="9610"/>
      <c r="R10" s="1503"/>
      <c r="S10" s="12"/>
      <c r="T10" s="12"/>
      <c r="U10" s="12"/>
      <c r="V10" s="12"/>
      <c r="W10" s="2652"/>
      <c r="X10" s="9611" t="s">
        <v>2049</v>
      </c>
      <c r="Y10" s="9612"/>
      <c r="Z10" s="9612"/>
      <c r="AA10" s="9612"/>
      <c r="AB10" s="9612"/>
      <c r="AC10" s="9612"/>
      <c r="AD10" s="9612"/>
      <c r="AE10" s="9612"/>
      <c r="AF10" s="9612"/>
      <c r="AG10" s="9613"/>
      <c r="AH10" s="3518"/>
      <c r="AI10" s="1410"/>
      <c r="AJ10" s="1410"/>
      <c r="AK10" s="1410"/>
      <c r="AL10" s="1410"/>
    </row>
    <row r="11" spans="1:46" ht="24.75" customHeight="1">
      <c r="A11" s="78"/>
      <c r="B11" s="3543" t="s">
        <v>2783</v>
      </c>
      <c r="C11" s="1694"/>
      <c r="D11" s="1694"/>
      <c r="E11" s="1694"/>
      <c r="F11" s="1694"/>
      <c r="G11" s="1694"/>
      <c r="H11" s="1694"/>
      <c r="I11" s="1694"/>
      <c r="J11" s="2361"/>
      <c r="K11" s="2361"/>
      <c r="L11" s="1694"/>
      <c r="M11" s="1694"/>
      <c r="N11" s="663"/>
      <c r="O11" s="1503"/>
      <c r="P11" s="165"/>
      <c r="Q11" s="3239"/>
      <c r="R11" s="1503"/>
      <c r="S11" s="12"/>
      <c r="T11" s="12"/>
      <c r="U11" s="12"/>
      <c r="V11" s="12"/>
      <c r="W11" s="2652"/>
      <c r="X11" s="2638"/>
      <c r="Y11" s="1276"/>
      <c r="Z11" s="9617" t="s">
        <v>2043</v>
      </c>
      <c r="AA11" s="1276"/>
      <c r="AB11" s="9617" t="s">
        <v>2042</v>
      </c>
      <c r="AC11" s="1276"/>
      <c r="AD11" s="9617" t="s">
        <v>2764</v>
      </c>
      <c r="AE11" s="1276"/>
      <c r="AF11" s="2644"/>
      <c r="AG11" s="2645"/>
      <c r="AH11" s="1276"/>
      <c r="AI11" s="1410"/>
      <c r="AJ11" s="1410"/>
      <c r="AK11" s="1410"/>
      <c r="AL11" s="1410"/>
    </row>
    <row r="12" spans="1:46" ht="12.75" customHeight="1">
      <c r="A12" s="78"/>
      <c r="B12" s="4741" t="s">
        <v>324</v>
      </c>
      <c r="C12" s="9644" t="s">
        <v>1906</v>
      </c>
      <c r="D12" s="9644"/>
      <c r="E12" s="9645"/>
      <c r="F12" s="9645"/>
      <c r="G12" s="9645"/>
      <c r="H12" s="9645"/>
      <c r="I12" s="9645"/>
      <c r="J12" s="9645"/>
      <c r="K12" s="9645"/>
      <c r="L12" s="9645"/>
      <c r="M12" s="9645"/>
      <c r="N12" s="664"/>
      <c r="O12" s="1503"/>
      <c r="P12" s="2721"/>
      <c r="Q12" s="681"/>
      <c r="R12" s="1503"/>
      <c r="S12" s="2665"/>
      <c r="T12" s="2665"/>
      <c r="U12" s="2665"/>
      <c r="V12" s="2665"/>
      <c r="W12" s="2085"/>
      <c r="X12" s="2639"/>
      <c r="Y12" s="1276"/>
      <c r="Z12" s="9618"/>
      <c r="AA12" s="1276"/>
      <c r="AB12" s="9618"/>
      <c r="AC12" s="1276"/>
      <c r="AD12" s="9618"/>
      <c r="AE12" s="1276"/>
      <c r="AF12" s="2644"/>
      <c r="AG12" s="2645"/>
      <c r="AH12" s="1276"/>
      <c r="AI12" s="1410"/>
      <c r="AJ12" s="1410"/>
      <c r="AK12" s="1410"/>
      <c r="AL12" s="1410"/>
    </row>
    <row r="13" spans="1:46" ht="12" customHeight="1">
      <c r="A13" s="78"/>
      <c r="B13" s="2362"/>
      <c r="C13" s="9639" t="s">
        <v>1893</v>
      </c>
      <c r="D13" s="9639"/>
      <c r="E13" s="9640"/>
      <c r="F13" s="9640"/>
      <c r="G13" s="9640"/>
      <c r="H13" s="9640"/>
      <c r="I13" s="9640"/>
      <c r="J13" s="9640"/>
      <c r="K13" s="9640"/>
      <c r="L13" s="9640"/>
      <c r="M13" s="9640"/>
      <c r="N13" s="664"/>
      <c r="O13" s="1503"/>
      <c r="P13" s="2721">
        <f>SUM(P15,P17)</f>
        <v>0</v>
      </c>
      <c r="Q13" s="1297" t="b">
        <f>IF(P13=1,TRUE,FALSE)</f>
        <v>0</v>
      </c>
      <c r="R13" s="1503"/>
      <c r="S13" s="2665"/>
      <c r="T13" s="2665"/>
      <c r="U13" s="2665"/>
      <c r="V13" s="2665"/>
      <c r="W13" s="2085"/>
      <c r="X13" s="2639"/>
      <c r="Y13" s="1276"/>
      <c r="Z13" s="9618"/>
      <c r="AA13" s="1276"/>
      <c r="AB13" s="9618"/>
      <c r="AC13" s="1276"/>
      <c r="AD13" s="9618"/>
      <c r="AE13" s="1276"/>
      <c r="AF13" s="2644"/>
      <c r="AG13" s="2645"/>
      <c r="AH13" s="1276"/>
      <c r="AI13" s="1410"/>
      <c r="AJ13" s="1410"/>
      <c r="AK13" s="1410"/>
      <c r="AL13" s="1410"/>
    </row>
    <row r="14" spans="1:46" ht="6" customHeight="1">
      <c r="A14" s="78"/>
      <c r="B14" s="2363"/>
      <c r="C14" s="2364"/>
      <c r="D14" s="2364"/>
      <c r="E14" s="2365"/>
      <c r="F14" s="2365"/>
      <c r="G14" s="2365"/>
      <c r="H14" s="2365"/>
      <c r="I14" s="2365"/>
      <c r="J14" s="2365"/>
      <c r="K14" s="2365"/>
      <c r="L14" s="2365"/>
      <c r="M14" s="2365"/>
      <c r="N14" s="664"/>
      <c r="O14" s="1503"/>
      <c r="P14" s="570"/>
      <c r="Q14" s="681"/>
      <c r="R14" s="1503"/>
      <c r="S14" s="2665"/>
      <c r="T14" s="2665"/>
      <c r="U14" s="2665"/>
      <c r="V14" s="2665"/>
      <c r="W14" s="2085"/>
      <c r="X14" s="2639"/>
      <c r="Y14" s="1276"/>
      <c r="Z14" s="9618"/>
      <c r="AA14" s="1276"/>
      <c r="AB14" s="9618"/>
      <c r="AC14" s="1276"/>
      <c r="AD14" s="9618"/>
      <c r="AE14" s="1276"/>
      <c r="AF14" s="2644"/>
      <c r="AG14" s="2645"/>
      <c r="AH14" s="1276"/>
      <c r="AI14" s="1410"/>
      <c r="AJ14" s="1410"/>
      <c r="AK14" s="1410"/>
      <c r="AL14" s="1410"/>
    </row>
    <row r="15" spans="1:46" s="983" customFormat="1" ht="12" customHeight="1">
      <c r="A15" s="78"/>
      <c r="B15" s="154">
        <v>1</v>
      </c>
      <c r="C15" s="273" t="str">
        <f>"Check the box to indicate your coverage under a high-deductible health plan (HDHP) during "&amp;TaxYear</f>
        <v>Check the box to indicate your coverage under a high-deductible health plan (HDHP) during 2021</v>
      </c>
      <c r="D15" s="273"/>
      <c r="E15" s="230"/>
      <c r="F15" s="230"/>
      <c r="G15" s="231"/>
      <c r="H15" s="231"/>
      <c r="I15" s="231"/>
      <c r="J15" s="231"/>
      <c r="K15" s="155"/>
      <c r="L15" s="2368"/>
      <c r="M15" s="2366" t="s">
        <v>1894</v>
      </c>
      <c r="N15" s="665"/>
      <c r="O15" s="2086"/>
      <c r="P15" s="2721">
        <f>IF(L15&lt;&gt;"",1,0)</f>
        <v>0</v>
      </c>
      <c r="Q15" s="9608" t="str">
        <f>IF(P13=0,"Check one box.",IF(P13=2,"Check only one box.",""))</f>
        <v>Check one box.</v>
      </c>
      <c r="R15" s="2086"/>
      <c r="S15" s="263"/>
      <c r="T15" s="263"/>
      <c r="U15" s="263"/>
      <c r="V15" s="263"/>
      <c r="W15" s="2086"/>
      <c r="X15" s="2640"/>
      <c r="Y15" s="1276"/>
      <c r="Z15" s="9618"/>
      <c r="AA15" s="1276"/>
      <c r="AB15" s="9618"/>
      <c r="AC15" s="1276"/>
      <c r="AD15" s="9618"/>
      <c r="AE15" s="1276"/>
      <c r="AF15" s="2644"/>
      <c r="AG15" s="2645"/>
      <c r="AH15" s="1276"/>
      <c r="AI15" s="1407"/>
      <c r="AJ15" s="1407"/>
      <c r="AK15" s="1407"/>
      <c r="AL15" s="1407"/>
      <c r="AM15" s="2595"/>
      <c r="AN15" s="2595"/>
      <c r="AO15" s="2595"/>
      <c r="AP15" s="2595"/>
      <c r="AQ15" s="2595"/>
      <c r="AR15" s="2595"/>
      <c r="AS15" s="2595"/>
      <c r="AT15" s="2595"/>
    </row>
    <row r="16" spans="1:46" s="983" customFormat="1" ht="5.25" customHeight="1">
      <c r="A16" s="78"/>
      <c r="B16" s="154"/>
      <c r="C16" s="9643" t="s">
        <v>2149</v>
      </c>
      <c r="D16" s="6636"/>
      <c r="E16" s="6636"/>
      <c r="F16" s="2367"/>
      <c r="G16" s="2367"/>
      <c r="H16" s="2367"/>
      <c r="I16" s="2367"/>
      <c r="J16" s="2367"/>
      <c r="K16" s="2367"/>
      <c r="L16" s="154"/>
      <c r="M16" s="446"/>
      <c r="N16" s="665"/>
      <c r="O16" s="2086"/>
      <c r="P16" s="2721"/>
      <c r="Q16" s="9609"/>
      <c r="R16" s="2086"/>
      <c r="S16" s="263"/>
      <c r="T16" s="263"/>
      <c r="U16" s="263"/>
      <c r="V16" s="263"/>
      <c r="W16" s="2086"/>
      <c r="X16" s="2640"/>
      <c r="Y16" s="1276"/>
      <c r="Z16" s="9618"/>
      <c r="AA16" s="1276"/>
      <c r="AB16" s="9618"/>
      <c r="AC16" s="1276"/>
      <c r="AD16" s="9618"/>
      <c r="AE16" s="1276"/>
      <c r="AF16" s="2644"/>
      <c r="AG16" s="2645"/>
      <c r="AH16" s="1276"/>
      <c r="AI16" s="1407"/>
      <c r="AJ16" s="1407"/>
      <c r="AK16" s="1407"/>
      <c r="AL16" s="1407"/>
      <c r="AM16" s="2595"/>
      <c r="AN16" s="2595"/>
      <c r="AO16" s="2595"/>
      <c r="AP16" s="2595"/>
      <c r="AQ16" s="2595"/>
      <c r="AR16" s="2595"/>
      <c r="AS16" s="2595"/>
      <c r="AT16" s="2595"/>
    </row>
    <row r="17" spans="1:46" s="983" customFormat="1" ht="10.5" customHeight="1">
      <c r="A17" s="78"/>
      <c r="B17" s="154"/>
      <c r="C17" s="6636"/>
      <c r="D17" s="6636"/>
      <c r="E17" s="6636"/>
      <c r="F17" s="2367"/>
      <c r="G17" s="2367"/>
      <c r="H17" s="2367"/>
      <c r="I17" s="2367"/>
      <c r="J17" s="2367"/>
      <c r="K17" s="3240" t="s">
        <v>2750</v>
      </c>
      <c r="L17" s="2368"/>
      <c r="M17" s="2366" t="s">
        <v>1895</v>
      </c>
      <c r="N17" s="665"/>
      <c r="O17" s="2086"/>
      <c r="P17" s="2721">
        <f>IF(L17&lt;&gt;"",1,0)</f>
        <v>0</v>
      </c>
      <c r="Q17" s="9609"/>
      <c r="R17" s="2086"/>
      <c r="S17" s="263"/>
      <c r="T17" s="263"/>
      <c r="U17" s="263"/>
      <c r="V17" s="263"/>
      <c r="W17" s="2086"/>
      <c r="X17" s="2640"/>
      <c r="Y17" s="1276"/>
      <c r="Z17" s="9618"/>
      <c r="AA17" s="1276"/>
      <c r="AB17" s="9618"/>
      <c r="AC17" s="1276"/>
      <c r="AD17" s="9618"/>
      <c r="AE17" s="1276"/>
      <c r="AF17" s="2644"/>
      <c r="AG17" s="2645"/>
      <c r="AH17" s="1276"/>
      <c r="AI17" s="1407"/>
      <c r="AJ17" s="1407"/>
      <c r="AK17" s="1407"/>
      <c r="AL17" s="1407"/>
      <c r="AM17" s="2595"/>
      <c r="AN17" s="2595"/>
      <c r="AO17" s="2595"/>
      <c r="AP17" s="2595"/>
      <c r="AQ17" s="2595"/>
      <c r="AR17" s="2595"/>
      <c r="AS17" s="2595"/>
      <c r="AT17" s="2595"/>
    </row>
    <row r="18" spans="1:46" s="983" customFormat="1" ht="4.5" customHeight="1">
      <c r="A18" s="78"/>
      <c r="B18" s="154"/>
      <c r="C18" s="613"/>
      <c r="D18" s="613"/>
      <c r="E18" s="613"/>
      <c r="F18" s="2367"/>
      <c r="G18" s="2367"/>
      <c r="H18" s="2367"/>
      <c r="I18" s="2367"/>
      <c r="J18" s="2367"/>
      <c r="K18" s="1349"/>
      <c r="L18" s="2369"/>
      <c r="M18" s="2366"/>
      <c r="N18" s="665"/>
      <c r="O18" s="2086"/>
      <c r="P18" s="2935"/>
      <c r="Q18" s="582"/>
      <c r="R18" s="2086"/>
      <c r="S18" s="263"/>
      <c r="T18" s="263"/>
      <c r="U18" s="263"/>
      <c r="V18" s="263"/>
      <c r="W18" s="2086"/>
      <c r="X18" s="2640"/>
      <c r="Y18" s="1276"/>
      <c r="Z18" s="9618"/>
      <c r="AA18" s="1276"/>
      <c r="AB18" s="9618"/>
      <c r="AC18" s="1276"/>
      <c r="AD18" s="9618"/>
      <c r="AE18" s="1276"/>
      <c r="AF18" s="2644"/>
      <c r="AG18" s="2645"/>
      <c r="AH18" s="1276"/>
      <c r="AI18" s="1407"/>
      <c r="AJ18" s="1407"/>
      <c r="AK18" s="1407"/>
      <c r="AL18" s="1407"/>
      <c r="AM18" s="2595"/>
      <c r="AN18" s="2595"/>
      <c r="AO18" s="2595"/>
      <c r="AP18" s="2595"/>
      <c r="AQ18" s="2595"/>
      <c r="AR18" s="2595"/>
      <c r="AS18" s="2595"/>
      <c r="AT18" s="2595"/>
    </row>
    <row r="19" spans="1:46" s="983" customFormat="1" ht="12" customHeight="1">
      <c r="A19" s="78"/>
      <c r="B19" s="155">
        <v>2</v>
      </c>
      <c r="C19" s="273" t="str">
        <f>"HSA contributions you made for "&amp;TaxYear&amp;" (or those made on your behalf), including those made"</f>
        <v>HSA contributions you made for 2021 (or those made on your behalf), including those made</v>
      </c>
      <c r="D19" s="273"/>
      <c r="E19" s="230"/>
      <c r="F19" s="230"/>
      <c r="G19" s="231"/>
      <c r="H19" s="231"/>
      <c r="I19" s="231"/>
      <c r="J19" s="231"/>
      <c r="K19" s="155"/>
      <c r="L19" s="834"/>
      <c r="M19" s="1398"/>
      <c r="N19" s="665"/>
      <c r="O19" s="2086"/>
      <c r="P19" s="2935"/>
      <c r="Q19" s="582"/>
      <c r="R19" s="2086"/>
      <c r="S19" s="263"/>
      <c r="T19" s="263"/>
      <c r="U19" s="263"/>
      <c r="V19" s="263"/>
      <c r="W19" s="2086"/>
      <c r="X19" s="2640"/>
      <c r="Y19" s="1276"/>
      <c r="Z19" s="9618"/>
      <c r="AA19" s="1276"/>
      <c r="AB19" s="9618"/>
      <c r="AC19" s="1276"/>
      <c r="AD19" s="9618"/>
      <c r="AE19" s="1276"/>
      <c r="AF19" s="2644"/>
      <c r="AG19" s="2645"/>
      <c r="AH19" s="1276"/>
      <c r="AI19" s="1407"/>
      <c r="AJ19" s="1407"/>
      <c r="AK19" s="1407"/>
      <c r="AL19" s="1407"/>
      <c r="AM19" s="2595"/>
      <c r="AN19" s="2595"/>
      <c r="AO19" s="2595"/>
      <c r="AP19" s="2595"/>
      <c r="AQ19" s="2595"/>
      <c r="AR19" s="2595"/>
      <c r="AS19" s="2595"/>
      <c r="AT19" s="2595"/>
    </row>
    <row r="20" spans="1:46" ht="12" customHeight="1">
      <c r="A20" s="78"/>
      <c r="B20" s="155"/>
      <c r="C20" s="273" t="str">
        <f>"from  January  1, "&amp;TaxYear+1&amp;",  through  April 15, "&amp;TaxYear+1&amp;"  that  were  for  "&amp;TaxYear&amp;"."</f>
        <v>from  January  1, 2022,  through  April 15, 2022  that  were  for  2021.</v>
      </c>
      <c r="D20" s="178"/>
      <c r="E20" s="230"/>
      <c r="F20" s="230"/>
      <c r="G20" s="231"/>
      <c r="H20" s="273"/>
      <c r="I20" s="273" t="s">
        <v>1926</v>
      </c>
      <c r="J20" s="231"/>
      <c r="K20" s="231"/>
      <c r="L20" s="590"/>
      <c r="M20" s="1859">
        <f>IF(M21="",0,ROUND(M21,0))</f>
        <v>0</v>
      </c>
      <c r="N20" s="666"/>
      <c r="O20" s="1185"/>
      <c r="P20" s="2935"/>
      <c r="Q20" s="582"/>
      <c r="R20" s="1185"/>
      <c r="S20" s="263"/>
      <c r="T20" s="263"/>
      <c r="U20" s="263"/>
      <c r="V20" s="263"/>
      <c r="W20" s="2086"/>
      <c r="X20" s="2641"/>
      <c r="Y20" s="1276"/>
      <c r="Z20" s="9618"/>
      <c r="AA20" s="1276"/>
      <c r="AB20" s="9618"/>
      <c r="AC20" s="1276"/>
      <c r="AD20" s="9618"/>
      <c r="AE20" s="1276"/>
      <c r="AF20" s="2644"/>
      <c r="AG20" s="2645"/>
      <c r="AH20" s="1276"/>
      <c r="AI20" s="1410"/>
      <c r="AJ20" s="2655" t="s">
        <v>1720</v>
      </c>
      <c r="AK20" s="2655" t="s">
        <v>2773</v>
      </c>
      <c r="AL20" s="2655"/>
    </row>
    <row r="21" spans="1:46" ht="12" customHeight="1">
      <c r="A21" s="78"/>
      <c r="B21" s="155"/>
      <c r="C21" s="273" t="s">
        <v>1896</v>
      </c>
      <c r="D21" s="178"/>
      <c r="E21" s="230"/>
      <c r="F21" s="230"/>
      <c r="G21" s="231"/>
      <c r="H21" s="155"/>
      <c r="I21" s="155"/>
      <c r="J21" s="155"/>
      <c r="K21" s="154" t="s">
        <v>560</v>
      </c>
      <c r="L21" s="333">
        <f>B19</f>
        <v>2</v>
      </c>
      <c r="M21" s="1374"/>
      <c r="N21" s="666"/>
      <c r="O21" s="1185"/>
      <c r="P21" s="2935"/>
      <c r="Q21" s="582"/>
      <c r="R21" s="1185"/>
      <c r="S21" s="263" t="s">
        <v>2045</v>
      </c>
      <c r="T21" s="263"/>
      <c r="U21" s="263" t="s">
        <v>2044</v>
      </c>
      <c r="V21" s="263" t="s">
        <v>1522</v>
      </c>
      <c r="W21" s="2086"/>
      <c r="X21" s="2642">
        <f>TaxYear</f>
        <v>2021</v>
      </c>
      <c r="Y21" s="1276"/>
      <c r="Z21" s="9618"/>
      <c r="AA21" s="1276"/>
      <c r="AB21" s="9618"/>
      <c r="AC21" s="1276"/>
      <c r="AD21" s="9618"/>
      <c r="AE21" s="1276"/>
      <c r="AF21" s="2644"/>
      <c r="AG21" s="2645"/>
      <c r="AH21" s="1276"/>
      <c r="AI21" s="2655" t="s">
        <v>2044</v>
      </c>
      <c r="AJ21" s="2655" t="s">
        <v>1522</v>
      </c>
      <c r="AK21" s="2655" t="s">
        <v>1522</v>
      </c>
      <c r="AL21" s="2655"/>
    </row>
    <row r="22" spans="1:46" s="983" customFormat="1" ht="12" customHeight="1">
      <c r="A22" s="78"/>
      <c r="B22" s="155">
        <v>3</v>
      </c>
      <c r="C22" s="273" t="str">
        <f>"If  you  were under age "&amp;P22&amp;" at the  end of  "&amp;TaxYear&amp;", and  on  the first day of"</f>
        <v>If  you  were under age 55 at the  end of  2021, and  on  the first day of</v>
      </c>
      <c r="D22" s="273"/>
      <c r="E22" s="230"/>
      <c r="F22" s="230"/>
      <c r="G22" s="231"/>
      <c r="H22" s="2379"/>
      <c r="I22" s="2379" t="s">
        <v>1927</v>
      </c>
      <c r="J22" s="569" t="str">
        <f>"month during "&amp;TaxYear&amp;", you"</f>
        <v>month during 2021, you</v>
      </c>
      <c r="K22" s="273"/>
      <c r="L22" s="2371"/>
      <c r="M22" s="2636"/>
      <c r="N22" s="665"/>
      <c r="O22" s="2086"/>
      <c r="P22" s="2721">
        <v>55</v>
      </c>
      <c r="Q22" s="582"/>
      <c r="R22" s="2086"/>
      <c r="S22" s="3497" t="s">
        <v>2046</v>
      </c>
      <c r="T22" s="4379" t="s">
        <v>709</v>
      </c>
      <c r="U22" s="3498">
        <v>3600</v>
      </c>
      <c r="V22" s="3498">
        <v>7200</v>
      </c>
      <c r="W22" s="2653"/>
      <c r="X22" s="2643" t="s">
        <v>1101</v>
      </c>
      <c r="Y22" s="1276"/>
      <c r="Z22" s="2647" t="s">
        <v>2041</v>
      </c>
      <c r="AA22" s="1276"/>
      <c r="AB22" s="2647" t="s">
        <v>2051</v>
      </c>
      <c r="AC22" s="1276"/>
      <c r="AD22" s="2647" t="str">
        <f>IF(L17&lt;&gt;"","F","S")</f>
        <v>S</v>
      </c>
      <c r="AE22" s="1276"/>
      <c r="AF22" s="2644">
        <f t="shared" ref="AF22:AF33" si="0">IF(OR(Z22="Y",Z22="y",AB22="N",AB22="n"),0,IF(OR(AD22="S",AD22="s"),$U$25,$V$25))</f>
        <v>4600</v>
      </c>
      <c r="AG22" s="2645"/>
      <c r="AH22" s="1276"/>
      <c r="AI22" s="1407">
        <f t="shared" ref="AI22:AI33" si="1">IF(AD22="S",1,0)</f>
        <v>1</v>
      </c>
      <c r="AJ22" s="1407">
        <f t="shared" ref="AJ22:AJ33" si="2">IF(AND(OR(AB22="y",AB22="Y"),OR(AD22="f",AD22="F")),1,0)</f>
        <v>0</v>
      </c>
      <c r="AK22" s="1407">
        <f t="shared" ref="AK22:AK33" si="3">MIN(1,SUM(AJ22,AJ85))</f>
        <v>0</v>
      </c>
      <c r="AL22" s="1407"/>
      <c r="AM22" s="2595"/>
      <c r="AN22" s="2595"/>
      <c r="AO22" s="2595"/>
      <c r="AP22" s="2595"/>
      <c r="AQ22" s="2595"/>
      <c r="AR22" s="2595"/>
      <c r="AS22" s="2595"/>
      <c r="AT22" s="2595"/>
    </row>
    <row r="23" spans="1:46" ht="12" customHeight="1">
      <c r="A23" s="78"/>
      <c r="B23" s="155"/>
      <c r="C23" s="273" t="s">
        <v>4451</v>
      </c>
      <c r="D23" s="178"/>
      <c r="E23" s="230"/>
      <c r="F23" s="230"/>
      <c r="G23" s="231"/>
      <c r="H23" s="231"/>
      <c r="I23" s="231"/>
      <c r="J23" s="273"/>
      <c r="K23" s="4890" t="str">
        <f>"enter "&amp;TEXT($U$22,"$0,000")&amp; " ("&amp;TEXT($V$22,"$0,000")&amp;" for"</f>
        <v>enter $3,600 ($7,200 for</v>
      </c>
      <c r="L23" s="590"/>
      <c r="M23" s="2637"/>
      <c r="N23" s="666"/>
      <c r="O23" s="1185"/>
      <c r="P23" s="2936"/>
      <c r="Q23" s="582"/>
      <c r="R23" s="1185"/>
      <c r="S23" s="3497" t="s">
        <v>2047</v>
      </c>
      <c r="T23" s="4379" t="s">
        <v>2275</v>
      </c>
      <c r="U23" s="3498">
        <f>SUM(U22,$S$33)</f>
        <v>4600</v>
      </c>
      <c r="V23" s="3498">
        <f>SUM(V22,$S$33)</f>
        <v>8200</v>
      </c>
      <c r="W23" s="2653"/>
      <c r="X23" s="2643" t="s">
        <v>1102</v>
      </c>
      <c r="Y23" s="1276"/>
      <c r="Z23" s="2647" t="str">
        <f>Z22</f>
        <v>N</v>
      </c>
      <c r="AA23" s="1276"/>
      <c r="AB23" s="2647" t="str">
        <f>AB22</f>
        <v>Y</v>
      </c>
      <c r="AC23" s="1276"/>
      <c r="AD23" s="2647" t="str">
        <f>AD22</f>
        <v>S</v>
      </c>
      <c r="AE23" s="1276"/>
      <c r="AF23" s="2644">
        <f t="shared" si="0"/>
        <v>4600</v>
      </c>
      <c r="AG23" s="2645"/>
      <c r="AH23" s="1276"/>
      <c r="AI23" s="1407">
        <f t="shared" si="1"/>
        <v>1</v>
      </c>
      <c r="AJ23" s="1407">
        <f t="shared" si="2"/>
        <v>0</v>
      </c>
      <c r="AK23" s="1407">
        <f t="shared" si="3"/>
        <v>0</v>
      </c>
      <c r="AL23" s="1407"/>
    </row>
    <row r="24" spans="1:46" ht="12" customHeight="1">
      <c r="A24" s="78"/>
      <c r="B24" s="155"/>
      <c r="C24" s="273" t="s">
        <v>4452</v>
      </c>
      <c r="D24" s="178"/>
      <c r="E24" s="230"/>
      <c r="F24" s="273"/>
      <c r="G24" s="231"/>
      <c r="H24" s="155"/>
      <c r="I24" s="155"/>
      <c r="J24" s="155"/>
      <c r="K24" s="154" t="s">
        <v>570</v>
      </c>
      <c r="L24" s="333">
        <f>B22</f>
        <v>3</v>
      </c>
      <c r="M24" s="2511" t="str">
        <f>IF(Q24&lt;&gt;"",ROUND(Q24,0),IF(OR(NOT(F8889_Line1),AND(M21="",K35="",M27="")),"",AF35))</f>
        <v/>
      </c>
      <c r="N24" s="666"/>
      <c r="O24" s="1185"/>
      <c r="P24" s="2936"/>
      <c r="Q24" s="444"/>
      <c r="R24" s="1185"/>
      <c r="S24" s="3497" t="s">
        <v>2047</v>
      </c>
      <c r="T24" s="3497" t="s">
        <v>2274</v>
      </c>
      <c r="U24" s="3498">
        <f>SUM(U22,S33)</f>
        <v>4600</v>
      </c>
      <c r="V24" s="3498">
        <f>V22</f>
        <v>7200</v>
      </c>
      <c r="W24" s="2653"/>
      <c r="X24" s="2643" t="s">
        <v>1103</v>
      </c>
      <c r="Y24" s="1276"/>
      <c r="Z24" s="2647" t="str">
        <f t="shared" ref="Z24:Z33" si="4">Z23</f>
        <v>N</v>
      </c>
      <c r="AA24" s="1276"/>
      <c r="AB24" s="2647" t="str">
        <f t="shared" ref="AB24:AB33" si="5">AB23</f>
        <v>Y</v>
      </c>
      <c r="AC24" s="1276"/>
      <c r="AD24" s="2647" t="str">
        <f t="shared" ref="AD24:AD33" si="6">AD23</f>
        <v>S</v>
      </c>
      <c r="AE24" s="1276"/>
      <c r="AF24" s="2644">
        <f t="shared" si="0"/>
        <v>4600</v>
      </c>
      <c r="AG24" s="2645"/>
      <c r="AH24" s="1276"/>
      <c r="AI24" s="1407">
        <f t="shared" si="1"/>
        <v>1</v>
      </c>
      <c r="AJ24" s="1407">
        <f t="shared" si="2"/>
        <v>0</v>
      </c>
      <c r="AK24" s="1407">
        <f t="shared" si="3"/>
        <v>0</v>
      </c>
      <c r="AL24" s="1407"/>
    </row>
    <row r="25" spans="1:46" s="983" customFormat="1" ht="12" customHeight="1">
      <c r="A25" s="78"/>
      <c r="B25" s="155">
        <v>4</v>
      </c>
      <c r="C25" s="273" t="str">
        <f>"Enter the amount you and your employer contributed to your Archer MSAs for "&amp;TaxYear&amp;" from Form 8853,"</f>
        <v>Enter the amount you and your employer contributed to your Archer MSAs for 2021 from Form 8853,</v>
      </c>
      <c r="D25" s="273"/>
      <c r="E25" s="230"/>
      <c r="F25" s="230"/>
      <c r="G25" s="231"/>
      <c r="H25" s="231"/>
      <c r="I25" s="231"/>
      <c r="J25" s="231"/>
      <c r="K25" s="155"/>
      <c r="L25" s="2371"/>
      <c r="M25" s="2634"/>
      <c r="N25" s="665"/>
      <c r="O25" s="2086"/>
      <c r="P25" s="2935"/>
      <c r="Q25" s="582"/>
      <c r="R25" s="2086"/>
      <c r="S25" s="3497" t="str">
        <f>YourAge</f>
        <v>?</v>
      </c>
      <c r="T25" s="3498" t="str">
        <f>IF($S$25&lt;$P$22,T22,IF($AI$36,T23,T24))</f>
        <v>Single*</v>
      </c>
      <c r="U25" s="3498">
        <f>IF($S$25&lt;$P$22,U22,IF($AI$36,U23,U24))</f>
        <v>4600</v>
      </c>
      <c r="V25" s="3498">
        <f>IF($S$25&lt;$P$22,V22,IF($AI$36,V23,V24))</f>
        <v>8200</v>
      </c>
      <c r="W25" s="2086"/>
      <c r="X25" s="2643" t="s">
        <v>1104</v>
      </c>
      <c r="Y25" s="1276"/>
      <c r="Z25" s="2647" t="str">
        <f t="shared" si="4"/>
        <v>N</v>
      </c>
      <c r="AA25" s="1276"/>
      <c r="AB25" s="2647" t="str">
        <f t="shared" si="5"/>
        <v>Y</v>
      </c>
      <c r="AC25" s="1276"/>
      <c r="AD25" s="2647" t="str">
        <f t="shared" si="6"/>
        <v>S</v>
      </c>
      <c r="AE25" s="1276"/>
      <c r="AF25" s="2644">
        <f t="shared" si="0"/>
        <v>4600</v>
      </c>
      <c r="AG25" s="2645"/>
      <c r="AH25" s="1276"/>
      <c r="AI25" s="1407">
        <f t="shared" si="1"/>
        <v>1</v>
      </c>
      <c r="AJ25" s="1407">
        <f t="shared" si="2"/>
        <v>0</v>
      </c>
      <c r="AK25" s="1407">
        <f t="shared" si="3"/>
        <v>0</v>
      </c>
      <c r="AL25" s="1407"/>
      <c r="AM25" s="2595"/>
      <c r="AN25" s="2595"/>
      <c r="AO25" s="2595"/>
      <c r="AP25" s="2595"/>
      <c r="AQ25" s="2595"/>
      <c r="AR25" s="2595"/>
      <c r="AS25" s="2595"/>
      <c r="AT25" s="2595"/>
    </row>
    <row r="26" spans="1:46" ht="12" customHeight="1">
      <c r="A26" s="78"/>
      <c r="B26" s="155"/>
      <c r="C26" s="273" t="str">
        <f>"lines 1 and 2. If you or your spouse had family coverage under an HDHP at any time during "&amp;TaxYear&amp;", also"</f>
        <v>lines 1 and 2. If you or your spouse had family coverage under an HDHP at any time during 2021, also</v>
      </c>
      <c r="D26" s="178"/>
      <c r="E26" s="230"/>
      <c r="F26" s="230"/>
      <c r="G26" s="231"/>
      <c r="H26" s="231"/>
      <c r="I26" s="231"/>
      <c r="J26" s="231"/>
      <c r="K26" s="231"/>
      <c r="L26" s="590"/>
      <c r="M26" s="2635"/>
      <c r="N26" s="666"/>
      <c r="O26" s="1185"/>
      <c r="P26" s="2936"/>
      <c r="Q26" s="582"/>
      <c r="R26" s="1185"/>
      <c r="S26" s="682" t="s">
        <v>2276</v>
      </c>
      <c r="T26" s="263"/>
      <c r="U26" s="263"/>
      <c r="V26" s="263"/>
      <c r="W26" s="2086"/>
      <c r="X26" s="2643" t="s">
        <v>1106</v>
      </c>
      <c r="Y26" s="1276"/>
      <c r="Z26" s="2647" t="str">
        <f t="shared" si="4"/>
        <v>N</v>
      </c>
      <c r="AA26" s="1276"/>
      <c r="AB26" s="2647" t="str">
        <f t="shared" si="5"/>
        <v>Y</v>
      </c>
      <c r="AC26" s="1276"/>
      <c r="AD26" s="2647" t="str">
        <f t="shared" si="6"/>
        <v>S</v>
      </c>
      <c r="AE26" s="1276"/>
      <c r="AF26" s="2644">
        <f t="shared" si="0"/>
        <v>4600</v>
      </c>
      <c r="AG26" s="2645"/>
      <c r="AH26" s="1276"/>
      <c r="AI26" s="1407">
        <f t="shared" si="1"/>
        <v>1</v>
      </c>
      <c r="AJ26" s="1407">
        <f t="shared" si="2"/>
        <v>0</v>
      </c>
      <c r="AK26" s="1407">
        <f t="shared" si="3"/>
        <v>0</v>
      </c>
      <c r="AL26" s="1407"/>
    </row>
    <row r="27" spans="1:46" ht="12" customHeight="1">
      <c r="A27" s="78"/>
      <c r="B27" s="155"/>
      <c r="C27" s="273" t="s">
        <v>4251</v>
      </c>
      <c r="D27" s="178"/>
      <c r="E27" s="230"/>
      <c r="F27" s="230"/>
      <c r="G27" s="231"/>
      <c r="H27" s="155"/>
      <c r="I27" s="155"/>
      <c r="J27" s="155"/>
      <c r="K27" s="154" t="s">
        <v>374</v>
      </c>
      <c r="L27" s="333">
        <f>B25</f>
        <v>4</v>
      </c>
      <c r="M27" s="1374">
        <v>0</v>
      </c>
      <c r="N27" s="666"/>
      <c r="O27" s="1185"/>
      <c r="P27" s="2936"/>
      <c r="Q27" s="582"/>
      <c r="R27" s="1185"/>
      <c r="S27" s="682"/>
      <c r="T27" s="263"/>
      <c r="U27" s="263"/>
      <c r="V27" s="263"/>
      <c r="W27" s="2086"/>
      <c r="X27" s="2643" t="s">
        <v>1108</v>
      </c>
      <c r="Y27" s="1276"/>
      <c r="Z27" s="2647" t="str">
        <f t="shared" si="4"/>
        <v>N</v>
      </c>
      <c r="AA27" s="1276"/>
      <c r="AB27" s="2647" t="str">
        <f t="shared" si="5"/>
        <v>Y</v>
      </c>
      <c r="AC27" s="1276"/>
      <c r="AD27" s="2647" t="str">
        <f t="shared" si="6"/>
        <v>S</v>
      </c>
      <c r="AE27" s="1276"/>
      <c r="AF27" s="2644">
        <f t="shared" si="0"/>
        <v>4600</v>
      </c>
      <c r="AG27" s="2645"/>
      <c r="AH27" s="1276"/>
      <c r="AI27" s="1407">
        <f t="shared" si="1"/>
        <v>1</v>
      </c>
      <c r="AJ27" s="1407">
        <f t="shared" si="2"/>
        <v>0</v>
      </c>
      <c r="AK27" s="1407">
        <f t="shared" si="3"/>
        <v>0</v>
      </c>
      <c r="AL27" s="1407"/>
    </row>
    <row r="28" spans="1:46" ht="12.75" customHeight="1">
      <c r="A28" s="78"/>
      <c r="B28" s="154">
        <v>5</v>
      </c>
      <c r="C28" s="273" t="s">
        <v>495</v>
      </c>
      <c r="D28" s="273"/>
      <c r="E28" s="230"/>
      <c r="F28" s="230"/>
      <c r="G28" s="231"/>
      <c r="H28" s="231"/>
      <c r="I28" s="231"/>
      <c r="J28" s="231"/>
      <c r="K28" s="1243" t="s">
        <v>919</v>
      </c>
      <c r="L28" s="333">
        <f>B28</f>
        <v>5</v>
      </c>
      <c r="M28" s="1373">
        <f>MAX(0,SUM(M24,-M27))</f>
        <v>0</v>
      </c>
      <c r="N28" s="666"/>
      <c r="O28" s="1185"/>
      <c r="P28" s="2936"/>
      <c r="Q28" s="582"/>
      <c r="R28" s="1503"/>
      <c r="S28" s="682"/>
      <c r="T28" s="1144"/>
      <c r="U28" s="1144" t="s">
        <v>3067</v>
      </c>
      <c r="V28" s="3" t="b">
        <f>AK56&gt;1</f>
        <v>0</v>
      </c>
      <c r="W28" s="2086"/>
      <c r="X28" s="2643" t="s">
        <v>1110</v>
      </c>
      <c r="Y28" s="1276"/>
      <c r="Z28" s="2647" t="str">
        <f t="shared" si="4"/>
        <v>N</v>
      </c>
      <c r="AA28" s="1276"/>
      <c r="AB28" s="2647" t="str">
        <f t="shared" si="5"/>
        <v>Y</v>
      </c>
      <c r="AC28" s="1276"/>
      <c r="AD28" s="2647" t="str">
        <f t="shared" si="6"/>
        <v>S</v>
      </c>
      <c r="AE28" s="1276"/>
      <c r="AF28" s="2644">
        <f t="shared" si="0"/>
        <v>4600</v>
      </c>
      <c r="AG28" s="2645"/>
      <c r="AH28" s="1276"/>
      <c r="AI28" s="1407">
        <f t="shared" si="1"/>
        <v>1</v>
      </c>
      <c r="AJ28" s="1407">
        <f t="shared" si="2"/>
        <v>0</v>
      </c>
      <c r="AK28" s="1407">
        <f t="shared" si="3"/>
        <v>0</v>
      </c>
      <c r="AL28" s="1407"/>
    </row>
    <row r="29" spans="1:46" s="983" customFormat="1" ht="12" customHeight="1">
      <c r="A29" s="78"/>
      <c r="B29" s="155">
        <v>6</v>
      </c>
      <c r="C29" s="273" t="s">
        <v>4252</v>
      </c>
      <c r="D29" s="273"/>
      <c r="E29" s="230"/>
      <c r="F29" s="230"/>
      <c r="G29" s="231"/>
      <c r="H29" s="231"/>
      <c r="I29" s="231"/>
      <c r="J29" s="231"/>
      <c r="K29" s="155"/>
      <c r="L29" s="2371"/>
      <c r="M29" s="2932"/>
      <c r="N29" s="665"/>
      <c r="O29" s="1185"/>
      <c r="P29" s="2936"/>
      <c r="Q29" s="582"/>
      <c r="R29" s="1503"/>
      <c r="S29" s="263"/>
      <c r="T29" s="263"/>
      <c r="U29" s="9624" t="s">
        <v>2768</v>
      </c>
      <c r="V29" s="9624"/>
      <c r="W29" s="2086"/>
      <c r="X29" s="2643" t="s">
        <v>1112</v>
      </c>
      <c r="Y29" s="1276"/>
      <c r="Z29" s="2647" t="str">
        <f t="shared" si="4"/>
        <v>N</v>
      </c>
      <c r="AA29" s="1276"/>
      <c r="AB29" s="2647" t="str">
        <f t="shared" si="5"/>
        <v>Y</v>
      </c>
      <c r="AC29" s="1276"/>
      <c r="AD29" s="2647" t="str">
        <f t="shared" si="6"/>
        <v>S</v>
      </c>
      <c r="AE29" s="1276"/>
      <c r="AF29" s="2644">
        <f t="shared" si="0"/>
        <v>4600</v>
      </c>
      <c r="AG29" s="2645"/>
      <c r="AH29" s="1276"/>
      <c r="AI29" s="1407">
        <f t="shared" si="1"/>
        <v>1</v>
      </c>
      <c r="AJ29" s="1407">
        <f t="shared" si="2"/>
        <v>0</v>
      </c>
      <c r="AK29" s="1407">
        <f t="shared" si="3"/>
        <v>0</v>
      </c>
      <c r="AL29" s="1407"/>
      <c r="AM29" s="2595"/>
      <c r="AN29" s="2595"/>
      <c r="AO29" s="2595"/>
      <c r="AP29" s="2595"/>
      <c r="AQ29" s="2595"/>
      <c r="AR29" s="2595"/>
      <c r="AS29" s="2595"/>
      <c r="AT29" s="2595"/>
    </row>
    <row r="30" spans="1:46" ht="12" customHeight="1">
      <c r="A30" s="78"/>
      <c r="B30" s="155"/>
      <c r="C30" s="273" t="str">
        <f>"coverage under an HDHP at any time during "&amp;TaxYear&amp;", see the instructions for the amount to"</f>
        <v>coverage under an HDHP at any time during 2021, see the instructions for the amount to</v>
      </c>
      <c r="D30" s="178"/>
      <c r="E30" s="230"/>
      <c r="F30" s="230"/>
      <c r="G30" s="231"/>
      <c r="H30" s="155"/>
      <c r="I30" s="155"/>
      <c r="J30" s="155"/>
      <c r="K30" s="163" t="s">
        <v>4253</v>
      </c>
      <c r="L30" s="333">
        <f>B29</f>
        <v>6</v>
      </c>
      <c r="M30" s="1373" t="str">
        <f>IF(Q30&lt;&gt;"",ROUND(Q30,0),IF(NOT(Q13),"",IF(T31,U31,IF(T32,U32,M28))))</f>
        <v/>
      </c>
      <c r="N30" s="666"/>
      <c r="O30" s="1185"/>
      <c r="P30" s="2936"/>
      <c r="Q30" s="444"/>
      <c r="R30" s="2086"/>
      <c r="S30" s="3511" t="s">
        <v>2771</v>
      </c>
      <c r="T30" s="3511" t="s">
        <v>2767</v>
      </c>
      <c r="U30" s="3497" t="s">
        <v>1720</v>
      </c>
      <c r="V30" s="3515" t="s">
        <v>1735</v>
      </c>
      <c r="W30" s="2086"/>
      <c r="X30" s="2643" t="s">
        <v>1114</v>
      </c>
      <c r="Y30" s="1276"/>
      <c r="Z30" s="2647" t="str">
        <f t="shared" si="4"/>
        <v>N</v>
      </c>
      <c r="AA30" s="1276"/>
      <c r="AB30" s="2647" t="str">
        <f t="shared" si="5"/>
        <v>Y</v>
      </c>
      <c r="AC30" s="1276"/>
      <c r="AD30" s="2647" t="str">
        <f t="shared" si="6"/>
        <v>S</v>
      </c>
      <c r="AE30" s="1276"/>
      <c r="AF30" s="2644">
        <f t="shared" si="0"/>
        <v>4600</v>
      </c>
      <c r="AG30" s="2645"/>
      <c r="AH30" s="1276"/>
      <c r="AI30" s="1407">
        <f t="shared" si="1"/>
        <v>1</v>
      </c>
      <c r="AJ30" s="1407">
        <f t="shared" si="2"/>
        <v>0</v>
      </c>
      <c r="AK30" s="1407">
        <f t="shared" si="3"/>
        <v>0</v>
      </c>
      <c r="AL30" s="1407"/>
    </row>
    <row r="31" spans="1:46" ht="12" customHeight="1">
      <c r="A31" s="78"/>
      <c r="B31" s="155">
        <v>7</v>
      </c>
      <c r="C31" s="392" t="str">
        <f>"If you were age 55 or older at the end of "&amp;TaxYear&amp;", married, and you or your spouse had family"</f>
        <v>If you were age 55 or older at the end of 2021, married, and you or your spouse had family</v>
      </c>
      <c r="D31" s="273"/>
      <c r="E31" s="230"/>
      <c r="F31" s="230"/>
      <c r="G31" s="231"/>
      <c r="H31" s="231"/>
      <c r="I31" s="231"/>
      <c r="J31" s="231"/>
      <c r="K31" s="155"/>
      <c r="L31" s="2371"/>
      <c r="M31" s="1398"/>
      <c r="N31" s="665"/>
      <c r="O31" s="2086"/>
      <c r="P31" s="2935"/>
      <c r="Q31" s="582"/>
      <c r="R31" s="1185"/>
      <c r="S31" s="263" t="s">
        <v>2766</v>
      </c>
      <c r="T31" s="263" t="b">
        <f>AND($Q$7,$V$28,$AK$56=12)</f>
        <v>0</v>
      </c>
      <c r="U31" s="3510" t="str">
        <f>IF(T31,ROUND(M28*$Z$40/100,0),"---")</f>
        <v>---</v>
      </c>
      <c r="V31" s="3516" t="str">
        <f>V92</f>
        <v>---</v>
      </c>
      <c r="W31" s="2086"/>
      <c r="X31" s="2643" t="s">
        <v>1116</v>
      </c>
      <c r="Y31" s="1276"/>
      <c r="Z31" s="2647" t="str">
        <f t="shared" si="4"/>
        <v>N</v>
      </c>
      <c r="AA31" s="1276"/>
      <c r="AB31" s="2647" t="str">
        <f t="shared" si="5"/>
        <v>Y</v>
      </c>
      <c r="AC31" s="1276"/>
      <c r="AD31" s="2647" t="str">
        <f t="shared" si="6"/>
        <v>S</v>
      </c>
      <c r="AE31" s="1276"/>
      <c r="AF31" s="2644">
        <f t="shared" si="0"/>
        <v>4600</v>
      </c>
      <c r="AG31" s="2645"/>
      <c r="AH31" s="1276"/>
      <c r="AI31" s="1407">
        <f t="shared" si="1"/>
        <v>1</v>
      </c>
      <c r="AJ31" s="1407">
        <f t="shared" si="2"/>
        <v>0</v>
      </c>
      <c r="AK31" s="1407">
        <f t="shared" si="3"/>
        <v>0</v>
      </c>
      <c r="AL31" s="1407"/>
    </row>
    <row r="32" spans="1:46" s="983" customFormat="1" ht="12" customHeight="1">
      <c r="A32" s="78"/>
      <c r="B32" s="155"/>
      <c r="C32" s="392" t="str">
        <f>"coverage under an HDHP at any time during "&amp;TaxYear&amp;", enter your additional contribution amount"</f>
        <v>coverage under an HDHP at any time during 2021, enter your additional contribution amount</v>
      </c>
      <c r="D32" s="178"/>
      <c r="E32" s="230"/>
      <c r="F32" s="230"/>
      <c r="G32" s="231"/>
      <c r="H32" s="231"/>
      <c r="I32" s="231"/>
      <c r="J32" s="231"/>
      <c r="K32" s="231"/>
      <c r="L32" s="590"/>
      <c r="M32" s="515"/>
      <c r="N32" s="666"/>
      <c r="O32" s="1185"/>
      <c r="P32" s="2936"/>
      <c r="Q32" s="582"/>
      <c r="R32" s="1185"/>
      <c r="S32" s="263" t="s">
        <v>2769</v>
      </c>
      <c r="T32" s="263" t="b">
        <f>AND($Q$7,$V$28,$AK$56&gt;0,$AK$56&lt;12)</f>
        <v>0</v>
      </c>
      <c r="U32" s="1908" t="str">
        <f>IF(T32,ROUND(U37,0),"---")</f>
        <v>---</v>
      </c>
      <c r="V32" s="3516" t="str">
        <f>V93</f>
        <v>---</v>
      </c>
      <c r="W32" s="2086"/>
      <c r="X32" s="2643" t="s">
        <v>1118</v>
      </c>
      <c r="Y32" s="1276"/>
      <c r="Z32" s="2647" t="str">
        <f t="shared" si="4"/>
        <v>N</v>
      </c>
      <c r="AA32" s="1276"/>
      <c r="AB32" s="2647" t="str">
        <f t="shared" si="5"/>
        <v>Y</v>
      </c>
      <c r="AC32" s="1276"/>
      <c r="AD32" s="2647" t="str">
        <f t="shared" si="6"/>
        <v>S</v>
      </c>
      <c r="AE32" s="1276"/>
      <c r="AF32" s="2644">
        <f t="shared" si="0"/>
        <v>4600</v>
      </c>
      <c r="AG32" s="2645"/>
      <c r="AH32" s="1276"/>
      <c r="AI32" s="1407">
        <f t="shared" si="1"/>
        <v>1</v>
      </c>
      <c r="AJ32" s="1407">
        <f t="shared" si="2"/>
        <v>0</v>
      </c>
      <c r="AK32" s="1407">
        <f t="shared" si="3"/>
        <v>0</v>
      </c>
      <c r="AL32" s="1407"/>
      <c r="AM32" s="2595"/>
      <c r="AN32" s="2595"/>
      <c r="AO32" s="2595"/>
      <c r="AP32" s="2595"/>
      <c r="AQ32" s="2595"/>
      <c r="AR32" s="2595"/>
      <c r="AS32" s="2595"/>
      <c r="AT32" s="2595"/>
    </row>
    <row r="33" spans="1:46" ht="12" customHeight="1" thickBot="1">
      <c r="A33" s="78"/>
      <c r="B33" s="155"/>
      <c r="C33" s="392" t="s">
        <v>2149</v>
      </c>
      <c r="D33" s="178"/>
      <c r="E33" s="230"/>
      <c r="F33" s="230"/>
      <c r="G33" s="231"/>
      <c r="H33" s="155"/>
      <c r="I33" s="155"/>
      <c r="J33" s="155"/>
      <c r="K33" s="1243" t="s">
        <v>1587</v>
      </c>
      <c r="L33" s="333">
        <f>B31</f>
        <v>7</v>
      </c>
      <c r="M33" s="1373" t="str">
        <f>IF(Q33&lt;&gt;"",ROUND(Q33,0),IF(AND(F8889_Line1,OR(AJ35,AJ98),AJ36),ROUND((S33*AJ34)/12,0),""))</f>
        <v/>
      </c>
      <c r="N33" s="666"/>
      <c r="O33" s="1185"/>
      <c r="P33" s="2936"/>
      <c r="Q33" s="444"/>
      <c r="R33" s="2086"/>
      <c r="S33" s="1908">
        <v>1000</v>
      </c>
      <c r="T33" s="263"/>
      <c r="U33" s="3509"/>
      <c r="V33" s="263"/>
      <c r="W33" s="2086"/>
      <c r="X33" s="2643" t="s">
        <v>1120</v>
      </c>
      <c r="Y33" s="1276"/>
      <c r="Z33" s="2647" t="str">
        <f t="shared" si="4"/>
        <v>N</v>
      </c>
      <c r="AA33" s="1276"/>
      <c r="AB33" s="2647" t="str">
        <f t="shared" si="5"/>
        <v>Y</v>
      </c>
      <c r="AC33" s="1276"/>
      <c r="AD33" s="2647" t="str">
        <f t="shared" si="6"/>
        <v>S</v>
      </c>
      <c r="AE33" s="1276"/>
      <c r="AF33" s="2646">
        <f t="shared" si="0"/>
        <v>4600</v>
      </c>
      <c r="AG33" s="2645"/>
      <c r="AH33" s="1276"/>
      <c r="AI33" s="2919">
        <f t="shared" si="1"/>
        <v>1</v>
      </c>
      <c r="AJ33" s="2919">
        <f t="shared" si="2"/>
        <v>0</v>
      </c>
      <c r="AK33" s="2919">
        <f t="shared" si="3"/>
        <v>0</v>
      </c>
      <c r="AL33" s="1407"/>
    </row>
    <row r="34" spans="1:46" ht="12" customHeight="1" thickTop="1">
      <c r="A34" s="78"/>
      <c r="B34" s="154">
        <v>8</v>
      </c>
      <c r="C34" s="273" t="s">
        <v>1899</v>
      </c>
      <c r="D34" s="273"/>
      <c r="E34" s="230"/>
      <c r="F34" s="230"/>
      <c r="G34" s="231"/>
      <c r="H34" s="231"/>
      <c r="I34" s="231"/>
      <c r="J34" s="231"/>
      <c r="K34" s="1243" t="s">
        <v>1584</v>
      </c>
      <c r="L34" s="333">
        <f>B34</f>
        <v>8</v>
      </c>
      <c r="M34" s="1373">
        <f>SUM(M30,M33)</f>
        <v>0</v>
      </c>
      <c r="N34" s="666"/>
      <c r="O34" s="2086"/>
      <c r="P34" s="2936"/>
      <c r="Q34" s="558"/>
      <c r="R34" s="1185"/>
      <c r="S34" s="263" t="s">
        <v>1378</v>
      </c>
      <c r="T34" s="1908"/>
      <c r="U34" s="4518">
        <f>SUM(AJ57,-M27)</f>
        <v>0</v>
      </c>
      <c r="V34" s="4519">
        <f>V95</f>
        <v>0</v>
      </c>
      <c r="W34" s="2086"/>
      <c r="X34" s="9614" t="s">
        <v>2048</v>
      </c>
      <c r="Y34" s="9615"/>
      <c r="Z34" s="9616"/>
      <c r="AA34" s="9616"/>
      <c r="AB34" s="9616"/>
      <c r="AC34" s="9616"/>
      <c r="AD34" s="9616"/>
      <c r="AE34" s="9616"/>
      <c r="AF34" s="2644">
        <f>SUM(AF22:AF33)</f>
        <v>55200</v>
      </c>
      <c r="AG34" s="2645"/>
      <c r="AH34" s="1276"/>
      <c r="AI34" s="1407">
        <f>SUM(AI22:AI33)</f>
        <v>12</v>
      </c>
      <c r="AJ34" s="1407">
        <f>SUM(AJ22:AJ33)</f>
        <v>0</v>
      </c>
      <c r="AK34" s="1407">
        <f>SUM(AK22:AK33)</f>
        <v>0</v>
      </c>
      <c r="AL34" s="1407"/>
    </row>
    <row r="35" spans="1:46" ht="12.75" customHeight="1">
      <c r="A35" s="78"/>
      <c r="B35" s="155">
        <v>9</v>
      </c>
      <c r="C35" s="273" t="str">
        <f>"Employer contributions made to your HSAs for "&amp;TaxYear</f>
        <v>Employer contributions made to your HSAs for 2021</v>
      </c>
      <c r="D35" s="178"/>
      <c r="E35" s="230"/>
      <c r="F35" s="230"/>
      <c r="G35" s="1391"/>
      <c r="H35" s="155"/>
      <c r="I35" s="154" t="s">
        <v>572</v>
      </c>
      <c r="J35" s="2374">
        <f>B35</f>
        <v>9</v>
      </c>
      <c r="K35" s="1374"/>
      <c r="L35" s="2372"/>
      <c r="M35" s="1429" t="str">
        <f>IF(File_Marr_Joint&lt;&gt;"",G33,IF(File_Marr_Sep&lt;&gt;"",G34,IF(OR(File_Single&lt;&gt;"",File_Head&lt;&gt;"",File_Qual_Widow&lt;&gt;""),G35,"---")))</f>
        <v>---</v>
      </c>
      <c r="N35" s="666"/>
      <c r="O35" s="1185"/>
      <c r="P35" s="2936"/>
      <c r="Q35" s="558"/>
      <c r="R35" s="1185"/>
      <c r="S35" s="263" t="s">
        <v>1377</v>
      </c>
      <c r="T35" s="263"/>
      <c r="U35" s="4518">
        <f>U34*Z40/100</f>
        <v>0</v>
      </c>
      <c r="V35" s="4519">
        <f>V96</f>
        <v>0</v>
      </c>
      <c r="W35" s="2086"/>
      <c r="X35" s="1278"/>
      <c r="Y35" s="1179"/>
      <c r="Z35" s="1179"/>
      <c r="AA35" s="1179"/>
      <c r="AB35" s="1179"/>
      <c r="AC35" s="1179"/>
      <c r="AD35" s="1179"/>
      <c r="AE35" s="3507" t="s">
        <v>2050</v>
      </c>
      <c r="AF35" s="2644">
        <f>ROUND(AF34/12,0)</f>
        <v>4600</v>
      </c>
      <c r="AG35" s="2645"/>
      <c r="AH35" s="1276"/>
      <c r="AI35" s="1407" t="b">
        <f>IF(AI34=12,TRUE,FALSE)</f>
        <v>1</v>
      </c>
      <c r="AJ35" s="1407" t="b">
        <f>IF(AJ34&gt;0,TRUE,FALSE)</f>
        <v>0</v>
      </c>
      <c r="AK35" s="1410"/>
      <c r="AL35" s="1410"/>
    </row>
    <row r="36" spans="1:46" ht="12" customHeight="1" thickBot="1">
      <c r="A36" s="78"/>
      <c r="B36" s="155">
        <v>10</v>
      </c>
      <c r="C36" s="273" t="s">
        <v>1900</v>
      </c>
      <c r="D36" s="178"/>
      <c r="E36" s="230"/>
      <c r="F36" s="230"/>
      <c r="G36" s="1391"/>
      <c r="H36" s="155"/>
      <c r="I36" s="154" t="s">
        <v>374</v>
      </c>
      <c r="J36" s="4891">
        <f>B36</f>
        <v>10</v>
      </c>
      <c r="K36" s="4892"/>
      <c r="L36" s="2372"/>
      <c r="M36" s="1429" t="str">
        <f>IF(File_Marr_Joint&lt;&gt;"",G34,IF(File_Marr_Sep&lt;&gt;"",G35,IF(OR(File_Single&lt;&gt;"",File_Head&lt;&gt;"",File_Qual_Widow&lt;&gt;""),G36,"---")))</f>
        <v>---</v>
      </c>
      <c r="N36" s="666"/>
      <c r="O36" s="1185"/>
      <c r="P36" s="2936"/>
      <c r="Q36" s="558"/>
      <c r="R36" s="2086"/>
      <c r="S36" s="263" t="s">
        <v>3068</v>
      </c>
      <c r="T36" s="263"/>
      <c r="U36" s="4518">
        <f>SUM(U34,-V35)</f>
        <v>0</v>
      </c>
      <c r="V36" s="4519">
        <f>V97</f>
        <v>0</v>
      </c>
      <c r="W36" s="2086"/>
      <c r="X36" s="9619" t="str">
        <f>IF(YourAge="?","Enter your birthdate on sheet '1040'.","")</f>
        <v>Enter your birthdate on sheet '1040'.</v>
      </c>
      <c r="Y36" s="9620"/>
      <c r="Z36" s="9621"/>
      <c r="AA36" s="9621"/>
      <c r="AB36" s="9621"/>
      <c r="AC36" s="9621"/>
      <c r="AD36" s="9621"/>
      <c r="AE36" s="9621"/>
      <c r="AF36" s="9621"/>
      <c r="AG36" s="9622"/>
      <c r="AH36" s="3519"/>
      <c r="AI36" s="1407" t="b">
        <f>IF(AND(YourAge&gt;=P22,OR(AND(File_Marr_Joint&lt;&gt;"",AI35),File_Marr_Joint="")),TRUE,FALSE)</f>
        <v>1</v>
      </c>
      <c r="AJ36" s="1407" t="b">
        <f>IF(AND(YourAge&gt;=P22,File_Marr_Joint&lt;&gt;""),TRUE,FALSE)</f>
        <v>0</v>
      </c>
      <c r="AK36" s="1410"/>
      <c r="AL36" s="1410"/>
    </row>
    <row r="37" spans="1:46" ht="12" customHeight="1" thickBot="1">
      <c r="A37" s="78"/>
      <c r="B37" s="154">
        <v>11</v>
      </c>
      <c r="C37" s="273" t="s">
        <v>1901</v>
      </c>
      <c r="D37" s="273"/>
      <c r="E37" s="230"/>
      <c r="F37" s="230"/>
      <c r="G37" s="231"/>
      <c r="H37" s="231"/>
      <c r="I37" s="231"/>
      <c r="J37" s="231"/>
      <c r="K37" s="1243" t="s">
        <v>5459</v>
      </c>
      <c r="L37" s="4628">
        <f>B37</f>
        <v>11</v>
      </c>
      <c r="M37" s="1373">
        <f>SUM(K35,K36)</f>
        <v>0</v>
      </c>
      <c r="N37" s="666"/>
      <c r="O37" s="2086"/>
      <c r="P37" s="2936"/>
      <c r="Q37" s="558"/>
      <c r="R37" s="1185"/>
      <c r="S37" s="263" t="s">
        <v>3069</v>
      </c>
      <c r="T37" s="263"/>
      <c r="U37" s="4518">
        <f>U36</f>
        <v>0</v>
      </c>
      <c r="V37" s="4519">
        <f>V98</f>
        <v>0</v>
      </c>
      <c r="W37" s="2086"/>
      <c r="X37" s="2086"/>
      <c r="Y37" s="1410"/>
      <c r="Z37" s="2655"/>
      <c r="AA37" s="1410"/>
      <c r="AB37" s="2655"/>
      <c r="AC37" s="1410"/>
      <c r="AD37" s="2655"/>
      <c r="AE37" s="1410"/>
      <c r="AF37" s="2656"/>
      <c r="AG37" s="1410"/>
      <c r="AH37" s="1410"/>
      <c r="AI37" s="1410"/>
      <c r="AJ37" s="1410"/>
      <c r="AK37" s="1410"/>
      <c r="AL37" s="1410"/>
    </row>
    <row r="38" spans="1:46" ht="12.75" customHeight="1">
      <c r="A38" s="78"/>
      <c r="B38" s="154">
        <v>12</v>
      </c>
      <c r="C38" s="273" t="s">
        <v>1902</v>
      </c>
      <c r="D38" s="273"/>
      <c r="E38" s="230"/>
      <c r="F38" s="230"/>
      <c r="G38" s="231"/>
      <c r="H38" s="231"/>
      <c r="I38" s="231"/>
      <c r="J38" s="231"/>
      <c r="K38" s="1243" t="s">
        <v>4455</v>
      </c>
      <c r="L38" s="333">
        <f>B38</f>
        <v>12</v>
      </c>
      <c r="M38" s="1373">
        <f>MAX(0,SUM(M34,-M37))</f>
        <v>0</v>
      </c>
      <c r="N38" s="666"/>
      <c r="O38" s="2086"/>
      <c r="P38" s="2936"/>
      <c r="Q38" s="558"/>
      <c r="R38" s="1185"/>
      <c r="S38" s="2665"/>
      <c r="T38" s="2665"/>
      <c r="U38" s="2665"/>
      <c r="V38" s="2665"/>
      <c r="W38" s="2086"/>
      <c r="X38" s="5733"/>
      <c r="Y38" s="1403"/>
      <c r="Z38" s="9623" t="s">
        <v>2768</v>
      </c>
      <c r="AA38" s="9623"/>
      <c r="AB38" s="9623"/>
      <c r="AC38" s="5731"/>
      <c r="AD38" s="1403"/>
      <c r="AE38" s="5732"/>
      <c r="AF38" s="1403"/>
      <c r="AG38" s="1404"/>
      <c r="AH38" s="1410"/>
      <c r="AI38" s="1410"/>
      <c r="AJ38" s="1410"/>
      <c r="AK38" s="1410"/>
      <c r="AL38" s="1410"/>
    </row>
    <row r="39" spans="1:46" s="983" customFormat="1" ht="12" customHeight="1">
      <c r="A39" s="78"/>
      <c r="B39" s="154">
        <v>13</v>
      </c>
      <c r="C39" s="273" t="s">
        <v>5460</v>
      </c>
      <c r="D39" s="178"/>
      <c r="E39" s="230"/>
      <c r="F39" s="230"/>
      <c r="G39" s="231"/>
      <c r="H39" s="231"/>
      <c r="I39" s="231"/>
      <c r="J39" s="231"/>
      <c r="K39" s="1243"/>
      <c r="L39" s="590">
        <f>B39</f>
        <v>13</v>
      </c>
      <c r="M39" s="1375" t="str">
        <f>IF(Q39&lt;&gt;"",ROUND(Q39,0),IF(F8889_Line1,MIN(M20,M38),""))</f>
        <v/>
      </c>
      <c r="N39" s="666"/>
      <c r="O39" s="2086"/>
      <c r="P39" s="861"/>
      <c r="Q39" s="444"/>
      <c r="R39" s="2086"/>
      <c r="S39" s="263"/>
      <c r="T39" s="263"/>
      <c r="U39" s="263"/>
      <c r="V39" s="263"/>
      <c r="W39" s="2086"/>
      <c r="X39" s="2641"/>
      <c r="Y39" s="1410"/>
      <c r="Z39" s="2655" t="s">
        <v>2770</v>
      </c>
      <c r="AA39" s="1410"/>
      <c r="AB39" s="2655" t="s">
        <v>2770</v>
      </c>
      <c r="AC39" s="1410"/>
      <c r="AD39" s="2655"/>
      <c r="AE39" s="1410"/>
      <c r="AF39" s="2656"/>
      <c r="AG39" s="1412"/>
      <c r="AH39" s="1410"/>
      <c r="AI39" s="1410"/>
      <c r="AJ39" s="1410"/>
      <c r="AK39" s="1410"/>
      <c r="AL39" s="1410"/>
      <c r="AM39" s="2595"/>
      <c r="AN39" s="2595"/>
      <c r="AO39" s="2595"/>
      <c r="AP39" s="2595"/>
      <c r="AQ39" s="2595"/>
      <c r="AR39" s="2595"/>
      <c r="AS39" s="2595"/>
      <c r="AT39" s="2595"/>
    </row>
    <row r="40" spans="1:46" ht="11.25" customHeight="1">
      <c r="A40" s="78"/>
      <c r="B40" s="154"/>
      <c r="C40" s="273" t="s">
        <v>4254</v>
      </c>
      <c r="D40" s="178"/>
      <c r="E40" s="230"/>
      <c r="F40" s="230"/>
      <c r="G40" s="231"/>
      <c r="H40" s="231"/>
      <c r="I40" s="231"/>
      <c r="J40" s="231"/>
      <c r="K40" s="1243"/>
      <c r="L40" s="2373"/>
      <c r="M40" s="3503" t="b">
        <f>IF(NOT(F8889_Line1),FALSE,IF(M21&gt;M39,TRUE,FALSE))</f>
        <v>0</v>
      </c>
      <c r="N40" s="666"/>
      <c r="O40" s="3911"/>
      <c r="P40" s="2123"/>
      <c r="Q40" s="2381"/>
      <c r="R40" s="2086"/>
      <c r="S40" s="263"/>
      <c r="T40" s="263"/>
      <c r="U40" s="263"/>
      <c r="V40" s="263"/>
      <c r="W40" s="2631"/>
      <c r="X40" s="3508" t="s">
        <v>1720</v>
      </c>
      <c r="Y40" s="1410"/>
      <c r="Z40" s="5734">
        <v>50</v>
      </c>
      <c r="AA40" s="1410"/>
      <c r="AB40" s="5735">
        <f>100-Z40</f>
        <v>50</v>
      </c>
      <c r="AC40" s="1410"/>
      <c r="AD40" s="5736" t="s">
        <v>1735</v>
      </c>
      <c r="AE40" s="1410"/>
      <c r="AF40" s="2656"/>
      <c r="AG40" s="1412"/>
      <c r="AH40" s="1410"/>
      <c r="AI40" s="1410"/>
      <c r="AJ40" s="1410"/>
      <c r="AK40" s="1410"/>
      <c r="AL40" s="1410"/>
    </row>
    <row r="41" spans="1:46" ht="13.5" customHeight="1" thickBot="1">
      <c r="A41" s="78"/>
      <c r="B41" s="4753" t="s">
        <v>118</v>
      </c>
      <c r="C41" s="9641" t="s">
        <v>1905</v>
      </c>
      <c r="D41" s="9641"/>
      <c r="E41" s="9642"/>
      <c r="F41" s="9642"/>
      <c r="G41" s="9642"/>
      <c r="H41" s="9642"/>
      <c r="I41" s="9642"/>
      <c r="J41" s="9642"/>
      <c r="K41" s="9642"/>
      <c r="L41" s="9642"/>
      <c r="M41" s="9642"/>
      <c r="N41" s="664"/>
      <c r="O41" s="3502" t="str">
        <f>IF(M40,"Check here","")</f>
        <v/>
      </c>
      <c r="P41" s="570"/>
      <c r="Q41" s="2381"/>
      <c r="R41" s="2086"/>
      <c r="S41" s="263"/>
      <c r="T41" s="263"/>
      <c r="U41" s="263"/>
      <c r="V41" s="263"/>
      <c r="W41" s="2631"/>
      <c r="X41" s="5737"/>
      <c r="Y41" s="2128"/>
      <c r="Z41" s="5738"/>
      <c r="AA41" s="2128"/>
      <c r="AB41" s="5738"/>
      <c r="AC41" s="2128"/>
      <c r="AD41" s="3499"/>
      <c r="AE41" s="2128"/>
      <c r="AF41" s="3506"/>
      <c r="AG41" s="2129"/>
      <c r="AH41" s="1410"/>
      <c r="AI41" s="1410"/>
      <c r="AJ41" s="1410"/>
      <c r="AK41" s="1410"/>
      <c r="AL41" s="1410"/>
    </row>
    <row r="42" spans="1:46">
      <c r="A42" s="78"/>
      <c r="B42" s="2362"/>
      <c r="C42" s="9639" t="s">
        <v>1904</v>
      </c>
      <c r="D42" s="9639"/>
      <c r="E42" s="9640"/>
      <c r="F42" s="9640"/>
      <c r="G42" s="9640"/>
      <c r="H42" s="9640"/>
      <c r="I42" s="9640"/>
      <c r="J42" s="9640"/>
      <c r="K42" s="9640"/>
      <c r="L42" s="9640"/>
      <c r="M42" s="9640"/>
      <c r="N42" s="664"/>
      <c r="O42" s="3502" t="str">
        <f>IF(M40,"to remove","")</f>
        <v/>
      </c>
      <c r="P42" s="2370"/>
      <c r="Q42" s="681"/>
      <c r="R42" s="2086"/>
      <c r="S42" s="263"/>
      <c r="T42" s="263"/>
      <c r="U42" s="263"/>
      <c r="V42" s="263"/>
      <c r="W42" s="2086"/>
      <c r="X42" s="5729"/>
      <c r="Y42" s="1403"/>
      <c r="Z42" s="5730"/>
      <c r="AA42" s="1403"/>
      <c r="AB42" s="5730"/>
      <c r="AC42" s="1403"/>
      <c r="AD42" s="5731"/>
      <c r="AE42" s="1403"/>
      <c r="AF42" s="5732"/>
      <c r="AG42" s="1403"/>
      <c r="AH42" s="1410"/>
      <c r="AI42" s="1410"/>
      <c r="AJ42" s="1410"/>
      <c r="AK42" s="1410"/>
      <c r="AL42" s="1410"/>
    </row>
    <row r="43" spans="1:46" ht="12" customHeight="1">
      <c r="A43" s="78"/>
      <c r="B43" s="154" t="s">
        <v>1907</v>
      </c>
      <c r="C43" s="273" t="str">
        <f>"Total distributions you received in "&amp;TaxYear&amp;" from all HSAs (see instructions)"</f>
        <v>Total distributions you received in 2021 from all HSAs (see instructions)</v>
      </c>
      <c r="D43" s="273"/>
      <c r="E43" s="230"/>
      <c r="F43" s="230"/>
      <c r="G43" s="231"/>
      <c r="H43" s="231"/>
      <c r="I43" s="231"/>
      <c r="J43" s="231"/>
      <c r="K43" s="1243" t="s">
        <v>870</v>
      </c>
      <c r="L43" s="249" t="str">
        <f>B43</f>
        <v>14a</v>
      </c>
      <c r="M43" s="1374"/>
      <c r="N43" s="666"/>
      <c r="O43" s="3502" t="str">
        <f>IF(M40,"emphasis.","")</f>
        <v/>
      </c>
      <c r="P43" s="2936"/>
      <c r="Q43" s="558"/>
      <c r="R43" s="2086"/>
      <c r="S43" s="263"/>
      <c r="T43" s="263"/>
      <c r="U43" s="263"/>
      <c r="V43" s="263"/>
      <c r="W43" s="2523"/>
      <c r="X43" s="1284"/>
      <c r="Y43" s="2243"/>
      <c r="Z43" s="5727"/>
      <c r="AA43" s="2243"/>
      <c r="AB43" s="5727"/>
      <c r="AC43" s="2243"/>
      <c r="AD43" s="5727"/>
      <c r="AE43" s="2243"/>
      <c r="AF43" s="5728"/>
      <c r="AG43" s="2243"/>
      <c r="AH43" s="2243"/>
      <c r="AI43" s="2243"/>
      <c r="AJ43" s="2243"/>
      <c r="AK43" s="2243"/>
      <c r="AL43" s="2243"/>
    </row>
    <row r="44" spans="1:46" ht="12.75" customHeight="1">
      <c r="A44" s="78"/>
      <c r="B44" s="154" t="s">
        <v>47</v>
      </c>
      <c r="C44" s="392" t="s">
        <v>1909</v>
      </c>
      <c r="D44" s="273"/>
      <c r="E44" s="230"/>
      <c r="F44" s="230"/>
      <c r="G44" s="231"/>
      <c r="H44" s="231"/>
      <c r="I44" s="231"/>
      <c r="J44" s="231"/>
      <c r="K44" s="155"/>
      <c r="L44" s="834"/>
      <c r="M44" s="1398"/>
      <c r="N44" s="665"/>
      <c r="O44" s="2086"/>
      <c r="P44" s="2935"/>
      <c r="Q44" s="582"/>
      <c r="R44" s="2086"/>
      <c r="S44" s="263"/>
      <c r="T44" s="263"/>
      <c r="U44" s="263"/>
      <c r="V44" s="263"/>
      <c r="W44" s="2523"/>
      <c r="X44" s="1284"/>
      <c r="Y44" s="2243"/>
      <c r="Z44" s="5727"/>
      <c r="AA44" s="2243"/>
      <c r="AB44" s="5727"/>
      <c r="AC44" s="2243"/>
      <c r="AD44" s="5727"/>
      <c r="AE44" s="2243"/>
      <c r="AF44" s="5728"/>
      <c r="AG44" s="2243"/>
      <c r="AH44" s="2243"/>
      <c r="AI44" s="2243"/>
      <c r="AJ44" s="2243"/>
      <c r="AK44" s="2243"/>
      <c r="AL44" s="2243"/>
    </row>
    <row r="45" spans="1:46" s="983" customFormat="1" ht="12" customHeight="1">
      <c r="A45" s="78"/>
      <c r="B45" s="155"/>
      <c r="C45" s="392" t="s">
        <v>1910</v>
      </c>
      <c r="D45" s="178"/>
      <c r="E45" s="230"/>
      <c r="F45" s="230"/>
      <c r="G45" s="231"/>
      <c r="H45" s="231"/>
      <c r="I45" s="231"/>
      <c r="J45" s="231"/>
      <c r="K45" s="231"/>
      <c r="L45" s="225"/>
      <c r="M45" s="515"/>
      <c r="N45" s="666"/>
      <c r="O45" s="1185"/>
      <c r="P45" s="2936"/>
      <c r="Q45" s="582"/>
      <c r="R45" s="1185"/>
      <c r="S45" s="2666"/>
      <c r="T45" s="2666"/>
      <c r="U45" s="2666"/>
      <c r="V45" s="2666"/>
      <c r="W45" s="2523"/>
      <c r="X45" s="1284"/>
      <c r="Y45" s="2243"/>
      <c r="Z45" s="5727"/>
      <c r="AA45" s="2243"/>
      <c r="AB45" s="5727"/>
      <c r="AC45" s="2243"/>
      <c r="AD45" s="5727"/>
      <c r="AE45" s="2243"/>
      <c r="AF45" s="5728"/>
      <c r="AG45" s="2243"/>
      <c r="AH45" s="2243"/>
      <c r="AI45" s="2243"/>
      <c r="AJ45" s="2243"/>
      <c r="AK45" s="2243"/>
      <c r="AL45" s="2243"/>
      <c r="AM45" s="2595"/>
      <c r="AN45" s="2595"/>
      <c r="AO45" s="2595"/>
      <c r="AP45" s="2595"/>
      <c r="AQ45" s="2595"/>
      <c r="AR45" s="2595"/>
      <c r="AS45" s="2595"/>
      <c r="AT45" s="2595"/>
    </row>
    <row r="46" spans="1:46" ht="12" customHeight="1" thickBot="1">
      <c r="A46" s="78"/>
      <c r="B46" s="155"/>
      <c r="C46" s="392" t="s">
        <v>1911</v>
      </c>
      <c r="D46" s="178"/>
      <c r="E46" s="230"/>
      <c r="F46" s="230"/>
      <c r="G46" s="231"/>
      <c r="H46" s="155"/>
      <c r="I46" s="155"/>
      <c r="J46" s="155"/>
      <c r="K46" s="1243" t="s">
        <v>833</v>
      </c>
      <c r="L46" s="1231" t="s">
        <v>1908</v>
      </c>
      <c r="M46" s="1374"/>
      <c r="N46" s="666"/>
      <c r="O46" s="1185"/>
      <c r="P46" s="2936"/>
      <c r="Q46" s="582"/>
      <c r="R46" s="1185"/>
      <c r="S46" s="2666"/>
      <c r="T46" s="2666"/>
      <c r="U46" s="2666"/>
      <c r="V46" s="2666"/>
      <c r="W46" s="2523"/>
      <c r="X46" s="1284"/>
      <c r="Y46" s="2243"/>
      <c r="Z46" s="5727"/>
      <c r="AA46" s="2243"/>
      <c r="AB46" s="5727"/>
      <c r="AC46" s="2243"/>
      <c r="AD46" s="5727"/>
      <c r="AE46" s="2243"/>
      <c r="AF46" s="5728"/>
      <c r="AG46" s="2243"/>
      <c r="AH46" s="2243"/>
      <c r="AI46" s="2243"/>
      <c r="AJ46" s="2243"/>
      <c r="AK46" s="2243"/>
      <c r="AL46" s="2243"/>
    </row>
    <row r="47" spans="1:46" ht="12" customHeight="1">
      <c r="A47" s="78"/>
      <c r="B47" s="154" t="s">
        <v>48</v>
      </c>
      <c r="C47" s="392" t="s">
        <v>1913</v>
      </c>
      <c r="D47" s="273"/>
      <c r="E47" s="230"/>
      <c r="F47" s="230"/>
      <c r="G47" s="231"/>
      <c r="H47" s="231"/>
      <c r="I47" s="231"/>
      <c r="J47" s="231"/>
      <c r="K47" s="1243" t="s">
        <v>1928</v>
      </c>
      <c r="L47" s="249" t="s">
        <v>1912</v>
      </c>
      <c r="M47" s="1373">
        <f>SUM(M43,-M46)</f>
        <v>0</v>
      </c>
      <c r="N47" s="666"/>
      <c r="O47" s="2086"/>
      <c r="P47" s="2936"/>
      <c r="Q47" s="582"/>
      <c r="R47" s="2086"/>
      <c r="S47" s="2665"/>
      <c r="T47" s="2665"/>
      <c r="U47" s="2665"/>
      <c r="V47" s="2665"/>
      <c r="W47" s="2523"/>
      <c r="X47" s="1284"/>
      <c r="Y47" s="2243"/>
      <c r="Z47" s="5727"/>
      <c r="AA47" s="2243"/>
      <c r="AB47" s="5727"/>
      <c r="AC47" s="2243"/>
      <c r="AD47" s="5727"/>
      <c r="AE47" s="2243"/>
      <c r="AF47" s="5728"/>
      <c r="AG47" s="2243"/>
      <c r="AH47" s="2243"/>
      <c r="AI47" s="2243"/>
      <c r="AJ47" s="2243"/>
      <c r="AK47" s="2243"/>
      <c r="AL47" s="2243"/>
    </row>
    <row r="48" spans="1:46" ht="12.75" customHeight="1" thickBot="1">
      <c r="A48" s="78"/>
      <c r="B48" s="154">
        <v>15</v>
      </c>
      <c r="C48" s="392" t="s">
        <v>1914</v>
      </c>
      <c r="D48" s="273"/>
      <c r="E48" s="230"/>
      <c r="F48" s="230"/>
      <c r="G48" s="231"/>
      <c r="H48" s="231"/>
      <c r="I48" s="231"/>
      <c r="J48" s="231"/>
      <c r="K48" s="1243" t="s">
        <v>569</v>
      </c>
      <c r="L48" s="4629">
        <f>B48</f>
        <v>15</v>
      </c>
      <c r="M48" s="4893"/>
      <c r="N48" s="666"/>
      <c r="O48" s="2086"/>
      <c r="P48" s="2936"/>
      <c r="Q48" s="558"/>
      <c r="R48" s="2086"/>
      <c r="S48" s="2665"/>
      <c r="T48" s="2665"/>
      <c r="U48" s="2665"/>
      <c r="V48" s="2665"/>
      <c r="W48" s="2523"/>
      <c r="X48" s="1284"/>
      <c r="Y48" s="2243"/>
      <c r="Z48" s="5727"/>
      <c r="AA48" s="2243"/>
      <c r="AB48" s="5727"/>
      <c r="AC48" s="2243"/>
      <c r="AD48" s="5727"/>
      <c r="AE48" s="2243"/>
      <c r="AF48" s="5728"/>
      <c r="AG48" s="2243"/>
      <c r="AH48" s="2243"/>
      <c r="AI48" s="2243"/>
      <c r="AJ48" s="2243"/>
      <c r="AK48" s="2243"/>
      <c r="AL48" s="2243"/>
    </row>
    <row r="49" spans="1:46" ht="13.5" customHeight="1">
      <c r="A49" s="78"/>
      <c r="B49" s="154">
        <v>16</v>
      </c>
      <c r="C49" s="392" t="s">
        <v>5475</v>
      </c>
      <c r="D49" s="273"/>
      <c r="E49" s="230"/>
      <c r="F49" s="230"/>
      <c r="G49" s="231"/>
      <c r="H49" s="231"/>
      <c r="I49" s="231"/>
      <c r="J49" s="231"/>
      <c r="K49" s="155"/>
      <c r="L49" s="225"/>
      <c r="M49" s="515"/>
      <c r="N49" s="665"/>
      <c r="O49" s="2086"/>
      <c r="P49" s="2935"/>
      <c r="Q49" s="582"/>
      <c r="R49" s="2086"/>
      <c r="S49" s="263"/>
      <c r="T49" s="263"/>
      <c r="U49" s="263"/>
      <c r="V49" s="263"/>
      <c r="W49" s="2523"/>
      <c r="X49" s="1284"/>
      <c r="Y49" s="2243"/>
      <c r="Z49" s="5727"/>
      <c r="AA49" s="2243"/>
      <c r="AB49" s="5727"/>
      <c r="AC49" s="2243"/>
      <c r="AD49" s="5727"/>
      <c r="AE49" s="2243"/>
      <c r="AF49" s="5728"/>
      <c r="AG49" s="2243"/>
      <c r="AH49" s="2243"/>
      <c r="AI49" s="2243"/>
      <c r="AJ49" s="2243"/>
      <c r="AK49" s="2243"/>
      <c r="AL49" s="2243"/>
    </row>
    <row r="50" spans="1:46" ht="12" customHeight="1">
      <c r="A50" s="78"/>
      <c r="B50" s="155"/>
      <c r="C50" s="392" t="s">
        <v>5476</v>
      </c>
      <c r="D50" s="178"/>
      <c r="E50" s="230"/>
      <c r="F50" s="230"/>
      <c r="G50" s="231"/>
      <c r="H50" s="155"/>
      <c r="I50" s="155"/>
      <c r="J50" s="155"/>
      <c r="K50" s="1243" t="s">
        <v>629</v>
      </c>
      <c r="L50" s="333">
        <f>B49</f>
        <v>16</v>
      </c>
      <c r="M50" s="1373">
        <f>IF(Q50&lt;&gt;"",ROUND(Q50,0),IF(SUM(M47,-M48)&lt;0,0,SUM(M47,-M48)))</f>
        <v>0</v>
      </c>
      <c r="N50" s="666"/>
      <c r="O50" s="1185"/>
      <c r="P50" s="2936"/>
      <c r="Q50" s="444"/>
      <c r="R50" s="1185"/>
      <c r="S50" s="263"/>
      <c r="T50" s="263"/>
      <c r="U50" s="263"/>
      <c r="V50" s="263"/>
      <c r="W50" s="2523"/>
      <c r="X50" s="1284"/>
      <c r="Y50" s="2243"/>
      <c r="Z50" s="5727"/>
      <c r="AA50" s="2243"/>
      <c r="AB50" s="5727"/>
      <c r="AC50" s="2243"/>
      <c r="AD50" s="5727"/>
      <c r="AE50" s="2243"/>
      <c r="AF50" s="5728"/>
      <c r="AG50" s="2243"/>
      <c r="AH50" s="2243"/>
      <c r="AI50" s="2243"/>
      <c r="AJ50" s="2243"/>
      <c r="AK50" s="2243"/>
      <c r="AL50" s="2243"/>
    </row>
    <row r="51" spans="1:46" ht="15.75" customHeight="1" thickBot="1">
      <c r="A51" s="78"/>
      <c r="B51" s="154" t="s">
        <v>1915</v>
      </c>
      <c r="C51" s="392" t="s">
        <v>2784</v>
      </c>
      <c r="D51" s="273"/>
      <c r="E51" s="230"/>
      <c r="F51" s="230"/>
      <c r="G51" s="231"/>
      <c r="H51" s="231"/>
      <c r="I51" s="231"/>
      <c r="J51" s="231"/>
      <c r="K51" s="155"/>
      <c r="L51" s="2372"/>
      <c r="M51" s="1398"/>
      <c r="N51" s="665"/>
      <c r="O51" s="2086"/>
      <c r="P51" s="2935"/>
      <c r="Q51" s="2383" t="str">
        <f>IF($J$52&lt;&gt;"","Enter distributions","")</f>
        <v/>
      </c>
      <c r="R51" s="2086"/>
      <c r="S51" s="263"/>
      <c r="T51" s="263"/>
      <c r="U51" s="263"/>
      <c r="V51" s="263"/>
      <c r="W51" s="2523"/>
      <c r="X51" s="1284"/>
      <c r="Y51" s="2243"/>
      <c r="Z51" s="5727"/>
      <c r="AA51" s="2243"/>
      <c r="AB51" s="5727"/>
      <c r="AC51" s="2243"/>
      <c r="AD51" s="5727"/>
      <c r="AE51" s="2243"/>
      <c r="AF51" s="5728"/>
      <c r="AG51" s="2243"/>
      <c r="AH51" s="2243"/>
      <c r="AI51" s="2243"/>
      <c r="AJ51" s="2243"/>
      <c r="AK51" s="2243"/>
      <c r="AL51" s="2243"/>
    </row>
    <row r="52" spans="1:46" s="983" customFormat="1" ht="14.25" customHeight="1" thickBot="1">
      <c r="A52" s="78"/>
      <c r="B52" s="155"/>
      <c r="C52" s="4894" t="str">
        <f>" "&amp;TEXT($M$53,"0%")&amp;" Tax"</f>
        <v xml:space="preserve"> 20% Tax</v>
      </c>
      <c r="D52" s="4751" t="s">
        <v>1929</v>
      </c>
      <c r="E52" s="230"/>
      <c r="F52" s="230"/>
      <c r="G52" s="231"/>
      <c r="H52" s="231"/>
      <c r="I52" s="3240" t="s">
        <v>1930</v>
      </c>
      <c r="J52" s="1193"/>
      <c r="K52" s="231"/>
      <c r="L52" s="2372"/>
      <c r="M52" s="515"/>
      <c r="N52" s="666"/>
      <c r="O52" s="1185"/>
      <c r="P52" s="2936"/>
      <c r="Q52" s="2383" t="str">
        <f>IF($J$52&lt;&gt;"","subject to","")</f>
        <v/>
      </c>
      <c r="R52" s="1185"/>
      <c r="S52" s="263"/>
      <c r="T52" s="263"/>
      <c r="U52" s="263"/>
      <c r="V52" s="263"/>
      <c r="W52" s="2523"/>
      <c r="X52" s="1284"/>
      <c r="Y52" s="2243"/>
      <c r="Z52" s="5727"/>
      <c r="AA52" s="2243"/>
      <c r="AB52" s="5727"/>
      <c r="AC52" s="2243"/>
      <c r="AD52" s="5727"/>
      <c r="AE52" s="2243"/>
      <c r="AF52" s="5728"/>
      <c r="AG52" s="2243"/>
      <c r="AH52" s="2243"/>
      <c r="AI52" s="2243"/>
      <c r="AJ52" s="2243"/>
      <c r="AK52" s="2243"/>
      <c r="AL52" s="2243"/>
      <c r="AM52" s="2595"/>
      <c r="AN52" s="2595"/>
      <c r="AO52" s="2595"/>
      <c r="AP52" s="2595"/>
      <c r="AQ52" s="2595"/>
      <c r="AR52" s="2595"/>
      <c r="AS52" s="2595"/>
      <c r="AT52" s="2595"/>
    </row>
    <row r="53" spans="1:46" ht="12" customHeight="1">
      <c r="A53" s="78"/>
      <c r="B53" s="154" t="s">
        <v>47</v>
      </c>
      <c r="C53" s="218" t="str">
        <f>"Additional "&amp;TEXT(M53,"0%")&amp;" tax"</f>
        <v>Additional 20% tax</v>
      </c>
      <c r="D53" s="273"/>
      <c r="E53" s="230"/>
      <c r="F53" s="392"/>
      <c r="G53" s="231"/>
      <c r="H53" s="231"/>
      <c r="I53" s="231"/>
      <c r="J53" s="231"/>
      <c r="K53" s="2378" t="str">
        <f>"(see instructions). Enter "&amp;TEXT($M$53,"0%")&amp;" ("&amp;TEXT($M$53,".00")&amp;") of the distributions included on line 16     "</f>
        <v xml:space="preserve">(see instructions). Enter 20% (.20) of the distributions included on line 16     </v>
      </c>
      <c r="L53" s="2372"/>
      <c r="M53" s="1429">
        <v>0.2</v>
      </c>
      <c r="N53" s="665"/>
      <c r="O53" s="2086"/>
      <c r="P53" s="2935"/>
      <c r="Q53" s="2383" t="str">
        <f>IF($J$52&lt;&gt;"","additional tax here:","")</f>
        <v/>
      </c>
      <c r="R53" s="2086"/>
      <c r="S53" s="263"/>
      <c r="T53" s="263"/>
      <c r="U53" s="263"/>
      <c r="V53" s="263"/>
      <c r="W53" s="2523"/>
      <c r="X53" s="1284"/>
      <c r="Y53" s="2243"/>
      <c r="Z53" s="5727"/>
      <c r="AA53" s="2243"/>
      <c r="AB53" s="5727"/>
      <c r="AC53" s="2243"/>
      <c r="AD53" s="5727"/>
      <c r="AE53" s="2243"/>
      <c r="AF53" s="5728"/>
      <c r="AG53" s="2243"/>
      <c r="AH53" s="2243"/>
      <c r="AI53" s="2243"/>
      <c r="AJ53" s="2243"/>
      <c r="AK53" s="2243"/>
      <c r="AL53" s="2243"/>
    </row>
    <row r="54" spans="1:46" s="983" customFormat="1" ht="12" customHeight="1">
      <c r="A54" s="78"/>
      <c r="B54" s="155"/>
      <c r="C54" s="392" t="str">
        <f>"that are subject to the additional "&amp;TEXT($M$53,"0%")&amp;" tax. Also include this amount in the total on Schedule 2"</f>
        <v>that are subject to the additional 20% tax. Also include this amount in the total on Schedule 2</v>
      </c>
      <c r="D54" s="178"/>
      <c r="E54" s="230"/>
      <c r="F54" s="230"/>
      <c r="G54" s="231"/>
      <c r="H54" s="231"/>
      <c r="I54" s="231"/>
      <c r="J54" s="231"/>
      <c r="K54" s="231"/>
      <c r="L54" s="2372"/>
      <c r="M54" s="515"/>
      <c r="N54" s="666"/>
      <c r="O54" s="1185"/>
      <c r="P54" s="2936"/>
      <c r="Q54" s="2384"/>
      <c r="R54" s="1185"/>
      <c r="S54" s="263"/>
      <c r="T54" s="263"/>
      <c r="U54" s="263"/>
      <c r="V54" s="263"/>
      <c r="W54" s="2523"/>
      <c r="X54" s="1284"/>
      <c r="Y54" s="2243"/>
      <c r="Z54" s="5727"/>
      <c r="AA54" s="2243"/>
      <c r="AB54" s="5727"/>
      <c r="AC54" s="2243"/>
      <c r="AD54" s="5727"/>
      <c r="AE54" s="2243"/>
      <c r="AF54" s="5728"/>
      <c r="AG54" s="2243"/>
      <c r="AH54" s="2243"/>
      <c r="AI54" s="2243"/>
      <c r="AJ54" s="2243"/>
      <c r="AK54" s="2243"/>
      <c r="AL54" s="2243"/>
      <c r="AM54" s="2595"/>
      <c r="AN54" s="2595"/>
      <c r="AO54" s="2595"/>
      <c r="AP54" s="2595"/>
      <c r="AQ54" s="2595"/>
      <c r="AR54" s="2595"/>
      <c r="AS54" s="2595"/>
      <c r="AT54" s="2595"/>
    </row>
    <row r="55" spans="1:46" ht="12" customHeight="1">
      <c r="A55" s="78"/>
      <c r="B55" s="154"/>
      <c r="C55" s="3544" t="s">
        <v>5466</v>
      </c>
      <c r="D55" s="178"/>
      <c r="E55" s="230"/>
      <c r="F55" s="230"/>
      <c r="G55" s="231"/>
      <c r="H55" s="231"/>
      <c r="I55" s="231"/>
      <c r="J55" s="231"/>
      <c r="K55" s="1243"/>
      <c r="L55" s="333" t="s">
        <v>1916</v>
      </c>
      <c r="M55" s="1373">
        <f>IF(Q55&lt;&gt;"",ROUND(Q55,0),IF($J$52&lt;&gt;"",ROUND($M$53*$Q$54,0),ROUND($M$53*M50,0)))</f>
        <v>0</v>
      </c>
      <c r="N55" s="666"/>
      <c r="O55" s="2086"/>
      <c r="P55" s="861"/>
      <c r="Q55" s="444"/>
      <c r="R55" s="2086"/>
      <c r="S55" s="263"/>
      <c r="T55" s="263"/>
      <c r="U55" s="263"/>
      <c r="V55" s="263"/>
      <c r="W55" s="2523"/>
      <c r="X55" s="1284"/>
      <c r="Y55" s="2243"/>
      <c r="Z55" s="5727"/>
      <c r="AA55" s="2243"/>
      <c r="AB55" s="5727"/>
      <c r="AC55" s="2243"/>
      <c r="AD55" s="5727"/>
      <c r="AE55" s="2243"/>
      <c r="AF55" s="5728"/>
      <c r="AG55" s="2243"/>
      <c r="AH55" s="2243"/>
      <c r="AI55" s="2243"/>
      <c r="AJ55" s="2243"/>
      <c r="AK55" s="2243"/>
      <c r="AL55" s="2243"/>
    </row>
    <row r="56" spans="1:46" s="237" customFormat="1" ht="15" customHeight="1">
      <c r="A56" s="78"/>
      <c r="B56" s="4752" t="s">
        <v>319</v>
      </c>
      <c r="C56" s="9646" t="s">
        <v>4255</v>
      </c>
      <c r="D56" s="9646"/>
      <c r="E56" s="9647"/>
      <c r="F56" s="9647"/>
      <c r="G56" s="9647"/>
      <c r="H56" s="9647"/>
      <c r="I56" s="9647"/>
      <c r="J56" s="9647"/>
      <c r="K56" s="9647"/>
      <c r="L56" s="9647"/>
      <c r="M56" s="9647"/>
      <c r="N56" s="664"/>
      <c r="O56" s="1503"/>
      <c r="P56" s="570"/>
      <c r="Q56" s="681"/>
      <c r="R56" s="1503"/>
      <c r="S56" s="263"/>
      <c r="T56" s="263"/>
      <c r="U56" s="263"/>
      <c r="V56" s="263"/>
      <c r="W56" s="2523"/>
      <c r="X56" s="1284"/>
      <c r="Y56" s="2243"/>
      <c r="Z56" s="5727"/>
      <c r="AA56" s="2243"/>
      <c r="AB56" s="5727"/>
      <c r="AC56" s="2243"/>
      <c r="AD56" s="5727"/>
      <c r="AE56" s="2243"/>
      <c r="AF56" s="5728"/>
      <c r="AG56" s="2243"/>
      <c r="AH56" s="2243"/>
      <c r="AI56" s="2243"/>
      <c r="AJ56" s="2243"/>
      <c r="AK56" s="2243"/>
      <c r="AL56" s="2243"/>
      <c r="AM56" s="2595"/>
      <c r="AN56" s="2595"/>
      <c r="AO56" s="2595"/>
      <c r="AP56" s="2595"/>
      <c r="AQ56" s="2595"/>
      <c r="AR56" s="2595"/>
      <c r="AS56" s="2595"/>
      <c r="AT56" s="2595"/>
    </row>
    <row r="57" spans="1:46" s="237" customFormat="1">
      <c r="A57" s="78"/>
      <c r="B57" s="2363"/>
      <c r="C57" s="9656" t="s">
        <v>1920</v>
      </c>
      <c r="D57" s="9656"/>
      <c r="E57" s="9657"/>
      <c r="F57" s="9657"/>
      <c r="G57" s="9657"/>
      <c r="H57" s="9657"/>
      <c r="I57" s="9657"/>
      <c r="J57" s="9657"/>
      <c r="K57" s="9657"/>
      <c r="L57" s="9657"/>
      <c r="M57" s="9657"/>
      <c r="N57" s="664"/>
      <c r="O57" s="1503"/>
      <c r="P57" s="2370"/>
      <c r="Q57" s="681"/>
      <c r="R57" s="1503"/>
      <c r="S57" s="263"/>
      <c r="T57" s="263"/>
      <c r="U57" s="263"/>
      <c r="V57" s="263"/>
      <c r="W57" s="2523"/>
      <c r="X57" s="1284"/>
      <c r="Y57" s="2243"/>
      <c r="Z57" s="5727"/>
      <c r="AA57" s="2243"/>
      <c r="AB57" s="5727"/>
      <c r="AC57" s="2243"/>
      <c r="AD57" s="5727"/>
      <c r="AE57" s="2243"/>
      <c r="AF57" s="5728"/>
      <c r="AG57" s="2243"/>
      <c r="AH57" s="2243"/>
      <c r="AI57" s="2243"/>
      <c r="AJ57" s="2243"/>
      <c r="AK57" s="2243"/>
      <c r="AL57" s="2243"/>
      <c r="AM57" s="2595"/>
      <c r="AN57" s="2595"/>
      <c r="AO57" s="2595"/>
      <c r="AP57" s="2595"/>
      <c r="AQ57" s="2595"/>
      <c r="AR57" s="2595"/>
      <c r="AS57" s="2595"/>
      <c r="AT57" s="2595"/>
    </row>
    <row r="58" spans="1:46" ht="12.75" customHeight="1">
      <c r="A58" s="78"/>
      <c r="B58" s="2375"/>
      <c r="C58" s="9639" t="s">
        <v>1921</v>
      </c>
      <c r="D58" s="9639"/>
      <c r="E58" s="9640"/>
      <c r="F58" s="9640"/>
      <c r="G58" s="9640"/>
      <c r="H58" s="9640"/>
      <c r="I58" s="9640"/>
      <c r="J58" s="9640"/>
      <c r="K58" s="9640"/>
      <c r="L58" s="9640"/>
      <c r="M58" s="9640"/>
      <c r="N58" s="664"/>
      <c r="O58" s="1503"/>
      <c r="P58" s="2370"/>
      <c r="Q58" s="681"/>
      <c r="R58" s="1503"/>
      <c r="S58" s="263"/>
      <c r="T58" s="263"/>
      <c r="U58" s="263"/>
      <c r="V58" s="263"/>
      <c r="W58" s="2523"/>
      <c r="X58" s="1284"/>
      <c r="Y58" s="2243"/>
      <c r="Z58" s="5727"/>
      <c r="AA58" s="2243"/>
      <c r="AB58" s="5727"/>
      <c r="AC58" s="2243"/>
      <c r="AD58" s="5727"/>
      <c r="AE58" s="2243"/>
      <c r="AF58" s="5728"/>
      <c r="AG58" s="2243"/>
      <c r="AH58" s="2243"/>
      <c r="AI58" s="2243"/>
      <c r="AJ58" s="2243"/>
      <c r="AK58" s="2243"/>
      <c r="AL58" s="2243"/>
    </row>
    <row r="59" spans="1:46" ht="12" customHeight="1">
      <c r="A59" s="78"/>
      <c r="B59" s="154">
        <v>18</v>
      </c>
      <c r="C59" s="392" t="s">
        <v>1922</v>
      </c>
      <c r="D59" s="273"/>
      <c r="E59" s="230"/>
      <c r="F59" s="230"/>
      <c r="G59" s="231"/>
      <c r="H59" s="231"/>
      <c r="I59" s="231"/>
      <c r="J59" s="231"/>
      <c r="K59" s="1243" t="s">
        <v>2524</v>
      </c>
      <c r="L59" s="333">
        <f>B59</f>
        <v>18</v>
      </c>
      <c r="M59" s="1374"/>
      <c r="N59" s="665"/>
      <c r="O59" s="2086"/>
      <c r="P59" s="2935"/>
      <c r="Q59" s="558"/>
      <c r="R59" s="2086"/>
      <c r="S59" s="263"/>
      <c r="T59" s="263"/>
      <c r="U59" s="263"/>
      <c r="V59" s="263"/>
      <c r="W59" s="2523"/>
      <c r="X59" s="1284"/>
      <c r="Y59" s="2243"/>
      <c r="Z59" s="5727"/>
      <c r="AA59" s="2243"/>
      <c r="AB59" s="5727"/>
      <c r="AC59" s="2243"/>
      <c r="AD59" s="5727"/>
      <c r="AE59" s="2243"/>
      <c r="AF59" s="5728"/>
      <c r="AG59" s="2243"/>
      <c r="AH59" s="2243"/>
      <c r="AI59" s="2243"/>
      <c r="AJ59" s="2243"/>
      <c r="AK59" s="2243"/>
      <c r="AL59" s="2243"/>
    </row>
    <row r="60" spans="1:46" s="983" customFormat="1" ht="12" customHeight="1">
      <c r="A60" s="78"/>
      <c r="B60" s="154">
        <v>19</v>
      </c>
      <c r="C60" s="392" t="s">
        <v>1923</v>
      </c>
      <c r="D60" s="273"/>
      <c r="E60" s="230"/>
      <c r="F60" s="230"/>
      <c r="G60" s="231"/>
      <c r="H60" s="231"/>
      <c r="I60" s="231"/>
      <c r="J60" s="231"/>
      <c r="K60" s="1243" t="s">
        <v>94</v>
      </c>
      <c r="L60" s="333">
        <f>B60</f>
        <v>19</v>
      </c>
      <c r="M60" s="1374"/>
      <c r="N60" s="665"/>
      <c r="O60" s="2086"/>
      <c r="P60" s="2935"/>
      <c r="Q60" s="558"/>
      <c r="R60" s="2086"/>
      <c r="S60" s="2665"/>
      <c r="T60" s="2665"/>
      <c r="U60" s="2665"/>
      <c r="V60" s="2665"/>
      <c r="W60" s="2523"/>
      <c r="X60" s="1284"/>
      <c r="Y60" s="2243"/>
      <c r="Z60" s="5727"/>
      <c r="AA60" s="2243"/>
      <c r="AB60" s="5727"/>
      <c r="AC60" s="2243"/>
      <c r="AD60" s="5727"/>
      <c r="AE60" s="2243"/>
      <c r="AF60" s="5728"/>
      <c r="AG60" s="2243"/>
      <c r="AH60" s="2243"/>
      <c r="AI60" s="2243"/>
      <c r="AJ60" s="2243"/>
      <c r="AK60" s="2243"/>
      <c r="AL60" s="2243"/>
      <c r="AM60" s="2595"/>
      <c r="AN60" s="2595"/>
      <c r="AO60" s="2595"/>
      <c r="AP60" s="2595"/>
      <c r="AQ60" s="2595"/>
      <c r="AR60" s="2595"/>
      <c r="AS60" s="2595"/>
      <c r="AT60" s="2595"/>
    </row>
    <row r="61" spans="1:46" ht="12" customHeight="1">
      <c r="A61" s="78"/>
      <c r="B61" s="154">
        <v>20</v>
      </c>
      <c r="C61" s="218" t="s">
        <v>5468</v>
      </c>
      <c r="D61" s="273"/>
      <c r="E61" s="230"/>
      <c r="F61" s="230"/>
      <c r="G61" s="231"/>
      <c r="H61" s="231"/>
      <c r="I61" s="231"/>
      <c r="J61" s="231"/>
      <c r="K61" s="155"/>
      <c r="L61" s="2371"/>
      <c r="M61" s="1398"/>
      <c r="N61" s="665"/>
      <c r="O61" s="2086"/>
      <c r="P61" s="2935"/>
      <c r="Q61" s="582"/>
      <c r="R61" s="2086"/>
      <c r="S61" s="2665"/>
      <c r="T61" s="2665"/>
      <c r="U61" s="2665"/>
      <c r="V61" s="2665"/>
      <c r="W61" s="2523"/>
      <c r="X61" s="1284"/>
      <c r="Y61" s="2243"/>
      <c r="Z61" s="5727"/>
      <c r="AA61" s="2243"/>
      <c r="AB61" s="5727"/>
      <c r="AC61" s="2243"/>
      <c r="AD61" s="5727"/>
      <c r="AE61" s="2243"/>
      <c r="AF61" s="5728"/>
      <c r="AG61" s="2243"/>
      <c r="AH61" s="2243"/>
      <c r="AI61" s="2243"/>
      <c r="AJ61" s="2243"/>
      <c r="AK61" s="2243"/>
      <c r="AL61" s="2243"/>
    </row>
    <row r="62" spans="1:46" s="983" customFormat="1" ht="12" customHeight="1">
      <c r="A62" s="78"/>
      <c r="B62" s="155"/>
      <c r="C62" s="392" t="s">
        <v>5469</v>
      </c>
      <c r="D62" s="178"/>
      <c r="E62" s="230"/>
      <c r="F62" s="230"/>
      <c r="G62" s="231"/>
      <c r="H62" s="155"/>
      <c r="I62" s="155"/>
      <c r="J62" s="155"/>
      <c r="K62" s="1243" t="s">
        <v>1055</v>
      </c>
      <c r="L62" s="333">
        <f>B61</f>
        <v>20</v>
      </c>
      <c r="M62" s="1373">
        <f>IF(Q62&lt;&gt;"",ROUND(Q62,0),SUM(M59,M60))</f>
        <v>0</v>
      </c>
      <c r="N62" s="666"/>
      <c r="O62" s="1185"/>
      <c r="P62" s="2936"/>
      <c r="Q62" s="444"/>
      <c r="R62" s="1185"/>
      <c r="S62" s="263"/>
      <c r="T62" s="263"/>
      <c r="U62" s="263"/>
      <c r="V62" s="263"/>
      <c r="W62" s="2086"/>
      <c r="X62" s="1185"/>
      <c r="Y62" s="1410"/>
      <c r="Z62" s="2655"/>
      <c r="AA62" s="1410"/>
      <c r="AB62" s="2655"/>
      <c r="AC62" s="1410"/>
      <c r="AD62" s="2655"/>
      <c r="AE62" s="1410"/>
      <c r="AF62" s="2656"/>
      <c r="AG62" s="1410"/>
      <c r="AH62" s="1410"/>
      <c r="AI62" s="1407"/>
      <c r="AJ62" s="1407"/>
      <c r="AK62" s="1407"/>
      <c r="AL62" s="1407"/>
      <c r="AM62" s="2595"/>
      <c r="AN62" s="2595"/>
      <c r="AO62" s="2595"/>
      <c r="AP62" s="2595"/>
      <c r="AQ62" s="2595"/>
      <c r="AR62" s="2595"/>
      <c r="AS62" s="2595"/>
      <c r="AT62" s="2595"/>
    </row>
    <row r="63" spans="1:46" ht="12" customHeight="1">
      <c r="A63" s="78"/>
      <c r="B63" s="154">
        <v>21</v>
      </c>
      <c r="C63" s="218" t="s">
        <v>2440</v>
      </c>
      <c r="D63" s="273"/>
      <c r="E63" s="392" t="str">
        <f>"Multiply line 20 by "&amp;TEXT(M63,"0%")&amp;" ("&amp;TEXT(M63,".00")&amp;"). Include this amount in the total on Schedule 2"</f>
        <v>Multiply line 20 by 10% (.10). Include this amount in the total on Schedule 2</v>
      </c>
      <c r="F63" s="230"/>
      <c r="G63" s="231"/>
      <c r="H63" s="231"/>
      <c r="I63" s="231"/>
      <c r="J63" s="231"/>
      <c r="K63" s="155"/>
      <c r="L63" s="2371"/>
      <c r="M63" s="2385">
        <v>0.1</v>
      </c>
      <c r="N63" s="665"/>
      <c r="O63" s="2086"/>
      <c r="P63" s="2935"/>
      <c r="Q63" s="582"/>
      <c r="R63" s="2086"/>
      <c r="S63" s="263"/>
      <c r="T63" s="263"/>
      <c r="U63" s="263"/>
      <c r="V63" s="263"/>
      <c r="W63" s="2648"/>
      <c r="X63" s="1185"/>
      <c r="Y63" s="1410"/>
      <c r="Z63" s="2655"/>
      <c r="AA63" s="1410"/>
      <c r="AB63" s="2655"/>
      <c r="AC63" s="1410"/>
      <c r="AD63" s="2655"/>
      <c r="AE63" s="1410"/>
      <c r="AF63" s="2656"/>
      <c r="AG63" s="1410"/>
      <c r="AH63" s="1410"/>
      <c r="AI63" s="1410"/>
      <c r="AJ63" s="1410"/>
      <c r="AK63" s="1410"/>
      <c r="AL63" s="1410"/>
    </row>
    <row r="64" spans="1:46" s="983" customFormat="1" ht="12" customHeight="1" thickBot="1">
      <c r="A64" s="655"/>
      <c r="B64" s="3533"/>
      <c r="C64" s="3544" t="s">
        <v>5467</v>
      </c>
      <c r="D64" s="3534"/>
      <c r="E64" s="3532"/>
      <c r="F64" s="3532"/>
      <c r="G64" s="3535"/>
      <c r="H64" s="3533"/>
      <c r="I64" s="3533"/>
      <c r="J64" s="3533"/>
      <c r="K64" s="2382"/>
      <c r="L64" s="4756">
        <f>B63</f>
        <v>21</v>
      </c>
      <c r="M64" s="3536">
        <f>IF(Q64&lt;&gt;"",ROUND(Q64,0),M62*M63)</f>
        <v>0</v>
      </c>
      <c r="N64" s="3537"/>
      <c r="O64" s="2187"/>
      <c r="P64" s="3538"/>
      <c r="Q64" s="3539"/>
      <c r="R64" s="2187"/>
      <c r="S64" s="3501"/>
      <c r="T64" s="3501"/>
      <c r="U64" s="3501"/>
      <c r="V64" s="3501"/>
      <c r="W64" s="3540"/>
      <c r="X64" s="1185"/>
      <c r="Y64" s="1410"/>
      <c r="Z64" s="2655"/>
      <c r="AA64" s="1410"/>
      <c r="AB64" s="2655"/>
      <c r="AC64" s="1410"/>
      <c r="AD64" s="2655"/>
      <c r="AE64" s="1410"/>
      <c r="AF64" s="2656"/>
      <c r="AG64" s="1410"/>
      <c r="AH64" s="1410"/>
      <c r="AI64" s="1410"/>
      <c r="AJ64" s="1410"/>
      <c r="AK64" s="1410"/>
      <c r="AL64" s="1410"/>
      <c r="AM64" s="2595"/>
      <c r="AN64" s="2595"/>
      <c r="AO64" s="2595"/>
      <c r="AP64" s="2595"/>
      <c r="AQ64" s="2595"/>
      <c r="AR64" s="2595"/>
      <c r="AS64" s="2595"/>
      <c r="AT64" s="2595"/>
    </row>
    <row r="65" spans="1:46" ht="12" customHeight="1">
      <c r="A65" s="78"/>
      <c r="B65" s="159" t="s">
        <v>484</v>
      </c>
      <c r="C65" s="265"/>
      <c r="D65" s="265"/>
      <c r="E65" s="265"/>
      <c r="F65" s="265"/>
      <c r="G65" s="560"/>
      <c r="H65" s="561"/>
      <c r="I65" s="4754" t="s">
        <v>1917</v>
      </c>
      <c r="J65" s="691"/>
      <c r="K65" s="560"/>
      <c r="L65" s="562" t="s">
        <v>3570</v>
      </c>
      <c r="M65" s="1010" t="str">
        <f>"  ("&amp;TaxYear&amp;")"</f>
        <v xml:space="preserve">  (2021)</v>
      </c>
      <c r="N65" s="672"/>
      <c r="O65" s="1185"/>
      <c r="P65" s="2935"/>
      <c r="Q65" s="558"/>
      <c r="R65" s="1185"/>
      <c r="S65" s="263"/>
      <c r="T65" s="263"/>
      <c r="U65" s="263"/>
      <c r="V65" s="263"/>
      <c r="W65" s="2650"/>
      <c r="X65" s="1185"/>
      <c r="Y65" s="1410"/>
      <c r="Z65" s="2655"/>
      <c r="AA65" s="1410"/>
      <c r="AB65" s="2655"/>
      <c r="AC65" s="1410"/>
      <c r="AD65" s="2655"/>
      <c r="AE65" s="1410"/>
      <c r="AF65" s="2656"/>
      <c r="AG65" s="1410"/>
      <c r="AH65" s="1410"/>
      <c r="AI65" s="1410"/>
      <c r="AJ65" s="1410"/>
      <c r="AK65" s="1410"/>
      <c r="AL65" s="1410"/>
    </row>
    <row r="66" spans="1:46" s="237" customFormat="1" ht="15" customHeight="1">
      <c r="A66" s="78"/>
      <c r="B66" s="23"/>
      <c r="C66" s="23"/>
      <c r="D66" s="97"/>
      <c r="E66" s="4847"/>
      <c r="F66" s="4848"/>
      <c r="G66" s="2117"/>
      <c r="H66" s="4848"/>
      <c r="I66" s="4848"/>
      <c r="J66" s="4848"/>
      <c r="K66" s="4849"/>
      <c r="L66" s="8932" t="s">
        <v>85</v>
      </c>
      <c r="M66" s="8628"/>
      <c r="N66" s="588"/>
      <c r="O66" s="1145"/>
      <c r="P66" s="2857"/>
      <c r="Q66" s="6664"/>
      <c r="R66" s="1145"/>
      <c r="S66" s="2661"/>
      <c r="T66" s="2661"/>
      <c r="U66" s="2661"/>
      <c r="V66" s="2661"/>
      <c r="W66" s="2651"/>
      <c r="X66" s="2654"/>
      <c r="Y66" s="1410"/>
      <c r="Z66" s="2655"/>
      <c r="AA66" s="1410"/>
      <c r="AB66" s="2655"/>
      <c r="AC66" s="1410"/>
      <c r="AD66" s="2655"/>
      <c r="AE66" s="1410"/>
      <c r="AF66" s="2656"/>
      <c r="AG66" s="1410"/>
      <c r="AH66" s="1410"/>
      <c r="AI66" s="1410"/>
      <c r="AJ66" s="1410"/>
      <c r="AK66" s="1410"/>
      <c r="AL66" s="1410"/>
      <c r="AM66" s="2595"/>
      <c r="AN66" s="2595"/>
      <c r="AO66" s="2595"/>
      <c r="AP66" s="2595"/>
      <c r="AQ66" s="2595"/>
      <c r="AR66" s="2595"/>
      <c r="AS66" s="2595"/>
      <c r="AT66" s="2595"/>
    </row>
    <row r="67" spans="1:46" ht="3.75" customHeight="1">
      <c r="A67" s="78"/>
      <c r="B67" s="9651" t="s">
        <v>291</v>
      </c>
      <c r="C67" s="9652">
        <v>8889</v>
      </c>
      <c r="D67" s="9653"/>
      <c r="E67" s="4847"/>
      <c r="F67" s="4848"/>
      <c r="G67" s="4848"/>
      <c r="H67" s="4848"/>
      <c r="I67" s="4848"/>
      <c r="J67" s="4848"/>
      <c r="K67" s="4849"/>
      <c r="L67" s="7521">
        <f>TaxYear</f>
        <v>2021</v>
      </c>
      <c r="M67" s="9661"/>
      <c r="N67" s="662"/>
      <c r="O67" s="1503"/>
      <c r="P67" s="253"/>
      <c r="Q67" s="6664"/>
      <c r="R67" s="1503"/>
      <c r="W67" s="2652"/>
      <c r="X67" s="2654"/>
      <c r="Y67" s="1410"/>
      <c r="Z67" s="2655"/>
      <c r="AA67" s="1410"/>
      <c r="AB67" s="2655"/>
      <c r="AC67" s="1410"/>
      <c r="AD67" s="2655"/>
      <c r="AE67" s="1410"/>
      <c r="AF67" s="2656"/>
      <c r="AG67" s="1410"/>
      <c r="AH67" s="1410"/>
      <c r="AI67" s="1410"/>
      <c r="AJ67" s="1410"/>
      <c r="AK67" s="1410"/>
      <c r="AL67" s="1410"/>
    </row>
    <row r="68" spans="1:46" ht="20.25">
      <c r="A68" s="78"/>
      <c r="B68" s="7060"/>
      <c r="C68" s="9654"/>
      <c r="D68" s="9655"/>
      <c r="E68" s="9667" t="s">
        <v>1892</v>
      </c>
      <c r="F68" s="9668"/>
      <c r="G68" s="9668"/>
      <c r="H68" s="9668"/>
      <c r="I68" s="9668"/>
      <c r="J68" s="9668"/>
      <c r="K68" s="9669"/>
      <c r="L68" s="9662"/>
      <c r="M68" s="9663"/>
      <c r="N68" s="663"/>
      <c r="O68" s="1262"/>
      <c r="P68" s="165"/>
      <c r="Q68" s="9602" t="s">
        <v>5474</v>
      </c>
      <c r="R68" s="1262"/>
      <c r="S68" s="2662"/>
      <c r="T68" s="2662"/>
      <c r="U68" s="2662"/>
      <c r="V68" s="2662"/>
      <c r="W68" s="2652"/>
      <c r="X68" s="2657"/>
      <c r="Y68" s="1410"/>
      <c r="Z68" s="2655"/>
      <c r="AA68" s="1410"/>
      <c r="AB68" s="2655"/>
      <c r="AC68" s="1410"/>
      <c r="AD68" s="2655"/>
      <c r="AE68" s="1410"/>
      <c r="AF68" s="2656"/>
      <c r="AG68" s="1410"/>
      <c r="AH68" s="1410"/>
      <c r="AI68" s="1410"/>
      <c r="AJ68" s="1410"/>
      <c r="AK68" s="1410"/>
      <c r="AL68" s="1410"/>
    </row>
    <row r="69" spans="1:46" ht="13.5" customHeight="1">
      <c r="A69" s="78"/>
      <c r="B69" s="8464" t="s">
        <v>176</v>
      </c>
      <c r="C69" s="6665"/>
      <c r="D69" s="9648"/>
      <c r="E69" s="6870" t="s">
        <v>3569</v>
      </c>
      <c r="F69" s="9649"/>
      <c r="G69" s="9649"/>
      <c r="H69" s="9649"/>
      <c r="I69" s="9649"/>
      <c r="J69" s="9649"/>
      <c r="K69" s="9650"/>
      <c r="L69" s="8463" t="s">
        <v>301</v>
      </c>
      <c r="M69" s="7460"/>
      <c r="N69" s="662"/>
      <c r="O69" s="1262"/>
      <c r="P69" s="253"/>
      <c r="Q69" s="6664"/>
      <c r="R69" s="1262"/>
      <c r="S69" s="2663"/>
      <c r="T69" s="2663"/>
      <c r="U69" s="2663"/>
      <c r="V69" s="2663"/>
      <c r="W69" s="2652"/>
      <c r="X69" s="1262"/>
      <c r="Y69" s="1410"/>
      <c r="Z69" s="2655"/>
      <c r="AA69" s="1410"/>
      <c r="AB69" s="2655"/>
      <c r="AC69" s="1410"/>
      <c r="AD69" s="2655"/>
      <c r="AE69" s="1410"/>
      <c r="AF69" s="2656"/>
      <c r="AG69" s="1410"/>
      <c r="AH69" s="1410"/>
      <c r="AI69" s="1410"/>
      <c r="AJ69" s="1410"/>
      <c r="AK69" s="1410"/>
      <c r="AL69" s="1410"/>
    </row>
    <row r="70" spans="1:46" ht="14.25" customHeight="1" thickBot="1">
      <c r="A70" s="78"/>
      <c r="B70" s="9625" t="s">
        <v>395</v>
      </c>
      <c r="C70" s="9626"/>
      <c r="D70" s="9627"/>
      <c r="E70" s="9628" t="s">
        <v>2040</v>
      </c>
      <c r="F70" s="9629"/>
      <c r="G70" s="9629"/>
      <c r="H70" s="9629"/>
      <c r="I70" s="9629"/>
      <c r="J70" s="9629"/>
      <c r="K70" s="9630"/>
      <c r="L70" s="9631" t="s">
        <v>2782</v>
      </c>
      <c r="M70" s="9632"/>
      <c r="N70" s="663"/>
      <c r="O70" s="1503"/>
      <c r="P70" s="165"/>
      <c r="Q70" s="681"/>
      <c r="R70" s="1503"/>
      <c r="S70" s="2664"/>
      <c r="T70" s="2664"/>
      <c r="U70" s="2664"/>
      <c r="V70" s="2664"/>
      <c r="W70" s="2085"/>
      <c r="X70" s="2658"/>
      <c r="Y70" s="1410"/>
      <c r="Z70" s="2655"/>
      <c r="AA70" s="1410"/>
      <c r="AB70" s="2655"/>
      <c r="AC70" s="1410"/>
      <c r="AD70" s="2655"/>
      <c r="AE70" s="1410"/>
      <c r="AF70" s="2656"/>
      <c r="AG70" s="1410"/>
      <c r="AH70" s="1410"/>
      <c r="AI70" s="1410"/>
      <c r="AJ70" s="1410"/>
      <c r="AK70" s="1410"/>
      <c r="AL70" s="1410"/>
    </row>
    <row r="71" spans="1:46" ht="12.75" customHeight="1">
      <c r="A71" s="78"/>
      <c r="B71" s="21" t="s">
        <v>3571</v>
      </c>
      <c r="C71" s="161"/>
      <c r="D71" s="161"/>
      <c r="E71" s="134"/>
      <c r="F71" s="135"/>
      <c r="G71" s="144"/>
      <c r="H71" s="135"/>
      <c r="I71" s="135"/>
      <c r="J71" s="9633" t="s">
        <v>4256</v>
      </c>
      <c r="K71" s="9634"/>
      <c r="L71" s="9637" t="str">
        <f>IF(NoSSN,"",IF(AND($Q$7,$O$10),SS_Spouse,""))</f>
        <v/>
      </c>
      <c r="M71" s="9638"/>
      <c r="N71" s="662"/>
      <c r="O71" s="1503"/>
      <c r="P71" s="253"/>
      <c r="Q71" s="681"/>
      <c r="R71" s="1503"/>
      <c r="S71" s="2664"/>
      <c r="T71" s="2664"/>
      <c r="U71" s="2664"/>
      <c r="V71" s="2664"/>
      <c r="W71" s="2085"/>
      <c r="X71" s="2658"/>
      <c r="Y71" s="1410"/>
      <c r="Z71" s="2655"/>
      <c r="AA71" s="1410"/>
      <c r="AB71" s="2655"/>
      <c r="AC71" s="1410"/>
      <c r="AD71" s="2655"/>
      <c r="AE71" s="1410"/>
      <c r="AF71" s="2656"/>
      <c r="AG71" s="1410"/>
      <c r="AH71" s="1410"/>
      <c r="AI71" s="1410"/>
      <c r="AJ71" s="1410"/>
      <c r="AK71" s="1410"/>
      <c r="AL71" s="1410"/>
    </row>
    <row r="72" spans="1:46" ht="12.75" customHeight="1" thickBot="1">
      <c r="A72" s="78"/>
      <c r="B72" s="8906" t="str">
        <f>IF(AND($Q$7,$O$10),NameSpouse,"")</f>
        <v/>
      </c>
      <c r="C72" s="6290"/>
      <c r="D72" s="6290"/>
      <c r="E72" s="6290"/>
      <c r="F72" s="6290"/>
      <c r="G72" s="6290"/>
      <c r="H72" s="6290"/>
      <c r="I72" s="6290"/>
      <c r="J72" s="9635"/>
      <c r="K72" s="9636"/>
      <c r="L72" s="6290"/>
      <c r="M72" s="6290"/>
      <c r="N72" s="663"/>
      <c r="O72" s="1503"/>
      <c r="P72" s="165"/>
      <c r="Q72" s="681"/>
      <c r="R72" s="1503"/>
      <c r="S72" s="12"/>
      <c r="T72" s="12"/>
      <c r="U72" s="12"/>
      <c r="V72" s="12"/>
      <c r="W72" s="2085"/>
      <c r="X72" s="2659"/>
      <c r="Y72" s="1410"/>
      <c r="Z72" s="2655"/>
      <c r="AA72" s="1410"/>
      <c r="AB72" s="2655"/>
      <c r="AC72" s="1410"/>
      <c r="AD72" s="2655"/>
      <c r="AE72" s="1410"/>
      <c r="AF72" s="2656"/>
      <c r="AG72" s="1410"/>
      <c r="AH72" s="1410"/>
      <c r="AI72" s="1410"/>
      <c r="AJ72" s="1410"/>
      <c r="AK72" s="1410"/>
      <c r="AL72" s="1410"/>
    </row>
    <row r="73" spans="1:46" ht="15" customHeight="1">
      <c r="A73" s="78"/>
      <c r="B73" s="2199" t="s">
        <v>2785</v>
      </c>
      <c r="C73" s="1694"/>
      <c r="D73" s="1694"/>
      <c r="E73" s="1694"/>
      <c r="F73" s="1694"/>
      <c r="G73" s="1694"/>
      <c r="H73" s="1694"/>
      <c r="I73" s="1694"/>
      <c r="J73" s="2361"/>
      <c r="K73" s="2361"/>
      <c r="L73" s="1694"/>
      <c r="M73" s="1694"/>
      <c r="N73" s="663"/>
      <c r="O73" s="1503"/>
      <c r="P73" s="165"/>
      <c r="Q73" s="681"/>
      <c r="R73" s="1503"/>
      <c r="S73" s="12"/>
      <c r="T73" s="12"/>
      <c r="U73" s="12"/>
      <c r="V73" s="12"/>
      <c r="W73" s="2086"/>
      <c r="X73" s="9611" t="s">
        <v>2049</v>
      </c>
      <c r="Y73" s="9612"/>
      <c r="Z73" s="9612"/>
      <c r="AA73" s="9612"/>
      <c r="AB73" s="9612"/>
      <c r="AC73" s="9612"/>
      <c r="AD73" s="9612"/>
      <c r="AE73" s="9612"/>
      <c r="AF73" s="9612"/>
      <c r="AG73" s="9613"/>
      <c r="AH73" s="3518"/>
      <c r="AI73" s="1410"/>
      <c r="AJ73" s="1410"/>
      <c r="AK73" s="1410"/>
      <c r="AL73" s="1410"/>
    </row>
    <row r="74" spans="1:46" ht="15" customHeight="1">
      <c r="A74" s="78"/>
      <c r="B74" s="694" t="s">
        <v>324</v>
      </c>
      <c r="C74" s="9641" t="s">
        <v>1906</v>
      </c>
      <c r="D74" s="9641"/>
      <c r="E74" s="9642"/>
      <c r="F74" s="9642"/>
      <c r="G74" s="9642"/>
      <c r="H74" s="9642"/>
      <c r="I74" s="9642"/>
      <c r="J74" s="9642"/>
      <c r="K74" s="9642"/>
      <c r="L74" s="9642"/>
      <c r="M74" s="9642"/>
      <c r="N74" s="664"/>
      <c r="O74" s="1503"/>
      <c r="P74" s="570"/>
      <c r="Q74" s="681"/>
      <c r="R74" s="1503"/>
      <c r="S74" s="12"/>
      <c r="T74" s="12"/>
      <c r="U74" s="12"/>
      <c r="V74" s="12"/>
      <c r="W74" s="2086"/>
      <c r="X74" s="2638"/>
      <c r="Y74" s="1276"/>
      <c r="Z74" s="9617" t="s">
        <v>2043</v>
      </c>
      <c r="AA74" s="1276"/>
      <c r="AB74" s="9617" t="s">
        <v>2042</v>
      </c>
      <c r="AC74" s="1276"/>
      <c r="AD74" s="9617" t="s">
        <v>2764</v>
      </c>
      <c r="AE74" s="1276"/>
      <c r="AF74" s="2644"/>
      <c r="AG74" s="2645"/>
      <c r="AH74" s="1276"/>
      <c r="AI74" s="1410"/>
      <c r="AJ74" s="1410"/>
      <c r="AK74" s="1410"/>
      <c r="AL74" s="1410"/>
    </row>
    <row r="75" spans="1:46" ht="12" customHeight="1">
      <c r="A75" s="78"/>
      <c r="B75" s="2362"/>
      <c r="C75" s="9639" t="s">
        <v>1893</v>
      </c>
      <c r="D75" s="9639"/>
      <c r="E75" s="9640"/>
      <c r="F75" s="9640"/>
      <c r="G75" s="9640"/>
      <c r="H75" s="9640"/>
      <c r="I75" s="9640"/>
      <c r="J75" s="9640"/>
      <c r="K75" s="9640"/>
      <c r="L75" s="9640"/>
      <c r="M75" s="9640"/>
      <c r="N75" s="664"/>
      <c r="O75" s="1503"/>
      <c r="P75" s="2937">
        <f>SUM(P77,P79)</f>
        <v>0</v>
      </c>
      <c r="Q75" s="3521" t="b">
        <f>(P75=1)</f>
        <v>0</v>
      </c>
      <c r="R75" s="1503"/>
      <c r="S75" s="2665"/>
      <c r="T75" s="2665"/>
      <c r="U75" s="2665"/>
      <c r="V75" s="2665"/>
      <c r="W75" s="2086"/>
      <c r="X75" s="2639"/>
      <c r="Y75" s="1276"/>
      <c r="Z75" s="9618"/>
      <c r="AA75" s="1276"/>
      <c r="AB75" s="9618"/>
      <c r="AC75" s="1276"/>
      <c r="AD75" s="9618"/>
      <c r="AE75" s="1276"/>
      <c r="AF75" s="2644"/>
      <c r="AG75" s="2645"/>
      <c r="AH75" s="1276"/>
      <c r="AI75" s="1410"/>
      <c r="AJ75" s="1410"/>
      <c r="AK75" s="1410"/>
      <c r="AL75" s="1410"/>
    </row>
    <row r="76" spans="1:46" ht="3.75" customHeight="1">
      <c r="A76" s="78"/>
      <c r="B76" s="2363"/>
      <c r="C76" s="2364"/>
      <c r="D76" s="2364"/>
      <c r="E76" s="2365"/>
      <c r="F76" s="2365"/>
      <c r="G76" s="2365"/>
      <c r="H76" s="2365"/>
      <c r="I76" s="2365"/>
      <c r="J76" s="2365"/>
      <c r="K76" s="2365"/>
      <c r="L76" s="2365"/>
      <c r="M76" s="2365"/>
      <c r="N76" s="664"/>
      <c r="O76" s="1503"/>
      <c r="P76" s="2855"/>
      <c r="Q76" s="681"/>
      <c r="R76" s="1503"/>
      <c r="S76" s="2665"/>
      <c r="T76" s="2665"/>
      <c r="U76" s="2665"/>
      <c r="V76" s="2665"/>
      <c r="W76" s="2086"/>
      <c r="X76" s="2639"/>
      <c r="Y76" s="1276"/>
      <c r="Z76" s="9618"/>
      <c r="AA76" s="1276"/>
      <c r="AB76" s="9618"/>
      <c r="AC76" s="1276"/>
      <c r="AD76" s="9618"/>
      <c r="AE76" s="1276"/>
      <c r="AF76" s="2644"/>
      <c r="AG76" s="2645"/>
      <c r="AH76" s="1276"/>
      <c r="AI76" s="1410"/>
      <c r="AJ76" s="1410"/>
      <c r="AK76" s="1410"/>
      <c r="AL76" s="1410"/>
    </row>
    <row r="77" spans="1:46" ht="12" customHeight="1">
      <c r="A77" s="78"/>
      <c r="B77" s="154">
        <v>1</v>
      </c>
      <c r="C77" s="273" t="str">
        <f>"Check the box to indicate your coverage under a high-deductible health plan (HDHP) during "&amp;TaxYear</f>
        <v>Check the box to indicate your coverage under a high-deductible health plan (HDHP) during 2021</v>
      </c>
      <c r="D77" s="273"/>
      <c r="E77" s="230"/>
      <c r="F77" s="230"/>
      <c r="G77" s="231"/>
      <c r="H77" s="231"/>
      <c r="I77" s="231"/>
      <c r="J77" s="231"/>
      <c r="K77" s="155"/>
      <c r="L77" s="2368"/>
      <c r="M77" s="2366" t="s">
        <v>1894</v>
      </c>
      <c r="N77" s="665"/>
      <c r="O77" s="2086"/>
      <c r="P77" s="2938">
        <f>IF(L77&lt;&gt;"",1,0)</f>
        <v>0</v>
      </c>
      <c r="Q77" s="9608" t="str">
        <f>IF(P75=0,"Check one box.",IF(P75=2,"Check only one box.",""))</f>
        <v>Check one box.</v>
      </c>
      <c r="R77" s="2086"/>
      <c r="S77" s="2665"/>
      <c r="T77" s="2665"/>
      <c r="U77" s="2665"/>
      <c r="V77" s="2665"/>
      <c r="W77" s="2086"/>
      <c r="X77" s="2639"/>
      <c r="Y77" s="1276"/>
      <c r="Z77" s="9618"/>
      <c r="AA77" s="1276"/>
      <c r="AB77" s="9618"/>
      <c r="AC77" s="1276"/>
      <c r="AD77" s="9618"/>
      <c r="AE77" s="1276"/>
      <c r="AF77" s="2644"/>
      <c r="AG77" s="2645"/>
      <c r="AH77" s="1276"/>
      <c r="AI77" s="1410"/>
      <c r="AJ77" s="1410"/>
      <c r="AK77" s="1410"/>
      <c r="AL77" s="1410"/>
    </row>
    <row r="78" spans="1:46" ht="6" customHeight="1">
      <c r="A78" s="78"/>
      <c r="B78" s="154"/>
      <c r="C78" s="9643" t="s">
        <v>2149</v>
      </c>
      <c r="D78" s="6636"/>
      <c r="E78" s="6636"/>
      <c r="F78" s="2367"/>
      <c r="G78" s="2367"/>
      <c r="H78" s="2367"/>
      <c r="I78" s="2367"/>
      <c r="J78" s="2367"/>
      <c r="K78" s="2367"/>
      <c r="L78" s="154"/>
      <c r="M78" s="446"/>
      <c r="N78" s="665"/>
      <c r="O78" s="2086"/>
      <c r="P78" s="2938"/>
      <c r="Q78" s="9609"/>
      <c r="R78" s="2086"/>
      <c r="S78" s="263"/>
      <c r="T78" s="263"/>
      <c r="U78" s="263"/>
      <c r="V78" s="263"/>
      <c r="W78" s="2086"/>
      <c r="X78" s="2640"/>
      <c r="Y78" s="1276"/>
      <c r="Z78" s="9618"/>
      <c r="AA78" s="1276"/>
      <c r="AB78" s="9618"/>
      <c r="AC78" s="1276"/>
      <c r="AD78" s="9618"/>
      <c r="AE78" s="1276"/>
      <c r="AF78" s="2644"/>
      <c r="AG78" s="2645"/>
      <c r="AH78" s="1276"/>
      <c r="AI78" s="1410"/>
      <c r="AJ78" s="1410"/>
      <c r="AK78" s="1410"/>
      <c r="AL78" s="1410"/>
    </row>
    <row r="79" spans="1:46" s="983" customFormat="1" ht="12" customHeight="1">
      <c r="A79" s="78"/>
      <c r="B79" s="154"/>
      <c r="C79" s="6636"/>
      <c r="D79" s="6636"/>
      <c r="E79" s="6636"/>
      <c r="F79" s="2367"/>
      <c r="G79" s="2367"/>
      <c r="H79" s="2367"/>
      <c r="I79" s="2367"/>
      <c r="J79" s="2367"/>
      <c r="K79" s="2382" t="s">
        <v>4436</v>
      </c>
      <c r="L79" s="2368"/>
      <c r="M79" s="2366" t="s">
        <v>1895</v>
      </c>
      <c r="N79" s="665"/>
      <c r="O79" s="2086"/>
      <c r="P79" s="2938">
        <f>IF(L79&lt;&gt;"",1,0)</f>
        <v>0</v>
      </c>
      <c r="Q79" s="9609"/>
      <c r="R79" s="2086"/>
      <c r="S79" s="263"/>
      <c r="T79" s="263"/>
      <c r="U79" s="263"/>
      <c r="V79" s="263"/>
      <c r="W79" s="2086"/>
      <c r="X79" s="2640"/>
      <c r="Y79" s="1276"/>
      <c r="Z79" s="9618"/>
      <c r="AA79" s="1276"/>
      <c r="AB79" s="9618"/>
      <c r="AC79" s="1276"/>
      <c r="AD79" s="9618"/>
      <c r="AE79" s="1276"/>
      <c r="AF79" s="2644"/>
      <c r="AG79" s="2645"/>
      <c r="AH79" s="1276"/>
      <c r="AI79" s="1407"/>
      <c r="AJ79" s="1407"/>
      <c r="AK79" s="1407"/>
      <c r="AL79" s="1407"/>
      <c r="AM79" s="2595"/>
      <c r="AN79" s="2595"/>
      <c r="AO79" s="2595"/>
      <c r="AP79" s="2595"/>
      <c r="AQ79" s="2595"/>
      <c r="AR79" s="2595"/>
      <c r="AS79" s="2595"/>
      <c r="AT79" s="2595"/>
    </row>
    <row r="80" spans="1:46" s="983" customFormat="1" ht="5.25" customHeight="1">
      <c r="A80" s="78"/>
      <c r="B80" s="154"/>
      <c r="C80" s="613"/>
      <c r="D80" s="613"/>
      <c r="E80" s="613"/>
      <c r="F80" s="2367"/>
      <c r="G80" s="2367"/>
      <c r="H80" s="2367"/>
      <c r="I80" s="2367"/>
      <c r="J80" s="2367"/>
      <c r="K80" s="1349"/>
      <c r="L80" s="2369"/>
      <c r="M80" s="2366"/>
      <c r="N80" s="665"/>
      <c r="O80" s="2086"/>
      <c r="P80" s="2935"/>
      <c r="Q80" s="582"/>
      <c r="R80" s="2086"/>
      <c r="S80" s="263"/>
      <c r="T80" s="263"/>
      <c r="U80" s="263"/>
      <c r="V80" s="263"/>
      <c r="W80" s="2086"/>
      <c r="X80" s="2640"/>
      <c r="Y80" s="1276"/>
      <c r="Z80" s="9618"/>
      <c r="AA80" s="1276"/>
      <c r="AB80" s="9618"/>
      <c r="AC80" s="1276"/>
      <c r="AD80" s="9618"/>
      <c r="AE80" s="1276"/>
      <c r="AF80" s="2644"/>
      <c r="AG80" s="2645"/>
      <c r="AH80" s="1276"/>
      <c r="AI80" s="1407"/>
      <c r="AJ80" s="1407"/>
      <c r="AK80" s="1407"/>
      <c r="AL80" s="1407"/>
      <c r="AM80" s="2595"/>
      <c r="AN80" s="2595"/>
      <c r="AO80" s="2595"/>
      <c r="AP80" s="2595"/>
      <c r="AQ80" s="2595"/>
      <c r="AR80" s="2595"/>
      <c r="AS80" s="2595"/>
      <c r="AT80" s="2595"/>
    </row>
    <row r="81" spans="1:46" s="983" customFormat="1" ht="12" customHeight="1">
      <c r="A81" s="78"/>
      <c r="B81" s="155">
        <v>2</v>
      </c>
      <c r="C81" s="273" t="str">
        <f>"HSA contributions you made for "&amp;TaxYear&amp;" (or those made on your behalf), including those made"</f>
        <v>HSA contributions you made for 2021 (or those made on your behalf), including those made</v>
      </c>
      <c r="D81" s="273"/>
      <c r="E81" s="230"/>
      <c r="F81" s="230"/>
      <c r="G81" s="231"/>
      <c r="H81" s="231"/>
      <c r="I81" s="231"/>
      <c r="J81" s="231"/>
      <c r="K81" s="155"/>
      <c r="L81" s="834"/>
      <c r="M81" s="1398"/>
      <c r="N81" s="665"/>
      <c r="O81" s="2086"/>
      <c r="P81" s="2935"/>
      <c r="Q81" s="582"/>
      <c r="R81" s="2086"/>
      <c r="S81" s="263" t="s">
        <v>2045</v>
      </c>
      <c r="T81" s="263"/>
      <c r="U81" s="263" t="s">
        <v>2044</v>
      </c>
      <c r="V81" s="263" t="s">
        <v>1522</v>
      </c>
      <c r="W81" s="2086"/>
      <c r="X81" s="2640"/>
      <c r="Y81" s="1276"/>
      <c r="Z81" s="9618"/>
      <c r="AA81" s="1276"/>
      <c r="AB81" s="9618"/>
      <c r="AC81" s="1276"/>
      <c r="AD81" s="9618"/>
      <c r="AE81" s="1276"/>
      <c r="AF81" s="2644"/>
      <c r="AG81" s="2645"/>
      <c r="AH81" s="1276"/>
      <c r="AI81" s="1407"/>
      <c r="AJ81" s="1407"/>
      <c r="AK81" s="1407"/>
      <c r="AL81" s="1407"/>
      <c r="AM81" s="2595"/>
      <c r="AN81" s="2595"/>
      <c r="AO81" s="2595"/>
      <c r="AP81" s="2595"/>
      <c r="AQ81" s="2595"/>
      <c r="AR81" s="2595"/>
      <c r="AS81" s="2595"/>
      <c r="AT81" s="2595"/>
    </row>
    <row r="82" spans="1:46" s="983" customFormat="1">
      <c r="A82" s="78"/>
      <c r="B82" s="155"/>
      <c r="C82" s="273" t="str">
        <f>"from  January  1, "&amp;TaxYear+1&amp;",  through  April 15, "&amp;TaxYear+1&amp;"  that  were  for  "&amp;TaxYear&amp;"."</f>
        <v>from  January  1, 2022,  through  April 15, 2022  that  were  for  2021.</v>
      </c>
      <c r="D82" s="178"/>
      <c r="E82" s="230"/>
      <c r="F82" s="230"/>
      <c r="G82" s="231"/>
      <c r="H82" s="273"/>
      <c r="I82" s="273" t="s">
        <v>1926</v>
      </c>
      <c r="J82" s="231"/>
      <c r="K82" s="231"/>
      <c r="L82" s="590"/>
      <c r="M82" s="515"/>
      <c r="N82" s="666"/>
      <c r="O82" s="1185"/>
      <c r="P82" s="2936"/>
      <c r="Q82" s="582"/>
      <c r="R82" s="1185"/>
      <c r="S82" s="3497" t="s">
        <v>2046</v>
      </c>
      <c r="T82" s="4379" t="s">
        <v>709</v>
      </c>
      <c r="U82" s="3498">
        <f t="shared" ref="U82:V84" si="7">U22</f>
        <v>3600</v>
      </c>
      <c r="V82" s="3498">
        <f t="shared" si="7"/>
        <v>7200</v>
      </c>
      <c r="W82" s="2086"/>
      <c r="X82" s="2640"/>
      <c r="Y82" s="1276"/>
      <c r="Z82" s="9618"/>
      <c r="AA82" s="1276"/>
      <c r="AB82" s="9618"/>
      <c r="AC82" s="1276"/>
      <c r="AD82" s="9618"/>
      <c r="AE82" s="1276"/>
      <c r="AF82" s="2644"/>
      <c r="AG82" s="2645"/>
      <c r="AH82" s="1276"/>
      <c r="AI82" s="1407"/>
      <c r="AJ82" s="1407"/>
      <c r="AK82" s="1407"/>
      <c r="AL82" s="1407"/>
      <c r="AM82" s="2595"/>
      <c r="AN82" s="2595"/>
      <c r="AO82" s="2595"/>
      <c r="AP82" s="2595"/>
      <c r="AQ82" s="2595"/>
      <c r="AR82" s="2595"/>
      <c r="AS82" s="2595"/>
      <c r="AT82" s="2595"/>
    </row>
    <row r="83" spans="1:46" s="983" customFormat="1" ht="12" customHeight="1">
      <c r="A83" s="78"/>
      <c r="B83" s="155"/>
      <c r="C83" s="273" t="s">
        <v>1896</v>
      </c>
      <c r="D83" s="178"/>
      <c r="E83" s="230"/>
      <c r="F83" s="230"/>
      <c r="G83" s="231"/>
      <c r="H83" s="155"/>
      <c r="I83" s="155"/>
      <c r="J83" s="155"/>
      <c r="K83" s="154" t="s">
        <v>560</v>
      </c>
      <c r="L83" s="333">
        <f>B81</f>
        <v>2</v>
      </c>
      <c r="M83" s="1374"/>
      <c r="N83" s="666"/>
      <c r="O83" s="1185"/>
      <c r="P83" s="2936"/>
      <c r="Q83" s="582"/>
      <c r="R83" s="1185"/>
      <c r="S83" s="3497" t="s">
        <v>2047</v>
      </c>
      <c r="T83" s="4379" t="s">
        <v>2275</v>
      </c>
      <c r="U83" s="3498">
        <f t="shared" si="7"/>
        <v>4600</v>
      </c>
      <c r="V83" s="3498">
        <f t="shared" si="7"/>
        <v>8200</v>
      </c>
      <c r="W83" s="2086"/>
      <c r="X83" s="2641"/>
      <c r="Y83" s="1276"/>
      <c r="Z83" s="9618"/>
      <c r="AA83" s="1276"/>
      <c r="AB83" s="9618"/>
      <c r="AC83" s="1276"/>
      <c r="AD83" s="9618"/>
      <c r="AE83" s="1276"/>
      <c r="AF83" s="2644"/>
      <c r="AG83" s="2645"/>
      <c r="AH83" s="1276"/>
      <c r="AI83" s="1410"/>
      <c r="AJ83" s="2655" t="s">
        <v>1720</v>
      </c>
      <c r="AK83" s="1407"/>
      <c r="AL83" s="1407"/>
      <c r="AM83" s="2595"/>
      <c r="AN83" s="2595"/>
      <c r="AO83" s="2595"/>
      <c r="AP83" s="2595"/>
      <c r="AQ83" s="2595"/>
      <c r="AR83" s="2595"/>
      <c r="AS83" s="2595"/>
      <c r="AT83" s="2595"/>
    </row>
    <row r="84" spans="1:46" ht="12" customHeight="1">
      <c r="A84" s="78"/>
      <c r="B84" s="155">
        <v>3</v>
      </c>
      <c r="C84" s="273" t="str">
        <f>"If  you  were under  age "&amp;P84&amp;" at the  end of  "&amp;TaxYear&amp;", and  on  the first day of"</f>
        <v>If  you  were under  age 55 at the  end of  2021, and  on  the first day of</v>
      </c>
      <c r="D84" s="273"/>
      <c r="E84" s="230"/>
      <c r="F84" s="230"/>
      <c r="G84" s="231"/>
      <c r="H84" s="2379"/>
      <c r="I84" s="2379" t="s">
        <v>1927</v>
      </c>
      <c r="J84" s="569" t="str">
        <f>"month during "&amp;TaxYear&amp;", you"</f>
        <v>month during 2021, you</v>
      </c>
      <c r="K84" s="273"/>
      <c r="L84" s="2371"/>
      <c r="M84" s="2376"/>
      <c r="N84" s="665"/>
      <c r="O84" s="2086"/>
      <c r="P84" s="2721">
        <f>P22</f>
        <v>55</v>
      </c>
      <c r="Q84" s="582"/>
      <c r="R84" s="2086"/>
      <c r="S84" s="3497" t="s">
        <v>2047</v>
      </c>
      <c r="T84" s="3497" t="s">
        <v>2274</v>
      </c>
      <c r="U84" s="3498">
        <f t="shared" si="7"/>
        <v>4600</v>
      </c>
      <c r="V84" s="3498">
        <f t="shared" si="7"/>
        <v>7200</v>
      </c>
      <c r="W84" s="2086"/>
      <c r="X84" s="2642">
        <f>TaxYear</f>
        <v>2021</v>
      </c>
      <c r="Y84" s="1276"/>
      <c r="Z84" s="9618"/>
      <c r="AA84" s="1276"/>
      <c r="AB84" s="9618"/>
      <c r="AC84" s="1276"/>
      <c r="AD84" s="9618"/>
      <c r="AE84" s="1276"/>
      <c r="AF84" s="2644"/>
      <c r="AG84" s="2645"/>
      <c r="AH84" s="1276"/>
      <c r="AI84" s="2655" t="s">
        <v>2044</v>
      </c>
      <c r="AJ84" s="2655" t="s">
        <v>1522</v>
      </c>
      <c r="AK84" s="1410"/>
      <c r="AL84" s="1410"/>
    </row>
    <row r="85" spans="1:46" ht="12" customHeight="1">
      <c r="A85" s="78"/>
      <c r="B85" s="155"/>
      <c r="C85" s="273" t="s">
        <v>4451</v>
      </c>
      <c r="D85" s="178"/>
      <c r="E85" s="230"/>
      <c r="F85" s="230"/>
      <c r="G85" s="231"/>
      <c r="H85" s="231"/>
      <c r="I85" s="231"/>
      <c r="J85" s="273"/>
      <c r="K85" s="4895" t="str">
        <f>"enter "&amp;TEXT($U$22,"$0,000")&amp;" ("&amp;TEXT($V$22,"$0,000")&amp;" for"</f>
        <v>enter $3,600 ($7,200 for</v>
      </c>
      <c r="L85" s="590"/>
      <c r="M85" s="2377"/>
      <c r="N85" s="666"/>
      <c r="O85" s="1185"/>
      <c r="P85" s="2936"/>
      <c r="Q85" s="582"/>
      <c r="R85" s="1185"/>
      <c r="S85" s="3497" t="str">
        <f>SpouseAge</f>
        <v>?</v>
      </c>
      <c r="T85" s="3498" t="str">
        <f>IF($S$85&lt;$P$84,T82,IF($AI$99,T83,T84))</f>
        <v>Single*</v>
      </c>
      <c r="U85" s="3498">
        <f>IF($S$85&lt;$P$84,U82,IF($AI$99,U83,U84))</f>
        <v>4600</v>
      </c>
      <c r="V85" s="3498">
        <f>IF($S$85&lt;$P$84,V82,IF($AI$99,V83,V84))</f>
        <v>8200</v>
      </c>
      <c r="W85" s="2086"/>
      <c r="X85" s="2643" t="s">
        <v>1101</v>
      </c>
      <c r="Y85" s="1276"/>
      <c r="Z85" s="2647" t="s">
        <v>2041</v>
      </c>
      <c r="AA85" s="1276"/>
      <c r="AB85" s="2647" t="s">
        <v>2051</v>
      </c>
      <c r="AC85" s="1276"/>
      <c r="AD85" s="2647" t="str">
        <f>IF(L79&lt;&gt;"","F","S")</f>
        <v>S</v>
      </c>
      <c r="AE85" s="1276"/>
      <c r="AF85" s="2644">
        <f>IF(OR(Z85="Y",Z85="y"),0,IF(OR(AB85="N",AB85="n"),0,IF(AND(OR(AD85="F",AD85="f")),$V$85,$U$85)))</f>
        <v>4600</v>
      </c>
      <c r="AG85" s="2645"/>
      <c r="AH85" s="1276"/>
      <c r="AI85" s="1407">
        <f t="shared" ref="AI85:AI96" si="8">IF(AD85="S",1,0)</f>
        <v>1</v>
      </c>
      <c r="AJ85" s="1407">
        <f t="shared" ref="AJ85:AJ96" si="9">IF(AND(OR(AB85="y",AB85="Y"),OR(AD85="f",AD85="F")),1,0)</f>
        <v>0</v>
      </c>
      <c r="AK85" s="1410"/>
      <c r="AL85" s="1410"/>
    </row>
    <row r="86" spans="1:46" s="983" customFormat="1" ht="12" customHeight="1">
      <c r="A86" s="78"/>
      <c r="B86" s="155"/>
      <c r="C86" s="273" t="s">
        <v>4456</v>
      </c>
      <c r="D86" s="178"/>
      <c r="E86" s="230"/>
      <c r="F86" s="273"/>
      <c r="G86" s="231"/>
      <c r="H86" s="155"/>
      <c r="I86" s="155"/>
      <c r="J86" s="155"/>
      <c r="K86" s="154" t="s">
        <v>570</v>
      </c>
      <c r="L86" s="333">
        <f>B84</f>
        <v>3</v>
      </c>
      <c r="M86" s="2511" t="str">
        <f>IF(Q86&lt;&gt;"",ROUND(Q86,0),IF(OR(NOT(Q75),M83=""),"",AF98))</f>
        <v/>
      </c>
      <c r="N86" s="666"/>
      <c r="O86" s="1185"/>
      <c r="P86" s="2936"/>
      <c r="Q86" s="444"/>
      <c r="R86" s="1185"/>
      <c r="S86" s="682" t="s">
        <v>2276</v>
      </c>
      <c r="T86" s="263"/>
      <c r="U86" s="263"/>
      <c r="V86" s="263"/>
      <c r="W86" s="2086"/>
      <c r="X86" s="2643" t="s">
        <v>1102</v>
      </c>
      <c r="Y86" s="1276"/>
      <c r="Z86" s="2647" t="str">
        <f>Z85</f>
        <v>N</v>
      </c>
      <c r="AA86" s="1276"/>
      <c r="AB86" s="2647" t="str">
        <f>AB85</f>
        <v>Y</v>
      </c>
      <c r="AC86" s="1276"/>
      <c r="AD86" s="2647" t="str">
        <f>AD85</f>
        <v>S</v>
      </c>
      <c r="AE86" s="1276"/>
      <c r="AF86" s="2644">
        <f t="shared" ref="AF86:AF96" si="10">IF(OR(Z86="Y",Z86="y"),0,IF(OR(AB86="N",AB86="n"),0,IF(AND(OR(AD86="F",AD86="f")),$V$85,$U$85)))</f>
        <v>4600</v>
      </c>
      <c r="AG86" s="2645"/>
      <c r="AH86" s="1276"/>
      <c r="AI86" s="1407">
        <f t="shared" si="8"/>
        <v>1</v>
      </c>
      <c r="AJ86" s="1407">
        <f t="shared" si="9"/>
        <v>0</v>
      </c>
      <c r="AK86" s="1407"/>
      <c r="AL86" s="1407"/>
      <c r="AM86" s="2595"/>
      <c r="AN86" s="2595"/>
      <c r="AO86" s="2595"/>
      <c r="AP86" s="2595"/>
      <c r="AQ86" s="2595"/>
      <c r="AR86" s="2595"/>
      <c r="AS86" s="2595"/>
      <c r="AT86" s="2595"/>
    </row>
    <row r="87" spans="1:46" ht="12" customHeight="1">
      <c r="A87" s="78"/>
      <c r="B87" s="155">
        <v>4</v>
      </c>
      <c r="C87" s="273" t="str">
        <f>"Enter the amount you and your employer contributed to your Archer MSAs for "&amp;TaxYear&amp;" from Form 8853,"</f>
        <v>Enter the amount you and your employer contributed to your Archer MSAs for 2021 from Form 8853,</v>
      </c>
      <c r="D87" s="273"/>
      <c r="E87" s="230"/>
      <c r="F87" s="230"/>
      <c r="G87" s="231"/>
      <c r="H87" s="231"/>
      <c r="I87" s="231"/>
      <c r="J87" s="231"/>
      <c r="K87" s="155"/>
      <c r="L87" s="2371"/>
      <c r="M87" s="1398"/>
      <c r="N87" s="665"/>
      <c r="O87" s="2086"/>
      <c r="P87" s="2935"/>
      <c r="Q87" s="582"/>
      <c r="R87" s="2086"/>
      <c r="S87" s="263"/>
      <c r="T87" s="263"/>
      <c r="U87" s="263"/>
      <c r="V87" s="263"/>
      <c r="W87" s="2086"/>
      <c r="X87" s="2643" t="s">
        <v>1103</v>
      </c>
      <c r="Y87" s="1276"/>
      <c r="Z87" s="2647" t="str">
        <f t="shared" ref="Z87:Z96" si="11">Z86</f>
        <v>N</v>
      </c>
      <c r="AA87" s="1276"/>
      <c r="AB87" s="2647" t="str">
        <f t="shared" ref="AB87:AB96" si="12">AB86</f>
        <v>Y</v>
      </c>
      <c r="AC87" s="1276"/>
      <c r="AD87" s="2647" t="str">
        <f t="shared" ref="AD87:AD96" si="13">AD86</f>
        <v>S</v>
      </c>
      <c r="AE87" s="1276"/>
      <c r="AF87" s="2644">
        <f t="shared" si="10"/>
        <v>4600</v>
      </c>
      <c r="AG87" s="2645"/>
      <c r="AH87" s="1276"/>
      <c r="AI87" s="1407">
        <f t="shared" si="8"/>
        <v>1</v>
      </c>
      <c r="AJ87" s="1407">
        <f t="shared" si="9"/>
        <v>0</v>
      </c>
      <c r="AK87" s="1410"/>
      <c r="AL87" s="1410"/>
    </row>
    <row r="88" spans="1:46" ht="12" customHeight="1">
      <c r="A88" s="78"/>
      <c r="B88" s="155"/>
      <c r="C88" s="273" t="str">
        <f>"lines 1 and 2. If you or your spouse had family coverage under an HDHP at any time during "&amp;TaxYear&amp;", also"</f>
        <v>lines 1 and 2. If you or your spouse had family coverage under an HDHP at any time during 2021, also</v>
      </c>
      <c r="D88" s="178"/>
      <c r="E88" s="230"/>
      <c r="F88" s="230"/>
      <c r="G88" s="231"/>
      <c r="H88" s="231"/>
      <c r="I88" s="231"/>
      <c r="J88" s="231"/>
      <c r="K88" s="231"/>
      <c r="L88" s="590"/>
      <c r="M88" s="515"/>
      <c r="N88" s="666"/>
      <c r="O88" s="1185"/>
      <c r="P88" s="2936"/>
      <c r="Q88" s="582"/>
      <c r="R88" s="1503"/>
      <c r="S88" s="263"/>
      <c r="T88" s="263"/>
      <c r="U88" s="263"/>
      <c r="V88" s="263"/>
      <c r="W88" s="2086"/>
      <c r="X88" s="2643" t="s">
        <v>1104</v>
      </c>
      <c r="Y88" s="1276"/>
      <c r="Z88" s="2647" t="str">
        <f t="shared" si="11"/>
        <v>N</v>
      </c>
      <c r="AA88" s="1276"/>
      <c r="AB88" s="2647" t="str">
        <f t="shared" si="12"/>
        <v>Y</v>
      </c>
      <c r="AC88" s="1276"/>
      <c r="AD88" s="2647" t="str">
        <f t="shared" si="13"/>
        <v>S</v>
      </c>
      <c r="AE88" s="1276"/>
      <c r="AF88" s="2644">
        <f t="shared" si="10"/>
        <v>4600</v>
      </c>
      <c r="AG88" s="2645"/>
      <c r="AH88" s="1276"/>
      <c r="AI88" s="1407">
        <f t="shared" si="8"/>
        <v>1</v>
      </c>
      <c r="AJ88" s="1407">
        <f t="shared" si="9"/>
        <v>0</v>
      </c>
      <c r="AK88" s="1410"/>
      <c r="AL88" s="1410"/>
    </row>
    <row r="89" spans="1:46" s="983" customFormat="1" ht="12" customHeight="1" thickBot="1">
      <c r="A89" s="78"/>
      <c r="B89" s="155"/>
      <c r="C89" s="273" t="s">
        <v>4251</v>
      </c>
      <c r="D89" s="178"/>
      <c r="E89" s="230"/>
      <c r="F89" s="230"/>
      <c r="G89" s="231"/>
      <c r="H89" s="155"/>
      <c r="I89" s="155"/>
      <c r="J89" s="155"/>
      <c r="K89" s="154" t="s">
        <v>374</v>
      </c>
      <c r="L89" s="333">
        <f>B87</f>
        <v>4</v>
      </c>
      <c r="M89" s="1374"/>
      <c r="N89" s="666"/>
      <c r="O89" s="1185"/>
      <c r="P89" s="2936"/>
      <c r="Q89" s="582"/>
      <c r="R89" s="2086"/>
      <c r="S89" s="263"/>
      <c r="T89" s="263"/>
      <c r="U89" s="9624" t="s">
        <v>2768</v>
      </c>
      <c r="V89" s="9624"/>
      <c r="W89" s="2086"/>
      <c r="X89" s="2643" t="s">
        <v>1106</v>
      </c>
      <c r="Y89" s="1276"/>
      <c r="Z89" s="2647" t="str">
        <f t="shared" si="11"/>
        <v>N</v>
      </c>
      <c r="AA89" s="1276"/>
      <c r="AB89" s="2647" t="str">
        <f t="shared" si="12"/>
        <v>Y</v>
      </c>
      <c r="AC89" s="1276"/>
      <c r="AD89" s="2647" t="str">
        <f t="shared" si="13"/>
        <v>S</v>
      </c>
      <c r="AE89" s="1276"/>
      <c r="AF89" s="2644">
        <f t="shared" si="10"/>
        <v>4600</v>
      </c>
      <c r="AG89" s="2645"/>
      <c r="AH89" s="1276"/>
      <c r="AI89" s="1407">
        <f t="shared" si="8"/>
        <v>1</v>
      </c>
      <c r="AJ89" s="1407">
        <f t="shared" si="9"/>
        <v>0</v>
      </c>
      <c r="AK89" s="1407"/>
      <c r="AL89" s="1407"/>
      <c r="AM89" s="2595"/>
      <c r="AN89" s="2595"/>
      <c r="AO89" s="2595"/>
      <c r="AP89" s="2595"/>
      <c r="AQ89" s="2595"/>
      <c r="AR89" s="2595"/>
      <c r="AS89" s="2595"/>
      <c r="AT89" s="2595"/>
    </row>
    <row r="90" spans="1:46" ht="12" customHeight="1" thickBot="1">
      <c r="A90" s="78"/>
      <c r="B90" s="154">
        <v>5</v>
      </c>
      <c r="C90" s="273" t="s">
        <v>495</v>
      </c>
      <c r="D90" s="273"/>
      <c r="E90" s="230"/>
      <c r="F90" s="230"/>
      <c r="G90" s="231"/>
      <c r="H90" s="231"/>
      <c r="I90" s="231"/>
      <c r="J90" s="231"/>
      <c r="K90" s="1243" t="s">
        <v>919</v>
      </c>
      <c r="L90" s="333">
        <f>B90</f>
        <v>5</v>
      </c>
      <c r="M90" s="1373">
        <f>MAX(0,SUM(M86,-M89))</f>
        <v>0</v>
      </c>
      <c r="N90" s="666"/>
      <c r="O90" s="2086"/>
      <c r="P90" s="2936"/>
      <c r="Q90" s="582"/>
      <c r="R90" s="2086"/>
      <c r="S90" s="3514" t="s">
        <v>1735</v>
      </c>
      <c r="T90" s="263"/>
      <c r="U90" s="3517">
        <f>$Z$40/100</f>
        <v>0.5</v>
      </c>
      <c r="V90" s="3513">
        <f>$AB$40/100</f>
        <v>0.5</v>
      </c>
      <c r="W90" s="2086"/>
      <c r="X90" s="2643" t="s">
        <v>1108</v>
      </c>
      <c r="Y90" s="1276"/>
      <c r="Z90" s="2647" t="str">
        <f t="shared" si="11"/>
        <v>N</v>
      </c>
      <c r="AA90" s="1276"/>
      <c r="AB90" s="2647" t="str">
        <f t="shared" si="12"/>
        <v>Y</v>
      </c>
      <c r="AC90" s="1276"/>
      <c r="AD90" s="2647" t="str">
        <f t="shared" si="13"/>
        <v>S</v>
      </c>
      <c r="AE90" s="1276"/>
      <c r="AF90" s="2644">
        <f t="shared" si="10"/>
        <v>4600</v>
      </c>
      <c r="AG90" s="2645"/>
      <c r="AH90" s="1276"/>
      <c r="AI90" s="1407">
        <f t="shared" si="8"/>
        <v>1</v>
      </c>
      <c r="AJ90" s="1407">
        <f t="shared" si="9"/>
        <v>0</v>
      </c>
      <c r="AK90" s="1410"/>
      <c r="AL90" s="1410"/>
    </row>
    <row r="91" spans="1:46" ht="12" customHeight="1">
      <c r="A91" s="78"/>
      <c r="B91" s="155">
        <v>6</v>
      </c>
      <c r="C91" s="273" t="s">
        <v>1897</v>
      </c>
      <c r="D91" s="273"/>
      <c r="E91" s="230"/>
      <c r="F91" s="230"/>
      <c r="G91" s="231"/>
      <c r="H91" s="231"/>
      <c r="I91" s="231"/>
      <c r="J91" s="231"/>
      <c r="K91" s="155"/>
      <c r="L91" s="2371"/>
      <c r="M91" s="2932"/>
      <c r="N91" s="665"/>
      <c r="O91" s="2086"/>
      <c r="P91" s="2935"/>
      <c r="Q91" s="582"/>
      <c r="R91" s="1185"/>
      <c r="S91" s="3511" t="s">
        <v>2771</v>
      </c>
      <c r="T91" s="3511" t="s">
        <v>2767</v>
      </c>
      <c r="U91" s="3515" t="s">
        <v>1720</v>
      </c>
      <c r="V91" s="3497" t="s">
        <v>1735</v>
      </c>
      <c r="W91" s="2086"/>
      <c r="X91" s="2643" t="s">
        <v>1110</v>
      </c>
      <c r="Y91" s="1276"/>
      <c r="Z91" s="2647" t="str">
        <f t="shared" si="11"/>
        <v>N</v>
      </c>
      <c r="AA91" s="1276"/>
      <c r="AB91" s="2647" t="str">
        <f t="shared" si="12"/>
        <v>Y</v>
      </c>
      <c r="AC91" s="1276"/>
      <c r="AD91" s="2647" t="str">
        <f t="shared" si="13"/>
        <v>S</v>
      </c>
      <c r="AE91" s="1276"/>
      <c r="AF91" s="2644">
        <f t="shared" si="10"/>
        <v>4600</v>
      </c>
      <c r="AG91" s="2645"/>
      <c r="AH91" s="1276"/>
      <c r="AI91" s="1407">
        <f t="shared" si="8"/>
        <v>1</v>
      </c>
      <c r="AJ91" s="1407">
        <f t="shared" si="9"/>
        <v>0</v>
      </c>
      <c r="AK91" s="1410"/>
      <c r="AL91" s="1410"/>
    </row>
    <row r="92" spans="1:46" ht="12.75" customHeight="1">
      <c r="A92" s="78"/>
      <c r="B92" s="155"/>
      <c r="C92" s="273" t="str">
        <f>"family coverage under an HDHP at any time during "&amp;TaxYear&amp;", see the instructions for the amount to"</f>
        <v>family coverage under an HDHP at any time during 2021, see the instructions for the amount to</v>
      </c>
      <c r="D92" s="178"/>
      <c r="E92" s="230"/>
      <c r="F92" s="230"/>
      <c r="G92" s="231"/>
      <c r="H92" s="231"/>
      <c r="I92" s="231"/>
      <c r="J92" s="231"/>
      <c r="K92" s="231"/>
      <c r="L92" s="590"/>
      <c r="M92" s="2933"/>
      <c r="N92" s="666"/>
      <c r="O92" s="1185"/>
      <c r="P92" s="2936"/>
      <c r="Q92" s="582"/>
      <c r="R92" s="1185"/>
      <c r="S92" s="263" t="s">
        <v>2766</v>
      </c>
      <c r="T92" s="263" t="b">
        <f>AND($Q$7,$V$28,$AK$56=12)</f>
        <v>0</v>
      </c>
      <c r="U92" s="3516" t="str">
        <f>U31</f>
        <v>---</v>
      </c>
      <c r="V92" s="3510" t="str">
        <f>IF(T92,ROUND(M28*$AB$40/100,0),"---")</f>
        <v>---</v>
      </c>
      <c r="W92" s="2086"/>
      <c r="X92" s="2643" t="s">
        <v>1112</v>
      </c>
      <c r="Y92" s="1276"/>
      <c r="Z92" s="2647" t="str">
        <f t="shared" si="11"/>
        <v>N</v>
      </c>
      <c r="AA92" s="1276"/>
      <c r="AB92" s="2647" t="str">
        <f t="shared" si="12"/>
        <v>Y</v>
      </c>
      <c r="AC92" s="1276"/>
      <c r="AD92" s="2647" t="str">
        <f t="shared" si="13"/>
        <v>S</v>
      </c>
      <c r="AE92" s="1276"/>
      <c r="AF92" s="2644">
        <f t="shared" si="10"/>
        <v>4600</v>
      </c>
      <c r="AG92" s="2645"/>
      <c r="AH92" s="1276"/>
      <c r="AI92" s="1407">
        <f t="shared" si="8"/>
        <v>1</v>
      </c>
      <c r="AJ92" s="1407">
        <f t="shared" si="9"/>
        <v>0</v>
      </c>
      <c r="AK92" s="1410"/>
      <c r="AL92" s="1410"/>
    </row>
    <row r="93" spans="1:46" s="983" customFormat="1" ht="12" customHeight="1">
      <c r="A93" s="78"/>
      <c r="B93" s="155"/>
      <c r="C93" s="273" t="s">
        <v>1898</v>
      </c>
      <c r="D93" s="178"/>
      <c r="E93" s="230"/>
      <c r="F93" s="230"/>
      <c r="G93" s="231"/>
      <c r="H93" s="155"/>
      <c r="I93" s="155"/>
      <c r="J93" s="155"/>
      <c r="K93" s="1243" t="s">
        <v>575</v>
      </c>
      <c r="L93" s="333">
        <f>B91</f>
        <v>6</v>
      </c>
      <c r="M93" s="1373" t="str">
        <f>IF(Q93&lt;&gt;"",ROUND(Q93,0),IF(OR(AND(M83="",100=""),NOT(Q75)),"",IF(T92,V92,IF(T93,V93,M90))))</f>
        <v/>
      </c>
      <c r="N93" s="666"/>
      <c r="O93" s="1185"/>
      <c r="P93" s="2936"/>
      <c r="Q93" s="444"/>
      <c r="R93" s="1185"/>
      <c r="S93" s="263" t="s">
        <v>2769</v>
      </c>
      <c r="T93" s="263" t="b">
        <f>AND($Q$7,$V$28,$AK$56&gt;0,$AK$56&lt;12)</f>
        <v>0</v>
      </c>
      <c r="U93" s="3516" t="str">
        <f>U32</f>
        <v>---</v>
      </c>
      <c r="V93" s="3510" t="str">
        <f>IF(T93,ROUND(V98,0),"---")</f>
        <v>---</v>
      </c>
      <c r="W93" s="2086"/>
      <c r="X93" s="2643" t="s">
        <v>1114</v>
      </c>
      <c r="Y93" s="1276"/>
      <c r="Z93" s="2647" t="str">
        <f t="shared" si="11"/>
        <v>N</v>
      </c>
      <c r="AA93" s="1276"/>
      <c r="AB93" s="2647" t="str">
        <f t="shared" si="12"/>
        <v>Y</v>
      </c>
      <c r="AC93" s="1276"/>
      <c r="AD93" s="2647" t="str">
        <f t="shared" si="13"/>
        <v>S</v>
      </c>
      <c r="AE93" s="1276"/>
      <c r="AF93" s="2644">
        <f t="shared" si="10"/>
        <v>4600</v>
      </c>
      <c r="AG93" s="2645"/>
      <c r="AH93" s="1276"/>
      <c r="AI93" s="1407">
        <f t="shared" si="8"/>
        <v>1</v>
      </c>
      <c r="AJ93" s="1407">
        <f t="shared" si="9"/>
        <v>0</v>
      </c>
      <c r="AK93" s="1407"/>
      <c r="AL93" s="1407"/>
      <c r="AM93" s="2595"/>
      <c r="AN93" s="2595"/>
      <c r="AO93" s="2595"/>
      <c r="AP93" s="2595"/>
      <c r="AQ93" s="2595"/>
      <c r="AR93" s="2595"/>
      <c r="AS93" s="2595"/>
      <c r="AT93" s="2595"/>
    </row>
    <row r="94" spans="1:46" ht="12" customHeight="1">
      <c r="A94" s="78"/>
      <c r="B94" s="155">
        <v>7</v>
      </c>
      <c r="C94" s="392" t="str">
        <f>"If you were age 55 or older at the end of "&amp;TaxYear&amp;", married, and you or your spouse had family"</f>
        <v>If you were age 55 or older at the end of 2021, married, and you or your spouse had family</v>
      </c>
      <c r="D94" s="273"/>
      <c r="E94" s="230"/>
      <c r="F94" s="230"/>
      <c r="G94" s="231"/>
      <c r="H94" s="231"/>
      <c r="I94" s="231"/>
      <c r="J94" s="231"/>
      <c r="K94" s="155"/>
      <c r="L94" s="2371"/>
      <c r="M94" s="1398"/>
      <c r="N94" s="665"/>
      <c r="O94" s="2086"/>
      <c r="P94" s="2935"/>
      <c r="Q94" s="582"/>
      <c r="R94" s="2086"/>
      <c r="S94" s="1908">
        <f>S33</f>
        <v>1000</v>
      </c>
      <c r="T94" s="263"/>
      <c r="U94" s="263"/>
      <c r="V94" s="263"/>
      <c r="W94" s="2086"/>
      <c r="X94" s="2643" t="s">
        <v>1116</v>
      </c>
      <c r="Y94" s="1276"/>
      <c r="Z94" s="2647" t="str">
        <f t="shared" si="11"/>
        <v>N</v>
      </c>
      <c r="AA94" s="1276"/>
      <c r="AB94" s="2647" t="str">
        <f t="shared" si="12"/>
        <v>Y</v>
      </c>
      <c r="AC94" s="1276"/>
      <c r="AD94" s="2647" t="str">
        <f t="shared" si="13"/>
        <v>S</v>
      </c>
      <c r="AE94" s="1276"/>
      <c r="AF94" s="2644">
        <f t="shared" si="10"/>
        <v>4600</v>
      </c>
      <c r="AG94" s="2645"/>
      <c r="AH94" s="1276"/>
      <c r="AI94" s="1407">
        <f t="shared" si="8"/>
        <v>1</v>
      </c>
      <c r="AJ94" s="1407">
        <f t="shared" si="9"/>
        <v>0</v>
      </c>
      <c r="AK94" s="1410"/>
      <c r="AL94" s="1410"/>
    </row>
    <row r="95" spans="1:46" ht="12" customHeight="1">
      <c r="A95" s="78"/>
      <c r="B95" s="155"/>
      <c r="C95" s="392" t="str">
        <f>"coverage under an HDHP at any time during "&amp;TaxYear&amp;", enter your additional contribution amount"</f>
        <v>coverage under an HDHP at any time during 2021, enter your additional contribution amount</v>
      </c>
      <c r="D95" s="178"/>
      <c r="E95" s="230"/>
      <c r="F95" s="230"/>
      <c r="G95" s="231"/>
      <c r="H95" s="231"/>
      <c r="I95" s="231"/>
      <c r="J95" s="231"/>
      <c r="K95" s="231"/>
      <c r="L95" s="590"/>
      <c r="M95" s="515"/>
      <c r="N95" s="666"/>
      <c r="O95" s="1185"/>
      <c r="P95" s="2936"/>
      <c r="Q95" s="582"/>
      <c r="R95" s="1185"/>
      <c r="S95" s="263" t="s">
        <v>1378</v>
      </c>
      <c r="T95" s="1908"/>
      <c r="U95" s="4517">
        <f>U34</f>
        <v>0</v>
      </c>
      <c r="V95" s="4518">
        <f>SUM(AJ57,-M89)</f>
        <v>0</v>
      </c>
      <c r="W95" s="2086"/>
      <c r="X95" s="2643" t="s">
        <v>1118</v>
      </c>
      <c r="Y95" s="1276"/>
      <c r="Z95" s="2647" t="str">
        <f t="shared" si="11"/>
        <v>N</v>
      </c>
      <c r="AA95" s="1276"/>
      <c r="AB95" s="2647" t="str">
        <f t="shared" si="12"/>
        <v>Y</v>
      </c>
      <c r="AC95" s="1276"/>
      <c r="AD95" s="2647" t="str">
        <f t="shared" si="13"/>
        <v>S</v>
      </c>
      <c r="AE95" s="1276"/>
      <c r="AF95" s="2644">
        <f t="shared" si="10"/>
        <v>4600</v>
      </c>
      <c r="AG95" s="2645"/>
      <c r="AH95" s="1276"/>
      <c r="AI95" s="1407">
        <f t="shared" si="8"/>
        <v>1</v>
      </c>
      <c r="AJ95" s="1407">
        <f t="shared" si="9"/>
        <v>0</v>
      </c>
      <c r="AK95" s="1410"/>
      <c r="AL95" s="1410"/>
    </row>
    <row r="96" spans="1:46" s="983" customFormat="1" ht="12" customHeight="1" thickBot="1">
      <c r="A96" s="78"/>
      <c r="B96" s="155"/>
      <c r="C96" s="392" t="s">
        <v>1794</v>
      </c>
      <c r="D96" s="178"/>
      <c r="E96" s="230"/>
      <c r="F96" s="230"/>
      <c r="G96" s="231"/>
      <c r="H96" s="155"/>
      <c r="I96" s="155"/>
      <c r="J96" s="155"/>
      <c r="K96" s="1243" t="s">
        <v>575</v>
      </c>
      <c r="L96" s="333">
        <f>B94</f>
        <v>7</v>
      </c>
      <c r="M96" s="1373" t="str">
        <f>IF(Q96&lt;&gt;"",ROUND(Q96,0),IF(AND(Q75,OR(AJ35,AJ98),AJ99),ROUND((S94*AJ97)/12,0),""))</f>
        <v/>
      </c>
      <c r="N96" s="666"/>
      <c r="O96" s="1185"/>
      <c r="P96" s="2936"/>
      <c r="Q96" s="444"/>
      <c r="R96" s="1185"/>
      <c r="S96" s="263" t="s">
        <v>1377</v>
      </c>
      <c r="T96" s="263"/>
      <c r="U96" s="4517">
        <f>U35</f>
        <v>0</v>
      </c>
      <c r="V96" s="4518">
        <f>V95*AB40/100</f>
        <v>0</v>
      </c>
      <c r="W96" s="2086"/>
      <c r="X96" s="2643" t="s">
        <v>1120</v>
      </c>
      <c r="Y96" s="1276"/>
      <c r="Z96" s="2647" t="str">
        <f t="shared" si="11"/>
        <v>N</v>
      </c>
      <c r="AA96" s="1276"/>
      <c r="AB96" s="2647" t="str">
        <f t="shared" si="12"/>
        <v>Y</v>
      </c>
      <c r="AC96" s="1276"/>
      <c r="AD96" s="2647" t="str">
        <f t="shared" si="13"/>
        <v>S</v>
      </c>
      <c r="AE96" s="1276"/>
      <c r="AF96" s="2646">
        <f t="shared" si="10"/>
        <v>4600</v>
      </c>
      <c r="AG96" s="2645"/>
      <c r="AH96" s="1276"/>
      <c r="AI96" s="2919">
        <f t="shared" si="8"/>
        <v>1</v>
      </c>
      <c r="AJ96" s="2919">
        <f t="shared" si="9"/>
        <v>0</v>
      </c>
      <c r="AK96" s="1407"/>
      <c r="AL96" s="1407"/>
      <c r="AM96" s="2595"/>
      <c r="AN96" s="2595"/>
      <c r="AO96" s="2595"/>
      <c r="AP96" s="2595"/>
      <c r="AQ96" s="2595"/>
      <c r="AR96" s="2595"/>
      <c r="AS96" s="2595"/>
      <c r="AT96" s="2595"/>
    </row>
    <row r="97" spans="1:46" ht="12" customHeight="1" thickTop="1">
      <c r="A97" s="78"/>
      <c r="B97" s="154">
        <v>8</v>
      </c>
      <c r="C97" s="273" t="s">
        <v>1899</v>
      </c>
      <c r="D97" s="273"/>
      <c r="E97" s="230"/>
      <c r="F97" s="230"/>
      <c r="G97" s="231"/>
      <c r="H97" s="231"/>
      <c r="I97" s="231"/>
      <c r="J97" s="231"/>
      <c r="K97" s="1243" t="s">
        <v>575</v>
      </c>
      <c r="L97" s="333">
        <f>B97</f>
        <v>8</v>
      </c>
      <c r="M97" s="1373">
        <f>SUM(M93,M96)</f>
        <v>0</v>
      </c>
      <c r="N97" s="666"/>
      <c r="O97" s="2086"/>
      <c r="P97" s="2936"/>
      <c r="Q97" s="558"/>
      <c r="R97" s="2086"/>
      <c r="S97" s="263" t="s">
        <v>3068</v>
      </c>
      <c r="T97" s="263"/>
      <c r="U97" s="4517">
        <f>U36</f>
        <v>0</v>
      </c>
      <c r="V97" s="4518">
        <f>SUM(V95,-U96)</f>
        <v>0</v>
      </c>
      <c r="W97" s="2086"/>
      <c r="X97" s="9614" t="s">
        <v>2048</v>
      </c>
      <c r="Y97" s="9615"/>
      <c r="Z97" s="9616"/>
      <c r="AA97" s="9616"/>
      <c r="AB97" s="9616"/>
      <c r="AC97" s="9616"/>
      <c r="AD97" s="9616"/>
      <c r="AE97" s="9616"/>
      <c r="AF97" s="2644">
        <f>SUM(AF85:AF96)</f>
        <v>55200</v>
      </c>
      <c r="AG97" s="2645"/>
      <c r="AH97" s="1276"/>
      <c r="AI97" s="1407">
        <f>SUM(AI85:AI96)</f>
        <v>12</v>
      </c>
      <c r="AJ97" s="1407">
        <f>SUM(AJ85:AJ96)</f>
        <v>0</v>
      </c>
      <c r="AK97" s="1410"/>
      <c r="AL97" s="1410"/>
    </row>
    <row r="98" spans="1:46" ht="12" customHeight="1">
      <c r="A98" s="78"/>
      <c r="B98" s="155">
        <v>9</v>
      </c>
      <c r="C98" s="273" t="str">
        <f>"Employer contributions made to your HSAs for "&amp;TaxYear</f>
        <v>Employer contributions made to your HSAs for 2021</v>
      </c>
      <c r="D98" s="178"/>
      <c r="E98" s="230"/>
      <c r="F98" s="230"/>
      <c r="G98" s="1391"/>
      <c r="H98" s="155"/>
      <c r="I98" s="154" t="s">
        <v>572</v>
      </c>
      <c r="J98" s="2374">
        <f>B98</f>
        <v>9</v>
      </c>
      <c r="K98" s="1374"/>
      <c r="L98" s="2372"/>
      <c r="M98" s="1429" t="str">
        <f>IF(File_Marr_Joint&lt;&gt;"",G96,IF(File_Marr_Sep&lt;&gt;"",G97,IF(OR(File_Single&lt;&gt;"",File_Head&lt;&gt;"",File_Qual_Widow&lt;&gt;""),G98,"---")))</f>
        <v>---</v>
      </c>
      <c r="N98" s="666"/>
      <c r="O98" s="1185"/>
      <c r="P98" s="2936"/>
      <c r="Q98" s="558"/>
      <c r="R98" s="1185"/>
      <c r="S98" s="263" t="s">
        <v>3069</v>
      </c>
      <c r="T98" s="263"/>
      <c r="U98" s="4517">
        <f>U37</f>
        <v>0</v>
      </c>
      <c r="V98" s="4518">
        <f>V97</f>
        <v>0</v>
      </c>
      <c r="W98" s="2086"/>
      <c r="X98" s="1278"/>
      <c r="Y98" s="1179"/>
      <c r="Z98" s="1179"/>
      <c r="AA98" s="1179"/>
      <c r="AB98" s="1179"/>
      <c r="AC98" s="1179"/>
      <c r="AD98" s="1179"/>
      <c r="AE98" s="3507" t="s">
        <v>2050</v>
      </c>
      <c r="AF98" s="2644">
        <f>ROUND(AF97/12,0)</f>
        <v>4600</v>
      </c>
      <c r="AG98" s="2645"/>
      <c r="AH98" s="1276"/>
      <c r="AI98" s="1407" t="b">
        <f>(AI97=12)</f>
        <v>1</v>
      </c>
      <c r="AJ98" s="1407" t="b">
        <f>AND(AJ97&gt;0,AJ97&lt;12)</f>
        <v>0</v>
      </c>
      <c r="AK98" s="1410"/>
      <c r="AL98" s="1410"/>
    </row>
    <row r="99" spans="1:46" ht="12.75" customHeight="1" thickBot="1">
      <c r="A99" s="78"/>
      <c r="B99" s="155">
        <v>10</v>
      </c>
      <c r="C99" s="273" t="s">
        <v>1900</v>
      </c>
      <c r="D99" s="178"/>
      <c r="E99" s="230"/>
      <c r="F99" s="230"/>
      <c r="G99" s="1391"/>
      <c r="H99" s="155"/>
      <c r="I99" s="154" t="s">
        <v>4453</v>
      </c>
      <c r="J99" s="2374">
        <f>B99</f>
        <v>10</v>
      </c>
      <c r="K99" s="1374"/>
      <c r="L99" s="2372"/>
      <c r="M99" s="1429" t="str">
        <f>IF(File_Marr_Joint&lt;&gt;"",G97,IF(File_Marr_Sep&lt;&gt;"",G98,IF(OR(File_Single&lt;&gt;"",File_Head&lt;&gt;"",File_Qual_Widow&lt;&gt;""),G99,"---")))</f>
        <v>---</v>
      </c>
      <c r="N99" s="666"/>
      <c r="O99" s="1185"/>
      <c r="P99" s="2936"/>
      <c r="Q99" s="558"/>
      <c r="R99" s="1185"/>
      <c r="S99" s="263"/>
      <c r="T99" s="263"/>
      <c r="U99" s="263"/>
      <c r="V99" s="263"/>
      <c r="W99" s="2631"/>
      <c r="X99" s="3505"/>
      <c r="Y99" s="2128"/>
      <c r="Z99" s="3499"/>
      <c r="AA99" s="2128"/>
      <c r="AB99" s="3499"/>
      <c r="AC99" s="2128"/>
      <c r="AD99" s="3499"/>
      <c r="AE99" s="2128"/>
      <c r="AF99" s="3506"/>
      <c r="AG99" s="2129"/>
      <c r="AH99" s="1410"/>
      <c r="AI99" s="1407" t="b">
        <f>AND(YourAge&gt;=P84,OR(AND(File_Marr_Joint&lt;&gt;"",AI98),File_Marr_Joint=""))</f>
        <v>1</v>
      </c>
      <c r="AJ99" s="1407" t="b">
        <f>AND(SpouseAge&gt;=P84,File_Marr_Joint&lt;&gt;"")</f>
        <v>0</v>
      </c>
      <c r="AK99" s="1410"/>
      <c r="AL99" s="1410"/>
    </row>
    <row r="100" spans="1:46" ht="12" customHeight="1" thickBot="1">
      <c r="A100" s="78"/>
      <c r="B100" s="154">
        <v>11</v>
      </c>
      <c r="C100" s="273" t="s">
        <v>1901</v>
      </c>
      <c r="D100" s="273"/>
      <c r="E100" s="230"/>
      <c r="F100" s="230"/>
      <c r="G100" s="231"/>
      <c r="H100" s="231"/>
      <c r="I100" s="231"/>
      <c r="J100" s="231"/>
      <c r="K100" s="1243" t="s">
        <v>4454</v>
      </c>
      <c r="L100" s="333">
        <f>B100</f>
        <v>11</v>
      </c>
      <c r="M100" s="1373">
        <f>SUM(K98,K99)</f>
        <v>0</v>
      </c>
      <c r="N100" s="666"/>
      <c r="O100" s="2086"/>
      <c r="P100" s="2936"/>
      <c r="Q100" s="558"/>
      <c r="R100" s="2086"/>
      <c r="S100" s="263"/>
      <c r="T100" s="263"/>
      <c r="U100" s="263"/>
      <c r="V100" s="263"/>
      <c r="W100" s="2631"/>
      <c r="X100" s="1185"/>
      <c r="Y100" s="1410"/>
      <c r="Z100" s="2655"/>
      <c r="AA100" s="1410"/>
      <c r="AB100" s="2655"/>
      <c r="AC100" s="1410"/>
      <c r="AD100" s="2655"/>
      <c r="AE100" s="1410"/>
      <c r="AF100" s="2656"/>
      <c r="AG100" s="1410"/>
      <c r="AH100" s="1410"/>
      <c r="AI100" s="1410"/>
      <c r="AJ100" s="1410"/>
      <c r="AK100" s="1410"/>
      <c r="AL100" s="1410"/>
    </row>
    <row r="101" spans="1:46" ht="12" customHeight="1">
      <c r="A101" s="78"/>
      <c r="B101" s="154">
        <v>12</v>
      </c>
      <c r="C101" s="273" t="s">
        <v>1902</v>
      </c>
      <c r="D101" s="273"/>
      <c r="E101" s="230"/>
      <c r="F101" s="230"/>
      <c r="G101" s="231"/>
      <c r="H101" s="231"/>
      <c r="I101" s="231"/>
      <c r="J101" s="231"/>
      <c r="K101" s="1243" t="s">
        <v>4455</v>
      </c>
      <c r="L101" s="333">
        <f>B101</f>
        <v>12</v>
      </c>
      <c r="M101" s="1373">
        <f>MAX(0,SUM(M97,-M100))</f>
        <v>0</v>
      </c>
      <c r="N101" s="666"/>
      <c r="O101" s="2086"/>
      <c r="P101" s="2936"/>
      <c r="Q101" s="558"/>
      <c r="R101" s="2086"/>
      <c r="S101" s="263"/>
      <c r="T101" s="263"/>
      <c r="U101" s="263"/>
      <c r="V101" s="263"/>
      <c r="W101" s="2085"/>
      <c r="X101" s="9603" t="s">
        <v>2772</v>
      </c>
      <c r="Y101" s="9604"/>
      <c r="Z101" s="9604"/>
      <c r="AA101" s="9604"/>
      <c r="AB101" s="9604"/>
      <c r="AC101" s="9604"/>
      <c r="AD101" s="9604"/>
      <c r="AE101" s="9604"/>
      <c r="AF101" s="9604"/>
      <c r="AG101" s="9605"/>
      <c r="AH101" s="1410"/>
      <c r="AI101" s="1410"/>
      <c r="AJ101" s="1410"/>
      <c r="AK101" s="1410"/>
      <c r="AL101" s="1410"/>
    </row>
    <row r="102" spans="1:46" ht="12.75" customHeight="1">
      <c r="A102" s="78"/>
      <c r="B102" s="154">
        <v>13</v>
      </c>
      <c r="C102" s="273" t="s">
        <v>5460</v>
      </c>
      <c r="D102" s="178"/>
      <c r="E102" s="230"/>
      <c r="F102" s="230"/>
      <c r="G102" s="231"/>
      <c r="H102" s="231"/>
      <c r="I102" s="231"/>
      <c r="J102" s="231"/>
      <c r="K102" s="1243"/>
      <c r="L102" s="590">
        <f>B102</f>
        <v>13</v>
      </c>
      <c r="M102" s="1375">
        <f>IF(Q102&lt;&gt;"",ROUND(Q102,0),IF(M83="",0,IF(Q75,MIN(M83,M101),"")))</f>
        <v>0</v>
      </c>
      <c r="N102" s="666"/>
      <c r="O102" s="2086"/>
      <c r="P102" s="861"/>
      <c r="Q102" s="444"/>
      <c r="R102" s="2086"/>
      <c r="S102" s="263"/>
      <c r="T102" s="263"/>
      <c r="U102" s="263"/>
      <c r="V102" s="263"/>
      <c r="W102" s="2086"/>
      <c r="X102" s="2642">
        <f>TaxYear</f>
        <v>2021</v>
      </c>
      <c r="Y102" s="1410"/>
      <c r="Z102" s="2655"/>
      <c r="AA102" s="1410"/>
      <c r="AB102" s="2655"/>
      <c r="AC102" s="1410"/>
      <c r="AD102" s="2655"/>
      <c r="AE102" s="1410"/>
      <c r="AF102" s="2656"/>
      <c r="AG102" s="1412"/>
      <c r="AH102" s="1410"/>
      <c r="AI102" s="2655" t="s">
        <v>2044</v>
      </c>
      <c r="AJ102" s="2655" t="s">
        <v>1522</v>
      </c>
      <c r="AK102" s="2655" t="s">
        <v>1522</v>
      </c>
      <c r="AL102" s="2655"/>
    </row>
    <row r="103" spans="1:46" s="983" customFormat="1" ht="12" customHeight="1">
      <c r="A103" s="78"/>
      <c r="B103" s="154"/>
      <c r="C103" s="273" t="s">
        <v>4254</v>
      </c>
      <c r="D103" s="178"/>
      <c r="E103" s="230"/>
      <c r="F103" s="230"/>
      <c r="G103" s="231"/>
      <c r="H103" s="231"/>
      <c r="I103" s="231"/>
      <c r="J103" s="231"/>
      <c r="K103" s="1243"/>
      <c r="L103" s="2373"/>
      <c r="M103" s="3503" t="b">
        <f>IF(NOT(Q75),FALSE,IF(M83&gt;M102,TRUE,FALSE))</f>
        <v>0</v>
      </c>
      <c r="N103" s="666"/>
      <c r="O103" s="3911"/>
      <c r="P103" s="2380"/>
      <c r="Q103" s="2381"/>
      <c r="R103" s="2086"/>
      <c r="S103" s="2666"/>
      <c r="T103" s="2666"/>
      <c r="U103" s="2666"/>
      <c r="V103" s="2666"/>
      <c r="W103" s="2086"/>
      <c r="X103" s="2643" t="s">
        <v>1101</v>
      </c>
      <c r="Y103" s="1410"/>
      <c r="Z103" s="2655"/>
      <c r="AA103" s="2655"/>
      <c r="AB103" s="2655"/>
      <c r="AC103" s="1410"/>
      <c r="AD103" s="3500" t="str">
        <f t="shared" ref="AD103:AD112" si="14">IF(OR(AD85="f",AD85="F"),"F","S")</f>
        <v>S</v>
      </c>
      <c r="AE103" s="1410"/>
      <c r="AF103" s="2644">
        <f t="shared" ref="AF103:AF112" si="15">MAX(0,SUM(AF85,-$M$89))</f>
        <v>4600</v>
      </c>
      <c r="AG103" s="2645"/>
      <c r="AH103" s="1276"/>
      <c r="AI103" s="2644">
        <f>IF(AD103="S",1,0)</f>
        <v>1</v>
      </c>
      <c r="AJ103" s="2644">
        <f>IF(AND(Z103&lt;&gt;"Y",LEFT(AD103,1)="F"),AF103,0)</f>
        <v>0</v>
      </c>
      <c r="AK103" s="1407">
        <f t="shared" ref="AK103:AK114" si="16">MIN(1,SUM(AJ103,AJ173))</f>
        <v>0</v>
      </c>
      <c r="AL103" s="1407"/>
      <c r="AM103" s="2595"/>
      <c r="AN103" s="2595"/>
      <c r="AO103" s="2595"/>
      <c r="AP103" s="2595"/>
      <c r="AQ103" s="2595"/>
      <c r="AR103" s="2595"/>
      <c r="AS103" s="2595"/>
      <c r="AT103" s="2595"/>
    </row>
    <row r="104" spans="1:46" ht="11.25" customHeight="1">
      <c r="A104" s="78"/>
      <c r="B104" s="4753" t="s">
        <v>118</v>
      </c>
      <c r="C104" s="9641" t="s">
        <v>1905</v>
      </c>
      <c r="D104" s="9641"/>
      <c r="E104" s="9642"/>
      <c r="F104" s="9642"/>
      <c r="G104" s="9642"/>
      <c r="H104" s="9642"/>
      <c r="I104" s="9642"/>
      <c r="J104" s="9642"/>
      <c r="K104" s="9642"/>
      <c r="L104" s="9642"/>
      <c r="M104" s="9642"/>
      <c r="N104" s="664"/>
      <c r="O104" s="3502" t="str">
        <f>IF(M103,"Check here","")</f>
        <v/>
      </c>
      <c r="P104" s="570"/>
      <c r="Q104" s="2381"/>
      <c r="R104" s="1503"/>
      <c r="S104" s="2666"/>
      <c r="T104" s="2666"/>
      <c r="U104" s="2666"/>
      <c r="V104" s="2666"/>
      <c r="W104" s="2086"/>
      <c r="X104" s="2643" t="s">
        <v>1102</v>
      </c>
      <c r="Y104" s="1410"/>
      <c r="Z104" s="2655"/>
      <c r="AA104" s="2655"/>
      <c r="AB104" s="2655"/>
      <c r="AC104" s="1410"/>
      <c r="AD104" s="3500" t="str">
        <f t="shared" si="14"/>
        <v>S</v>
      </c>
      <c r="AE104" s="1410"/>
      <c r="AF104" s="2644">
        <f t="shared" si="15"/>
        <v>4600</v>
      </c>
      <c r="AG104" s="2645"/>
      <c r="AH104" s="1276"/>
      <c r="AI104" s="2644">
        <f>IF(AD104="S",1,0)</f>
        <v>1</v>
      </c>
      <c r="AJ104" s="2644">
        <f t="shared" ref="AJ104:AJ114" si="17">IF(AND(Z104&lt;&gt;"Y",LEFT(AD104,1)="F"),AF104,0)</f>
        <v>0</v>
      </c>
      <c r="AK104" s="1407">
        <f t="shared" si="16"/>
        <v>0</v>
      </c>
      <c r="AL104" s="1407"/>
    </row>
    <row r="105" spans="1:46" ht="11.25" customHeight="1">
      <c r="A105" s="78"/>
      <c r="B105" s="2362"/>
      <c r="C105" s="9639" t="s">
        <v>1904</v>
      </c>
      <c r="D105" s="9639"/>
      <c r="E105" s="9640"/>
      <c r="F105" s="9640"/>
      <c r="G105" s="9640"/>
      <c r="H105" s="9640"/>
      <c r="I105" s="9640"/>
      <c r="J105" s="9640"/>
      <c r="K105" s="9640"/>
      <c r="L105" s="9640"/>
      <c r="M105" s="9640"/>
      <c r="N105" s="664"/>
      <c r="O105" s="3502" t="str">
        <f>IF(M103,"to remove","")</f>
        <v/>
      </c>
      <c r="P105" s="2370"/>
      <c r="Q105" s="681"/>
      <c r="R105" s="1503"/>
      <c r="S105" s="2665"/>
      <c r="T105" s="2665"/>
      <c r="U105" s="2665"/>
      <c r="V105" s="2665"/>
      <c r="W105" s="2086"/>
      <c r="X105" s="2643" t="s">
        <v>1103</v>
      </c>
      <c r="Y105" s="1410"/>
      <c r="Z105" s="2655"/>
      <c r="AA105" s="2655"/>
      <c r="AB105" s="2655"/>
      <c r="AC105" s="1410"/>
      <c r="AD105" s="3500" t="str">
        <f t="shared" si="14"/>
        <v>S</v>
      </c>
      <c r="AE105" s="1410"/>
      <c r="AF105" s="2644">
        <f t="shared" si="15"/>
        <v>4600</v>
      </c>
      <c r="AG105" s="2645"/>
      <c r="AH105" s="1276"/>
      <c r="AI105" s="2644">
        <f>IF(AD105="S",1,0)</f>
        <v>1</v>
      </c>
      <c r="AJ105" s="2644">
        <f t="shared" si="17"/>
        <v>0</v>
      </c>
      <c r="AK105" s="1407">
        <f t="shared" si="16"/>
        <v>0</v>
      </c>
      <c r="AL105" s="1407"/>
    </row>
    <row r="106" spans="1:46">
      <c r="A106" s="78"/>
      <c r="B106" s="154" t="s">
        <v>1907</v>
      </c>
      <c r="C106" s="273" t="str">
        <f>"Total distributions you received in "&amp;TaxYear&amp;" from all HSAs (see instructions)"</f>
        <v>Total distributions you received in 2021 from all HSAs (see instructions)</v>
      </c>
      <c r="D106" s="273"/>
      <c r="E106" s="230"/>
      <c r="F106" s="230"/>
      <c r="G106" s="231"/>
      <c r="H106" s="231"/>
      <c r="I106" s="231"/>
      <c r="J106" s="231"/>
      <c r="K106" s="1243" t="s">
        <v>870</v>
      </c>
      <c r="L106" s="249" t="str">
        <f>B106</f>
        <v>14a</v>
      </c>
      <c r="M106" s="1374"/>
      <c r="N106" s="666"/>
      <c r="O106" s="3502" t="str">
        <f>IF(M103,"emphasis.","")</f>
        <v/>
      </c>
      <c r="P106" s="2936"/>
      <c r="Q106" s="558"/>
      <c r="R106" s="2086"/>
      <c r="S106" s="2665"/>
      <c r="T106" s="2665"/>
      <c r="U106" s="2665"/>
      <c r="V106" s="2665"/>
      <c r="W106" s="2086"/>
      <c r="X106" s="2643" t="s">
        <v>1104</v>
      </c>
      <c r="Y106" s="1410"/>
      <c r="Z106" s="2655"/>
      <c r="AA106" s="2655"/>
      <c r="AB106" s="2655"/>
      <c r="AC106" s="1410"/>
      <c r="AD106" s="3500" t="str">
        <f t="shared" si="14"/>
        <v>S</v>
      </c>
      <c r="AE106" s="1410"/>
      <c r="AF106" s="2644">
        <f t="shared" si="15"/>
        <v>4600</v>
      </c>
      <c r="AG106" s="2645"/>
      <c r="AH106" s="1276"/>
      <c r="AI106" s="2644">
        <f>IF(AD106="S",AF106,0)</f>
        <v>4600</v>
      </c>
      <c r="AJ106" s="2644">
        <f t="shared" si="17"/>
        <v>0</v>
      </c>
      <c r="AK106" s="1407">
        <f t="shared" si="16"/>
        <v>0</v>
      </c>
      <c r="AL106" s="1407"/>
    </row>
    <row r="107" spans="1:46" ht="12" customHeight="1">
      <c r="A107" s="78"/>
      <c r="B107" s="154" t="s">
        <v>47</v>
      </c>
      <c r="C107" s="392" t="s">
        <v>1909</v>
      </c>
      <c r="D107" s="273"/>
      <c r="E107" s="230"/>
      <c r="F107" s="230"/>
      <c r="G107" s="231"/>
      <c r="H107" s="231"/>
      <c r="I107" s="231"/>
      <c r="J107" s="231"/>
      <c r="K107" s="155"/>
      <c r="L107" s="834"/>
      <c r="M107" s="1398"/>
      <c r="N107" s="665"/>
      <c r="O107" s="2086"/>
      <c r="P107" s="2935"/>
      <c r="Q107" s="582"/>
      <c r="R107" s="2086"/>
      <c r="S107" s="263"/>
      <c r="T107" s="263"/>
      <c r="U107" s="263"/>
      <c r="V107" s="263"/>
      <c r="W107" s="2086"/>
      <c r="X107" s="2643" t="s">
        <v>1106</v>
      </c>
      <c r="Y107" s="1410"/>
      <c r="Z107" s="2655"/>
      <c r="AA107" s="2655"/>
      <c r="AB107" s="2655"/>
      <c r="AC107" s="1410"/>
      <c r="AD107" s="3500" t="str">
        <f t="shared" si="14"/>
        <v>S</v>
      </c>
      <c r="AE107" s="1410"/>
      <c r="AF107" s="2644">
        <f t="shared" si="15"/>
        <v>4600</v>
      </c>
      <c r="AG107" s="2645"/>
      <c r="AH107" s="1276"/>
      <c r="AI107" s="2644">
        <f t="shared" ref="AI107:AI114" si="18">IF(AD107="S",AF107,0)</f>
        <v>4600</v>
      </c>
      <c r="AJ107" s="2644">
        <f t="shared" si="17"/>
        <v>0</v>
      </c>
      <c r="AK107" s="1407">
        <f t="shared" si="16"/>
        <v>0</v>
      </c>
      <c r="AL107" s="1407"/>
    </row>
    <row r="108" spans="1:46" ht="12.75" customHeight="1">
      <c r="A108" s="78"/>
      <c r="B108" s="155"/>
      <c r="C108" s="392" t="s">
        <v>1910</v>
      </c>
      <c r="D108" s="178"/>
      <c r="E108" s="230"/>
      <c r="F108" s="230"/>
      <c r="G108" s="231"/>
      <c r="H108" s="231"/>
      <c r="I108" s="231"/>
      <c r="J108" s="231"/>
      <c r="K108" s="231"/>
      <c r="L108" s="225"/>
      <c r="M108" s="515"/>
      <c r="N108" s="666"/>
      <c r="O108" s="1185"/>
      <c r="P108" s="2936"/>
      <c r="Q108" s="582"/>
      <c r="R108" s="1185"/>
      <c r="S108" s="263"/>
      <c r="T108" s="263"/>
      <c r="U108" s="263"/>
      <c r="V108" s="263"/>
      <c r="W108" s="2086"/>
      <c r="X108" s="2643" t="s">
        <v>1108</v>
      </c>
      <c r="Y108" s="1410"/>
      <c r="Z108" s="2655"/>
      <c r="AA108" s="2655"/>
      <c r="AB108" s="2655"/>
      <c r="AC108" s="1410"/>
      <c r="AD108" s="3500" t="str">
        <f t="shared" si="14"/>
        <v>S</v>
      </c>
      <c r="AE108" s="1410"/>
      <c r="AF108" s="2644">
        <f t="shared" si="15"/>
        <v>4600</v>
      </c>
      <c r="AG108" s="2645"/>
      <c r="AH108" s="1276"/>
      <c r="AI108" s="2644">
        <f t="shared" si="18"/>
        <v>4600</v>
      </c>
      <c r="AJ108" s="2644">
        <f t="shared" si="17"/>
        <v>0</v>
      </c>
      <c r="AK108" s="1407">
        <f t="shared" si="16"/>
        <v>0</v>
      </c>
      <c r="AL108" s="1407"/>
    </row>
    <row r="109" spans="1:46" s="983" customFormat="1" ht="12" customHeight="1">
      <c r="A109" s="78"/>
      <c r="B109" s="155"/>
      <c r="C109" s="392" t="s">
        <v>1911</v>
      </c>
      <c r="D109" s="178"/>
      <c r="E109" s="230"/>
      <c r="F109" s="230"/>
      <c r="G109" s="231"/>
      <c r="H109" s="155"/>
      <c r="I109" s="155"/>
      <c r="J109" s="155"/>
      <c r="K109" s="1243" t="s">
        <v>833</v>
      </c>
      <c r="L109" s="249" t="s">
        <v>1908</v>
      </c>
      <c r="M109" s="1374"/>
      <c r="N109" s="666"/>
      <c r="O109" s="1185"/>
      <c r="P109" s="2936"/>
      <c r="Q109" s="582"/>
      <c r="R109" s="1185"/>
      <c r="S109" s="263"/>
      <c r="T109" s="263"/>
      <c r="U109" s="263"/>
      <c r="V109" s="263"/>
      <c r="W109" s="2086"/>
      <c r="X109" s="2643" t="s">
        <v>1110</v>
      </c>
      <c r="Y109" s="1410"/>
      <c r="Z109" s="2655"/>
      <c r="AA109" s="2655"/>
      <c r="AB109" s="2655"/>
      <c r="AC109" s="1410"/>
      <c r="AD109" s="3500" t="str">
        <f t="shared" si="14"/>
        <v>S</v>
      </c>
      <c r="AE109" s="1410"/>
      <c r="AF109" s="2644">
        <f t="shared" si="15"/>
        <v>4600</v>
      </c>
      <c r="AG109" s="2645"/>
      <c r="AH109" s="1276"/>
      <c r="AI109" s="2644">
        <f t="shared" si="18"/>
        <v>4600</v>
      </c>
      <c r="AJ109" s="2644">
        <f t="shared" si="17"/>
        <v>0</v>
      </c>
      <c r="AK109" s="1407">
        <f t="shared" si="16"/>
        <v>0</v>
      </c>
      <c r="AL109" s="1407"/>
      <c r="AM109" s="2595"/>
      <c r="AN109" s="2595"/>
      <c r="AO109" s="2595"/>
      <c r="AP109" s="2595"/>
      <c r="AQ109" s="2595"/>
      <c r="AR109" s="2595"/>
      <c r="AS109" s="2595"/>
      <c r="AT109" s="2595"/>
    </row>
    <row r="110" spans="1:46" ht="12" customHeight="1">
      <c r="A110" s="78"/>
      <c r="B110" s="154" t="s">
        <v>48</v>
      </c>
      <c r="C110" s="392" t="s">
        <v>1913</v>
      </c>
      <c r="D110" s="273"/>
      <c r="E110" s="230"/>
      <c r="F110" s="230"/>
      <c r="G110" s="231"/>
      <c r="H110" s="231"/>
      <c r="I110" s="231"/>
      <c r="J110" s="231"/>
      <c r="K110" s="1243" t="s">
        <v>1928</v>
      </c>
      <c r="L110" s="249" t="s">
        <v>1912</v>
      </c>
      <c r="M110" s="1373">
        <f>SUM(M106,-M109)</f>
        <v>0</v>
      </c>
      <c r="N110" s="666"/>
      <c r="O110" s="2086"/>
      <c r="P110" s="2936"/>
      <c r="Q110" s="582"/>
      <c r="R110" s="2086"/>
      <c r="S110" s="263"/>
      <c r="T110" s="263"/>
      <c r="U110" s="263"/>
      <c r="V110" s="263"/>
      <c r="W110" s="2086"/>
      <c r="X110" s="2643" t="s">
        <v>1112</v>
      </c>
      <c r="Y110" s="1410"/>
      <c r="Z110" s="2655"/>
      <c r="AA110" s="2655"/>
      <c r="AB110" s="2655"/>
      <c r="AC110" s="1410"/>
      <c r="AD110" s="3500" t="str">
        <f t="shared" si="14"/>
        <v>S</v>
      </c>
      <c r="AE110" s="1410"/>
      <c r="AF110" s="2644">
        <f t="shared" si="15"/>
        <v>4600</v>
      </c>
      <c r="AG110" s="2645"/>
      <c r="AH110" s="1276"/>
      <c r="AI110" s="2644">
        <f t="shared" si="18"/>
        <v>4600</v>
      </c>
      <c r="AJ110" s="2644">
        <f t="shared" si="17"/>
        <v>0</v>
      </c>
      <c r="AK110" s="1407">
        <f t="shared" si="16"/>
        <v>0</v>
      </c>
      <c r="AL110" s="1407"/>
    </row>
    <row r="111" spans="1:46" ht="12" customHeight="1">
      <c r="A111" s="78"/>
      <c r="B111" s="154">
        <v>15</v>
      </c>
      <c r="C111" s="392" t="s">
        <v>1914</v>
      </c>
      <c r="D111" s="273"/>
      <c r="E111" s="230"/>
      <c r="F111" s="230"/>
      <c r="G111" s="231"/>
      <c r="H111" s="231"/>
      <c r="I111" s="231"/>
      <c r="J111" s="231"/>
      <c r="K111" s="1243" t="s">
        <v>569</v>
      </c>
      <c r="L111" s="333">
        <f>B111</f>
        <v>15</v>
      </c>
      <c r="M111" s="1374"/>
      <c r="N111" s="666"/>
      <c r="O111" s="2086"/>
      <c r="P111" s="2936"/>
      <c r="Q111" s="558"/>
      <c r="R111" s="2086"/>
      <c r="S111" s="263"/>
      <c r="T111" s="263"/>
      <c r="U111" s="263"/>
      <c r="V111" s="263"/>
      <c r="W111" s="2086"/>
      <c r="X111" s="2643" t="s">
        <v>1114</v>
      </c>
      <c r="Y111" s="1410"/>
      <c r="Z111" s="2655"/>
      <c r="AA111" s="2655"/>
      <c r="AB111" s="2655"/>
      <c r="AC111" s="1410"/>
      <c r="AD111" s="3500" t="str">
        <f t="shared" si="14"/>
        <v>S</v>
      </c>
      <c r="AE111" s="1410"/>
      <c r="AF111" s="2644">
        <f t="shared" si="15"/>
        <v>4600</v>
      </c>
      <c r="AG111" s="2645"/>
      <c r="AH111" s="1276"/>
      <c r="AI111" s="2644">
        <f t="shared" si="18"/>
        <v>4600</v>
      </c>
      <c r="AJ111" s="2644">
        <f t="shared" si="17"/>
        <v>0</v>
      </c>
      <c r="AK111" s="1407">
        <f t="shared" si="16"/>
        <v>0</v>
      </c>
      <c r="AL111" s="1407"/>
    </row>
    <row r="112" spans="1:46" ht="12.75" customHeight="1">
      <c r="A112" s="78"/>
      <c r="B112" s="154">
        <v>16</v>
      </c>
      <c r="C112" s="392" t="s">
        <v>5475</v>
      </c>
      <c r="D112" s="273"/>
      <c r="E112" s="230"/>
      <c r="F112" s="230"/>
      <c r="G112" s="231"/>
      <c r="H112" s="231"/>
      <c r="I112" s="231"/>
      <c r="J112" s="231"/>
      <c r="K112" s="155"/>
      <c r="L112" s="834"/>
      <c r="M112" s="1398"/>
      <c r="N112" s="665"/>
      <c r="O112" s="2086"/>
      <c r="P112" s="2935"/>
      <c r="Q112" s="582"/>
      <c r="R112" s="2086"/>
      <c r="S112" s="263"/>
      <c r="T112" s="263"/>
      <c r="U112" s="263"/>
      <c r="V112" s="263"/>
      <c r="W112" s="2086"/>
      <c r="X112" s="2643" t="s">
        <v>1116</v>
      </c>
      <c r="Y112" s="1410"/>
      <c r="Z112" s="2655"/>
      <c r="AA112" s="2655"/>
      <c r="AB112" s="2655"/>
      <c r="AC112" s="1410"/>
      <c r="AD112" s="3500" t="str">
        <f t="shared" si="14"/>
        <v>S</v>
      </c>
      <c r="AE112" s="1410"/>
      <c r="AF112" s="2644">
        <f t="shared" si="15"/>
        <v>4600</v>
      </c>
      <c r="AG112" s="2645"/>
      <c r="AH112" s="1276"/>
      <c r="AI112" s="2644">
        <f t="shared" si="18"/>
        <v>4600</v>
      </c>
      <c r="AJ112" s="2644">
        <f t="shared" si="17"/>
        <v>0</v>
      </c>
      <c r="AK112" s="1407">
        <f t="shared" si="16"/>
        <v>0</v>
      </c>
      <c r="AL112" s="1407"/>
    </row>
    <row r="113" spans="1:46" s="983" customFormat="1" ht="12.75" customHeight="1">
      <c r="A113" s="78"/>
      <c r="B113" s="155"/>
      <c r="C113" s="392" t="s">
        <v>5476</v>
      </c>
      <c r="D113" s="178"/>
      <c r="E113" s="230"/>
      <c r="F113" s="230"/>
      <c r="G113" s="231"/>
      <c r="H113" s="155"/>
      <c r="I113" s="155"/>
      <c r="J113" s="155"/>
      <c r="K113" s="1243" t="s">
        <v>629</v>
      </c>
      <c r="L113" s="333">
        <f>B112</f>
        <v>16</v>
      </c>
      <c r="M113" s="1373">
        <f>IF(Q113&lt;&gt;"",ROUND(Q113,0),IF(SUM(M110,-M111)&lt;0,0,SUM(M110,-M111)))</f>
        <v>0</v>
      </c>
      <c r="N113" s="666"/>
      <c r="O113" s="1185"/>
      <c r="P113" s="2936"/>
      <c r="Q113" s="444"/>
      <c r="R113" s="1185"/>
      <c r="S113" s="263"/>
      <c r="T113" s="263"/>
      <c r="U113" s="263"/>
      <c r="V113" s="263"/>
      <c r="W113" s="2086"/>
      <c r="X113" s="2643" t="s">
        <v>1118</v>
      </c>
      <c r="Y113" s="1410"/>
      <c r="Z113" s="2655"/>
      <c r="AA113" s="2655"/>
      <c r="AB113" s="2655"/>
      <c r="AC113" s="1410"/>
      <c r="AD113" s="3500" t="str">
        <f>IF(OR(AD95="f",AD95="F"),"F","S")</f>
        <v>S</v>
      </c>
      <c r="AE113" s="1410"/>
      <c r="AF113" s="2644">
        <f>MAX(0,SUM(AF95,-$M$89))</f>
        <v>4600</v>
      </c>
      <c r="AG113" s="2645"/>
      <c r="AH113" s="1276"/>
      <c r="AI113" s="2644">
        <f t="shared" si="18"/>
        <v>4600</v>
      </c>
      <c r="AJ113" s="2644">
        <f t="shared" si="17"/>
        <v>0</v>
      </c>
      <c r="AK113" s="1407">
        <f t="shared" si="16"/>
        <v>0</v>
      </c>
      <c r="AL113" s="1407"/>
      <c r="AM113" s="2595"/>
      <c r="AN113" s="2595"/>
      <c r="AO113" s="2595"/>
      <c r="AP113" s="2595"/>
      <c r="AQ113" s="2595"/>
      <c r="AR113" s="2595"/>
      <c r="AS113" s="2595"/>
      <c r="AT113" s="2595"/>
    </row>
    <row r="114" spans="1:46" ht="15.75" customHeight="1" thickBot="1">
      <c r="A114" s="78"/>
      <c r="B114" s="154" t="s">
        <v>1915</v>
      </c>
      <c r="C114" s="392" t="s">
        <v>2784</v>
      </c>
      <c r="D114" s="273"/>
      <c r="E114" s="230"/>
      <c r="F114" s="230"/>
      <c r="G114" s="231"/>
      <c r="H114" s="231"/>
      <c r="I114" s="231"/>
      <c r="J114" s="231"/>
      <c r="K114" s="155"/>
      <c r="L114" s="2372"/>
      <c r="M114" s="1398"/>
      <c r="N114" s="665"/>
      <c r="O114" s="2086"/>
      <c r="P114" s="2935"/>
      <c r="Q114" s="2383" t="str">
        <f>IF(J115&lt;&gt;"","Enter distributions","")</f>
        <v/>
      </c>
      <c r="R114" s="2086"/>
      <c r="S114" s="263"/>
      <c r="T114" s="263"/>
      <c r="U114" s="263"/>
      <c r="V114" s="263"/>
      <c r="W114" s="2086"/>
      <c r="X114" s="2643" t="s">
        <v>1120</v>
      </c>
      <c r="Y114" s="1410"/>
      <c r="Z114" s="2655"/>
      <c r="AA114" s="2655"/>
      <c r="AB114" s="2655"/>
      <c r="AC114" s="1410"/>
      <c r="AD114" s="3500" t="str">
        <f>IF(OR(AD96="f",AD96="F"),"F","S")</f>
        <v>S</v>
      </c>
      <c r="AE114" s="1410"/>
      <c r="AF114" s="2646">
        <f>MAX(0,SUM(AF96,-$M$89))</f>
        <v>4600</v>
      </c>
      <c r="AG114" s="2645"/>
      <c r="AH114" s="1276"/>
      <c r="AI114" s="2646">
        <f t="shared" si="18"/>
        <v>4600</v>
      </c>
      <c r="AJ114" s="2646">
        <f t="shared" si="17"/>
        <v>0</v>
      </c>
      <c r="AK114" s="2919">
        <f t="shared" si="16"/>
        <v>0</v>
      </c>
      <c r="AL114" s="1407"/>
    </row>
    <row r="115" spans="1:46" ht="12" customHeight="1" thickTop="1" thickBot="1">
      <c r="A115" s="78"/>
      <c r="B115" s="155"/>
      <c r="C115" s="4894" t="str">
        <f>" "&amp;TEXT($M$53,"0%")&amp;"  Tax"</f>
        <v xml:space="preserve"> 20%  Tax</v>
      </c>
      <c r="D115" s="392" t="s">
        <v>1929</v>
      </c>
      <c r="E115" s="230"/>
      <c r="F115" s="230"/>
      <c r="G115" s="231"/>
      <c r="H115" s="231"/>
      <c r="I115" s="3242" t="s">
        <v>445</v>
      </c>
      <c r="J115" s="1193"/>
      <c r="K115" s="231"/>
      <c r="L115" s="2372"/>
      <c r="M115" s="515"/>
      <c r="N115" s="666"/>
      <c r="O115" s="1185"/>
      <c r="P115" s="2936"/>
      <c r="Q115" s="2383" t="str">
        <f>IF(J115&lt;&gt;"","subject to","")</f>
        <v/>
      </c>
      <c r="R115" s="1185"/>
      <c r="S115" s="263"/>
      <c r="T115" s="263"/>
      <c r="U115" s="263"/>
      <c r="V115" s="263"/>
      <c r="W115" s="2086"/>
      <c r="X115" s="2640"/>
      <c r="Y115" s="1410"/>
      <c r="Z115" s="2655"/>
      <c r="AA115" s="2655"/>
      <c r="AB115" s="2655"/>
      <c r="AC115" s="1410"/>
      <c r="AD115" s="2655"/>
      <c r="AE115" s="1410"/>
      <c r="AF115" s="2644">
        <f>SUM(AF103:AF114)</f>
        <v>55200</v>
      </c>
      <c r="AG115" s="2645"/>
      <c r="AH115" s="1276"/>
      <c r="AI115" s="2644">
        <f>SUM(AI103:AI114)</f>
        <v>41403</v>
      </c>
      <c r="AJ115" s="2644">
        <f>SUM(AJ103:AJ114)</f>
        <v>0</v>
      </c>
      <c r="AK115" s="1407">
        <f>SUM(AK103:AK114)</f>
        <v>0</v>
      </c>
      <c r="AL115" s="1407"/>
    </row>
    <row r="116" spans="1:46" s="983" customFormat="1">
      <c r="A116" s="78"/>
      <c r="B116" s="154" t="s">
        <v>47</v>
      </c>
      <c r="C116" s="218" t="str">
        <f>"Additional "&amp;TEXT(M116,"0%")&amp;" tax"</f>
        <v>Additional 20% tax</v>
      </c>
      <c r="D116" s="273"/>
      <c r="E116" s="230"/>
      <c r="F116" s="392"/>
      <c r="G116" s="231"/>
      <c r="H116" s="231"/>
      <c r="I116" s="231"/>
      <c r="J116" s="231"/>
      <c r="K116" s="2378" t="str">
        <f>"(see instructions). Enter "&amp;TEXT($M$53,"0%")&amp;" ("&amp;TEXT($M$53,".00")&amp;") of the distributions included on line 16     "</f>
        <v xml:space="preserve">(see instructions). Enter 20% (.20) of the distributions included on line 16     </v>
      </c>
      <c r="L116" s="2372"/>
      <c r="M116" s="1429">
        <v>0.2</v>
      </c>
      <c r="N116" s="665"/>
      <c r="O116" s="2086"/>
      <c r="P116" s="2935"/>
      <c r="Q116" s="2383" t="str">
        <f>IF(J115&lt;&gt;"","additional tax here:","")</f>
        <v/>
      </c>
      <c r="R116" s="2086"/>
      <c r="S116" s="263"/>
      <c r="T116" s="263"/>
      <c r="U116" s="263"/>
      <c r="V116" s="263"/>
      <c r="W116" s="2631"/>
      <c r="X116" s="2641"/>
      <c r="Y116" s="2655"/>
      <c r="Z116" s="2655"/>
      <c r="AA116" s="2655"/>
      <c r="AB116" s="2655"/>
      <c r="AC116" s="2655"/>
      <c r="AD116" s="2655"/>
      <c r="AE116" s="1410"/>
      <c r="AF116" s="2644">
        <f>ROUND(AF115/12,0)</f>
        <v>4600</v>
      </c>
      <c r="AG116" s="2645"/>
      <c r="AH116" s="1276"/>
      <c r="AI116" s="2644">
        <f>ROUND(AI115/12,0)</f>
        <v>3450</v>
      </c>
      <c r="AJ116" s="2644">
        <f>ROUND(AJ115/12,0)</f>
        <v>0</v>
      </c>
      <c r="AK116" s="1410"/>
      <c r="AL116" s="1410"/>
      <c r="AM116" s="2595"/>
      <c r="AN116" s="2595"/>
      <c r="AO116" s="2595"/>
      <c r="AP116" s="2595"/>
      <c r="AQ116" s="2595"/>
      <c r="AR116" s="2595"/>
      <c r="AS116" s="2595"/>
      <c r="AT116" s="2595"/>
    </row>
    <row r="117" spans="1:46" ht="12" customHeight="1" thickBot="1">
      <c r="A117" s="78"/>
      <c r="B117" s="155"/>
      <c r="C117" s="392" t="str">
        <f>"that are subject to the additional "&amp;TEXT($M$53,"0%")&amp;" tax. Also include this amount in the total on Schedule 2"</f>
        <v>that are subject to the additional 20% tax. Also include this amount in the total on Schedule 2</v>
      </c>
      <c r="D117" s="178"/>
      <c r="E117" s="230"/>
      <c r="F117" s="230"/>
      <c r="G117" s="231"/>
      <c r="H117" s="231"/>
      <c r="I117" s="231"/>
      <c r="J117" s="231"/>
      <c r="K117" s="231"/>
      <c r="L117" s="2372"/>
      <c r="M117" s="515"/>
      <c r="N117" s="666"/>
      <c r="O117" s="1185"/>
      <c r="P117" s="2936"/>
      <c r="Q117" s="2384"/>
      <c r="R117" s="1185"/>
      <c r="S117" s="263"/>
      <c r="T117" s="263"/>
      <c r="U117" s="263"/>
      <c r="V117" s="263"/>
      <c r="W117" s="2086"/>
      <c r="X117" s="3505"/>
      <c r="Y117" s="2128"/>
      <c r="Z117" s="3499"/>
      <c r="AA117" s="2128"/>
      <c r="AB117" s="3499"/>
      <c r="AC117" s="2128"/>
      <c r="AD117" s="3499"/>
      <c r="AE117" s="2128"/>
      <c r="AF117" s="3506"/>
      <c r="AG117" s="2129"/>
      <c r="AH117" s="1410"/>
      <c r="AI117" s="1410"/>
      <c r="AJ117" s="1410"/>
      <c r="AK117" s="1410"/>
      <c r="AL117" s="1410"/>
    </row>
    <row r="118" spans="1:46" ht="12" customHeight="1">
      <c r="A118" s="78"/>
      <c r="B118" s="154"/>
      <c r="C118" s="3544" t="s">
        <v>5466</v>
      </c>
      <c r="D118" s="178"/>
      <c r="E118" s="230"/>
      <c r="F118" s="230"/>
      <c r="G118" s="231"/>
      <c r="H118" s="231"/>
      <c r="I118" s="231"/>
      <c r="J118" s="231"/>
      <c r="K118" s="1243" t="s">
        <v>1075</v>
      </c>
      <c r="L118" s="333" t="s">
        <v>1916</v>
      </c>
      <c r="M118" s="1373">
        <f>IF(Q118&lt;&gt;"",ROUND(Q118,0),IF(J115&lt;&gt;"",ROUND(M116*Q117,0),ROUND($M$53*M113,0)))</f>
        <v>0</v>
      </c>
      <c r="N118" s="666"/>
      <c r="O118" s="2086"/>
      <c r="P118" s="861"/>
      <c r="Q118" s="444"/>
      <c r="R118" s="2086"/>
      <c r="S118" s="263"/>
      <c r="T118" s="263"/>
      <c r="U118" s="263"/>
      <c r="V118" s="263"/>
      <c r="W118" s="2086"/>
      <c r="X118" s="2086"/>
      <c r="Y118" s="1410"/>
      <c r="Z118" s="2655"/>
      <c r="AA118" s="1410"/>
      <c r="AB118" s="2655"/>
      <c r="AC118" s="1410"/>
      <c r="AD118" s="2655"/>
      <c r="AE118" s="1410"/>
      <c r="AF118" s="2656"/>
      <c r="AG118" s="1410"/>
      <c r="AH118" s="1410"/>
      <c r="AI118" s="1410"/>
      <c r="AJ118" s="1410"/>
      <c r="AK118" s="1410"/>
      <c r="AL118" s="1410"/>
    </row>
    <row r="119" spans="1:46" s="237" customFormat="1" ht="15" customHeight="1">
      <c r="A119" s="78"/>
      <c r="B119" s="2360" t="s">
        <v>319</v>
      </c>
      <c r="C119" s="9641" t="s">
        <v>1919</v>
      </c>
      <c r="D119" s="9641"/>
      <c r="E119" s="9642"/>
      <c r="F119" s="9642"/>
      <c r="G119" s="9642"/>
      <c r="H119" s="9642"/>
      <c r="I119" s="9642"/>
      <c r="J119" s="9642"/>
      <c r="K119" s="9642"/>
      <c r="L119" s="9642"/>
      <c r="M119" s="9642"/>
      <c r="N119" s="664"/>
      <c r="O119" s="1503"/>
      <c r="P119" s="570"/>
      <c r="Q119" s="681"/>
      <c r="R119" s="1503"/>
      <c r="S119" s="263"/>
      <c r="T119" s="263"/>
      <c r="U119" s="263"/>
      <c r="V119" s="263"/>
      <c r="W119" s="2085"/>
      <c r="X119" s="1185"/>
      <c r="Y119" s="1410"/>
      <c r="Z119" s="2655"/>
      <c r="AA119" s="1410"/>
      <c r="AB119" s="2655"/>
      <c r="AC119" s="1410"/>
      <c r="AD119" s="2655"/>
      <c r="AE119" s="1410"/>
      <c r="AF119" s="2656"/>
      <c r="AG119" s="1410"/>
      <c r="AH119" s="1410"/>
      <c r="AI119" s="1410"/>
      <c r="AJ119" s="1410"/>
      <c r="AK119" s="1410"/>
      <c r="AL119" s="1410"/>
      <c r="AM119" s="2595"/>
      <c r="AN119" s="2595"/>
      <c r="AO119" s="2595"/>
      <c r="AP119" s="2595"/>
      <c r="AQ119" s="2595"/>
      <c r="AR119" s="2595"/>
      <c r="AS119" s="2595"/>
      <c r="AT119" s="2595"/>
    </row>
    <row r="120" spans="1:46" s="237" customFormat="1">
      <c r="A120" s="78"/>
      <c r="B120" s="2363"/>
      <c r="C120" s="9656" t="s">
        <v>1920</v>
      </c>
      <c r="D120" s="9656"/>
      <c r="E120" s="9657"/>
      <c r="F120" s="9657"/>
      <c r="G120" s="9657"/>
      <c r="H120" s="9657"/>
      <c r="I120" s="9657"/>
      <c r="J120" s="9657"/>
      <c r="K120" s="9657"/>
      <c r="L120" s="9657"/>
      <c r="M120" s="9657"/>
      <c r="N120" s="664"/>
      <c r="O120" s="1503"/>
      <c r="P120" s="2370"/>
      <c r="Q120" s="681"/>
      <c r="R120" s="1503"/>
      <c r="S120" s="2665"/>
      <c r="T120" s="2665"/>
      <c r="U120" s="2665"/>
      <c r="V120" s="2665"/>
      <c r="W120" s="2086"/>
      <c r="X120" s="1185"/>
      <c r="Y120" s="1410"/>
      <c r="Z120" s="2655"/>
      <c r="AA120" s="1410"/>
      <c r="AB120" s="2655"/>
      <c r="AC120" s="1410"/>
      <c r="AD120" s="2655"/>
      <c r="AE120" s="1410"/>
      <c r="AF120" s="2656"/>
      <c r="AG120" s="1410"/>
      <c r="AH120" s="1410"/>
      <c r="AI120" s="1410"/>
      <c r="AJ120" s="1410"/>
      <c r="AK120" s="1410"/>
      <c r="AL120" s="1410"/>
      <c r="AM120" s="2595"/>
      <c r="AN120" s="2595"/>
      <c r="AO120" s="2595"/>
      <c r="AP120" s="2595"/>
      <c r="AQ120" s="2595"/>
      <c r="AR120" s="2595"/>
      <c r="AS120" s="2595"/>
      <c r="AT120" s="2595"/>
    </row>
    <row r="121" spans="1:46">
      <c r="A121" s="78"/>
      <c r="B121" s="2375"/>
      <c r="C121" s="9639" t="s">
        <v>1921</v>
      </c>
      <c r="D121" s="9639"/>
      <c r="E121" s="9640"/>
      <c r="F121" s="9640"/>
      <c r="G121" s="9640"/>
      <c r="H121" s="9640"/>
      <c r="I121" s="9640"/>
      <c r="J121" s="9640"/>
      <c r="K121" s="9640"/>
      <c r="L121" s="9640"/>
      <c r="M121" s="9640"/>
      <c r="N121" s="664"/>
      <c r="O121" s="1503"/>
      <c r="P121" s="2370"/>
      <c r="Q121" s="681"/>
      <c r="R121" s="1503"/>
      <c r="S121" s="2665"/>
      <c r="T121" s="2665"/>
      <c r="U121" s="2665"/>
      <c r="V121" s="2665"/>
      <c r="W121" s="2086"/>
      <c r="X121" s="1503"/>
      <c r="Y121" s="1410"/>
      <c r="Z121" s="2655"/>
      <c r="AA121" s="1410"/>
      <c r="AB121" s="2655"/>
      <c r="AC121" s="1410"/>
      <c r="AD121" s="2655"/>
      <c r="AE121" s="1410"/>
      <c r="AF121" s="2656"/>
      <c r="AG121" s="1410"/>
      <c r="AH121" s="1410"/>
      <c r="AI121" s="1410"/>
      <c r="AJ121" s="1410"/>
      <c r="AK121" s="1410"/>
      <c r="AL121" s="1410"/>
    </row>
    <row r="122" spans="1:46" ht="12" customHeight="1">
      <c r="A122" s="78"/>
      <c r="B122" s="154">
        <v>18</v>
      </c>
      <c r="C122" s="392" t="s">
        <v>1922</v>
      </c>
      <c r="D122" s="273"/>
      <c r="E122" s="230"/>
      <c r="F122" s="230"/>
      <c r="G122" s="231"/>
      <c r="H122" s="231"/>
      <c r="I122" s="231"/>
      <c r="J122" s="231"/>
      <c r="K122" s="1243" t="s">
        <v>2524</v>
      </c>
      <c r="L122" s="333">
        <f>B122</f>
        <v>18</v>
      </c>
      <c r="M122" s="1374"/>
      <c r="N122" s="665"/>
      <c r="O122" s="2086"/>
      <c r="P122" s="2935"/>
      <c r="Q122" s="558"/>
      <c r="R122" s="2086"/>
      <c r="S122" s="263"/>
      <c r="T122" s="263"/>
      <c r="U122" s="263"/>
      <c r="V122" s="263"/>
      <c r="W122" s="2086"/>
      <c r="X122" s="1503"/>
      <c r="Y122" s="1410"/>
      <c r="Z122" s="2655"/>
      <c r="AA122" s="1410"/>
      <c r="AB122" s="2655"/>
      <c r="AC122" s="1410"/>
      <c r="AD122" s="2655"/>
      <c r="AE122" s="1410"/>
      <c r="AF122" s="2656"/>
      <c r="AG122" s="1410"/>
      <c r="AH122" s="1410"/>
      <c r="AI122" s="1410"/>
      <c r="AJ122" s="1410"/>
      <c r="AK122" s="1410"/>
      <c r="AL122" s="1410"/>
    </row>
    <row r="123" spans="1:46" s="983" customFormat="1" ht="15.75" customHeight="1">
      <c r="A123" s="78"/>
      <c r="B123" s="3391">
        <v>19</v>
      </c>
      <c r="C123" s="3544" t="s">
        <v>1923</v>
      </c>
      <c r="D123" s="273"/>
      <c r="E123" s="230"/>
      <c r="F123" s="230"/>
      <c r="G123" s="231"/>
      <c r="H123" s="231"/>
      <c r="I123" s="231"/>
      <c r="J123" s="231"/>
      <c r="K123" s="1243" t="s">
        <v>428</v>
      </c>
      <c r="L123" s="333">
        <f>B123</f>
        <v>19</v>
      </c>
      <c r="M123" s="1374"/>
      <c r="N123" s="665"/>
      <c r="O123" s="2086"/>
      <c r="P123" s="2935"/>
      <c r="Q123" s="558"/>
      <c r="R123" s="2086"/>
      <c r="S123" s="263"/>
      <c r="T123" s="263"/>
      <c r="U123" s="263"/>
      <c r="V123" s="263"/>
      <c r="W123" s="2086"/>
      <c r="X123" s="1185"/>
      <c r="Y123" s="1410"/>
      <c r="Z123" s="2655"/>
      <c r="AA123" s="1410"/>
      <c r="AB123" s="2655"/>
      <c r="AC123" s="1410"/>
      <c r="AD123" s="2655"/>
      <c r="AE123" s="1410"/>
      <c r="AF123" s="2656"/>
      <c r="AG123" s="1410"/>
      <c r="AH123" s="1410"/>
      <c r="AI123" s="1410"/>
      <c r="AJ123" s="1410"/>
      <c r="AK123" s="1410"/>
      <c r="AL123" s="1410"/>
      <c r="AM123" s="2595"/>
      <c r="AN123" s="2595"/>
      <c r="AO123" s="2595"/>
      <c r="AP123" s="2595"/>
      <c r="AQ123" s="2595"/>
      <c r="AR123" s="2595"/>
      <c r="AS123" s="2595"/>
      <c r="AT123" s="2595"/>
    </row>
    <row r="124" spans="1:46" ht="12" customHeight="1">
      <c r="A124" s="78"/>
      <c r="B124" s="154">
        <v>20</v>
      </c>
      <c r="C124" s="218" t="s">
        <v>5468</v>
      </c>
      <c r="D124" s="273"/>
      <c r="E124" s="230"/>
      <c r="F124" s="230"/>
      <c r="G124" s="231"/>
      <c r="H124" s="231"/>
      <c r="I124" s="231"/>
      <c r="J124" s="231"/>
      <c r="K124" s="155"/>
      <c r="L124" s="2371"/>
      <c r="M124" s="1398"/>
      <c r="N124" s="665"/>
      <c r="O124" s="2086"/>
      <c r="P124" s="2935"/>
      <c r="Q124" s="582"/>
      <c r="R124" s="2086"/>
      <c r="S124" s="263"/>
      <c r="T124" s="263"/>
      <c r="U124" s="263"/>
      <c r="V124" s="263"/>
      <c r="W124" s="2086"/>
      <c r="X124" s="1185"/>
      <c r="Y124" s="1410"/>
      <c r="Z124" s="2655"/>
      <c r="AA124" s="1410"/>
      <c r="AB124" s="2655"/>
      <c r="AC124" s="1410"/>
      <c r="AD124" s="2655"/>
      <c r="AE124" s="1410"/>
      <c r="AF124" s="2656"/>
      <c r="AG124" s="1410"/>
      <c r="AH124" s="1410"/>
      <c r="AI124" s="1407"/>
      <c r="AJ124" s="1407"/>
      <c r="AK124" s="1407"/>
      <c r="AL124" s="1407"/>
    </row>
    <row r="125" spans="1:46" s="983" customFormat="1" ht="12" customHeight="1">
      <c r="A125" s="78"/>
      <c r="B125" s="154"/>
      <c r="C125" s="392" t="s">
        <v>5469</v>
      </c>
      <c r="D125" s="273"/>
      <c r="E125" s="392"/>
      <c r="F125" s="230"/>
      <c r="G125" s="231"/>
      <c r="H125" s="231"/>
      <c r="I125" s="231"/>
      <c r="J125" s="231"/>
      <c r="K125" s="1243" t="s">
        <v>1055</v>
      </c>
      <c r="L125" s="333">
        <f>B124</f>
        <v>20</v>
      </c>
      <c r="M125" s="1373">
        <f>IF(Q125&lt;&gt;"",ROUND(Q125,0),SUM(M122,M123))</f>
        <v>0</v>
      </c>
      <c r="N125" s="666"/>
      <c r="O125" s="1185"/>
      <c r="P125" s="2936"/>
      <c r="Q125" s="444"/>
      <c r="R125" s="1185"/>
      <c r="S125" s="263"/>
      <c r="T125" s="263"/>
      <c r="U125" s="263"/>
      <c r="V125" s="263"/>
      <c r="W125" s="2086"/>
      <c r="X125" s="2086"/>
      <c r="Y125" s="1410"/>
      <c r="Z125" s="2655"/>
      <c r="AA125" s="1410"/>
      <c r="AB125" s="2655"/>
      <c r="AC125" s="1410"/>
      <c r="AD125" s="2655"/>
      <c r="AE125" s="1410"/>
      <c r="AF125" s="2656"/>
      <c r="AG125" s="1410"/>
      <c r="AH125" s="1410"/>
      <c r="AI125" s="1410"/>
      <c r="AJ125" s="1410"/>
      <c r="AK125" s="1410"/>
      <c r="AL125" s="1410"/>
      <c r="AM125" s="2595"/>
      <c r="AN125" s="2595"/>
      <c r="AO125" s="2595"/>
      <c r="AP125" s="2595"/>
      <c r="AQ125" s="2595"/>
      <c r="AR125" s="2595"/>
      <c r="AS125" s="2595"/>
      <c r="AT125" s="2595"/>
    </row>
    <row r="126" spans="1:46" ht="12" customHeight="1">
      <c r="A126" s="78"/>
      <c r="B126" s="154">
        <v>21</v>
      </c>
      <c r="C126" s="218" t="s">
        <v>2440</v>
      </c>
      <c r="D126" s="3534"/>
      <c r="E126" s="392" t="str">
        <f>"Multiply line 20 by "&amp;TEXT(M126,"0%")&amp;" ("&amp;TEXT(M126,".00")&amp;"). Include this amount in the total on Schedule 2"</f>
        <v>Multiply line 20 by 10% (.10). Include this amount in the total on Schedule 2</v>
      </c>
      <c r="F126" s="3532"/>
      <c r="G126" s="3535"/>
      <c r="H126" s="3533"/>
      <c r="I126" s="3533"/>
      <c r="J126" s="3533"/>
      <c r="K126" s="2382"/>
      <c r="L126" s="2371"/>
      <c r="M126" s="2385">
        <v>0.1</v>
      </c>
      <c r="N126" s="665"/>
      <c r="O126" s="2086"/>
      <c r="P126" s="2935"/>
      <c r="Q126" s="582"/>
      <c r="R126" s="2086"/>
      <c r="S126" s="263"/>
      <c r="T126" s="263"/>
      <c r="U126" s="263"/>
      <c r="V126" s="263"/>
      <c r="W126" s="2086"/>
      <c r="X126" s="1185"/>
      <c r="Y126" s="1410"/>
      <c r="Z126" s="2655"/>
      <c r="AA126" s="1410"/>
      <c r="AB126" s="2655"/>
      <c r="AC126" s="1410"/>
      <c r="AD126" s="2655"/>
      <c r="AE126" s="1410"/>
      <c r="AF126" s="2656"/>
      <c r="AG126" s="1410"/>
      <c r="AH126" s="1410"/>
      <c r="AI126" s="1407"/>
      <c r="AJ126" s="1407"/>
      <c r="AK126" s="1407"/>
      <c r="AL126" s="1407"/>
    </row>
    <row r="127" spans="1:46" s="983" customFormat="1" ht="12" customHeight="1" thickBot="1">
      <c r="A127" s="78"/>
      <c r="B127" s="155"/>
      <c r="C127" s="3544" t="s">
        <v>5467</v>
      </c>
      <c r="D127" s="178"/>
      <c r="E127" s="230"/>
      <c r="F127" s="230"/>
      <c r="G127" s="231"/>
      <c r="H127" s="155"/>
      <c r="I127" s="155"/>
      <c r="J127" s="155"/>
      <c r="K127" s="1243"/>
      <c r="L127" s="333">
        <f>B126</f>
        <v>21</v>
      </c>
      <c r="M127" s="1373">
        <f>IF(Q127&lt;&gt;"",ROUND(Q127,0),M125*M126)</f>
        <v>0</v>
      </c>
      <c r="N127" s="666"/>
      <c r="O127" s="1185"/>
      <c r="P127" s="2936"/>
      <c r="Q127" s="444"/>
      <c r="R127" s="1185"/>
      <c r="S127" s="263"/>
      <c r="T127" s="263"/>
      <c r="U127" s="263"/>
      <c r="V127" s="263"/>
      <c r="W127" s="2086"/>
      <c r="X127" s="1185"/>
      <c r="Y127" s="1410"/>
      <c r="Z127" s="2655"/>
      <c r="AA127" s="1410"/>
      <c r="AB127" s="2655"/>
      <c r="AC127" s="1410"/>
      <c r="AD127" s="2655"/>
      <c r="AE127" s="1410"/>
      <c r="AF127" s="2656"/>
      <c r="AG127" s="1410"/>
      <c r="AH127" s="1410"/>
      <c r="AI127" s="1410"/>
      <c r="AJ127" s="1410"/>
      <c r="AK127" s="1410"/>
      <c r="AL127" s="1410"/>
      <c r="AM127" s="2595"/>
      <c r="AN127" s="2595"/>
      <c r="AO127" s="2595"/>
      <c r="AP127" s="2595"/>
      <c r="AQ127" s="2595"/>
      <c r="AR127" s="2595"/>
      <c r="AS127" s="2595"/>
      <c r="AT127" s="2595"/>
    </row>
    <row r="128" spans="1:46" ht="12" customHeight="1" thickBot="1">
      <c r="A128" s="78"/>
      <c r="B128" s="159" t="s">
        <v>484</v>
      </c>
      <c r="C128" s="265"/>
      <c r="D128" s="265"/>
      <c r="E128" s="265"/>
      <c r="F128" s="265"/>
      <c r="G128" s="560"/>
      <c r="H128" s="561"/>
      <c r="I128" s="4754" t="s">
        <v>1917</v>
      </c>
      <c r="J128" s="691"/>
      <c r="K128" s="560"/>
      <c r="L128" s="562" t="s">
        <v>1918</v>
      </c>
      <c r="M128" s="1010" t="str">
        <f>"  ("&amp;TaxYear&amp;")"</f>
        <v xml:space="preserve">  (2021)</v>
      </c>
      <c r="N128" s="672"/>
      <c r="O128" s="1185"/>
      <c r="P128" s="2935"/>
      <c r="Q128" s="558"/>
      <c r="R128" s="1185"/>
      <c r="S128" s="263"/>
      <c r="T128" s="263"/>
      <c r="U128" s="263"/>
      <c r="V128" s="263"/>
      <c r="W128" s="2086"/>
      <c r="X128" s="1185"/>
      <c r="Y128" s="1410"/>
      <c r="Z128" s="2655"/>
      <c r="AA128" s="1410"/>
      <c r="AB128" s="2655"/>
      <c r="AC128" s="1410"/>
      <c r="AD128" s="2655"/>
      <c r="AE128" s="1410"/>
      <c r="AF128" s="2656"/>
      <c r="AG128" s="1410"/>
      <c r="AH128" s="1410"/>
      <c r="AI128" s="1407"/>
      <c r="AJ128" s="1407"/>
      <c r="AK128" s="1407"/>
      <c r="AL128" s="1407"/>
    </row>
    <row r="129" spans="1:46" ht="12" customHeight="1" thickTop="1" thickBot="1">
      <c r="A129" s="78"/>
      <c r="B129" s="675"/>
      <c r="C129" s="567"/>
      <c r="D129" s="567"/>
      <c r="E129" s="78"/>
      <c r="F129" s="78"/>
      <c r="G129" s="78"/>
      <c r="H129" s="78"/>
      <c r="I129" s="78"/>
      <c r="J129" s="676"/>
      <c r="K129" s="676"/>
      <c r="L129" s="676"/>
      <c r="M129" s="676"/>
      <c r="N129" s="673"/>
      <c r="O129" s="1185"/>
      <c r="P129" s="4755"/>
      <c r="Q129" s="558"/>
      <c r="R129" s="1185"/>
      <c r="S129" s="263"/>
      <c r="T129" s="263"/>
      <c r="U129" s="263"/>
      <c r="V129" s="263"/>
      <c r="W129" s="2086"/>
      <c r="X129" s="2086"/>
      <c r="Y129" s="2086"/>
      <c r="Z129" s="2086"/>
      <c r="AA129" s="2086"/>
      <c r="AB129" s="2086"/>
      <c r="AC129" s="2086"/>
      <c r="AD129" s="2086"/>
      <c r="AE129" s="2086"/>
      <c r="AF129" s="2086"/>
      <c r="AG129" s="2086"/>
      <c r="AH129" s="2086"/>
      <c r="AI129" s="263"/>
      <c r="AJ129" s="263"/>
      <c r="AK129" s="263"/>
      <c r="AL129" s="263"/>
    </row>
    <row r="130" spans="1:46" s="237" customFormat="1" ht="15" customHeight="1" thickTop="1" thickBot="1">
      <c r="A130" s="42"/>
      <c r="B130" s="147"/>
      <c r="C130" s="261"/>
      <c r="D130" s="261"/>
      <c r="E130" s="42"/>
      <c r="F130" s="42"/>
      <c r="G130" s="42"/>
      <c r="H130" s="42"/>
      <c r="I130" s="42"/>
      <c r="J130" s="266"/>
      <c r="K130" s="42"/>
      <c r="L130" s="2388"/>
      <c r="M130" s="42"/>
      <c r="N130" s="2387"/>
      <c r="O130" s="235"/>
      <c r="P130" s="1430"/>
      <c r="R130" s="235"/>
      <c r="S130" s="263"/>
      <c r="T130" s="263"/>
      <c r="U130" s="263"/>
      <c r="V130" s="263"/>
      <c r="W130" s="2086"/>
      <c r="X130" s="2086"/>
      <c r="Y130" s="2086"/>
      <c r="Z130" s="2086"/>
      <c r="AA130" s="2086"/>
      <c r="AB130" s="2086"/>
      <c r="AC130" s="2086"/>
      <c r="AD130" s="2086"/>
      <c r="AE130" s="2086"/>
      <c r="AF130" s="2086"/>
      <c r="AG130" s="2086"/>
      <c r="AH130" s="2086"/>
      <c r="AI130" s="263"/>
      <c r="AJ130" s="263"/>
      <c r="AK130" s="263"/>
      <c r="AL130" s="263"/>
      <c r="AM130" s="2595"/>
      <c r="AN130" s="2595"/>
      <c r="AO130" s="2595"/>
      <c r="AP130" s="2595"/>
      <c r="AQ130" s="2595"/>
      <c r="AR130" s="2595"/>
      <c r="AS130" s="2595"/>
      <c r="AT130" s="2595"/>
    </row>
    <row r="131" spans="1:46" s="237" customFormat="1" ht="15" customHeight="1" thickTop="1" thickBot="1">
      <c r="A131" s="42"/>
      <c r="B131" s="147"/>
      <c r="C131" s="8927" t="s">
        <v>1924</v>
      </c>
      <c r="D131" s="8928"/>
      <c r="E131" s="8928"/>
      <c r="F131" s="8928"/>
      <c r="G131" s="8929"/>
      <c r="H131" s="266"/>
      <c r="I131" s="266"/>
      <c r="J131"/>
      <c r="K131" s="2389" t="s">
        <v>1931</v>
      </c>
      <c r="L131" s="2389"/>
      <c r="M131" s="1308" t="s">
        <v>1730</v>
      </c>
      <c r="N131" s="2389"/>
      <c r="O131" s="235"/>
      <c r="P131" s="1308"/>
      <c r="R131" s="235"/>
      <c r="S131" s="263"/>
      <c r="T131" s="263"/>
      <c r="U131" s="263"/>
      <c r="V131" s="263"/>
      <c r="W131" s="263"/>
      <c r="X131" s="2086"/>
      <c r="Y131" s="2086"/>
      <c r="Z131" s="2086"/>
      <c r="AA131" s="2086"/>
      <c r="AB131" s="2086"/>
      <c r="AC131" s="2086"/>
      <c r="AD131" s="2086"/>
      <c r="AE131" s="2086"/>
      <c r="AF131" s="2086"/>
      <c r="AG131" s="2086"/>
      <c r="AH131" s="2086"/>
      <c r="AI131" s="263"/>
      <c r="AJ131" s="263"/>
      <c r="AK131" s="263"/>
      <c r="AL131" s="263"/>
      <c r="AM131" s="2595"/>
      <c r="AN131" s="2595"/>
      <c r="AO131" s="2595"/>
      <c r="AP131" s="2595"/>
      <c r="AQ131" s="2595"/>
      <c r="AR131" s="2595"/>
      <c r="AS131" s="2595"/>
      <c r="AT131" s="2595"/>
    </row>
    <row r="132" spans="1:46" s="237" customFormat="1" ht="24" customHeight="1" thickTop="1" thickBot="1">
      <c r="A132" s="42"/>
      <c r="B132" s="147"/>
      <c r="C132" s="261"/>
      <c r="D132" s="261"/>
      <c r="E132" s="42"/>
      <c r="F132" s="42"/>
      <c r="G132" s="266"/>
      <c r="H132" s="266"/>
      <c r="I132" s="266"/>
      <c r="J132"/>
      <c r="K132" s="1271"/>
      <c r="L132" s="2387"/>
      <c r="M132" s="2387"/>
      <c r="N132" s="2387"/>
      <c r="O132" s="235"/>
      <c r="P132" s="1308"/>
      <c r="R132" s="235"/>
      <c r="S132" s="263"/>
      <c r="T132" s="263"/>
      <c r="U132" s="263"/>
      <c r="V132" s="263"/>
      <c r="W132" s="263"/>
      <c r="X132" s="2086"/>
      <c r="Y132" s="2086"/>
      <c r="Z132" s="2086"/>
      <c r="AA132" s="2086"/>
      <c r="AB132" s="2086"/>
      <c r="AC132" s="2086"/>
      <c r="AD132" s="2086"/>
      <c r="AE132" s="2086"/>
      <c r="AF132" s="2086"/>
      <c r="AG132" s="2086"/>
      <c r="AH132" s="2086"/>
      <c r="AI132" s="263"/>
      <c r="AJ132" s="263"/>
      <c r="AK132" s="263"/>
      <c r="AL132" s="263"/>
      <c r="AM132" s="2595"/>
      <c r="AN132" s="2595"/>
      <c r="AO132" s="2595"/>
      <c r="AP132" s="2595"/>
      <c r="AQ132" s="2595"/>
      <c r="AR132" s="2595"/>
      <c r="AS132" s="2595"/>
      <c r="AT132" s="2595"/>
    </row>
    <row r="133" spans="1:46" s="237" customFormat="1" ht="15" customHeight="1" thickTop="1" thickBot="1">
      <c r="A133" s="42"/>
      <c r="B133" s="147"/>
      <c r="C133" s="8927" t="s">
        <v>1925</v>
      </c>
      <c r="D133" s="8928"/>
      <c r="E133" s="8928"/>
      <c r="F133" s="8928"/>
      <c r="G133" s="8929"/>
      <c r="H133" s="266"/>
      <c r="I133" s="266"/>
      <c r="J133"/>
      <c r="K133" s="1308" t="s">
        <v>1933</v>
      </c>
      <c r="L133" s="2387"/>
      <c r="M133" s="2387" t="s">
        <v>1934</v>
      </c>
      <c r="N133" s="2387"/>
      <c r="O133" s="235"/>
      <c r="P133" s="1308"/>
      <c r="R133" s="235"/>
      <c r="S133" s="263"/>
      <c r="T133" s="263"/>
      <c r="U133" s="263"/>
      <c r="V133" s="263"/>
      <c r="W133" s="263"/>
      <c r="X133" s="235"/>
      <c r="Y133" s="1357"/>
      <c r="Z133" s="2632"/>
      <c r="AA133" s="1357"/>
      <c r="AB133" s="2632"/>
      <c r="AC133" s="1357"/>
      <c r="AD133" s="2632"/>
      <c r="AE133" s="1357"/>
      <c r="AF133" s="2633"/>
      <c r="AG133" s="1357"/>
      <c r="AH133" s="1357"/>
      <c r="AI133" s="1357"/>
      <c r="AJ133" s="1357"/>
      <c r="AK133" s="1357"/>
      <c r="AL133" s="1357"/>
      <c r="AM133" s="2595"/>
      <c r="AN133" s="2595"/>
      <c r="AO133" s="2595"/>
      <c r="AP133" s="2595"/>
      <c r="AQ133" s="2595"/>
      <c r="AR133" s="2595"/>
      <c r="AS133" s="2595"/>
      <c r="AT133" s="2595"/>
    </row>
    <row r="134" spans="1:46" s="237" customFormat="1" ht="8.25" customHeight="1" thickTop="1">
      <c r="A134" s="42"/>
      <c r="B134"/>
      <c r="C134"/>
      <c r="D134"/>
      <c r="E134"/>
      <c r="F134"/>
      <c r="G134"/>
      <c r="H134"/>
      <c r="I134"/>
      <c r="J134"/>
      <c r="K134"/>
      <c r="L134"/>
      <c r="M134"/>
      <c r="N134"/>
      <c r="O134" s="235"/>
      <c r="P134" s="1308"/>
      <c r="R134" s="235"/>
      <c r="S134" s="263"/>
      <c r="T134" s="263"/>
      <c r="U134" s="263"/>
      <c r="V134" s="263"/>
      <c r="W134" s="263"/>
      <c r="X134" s="235"/>
      <c r="Y134" s="1357"/>
      <c r="Z134" s="2632"/>
      <c r="AA134" s="1357"/>
      <c r="AB134" s="2632"/>
      <c r="AC134" s="1357"/>
      <c r="AD134" s="2632"/>
      <c r="AE134" s="1357"/>
      <c r="AF134" s="2633"/>
      <c r="AG134" s="1357"/>
      <c r="AH134" s="1357"/>
      <c r="AI134" s="1357"/>
      <c r="AJ134" s="1357"/>
      <c r="AK134" s="1357"/>
      <c r="AL134" s="1357"/>
      <c r="AM134" s="2595"/>
      <c r="AN134" s="2595"/>
      <c r="AO134" s="2595"/>
      <c r="AP134" s="2595"/>
      <c r="AQ134" s="2595"/>
      <c r="AR134" s="2595"/>
      <c r="AS134" s="2595"/>
      <c r="AT134" s="2595"/>
    </row>
    <row r="135" spans="1:46" s="237" customFormat="1" ht="17.25" customHeight="1">
      <c r="A135" s="42"/>
      <c r="B135"/>
      <c r="C135"/>
      <c r="D135"/>
      <c r="E135"/>
      <c r="F135"/>
      <c r="G135"/>
      <c r="H135" s="1686"/>
      <c r="I135" s="1687"/>
      <c r="J135" s="1687"/>
      <c r="K135" s="1687"/>
      <c r="L135" s="1687"/>
      <c r="M135" s="1687"/>
      <c r="N135" s="1687"/>
      <c r="O135" s="4268"/>
      <c r="P135" s="1308"/>
      <c r="R135" s="235"/>
      <c r="S135" s="263"/>
      <c r="T135" s="263"/>
      <c r="U135" s="263"/>
      <c r="V135" s="263"/>
      <c r="W135" s="263"/>
      <c r="X135" s="235"/>
      <c r="Y135" s="1357"/>
      <c r="Z135" s="2632"/>
      <c r="AA135" s="1357"/>
      <c r="AB135" s="2632"/>
      <c r="AC135" s="1357"/>
      <c r="AD135" s="2632"/>
      <c r="AE135" s="1357"/>
      <c r="AF135" s="2633"/>
      <c r="AG135" s="1357"/>
      <c r="AH135" s="1357"/>
      <c r="AI135" s="1357"/>
      <c r="AJ135" s="1357"/>
      <c r="AK135" s="1357"/>
      <c r="AL135" s="1357"/>
      <c r="AM135" s="2595"/>
      <c r="AN135" s="2595"/>
      <c r="AO135" s="2595"/>
      <c r="AP135" s="2595"/>
      <c r="AQ135" s="2595"/>
      <c r="AR135" s="2595"/>
      <c r="AS135" s="2595"/>
      <c r="AT135" s="2595"/>
    </row>
    <row r="136" spans="1:46" s="237" customFormat="1" ht="12.75" customHeight="1">
      <c r="A136" s="42"/>
      <c r="B136"/>
      <c r="C136"/>
      <c r="D136"/>
      <c r="E136"/>
      <c r="F136"/>
      <c r="G136"/>
      <c r="H136" s="2355"/>
      <c r="I136" s="1145"/>
      <c r="J136" s="1145"/>
      <c r="K136" s="5627" t="s">
        <v>202</v>
      </c>
      <c r="L136" s="1145"/>
      <c r="M136" s="4263" t="s">
        <v>2441</v>
      </c>
      <c r="N136" s="1145"/>
      <c r="O136" s="1304"/>
      <c r="P136" s="1308"/>
      <c r="R136" s="235"/>
      <c r="S136" s="263"/>
      <c r="T136" s="263"/>
      <c r="U136" s="263"/>
      <c r="V136" s="263"/>
      <c r="W136" s="263"/>
      <c r="X136" s="235"/>
      <c r="Y136" s="1357"/>
      <c r="Z136" s="2632"/>
      <c r="AA136" s="1357"/>
      <c r="AB136" s="2632"/>
      <c r="AC136" s="1357"/>
      <c r="AD136" s="2632"/>
      <c r="AE136" s="1357"/>
      <c r="AF136" s="2633"/>
      <c r="AG136" s="1357"/>
      <c r="AH136" s="1357"/>
      <c r="AI136" s="1357"/>
      <c r="AJ136" s="1357"/>
      <c r="AK136" s="1357"/>
      <c r="AL136" s="1357"/>
      <c r="AM136" s="2595"/>
      <c r="AN136" s="2595"/>
      <c r="AO136" s="2595"/>
      <c r="AP136" s="2595"/>
      <c r="AQ136" s="2595"/>
      <c r="AR136" s="2595"/>
      <c r="AS136" s="2595"/>
      <c r="AT136" s="2595"/>
    </row>
    <row r="137" spans="1:46" s="237" customFormat="1" ht="12.75" customHeight="1">
      <c r="A137" s="42"/>
      <c r="B137"/>
      <c r="C137"/>
      <c r="D137"/>
      <c r="E137"/>
      <c r="F137"/>
      <c r="G137"/>
      <c r="H137" s="2355"/>
      <c r="I137" s="1145"/>
      <c r="J137" s="1145"/>
      <c r="K137" s="1145"/>
      <c r="L137" s="1145"/>
      <c r="M137" s="4263"/>
      <c r="N137" s="1145"/>
      <c r="O137" s="1304"/>
      <c r="P137" s="1308"/>
      <c r="R137" s="235"/>
      <c r="S137" s="263"/>
      <c r="T137" s="263"/>
      <c r="U137" s="263"/>
      <c r="V137" s="263"/>
      <c r="W137" s="263"/>
      <c r="X137" s="235"/>
      <c r="Y137" s="1357"/>
      <c r="Z137" s="2632"/>
      <c r="AA137" s="1357"/>
      <c r="AB137" s="2632"/>
      <c r="AC137" s="1357"/>
      <c r="AD137" s="2632"/>
      <c r="AE137" s="1357"/>
      <c r="AF137" s="2633"/>
      <c r="AG137" s="1357"/>
      <c r="AH137" s="1357"/>
      <c r="AI137" s="1357"/>
      <c r="AJ137" s="1357"/>
      <c r="AK137" s="1357"/>
      <c r="AL137" s="1357"/>
      <c r="AM137" s="2595"/>
      <c r="AN137" s="2595"/>
      <c r="AO137" s="2595"/>
      <c r="AP137" s="2595"/>
      <c r="AQ137" s="2595"/>
      <c r="AR137" s="2595"/>
      <c r="AS137" s="2595"/>
      <c r="AT137" s="2595"/>
    </row>
    <row r="138" spans="1:46" s="237" customFormat="1" ht="12.75" customHeight="1">
      <c r="A138" s="42"/>
      <c r="B138"/>
      <c r="C138"/>
      <c r="D138"/>
      <c r="E138"/>
      <c r="F138" s="1357"/>
      <c r="G138"/>
      <c r="H138" s="1689"/>
      <c r="I138" s="1410" t="s">
        <v>5464</v>
      </c>
      <c r="J138" s="4264"/>
      <c r="K138" s="3300">
        <f>ROUND(SUM(M39,M102),0)</f>
        <v>0</v>
      </c>
      <c r="L138" s="1145"/>
      <c r="M138" s="2977" t="s">
        <v>5461</v>
      </c>
      <c r="N138" s="1145"/>
      <c r="O138" s="1304"/>
      <c r="P138" s="1308"/>
      <c r="R138" s="235"/>
      <c r="S138" s="263"/>
      <c r="T138" s="263"/>
      <c r="U138" s="263"/>
      <c r="V138" s="263"/>
      <c r="W138" s="263"/>
      <c r="X138" s="235"/>
      <c r="Y138" s="1357"/>
      <c r="Z138" s="2632"/>
      <c r="AA138" s="1357"/>
      <c r="AB138" s="2632"/>
      <c r="AC138" s="1357"/>
      <c r="AD138" s="2632"/>
      <c r="AE138" s="1357"/>
      <c r="AF138" s="2633"/>
      <c r="AG138" s="1357"/>
      <c r="AH138" s="1357"/>
      <c r="AI138" s="1357"/>
      <c r="AJ138" s="1357"/>
      <c r="AK138" s="1357"/>
      <c r="AL138" s="1357"/>
      <c r="AM138" s="2595"/>
      <c r="AN138" s="2595"/>
      <c r="AO138" s="2595"/>
      <c r="AP138" s="2595"/>
      <c r="AQ138" s="2595"/>
      <c r="AR138" s="2595"/>
      <c r="AS138" s="2595"/>
      <c r="AT138" s="2595"/>
    </row>
    <row r="139" spans="1:46" s="237" customFormat="1" ht="12.75" customHeight="1">
      <c r="A139" s="42"/>
      <c r="B139"/>
      <c r="C139"/>
      <c r="D139"/>
      <c r="E139"/>
      <c r="F139"/>
      <c r="G139"/>
      <c r="H139" s="1689"/>
      <c r="I139" s="1145"/>
      <c r="J139" s="1145"/>
      <c r="K139" s="4265" t="s">
        <v>1931</v>
      </c>
      <c r="L139" s="1145"/>
      <c r="M139" s="1453"/>
      <c r="N139" s="1145"/>
      <c r="O139" s="1304"/>
      <c r="P139" s="1308"/>
      <c r="R139" s="235"/>
      <c r="S139" s="263"/>
      <c r="T139" s="263"/>
      <c r="U139" s="263"/>
      <c r="V139" s="263"/>
      <c r="W139" s="1291"/>
      <c r="X139" s="235"/>
      <c r="Y139" s="1357"/>
      <c r="Z139" s="2632"/>
      <c r="AA139" s="1357"/>
      <c r="AB139" s="2632"/>
      <c r="AC139" s="1357"/>
      <c r="AD139" s="2632"/>
      <c r="AE139" s="1357"/>
      <c r="AF139" s="2633"/>
      <c r="AG139" s="1357"/>
      <c r="AH139" s="1357"/>
      <c r="AI139" s="1357"/>
      <c r="AJ139" s="1357"/>
      <c r="AK139" s="1357"/>
      <c r="AL139" s="1357"/>
      <c r="AM139" s="2595"/>
      <c r="AN139" s="2595"/>
      <c r="AO139" s="2595"/>
      <c r="AP139" s="2595"/>
      <c r="AQ139" s="2595"/>
      <c r="AR139" s="2595"/>
      <c r="AS139" s="2595"/>
      <c r="AT139" s="2595"/>
    </row>
    <row r="140" spans="1:46" s="237" customFormat="1" ht="12.75" customHeight="1">
      <c r="A140" s="42"/>
      <c r="B140"/>
      <c r="C140"/>
      <c r="D140"/>
      <c r="E140"/>
      <c r="F140"/>
      <c r="G140"/>
      <c r="H140" s="1689"/>
      <c r="I140" s="1145"/>
      <c r="J140" s="1145"/>
      <c r="K140" s="1145"/>
      <c r="L140" s="1145"/>
      <c r="M140" s="1453"/>
      <c r="N140" s="1145"/>
      <c r="O140" s="1304"/>
      <c r="P140" s="1308"/>
      <c r="R140" s="235"/>
      <c r="S140" s="263"/>
      <c r="T140" s="263"/>
      <c r="U140" s="263"/>
      <c r="V140" s="263"/>
      <c r="W140" s="1291"/>
      <c r="X140" s="235"/>
      <c r="Y140" s="1357"/>
      <c r="Z140" s="2632"/>
      <c r="AA140" s="1357"/>
      <c r="AB140" s="2632"/>
      <c r="AC140" s="1357"/>
      <c r="AD140" s="2632"/>
      <c r="AE140" s="1357"/>
      <c r="AF140" s="2633"/>
      <c r="AG140" s="1357"/>
      <c r="AH140" s="1357"/>
      <c r="AI140" s="1357"/>
      <c r="AJ140" s="1357"/>
      <c r="AK140" s="1357"/>
      <c r="AL140" s="1357"/>
      <c r="AM140" s="2595"/>
      <c r="AN140" s="2595"/>
      <c r="AO140" s="2595"/>
      <c r="AP140" s="2595"/>
      <c r="AQ140" s="2595"/>
      <c r="AR140" s="2595"/>
      <c r="AS140" s="2595"/>
      <c r="AT140" s="2595"/>
    </row>
    <row r="141" spans="1:46" s="237" customFormat="1" ht="12.75" customHeight="1">
      <c r="A141" s="42"/>
      <c r="B141"/>
      <c r="C141"/>
      <c r="D141"/>
      <c r="E141"/>
      <c r="F141"/>
      <c r="G141"/>
      <c r="H141" s="1689"/>
      <c r="I141" s="1410" t="s">
        <v>5464</v>
      </c>
      <c r="J141" s="4264"/>
      <c r="K141" s="3300">
        <f>ROUND(SUM(M50,M113),0)</f>
        <v>0</v>
      </c>
      <c r="L141" s="1145"/>
      <c r="M141" s="2977" t="s">
        <v>5462</v>
      </c>
      <c r="N141" s="1145"/>
      <c r="O141" s="1304"/>
      <c r="P141" s="1308"/>
      <c r="R141" s="235"/>
      <c r="S141" s="263"/>
      <c r="T141" s="263"/>
      <c r="U141" s="263"/>
      <c r="V141" s="263"/>
      <c r="W141" s="1291"/>
      <c r="X141" s="235"/>
      <c r="Y141" s="1357"/>
      <c r="Z141" s="2632"/>
      <c r="AA141" s="1357"/>
      <c r="AB141" s="2632"/>
      <c r="AC141" s="1357"/>
      <c r="AD141" s="2632"/>
      <c r="AE141" s="1357"/>
      <c r="AF141" s="2633"/>
      <c r="AG141" s="1357"/>
      <c r="AH141" s="1357"/>
      <c r="AI141" s="1357"/>
      <c r="AJ141" s="1357"/>
      <c r="AK141" s="1357"/>
      <c r="AL141" s="1357"/>
      <c r="AM141" s="2595"/>
      <c r="AN141" s="2595"/>
      <c r="AO141" s="2595"/>
      <c r="AP141" s="2595"/>
      <c r="AQ141" s="2595"/>
      <c r="AR141" s="2595"/>
      <c r="AS141" s="2595"/>
      <c r="AT141" s="2595"/>
    </row>
    <row r="142" spans="1:46" s="237" customFormat="1" ht="12.75" customHeight="1">
      <c r="A142" s="989"/>
      <c r="B142" s="1357"/>
      <c r="C142" s="1357"/>
      <c r="D142" s="1357"/>
      <c r="E142" s="1357"/>
      <c r="F142" s="1357"/>
      <c r="G142" s="1357"/>
      <c r="H142" s="2355"/>
      <c r="I142" s="1410"/>
      <c r="J142" s="1410"/>
      <c r="K142" s="4265" t="s">
        <v>1730</v>
      </c>
      <c r="L142" s="1145"/>
      <c r="M142" s="2977"/>
      <c r="N142" s="4266"/>
      <c r="O142" s="2356"/>
      <c r="P142" s="1308"/>
      <c r="Q142" s="1357"/>
      <c r="R142" s="1357"/>
      <c r="S142" s="263"/>
      <c r="T142" s="263"/>
      <c r="U142" s="263"/>
      <c r="V142" s="263"/>
      <c r="W142" s="1291"/>
      <c r="X142" s="235"/>
      <c r="Y142" s="1357"/>
      <c r="Z142" s="2632"/>
      <c r="AA142" s="1357"/>
      <c r="AB142" s="2632"/>
      <c r="AC142" s="1357"/>
      <c r="AD142" s="2632"/>
      <c r="AE142" s="1357"/>
      <c r="AF142" s="2633"/>
      <c r="AG142" s="1357"/>
      <c r="AH142" s="1357"/>
      <c r="AI142" s="1357"/>
      <c r="AJ142" s="1357"/>
      <c r="AK142" s="1357"/>
      <c r="AL142" s="1357"/>
      <c r="AM142" s="2595"/>
      <c r="AN142" s="2595"/>
      <c r="AO142" s="2595"/>
      <c r="AP142" s="2595"/>
      <c r="AQ142" s="2595"/>
      <c r="AR142" s="2595"/>
      <c r="AS142" s="2595"/>
      <c r="AT142" s="2595"/>
    </row>
    <row r="143" spans="1:46" s="237" customFormat="1" ht="12.75" customHeight="1">
      <c r="A143" s="989"/>
      <c r="B143" s="1357"/>
      <c r="C143" s="1357"/>
      <c r="D143" s="1357"/>
      <c r="E143" s="1357"/>
      <c r="F143" s="1357"/>
      <c r="G143" s="1357"/>
      <c r="H143" s="2355"/>
      <c r="I143" s="1410"/>
      <c r="J143" s="1410"/>
      <c r="K143" s="1145"/>
      <c r="L143" s="1145"/>
      <c r="M143" s="2977"/>
      <c r="N143" s="2057"/>
      <c r="O143" s="2356"/>
      <c r="P143" s="1308"/>
      <c r="Q143" s="1357"/>
      <c r="R143" s="1357"/>
      <c r="S143" s="1291"/>
      <c r="T143" s="1291"/>
      <c r="U143" s="1291"/>
      <c r="V143" s="1291"/>
      <c r="W143" s="1291"/>
      <c r="X143" s="235"/>
      <c r="Y143" s="1357"/>
      <c r="Z143" s="2632"/>
      <c r="AA143" s="1357"/>
      <c r="AB143" s="2632"/>
      <c r="AC143" s="1357"/>
      <c r="AD143" s="2632"/>
      <c r="AE143" s="1357"/>
      <c r="AF143" s="2633"/>
      <c r="AG143" s="1357"/>
      <c r="AH143" s="1357"/>
      <c r="AI143" s="1357"/>
      <c r="AJ143" s="1357"/>
      <c r="AK143" s="1357"/>
      <c r="AL143" s="1357"/>
      <c r="AM143" s="2595"/>
      <c r="AN143" s="2595"/>
      <c r="AO143" s="2595"/>
      <c r="AP143" s="2595"/>
      <c r="AQ143" s="2595"/>
      <c r="AR143" s="2595"/>
      <c r="AS143" s="2595"/>
      <c r="AT143" s="2595"/>
    </row>
    <row r="144" spans="1:46" s="1357" customFormat="1">
      <c r="A144" s="989"/>
      <c r="H144" s="2355"/>
      <c r="I144" s="1410" t="s">
        <v>5464</v>
      </c>
      <c r="J144" s="4264"/>
      <c r="K144" s="3300">
        <f>SUM(M55,M118)</f>
        <v>0</v>
      </c>
      <c r="L144" s="1145"/>
      <c r="M144" s="2977" t="s">
        <v>5471</v>
      </c>
      <c r="N144" s="1276"/>
      <c r="O144" s="2356"/>
      <c r="P144" s="1308"/>
      <c r="S144" s="1291"/>
      <c r="T144" s="1291"/>
      <c r="U144" s="1291"/>
      <c r="V144" s="1291"/>
      <c r="W144" s="1291"/>
      <c r="Z144" s="1291"/>
      <c r="AB144" s="1291"/>
      <c r="AD144" s="1291"/>
      <c r="AF144" s="2633"/>
      <c r="AM144" s="2601"/>
      <c r="AN144" s="2601"/>
      <c r="AO144" s="2601"/>
      <c r="AP144" s="2601"/>
      <c r="AQ144" s="2601"/>
      <c r="AR144" s="2601"/>
      <c r="AS144" s="2601"/>
      <c r="AT144" s="2601"/>
    </row>
    <row r="145" spans="1:46" s="1357" customFormat="1">
      <c r="A145" s="989"/>
      <c r="H145" s="2355"/>
      <c r="I145" s="1410"/>
      <c r="J145" s="1410"/>
      <c r="K145" s="4265" t="s">
        <v>1932</v>
      </c>
      <c r="L145" s="1145"/>
      <c r="M145" s="2977"/>
      <c r="N145" s="1410"/>
      <c r="O145" s="2356"/>
      <c r="P145" s="1308"/>
      <c r="S145" s="1291"/>
      <c r="T145" s="1291"/>
      <c r="U145" s="1291"/>
      <c r="V145" s="1291"/>
      <c r="W145" s="1291"/>
      <c r="Z145" s="1291"/>
      <c r="AB145" s="1291"/>
      <c r="AD145" s="1291"/>
      <c r="AF145" s="2633"/>
      <c r="AM145" s="2601"/>
      <c r="AN145" s="2601"/>
      <c r="AO145" s="2601"/>
      <c r="AP145" s="2601"/>
      <c r="AQ145" s="2601"/>
      <c r="AR145" s="2601"/>
      <c r="AS145" s="2601"/>
      <c r="AT145" s="2601"/>
    </row>
    <row r="146" spans="1:46" s="1357" customFormat="1" ht="12.75" customHeight="1">
      <c r="A146" s="989"/>
      <c r="H146" s="2355"/>
      <c r="I146" s="1410"/>
      <c r="J146" s="1410"/>
      <c r="K146" s="4265"/>
      <c r="L146" s="1145"/>
      <c r="M146" s="2977"/>
      <c r="N146" s="1410"/>
      <c r="O146" s="2356"/>
      <c r="P146" s="1308"/>
      <c r="S146" s="1291"/>
      <c r="T146" s="1291"/>
      <c r="U146" s="1291"/>
      <c r="V146" s="1291"/>
      <c r="W146" s="1291"/>
      <c r="Z146" s="1291"/>
      <c r="AB146" s="1291"/>
      <c r="AD146" s="1291"/>
      <c r="AF146" s="2633"/>
      <c r="AM146" s="2601"/>
      <c r="AN146" s="2601"/>
      <c r="AO146" s="2601"/>
      <c r="AP146" s="2601"/>
      <c r="AQ146" s="2601"/>
      <c r="AR146" s="2601"/>
      <c r="AS146" s="2601"/>
      <c r="AT146" s="2601"/>
    </row>
    <row r="147" spans="1:46" s="237" customFormat="1" ht="12.75" customHeight="1">
      <c r="A147" s="42"/>
      <c r="B147"/>
      <c r="C147"/>
      <c r="D147"/>
      <c r="E147"/>
      <c r="F147"/>
      <c r="G147"/>
      <c r="H147" s="1689"/>
      <c r="I147" s="1410" t="s">
        <v>5464</v>
      </c>
      <c r="J147" s="4264"/>
      <c r="K147" s="3300">
        <f>ROUND(SUM(M62,M125),0)</f>
        <v>0</v>
      </c>
      <c r="L147" s="1145"/>
      <c r="M147" s="2977" t="s">
        <v>5463</v>
      </c>
      <c r="N147" s="1145"/>
      <c r="O147" s="1304"/>
      <c r="P147" s="1308"/>
      <c r="R147" s="235"/>
      <c r="S147" s="263"/>
      <c r="T147" s="263"/>
      <c r="U147" s="263"/>
      <c r="V147" s="263"/>
      <c r="W147" s="1291"/>
      <c r="X147" s="1357"/>
      <c r="Y147" s="1357"/>
      <c r="Z147" s="1291"/>
      <c r="AA147" s="1357"/>
      <c r="AB147" s="1291"/>
      <c r="AC147" s="1357"/>
      <c r="AD147" s="1291"/>
      <c r="AE147" s="1357"/>
      <c r="AF147" s="2633"/>
      <c r="AG147" s="1357"/>
      <c r="AH147" s="1357"/>
      <c r="AI147" s="1357"/>
      <c r="AJ147" s="1357"/>
      <c r="AK147" s="1357"/>
      <c r="AL147" s="1357"/>
      <c r="AM147" s="2595"/>
      <c r="AN147" s="2595"/>
      <c r="AO147" s="2595"/>
      <c r="AP147" s="2595"/>
      <c r="AQ147" s="2595"/>
      <c r="AR147" s="2595"/>
      <c r="AS147" s="2595"/>
      <c r="AT147" s="2595"/>
    </row>
    <row r="148" spans="1:46" s="237" customFormat="1" ht="12.75" customHeight="1">
      <c r="A148" s="989"/>
      <c r="B148" s="1357"/>
      <c r="C148" s="1357"/>
      <c r="D148" s="1357"/>
      <c r="E148" s="1357"/>
      <c r="F148" s="1357"/>
      <c r="G148" s="1357"/>
      <c r="H148" s="2355"/>
      <c r="I148" s="1410"/>
      <c r="J148" s="1410"/>
      <c r="K148" s="4265" t="s">
        <v>1886</v>
      </c>
      <c r="L148" s="1145"/>
      <c r="M148" s="2977"/>
      <c r="N148" s="4266"/>
      <c r="O148" s="2356"/>
      <c r="P148" s="1308"/>
      <c r="Q148" s="1357"/>
      <c r="R148" s="1357"/>
      <c r="S148" s="263"/>
      <c r="T148" s="263"/>
      <c r="U148" s="263"/>
      <c r="V148" s="263"/>
      <c r="W148" s="1291"/>
      <c r="X148" s="235"/>
      <c r="Y148" s="1357"/>
      <c r="Z148" s="2632"/>
      <c r="AA148" s="1357"/>
      <c r="AB148" s="2632"/>
      <c r="AC148" s="1357"/>
      <c r="AD148" s="2632"/>
      <c r="AE148" s="1357"/>
      <c r="AF148" s="2633"/>
      <c r="AG148" s="1357"/>
      <c r="AH148" s="1357"/>
      <c r="AI148" s="1357"/>
      <c r="AJ148" s="1357"/>
      <c r="AK148" s="1357"/>
      <c r="AL148" s="1357"/>
      <c r="AM148" s="2595"/>
      <c r="AN148" s="2595"/>
      <c r="AO148" s="2595"/>
      <c r="AP148" s="2595"/>
      <c r="AQ148" s="2595"/>
      <c r="AR148" s="2595"/>
      <c r="AS148" s="2595"/>
      <c r="AT148" s="2595"/>
    </row>
    <row r="149" spans="1:46" s="237" customFormat="1" ht="12.75" customHeight="1">
      <c r="A149" s="989"/>
      <c r="B149" s="1357"/>
      <c r="C149" s="1357"/>
      <c r="D149" s="1357"/>
      <c r="E149" s="1357"/>
      <c r="F149" s="1357"/>
      <c r="G149" s="1357"/>
      <c r="H149" s="2355"/>
      <c r="I149" s="1410"/>
      <c r="J149" s="1410"/>
      <c r="K149" s="1145"/>
      <c r="L149" s="1145"/>
      <c r="M149" s="2977"/>
      <c r="N149" s="2057"/>
      <c r="O149" s="2356"/>
      <c r="P149" s="1308"/>
      <c r="Q149" s="1357"/>
      <c r="R149" s="1357"/>
      <c r="S149" s="1291"/>
      <c r="T149" s="1291"/>
      <c r="U149" s="1291"/>
      <c r="V149" s="1291"/>
      <c r="W149" s="1291"/>
      <c r="X149" s="235"/>
      <c r="Y149" s="1357"/>
      <c r="Z149" s="2632"/>
      <c r="AA149" s="1357"/>
      <c r="AB149" s="2632"/>
      <c r="AC149" s="1357"/>
      <c r="AD149" s="2632"/>
      <c r="AE149" s="1357"/>
      <c r="AF149" s="2633"/>
      <c r="AG149" s="1357"/>
      <c r="AH149" s="1357"/>
      <c r="AI149" s="1357"/>
      <c r="AJ149" s="1357"/>
      <c r="AK149" s="1357"/>
      <c r="AL149" s="1357"/>
      <c r="AM149" s="2595"/>
      <c r="AN149" s="2595"/>
      <c r="AO149" s="2595"/>
      <c r="AP149" s="2595"/>
      <c r="AQ149" s="2595"/>
      <c r="AR149" s="2595"/>
      <c r="AS149" s="2595"/>
      <c r="AT149" s="2595"/>
    </row>
    <row r="150" spans="1:46" s="1357" customFormat="1">
      <c r="A150" s="989"/>
      <c r="H150" s="2355"/>
      <c r="I150" s="1410" t="s">
        <v>5464</v>
      </c>
      <c r="J150" s="4264"/>
      <c r="K150" s="3300">
        <f>SUM(M64,M127)</f>
        <v>0</v>
      </c>
      <c r="L150" s="1145"/>
      <c r="M150" s="2977" t="s">
        <v>5470</v>
      </c>
      <c r="N150" s="1276"/>
      <c r="O150" s="2356"/>
      <c r="P150" s="1308"/>
      <c r="S150" s="1291"/>
      <c r="T150" s="1291"/>
      <c r="U150" s="1291"/>
      <c r="V150" s="1291"/>
      <c r="W150" s="1291"/>
      <c r="Z150" s="1291"/>
      <c r="AB150" s="1291"/>
      <c r="AD150" s="1291"/>
      <c r="AF150" s="2633"/>
      <c r="AM150" s="2601"/>
      <c r="AN150" s="2601"/>
      <c r="AO150" s="2601"/>
      <c r="AP150" s="2601"/>
      <c r="AQ150" s="2601"/>
      <c r="AR150" s="2601"/>
      <c r="AS150" s="2601"/>
      <c r="AT150" s="2601"/>
    </row>
    <row r="151" spans="1:46" s="1357" customFormat="1">
      <c r="A151" s="989"/>
      <c r="H151" s="2355"/>
      <c r="I151" s="1410"/>
      <c r="J151" s="1410"/>
      <c r="K151" s="2057" t="s">
        <v>702</v>
      </c>
      <c r="L151" s="1145"/>
      <c r="M151" s="1145"/>
      <c r="N151" s="1410"/>
      <c r="O151" s="2356"/>
      <c r="P151" s="1308"/>
      <c r="S151" s="1291"/>
      <c r="T151" s="1291"/>
      <c r="U151" s="1291"/>
      <c r="V151" s="1291"/>
      <c r="W151" s="1291"/>
      <c r="Z151" s="1291"/>
      <c r="AB151" s="1291"/>
      <c r="AD151" s="1291"/>
      <c r="AF151" s="2633"/>
      <c r="AM151" s="2601"/>
      <c r="AN151" s="2601"/>
      <c r="AO151" s="2601"/>
      <c r="AP151" s="2601"/>
      <c r="AQ151" s="2601"/>
      <c r="AR151" s="2601"/>
      <c r="AS151" s="2601"/>
      <c r="AT151" s="2601"/>
    </row>
    <row r="152" spans="1:46" s="1357" customFormat="1" ht="12.75" customHeight="1">
      <c r="A152" s="989"/>
      <c r="H152" s="2357"/>
      <c r="I152" s="2358"/>
      <c r="J152" s="2358"/>
      <c r="K152" s="4267"/>
      <c r="L152" s="1694"/>
      <c r="M152" s="1694"/>
      <c r="N152" s="2358"/>
      <c r="O152" s="2359"/>
      <c r="P152" s="1308"/>
      <c r="S152" s="1291"/>
      <c r="T152" s="1291"/>
      <c r="U152" s="1291"/>
      <c r="V152" s="1291"/>
      <c r="W152" s="1291"/>
      <c r="Z152" s="1291"/>
      <c r="AB152" s="1291"/>
      <c r="AD152" s="1291"/>
      <c r="AF152" s="2633"/>
      <c r="AM152" s="2601"/>
      <c r="AN152" s="2601"/>
      <c r="AO152" s="2601"/>
      <c r="AP152" s="2601"/>
      <c r="AQ152" s="2601"/>
      <c r="AR152" s="2601"/>
      <c r="AS152" s="2601"/>
      <c r="AT152" s="2601"/>
    </row>
    <row r="153" spans="1:46" s="1357" customFormat="1" ht="12.75" customHeight="1">
      <c r="A153" s="989"/>
      <c r="L153"/>
      <c r="M153"/>
      <c r="P153" s="1308"/>
      <c r="S153" s="1291"/>
      <c r="T153" s="1291"/>
      <c r="U153" s="1291"/>
      <c r="V153" s="1291"/>
      <c r="W153" s="1291"/>
      <c r="Z153" s="1291"/>
      <c r="AB153" s="1291"/>
      <c r="AD153" s="1291"/>
      <c r="AF153" s="2633"/>
      <c r="AM153" s="2601"/>
      <c r="AN153" s="2601"/>
      <c r="AO153" s="2601"/>
      <c r="AP153" s="2601"/>
      <c r="AQ153" s="2601"/>
      <c r="AR153" s="2601"/>
      <c r="AS153" s="2601"/>
      <c r="AT153" s="2601"/>
    </row>
    <row r="154" spans="1:46" s="1357" customFormat="1">
      <c r="A154" s="989"/>
      <c r="P154" s="1308"/>
      <c r="S154" s="1291"/>
      <c r="T154" s="1291"/>
      <c r="U154" s="1291"/>
      <c r="V154" s="1291"/>
      <c r="W154" s="1291"/>
      <c r="Z154" s="1291"/>
      <c r="AB154" s="1291"/>
      <c r="AD154" s="1291"/>
      <c r="AF154" s="2633"/>
      <c r="AM154" s="2601"/>
      <c r="AN154" s="2601"/>
      <c r="AO154" s="2601"/>
      <c r="AP154" s="2601"/>
      <c r="AQ154" s="2601"/>
      <c r="AR154" s="2601"/>
      <c r="AS154" s="2601"/>
      <c r="AT154" s="2601"/>
    </row>
    <row r="155" spans="1:46" s="1357" customFormat="1" ht="14.25" customHeight="1">
      <c r="A155" s="989"/>
      <c r="P155" s="1291"/>
      <c r="S155" s="1291"/>
      <c r="T155" s="1291"/>
      <c r="U155" s="1291"/>
      <c r="V155" s="1291"/>
      <c r="W155" s="2661"/>
      <c r="Z155" s="1291"/>
      <c r="AB155" s="1291"/>
      <c r="AD155" s="1291"/>
      <c r="AF155" s="2633"/>
      <c r="AM155" s="2601"/>
      <c r="AN155" s="2601"/>
      <c r="AO155" s="2601"/>
      <c r="AP155" s="2601"/>
      <c r="AQ155" s="2601"/>
      <c r="AR155" s="2601"/>
      <c r="AS155" s="2601"/>
      <c r="AT155" s="2601"/>
    </row>
    <row r="156" spans="1:46" s="1357" customFormat="1">
      <c r="A156" s="989"/>
      <c r="P156" s="1291"/>
      <c r="S156" s="1291"/>
      <c r="T156" s="1291"/>
      <c r="U156" s="1291"/>
      <c r="V156" s="1291"/>
      <c r="W156" s="2661"/>
      <c r="Z156" s="1291"/>
      <c r="AB156" s="1291"/>
      <c r="AD156" s="1291"/>
      <c r="AF156" s="2633"/>
      <c r="AM156" s="2601"/>
      <c r="AN156" s="2601"/>
      <c r="AO156" s="2601"/>
      <c r="AP156" s="2601"/>
      <c r="AQ156" s="2601"/>
      <c r="AR156" s="2601"/>
      <c r="AS156" s="2601"/>
      <c r="AT156" s="2601"/>
    </row>
    <row r="157" spans="1:46" s="1357" customFormat="1">
      <c r="A157" s="989"/>
      <c r="P157" s="1291"/>
      <c r="S157" s="1291"/>
      <c r="T157" s="1291"/>
      <c r="U157" s="1291"/>
      <c r="V157" s="1291"/>
      <c r="W157" s="2661"/>
      <c r="Z157" s="1291"/>
      <c r="AB157" s="1291"/>
      <c r="AD157" s="1291"/>
      <c r="AF157" s="2633"/>
      <c r="AM157" s="2601"/>
      <c r="AN157" s="2601"/>
      <c r="AO157" s="2601"/>
      <c r="AP157" s="2601"/>
      <c r="AQ157" s="2601"/>
      <c r="AR157" s="2601"/>
      <c r="AS157" s="2601"/>
      <c r="AT157" s="2601"/>
    </row>
    <row r="158" spans="1:46" s="1357" customFormat="1">
      <c r="A158" s="42"/>
      <c r="B158"/>
      <c r="C158"/>
      <c r="D158"/>
      <c r="E158"/>
      <c r="F158"/>
      <c r="G158"/>
      <c r="H158"/>
      <c r="I158"/>
      <c r="J158"/>
      <c r="K158"/>
      <c r="L158"/>
      <c r="M158"/>
      <c r="N158"/>
      <c r="O158"/>
      <c r="P158" s="270"/>
      <c r="Q158"/>
      <c r="R158"/>
      <c r="S158" s="2661"/>
      <c r="T158" s="2661"/>
      <c r="U158" s="2661"/>
      <c r="V158" s="2661"/>
      <c r="W158" s="2661"/>
      <c r="Z158" s="1291"/>
      <c r="AB158" s="1291"/>
      <c r="AD158" s="1291"/>
      <c r="AF158" s="2633"/>
      <c r="AM158" s="2601"/>
      <c r="AN158" s="2601"/>
      <c r="AO158" s="2601"/>
      <c r="AP158" s="2601"/>
      <c r="AQ158" s="2601"/>
      <c r="AR158" s="2601"/>
      <c r="AS158" s="2601"/>
      <c r="AT158" s="2601"/>
    </row>
    <row r="159" spans="1:46" s="1357" customFormat="1">
      <c r="A159" s="42"/>
      <c r="B159"/>
      <c r="C159"/>
      <c r="D159"/>
      <c r="E159"/>
      <c r="F159"/>
      <c r="G159"/>
      <c r="H159"/>
      <c r="I159"/>
      <c r="J159"/>
      <c r="K159"/>
      <c r="L159"/>
      <c r="M159"/>
      <c r="N159"/>
      <c r="O159"/>
      <c r="P159" s="270"/>
      <c r="Q159"/>
      <c r="R159"/>
      <c r="S159" s="2661"/>
      <c r="T159" s="2661"/>
      <c r="U159" s="2661"/>
      <c r="V159" s="2661"/>
      <c r="W159" s="2661"/>
      <c r="Z159" s="1291"/>
      <c r="AB159" s="1291"/>
      <c r="AD159" s="1291"/>
      <c r="AF159" s="2633"/>
      <c r="AM159" s="2601"/>
      <c r="AN159" s="2601"/>
      <c r="AO159" s="2601"/>
      <c r="AP159" s="2601"/>
      <c r="AQ159" s="2601"/>
      <c r="AR159" s="2601"/>
      <c r="AS159" s="2601"/>
      <c r="AT159" s="2601"/>
    </row>
    <row r="160" spans="1:46" s="237" customFormat="1">
      <c r="A160" s="42"/>
      <c r="B160"/>
      <c r="C160"/>
      <c r="D160"/>
      <c r="E160"/>
      <c r="F160"/>
      <c r="G160"/>
      <c r="H160"/>
      <c r="I160"/>
      <c r="J160"/>
      <c r="K160"/>
      <c r="L160"/>
      <c r="M160"/>
      <c r="N160"/>
      <c r="O160"/>
      <c r="P160" s="270"/>
      <c r="Q160"/>
      <c r="R160"/>
      <c r="S160" s="2661"/>
      <c r="T160" s="2661"/>
      <c r="U160" s="2661"/>
      <c r="V160" s="2661"/>
      <c r="W160" s="2661"/>
      <c r="Y160" s="1357"/>
      <c r="Z160" s="1291"/>
      <c r="AA160" s="1357"/>
      <c r="AB160" s="1291"/>
      <c r="AC160" s="1357"/>
      <c r="AD160" s="1291"/>
      <c r="AE160" s="1357"/>
      <c r="AF160" s="2633"/>
      <c r="AG160" s="1357"/>
      <c r="AH160" s="1357"/>
      <c r="AI160" s="1357"/>
      <c r="AJ160" s="1357"/>
      <c r="AK160" s="1357"/>
      <c r="AL160" s="1357"/>
      <c r="AM160" s="2595"/>
      <c r="AN160" s="2595"/>
      <c r="AO160" s="2595"/>
      <c r="AP160" s="2595"/>
      <c r="AQ160" s="2595"/>
      <c r="AR160" s="2595"/>
      <c r="AS160" s="2595"/>
      <c r="AT160" s="2595"/>
    </row>
    <row r="161" spans="1:46" s="237" customFormat="1">
      <c r="A161" s="42"/>
      <c r="B161"/>
      <c r="C161"/>
      <c r="D161"/>
      <c r="E161"/>
      <c r="F161"/>
      <c r="G161"/>
      <c r="H161"/>
      <c r="I161"/>
      <c r="J161"/>
      <c r="K161"/>
      <c r="L161"/>
      <c r="M161"/>
      <c r="N161"/>
      <c r="O161"/>
      <c r="P161" s="270"/>
      <c r="Q161"/>
      <c r="R161"/>
      <c r="S161" s="2661"/>
      <c r="T161" s="2661"/>
      <c r="U161" s="2661"/>
      <c r="V161" s="2661"/>
      <c r="W161" s="2661"/>
      <c r="Y161" s="1357"/>
      <c r="Z161" s="2632"/>
      <c r="AA161" s="1357"/>
      <c r="AB161" s="2632"/>
      <c r="AC161" s="1357"/>
      <c r="AD161" s="2632"/>
      <c r="AE161" s="1357"/>
      <c r="AF161" s="2633"/>
      <c r="AG161" s="1357"/>
      <c r="AH161" s="1357"/>
      <c r="AI161" s="1357"/>
      <c r="AJ161" s="1357"/>
      <c r="AK161" s="1357"/>
      <c r="AL161" s="1357"/>
      <c r="AM161" s="2595"/>
      <c r="AN161" s="2595"/>
      <c r="AO161" s="2595"/>
      <c r="AP161" s="2595"/>
      <c r="AQ161" s="2595"/>
      <c r="AR161" s="2595"/>
      <c r="AS161" s="2595"/>
      <c r="AT161" s="2595"/>
    </row>
    <row r="162" spans="1:46">
      <c r="K162" s="989"/>
      <c r="L162" s="1357"/>
      <c r="M162" s="1357"/>
    </row>
    <row r="163" spans="1:46">
      <c r="K163" s="1357"/>
      <c r="L163" s="1357"/>
      <c r="M163" s="1357"/>
    </row>
    <row r="164" spans="1:46">
      <c r="K164" s="1357"/>
      <c r="M164" s="237"/>
    </row>
  </sheetData>
  <sheetProtection algorithmName="SHA-512" hashValue="8fKsKyxOVvCBpr3q0aUi1MO7xssHXAko/wJCLWFZ+yAVw7rDfqJ/6cL+OBGr8ZnVuO4ecjsmheLh+/7rpQq1FA==" saltValue="+AhvcWxvMcLRd4oABXRtSQ==" spinCount="100000" sheet="1" objects="1" scenarios="1"/>
  <mergeCells count="72">
    <mergeCell ref="U29:V29"/>
    <mergeCell ref="Q66:Q67"/>
    <mergeCell ref="B7:D7"/>
    <mergeCell ref="E7:K7"/>
    <mergeCell ref="L7:M7"/>
    <mergeCell ref="B8:D8"/>
    <mergeCell ref="E8:K8"/>
    <mergeCell ref="L8:M8"/>
    <mergeCell ref="C41:M41"/>
    <mergeCell ref="C42:M42"/>
    <mergeCell ref="C57:M57"/>
    <mergeCell ref="C58:M58"/>
    <mergeCell ref="L67:M68"/>
    <mergeCell ref="E68:K68"/>
    <mergeCell ref="L4:M4"/>
    <mergeCell ref="B5:B6"/>
    <mergeCell ref="C5:D6"/>
    <mergeCell ref="E5:K5"/>
    <mergeCell ref="L5:M6"/>
    <mergeCell ref="E6:K6"/>
    <mergeCell ref="C131:G131"/>
    <mergeCell ref="C133:G133"/>
    <mergeCell ref="L9:M10"/>
    <mergeCell ref="B10:I10"/>
    <mergeCell ref="J9:K10"/>
    <mergeCell ref="C13:M13"/>
    <mergeCell ref="C12:M12"/>
    <mergeCell ref="C56:M56"/>
    <mergeCell ref="C16:E17"/>
    <mergeCell ref="B69:D69"/>
    <mergeCell ref="E69:K69"/>
    <mergeCell ref="L69:M69"/>
    <mergeCell ref="L66:M66"/>
    <mergeCell ref="B67:B68"/>
    <mergeCell ref="C67:D68"/>
    <mergeCell ref="C120:M120"/>
    <mergeCell ref="C121:M121"/>
    <mergeCell ref="C74:M74"/>
    <mergeCell ref="C75:M75"/>
    <mergeCell ref="C105:M105"/>
    <mergeCell ref="C104:M104"/>
    <mergeCell ref="C78:E79"/>
    <mergeCell ref="C119:M119"/>
    <mergeCell ref="U89:V89"/>
    <mergeCell ref="Q77:Q79"/>
    <mergeCell ref="B70:D70"/>
    <mergeCell ref="E70:K70"/>
    <mergeCell ref="L70:M70"/>
    <mergeCell ref="J71:K72"/>
    <mergeCell ref="L71:M72"/>
    <mergeCell ref="B72:I72"/>
    <mergeCell ref="AD74:AD84"/>
    <mergeCell ref="X36:AG36"/>
    <mergeCell ref="X73:AG73"/>
    <mergeCell ref="X34:AE34"/>
    <mergeCell ref="Z38:AB38"/>
    <mergeCell ref="Q5:Q6"/>
    <mergeCell ref="Q68:Q69"/>
    <mergeCell ref="X101:AG101"/>
    <mergeCell ref="T3:U3"/>
    <mergeCell ref="O7:P7"/>
    <mergeCell ref="O8:P8"/>
    <mergeCell ref="Q15:Q17"/>
    <mergeCell ref="X8:AG9"/>
    <mergeCell ref="Q8:Q10"/>
    <mergeCell ref="X10:AG10"/>
    <mergeCell ref="X97:AE97"/>
    <mergeCell ref="AB11:AB21"/>
    <mergeCell ref="Z11:Z21"/>
    <mergeCell ref="AD11:AD21"/>
    <mergeCell ref="Z74:Z84"/>
    <mergeCell ref="AB74:AB84"/>
  </mergeCells>
  <conditionalFormatting sqref="C40">
    <cfRule type="expression" dxfId="336" priority="72">
      <formula>IF(AND(NOT(NoColor),$M$40,$O$40=""),1,0)</formula>
    </cfRule>
  </conditionalFormatting>
  <conditionalFormatting sqref="C103">
    <cfRule type="expression" dxfId="335" priority="10">
      <formula>IF(AND(NOT(NoColor),$M$40,$O$40=""),1,0)</formula>
    </cfRule>
  </conditionalFormatting>
  <conditionalFormatting sqref="J52">
    <cfRule type="expression" dxfId="334" priority="86">
      <formula>IF(NoColor,1,0)</formula>
    </cfRule>
  </conditionalFormatting>
  <conditionalFormatting sqref="J115">
    <cfRule type="expression" dxfId="333" priority="52">
      <formula>IF(NoColor,1,0)</formula>
    </cfRule>
  </conditionalFormatting>
  <conditionalFormatting sqref="K35:K36">
    <cfRule type="expression" dxfId="332" priority="74">
      <formula>IF(NoColor,1,0)</formula>
    </cfRule>
  </conditionalFormatting>
  <conditionalFormatting sqref="K98:K99">
    <cfRule type="expression" dxfId="331" priority="44">
      <formula>IF(NoColor,1,0)</formula>
    </cfRule>
  </conditionalFormatting>
  <conditionalFormatting sqref="L9 B10">
    <cfRule type="expression" dxfId="330" priority="131">
      <formula>IF(NoColor,1,0)</formula>
    </cfRule>
  </conditionalFormatting>
  <conditionalFormatting sqref="L15">
    <cfRule type="expression" dxfId="329" priority="88">
      <formula>IF(NoColor,1,0)</formula>
    </cfRule>
  </conditionalFormatting>
  <conditionalFormatting sqref="L17">
    <cfRule type="expression" dxfId="328" priority="87">
      <formula>IF(NoColor,1,0)</formula>
    </cfRule>
  </conditionalFormatting>
  <conditionalFormatting sqref="L71 B72">
    <cfRule type="expression" dxfId="327" priority="62">
      <formula>IF(NoColor,1,0)</formula>
    </cfRule>
  </conditionalFormatting>
  <conditionalFormatting sqref="L77">
    <cfRule type="expression" dxfId="326" priority="54">
      <formula>IF(NoColor,1,0)</formula>
    </cfRule>
  </conditionalFormatting>
  <conditionalFormatting sqref="L79">
    <cfRule type="expression" dxfId="325" priority="53">
      <formula>IF(NoColor,1,0)</formula>
    </cfRule>
  </conditionalFormatting>
  <conditionalFormatting sqref="M21">
    <cfRule type="expression" dxfId="324" priority="105">
      <formula>IF(NoColor,1,0)</formula>
    </cfRule>
  </conditionalFormatting>
  <conditionalFormatting sqref="M24">
    <cfRule type="expression" dxfId="323" priority="80">
      <formula>IF(NoColor,1,0)</formula>
    </cfRule>
  </conditionalFormatting>
  <conditionalFormatting sqref="M27:M28">
    <cfRule type="expression" dxfId="322" priority="79">
      <formula>IF(NoColor,1,0)</formula>
    </cfRule>
  </conditionalFormatting>
  <conditionalFormatting sqref="M30">
    <cfRule type="expression" dxfId="321" priority="77">
      <formula>IF(NoColor,1,0)</formula>
    </cfRule>
  </conditionalFormatting>
  <conditionalFormatting sqref="M33:M34">
    <cfRule type="expression" dxfId="320" priority="30">
      <formula>IF(NoColor,1,0)</formula>
    </cfRule>
  </conditionalFormatting>
  <conditionalFormatting sqref="M37:M39">
    <cfRule type="expression" dxfId="319" priority="73">
      <formula>IF(NoColor,1,0)</formula>
    </cfRule>
  </conditionalFormatting>
  <conditionalFormatting sqref="M43">
    <cfRule type="expression" dxfId="318" priority="71">
      <formula>IF(NoColor,1,0)</formula>
    </cfRule>
  </conditionalFormatting>
  <conditionalFormatting sqref="M46:M48">
    <cfRule type="expression" dxfId="317" priority="68">
      <formula>IF(NoColor,1,0)</formula>
    </cfRule>
  </conditionalFormatting>
  <conditionalFormatting sqref="M50">
    <cfRule type="expression" dxfId="316" priority="89">
      <formula>IF(NoColor,1,0)</formula>
    </cfRule>
  </conditionalFormatting>
  <conditionalFormatting sqref="M55">
    <cfRule type="expression" dxfId="315" priority="66">
      <formula>IF(NoColor,1,0)</formula>
    </cfRule>
  </conditionalFormatting>
  <conditionalFormatting sqref="M59:M60">
    <cfRule type="expression" dxfId="314" priority="63">
      <formula>IF(NoColor,1,0)</formula>
    </cfRule>
  </conditionalFormatting>
  <conditionalFormatting sqref="M62">
    <cfRule type="expression" dxfId="313" priority="82">
      <formula>IF(NoColor,1,0)</formula>
    </cfRule>
  </conditionalFormatting>
  <conditionalFormatting sqref="M64">
    <cfRule type="expression" dxfId="312" priority="81">
      <formula>IF(NoColor,1,0)</formula>
    </cfRule>
  </conditionalFormatting>
  <conditionalFormatting sqref="M83">
    <cfRule type="expression" dxfId="311" priority="60">
      <formula>IF(NoColor,1,0)</formula>
    </cfRule>
  </conditionalFormatting>
  <conditionalFormatting sqref="M86">
    <cfRule type="expression" dxfId="310" priority="31">
      <formula>IF(NoColor,1,0)</formula>
    </cfRule>
  </conditionalFormatting>
  <conditionalFormatting sqref="M89:M90">
    <cfRule type="expression" dxfId="309" priority="48">
      <formula>IF(NoColor,1,0)</formula>
    </cfRule>
  </conditionalFormatting>
  <conditionalFormatting sqref="M93">
    <cfRule type="expression" dxfId="308" priority="14">
      <formula>NOT($Q$7)</formula>
    </cfRule>
    <cfRule type="expression" dxfId="307" priority="15">
      <formula>IF(NoColor,1,0)</formula>
    </cfRule>
  </conditionalFormatting>
  <conditionalFormatting sqref="M96:M97">
    <cfRule type="expression" dxfId="306" priority="28">
      <formula>IF(NoColor,1,0)</formula>
    </cfRule>
  </conditionalFormatting>
  <conditionalFormatting sqref="M100:M102">
    <cfRule type="expression" dxfId="305" priority="43">
      <formula>IF(NoColor,1,0)</formula>
    </cfRule>
  </conditionalFormatting>
  <conditionalFormatting sqref="M106">
    <cfRule type="expression" dxfId="304" priority="41">
      <formula>IF(NoColor,1,0)</formula>
    </cfRule>
  </conditionalFormatting>
  <conditionalFormatting sqref="M109:M111">
    <cfRule type="expression" dxfId="303" priority="38">
      <formula>IF(NoColor,1,0)</formula>
    </cfRule>
  </conditionalFormatting>
  <conditionalFormatting sqref="M113">
    <cfRule type="expression" dxfId="302" priority="55">
      <formula>IF(NoColor,1,0)</formula>
    </cfRule>
  </conditionalFormatting>
  <conditionalFormatting sqref="M118">
    <cfRule type="expression" dxfId="301" priority="37">
      <formula>IF(NoColor,1,0)</formula>
    </cfRule>
  </conditionalFormatting>
  <conditionalFormatting sqref="M122:M123">
    <cfRule type="expression" dxfId="300" priority="34">
      <formula>IF(NoColor,1,0)</formula>
    </cfRule>
  </conditionalFormatting>
  <conditionalFormatting sqref="M125">
    <cfRule type="expression" dxfId="299" priority="51">
      <formula>IF(NoColor,1,0)</formula>
    </cfRule>
  </conditionalFormatting>
  <conditionalFormatting sqref="M127">
    <cfRule type="expression" dxfId="298" priority="50">
      <formula>IF(NoColor,1,0)</formula>
    </cfRule>
  </conditionalFormatting>
  <conditionalFormatting sqref="O40">
    <cfRule type="expression" dxfId="297" priority="27">
      <formula>M40</formula>
    </cfRule>
  </conditionalFormatting>
  <conditionalFormatting sqref="O103">
    <cfRule type="expression" dxfId="296" priority="26">
      <formula>M103</formula>
    </cfRule>
  </conditionalFormatting>
  <conditionalFormatting sqref="O10:P10">
    <cfRule type="expression" dxfId="295" priority="19">
      <formula>NOT(File_Marr_Joint&lt;&gt;"")</formula>
    </cfRule>
  </conditionalFormatting>
  <conditionalFormatting sqref="Q54">
    <cfRule type="expression" dxfId="294" priority="65">
      <formula>IF(J52&lt;&gt;"",1,0)</formula>
    </cfRule>
  </conditionalFormatting>
  <conditionalFormatting sqref="Q117">
    <cfRule type="expression" dxfId="293" priority="36">
      <formula>IF(J115&lt;&gt;"",1,0)</formula>
    </cfRule>
  </conditionalFormatting>
  <conditionalFormatting sqref="U95:U98">
    <cfRule type="expression" dxfId="292" priority="17">
      <formula>NOT($Q$7)</formula>
    </cfRule>
  </conditionalFormatting>
  <conditionalFormatting sqref="X101:AG101">
    <cfRule type="expression" dxfId="291" priority="7">
      <formula>NOT($Q$7)</formula>
    </cfRule>
  </conditionalFormatting>
  <conditionalFormatting sqref="X38:AH42">
    <cfRule type="expression" dxfId="290" priority="1">
      <formula>NOT($Q$7)</formula>
    </cfRule>
  </conditionalFormatting>
  <conditionalFormatting sqref="X102:AH117">
    <cfRule type="expression" dxfId="289" priority="21">
      <formula>NOT($Q$7)</formula>
    </cfRule>
  </conditionalFormatting>
  <hyperlinks>
    <hyperlink ref="C131:G131" r:id="rId1" display="Download Form 8889" xr:uid="{00000000-0004-0000-2F00-000000000000}"/>
    <hyperlink ref="C133:G133" r:id="rId2" display="Download Form 8889 Instructions" xr:uid="{00000000-0004-0000-2F00-000001000000}"/>
  </hyperlinks>
  <printOptions horizontalCentered="1"/>
  <pageMargins left="0.44" right="0.25" top="0.72" bottom="0.25" header="0.27" footer="0.25"/>
  <pageSetup scale="93" fitToHeight="0" orientation="portrait" r:id="rId3"/>
  <headerFooter alignWithMargins="0"/>
  <rowBreaks count="1" manualBreakCount="1">
    <brk id="65" min="1" max="12" man="1"/>
  </rowBreaks>
  <drawing r:id="rId4"/>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14"/>
  <dimension ref="A1:BC123"/>
  <sheetViews>
    <sheetView zoomScaleNormal="100" zoomScaleSheetLayoutView="100" workbookViewId="0"/>
  </sheetViews>
  <sheetFormatPr defaultColWidth="3.7109375" defaultRowHeight="12.75"/>
  <cols>
    <col min="1" max="1" width="3.7109375" style="1098" customWidth="1"/>
    <col min="2" max="2" width="4.140625" style="42" customWidth="1"/>
    <col min="3" max="3" width="2.28515625" style="42" customWidth="1"/>
    <col min="4" max="9" width="3.7109375" style="42" customWidth="1"/>
    <col min="10" max="10" width="4" style="42" customWidth="1"/>
    <col min="11" max="11" width="6.85546875" style="42" customWidth="1"/>
    <col min="12" max="12" width="4" style="42" customWidth="1"/>
    <col min="13" max="19" width="3.7109375" style="42" customWidth="1"/>
    <col min="20" max="23" width="3.85546875" style="42" customWidth="1"/>
    <col min="24" max="24" width="3.7109375" style="42" customWidth="1"/>
    <col min="25" max="26" width="5.42578125" style="42" customWidth="1"/>
    <col min="27" max="27" width="8.42578125" style="42" customWidth="1"/>
    <col min="28" max="28" width="6.42578125" style="42" customWidth="1"/>
    <col min="29" max="32" width="3.7109375" style="42" customWidth="1"/>
    <col min="33" max="33" width="6" style="1090" customWidth="1"/>
    <col min="34" max="34" width="4.85546875" style="313" customWidth="1"/>
    <col min="35" max="35" width="8.5703125" style="313" bestFit="1" customWidth="1"/>
    <col min="36" max="36" width="29.28515625" style="42" customWidth="1"/>
    <col min="37" max="40" width="13.7109375" style="42" customWidth="1"/>
    <col min="41" max="41" width="10" style="42" customWidth="1"/>
    <col min="42" max="42" width="15.5703125" style="42" customWidth="1"/>
    <col min="43" max="43" width="15.42578125" style="42" customWidth="1"/>
    <col min="44" max="44" width="3.7109375" style="42"/>
    <col min="45" max="46" width="5" style="42" hidden="1" customWidth="1"/>
    <col min="47" max="47" width="0" style="42" hidden="1" customWidth="1"/>
    <col min="48" max="48" width="1.7109375" style="42" hidden="1" customWidth="1"/>
    <col min="49" max="49" width="5" style="42" hidden="1" customWidth="1"/>
    <col min="50" max="52" width="0" style="42" hidden="1" customWidth="1"/>
    <col min="53" max="55" width="7" style="42" hidden="1" customWidth="1"/>
    <col min="56" max="16384" width="3.7109375" style="42"/>
  </cols>
  <sheetData>
    <row r="1" spans="1:34">
      <c r="A1" s="1127"/>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row>
    <row r="2" spans="1:34">
      <c r="A2" s="78"/>
      <c r="B2" s="9709" t="s">
        <v>710</v>
      </c>
      <c r="C2" s="9710"/>
      <c r="D2" s="9710"/>
      <c r="E2" s="9710"/>
      <c r="F2" s="9710"/>
      <c r="G2" s="9710"/>
      <c r="H2" s="9710"/>
      <c r="I2" s="9710"/>
      <c r="J2" s="9710"/>
      <c r="K2" s="9710"/>
      <c r="L2" s="1161"/>
      <c r="M2" s="78"/>
      <c r="N2" s="78"/>
      <c r="O2" s="78"/>
      <c r="P2" s="78"/>
      <c r="Q2" s="78"/>
      <c r="R2" s="78"/>
      <c r="S2" s="78"/>
      <c r="T2" s="78"/>
      <c r="U2" s="78"/>
      <c r="V2" s="78"/>
      <c r="W2" s="78"/>
      <c r="X2" s="78"/>
      <c r="Y2" s="78"/>
      <c r="Z2" s="78"/>
      <c r="AA2" s="1009"/>
      <c r="AB2" s="78"/>
      <c r="AC2" s="78"/>
      <c r="AD2" s="78"/>
      <c r="AE2" s="78"/>
      <c r="AF2" s="78"/>
      <c r="AG2" s="1127"/>
    </row>
    <row r="3" spans="1:34">
      <c r="A3" s="1127"/>
      <c r="B3" s="1127"/>
      <c r="C3" s="1127"/>
      <c r="D3" s="1127"/>
      <c r="E3" s="1127"/>
      <c r="F3" s="1127"/>
      <c r="G3" s="1127"/>
      <c r="H3" s="1127"/>
      <c r="I3" s="1127"/>
      <c r="J3" s="1127"/>
      <c r="K3" s="1127"/>
      <c r="L3" s="1127"/>
      <c r="M3" s="1127"/>
      <c r="N3" s="1127"/>
      <c r="O3" s="1127"/>
      <c r="P3" s="1127"/>
      <c r="Q3" s="1127"/>
      <c r="R3" s="1127"/>
      <c r="S3" s="1127"/>
      <c r="T3" s="1127"/>
      <c r="U3" s="1127"/>
      <c r="V3" s="1127"/>
      <c r="W3" s="1127"/>
      <c r="X3" s="1127"/>
      <c r="Y3" s="1127"/>
      <c r="Z3" s="1127"/>
      <c r="AA3" s="1127"/>
      <c r="AB3" s="1127"/>
      <c r="AC3" s="1127"/>
      <c r="AD3" s="1127"/>
      <c r="AE3" s="1127"/>
      <c r="AF3" s="1127"/>
      <c r="AG3" s="1127"/>
    </row>
    <row r="4" spans="1:34" ht="11.25" customHeight="1">
      <c r="A4" s="1127"/>
      <c r="B4" s="9711" t="s">
        <v>618</v>
      </c>
      <c r="C4" s="8624"/>
      <c r="D4" s="8624"/>
      <c r="E4" s="8624"/>
      <c r="F4" s="8624"/>
      <c r="G4" s="23"/>
      <c r="H4" s="9719" t="s">
        <v>619</v>
      </c>
      <c r="I4" s="9720"/>
      <c r="J4" s="9720"/>
      <c r="K4" s="9720"/>
      <c r="L4" s="9720"/>
      <c r="M4" s="9720"/>
      <c r="N4" s="9720"/>
      <c r="O4" s="9720"/>
      <c r="P4" s="9720"/>
      <c r="Q4" s="9720"/>
      <c r="R4" s="9720"/>
      <c r="S4" s="9720"/>
      <c r="T4" s="9720"/>
      <c r="U4" s="9720"/>
      <c r="V4" s="9720"/>
      <c r="W4" s="9720"/>
      <c r="X4" s="9720"/>
      <c r="Y4" s="9720"/>
      <c r="Z4" s="9720"/>
      <c r="AA4" s="9721"/>
      <c r="AB4" s="9712" t="s">
        <v>152</v>
      </c>
      <c r="AC4" s="8628"/>
      <c r="AD4" s="8628"/>
      <c r="AE4" s="8628"/>
      <c r="AF4" s="8628"/>
      <c r="AG4" s="1127"/>
      <c r="AH4" s="1091"/>
    </row>
    <row r="5" spans="1:34" ht="11.25" customHeight="1">
      <c r="A5" s="1127"/>
      <c r="B5" s="8624"/>
      <c r="C5" s="8624"/>
      <c r="D5" s="8624"/>
      <c r="E5" s="8624"/>
      <c r="F5" s="8624"/>
      <c r="G5" s="23"/>
      <c r="H5" s="9722"/>
      <c r="I5" s="9720"/>
      <c r="J5" s="9720"/>
      <c r="K5" s="9720"/>
      <c r="L5" s="9720"/>
      <c r="M5" s="9720"/>
      <c r="N5" s="9720"/>
      <c r="O5" s="9720"/>
      <c r="P5" s="9720"/>
      <c r="Q5" s="9720"/>
      <c r="R5" s="9720"/>
      <c r="S5" s="9720"/>
      <c r="T5" s="9720"/>
      <c r="U5" s="9720"/>
      <c r="V5" s="9720"/>
      <c r="W5" s="9720"/>
      <c r="X5" s="9720"/>
      <c r="Y5" s="9720"/>
      <c r="Z5" s="9720"/>
      <c r="AA5" s="9721"/>
      <c r="AB5" s="9713">
        <f>TaxYear</f>
        <v>2021</v>
      </c>
      <c r="AC5" s="8624"/>
      <c r="AD5" s="8624"/>
      <c r="AE5" s="8624"/>
      <c r="AF5" s="8624"/>
      <c r="AG5" s="1127"/>
      <c r="AH5" s="1091"/>
    </row>
    <row r="6" spans="1:34" ht="11.25" customHeight="1">
      <c r="A6" s="1127"/>
      <c r="B6" s="8624"/>
      <c r="C6" s="8624"/>
      <c r="D6" s="8624"/>
      <c r="E6" s="8624"/>
      <c r="F6" s="8624"/>
      <c r="G6" s="23"/>
      <c r="H6" s="9180"/>
      <c r="I6" s="6371"/>
      <c r="J6" s="6371"/>
      <c r="K6" s="6371"/>
      <c r="L6" s="6371"/>
      <c r="M6" s="6371"/>
      <c r="N6" s="6371"/>
      <c r="O6" s="6371"/>
      <c r="P6" s="6371"/>
      <c r="Q6" s="6371"/>
      <c r="R6" s="6371"/>
      <c r="S6" s="6371"/>
      <c r="T6" s="6371"/>
      <c r="U6" s="6371"/>
      <c r="V6" s="6371"/>
      <c r="W6" s="6371"/>
      <c r="X6" s="6371"/>
      <c r="Y6" s="6371"/>
      <c r="Z6" s="6371"/>
      <c r="AA6" s="8426"/>
      <c r="AB6" s="8624"/>
      <c r="AC6" s="8624"/>
      <c r="AD6" s="8624"/>
      <c r="AE6" s="8624"/>
      <c r="AF6" s="8624"/>
      <c r="AG6" s="1127"/>
      <c r="AH6" s="1089"/>
    </row>
    <row r="7" spans="1:34" ht="11.25" customHeight="1">
      <c r="A7" s="1127"/>
      <c r="B7" s="23"/>
      <c r="C7" s="23"/>
      <c r="D7" s="23"/>
      <c r="E7" s="23"/>
      <c r="F7" s="23"/>
      <c r="G7" s="23"/>
      <c r="H7" s="9729" t="s">
        <v>2052</v>
      </c>
      <c r="I7" s="9730"/>
      <c r="J7" s="9730"/>
      <c r="K7" s="9730"/>
      <c r="L7" s="9730"/>
      <c r="M7" s="9730"/>
      <c r="N7" s="9730"/>
      <c r="O7" s="9730"/>
      <c r="P7" s="9730"/>
      <c r="Q7" s="9730"/>
      <c r="R7" s="9730"/>
      <c r="S7" s="9730"/>
      <c r="T7" s="9730"/>
      <c r="U7" s="9730"/>
      <c r="V7" s="9730"/>
      <c r="W7" s="9730"/>
      <c r="X7" s="9730"/>
      <c r="Y7" s="9730"/>
      <c r="Z7" s="9730"/>
      <c r="AA7" s="9731"/>
      <c r="AB7" s="8624"/>
      <c r="AC7" s="8624"/>
      <c r="AD7" s="8624"/>
      <c r="AE7" s="8624"/>
      <c r="AF7" s="8624"/>
      <c r="AG7" s="1127"/>
    </row>
    <row r="8" spans="1:34" ht="10.5" customHeight="1">
      <c r="A8" s="1127"/>
      <c r="B8" s="30" t="s">
        <v>176</v>
      </c>
      <c r="C8" s="23"/>
      <c r="D8" s="23"/>
      <c r="E8" s="23"/>
      <c r="F8" s="23"/>
      <c r="G8" s="23"/>
      <c r="H8" s="9729" t="s">
        <v>1049</v>
      </c>
      <c r="I8" s="9730"/>
      <c r="J8" s="9730"/>
      <c r="K8" s="9730"/>
      <c r="L8" s="9730"/>
      <c r="M8" s="9730"/>
      <c r="N8" s="9730"/>
      <c r="O8" s="9730"/>
      <c r="P8" s="9730"/>
      <c r="Q8" s="9730"/>
      <c r="R8" s="9730"/>
      <c r="S8" s="9730"/>
      <c r="T8" s="9730"/>
      <c r="U8" s="9730"/>
      <c r="V8" s="9730"/>
      <c r="W8" s="9730"/>
      <c r="X8" s="9730"/>
      <c r="Y8" s="9730"/>
      <c r="Z8" s="9730"/>
      <c r="AA8" s="9731"/>
      <c r="AB8" s="9752" t="s">
        <v>2729</v>
      </c>
      <c r="AC8" s="9753"/>
      <c r="AD8" s="9753"/>
      <c r="AE8" s="7834" t="s">
        <v>2806</v>
      </c>
      <c r="AF8" s="7834"/>
      <c r="AG8" s="1127"/>
    </row>
    <row r="9" spans="1:34" ht="10.5" customHeight="1" thickBot="1">
      <c r="A9" s="1127"/>
      <c r="B9" s="29" t="s">
        <v>395</v>
      </c>
      <c r="C9" s="36"/>
      <c r="D9" s="36"/>
      <c r="E9" s="36"/>
      <c r="F9" s="36"/>
      <c r="G9" s="36"/>
      <c r="H9" s="9756"/>
      <c r="I9" s="9757"/>
      <c r="J9" s="9757"/>
      <c r="K9" s="9757"/>
      <c r="L9" s="9757"/>
      <c r="M9" s="9757"/>
      <c r="N9" s="9757"/>
      <c r="O9" s="9757"/>
      <c r="P9" s="9757"/>
      <c r="Q9" s="9757"/>
      <c r="R9" s="9757"/>
      <c r="S9" s="9757"/>
      <c r="T9" s="9757"/>
      <c r="U9" s="9757"/>
      <c r="V9" s="9757"/>
      <c r="W9" s="9757"/>
      <c r="X9" s="9757"/>
      <c r="Y9" s="9757"/>
      <c r="Z9" s="9757"/>
      <c r="AA9" s="9758"/>
      <c r="AB9" s="9754"/>
      <c r="AC9" s="9755"/>
      <c r="AD9" s="9755"/>
      <c r="AE9" s="7835"/>
      <c r="AF9" s="7835"/>
      <c r="AG9" s="1127"/>
    </row>
    <row r="10" spans="1:34">
      <c r="A10" s="1127"/>
      <c r="B10" s="30" t="s">
        <v>55</v>
      </c>
      <c r="C10" s="23"/>
      <c r="D10" s="23"/>
      <c r="E10" s="23"/>
      <c r="F10" s="23"/>
      <c r="G10" s="23"/>
      <c r="H10" s="23"/>
      <c r="I10" s="23"/>
      <c r="J10" s="23"/>
      <c r="K10" s="23"/>
      <c r="L10" s="23"/>
      <c r="M10" s="23"/>
      <c r="N10" s="23"/>
      <c r="O10" s="23"/>
      <c r="P10" s="23"/>
      <c r="Q10" s="23"/>
      <c r="R10" s="23"/>
      <c r="S10" s="23"/>
      <c r="T10" s="23"/>
      <c r="U10" s="23"/>
      <c r="V10" s="1236" t="s">
        <v>735</v>
      </c>
      <c r="W10" s="23"/>
      <c r="X10" s="23"/>
      <c r="Y10" s="23"/>
      <c r="Z10" s="34"/>
      <c r="AA10" s="23"/>
      <c r="AB10" s="23"/>
      <c r="AC10" s="23"/>
      <c r="AD10" s="23"/>
      <c r="AE10" s="23"/>
      <c r="AF10" s="23"/>
      <c r="AG10" s="1127"/>
    </row>
    <row r="11" spans="1:34" ht="16.5" thickBot="1">
      <c r="A11" s="1127"/>
      <c r="B11" s="9716" t="str">
        <f>Names</f>
        <v/>
      </c>
      <c r="C11" s="9717"/>
      <c r="D11" s="9717"/>
      <c r="E11" s="9717"/>
      <c r="F11" s="9717"/>
      <c r="G11" s="9717"/>
      <c r="H11" s="9717"/>
      <c r="I11" s="9717"/>
      <c r="J11" s="9717"/>
      <c r="K11" s="9717"/>
      <c r="L11" s="9717"/>
      <c r="M11" s="9717"/>
      <c r="N11" s="9717"/>
      <c r="O11" s="9717"/>
      <c r="P11" s="9717"/>
      <c r="Q11" s="9717"/>
      <c r="R11" s="9717"/>
      <c r="S11" s="9717"/>
      <c r="T11" s="9717"/>
      <c r="U11" s="9718"/>
      <c r="V11" s="9714">
        <f>IF(NoSSN,"",SS_Yours)</f>
        <v>1010001</v>
      </c>
      <c r="W11" s="9715"/>
      <c r="X11" s="9715"/>
      <c r="Y11" s="9715"/>
      <c r="Z11" s="9715"/>
      <c r="AA11" s="9715"/>
      <c r="AB11" s="9715"/>
      <c r="AC11" s="9715"/>
      <c r="AD11" s="9715"/>
      <c r="AE11" s="9715"/>
      <c r="AF11" s="9715"/>
      <c r="AG11" s="1127"/>
    </row>
    <row r="12" spans="1:34" ht="12.75" customHeight="1">
      <c r="A12" s="1127"/>
      <c r="B12" s="9775" t="s">
        <v>4258</v>
      </c>
      <c r="C12" s="9776"/>
      <c r="D12" s="9776"/>
      <c r="E12" s="9776"/>
      <c r="F12" s="9776"/>
      <c r="G12" s="9776"/>
      <c r="H12" s="9776"/>
      <c r="I12" s="9776"/>
      <c r="J12" s="9776"/>
      <c r="K12" s="9776"/>
      <c r="L12" s="9776"/>
      <c r="M12" s="9776"/>
      <c r="N12" s="9776"/>
      <c r="O12" s="9776"/>
      <c r="P12" s="9776"/>
      <c r="Q12" s="9776"/>
      <c r="R12" s="9776"/>
      <c r="S12" s="9776"/>
      <c r="T12" s="9776"/>
      <c r="U12" s="9776"/>
      <c r="V12" s="9776"/>
      <c r="W12" s="9776"/>
      <c r="X12" s="9776"/>
      <c r="Y12" s="9776"/>
      <c r="Z12" s="9776"/>
      <c r="AA12" s="9776"/>
      <c r="AB12" s="9776"/>
      <c r="AC12" s="9776"/>
      <c r="AD12" s="9776"/>
      <c r="AE12" s="9776"/>
      <c r="AF12" s="9776"/>
      <c r="AG12" s="1127"/>
    </row>
    <row r="13" spans="1:34" ht="12.75" customHeight="1">
      <c r="A13" s="1127"/>
      <c r="B13" s="7093"/>
      <c r="C13" s="7093"/>
      <c r="D13" s="7093"/>
      <c r="E13" s="7093"/>
      <c r="F13" s="7093"/>
      <c r="G13" s="7093"/>
      <c r="H13" s="7093"/>
      <c r="I13" s="7093"/>
      <c r="J13" s="7093"/>
      <c r="K13" s="7093"/>
      <c r="L13" s="7093"/>
      <c r="M13" s="7093"/>
      <c r="N13" s="7093"/>
      <c r="O13" s="7093"/>
      <c r="P13" s="7093"/>
      <c r="Q13" s="7093"/>
      <c r="R13" s="7093"/>
      <c r="S13" s="7093"/>
      <c r="T13" s="7093"/>
      <c r="U13" s="7093"/>
      <c r="V13" s="7093"/>
      <c r="W13" s="7093"/>
      <c r="X13" s="7093"/>
      <c r="Y13" s="7093"/>
      <c r="Z13" s="7093"/>
      <c r="AA13" s="7093"/>
      <c r="AB13" s="7093"/>
      <c r="AC13" s="7093"/>
      <c r="AD13" s="7093"/>
      <c r="AE13" s="7093"/>
      <c r="AF13" s="7093"/>
      <c r="AG13" s="1127"/>
    </row>
    <row r="14" spans="1:34" ht="12.75" customHeight="1">
      <c r="A14" s="1127"/>
      <c r="B14" s="7776"/>
      <c r="C14" s="7776"/>
      <c r="D14" s="7776"/>
      <c r="E14" s="7776"/>
      <c r="F14" s="7776"/>
      <c r="G14" s="7776"/>
      <c r="H14" s="7776"/>
      <c r="I14" s="7776"/>
      <c r="J14" s="7776"/>
      <c r="K14" s="7776"/>
      <c r="L14" s="7776"/>
      <c r="M14" s="7776"/>
      <c r="N14" s="7776"/>
      <c r="O14" s="7776"/>
      <c r="P14" s="7776"/>
      <c r="Q14" s="7776"/>
      <c r="R14" s="7776"/>
      <c r="S14" s="7776"/>
      <c r="T14" s="7776"/>
      <c r="U14" s="7776"/>
      <c r="V14" s="7776"/>
      <c r="W14" s="7776"/>
      <c r="X14" s="7776"/>
      <c r="Y14" s="7776"/>
      <c r="Z14" s="7776"/>
      <c r="AA14" s="7776"/>
      <c r="AB14" s="7776"/>
      <c r="AC14" s="7776"/>
      <c r="AD14" s="7776"/>
      <c r="AE14" s="7776"/>
      <c r="AF14" s="7776"/>
      <c r="AG14" s="1127"/>
    </row>
    <row r="15" spans="1:34" ht="3.75" customHeight="1">
      <c r="A15" s="1127"/>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1127"/>
    </row>
    <row r="16" spans="1:34" ht="15">
      <c r="A16" s="1127"/>
      <c r="B16" s="9723" t="s">
        <v>51</v>
      </c>
      <c r="C16" s="9724"/>
      <c r="D16" s="23"/>
      <c r="E16" s="343" t="s">
        <v>2054</v>
      </c>
      <c r="F16" s="23"/>
      <c r="G16" s="23"/>
      <c r="H16" s="23"/>
      <c r="I16" s="23"/>
      <c r="J16" s="23"/>
      <c r="K16" s="23"/>
      <c r="L16" s="23"/>
      <c r="M16" s="23"/>
      <c r="N16" s="23"/>
      <c r="O16" s="23"/>
      <c r="P16" s="23"/>
      <c r="Q16" s="23"/>
      <c r="R16" s="23"/>
      <c r="S16" s="23"/>
      <c r="T16" s="412" t="s">
        <v>2053</v>
      </c>
      <c r="U16" s="23"/>
      <c r="V16" s="23"/>
      <c r="W16" s="23"/>
      <c r="X16" s="412" t="s">
        <v>2813</v>
      </c>
      <c r="Y16" s="23"/>
      <c r="Z16" s="23"/>
      <c r="AA16" s="23"/>
      <c r="AB16" s="23"/>
      <c r="AC16" s="23"/>
      <c r="AD16" s="23"/>
      <c r="AE16" s="23"/>
      <c r="AF16" s="23"/>
      <c r="AG16" s="1127" t="b">
        <f>IF(SUM(AG35:AG54)&gt;0,TRUE,FALSE)</f>
        <v>0</v>
      </c>
    </row>
    <row r="17" spans="1:55" ht="11.25" customHeight="1">
      <c r="A17" s="1127"/>
      <c r="B17" s="23"/>
      <c r="C17" s="23"/>
      <c r="D17" s="23"/>
      <c r="E17" s="412" t="s">
        <v>2807</v>
      </c>
      <c r="F17" s="23"/>
      <c r="G17" s="23"/>
      <c r="H17" s="23"/>
      <c r="I17" s="23"/>
      <c r="J17" s="23"/>
      <c r="K17" s="23"/>
      <c r="L17" s="23"/>
      <c r="M17" s="23"/>
      <c r="N17" s="23"/>
      <c r="O17" s="23"/>
      <c r="P17" s="23"/>
      <c r="Q17" s="23"/>
      <c r="R17" s="23"/>
      <c r="S17" s="23"/>
      <c r="T17" s="412"/>
      <c r="U17" s="23"/>
      <c r="V17" s="23"/>
      <c r="W17" s="23"/>
      <c r="X17" s="70"/>
      <c r="Y17" s="23"/>
      <c r="Z17" s="23"/>
      <c r="AA17" s="23"/>
      <c r="AB17" s="23"/>
      <c r="AC17" s="23"/>
      <c r="AD17" s="23"/>
      <c r="AE17" s="23"/>
      <c r="AF17" s="23"/>
      <c r="AG17" s="1127"/>
    </row>
    <row r="18" spans="1:55" s="262" customFormat="1" ht="13.5" customHeight="1">
      <c r="A18" s="2667"/>
      <c r="B18" s="412"/>
      <c r="C18" s="412"/>
      <c r="D18" s="412"/>
      <c r="E18" s="2668" t="s">
        <v>2055</v>
      </c>
      <c r="F18" s="412"/>
      <c r="G18" s="412"/>
      <c r="H18" s="412"/>
      <c r="I18" s="412"/>
      <c r="J18" s="412"/>
      <c r="K18" s="412"/>
      <c r="L18" s="412"/>
      <c r="M18" s="412"/>
      <c r="N18" s="412"/>
      <c r="O18" s="412"/>
      <c r="P18" s="412"/>
      <c r="Q18" s="412"/>
      <c r="R18" s="412"/>
      <c r="S18" s="412"/>
      <c r="T18" s="412"/>
      <c r="U18" s="412"/>
      <c r="V18" s="412"/>
      <c r="W18" s="412"/>
      <c r="X18" s="412"/>
      <c r="Y18" s="412"/>
      <c r="Z18" s="412"/>
      <c r="AA18" s="412"/>
      <c r="AB18" s="412"/>
      <c r="AC18" s="412"/>
      <c r="AD18" s="412"/>
      <c r="AE18" s="412"/>
      <c r="AF18" s="412"/>
      <c r="AG18" s="2667"/>
      <c r="AH18" s="982"/>
      <c r="AI18" s="982"/>
    </row>
    <row r="19" spans="1:55" s="262" customFormat="1" ht="13.5" customHeight="1">
      <c r="A19" s="2667"/>
      <c r="B19" s="412"/>
      <c r="C19" s="412"/>
      <c r="D19" s="412"/>
      <c r="E19" s="412" t="s">
        <v>816</v>
      </c>
      <c r="F19" s="412"/>
      <c r="G19" s="412"/>
      <c r="H19" s="412"/>
      <c r="I19" s="412"/>
      <c r="J19" s="412"/>
      <c r="K19" s="412"/>
      <c r="L19" s="412"/>
      <c r="M19" s="412"/>
      <c r="N19" s="412"/>
      <c r="O19" s="412"/>
      <c r="P19" s="412"/>
      <c r="Q19" s="412"/>
      <c r="R19" s="412"/>
      <c r="S19" s="412"/>
      <c r="T19" s="412"/>
      <c r="U19" s="412"/>
      <c r="V19" s="412"/>
      <c r="W19" s="412"/>
      <c r="X19" s="412"/>
      <c r="Y19" s="412"/>
      <c r="Z19" s="412"/>
      <c r="AA19" s="412"/>
      <c r="AB19" s="412"/>
      <c r="AC19" s="412"/>
      <c r="AD19" s="412"/>
      <c r="AE19" s="412"/>
      <c r="AF19" s="412"/>
      <c r="AG19" s="2667"/>
      <c r="AH19" s="982"/>
      <c r="AI19" s="982"/>
    </row>
    <row r="20" spans="1:55" s="262" customFormat="1" ht="13.5" customHeight="1">
      <c r="A20" s="2667"/>
      <c r="B20" s="2669"/>
      <c r="C20" s="2669"/>
      <c r="D20" s="2669"/>
      <c r="E20" s="2669" t="s">
        <v>2808</v>
      </c>
      <c r="F20" s="2669"/>
      <c r="G20" s="2669"/>
      <c r="H20" s="2669"/>
      <c r="I20" s="2669"/>
      <c r="J20" s="2669"/>
      <c r="K20" s="2669"/>
      <c r="L20" s="2669"/>
      <c r="M20" s="2669"/>
      <c r="N20" s="2669"/>
      <c r="O20" s="2669"/>
      <c r="P20" s="2669"/>
      <c r="Q20" s="2669"/>
      <c r="R20" s="2669"/>
      <c r="S20" s="2669"/>
      <c r="T20" s="2669"/>
      <c r="U20" s="2669"/>
      <c r="V20" s="2669"/>
      <c r="W20" s="2669"/>
      <c r="X20" s="2669"/>
      <c r="Y20" s="2669"/>
      <c r="Z20" s="2669"/>
      <c r="AA20" s="2669"/>
      <c r="AB20" s="2669"/>
      <c r="AC20" s="2669"/>
      <c r="AD20" s="2669"/>
      <c r="AE20" s="2669"/>
      <c r="AF20" s="2669"/>
      <c r="AG20" s="2667"/>
      <c r="AH20" s="982"/>
      <c r="AI20" s="982"/>
    </row>
    <row r="21" spans="1:55">
      <c r="A21" s="1127"/>
      <c r="B21" s="278" t="s">
        <v>725</v>
      </c>
      <c r="C21" s="56"/>
      <c r="D21" s="56"/>
      <c r="E21" s="56"/>
      <c r="F21" s="56"/>
      <c r="G21" s="56"/>
      <c r="H21" s="56"/>
      <c r="I21" s="56"/>
      <c r="J21" s="56"/>
      <c r="K21" s="278"/>
      <c r="L21" s="278" t="s">
        <v>724</v>
      </c>
      <c r="M21" s="56"/>
      <c r="N21" s="56"/>
      <c r="O21" s="56"/>
      <c r="P21" s="56"/>
      <c r="Q21" s="70" t="s">
        <v>723</v>
      </c>
      <c r="R21" s="56"/>
      <c r="S21" s="56"/>
      <c r="T21" s="56"/>
      <c r="U21" s="56"/>
      <c r="V21" s="56"/>
      <c r="W21" s="56"/>
      <c r="X21" s="56"/>
      <c r="Y21" s="56"/>
      <c r="Z21" s="56"/>
      <c r="AA21" s="56"/>
      <c r="AB21" s="56"/>
      <c r="AC21" s="56"/>
      <c r="AD21" s="56"/>
      <c r="AE21" s="56"/>
      <c r="AF21" s="56"/>
      <c r="AG21" s="1127"/>
    </row>
    <row r="22" spans="1:55">
      <c r="A22" s="1127"/>
      <c r="B22" s="70" t="s">
        <v>721</v>
      </c>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1127"/>
      <c r="BA22" s="9699" t="s">
        <v>780</v>
      </c>
      <c r="BB22" s="6206"/>
      <c r="BC22" s="7198"/>
    </row>
    <row r="23" spans="1:55">
      <c r="A23" s="1127"/>
      <c r="B23" s="70" t="s">
        <v>722</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1127"/>
      <c r="BA23" s="9700" t="s">
        <v>779</v>
      </c>
      <c r="BB23" s="9700" t="s">
        <v>770</v>
      </c>
      <c r="BC23" s="9700" t="s">
        <v>771</v>
      </c>
    </row>
    <row r="24" spans="1:55" ht="4.5" customHeight="1" thickBot="1">
      <c r="A24" s="112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1127"/>
      <c r="BA24" s="9701"/>
      <c r="BB24" s="9701"/>
      <c r="BC24" s="9701"/>
    </row>
    <row r="25" spans="1:55" ht="12" customHeight="1" thickBot="1">
      <c r="A25" s="1127"/>
      <c r="B25" s="1258">
        <f>IF(C25&lt;&gt;"",1,0)</f>
        <v>0</v>
      </c>
      <c r="C25" s="1257"/>
      <c r="D25" s="999" t="s">
        <v>2810</v>
      </c>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1127"/>
      <c r="AJ25" s="9694"/>
      <c r="AK25" s="9695"/>
      <c r="AL25" s="9695"/>
      <c r="AM25" s="9695"/>
      <c r="AN25" s="9695"/>
      <c r="AO25" s="9695"/>
      <c r="AP25" s="9695"/>
      <c r="AQ25" s="9695"/>
      <c r="BA25" s="9701"/>
      <c r="BB25" s="9701"/>
      <c r="BC25" s="9701"/>
    </row>
    <row r="26" spans="1:55" ht="4.5" customHeight="1" thickBot="1">
      <c r="A26" s="1127"/>
      <c r="B26" s="1258"/>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1127"/>
      <c r="BA26" s="9701"/>
      <c r="BB26" s="9701"/>
      <c r="BC26" s="9701"/>
    </row>
    <row r="27" spans="1:55" ht="11.25" customHeight="1" thickBot="1">
      <c r="A27" s="1127"/>
      <c r="B27" s="1258">
        <f>IF(C27&lt;&gt;"",1,0)</f>
        <v>0</v>
      </c>
      <c r="C27" s="1257"/>
      <c r="D27" s="999" t="s">
        <v>2809</v>
      </c>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1127"/>
      <c r="AJ27" s="9694"/>
      <c r="AK27" s="9695"/>
      <c r="AL27" s="9695"/>
      <c r="AM27" s="9695"/>
      <c r="AN27" s="9695"/>
      <c r="AO27" s="9695"/>
      <c r="AP27" s="9695"/>
      <c r="AQ27" s="9695"/>
      <c r="BA27" s="9701"/>
      <c r="BB27" s="9701"/>
      <c r="BC27" s="9701"/>
    </row>
    <row r="28" spans="1:55" ht="4.5" customHeight="1" thickBot="1">
      <c r="A28" s="1127"/>
      <c r="B28" s="1258"/>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1127"/>
      <c r="BA28" s="9701"/>
      <c r="BB28" s="9701"/>
      <c r="BC28" s="9701"/>
    </row>
    <row r="29" spans="1:55" ht="12" customHeight="1" thickBot="1">
      <c r="A29" s="1127">
        <f>SUM(B25:B29)</f>
        <v>0</v>
      </c>
      <c r="B29" s="1258">
        <f>IF(C29&lt;&gt;"",1,0)</f>
        <v>0</v>
      </c>
      <c r="C29" s="1257"/>
      <c r="D29" s="999" t="s">
        <v>2811</v>
      </c>
      <c r="E29" s="56"/>
      <c r="F29" s="56"/>
      <c r="G29" s="56"/>
      <c r="H29" s="56"/>
      <c r="I29" s="56"/>
      <c r="J29" s="56"/>
      <c r="K29" s="56"/>
      <c r="L29" s="56"/>
      <c r="M29" s="56"/>
      <c r="N29" s="56"/>
      <c r="O29" s="56"/>
      <c r="P29" s="56"/>
      <c r="Q29" s="56"/>
      <c r="R29" s="9740" t="str">
        <f>IF(SpaceUsed_8949A_ST,"ERROR: DO NOT use the space bar to uncheck a box. Use the 'Delete' key.",IF(A29&gt;1,"Check only ONE box.",IF(A29&gt;0,"",IF(A29&lt;1,"Check ONE box.",""))))</f>
        <v>Check ONE box.</v>
      </c>
      <c r="S29" s="9741"/>
      <c r="T29" s="9741"/>
      <c r="U29" s="9741"/>
      <c r="V29" s="9741"/>
      <c r="W29" s="9741"/>
      <c r="X29" s="9741"/>
      <c r="Y29" s="9741"/>
      <c r="Z29" s="9741"/>
      <c r="AA29" s="9741"/>
      <c r="AB29" s="9741"/>
      <c r="AC29" s="9741"/>
      <c r="AD29" s="9741"/>
      <c r="AE29" s="9741"/>
      <c r="AF29" s="56"/>
      <c r="AG29" s="1127"/>
      <c r="AH29" s="1430" t="b">
        <f>IF(OR(F8949ASBOXA=CHAR(32),F8949ASBOXB=CHAR(32),F8949ASBOXC=CHAR(32)),TRUE,FALSE)</f>
        <v>0</v>
      </c>
      <c r="AJ29" s="9702" t="s">
        <v>2467</v>
      </c>
      <c r="AK29" s="9695"/>
      <c r="AL29" s="9695"/>
      <c r="AM29" s="9695"/>
      <c r="AN29" s="9695"/>
      <c r="AO29" s="9695"/>
      <c r="AP29" s="9695"/>
      <c r="AQ29" s="9695"/>
      <c r="BA29" s="9701"/>
      <c r="BB29" s="9701"/>
      <c r="BC29" s="9701"/>
    </row>
    <row r="30" spans="1:55" ht="3.75" customHeight="1">
      <c r="A30" s="1127"/>
      <c r="B30" s="279"/>
      <c r="C30" s="1092"/>
      <c r="D30" s="279"/>
      <c r="E30" s="279"/>
      <c r="F30" s="279"/>
      <c r="G30" s="279"/>
      <c r="H30" s="279"/>
      <c r="I30" s="279"/>
      <c r="J30" s="279"/>
      <c r="K30" s="279"/>
      <c r="L30" s="279"/>
      <c r="M30" s="279"/>
      <c r="N30" s="1092"/>
      <c r="O30" s="279"/>
      <c r="P30" s="279"/>
      <c r="Q30" s="279"/>
      <c r="R30" s="279"/>
      <c r="S30" s="279"/>
      <c r="T30" s="279"/>
      <c r="U30" s="279"/>
      <c r="V30" s="279"/>
      <c r="W30" s="279"/>
      <c r="X30" s="279"/>
      <c r="Y30" s="1092"/>
      <c r="Z30" s="279"/>
      <c r="AA30" s="279"/>
      <c r="AB30" s="279"/>
      <c r="AC30" s="279"/>
      <c r="AD30" s="279"/>
      <c r="AE30" s="279"/>
      <c r="AF30" s="279"/>
      <c r="AG30" s="1127"/>
      <c r="BA30" s="9701"/>
      <c r="BB30" s="9701"/>
      <c r="BC30" s="9701"/>
    </row>
    <row r="31" spans="1:55" ht="21" customHeight="1">
      <c r="A31" s="1127"/>
      <c r="B31" s="9725">
        <v>1</v>
      </c>
      <c r="C31" s="9732" t="s">
        <v>620</v>
      </c>
      <c r="D31" s="9733"/>
      <c r="E31" s="9733"/>
      <c r="F31" s="9733"/>
      <c r="G31" s="9733"/>
      <c r="H31" s="9733"/>
      <c r="I31" s="9734"/>
      <c r="J31" s="6448" t="s">
        <v>729</v>
      </c>
      <c r="K31" s="7379"/>
      <c r="L31" s="7155"/>
      <c r="M31" s="6448" t="s">
        <v>5477</v>
      </c>
      <c r="N31" s="7379"/>
      <c r="O31" s="7379"/>
      <c r="P31" s="7155"/>
      <c r="Q31" s="6448" t="s">
        <v>730</v>
      </c>
      <c r="R31" s="7379"/>
      <c r="S31" s="7379"/>
      <c r="T31" s="7155"/>
      <c r="U31" s="9673" t="s">
        <v>734</v>
      </c>
      <c r="V31" s="9674"/>
      <c r="W31" s="9674"/>
      <c r="X31" s="9748"/>
      <c r="Y31" s="9742" t="s">
        <v>2820</v>
      </c>
      <c r="Z31" s="9743"/>
      <c r="AA31" s="9743"/>
      <c r="AB31" s="9744"/>
      <c r="AC31" s="9673" t="s">
        <v>733</v>
      </c>
      <c r="AD31" s="9674"/>
      <c r="AE31" s="9674"/>
      <c r="AF31" s="9674"/>
      <c r="AG31" s="1127"/>
      <c r="AJ31" s="9692" t="s">
        <v>711</v>
      </c>
      <c r="AK31" s="9692" t="s">
        <v>736</v>
      </c>
      <c r="AL31" s="9692" t="s">
        <v>737</v>
      </c>
      <c r="AM31" s="9692" t="s">
        <v>738</v>
      </c>
      <c r="AN31" s="9690" t="s">
        <v>739</v>
      </c>
      <c r="AO31" s="9696" t="s">
        <v>731</v>
      </c>
      <c r="AP31" s="7127"/>
      <c r="AQ31" s="9692" t="s">
        <v>759</v>
      </c>
      <c r="BA31" s="9701"/>
      <c r="BB31" s="9701"/>
      <c r="BC31" s="9701"/>
    </row>
    <row r="32" spans="1:55" ht="21" customHeight="1">
      <c r="A32" s="1127"/>
      <c r="B32" s="9726"/>
      <c r="C32" s="9735"/>
      <c r="D32" s="9736"/>
      <c r="E32" s="9736"/>
      <c r="F32" s="9736"/>
      <c r="G32" s="9736"/>
      <c r="H32" s="9736"/>
      <c r="I32" s="9737"/>
      <c r="J32" s="6450"/>
      <c r="K32" s="8199"/>
      <c r="L32" s="7157"/>
      <c r="M32" s="6450"/>
      <c r="N32" s="8199"/>
      <c r="O32" s="8199"/>
      <c r="P32" s="7157"/>
      <c r="Q32" s="6450"/>
      <c r="R32" s="8199"/>
      <c r="S32" s="8199"/>
      <c r="T32" s="7157"/>
      <c r="U32" s="9675"/>
      <c r="V32" s="9676"/>
      <c r="W32" s="9676"/>
      <c r="X32" s="9749"/>
      <c r="Y32" s="9745"/>
      <c r="Z32" s="9746"/>
      <c r="AA32" s="9746"/>
      <c r="AB32" s="9747"/>
      <c r="AC32" s="9675"/>
      <c r="AD32" s="9676"/>
      <c r="AE32" s="9676"/>
      <c r="AF32" s="9676"/>
      <c r="AG32" s="1127"/>
      <c r="AJ32" s="9692"/>
      <c r="AK32" s="9692"/>
      <c r="AL32" s="9692"/>
      <c r="AM32" s="9692"/>
      <c r="AN32" s="9690"/>
      <c r="AO32" s="7264"/>
      <c r="AP32" s="7133"/>
      <c r="AQ32" s="9692"/>
      <c r="BA32" s="9701"/>
      <c r="BB32" s="9701"/>
      <c r="BC32" s="9701"/>
    </row>
    <row r="33" spans="1:55" ht="18" customHeight="1">
      <c r="A33" s="1127"/>
      <c r="B33" s="9727"/>
      <c r="C33" s="9736"/>
      <c r="D33" s="9736"/>
      <c r="E33" s="9736"/>
      <c r="F33" s="9736"/>
      <c r="G33" s="9736"/>
      <c r="H33" s="9736"/>
      <c r="I33" s="9737"/>
      <c r="J33" s="7156"/>
      <c r="K33" s="8199"/>
      <c r="L33" s="7157"/>
      <c r="M33" s="7156"/>
      <c r="N33" s="8199"/>
      <c r="O33" s="8199"/>
      <c r="P33" s="7157"/>
      <c r="Q33" s="7156"/>
      <c r="R33" s="8199"/>
      <c r="S33" s="8199"/>
      <c r="T33" s="7157"/>
      <c r="U33" s="9677"/>
      <c r="V33" s="9676"/>
      <c r="W33" s="9676"/>
      <c r="X33" s="9749"/>
      <c r="Y33" s="7324" t="s">
        <v>2822</v>
      </c>
      <c r="Z33" s="7155"/>
      <c r="AA33" s="7324" t="s">
        <v>732</v>
      </c>
      <c r="AB33" s="7258"/>
      <c r="AC33" s="9677"/>
      <c r="AD33" s="9676"/>
      <c r="AE33" s="9676"/>
      <c r="AF33" s="9676"/>
      <c r="AG33" s="1127"/>
      <c r="AJ33" s="9693"/>
      <c r="AK33" s="9693"/>
      <c r="AL33" s="9693"/>
      <c r="AM33" s="9693"/>
      <c r="AN33" s="9691"/>
      <c r="AO33" s="9698" t="s">
        <v>740</v>
      </c>
      <c r="AP33" s="7237" t="s">
        <v>732</v>
      </c>
      <c r="AQ33" s="9693"/>
      <c r="BA33" s="9701"/>
      <c r="BB33" s="9701"/>
      <c r="BC33" s="9701"/>
    </row>
    <row r="34" spans="1:55" ht="18" customHeight="1">
      <c r="A34" s="1127"/>
      <c r="B34" s="9728"/>
      <c r="C34" s="9738"/>
      <c r="D34" s="9738"/>
      <c r="E34" s="9738"/>
      <c r="F34" s="9738"/>
      <c r="G34" s="9738"/>
      <c r="H34" s="9738"/>
      <c r="I34" s="9739"/>
      <c r="J34" s="7158"/>
      <c r="K34" s="9751"/>
      <c r="L34" s="7159"/>
      <c r="M34" s="7158"/>
      <c r="N34" s="9751"/>
      <c r="O34" s="9751"/>
      <c r="P34" s="7159"/>
      <c r="Q34" s="7158"/>
      <c r="R34" s="9751"/>
      <c r="S34" s="9751"/>
      <c r="T34" s="7159"/>
      <c r="U34" s="9678"/>
      <c r="V34" s="9679"/>
      <c r="W34" s="9679"/>
      <c r="X34" s="9750"/>
      <c r="Y34" s="7158"/>
      <c r="Z34" s="7159"/>
      <c r="AA34" s="6619"/>
      <c r="AB34" s="7260"/>
      <c r="AC34" s="9678"/>
      <c r="AD34" s="9679"/>
      <c r="AE34" s="9679"/>
      <c r="AF34" s="9679"/>
      <c r="AG34" s="1127"/>
      <c r="AJ34" s="9693"/>
      <c r="AK34" s="9693"/>
      <c r="AL34" s="9693"/>
      <c r="AM34" s="9693"/>
      <c r="AN34" s="9691"/>
      <c r="AO34" s="9697"/>
      <c r="AP34" s="9697"/>
      <c r="AQ34" s="9693"/>
      <c r="BA34" s="9701"/>
      <c r="BB34" s="9701"/>
      <c r="BC34" s="9701"/>
    </row>
    <row r="35" spans="1:55" ht="19.5" customHeight="1">
      <c r="A35" s="1127">
        <f>IF(OR(Q35&lt;&gt;"",U35&lt;&gt;"",AC35&lt;&gt;""),1,0)</f>
        <v>0</v>
      </c>
      <c r="B35" s="9703" t="str">
        <f>IF(AJ35="","",AJ35)</f>
        <v/>
      </c>
      <c r="C35" s="9704"/>
      <c r="D35" s="9704"/>
      <c r="E35" s="9704"/>
      <c r="F35" s="9704"/>
      <c r="G35" s="9704"/>
      <c r="H35" s="9704"/>
      <c r="I35" s="9705"/>
      <c r="J35" s="9706" t="str">
        <f>IF(AK35="","",AK35)</f>
        <v/>
      </c>
      <c r="K35" s="9707"/>
      <c r="L35" s="9707"/>
      <c r="M35" s="9706" t="str">
        <f>IF(AL35="","",AL35)</f>
        <v/>
      </c>
      <c r="N35" s="9707"/>
      <c r="O35" s="9707"/>
      <c r="P35" s="9708"/>
      <c r="Q35" s="6969" t="str">
        <f>IF(AM35="","",AM35)</f>
        <v/>
      </c>
      <c r="R35" s="9688"/>
      <c r="S35" s="9688"/>
      <c r="T35" s="9689"/>
      <c r="U35" s="6969" t="str">
        <f>IF(AN35="","",AN35)</f>
        <v/>
      </c>
      <c r="V35" s="9688"/>
      <c r="W35" s="9688"/>
      <c r="X35" s="9689"/>
      <c r="Y35" s="9670" t="str">
        <f>IF(AO35&lt;&gt;"",AO35,"")</f>
        <v/>
      </c>
      <c r="Z35" s="6222"/>
      <c r="AA35" s="9670" t="str">
        <f>IF(AP35="","",AP35)</f>
        <v/>
      </c>
      <c r="AB35" s="6222"/>
      <c r="AC35" s="9671" t="str">
        <f>IF(AQ35&lt;&gt;"",AQ35,IF(AND(Q35="",U35=""),"",IF(AND(Q35&lt;&gt;"",U35=""),SUM(Q35,AA35),SUM(Q35,-U35,AA35))))</f>
        <v/>
      </c>
      <c r="AD35" s="9672"/>
      <c r="AE35" s="9672"/>
      <c r="AF35" s="9672"/>
      <c r="AG35" s="1297">
        <f>IF(OR(J35="",M35=""),0,IF(OR(BA35,BB35,BC35),0,1))</f>
        <v>0</v>
      </c>
      <c r="AH35" s="1090"/>
      <c r="AI35" s="1090" t="e">
        <f t="shared" ref="AI35:AI54" si="0">M35-J35</f>
        <v>#VALUE!</v>
      </c>
      <c r="AJ35" s="1237"/>
      <c r="AK35" s="1241"/>
      <c r="AL35" s="1241"/>
      <c r="AM35" s="1239"/>
      <c r="AN35" s="1239"/>
      <c r="AO35" s="1240"/>
      <c r="AP35" s="1239"/>
      <c r="AQ35" s="1238"/>
      <c r="AS35" s="42" t="e">
        <f>YEAR(J35)</f>
        <v>#VALUE!</v>
      </c>
      <c r="AT35" s="42" t="e">
        <f>MONTH(J35)</f>
        <v>#VALUE!</v>
      </c>
      <c r="AU35" s="42" t="e">
        <f>DAY(J35)</f>
        <v>#VALUE!</v>
      </c>
      <c r="AW35" s="42" t="e">
        <f>YEAR(M35)</f>
        <v>#VALUE!</v>
      </c>
      <c r="AX35" s="42" t="e">
        <f>MONTH(M35)</f>
        <v>#VALUE!</v>
      </c>
      <c r="AY35" s="42" t="e">
        <f>DAY(M35)</f>
        <v>#VALUE!</v>
      </c>
      <c r="BA35" s="42" t="e">
        <f>IF(AW35=AS35,TRUE,FALSE)</f>
        <v>#VALUE!</v>
      </c>
      <c r="BB35" s="42" t="e">
        <f>IF(AND(AW35=AS35+1,AX35&lt;AT35),TRUE,FALSE)</f>
        <v>#VALUE!</v>
      </c>
      <c r="BC35" s="42" t="e">
        <f>IF(AND(AW35=AS35+1,AX35=AT35,AY35&lt;=AU35),TRUE,FALSE)</f>
        <v>#VALUE!</v>
      </c>
    </row>
    <row r="36" spans="1:55" ht="19.5" customHeight="1">
      <c r="A36" s="1127">
        <f t="shared" ref="A36:A54" si="1">IF(OR(Q36&lt;&gt;"",U36&lt;&gt;"",AC36&lt;&gt;""),1,0)</f>
        <v>0</v>
      </c>
      <c r="B36" s="9703" t="str">
        <f t="shared" ref="B36:B54" si="2">IF(AJ36="","",AJ36)</f>
        <v/>
      </c>
      <c r="C36" s="9704"/>
      <c r="D36" s="9704"/>
      <c r="E36" s="9704"/>
      <c r="F36" s="9704"/>
      <c r="G36" s="9704"/>
      <c r="H36" s="9704"/>
      <c r="I36" s="9705"/>
      <c r="J36" s="9706" t="str">
        <f t="shared" ref="J36:J54" si="3">IF(AK36="","",AK36)</f>
        <v/>
      </c>
      <c r="K36" s="9707"/>
      <c r="L36" s="9707"/>
      <c r="M36" s="9706" t="str">
        <f t="shared" ref="M36:M54" si="4">IF(AL36="","",AL36)</f>
        <v/>
      </c>
      <c r="N36" s="9707"/>
      <c r="O36" s="9707"/>
      <c r="P36" s="9708"/>
      <c r="Q36" s="6969" t="str">
        <f t="shared" ref="Q36:Q54" si="5">IF(AM36="","",AM36)</f>
        <v/>
      </c>
      <c r="R36" s="9688"/>
      <c r="S36" s="9688"/>
      <c r="T36" s="9689"/>
      <c r="U36" s="6969" t="str">
        <f t="shared" ref="U36:U54" si="6">IF(AN36="","",AN36)</f>
        <v/>
      </c>
      <c r="V36" s="9688"/>
      <c r="W36" s="9688"/>
      <c r="X36" s="9689"/>
      <c r="Y36" s="9670" t="str">
        <f>IF(AO36&lt;&gt;"",AO36,"")</f>
        <v/>
      </c>
      <c r="Z36" s="6222"/>
      <c r="AA36" s="9670" t="str">
        <f>IF(AP36="","",AP36)</f>
        <v/>
      </c>
      <c r="AB36" s="6222"/>
      <c r="AC36" s="9671" t="str">
        <f t="shared" ref="AC36:AC54" si="7">IF(AQ36&lt;&gt;"",AQ36,IF(AND(Q36="",U36=""),"",IF(AND(Q36&lt;&gt;"",U36=""),SUM(Q36,AA36),SUM(Q36,-U36,AA36))))</f>
        <v/>
      </c>
      <c r="AD36" s="9672"/>
      <c r="AE36" s="9672"/>
      <c r="AF36" s="9672"/>
      <c r="AG36" s="1297">
        <f t="shared" ref="AG36:AG54" si="8">IF(OR(J36="",M36=""),0,IF(OR(BA36,BB36,BC36),0,1))</f>
        <v>0</v>
      </c>
      <c r="AH36" s="1090"/>
      <c r="AI36" s="1090" t="e">
        <f t="shared" si="0"/>
        <v>#VALUE!</v>
      </c>
      <c r="AJ36" s="1237"/>
      <c r="AK36" s="1241"/>
      <c r="AL36" s="1241"/>
      <c r="AM36" s="1239"/>
      <c r="AN36" s="1239"/>
      <c r="AO36" s="1240"/>
      <c r="AP36" s="1239"/>
      <c r="AQ36" s="1238"/>
      <c r="AS36" s="42" t="e">
        <f t="shared" ref="AS36:AS54" si="9">YEAR(J36)</f>
        <v>#VALUE!</v>
      </c>
      <c r="AT36" s="42" t="e">
        <f t="shared" ref="AT36:AT54" si="10">MONTH(J36)</f>
        <v>#VALUE!</v>
      </c>
      <c r="AU36" s="42" t="e">
        <f t="shared" ref="AU36:AU54" si="11">DAY(J36)</f>
        <v>#VALUE!</v>
      </c>
      <c r="AW36" s="42" t="e">
        <f t="shared" ref="AW36:AW54" si="12">YEAR(M36)</f>
        <v>#VALUE!</v>
      </c>
      <c r="AX36" s="42" t="e">
        <f t="shared" ref="AX36:AX54" si="13">MONTH(M36)</f>
        <v>#VALUE!</v>
      </c>
      <c r="AY36" s="42" t="e">
        <f t="shared" ref="AY36:AY54" si="14">DAY(M36)</f>
        <v>#VALUE!</v>
      </c>
      <c r="BA36" s="42" t="e">
        <f t="shared" ref="BA36:BA54" si="15">IF(AW36=AS36,TRUE,FALSE)</f>
        <v>#VALUE!</v>
      </c>
      <c r="BB36" s="42" t="e">
        <f t="shared" ref="BB36:BB54" si="16">IF(AND(AW36=AS36+1,AX36&lt;AT36),TRUE,FALSE)</f>
        <v>#VALUE!</v>
      </c>
      <c r="BC36" s="42" t="e">
        <f t="shared" ref="BC36:BC54" si="17">IF(AND(AW36=AS36+1,AX36=AT36,AY36&lt;=AU36),TRUE,FALSE)</f>
        <v>#VALUE!</v>
      </c>
    </row>
    <row r="37" spans="1:55" ht="19.5" customHeight="1">
      <c r="A37" s="1127">
        <f t="shared" si="1"/>
        <v>0</v>
      </c>
      <c r="B37" s="9703" t="str">
        <f t="shared" si="2"/>
        <v/>
      </c>
      <c r="C37" s="9704"/>
      <c r="D37" s="9704"/>
      <c r="E37" s="9704"/>
      <c r="F37" s="9704"/>
      <c r="G37" s="9704"/>
      <c r="H37" s="9704"/>
      <c r="I37" s="9705"/>
      <c r="J37" s="9706" t="str">
        <f t="shared" si="3"/>
        <v/>
      </c>
      <c r="K37" s="9707"/>
      <c r="L37" s="9707"/>
      <c r="M37" s="9706" t="str">
        <f t="shared" si="4"/>
        <v/>
      </c>
      <c r="N37" s="9707"/>
      <c r="O37" s="9707"/>
      <c r="P37" s="9708"/>
      <c r="Q37" s="6969" t="str">
        <f t="shared" si="5"/>
        <v/>
      </c>
      <c r="R37" s="9688"/>
      <c r="S37" s="9688"/>
      <c r="T37" s="9689"/>
      <c r="U37" s="6969" t="str">
        <f t="shared" si="6"/>
        <v/>
      </c>
      <c r="V37" s="9688"/>
      <c r="W37" s="9688"/>
      <c r="X37" s="9689"/>
      <c r="Y37" s="9670" t="str">
        <f>IF(AO37&lt;&gt;"",AO37,"")</f>
        <v/>
      </c>
      <c r="Z37" s="6222"/>
      <c r="AA37" s="9670" t="str">
        <f>IF(AP37="","",AP37)</f>
        <v/>
      </c>
      <c r="AB37" s="6222"/>
      <c r="AC37" s="9671" t="str">
        <f t="shared" si="7"/>
        <v/>
      </c>
      <c r="AD37" s="9672"/>
      <c r="AE37" s="9672"/>
      <c r="AF37" s="9672"/>
      <c r="AG37" s="1297">
        <f t="shared" si="8"/>
        <v>0</v>
      </c>
      <c r="AH37" s="1090"/>
      <c r="AI37" s="1090" t="e">
        <f t="shared" si="0"/>
        <v>#VALUE!</v>
      </c>
      <c r="AJ37" s="1237"/>
      <c r="AK37" s="1241"/>
      <c r="AL37" s="1241"/>
      <c r="AM37" s="1239"/>
      <c r="AN37" s="1239"/>
      <c r="AO37" s="1240"/>
      <c r="AP37" s="1239"/>
      <c r="AQ37" s="1238"/>
      <c r="AS37" s="42" t="e">
        <f t="shared" si="9"/>
        <v>#VALUE!</v>
      </c>
      <c r="AT37" s="42" t="e">
        <f t="shared" si="10"/>
        <v>#VALUE!</v>
      </c>
      <c r="AU37" s="42" t="e">
        <f t="shared" si="11"/>
        <v>#VALUE!</v>
      </c>
      <c r="AW37" s="42" t="e">
        <f t="shared" si="12"/>
        <v>#VALUE!</v>
      </c>
      <c r="AX37" s="42" t="e">
        <f t="shared" si="13"/>
        <v>#VALUE!</v>
      </c>
      <c r="AY37" s="42" t="e">
        <f t="shared" si="14"/>
        <v>#VALUE!</v>
      </c>
      <c r="BA37" s="42" t="e">
        <f t="shared" si="15"/>
        <v>#VALUE!</v>
      </c>
      <c r="BB37" s="42" t="e">
        <f t="shared" si="16"/>
        <v>#VALUE!</v>
      </c>
      <c r="BC37" s="42" t="e">
        <f t="shared" si="17"/>
        <v>#VALUE!</v>
      </c>
    </row>
    <row r="38" spans="1:55" ht="19.5" customHeight="1">
      <c r="A38" s="1127">
        <f t="shared" si="1"/>
        <v>0</v>
      </c>
      <c r="B38" s="9703" t="str">
        <f t="shared" si="2"/>
        <v/>
      </c>
      <c r="C38" s="9704"/>
      <c r="D38" s="9704"/>
      <c r="E38" s="9704"/>
      <c r="F38" s="9704"/>
      <c r="G38" s="9704"/>
      <c r="H38" s="9704"/>
      <c r="I38" s="9705"/>
      <c r="J38" s="9706" t="str">
        <f t="shared" si="3"/>
        <v/>
      </c>
      <c r="K38" s="9707"/>
      <c r="L38" s="9707"/>
      <c r="M38" s="9706" t="str">
        <f t="shared" si="4"/>
        <v/>
      </c>
      <c r="N38" s="9707"/>
      <c r="O38" s="9707"/>
      <c r="P38" s="9708"/>
      <c r="Q38" s="6969" t="str">
        <f t="shared" si="5"/>
        <v/>
      </c>
      <c r="R38" s="9688"/>
      <c r="S38" s="9688"/>
      <c r="T38" s="9689"/>
      <c r="U38" s="6969" t="str">
        <f t="shared" si="6"/>
        <v/>
      </c>
      <c r="V38" s="9688"/>
      <c r="W38" s="9688"/>
      <c r="X38" s="9689"/>
      <c r="Y38" s="9670" t="str">
        <f t="shared" ref="Y38:Y54" si="18">IF(AO38&lt;&gt;"",AO38,"")</f>
        <v/>
      </c>
      <c r="Z38" s="6222"/>
      <c r="AA38" s="9670" t="str">
        <f t="shared" ref="AA38:AA54" si="19">IF(AP38="","",AP38)</f>
        <v/>
      </c>
      <c r="AB38" s="6222"/>
      <c r="AC38" s="9671" t="str">
        <f t="shared" si="7"/>
        <v/>
      </c>
      <c r="AD38" s="9672"/>
      <c r="AE38" s="9672"/>
      <c r="AF38" s="9672"/>
      <c r="AG38" s="1297">
        <f t="shared" si="8"/>
        <v>0</v>
      </c>
      <c r="AH38" s="1090"/>
      <c r="AI38" s="1090" t="e">
        <f t="shared" si="0"/>
        <v>#VALUE!</v>
      </c>
      <c r="AJ38" s="1237"/>
      <c r="AK38" s="1241"/>
      <c r="AL38" s="1241"/>
      <c r="AM38" s="1239"/>
      <c r="AN38" s="1239"/>
      <c r="AO38" s="1240"/>
      <c r="AP38" s="1239"/>
      <c r="AQ38" s="1238"/>
      <c r="AS38" s="42" t="e">
        <f t="shared" si="9"/>
        <v>#VALUE!</v>
      </c>
      <c r="AT38" s="42" t="e">
        <f t="shared" si="10"/>
        <v>#VALUE!</v>
      </c>
      <c r="AU38" s="42" t="e">
        <f t="shared" si="11"/>
        <v>#VALUE!</v>
      </c>
      <c r="AW38" s="42" t="e">
        <f t="shared" si="12"/>
        <v>#VALUE!</v>
      </c>
      <c r="AX38" s="42" t="e">
        <f t="shared" si="13"/>
        <v>#VALUE!</v>
      </c>
      <c r="AY38" s="42" t="e">
        <f t="shared" si="14"/>
        <v>#VALUE!</v>
      </c>
      <c r="BA38" s="42" t="e">
        <f t="shared" si="15"/>
        <v>#VALUE!</v>
      </c>
      <c r="BB38" s="42" t="e">
        <f t="shared" si="16"/>
        <v>#VALUE!</v>
      </c>
      <c r="BC38" s="42" t="e">
        <f t="shared" si="17"/>
        <v>#VALUE!</v>
      </c>
    </row>
    <row r="39" spans="1:55" ht="19.5" customHeight="1">
      <c r="A39" s="1127">
        <f t="shared" si="1"/>
        <v>0</v>
      </c>
      <c r="B39" s="9703" t="str">
        <f t="shared" si="2"/>
        <v/>
      </c>
      <c r="C39" s="9704"/>
      <c r="D39" s="9704"/>
      <c r="E39" s="9704"/>
      <c r="F39" s="9704"/>
      <c r="G39" s="9704"/>
      <c r="H39" s="9704"/>
      <c r="I39" s="9705"/>
      <c r="J39" s="9706" t="str">
        <f t="shared" si="3"/>
        <v/>
      </c>
      <c r="K39" s="9707"/>
      <c r="L39" s="9707"/>
      <c r="M39" s="9706" t="str">
        <f t="shared" si="4"/>
        <v/>
      </c>
      <c r="N39" s="9707"/>
      <c r="O39" s="9707"/>
      <c r="P39" s="9708"/>
      <c r="Q39" s="6969" t="str">
        <f t="shared" si="5"/>
        <v/>
      </c>
      <c r="R39" s="9688"/>
      <c r="S39" s="9688"/>
      <c r="T39" s="9689"/>
      <c r="U39" s="6969" t="str">
        <f t="shared" si="6"/>
        <v/>
      </c>
      <c r="V39" s="9688"/>
      <c r="W39" s="9688"/>
      <c r="X39" s="9689"/>
      <c r="Y39" s="9670" t="str">
        <f t="shared" si="18"/>
        <v/>
      </c>
      <c r="Z39" s="6222"/>
      <c r="AA39" s="9670" t="str">
        <f t="shared" si="19"/>
        <v/>
      </c>
      <c r="AB39" s="6222"/>
      <c r="AC39" s="9671" t="str">
        <f t="shared" si="7"/>
        <v/>
      </c>
      <c r="AD39" s="9672"/>
      <c r="AE39" s="9672"/>
      <c r="AF39" s="9672"/>
      <c r="AG39" s="1297">
        <f t="shared" si="8"/>
        <v>0</v>
      </c>
      <c r="AH39" s="1090"/>
      <c r="AI39" s="1090" t="e">
        <f t="shared" si="0"/>
        <v>#VALUE!</v>
      </c>
      <c r="AJ39" s="1237"/>
      <c r="AK39" s="1241"/>
      <c r="AL39" s="1241"/>
      <c r="AM39" s="1239"/>
      <c r="AN39" s="1239"/>
      <c r="AO39" s="1240"/>
      <c r="AP39" s="1239"/>
      <c r="AQ39" s="1238"/>
      <c r="AS39" s="42" t="e">
        <f t="shared" si="9"/>
        <v>#VALUE!</v>
      </c>
      <c r="AT39" s="42" t="e">
        <f t="shared" si="10"/>
        <v>#VALUE!</v>
      </c>
      <c r="AU39" s="42" t="e">
        <f t="shared" si="11"/>
        <v>#VALUE!</v>
      </c>
      <c r="AW39" s="42" t="e">
        <f t="shared" si="12"/>
        <v>#VALUE!</v>
      </c>
      <c r="AX39" s="42" t="e">
        <f t="shared" si="13"/>
        <v>#VALUE!</v>
      </c>
      <c r="AY39" s="42" t="e">
        <f t="shared" si="14"/>
        <v>#VALUE!</v>
      </c>
      <c r="BA39" s="42" t="e">
        <f t="shared" si="15"/>
        <v>#VALUE!</v>
      </c>
      <c r="BB39" s="42" t="e">
        <f t="shared" si="16"/>
        <v>#VALUE!</v>
      </c>
      <c r="BC39" s="42" t="e">
        <f t="shared" si="17"/>
        <v>#VALUE!</v>
      </c>
    </row>
    <row r="40" spans="1:55" ht="19.5" customHeight="1">
      <c r="A40" s="1127">
        <f t="shared" si="1"/>
        <v>0</v>
      </c>
      <c r="B40" s="9703" t="str">
        <f t="shared" si="2"/>
        <v/>
      </c>
      <c r="C40" s="9704"/>
      <c r="D40" s="9704"/>
      <c r="E40" s="9704"/>
      <c r="F40" s="9704"/>
      <c r="G40" s="9704"/>
      <c r="H40" s="9704"/>
      <c r="I40" s="9705"/>
      <c r="J40" s="9706" t="str">
        <f t="shared" si="3"/>
        <v/>
      </c>
      <c r="K40" s="9707"/>
      <c r="L40" s="9707"/>
      <c r="M40" s="9706" t="str">
        <f t="shared" si="4"/>
        <v/>
      </c>
      <c r="N40" s="9707"/>
      <c r="O40" s="9707"/>
      <c r="P40" s="9708"/>
      <c r="Q40" s="6969" t="str">
        <f t="shared" si="5"/>
        <v/>
      </c>
      <c r="R40" s="9688"/>
      <c r="S40" s="9688"/>
      <c r="T40" s="9689"/>
      <c r="U40" s="6969" t="str">
        <f t="shared" si="6"/>
        <v/>
      </c>
      <c r="V40" s="9688"/>
      <c r="W40" s="9688"/>
      <c r="X40" s="9689"/>
      <c r="Y40" s="9670" t="str">
        <f t="shared" si="18"/>
        <v/>
      </c>
      <c r="Z40" s="6222"/>
      <c r="AA40" s="9670" t="str">
        <f t="shared" si="19"/>
        <v/>
      </c>
      <c r="AB40" s="6222"/>
      <c r="AC40" s="9671" t="str">
        <f t="shared" si="7"/>
        <v/>
      </c>
      <c r="AD40" s="9672"/>
      <c r="AE40" s="9672"/>
      <c r="AF40" s="9672"/>
      <c r="AG40" s="1297">
        <f t="shared" si="8"/>
        <v>0</v>
      </c>
      <c r="AH40" s="1090"/>
      <c r="AI40" s="1090" t="e">
        <f t="shared" si="0"/>
        <v>#VALUE!</v>
      </c>
      <c r="AJ40" s="1237"/>
      <c r="AK40" s="1241"/>
      <c r="AL40" s="1241"/>
      <c r="AM40" s="1239"/>
      <c r="AN40" s="1239"/>
      <c r="AO40" s="1240"/>
      <c r="AP40" s="1239"/>
      <c r="AQ40" s="1238"/>
      <c r="AS40" s="42" t="e">
        <f t="shared" si="9"/>
        <v>#VALUE!</v>
      </c>
      <c r="AT40" s="42" t="e">
        <f t="shared" si="10"/>
        <v>#VALUE!</v>
      </c>
      <c r="AU40" s="42" t="e">
        <f t="shared" si="11"/>
        <v>#VALUE!</v>
      </c>
      <c r="AW40" s="42" t="e">
        <f t="shared" si="12"/>
        <v>#VALUE!</v>
      </c>
      <c r="AX40" s="42" t="e">
        <f t="shared" si="13"/>
        <v>#VALUE!</v>
      </c>
      <c r="AY40" s="42" t="e">
        <f t="shared" si="14"/>
        <v>#VALUE!</v>
      </c>
      <c r="BA40" s="42" t="e">
        <f t="shared" si="15"/>
        <v>#VALUE!</v>
      </c>
      <c r="BB40" s="42" t="e">
        <f t="shared" si="16"/>
        <v>#VALUE!</v>
      </c>
      <c r="BC40" s="42" t="e">
        <f t="shared" si="17"/>
        <v>#VALUE!</v>
      </c>
    </row>
    <row r="41" spans="1:55" ht="19.5" customHeight="1">
      <c r="A41" s="1127">
        <f t="shared" si="1"/>
        <v>0</v>
      </c>
      <c r="B41" s="9703" t="str">
        <f t="shared" si="2"/>
        <v/>
      </c>
      <c r="C41" s="9704"/>
      <c r="D41" s="9704"/>
      <c r="E41" s="9704"/>
      <c r="F41" s="9704"/>
      <c r="G41" s="9704"/>
      <c r="H41" s="9704"/>
      <c r="I41" s="9705"/>
      <c r="J41" s="9706" t="str">
        <f>IF(AK41="","",AK41)</f>
        <v/>
      </c>
      <c r="K41" s="9707"/>
      <c r="L41" s="9707"/>
      <c r="M41" s="9706" t="str">
        <f>IF(AL41="","",AL41)</f>
        <v/>
      </c>
      <c r="N41" s="9707"/>
      <c r="O41" s="9707"/>
      <c r="P41" s="9708"/>
      <c r="Q41" s="6969" t="str">
        <f t="shared" si="5"/>
        <v/>
      </c>
      <c r="R41" s="9688"/>
      <c r="S41" s="9688"/>
      <c r="T41" s="9689"/>
      <c r="U41" s="6969" t="str">
        <f t="shared" si="6"/>
        <v/>
      </c>
      <c r="V41" s="9688"/>
      <c r="W41" s="9688"/>
      <c r="X41" s="9689"/>
      <c r="Y41" s="9670" t="str">
        <f t="shared" si="18"/>
        <v/>
      </c>
      <c r="Z41" s="6222"/>
      <c r="AA41" s="9670" t="str">
        <f t="shared" si="19"/>
        <v/>
      </c>
      <c r="AB41" s="6222"/>
      <c r="AC41" s="9671" t="str">
        <f t="shared" si="7"/>
        <v/>
      </c>
      <c r="AD41" s="9672"/>
      <c r="AE41" s="9672"/>
      <c r="AF41" s="9672"/>
      <c r="AG41" s="1297">
        <f t="shared" si="8"/>
        <v>0</v>
      </c>
      <c r="AH41" s="1090"/>
      <c r="AI41" s="1090" t="e">
        <f t="shared" si="0"/>
        <v>#VALUE!</v>
      </c>
      <c r="AJ41" s="1237"/>
      <c r="AK41" s="1241"/>
      <c r="AL41" s="1241"/>
      <c r="AM41" s="1239"/>
      <c r="AN41" s="1239"/>
      <c r="AO41" s="1240"/>
      <c r="AP41" s="1239"/>
      <c r="AQ41" s="1238"/>
      <c r="AS41" s="42" t="e">
        <f t="shared" si="9"/>
        <v>#VALUE!</v>
      </c>
      <c r="AT41" s="42" t="e">
        <f t="shared" si="10"/>
        <v>#VALUE!</v>
      </c>
      <c r="AU41" s="42" t="e">
        <f t="shared" si="11"/>
        <v>#VALUE!</v>
      </c>
      <c r="AW41" s="42" t="e">
        <f t="shared" si="12"/>
        <v>#VALUE!</v>
      </c>
      <c r="AX41" s="42" t="e">
        <f t="shared" si="13"/>
        <v>#VALUE!</v>
      </c>
      <c r="AY41" s="42" t="e">
        <f t="shared" si="14"/>
        <v>#VALUE!</v>
      </c>
      <c r="BA41" s="42" t="e">
        <f t="shared" si="15"/>
        <v>#VALUE!</v>
      </c>
      <c r="BB41" s="42" t="e">
        <f t="shared" si="16"/>
        <v>#VALUE!</v>
      </c>
      <c r="BC41" s="42" t="e">
        <f t="shared" si="17"/>
        <v>#VALUE!</v>
      </c>
    </row>
    <row r="42" spans="1:55" ht="19.5" customHeight="1">
      <c r="A42" s="1127">
        <f t="shared" si="1"/>
        <v>0</v>
      </c>
      <c r="B42" s="9703" t="str">
        <f t="shared" si="2"/>
        <v/>
      </c>
      <c r="C42" s="9704"/>
      <c r="D42" s="9704"/>
      <c r="E42" s="9704"/>
      <c r="F42" s="9704"/>
      <c r="G42" s="9704"/>
      <c r="H42" s="9704"/>
      <c r="I42" s="9705"/>
      <c r="J42" s="9706" t="str">
        <f t="shared" si="3"/>
        <v/>
      </c>
      <c r="K42" s="9707"/>
      <c r="L42" s="9707"/>
      <c r="M42" s="9706" t="str">
        <f t="shared" si="4"/>
        <v/>
      </c>
      <c r="N42" s="9707"/>
      <c r="O42" s="9707"/>
      <c r="P42" s="9708"/>
      <c r="Q42" s="6969" t="str">
        <f t="shared" si="5"/>
        <v/>
      </c>
      <c r="R42" s="9688"/>
      <c r="S42" s="9688"/>
      <c r="T42" s="9689"/>
      <c r="U42" s="6969" t="str">
        <f t="shared" si="6"/>
        <v/>
      </c>
      <c r="V42" s="9688"/>
      <c r="W42" s="9688"/>
      <c r="X42" s="9689"/>
      <c r="Y42" s="9670" t="str">
        <f t="shared" si="18"/>
        <v/>
      </c>
      <c r="Z42" s="6222"/>
      <c r="AA42" s="9670" t="str">
        <f t="shared" si="19"/>
        <v/>
      </c>
      <c r="AB42" s="6222"/>
      <c r="AC42" s="9671" t="str">
        <f t="shared" si="7"/>
        <v/>
      </c>
      <c r="AD42" s="9672"/>
      <c r="AE42" s="9672"/>
      <c r="AF42" s="9672"/>
      <c r="AG42" s="1297">
        <f t="shared" si="8"/>
        <v>0</v>
      </c>
      <c r="AH42" s="1090"/>
      <c r="AI42" s="1090" t="e">
        <f t="shared" si="0"/>
        <v>#VALUE!</v>
      </c>
      <c r="AJ42" s="1237"/>
      <c r="AK42" s="1241"/>
      <c r="AL42" s="1241"/>
      <c r="AM42" s="1239"/>
      <c r="AN42" s="1239"/>
      <c r="AO42" s="1240"/>
      <c r="AP42" s="1239"/>
      <c r="AQ42" s="1238"/>
      <c r="AS42" s="42" t="e">
        <f t="shared" si="9"/>
        <v>#VALUE!</v>
      </c>
      <c r="AT42" s="42" t="e">
        <f t="shared" si="10"/>
        <v>#VALUE!</v>
      </c>
      <c r="AU42" s="42" t="e">
        <f t="shared" si="11"/>
        <v>#VALUE!</v>
      </c>
      <c r="AW42" s="42" t="e">
        <f t="shared" si="12"/>
        <v>#VALUE!</v>
      </c>
      <c r="AX42" s="42" t="e">
        <f t="shared" si="13"/>
        <v>#VALUE!</v>
      </c>
      <c r="AY42" s="42" t="e">
        <f t="shared" si="14"/>
        <v>#VALUE!</v>
      </c>
      <c r="BA42" s="42" t="e">
        <f t="shared" si="15"/>
        <v>#VALUE!</v>
      </c>
      <c r="BB42" s="42" t="e">
        <f t="shared" si="16"/>
        <v>#VALUE!</v>
      </c>
      <c r="BC42" s="42" t="e">
        <f t="shared" si="17"/>
        <v>#VALUE!</v>
      </c>
    </row>
    <row r="43" spans="1:55" ht="19.5" customHeight="1">
      <c r="A43" s="1127">
        <f t="shared" si="1"/>
        <v>0</v>
      </c>
      <c r="B43" s="9703" t="str">
        <f t="shared" si="2"/>
        <v/>
      </c>
      <c r="C43" s="9704"/>
      <c r="D43" s="9704"/>
      <c r="E43" s="9704"/>
      <c r="F43" s="9704"/>
      <c r="G43" s="9704"/>
      <c r="H43" s="9704"/>
      <c r="I43" s="9705"/>
      <c r="J43" s="9706" t="str">
        <f t="shared" si="3"/>
        <v/>
      </c>
      <c r="K43" s="9707"/>
      <c r="L43" s="9707"/>
      <c r="M43" s="9706" t="str">
        <f t="shared" si="4"/>
        <v/>
      </c>
      <c r="N43" s="9707"/>
      <c r="O43" s="9707"/>
      <c r="P43" s="9708"/>
      <c r="Q43" s="6969" t="str">
        <f t="shared" si="5"/>
        <v/>
      </c>
      <c r="R43" s="9688"/>
      <c r="S43" s="9688"/>
      <c r="T43" s="9689"/>
      <c r="U43" s="6969" t="str">
        <f t="shared" si="6"/>
        <v/>
      </c>
      <c r="V43" s="9688"/>
      <c r="W43" s="9688"/>
      <c r="X43" s="9689"/>
      <c r="Y43" s="9670" t="str">
        <f t="shared" si="18"/>
        <v/>
      </c>
      <c r="Z43" s="6222"/>
      <c r="AA43" s="9670" t="str">
        <f t="shared" si="19"/>
        <v/>
      </c>
      <c r="AB43" s="6222"/>
      <c r="AC43" s="9671" t="str">
        <f t="shared" si="7"/>
        <v/>
      </c>
      <c r="AD43" s="9672"/>
      <c r="AE43" s="9672"/>
      <c r="AF43" s="9672"/>
      <c r="AG43" s="1297">
        <f t="shared" si="8"/>
        <v>0</v>
      </c>
      <c r="AH43" s="1090"/>
      <c r="AI43" s="1090" t="e">
        <f t="shared" si="0"/>
        <v>#VALUE!</v>
      </c>
      <c r="AJ43" s="1237"/>
      <c r="AK43" s="1241"/>
      <c r="AL43" s="1241"/>
      <c r="AM43" s="1239"/>
      <c r="AN43" s="1239"/>
      <c r="AO43" s="1240"/>
      <c r="AP43" s="1239"/>
      <c r="AQ43" s="1238"/>
      <c r="AS43" s="42" t="e">
        <f t="shared" si="9"/>
        <v>#VALUE!</v>
      </c>
      <c r="AT43" s="42" t="e">
        <f t="shared" si="10"/>
        <v>#VALUE!</v>
      </c>
      <c r="AU43" s="42" t="e">
        <f t="shared" si="11"/>
        <v>#VALUE!</v>
      </c>
      <c r="AW43" s="42" t="e">
        <f t="shared" si="12"/>
        <v>#VALUE!</v>
      </c>
      <c r="AX43" s="42" t="e">
        <f t="shared" si="13"/>
        <v>#VALUE!</v>
      </c>
      <c r="AY43" s="42" t="e">
        <f t="shared" si="14"/>
        <v>#VALUE!</v>
      </c>
      <c r="BA43" s="42" t="e">
        <f t="shared" si="15"/>
        <v>#VALUE!</v>
      </c>
      <c r="BB43" s="42" t="e">
        <f t="shared" si="16"/>
        <v>#VALUE!</v>
      </c>
      <c r="BC43" s="42" t="e">
        <f t="shared" si="17"/>
        <v>#VALUE!</v>
      </c>
    </row>
    <row r="44" spans="1:55" ht="19.5" customHeight="1">
      <c r="A44" s="1127">
        <f t="shared" si="1"/>
        <v>0</v>
      </c>
      <c r="B44" s="9703" t="str">
        <f t="shared" si="2"/>
        <v/>
      </c>
      <c r="C44" s="9704"/>
      <c r="D44" s="9704"/>
      <c r="E44" s="9704"/>
      <c r="F44" s="9704"/>
      <c r="G44" s="9704"/>
      <c r="H44" s="9704"/>
      <c r="I44" s="9705"/>
      <c r="J44" s="9706" t="str">
        <f t="shared" si="3"/>
        <v/>
      </c>
      <c r="K44" s="9707"/>
      <c r="L44" s="9707"/>
      <c r="M44" s="9706" t="str">
        <f t="shared" si="4"/>
        <v/>
      </c>
      <c r="N44" s="9707"/>
      <c r="O44" s="9707"/>
      <c r="P44" s="9708"/>
      <c r="Q44" s="6969" t="str">
        <f t="shared" si="5"/>
        <v/>
      </c>
      <c r="R44" s="9688"/>
      <c r="S44" s="9688"/>
      <c r="T44" s="9689"/>
      <c r="U44" s="6969" t="str">
        <f t="shared" si="6"/>
        <v/>
      </c>
      <c r="V44" s="9688"/>
      <c r="W44" s="9688"/>
      <c r="X44" s="9689"/>
      <c r="Y44" s="9670" t="str">
        <f t="shared" si="18"/>
        <v/>
      </c>
      <c r="Z44" s="6222"/>
      <c r="AA44" s="9670" t="str">
        <f t="shared" si="19"/>
        <v/>
      </c>
      <c r="AB44" s="6222"/>
      <c r="AC44" s="9671" t="str">
        <f t="shared" si="7"/>
        <v/>
      </c>
      <c r="AD44" s="9672"/>
      <c r="AE44" s="9672"/>
      <c r="AF44" s="9672"/>
      <c r="AG44" s="1297">
        <f t="shared" si="8"/>
        <v>0</v>
      </c>
      <c r="AH44" s="1090"/>
      <c r="AI44" s="1090" t="e">
        <f t="shared" si="0"/>
        <v>#VALUE!</v>
      </c>
      <c r="AJ44" s="1237"/>
      <c r="AK44" s="1241"/>
      <c r="AL44" s="1241"/>
      <c r="AM44" s="1239"/>
      <c r="AN44" s="1239"/>
      <c r="AO44" s="1240"/>
      <c r="AP44" s="1239"/>
      <c r="AQ44" s="1238"/>
      <c r="AS44" s="42" t="e">
        <f t="shared" si="9"/>
        <v>#VALUE!</v>
      </c>
      <c r="AT44" s="42" t="e">
        <f t="shared" si="10"/>
        <v>#VALUE!</v>
      </c>
      <c r="AU44" s="42" t="e">
        <f t="shared" si="11"/>
        <v>#VALUE!</v>
      </c>
      <c r="AW44" s="42" t="e">
        <f t="shared" si="12"/>
        <v>#VALUE!</v>
      </c>
      <c r="AX44" s="42" t="e">
        <f t="shared" si="13"/>
        <v>#VALUE!</v>
      </c>
      <c r="AY44" s="42" t="e">
        <f t="shared" si="14"/>
        <v>#VALUE!</v>
      </c>
      <c r="BA44" s="42" t="e">
        <f t="shared" si="15"/>
        <v>#VALUE!</v>
      </c>
      <c r="BB44" s="42" t="e">
        <f t="shared" si="16"/>
        <v>#VALUE!</v>
      </c>
      <c r="BC44" s="42" t="e">
        <f t="shared" si="17"/>
        <v>#VALUE!</v>
      </c>
    </row>
    <row r="45" spans="1:55" ht="19.5" customHeight="1">
      <c r="A45" s="1127">
        <f t="shared" si="1"/>
        <v>0</v>
      </c>
      <c r="B45" s="9703" t="str">
        <f t="shared" si="2"/>
        <v/>
      </c>
      <c r="C45" s="9704"/>
      <c r="D45" s="9704"/>
      <c r="E45" s="9704"/>
      <c r="F45" s="9704"/>
      <c r="G45" s="9704"/>
      <c r="H45" s="9704"/>
      <c r="I45" s="9705"/>
      <c r="J45" s="9706" t="str">
        <f t="shared" si="3"/>
        <v/>
      </c>
      <c r="K45" s="9707"/>
      <c r="L45" s="9707"/>
      <c r="M45" s="9706" t="str">
        <f t="shared" si="4"/>
        <v/>
      </c>
      <c r="N45" s="9707"/>
      <c r="O45" s="9707"/>
      <c r="P45" s="9708"/>
      <c r="Q45" s="6969" t="str">
        <f t="shared" si="5"/>
        <v/>
      </c>
      <c r="R45" s="9688"/>
      <c r="S45" s="9688"/>
      <c r="T45" s="9689"/>
      <c r="U45" s="6969" t="str">
        <f t="shared" si="6"/>
        <v/>
      </c>
      <c r="V45" s="9688"/>
      <c r="W45" s="9688"/>
      <c r="X45" s="9689"/>
      <c r="Y45" s="9670" t="str">
        <f t="shared" si="18"/>
        <v/>
      </c>
      <c r="Z45" s="6222"/>
      <c r="AA45" s="9670" t="str">
        <f t="shared" si="19"/>
        <v/>
      </c>
      <c r="AB45" s="6222"/>
      <c r="AC45" s="9671" t="str">
        <f t="shared" si="7"/>
        <v/>
      </c>
      <c r="AD45" s="9672"/>
      <c r="AE45" s="9672"/>
      <c r="AF45" s="9672"/>
      <c r="AG45" s="1297">
        <f t="shared" si="8"/>
        <v>0</v>
      </c>
      <c r="AH45" s="1090"/>
      <c r="AI45" s="1090" t="e">
        <f t="shared" si="0"/>
        <v>#VALUE!</v>
      </c>
      <c r="AJ45" s="1237"/>
      <c r="AK45" s="1241"/>
      <c r="AL45" s="1241"/>
      <c r="AM45" s="1239"/>
      <c r="AN45" s="1239"/>
      <c r="AO45" s="1240"/>
      <c r="AP45" s="1239"/>
      <c r="AQ45" s="1238"/>
      <c r="AS45" s="42" t="e">
        <f t="shared" si="9"/>
        <v>#VALUE!</v>
      </c>
      <c r="AT45" s="42" t="e">
        <f t="shared" si="10"/>
        <v>#VALUE!</v>
      </c>
      <c r="AU45" s="42" t="e">
        <f t="shared" si="11"/>
        <v>#VALUE!</v>
      </c>
      <c r="AW45" s="42" t="e">
        <f t="shared" si="12"/>
        <v>#VALUE!</v>
      </c>
      <c r="AX45" s="42" t="e">
        <f t="shared" si="13"/>
        <v>#VALUE!</v>
      </c>
      <c r="AY45" s="42" t="e">
        <f t="shared" si="14"/>
        <v>#VALUE!</v>
      </c>
      <c r="BA45" s="42" t="e">
        <f t="shared" si="15"/>
        <v>#VALUE!</v>
      </c>
      <c r="BB45" s="42" t="e">
        <f t="shared" si="16"/>
        <v>#VALUE!</v>
      </c>
      <c r="BC45" s="42" t="e">
        <f t="shared" si="17"/>
        <v>#VALUE!</v>
      </c>
    </row>
    <row r="46" spans="1:55" ht="19.5" customHeight="1">
      <c r="A46" s="1127">
        <f t="shared" si="1"/>
        <v>0</v>
      </c>
      <c r="B46" s="9703" t="str">
        <f t="shared" si="2"/>
        <v/>
      </c>
      <c r="C46" s="9704"/>
      <c r="D46" s="9704"/>
      <c r="E46" s="9704"/>
      <c r="F46" s="9704"/>
      <c r="G46" s="9704"/>
      <c r="H46" s="9704"/>
      <c r="I46" s="9705"/>
      <c r="J46" s="9706" t="str">
        <f t="shared" si="3"/>
        <v/>
      </c>
      <c r="K46" s="9707"/>
      <c r="L46" s="9707"/>
      <c r="M46" s="9706" t="str">
        <f t="shared" si="4"/>
        <v/>
      </c>
      <c r="N46" s="9707"/>
      <c r="O46" s="9707"/>
      <c r="P46" s="9708"/>
      <c r="Q46" s="6969" t="str">
        <f t="shared" si="5"/>
        <v/>
      </c>
      <c r="R46" s="9688"/>
      <c r="S46" s="9688"/>
      <c r="T46" s="9689"/>
      <c r="U46" s="6969" t="str">
        <f t="shared" si="6"/>
        <v/>
      </c>
      <c r="V46" s="9688"/>
      <c r="W46" s="9688"/>
      <c r="X46" s="9689"/>
      <c r="Y46" s="9670" t="str">
        <f t="shared" si="18"/>
        <v/>
      </c>
      <c r="Z46" s="6222"/>
      <c r="AA46" s="9670" t="str">
        <f t="shared" si="19"/>
        <v/>
      </c>
      <c r="AB46" s="6222"/>
      <c r="AC46" s="9671" t="str">
        <f t="shared" si="7"/>
        <v/>
      </c>
      <c r="AD46" s="9672"/>
      <c r="AE46" s="9672"/>
      <c r="AF46" s="9672"/>
      <c r="AG46" s="1297">
        <f t="shared" si="8"/>
        <v>0</v>
      </c>
      <c r="AH46" s="1090"/>
      <c r="AI46" s="1090" t="e">
        <f t="shared" si="0"/>
        <v>#VALUE!</v>
      </c>
      <c r="AJ46" s="1237"/>
      <c r="AK46" s="1241"/>
      <c r="AL46" s="1241"/>
      <c r="AM46" s="1239"/>
      <c r="AN46" s="1239"/>
      <c r="AO46" s="1240"/>
      <c r="AP46" s="1239"/>
      <c r="AQ46" s="1238"/>
      <c r="AS46" s="42" t="e">
        <f t="shared" si="9"/>
        <v>#VALUE!</v>
      </c>
      <c r="AT46" s="42" t="e">
        <f t="shared" si="10"/>
        <v>#VALUE!</v>
      </c>
      <c r="AU46" s="42" t="e">
        <f t="shared" si="11"/>
        <v>#VALUE!</v>
      </c>
      <c r="AW46" s="42" t="e">
        <f t="shared" si="12"/>
        <v>#VALUE!</v>
      </c>
      <c r="AX46" s="42" t="e">
        <f t="shared" si="13"/>
        <v>#VALUE!</v>
      </c>
      <c r="AY46" s="42" t="e">
        <f t="shared" si="14"/>
        <v>#VALUE!</v>
      </c>
      <c r="BA46" s="42" t="e">
        <f t="shared" si="15"/>
        <v>#VALUE!</v>
      </c>
      <c r="BB46" s="42" t="e">
        <f t="shared" si="16"/>
        <v>#VALUE!</v>
      </c>
      <c r="BC46" s="42" t="e">
        <f t="shared" si="17"/>
        <v>#VALUE!</v>
      </c>
    </row>
    <row r="47" spans="1:55" ht="19.5" customHeight="1">
      <c r="A47" s="1127">
        <f t="shared" si="1"/>
        <v>0</v>
      </c>
      <c r="B47" s="9703" t="str">
        <f t="shared" si="2"/>
        <v/>
      </c>
      <c r="C47" s="9704"/>
      <c r="D47" s="9704"/>
      <c r="E47" s="9704"/>
      <c r="F47" s="9704"/>
      <c r="G47" s="9704"/>
      <c r="H47" s="9704"/>
      <c r="I47" s="9705"/>
      <c r="J47" s="9706" t="str">
        <f t="shared" si="3"/>
        <v/>
      </c>
      <c r="K47" s="9707"/>
      <c r="L47" s="9707"/>
      <c r="M47" s="9706" t="str">
        <f t="shared" si="4"/>
        <v/>
      </c>
      <c r="N47" s="9707"/>
      <c r="O47" s="9707"/>
      <c r="P47" s="9708"/>
      <c r="Q47" s="6969" t="str">
        <f t="shared" si="5"/>
        <v/>
      </c>
      <c r="R47" s="9688"/>
      <c r="S47" s="9688"/>
      <c r="T47" s="9689"/>
      <c r="U47" s="6969" t="str">
        <f t="shared" si="6"/>
        <v/>
      </c>
      <c r="V47" s="9688"/>
      <c r="W47" s="9688"/>
      <c r="X47" s="9689"/>
      <c r="Y47" s="9670" t="str">
        <f t="shared" si="18"/>
        <v/>
      </c>
      <c r="Z47" s="6222"/>
      <c r="AA47" s="9670" t="str">
        <f t="shared" si="19"/>
        <v/>
      </c>
      <c r="AB47" s="6222"/>
      <c r="AC47" s="9671" t="str">
        <f t="shared" si="7"/>
        <v/>
      </c>
      <c r="AD47" s="9672"/>
      <c r="AE47" s="9672"/>
      <c r="AF47" s="9672"/>
      <c r="AG47" s="1297">
        <f t="shared" si="8"/>
        <v>0</v>
      </c>
      <c r="AH47" s="1090"/>
      <c r="AI47" s="1090" t="e">
        <f t="shared" si="0"/>
        <v>#VALUE!</v>
      </c>
      <c r="AJ47" s="1237"/>
      <c r="AK47" s="1241"/>
      <c r="AL47" s="1241"/>
      <c r="AM47" s="1239"/>
      <c r="AN47" s="1239"/>
      <c r="AO47" s="1240"/>
      <c r="AP47" s="1239"/>
      <c r="AQ47" s="1238"/>
      <c r="AS47" s="42" t="e">
        <f t="shared" si="9"/>
        <v>#VALUE!</v>
      </c>
      <c r="AT47" s="42" t="e">
        <f t="shared" si="10"/>
        <v>#VALUE!</v>
      </c>
      <c r="AU47" s="42" t="e">
        <f t="shared" si="11"/>
        <v>#VALUE!</v>
      </c>
      <c r="AW47" s="42" t="e">
        <f t="shared" si="12"/>
        <v>#VALUE!</v>
      </c>
      <c r="AX47" s="42" t="e">
        <f t="shared" si="13"/>
        <v>#VALUE!</v>
      </c>
      <c r="AY47" s="42" t="e">
        <f t="shared" si="14"/>
        <v>#VALUE!</v>
      </c>
      <c r="BA47" s="42" t="e">
        <f t="shared" si="15"/>
        <v>#VALUE!</v>
      </c>
      <c r="BB47" s="42" t="e">
        <f t="shared" si="16"/>
        <v>#VALUE!</v>
      </c>
      <c r="BC47" s="42" t="e">
        <f t="shared" si="17"/>
        <v>#VALUE!</v>
      </c>
    </row>
    <row r="48" spans="1:55" ht="19.5" customHeight="1">
      <c r="A48" s="1127">
        <f t="shared" si="1"/>
        <v>0</v>
      </c>
      <c r="B48" s="9703" t="str">
        <f t="shared" si="2"/>
        <v/>
      </c>
      <c r="C48" s="9704"/>
      <c r="D48" s="9704"/>
      <c r="E48" s="9704"/>
      <c r="F48" s="9704"/>
      <c r="G48" s="9704"/>
      <c r="H48" s="9704"/>
      <c r="I48" s="9705"/>
      <c r="J48" s="9706" t="str">
        <f t="shared" si="3"/>
        <v/>
      </c>
      <c r="K48" s="9707"/>
      <c r="L48" s="9707"/>
      <c r="M48" s="9706" t="str">
        <f t="shared" si="4"/>
        <v/>
      </c>
      <c r="N48" s="9707"/>
      <c r="O48" s="9707"/>
      <c r="P48" s="9708"/>
      <c r="Q48" s="6969" t="str">
        <f t="shared" si="5"/>
        <v/>
      </c>
      <c r="R48" s="9688"/>
      <c r="S48" s="9688"/>
      <c r="T48" s="9689"/>
      <c r="U48" s="6969" t="str">
        <f t="shared" si="6"/>
        <v/>
      </c>
      <c r="V48" s="9688"/>
      <c r="W48" s="9688"/>
      <c r="X48" s="9689"/>
      <c r="Y48" s="9670" t="str">
        <f t="shared" si="18"/>
        <v/>
      </c>
      <c r="Z48" s="6222"/>
      <c r="AA48" s="9670" t="str">
        <f t="shared" si="19"/>
        <v/>
      </c>
      <c r="AB48" s="6222"/>
      <c r="AC48" s="9671" t="str">
        <f t="shared" si="7"/>
        <v/>
      </c>
      <c r="AD48" s="9672"/>
      <c r="AE48" s="9672"/>
      <c r="AF48" s="9672"/>
      <c r="AG48" s="1297">
        <f t="shared" si="8"/>
        <v>0</v>
      </c>
      <c r="AH48" s="1090"/>
      <c r="AI48" s="1090" t="e">
        <f t="shared" si="0"/>
        <v>#VALUE!</v>
      </c>
      <c r="AJ48" s="1237"/>
      <c r="AK48" s="1241"/>
      <c r="AL48" s="1241"/>
      <c r="AM48" s="1239"/>
      <c r="AN48" s="1239"/>
      <c r="AO48" s="1240"/>
      <c r="AP48" s="1239"/>
      <c r="AQ48" s="1238"/>
      <c r="AS48" s="42" t="e">
        <f t="shared" si="9"/>
        <v>#VALUE!</v>
      </c>
      <c r="AT48" s="42" t="e">
        <f t="shared" si="10"/>
        <v>#VALUE!</v>
      </c>
      <c r="AU48" s="42" t="e">
        <f t="shared" si="11"/>
        <v>#VALUE!</v>
      </c>
      <c r="AW48" s="42" t="e">
        <f t="shared" si="12"/>
        <v>#VALUE!</v>
      </c>
      <c r="AX48" s="42" t="e">
        <f t="shared" si="13"/>
        <v>#VALUE!</v>
      </c>
      <c r="AY48" s="42" t="e">
        <f t="shared" si="14"/>
        <v>#VALUE!</v>
      </c>
      <c r="BA48" s="42" t="e">
        <f t="shared" si="15"/>
        <v>#VALUE!</v>
      </c>
      <c r="BB48" s="42" t="e">
        <f t="shared" si="16"/>
        <v>#VALUE!</v>
      </c>
      <c r="BC48" s="42" t="e">
        <f t="shared" si="17"/>
        <v>#VALUE!</v>
      </c>
    </row>
    <row r="49" spans="1:55" ht="19.5" customHeight="1">
      <c r="A49" s="1127">
        <f t="shared" si="1"/>
        <v>0</v>
      </c>
      <c r="B49" s="9703" t="str">
        <f t="shared" si="2"/>
        <v/>
      </c>
      <c r="C49" s="9704"/>
      <c r="D49" s="9704"/>
      <c r="E49" s="9704"/>
      <c r="F49" s="9704"/>
      <c r="G49" s="9704"/>
      <c r="H49" s="9704"/>
      <c r="I49" s="9705"/>
      <c r="J49" s="9706" t="str">
        <f t="shared" si="3"/>
        <v/>
      </c>
      <c r="K49" s="9707"/>
      <c r="L49" s="9707"/>
      <c r="M49" s="9706" t="str">
        <f t="shared" si="4"/>
        <v/>
      </c>
      <c r="N49" s="9707"/>
      <c r="O49" s="9707"/>
      <c r="P49" s="9708"/>
      <c r="Q49" s="6969" t="str">
        <f t="shared" si="5"/>
        <v/>
      </c>
      <c r="R49" s="9688"/>
      <c r="S49" s="9688"/>
      <c r="T49" s="9689"/>
      <c r="U49" s="6969" t="str">
        <f t="shared" si="6"/>
        <v/>
      </c>
      <c r="V49" s="9688"/>
      <c r="W49" s="9688"/>
      <c r="X49" s="9689"/>
      <c r="Y49" s="9670" t="str">
        <f t="shared" si="18"/>
        <v/>
      </c>
      <c r="Z49" s="6222"/>
      <c r="AA49" s="9670" t="str">
        <f t="shared" si="19"/>
        <v/>
      </c>
      <c r="AB49" s="6222"/>
      <c r="AC49" s="9671" t="str">
        <f t="shared" si="7"/>
        <v/>
      </c>
      <c r="AD49" s="9672"/>
      <c r="AE49" s="9672"/>
      <c r="AF49" s="9672"/>
      <c r="AG49" s="1297">
        <f t="shared" si="8"/>
        <v>0</v>
      </c>
      <c r="AH49" s="1090"/>
      <c r="AI49" s="1090" t="e">
        <f t="shared" si="0"/>
        <v>#VALUE!</v>
      </c>
      <c r="AJ49" s="1237"/>
      <c r="AK49" s="1241"/>
      <c r="AL49" s="1241"/>
      <c r="AM49" s="1239"/>
      <c r="AN49" s="1239"/>
      <c r="AO49" s="1240"/>
      <c r="AP49" s="1239"/>
      <c r="AQ49" s="1238"/>
      <c r="AS49" s="42" t="e">
        <f t="shared" si="9"/>
        <v>#VALUE!</v>
      </c>
      <c r="AT49" s="42" t="e">
        <f t="shared" si="10"/>
        <v>#VALUE!</v>
      </c>
      <c r="AU49" s="42" t="e">
        <f t="shared" si="11"/>
        <v>#VALUE!</v>
      </c>
      <c r="AW49" s="42" t="e">
        <f t="shared" si="12"/>
        <v>#VALUE!</v>
      </c>
      <c r="AX49" s="42" t="e">
        <f t="shared" si="13"/>
        <v>#VALUE!</v>
      </c>
      <c r="AY49" s="42" t="e">
        <f t="shared" si="14"/>
        <v>#VALUE!</v>
      </c>
      <c r="BA49" s="42" t="e">
        <f t="shared" si="15"/>
        <v>#VALUE!</v>
      </c>
      <c r="BB49" s="42" t="e">
        <f t="shared" si="16"/>
        <v>#VALUE!</v>
      </c>
      <c r="BC49" s="42" t="e">
        <f t="shared" si="17"/>
        <v>#VALUE!</v>
      </c>
    </row>
    <row r="50" spans="1:55" ht="19.5" customHeight="1">
      <c r="A50" s="1127">
        <f t="shared" si="1"/>
        <v>0</v>
      </c>
      <c r="B50" s="9703" t="str">
        <f t="shared" si="2"/>
        <v/>
      </c>
      <c r="C50" s="9704"/>
      <c r="D50" s="9704"/>
      <c r="E50" s="9704"/>
      <c r="F50" s="9704"/>
      <c r="G50" s="9704"/>
      <c r="H50" s="9704"/>
      <c r="I50" s="9705"/>
      <c r="J50" s="9706" t="str">
        <f t="shared" si="3"/>
        <v/>
      </c>
      <c r="K50" s="9707"/>
      <c r="L50" s="9707"/>
      <c r="M50" s="9706" t="str">
        <f t="shared" si="4"/>
        <v/>
      </c>
      <c r="N50" s="9707"/>
      <c r="O50" s="9707"/>
      <c r="P50" s="9708"/>
      <c r="Q50" s="6969" t="str">
        <f t="shared" si="5"/>
        <v/>
      </c>
      <c r="R50" s="9688"/>
      <c r="S50" s="9688"/>
      <c r="T50" s="9689"/>
      <c r="U50" s="6969" t="str">
        <f t="shared" si="6"/>
        <v/>
      </c>
      <c r="V50" s="9688"/>
      <c r="W50" s="9688"/>
      <c r="X50" s="9689"/>
      <c r="Y50" s="9670" t="str">
        <f t="shared" si="18"/>
        <v/>
      </c>
      <c r="Z50" s="6222"/>
      <c r="AA50" s="9670" t="str">
        <f t="shared" si="19"/>
        <v/>
      </c>
      <c r="AB50" s="6222"/>
      <c r="AC50" s="9671" t="str">
        <f t="shared" si="7"/>
        <v/>
      </c>
      <c r="AD50" s="9672"/>
      <c r="AE50" s="9672"/>
      <c r="AF50" s="9672"/>
      <c r="AG50" s="1297">
        <f t="shared" si="8"/>
        <v>0</v>
      </c>
      <c r="AH50" s="1090"/>
      <c r="AI50" s="1090" t="e">
        <f t="shared" si="0"/>
        <v>#VALUE!</v>
      </c>
      <c r="AJ50" s="1237"/>
      <c r="AK50" s="1241"/>
      <c r="AL50" s="1241"/>
      <c r="AM50" s="1239"/>
      <c r="AN50" s="1239"/>
      <c r="AO50" s="1240"/>
      <c r="AP50" s="1239"/>
      <c r="AQ50" s="1238"/>
      <c r="AS50" s="42" t="e">
        <f t="shared" si="9"/>
        <v>#VALUE!</v>
      </c>
      <c r="AT50" s="42" t="e">
        <f t="shared" si="10"/>
        <v>#VALUE!</v>
      </c>
      <c r="AU50" s="42" t="e">
        <f t="shared" si="11"/>
        <v>#VALUE!</v>
      </c>
      <c r="AW50" s="42" t="e">
        <f t="shared" si="12"/>
        <v>#VALUE!</v>
      </c>
      <c r="AX50" s="42" t="e">
        <f t="shared" si="13"/>
        <v>#VALUE!</v>
      </c>
      <c r="AY50" s="42" t="e">
        <f t="shared" si="14"/>
        <v>#VALUE!</v>
      </c>
      <c r="BA50" s="42" t="e">
        <f t="shared" si="15"/>
        <v>#VALUE!</v>
      </c>
      <c r="BB50" s="42" t="e">
        <f t="shared" si="16"/>
        <v>#VALUE!</v>
      </c>
      <c r="BC50" s="42" t="e">
        <f t="shared" si="17"/>
        <v>#VALUE!</v>
      </c>
    </row>
    <row r="51" spans="1:55" ht="19.5" customHeight="1">
      <c r="A51" s="1127">
        <f t="shared" si="1"/>
        <v>0</v>
      </c>
      <c r="B51" s="9703" t="str">
        <f t="shared" si="2"/>
        <v/>
      </c>
      <c r="C51" s="9704"/>
      <c r="D51" s="9704"/>
      <c r="E51" s="9704"/>
      <c r="F51" s="9704"/>
      <c r="G51" s="9704"/>
      <c r="H51" s="9704"/>
      <c r="I51" s="9705"/>
      <c r="J51" s="9706" t="str">
        <f t="shared" si="3"/>
        <v/>
      </c>
      <c r="K51" s="9707"/>
      <c r="L51" s="9707"/>
      <c r="M51" s="9706" t="str">
        <f t="shared" si="4"/>
        <v/>
      </c>
      <c r="N51" s="9707"/>
      <c r="O51" s="9707"/>
      <c r="P51" s="9708"/>
      <c r="Q51" s="6969" t="str">
        <f t="shared" si="5"/>
        <v/>
      </c>
      <c r="R51" s="9688"/>
      <c r="S51" s="9688"/>
      <c r="T51" s="9689"/>
      <c r="U51" s="6969" t="str">
        <f t="shared" si="6"/>
        <v/>
      </c>
      <c r="V51" s="9688"/>
      <c r="W51" s="9688"/>
      <c r="X51" s="9689"/>
      <c r="Y51" s="9670" t="str">
        <f t="shared" si="18"/>
        <v/>
      </c>
      <c r="Z51" s="6222"/>
      <c r="AA51" s="9670" t="str">
        <f t="shared" si="19"/>
        <v/>
      </c>
      <c r="AB51" s="6222"/>
      <c r="AC51" s="9671" t="str">
        <f t="shared" si="7"/>
        <v/>
      </c>
      <c r="AD51" s="9672"/>
      <c r="AE51" s="9672"/>
      <c r="AF51" s="9672"/>
      <c r="AG51" s="1297">
        <f t="shared" si="8"/>
        <v>0</v>
      </c>
      <c r="AH51" s="1090"/>
      <c r="AI51" s="1090" t="e">
        <f t="shared" si="0"/>
        <v>#VALUE!</v>
      </c>
      <c r="AJ51" s="1237"/>
      <c r="AK51" s="1241"/>
      <c r="AL51" s="1241"/>
      <c r="AM51" s="1239"/>
      <c r="AN51" s="1239"/>
      <c r="AO51" s="1240"/>
      <c r="AP51" s="1239"/>
      <c r="AQ51" s="1238"/>
      <c r="AS51" s="42" t="e">
        <f t="shared" si="9"/>
        <v>#VALUE!</v>
      </c>
      <c r="AT51" s="42" t="e">
        <f t="shared" si="10"/>
        <v>#VALUE!</v>
      </c>
      <c r="AU51" s="42" t="e">
        <f t="shared" si="11"/>
        <v>#VALUE!</v>
      </c>
      <c r="AW51" s="42" t="e">
        <f t="shared" si="12"/>
        <v>#VALUE!</v>
      </c>
      <c r="AX51" s="42" t="e">
        <f t="shared" si="13"/>
        <v>#VALUE!</v>
      </c>
      <c r="AY51" s="42" t="e">
        <f t="shared" si="14"/>
        <v>#VALUE!</v>
      </c>
      <c r="BA51" s="42" t="e">
        <f t="shared" si="15"/>
        <v>#VALUE!</v>
      </c>
      <c r="BB51" s="42" t="e">
        <f t="shared" si="16"/>
        <v>#VALUE!</v>
      </c>
      <c r="BC51" s="42" t="e">
        <f t="shared" si="17"/>
        <v>#VALUE!</v>
      </c>
    </row>
    <row r="52" spans="1:55" ht="19.5" customHeight="1">
      <c r="A52" s="1127">
        <f t="shared" si="1"/>
        <v>0</v>
      </c>
      <c r="B52" s="9703" t="str">
        <f t="shared" si="2"/>
        <v/>
      </c>
      <c r="C52" s="9704"/>
      <c r="D52" s="9704"/>
      <c r="E52" s="9704"/>
      <c r="F52" s="9704"/>
      <c r="G52" s="9704"/>
      <c r="H52" s="9704"/>
      <c r="I52" s="9705"/>
      <c r="J52" s="9706" t="str">
        <f t="shared" si="3"/>
        <v/>
      </c>
      <c r="K52" s="9707"/>
      <c r="L52" s="9707"/>
      <c r="M52" s="9706" t="str">
        <f t="shared" si="4"/>
        <v/>
      </c>
      <c r="N52" s="9707"/>
      <c r="O52" s="9707"/>
      <c r="P52" s="9708"/>
      <c r="Q52" s="6969" t="str">
        <f>IF(AM52="","",AM52)</f>
        <v/>
      </c>
      <c r="R52" s="9688"/>
      <c r="S52" s="9688"/>
      <c r="T52" s="9689"/>
      <c r="U52" s="6969" t="str">
        <f t="shared" si="6"/>
        <v/>
      </c>
      <c r="V52" s="9688"/>
      <c r="W52" s="9688"/>
      <c r="X52" s="9689"/>
      <c r="Y52" s="9670" t="str">
        <f t="shared" si="18"/>
        <v/>
      </c>
      <c r="Z52" s="6222"/>
      <c r="AA52" s="9670" t="str">
        <f t="shared" si="19"/>
        <v/>
      </c>
      <c r="AB52" s="6222"/>
      <c r="AC52" s="9671" t="str">
        <f t="shared" si="7"/>
        <v/>
      </c>
      <c r="AD52" s="9672"/>
      <c r="AE52" s="9672"/>
      <c r="AF52" s="9672"/>
      <c r="AG52" s="1297">
        <f t="shared" si="8"/>
        <v>0</v>
      </c>
      <c r="AH52" s="1090"/>
      <c r="AI52" s="1090" t="e">
        <f t="shared" si="0"/>
        <v>#VALUE!</v>
      </c>
      <c r="AJ52" s="1237"/>
      <c r="AK52" s="1241"/>
      <c r="AL52" s="1241"/>
      <c r="AM52" s="1239"/>
      <c r="AN52" s="1239"/>
      <c r="AO52" s="1240"/>
      <c r="AP52" s="1239"/>
      <c r="AQ52" s="1238"/>
      <c r="AS52" s="42" t="e">
        <f t="shared" si="9"/>
        <v>#VALUE!</v>
      </c>
      <c r="AT52" s="42" t="e">
        <f t="shared" si="10"/>
        <v>#VALUE!</v>
      </c>
      <c r="AU52" s="42" t="e">
        <f t="shared" si="11"/>
        <v>#VALUE!</v>
      </c>
      <c r="AW52" s="42" t="e">
        <f t="shared" si="12"/>
        <v>#VALUE!</v>
      </c>
      <c r="AX52" s="42" t="e">
        <f t="shared" si="13"/>
        <v>#VALUE!</v>
      </c>
      <c r="AY52" s="42" t="e">
        <f t="shared" si="14"/>
        <v>#VALUE!</v>
      </c>
      <c r="BA52" s="42" t="e">
        <f t="shared" si="15"/>
        <v>#VALUE!</v>
      </c>
      <c r="BB52" s="42" t="e">
        <f t="shared" si="16"/>
        <v>#VALUE!</v>
      </c>
      <c r="BC52" s="42" t="e">
        <f t="shared" si="17"/>
        <v>#VALUE!</v>
      </c>
    </row>
    <row r="53" spans="1:55" ht="19.5" customHeight="1">
      <c r="A53" s="1127">
        <f t="shared" si="1"/>
        <v>0</v>
      </c>
      <c r="B53" s="9703" t="str">
        <f t="shared" si="2"/>
        <v/>
      </c>
      <c r="C53" s="9704"/>
      <c r="D53" s="9704"/>
      <c r="E53" s="9704"/>
      <c r="F53" s="9704"/>
      <c r="G53" s="9704"/>
      <c r="H53" s="9704"/>
      <c r="I53" s="9705"/>
      <c r="J53" s="9706" t="str">
        <f t="shared" si="3"/>
        <v/>
      </c>
      <c r="K53" s="9707"/>
      <c r="L53" s="9707"/>
      <c r="M53" s="9706" t="str">
        <f t="shared" si="4"/>
        <v/>
      </c>
      <c r="N53" s="9707"/>
      <c r="O53" s="9707"/>
      <c r="P53" s="9708"/>
      <c r="Q53" s="6969" t="str">
        <f t="shared" si="5"/>
        <v/>
      </c>
      <c r="R53" s="9688"/>
      <c r="S53" s="9688"/>
      <c r="T53" s="9689"/>
      <c r="U53" s="6969" t="str">
        <f t="shared" si="6"/>
        <v/>
      </c>
      <c r="V53" s="9688"/>
      <c r="W53" s="9688"/>
      <c r="X53" s="9689"/>
      <c r="Y53" s="9670" t="str">
        <f t="shared" si="18"/>
        <v/>
      </c>
      <c r="Z53" s="6222"/>
      <c r="AA53" s="9670" t="str">
        <f t="shared" si="19"/>
        <v/>
      </c>
      <c r="AB53" s="6222"/>
      <c r="AC53" s="9671" t="str">
        <f t="shared" si="7"/>
        <v/>
      </c>
      <c r="AD53" s="9672"/>
      <c r="AE53" s="9672"/>
      <c r="AF53" s="9672"/>
      <c r="AG53" s="1297">
        <f t="shared" si="8"/>
        <v>0</v>
      </c>
      <c r="AH53" s="1090"/>
      <c r="AI53" s="1090" t="e">
        <f t="shared" si="0"/>
        <v>#VALUE!</v>
      </c>
      <c r="AJ53" s="1237"/>
      <c r="AK53" s="1241"/>
      <c r="AL53" s="1241"/>
      <c r="AM53" s="1239"/>
      <c r="AN53" s="1239"/>
      <c r="AO53" s="1240"/>
      <c r="AP53" s="1239"/>
      <c r="AQ53" s="1238"/>
      <c r="AS53" s="42" t="e">
        <f t="shared" si="9"/>
        <v>#VALUE!</v>
      </c>
      <c r="AT53" s="42" t="e">
        <f t="shared" si="10"/>
        <v>#VALUE!</v>
      </c>
      <c r="AU53" s="42" t="e">
        <f t="shared" si="11"/>
        <v>#VALUE!</v>
      </c>
      <c r="AW53" s="42" t="e">
        <f t="shared" si="12"/>
        <v>#VALUE!</v>
      </c>
      <c r="AX53" s="42" t="e">
        <f t="shared" si="13"/>
        <v>#VALUE!</v>
      </c>
      <c r="AY53" s="42" t="e">
        <f t="shared" si="14"/>
        <v>#VALUE!</v>
      </c>
      <c r="BA53" s="42" t="e">
        <f t="shared" si="15"/>
        <v>#VALUE!</v>
      </c>
      <c r="BB53" s="42" t="e">
        <f t="shared" si="16"/>
        <v>#VALUE!</v>
      </c>
      <c r="BC53" s="42" t="e">
        <f t="shared" si="17"/>
        <v>#VALUE!</v>
      </c>
    </row>
    <row r="54" spans="1:55" ht="19.5" customHeight="1">
      <c r="A54" s="1127">
        <f t="shared" si="1"/>
        <v>0</v>
      </c>
      <c r="B54" s="9703" t="str">
        <f t="shared" si="2"/>
        <v/>
      </c>
      <c r="C54" s="9704"/>
      <c r="D54" s="9704"/>
      <c r="E54" s="9704"/>
      <c r="F54" s="9704"/>
      <c r="G54" s="9704"/>
      <c r="H54" s="9704"/>
      <c r="I54" s="9705"/>
      <c r="J54" s="9706" t="str">
        <f t="shared" si="3"/>
        <v/>
      </c>
      <c r="K54" s="9707"/>
      <c r="L54" s="9707"/>
      <c r="M54" s="9706" t="str">
        <f t="shared" si="4"/>
        <v/>
      </c>
      <c r="N54" s="9707"/>
      <c r="O54" s="9707"/>
      <c r="P54" s="9708"/>
      <c r="Q54" s="6969" t="str">
        <f t="shared" si="5"/>
        <v/>
      </c>
      <c r="R54" s="9688"/>
      <c r="S54" s="9688"/>
      <c r="T54" s="9689"/>
      <c r="U54" s="6969" t="str">
        <f t="shared" si="6"/>
        <v/>
      </c>
      <c r="V54" s="9688"/>
      <c r="W54" s="9688"/>
      <c r="X54" s="9689"/>
      <c r="Y54" s="9670" t="str">
        <f t="shared" si="18"/>
        <v/>
      </c>
      <c r="Z54" s="6222"/>
      <c r="AA54" s="9670" t="str">
        <f t="shared" si="19"/>
        <v/>
      </c>
      <c r="AB54" s="6222"/>
      <c r="AC54" s="9671" t="str">
        <f t="shared" si="7"/>
        <v/>
      </c>
      <c r="AD54" s="9672"/>
      <c r="AE54" s="9672"/>
      <c r="AF54" s="9672"/>
      <c r="AG54" s="1297">
        <f t="shared" si="8"/>
        <v>0</v>
      </c>
      <c r="AH54" s="1090"/>
      <c r="AI54" s="1090" t="e">
        <f t="shared" si="0"/>
        <v>#VALUE!</v>
      </c>
      <c r="AJ54" s="1237"/>
      <c r="AK54" s="1241"/>
      <c r="AL54" s="1241"/>
      <c r="AM54" s="1239"/>
      <c r="AN54" s="1239"/>
      <c r="AO54" s="1240"/>
      <c r="AP54" s="1239"/>
      <c r="AQ54" s="1238"/>
      <c r="AS54" s="42" t="e">
        <f t="shared" si="9"/>
        <v>#VALUE!</v>
      </c>
      <c r="AT54" s="42" t="e">
        <f t="shared" si="10"/>
        <v>#VALUE!</v>
      </c>
      <c r="AU54" s="42" t="e">
        <f t="shared" si="11"/>
        <v>#VALUE!</v>
      </c>
      <c r="AW54" s="42" t="e">
        <f t="shared" si="12"/>
        <v>#VALUE!</v>
      </c>
      <c r="AX54" s="42" t="e">
        <f t="shared" si="13"/>
        <v>#VALUE!</v>
      </c>
      <c r="AY54" s="42" t="e">
        <f t="shared" si="14"/>
        <v>#VALUE!</v>
      </c>
      <c r="BA54" s="42" t="e">
        <f t="shared" si="15"/>
        <v>#VALUE!</v>
      </c>
      <c r="BB54" s="42" t="e">
        <f t="shared" si="16"/>
        <v>#VALUE!</v>
      </c>
      <c r="BC54" s="42" t="e">
        <f t="shared" si="17"/>
        <v>#VALUE!</v>
      </c>
    </row>
    <row r="55" spans="1:55" ht="11.25" customHeight="1">
      <c r="A55" s="1127">
        <f>SUM(A35:A54)</f>
        <v>0</v>
      </c>
      <c r="B55" s="9793">
        <v>2</v>
      </c>
      <c r="C55" s="9780" t="s">
        <v>2059</v>
      </c>
      <c r="D55" s="9781"/>
      <c r="E55" s="9781"/>
      <c r="F55" s="9781"/>
      <c r="G55" s="9781"/>
      <c r="H55" s="9781"/>
      <c r="I55" s="9781"/>
      <c r="J55" s="9781"/>
      <c r="K55" s="9781"/>
      <c r="L55" s="9781"/>
      <c r="M55" s="9781"/>
      <c r="N55" s="9781"/>
      <c r="O55" s="9781"/>
      <c r="P55" s="9781"/>
      <c r="Q55" s="9680" t="str">
        <f>IF(A55=0,"",ROUND(SUM(Q35:Q54),0))</f>
        <v/>
      </c>
      <c r="R55" s="9783"/>
      <c r="S55" s="9783"/>
      <c r="T55" s="9681"/>
      <c r="U55" s="9680" t="str">
        <f>IF(A55=0,"",ROUND(SUM(U35:U54),0))</f>
        <v/>
      </c>
      <c r="V55" s="9761"/>
      <c r="W55" s="9761"/>
      <c r="X55" s="9762"/>
      <c r="Y55" s="9769"/>
      <c r="Z55" s="9770"/>
      <c r="AA55" s="9680" t="str">
        <f>IF(A55=0,"",ROUND(SUM(AA35:AA54),0))</f>
        <v/>
      </c>
      <c r="AB55" s="9681"/>
      <c r="AC55" s="9680" t="str">
        <f>IF(A55=0,"",ROUND(SUM(AC35:AC54),0))</f>
        <v/>
      </c>
      <c r="AD55" s="9761"/>
      <c r="AE55" s="9761"/>
      <c r="AF55" s="9761"/>
      <c r="AG55" s="1127"/>
    </row>
    <row r="56" spans="1:55" ht="11.25" customHeight="1">
      <c r="A56" s="1127"/>
      <c r="B56" s="9794"/>
      <c r="C56" s="9782"/>
      <c r="D56" s="9782"/>
      <c r="E56" s="9782"/>
      <c r="F56" s="9782"/>
      <c r="G56" s="9782"/>
      <c r="H56" s="9782"/>
      <c r="I56" s="9782"/>
      <c r="J56" s="9782"/>
      <c r="K56" s="9782"/>
      <c r="L56" s="9782"/>
      <c r="M56" s="9782"/>
      <c r="N56" s="9782"/>
      <c r="O56" s="9782"/>
      <c r="P56" s="9782"/>
      <c r="Q56" s="9682"/>
      <c r="R56" s="9784"/>
      <c r="S56" s="9784"/>
      <c r="T56" s="9683"/>
      <c r="U56" s="9763"/>
      <c r="V56" s="9764"/>
      <c r="W56" s="9764"/>
      <c r="X56" s="9765"/>
      <c r="Y56" s="9771"/>
      <c r="Z56" s="9772"/>
      <c r="AA56" s="9682"/>
      <c r="AB56" s="9683"/>
      <c r="AC56" s="9763"/>
      <c r="AD56" s="9764"/>
      <c r="AE56" s="9764"/>
      <c r="AF56" s="9764"/>
      <c r="AG56" s="1127"/>
    </row>
    <row r="57" spans="1:55" ht="11.25" customHeight="1">
      <c r="A57" s="1127"/>
      <c r="B57" s="9794"/>
      <c r="C57" s="9782"/>
      <c r="D57" s="9782"/>
      <c r="E57" s="9782"/>
      <c r="F57" s="9782"/>
      <c r="G57" s="9782"/>
      <c r="H57" s="9782"/>
      <c r="I57" s="9782"/>
      <c r="J57" s="9782"/>
      <c r="K57" s="9782"/>
      <c r="L57" s="9782"/>
      <c r="M57" s="9782"/>
      <c r="N57" s="9782"/>
      <c r="O57" s="9782"/>
      <c r="P57" s="9782"/>
      <c r="Q57" s="9682"/>
      <c r="R57" s="9784"/>
      <c r="S57" s="9784"/>
      <c r="T57" s="9683"/>
      <c r="U57" s="9763"/>
      <c r="V57" s="9764"/>
      <c r="W57" s="9764"/>
      <c r="X57" s="9765"/>
      <c r="Y57" s="9771"/>
      <c r="Z57" s="9772"/>
      <c r="AA57" s="9682"/>
      <c r="AB57" s="9683"/>
      <c r="AC57" s="9763"/>
      <c r="AD57" s="9764"/>
      <c r="AE57" s="9764"/>
      <c r="AF57" s="9764"/>
      <c r="AG57" s="1127"/>
    </row>
    <row r="58" spans="1:55" ht="11.25" customHeight="1">
      <c r="A58" s="1127"/>
      <c r="B58" s="9794"/>
      <c r="C58" s="9782"/>
      <c r="D58" s="9782"/>
      <c r="E58" s="9782"/>
      <c r="F58" s="9782"/>
      <c r="G58" s="9782"/>
      <c r="H58" s="9782"/>
      <c r="I58" s="9782"/>
      <c r="J58" s="9782"/>
      <c r="K58" s="9782"/>
      <c r="L58" s="9782"/>
      <c r="M58" s="9782"/>
      <c r="N58" s="9782"/>
      <c r="O58" s="9782"/>
      <c r="P58" s="9782"/>
      <c r="Q58" s="9682"/>
      <c r="R58" s="9784"/>
      <c r="S58" s="9784"/>
      <c r="T58" s="9683"/>
      <c r="U58" s="9763"/>
      <c r="V58" s="9764"/>
      <c r="W58" s="9764"/>
      <c r="X58" s="9765"/>
      <c r="Y58" s="9771"/>
      <c r="Z58" s="9772"/>
      <c r="AA58" s="9682"/>
      <c r="AB58" s="9683"/>
      <c r="AC58" s="9763"/>
      <c r="AD58" s="9764"/>
      <c r="AE58" s="9764"/>
      <c r="AF58" s="9764"/>
      <c r="AG58" s="1127"/>
    </row>
    <row r="59" spans="1:55" ht="9" customHeight="1">
      <c r="A59" s="1127"/>
      <c r="B59" s="9794"/>
      <c r="C59" s="9782"/>
      <c r="D59" s="9782"/>
      <c r="E59" s="9782"/>
      <c r="F59" s="9782"/>
      <c r="G59" s="9782"/>
      <c r="H59" s="9782"/>
      <c r="I59" s="9782"/>
      <c r="J59" s="9782"/>
      <c r="K59" s="9782"/>
      <c r="L59" s="9782"/>
      <c r="M59" s="9782"/>
      <c r="N59" s="9782"/>
      <c r="O59" s="9782"/>
      <c r="P59" s="9782"/>
      <c r="Q59" s="9684"/>
      <c r="R59" s="9795"/>
      <c r="S59" s="9795"/>
      <c r="T59" s="9685"/>
      <c r="U59" s="9790"/>
      <c r="V59" s="9791"/>
      <c r="W59" s="9791"/>
      <c r="X59" s="9792"/>
      <c r="Y59" s="9773"/>
      <c r="Z59" s="9774"/>
      <c r="AA59" s="9684"/>
      <c r="AB59" s="9685"/>
      <c r="AC59" s="9763"/>
      <c r="AD59" s="9764"/>
      <c r="AE59" s="9764"/>
      <c r="AF59" s="9764"/>
      <c r="AG59" s="1127"/>
    </row>
    <row r="60" spans="1:55" ht="25.5" customHeight="1" thickBot="1">
      <c r="A60" s="1127"/>
      <c r="B60" s="9785" t="s">
        <v>4257</v>
      </c>
      <c r="C60" s="9786"/>
      <c r="D60" s="9786"/>
      <c r="E60" s="9786"/>
      <c r="F60" s="9786"/>
      <c r="G60" s="9786"/>
      <c r="H60" s="9786"/>
      <c r="I60" s="9786"/>
      <c r="J60" s="9786"/>
      <c r="K60" s="9786"/>
      <c r="L60" s="9786"/>
      <c r="M60" s="9786"/>
      <c r="N60" s="9786"/>
      <c r="O60" s="9786"/>
      <c r="P60" s="9786"/>
      <c r="Q60" s="9786"/>
      <c r="R60" s="9786"/>
      <c r="S60" s="9786"/>
      <c r="T60" s="9786"/>
      <c r="U60" s="9787"/>
      <c r="V60" s="9787"/>
      <c r="W60" s="9787"/>
      <c r="X60" s="9787"/>
      <c r="Y60" s="9786"/>
      <c r="Z60" s="9786"/>
      <c r="AA60" s="9786"/>
      <c r="AB60" s="9786"/>
      <c r="AC60" s="9786"/>
      <c r="AD60" s="9786"/>
      <c r="AE60" s="9786"/>
      <c r="AF60" s="9786"/>
      <c r="AG60" s="1127"/>
      <c r="AJ60" s="989"/>
    </row>
    <row r="61" spans="1:55" ht="16.5" thickTop="1">
      <c r="A61" s="1127"/>
      <c r="B61" s="4759" t="s">
        <v>484</v>
      </c>
      <c r="C61" s="23"/>
      <c r="D61" s="23"/>
      <c r="E61" s="23"/>
      <c r="F61" s="23"/>
      <c r="G61" s="23"/>
      <c r="H61" s="23"/>
      <c r="I61" s="23"/>
      <c r="J61" s="23"/>
      <c r="K61" s="23"/>
      <c r="L61" s="23"/>
      <c r="M61" s="23"/>
      <c r="N61" s="23"/>
      <c r="O61" s="23"/>
      <c r="P61" s="23"/>
      <c r="Q61" s="23"/>
      <c r="R61" s="23"/>
      <c r="S61" s="23"/>
      <c r="T61" s="23"/>
      <c r="U61" s="501" t="s">
        <v>621</v>
      </c>
      <c r="V61" s="23"/>
      <c r="W61" s="23"/>
      <c r="X61" s="23"/>
      <c r="Y61" s="23"/>
      <c r="Z61" s="23"/>
      <c r="AA61" s="23"/>
      <c r="AB61" s="23"/>
      <c r="AC61" s="23"/>
      <c r="AD61" s="1035" t="s">
        <v>632</v>
      </c>
      <c r="AE61" s="23"/>
      <c r="AF61" s="3559" t="str">
        <f>"("&amp;TaxYear&amp;")"</f>
        <v>(2021)</v>
      </c>
      <c r="AG61" s="1127"/>
    </row>
    <row r="62" spans="1:55" ht="15.75">
      <c r="A62" s="1127"/>
      <c r="B62" s="32" t="str">
        <f>"Form 8949 ("&amp;TaxYear&amp;")"</f>
        <v>Form 8949 (2021)</v>
      </c>
      <c r="C62" s="41"/>
      <c r="D62" s="41"/>
      <c r="E62" s="41"/>
      <c r="F62" s="41"/>
      <c r="G62" s="41"/>
      <c r="H62" s="41"/>
      <c r="I62" s="41"/>
      <c r="J62" s="41"/>
      <c r="K62" s="41"/>
      <c r="L62" s="41"/>
      <c r="M62" s="41"/>
      <c r="N62" s="41"/>
      <c r="O62" s="41"/>
      <c r="P62" s="41"/>
      <c r="Q62" s="41"/>
      <c r="R62" s="41"/>
      <c r="S62" s="41"/>
      <c r="T62" s="41"/>
      <c r="U62" s="41"/>
      <c r="V62" s="32" t="s">
        <v>623</v>
      </c>
      <c r="W62" s="41"/>
      <c r="X62" s="41"/>
      <c r="Y62" s="41"/>
      <c r="Z62" s="41"/>
      <c r="AA62" s="41"/>
      <c r="AB62" s="41"/>
      <c r="AC62" s="41"/>
      <c r="AD62" s="41"/>
      <c r="AE62" s="41"/>
      <c r="AF62" s="1093" t="s">
        <v>622</v>
      </c>
      <c r="AG62" s="1127"/>
    </row>
    <row r="63" spans="1:55">
      <c r="A63" s="1127"/>
      <c r="B63" s="30" t="s">
        <v>3572</v>
      </c>
      <c r="C63" s="23"/>
      <c r="D63" s="23"/>
      <c r="E63" s="23"/>
      <c r="F63" s="23"/>
      <c r="G63" s="23"/>
      <c r="H63" s="23"/>
      <c r="I63" s="23"/>
      <c r="J63" s="23"/>
      <c r="K63" s="23"/>
      <c r="L63" s="23"/>
      <c r="M63" s="23"/>
      <c r="N63" s="23"/>
      <c r="O63" s="23"/>
      <c r="P63" s="23"/>
      <c r="Q63" s="23"/>
      <c r="R63" s="23"/>
      <c r="S63" s="23"/>
      <c r="T63" s="23"/>
      <c r="U63" s="23"/>
      <c r="V63" s="1236" t="s">
        <v>735</v>
      </c>
      <c r="W63" s="23"/>
      <c r="X63" s="23"/>
      <c r="Y63" s="23"/>
      <c r="Z63" s="34"/>
      <c r="AA63" s="23"/>
      <c r="AB63" s="23"/>
      <c r="AC63" s="23"/>
      <c r="AD63" s="23"/>
      <c r="AE63" s="23"/>
      <c r="AF63" s="23"/>
      <c r="AG63" s="1127"/>
    </row>
    <row r="64" spans="1:55" ht="16.5" thickBot="1">
      <c r="A64" s="1127"/>
      <c r="B64" s="9716" t="str">
        <f>Names</f>
        <v/>
      </c>
      <c r="C64" s="9717"/>
      <c r="D64" s="9717"/>
      <c r="E64" s="9717"/>
      <c r="F64" s="9717"/>
      <c r="G64" s="9717"/>
      <c r="H64" s="9717"/>
      <c r="I64" s="9717"/>
      <c r="J64" s="9717"/>
      <c r="K64" s="9717"/>
      <c r="L64" s="9717"/>
      <c r="M64" s="9717"/>
      <c r="N64" s="9717"/>
      <c r="O64" s="9717"/>
      <c r="P64" s="9717"/>
      <c r="Q64" s="9717"/>
      <c r="R64" s="9717"/>
      <c r="S64" s="9717"/>
      <c r="T64" s="9717"/>
      <c r="U64" s="9718"/>
      <c r="V64" s="9714">
        <f>IF(NoSSN,"",SS_Yours)</f>
        <v>1010001</v>
      </c>
      <c r="W64" s="9715"/>
      <c r="X64" s="9715"/>
      <c r="Y64" s="9715"/>
      <c r="Z64" s="9715"/>
      <c r="AA64" s="9715"/>
      <c r="AB64" s="9715"/>
      <c r="AC64" s="9715"/>
      <c r="AD64" s="9715"/>
      <c r="AE64" s="9715"/>
      <c r="AF64" s="9715"/>
      <c r="AG64" s="1127"/>
    </row>
    <row r="65" spans="1:55" ht="12.75" customHeight="1">
      <c r="A65" s="1127"/>
      <c r="B65" s="9775" t="s">
        <v>4259</v>
      </c>
      <c r="C65" s="9776"/>
      <c r="D65" s="9776"/>
      <c r="E65" s="9776"/>
      <c r="F65" s="9776"/>
      <c r="G65" s="9776"/>
      <c r="H65" s="9776"/>
      <c r="I65" s="9776"/>
      <c r="J65" s="9776"/>
      <c r="K65" s="9776"/>
      <c r="L65" s="9776"/>
      <c r="M65" s="9776"/>
      <c r="N65" s="9776"/>
      <c r="O65" s="9776"/>
      <c r="P65" s="9776"/>
      <c r="Q65" s="9776"/>
      <c r="R65" s="9776"/>
      <c r="S65" s="9776"/>
      <c r="T65" s="9776"/>
      <c r="U65" s="9776"/>
      <c r="V65" s="9776"/>
      <c r="W65" s="9776"/>
      <c r="X65" s="9776"/>
      <c r="Y65" s="9776"/>
      <c r="Z65" s="9776"/>
      <c r="AA65" s="9776"/>
      <c r="AB65" s="9776"/>
      <c r="AC65" s="9776"/>
      <c r="AD65" s="9776"/>
      <c r="AE65" s="9776"/>
      <c r="AF65" s="9776"/>
      <c r="AG65" s="1127"/>
    </row>
    <row r="66" spans="1:55" ht="12.75" customHeight="1">
      <c r="A66" s="1127"/>
      <c r="B66" s="7093"/>
      <c r="C66" s="7093"/>
      <c r="D66" s="7093"/>
      <c r="E66" s="7093"/>
      <c r="F66" s="7093"/>
      <c r="G66" s="7093"/>
      <c r="H66" s="7093"/>
      <c r="I66" s="7093"/>
      <c r="J66" s="7093"/>
      <c r="K66" s="7093"/>
      <c r="L66" s="7093"/>
      <c r="M66" s="7093"/>
      <c r="N66" s="7093"/>
      <c r="O66" s="7093"/>
      <c r="P66" s="7093"/>
      <c r="Q66" s="7093"/>
      <c r="R66" s="7093"/>
      <c r="S66" s="7093"/>
      <c r="T66" s="7093"/>
      <c r="U66" s="7093"/>
      <c r="V66" s="7093"/>
      <c r="W66" s="7093"/>
      <c r="X66" s="7093"/>
      <c r="Y66" s="7093"/>
      <c r="Z66" s="7093"/>
      <c r="AA66" s="7093"/>
      <c r="AB66" s="7093"/>
      <c r="AC66" s="7093"/>
      <c r="AD66" s="7093"/>
      <c r="AE66" s="7093"/>
      <c r="AF66" s="7093"/>
      <c r="AG66" s="1127"/>
    </row>
    <row r="67" spans="1:55" ht="12.75" customHeight="1">
      <c r="A67" s="1127"/>
      <c r="B67" s="7776"/>
      <c r="C67" s="7776"/>
      <c r="D67" s="7776"/>
      <c r="E67" s="7776"/>
      <c r="F67" s="7776"/>
      <c r="G67" s="7776"/>
      <c r="H67" s="7776"/>
      <c r="I67" s="7776"/>
      <c r="J67" s="7776"/>
      <c r="K67" s="7776"/>
      <c r="L67" s="7776"/>
      <c r="M67" s="7776"/>
      <c r="N67" s="7776"/>
      <c r="O67" s="7776"/>
      <c r="P67" s="7776"/>
      <c r="Q67" s="7776"/>
      <c r="R67" s="7776"/>
      <c r="S67" s="7776"/>
      <c r="T67" s="7776"/>
      <c r="U67" s="7776"/>
      <c r="V67" s="7776"/>
      <c r="W67" s="7776"/>
      <c r="X67" s="7776"/>
      <c r="Y67" s="7776"/>
      <c r="Z67" s="7776"/>
      <c r="AA67" s="7776"/>
      <c r="AB67" s="7776"/>
      <c r="AC67" s="7776"/>
      <c r="AD67" s="7776"/>
      <c r="AE67" s="7776"/>
      <c r="AF67" s="7776"/>
      <c r="AG67" s="1127"/>
    </row>
    <row r="68" spans="1:55" ht="3.75" customHeight="1">
      <c r="A68" s="1127"/>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1127"/>
    </row>
    <row r="69" spans="1:55" ht="15">
      <c r="A69" s="1127"/>
      <c r="B69" s="9788" t="s">
        <v>118</v>
      </c>
      <c r="C69" s="9789"/>
      <c r="D69" s="23"/>
      <c r="E69" s="343" t="s">
        <v>2057</v>
      </c>
      <c r="F69" s="412"/>
      <c r="G69" s="412"/>
      <c r="H69" s="412"/>
      <c r="I69" s="412"/>
      <c r="J69" s="412"/>
      <c r="K69" s="412"/>
      <c r="L69" s="412"/>
      <c r="M69" s="412"/>
      <c r="N69" s="412"/>
      <c r="O69" s="412"/>
      <c r="P69" s="343"/>
      <c r="Q69" s="412"/>
      <c r="R69" s="412"/>
      <c r="S69" s="412"/>
      <c r="T69" s="412" t="s">
        <v>2056</v>
      </c>
      <c r="U69" s="412"/>
      <c r="V69" s="412"/>
      <c r="W69" s="412"/>
      <c r="X69" s="412"/>
      <c r="Y69" s="412" t="s">
        <v>2814</v>
      </c>
      <c r="Z69" s="412"/>
      <c r="AA69" s="412"/>
      <c r="AB69" s="412"/>
      <c r="AC69" s="412"/>
      <c r="AD69" s="412"/>
      <c r="AE69" s="412"/>
      <c r="AF69" s="412"/>
      <c r="AG69" s="1127" t="b">
        <f>IF(SUM(AG88:AG115)&gt;0,TRUE,FALSE)</f>
        <v>0</v>
      </c>
    </row>
    <row r="70" spans="1:55" ht="11.25" customHeight="1">
      <c r="A70" s="1127"/>
      <c r="B70" s="23"/>
      <c r="C70" s="23"/>
      <c r="D70" s="23"/>
      <c r="E70" s="412" t="s">
        <v>2815</v>
      </c>
      <c r="F70" s="412"/>
      <c r="G70" s="412"/>
      <c r="H70" s="412"/>
      <c r="I70" s="412"/>
      <c r="J70" s="412"/>
      <c r="K70" s="412"/>
      <c r="L70" s="412"/>
      <c r="M70" s="412"/>
      <c r="N70" s="412"/>
      <c r="O70" s="412"/>
      <c r="P70" s="412"/>
      <c r="Q70" s="412"/>
      <c r="R70" s="412"/>
      <c r="S70" s="412"/>
      <c r="T70" s="412"/>
      <c r="U70" s="412"/>
      <c r="V70" s="412"/>
      <c r="W70" s="412"/>
      <c r="X70" s="412"/>
      <c r="Y70" s="412"/>
      <c r="Z70" s="412"/>
      <c r="AA70" s="412"/>
      <c r="AB70" s="412"/>
      <c r="AC70" s="412"/>
      <c r="AD70" s="412"/>
      <c r="AE70" s="412"/>
      <c r="AF70" s="412"/>
      <c r="AG70" s="1127"/>
    </row>
    <row r="71" spans="1:55" ht="13.5" customHeight="1">
      <c r="A71" s="1127"/>
      <c r="B71" s="23"/>
      <c r="C71" s="23"/>
      <c r="D71" s="23"/>
      <c r="E71" s="2668" t="s">
        <v>2058</v>
      </c>
      <c r="F71" s="23"/>
      <c r="G71" s="23"/>
      <c r="H71" s="23"/>
      <c r="I71" s="23"/>
      <c r="J71" s="23"/>
      <c r="K71" s="23"/>
      <c r="L71" s="23"/>
      <c r="M71" s="23"/>
      <c r="N71" s="23"/>
      <c r="O71" s="23"/>
      <c r="P71" s="23"/>
      <c r="Q71" s="23"/>
      <c r="R71" s="23"/>
      <c r="S71" s="23"/>
      <c r="T71" s="412"/>
      <c r="U71" s="23"/>
      <c r="V71" s="23"/>
      <c r="W71" s="23"/>
      <c r="X71" s="70"/>
      <c r="Y71" s="23"/>
      <c r="Z71" s="23"/>
      <c r="AA71" s="23"/>
      <c r="AB71" s="23"/>
      <c r="AC71" s="23"/>
      <c r="AD71" s="23"/>
      <c r="AE71" s="23"/>
      <c r="AF71" s="23"/>
      <c r="AG71" s="1127"/>
    </row>
    <row r="72" spans="1:55" ht="13.5" customHeight="1">
      <c r="A72" s="1127"/>
      <c r="B72" s="23"/>
      <c r="C72" s="23"/>
      <c r="D72" s="23"/>
      <c r="E72" s="412" t="s">
        <v>817</v>
      </c>
      <c r="F72" s="23"/>
      <c r="G72" s="23"/>
      <c r="H72" s="23"/>
      <c r="I72" s="23"/>
      <c r="J72" s="23"/>
      <c r="K72" s="23"/>
      <c r="L72" s="23"/>
      <c r="M72" s="23"/>
      <c r="N72" s="23"/>
      <c r="O72" s="23"/>
      <c r="P72" s="23"/>
      <c r="Q72" s="23"/>
      <c r="R72" s="23"/>
      <c r="S72" s="23"/>
      <c r="T72" s="412"/>
      <c r="U72" s="23"/>
      <c r="V72" s="23"/>
      <c r="W72" s="23"/>
      <c r="X72" s="70"/>
      <c r="Y72" s="23"/>
      <c r="Z72" s="23"/>
      <c r="AA72" s="23"/>
      <c r="AB72" s="23"/>
      <c r="AC72" s="23"/>
      <c r="AD72" s="23"/>
      <c r="AE72" s="23"/>
      <c r="AF72" s="23"/>
      <c r="AG72" s="1127"/>
    </row>
    <row r="73" spans="1:55" ht="13.5" customHeight="1">
      <c r="A73" s="1127"/>
      <c r="B73" s="41"/>
      <c r="C73" s="41"/>
      <c r="D73" s="41"/>
      <c r="E73" s="2669" t="s">
        <v>2816</v>
      </c>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1127"/>
    </row>
    <row r="74" spans="1:55">
      <c r="A74" s="1127"/>
      <c r="B74" s="278" t="s">
        <v>818</v>
      </c>
      <c r="C74" s="56"/>
      <c r="D74" s="56"/>
      <c r="E74" s="56"/>
      <c r="F74" s="56"/>
      <c r="G74" s="56"/>
      <c r="H74" s="56"/>
      <c r="I74" s="56"/>
      <c r="J74" s="56"/>
      <c r="K74" s="278" t="s">
        <v>724</v>
      </c>
      <c r="L74" s="56"/>
      <c r="M74" s="56"/>
      <c r="N74" s="56"/>
      <c r="O74" s="56"/>
      <c r="P74" s="70" t="s">
        <v>726</v>
      </c>
      <c r="Q74" s="56"/>
      <c r="R74" s="56"/>
      <c r="S74" s="56"/>
      <c r="T74" s="56"/>
      <c r="U74" s="56"/>
      <c r="V74" s="56"/>
      <c r="W74" s="56"/>
      <c r="X74" s="56"/>
      <c r="Y74" s="56"/>
      <c r="Z74" s="56"/>
      <c r="AA74" s="56"/>
      <c r="AB74" s="56"/>
      <c r="AC74" s="56"/>
      <c r="AD74" s="56"/>
      <c r="AE74" s="56"/>
      <c r="AF74" s="56"/>
      <c r="AG74" s="1127"/>
    </row>
    <row r="75" spans="1:55">
      <c r="A75" s="1127"/>
      <c r="B75" s="70" t="s">
        <v>727</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1127"/>
      <c r="BA75" s="9699" t="s">
        <v>780</v>
      </c>
      <c r="BB75" s="6206"/>
      <c r="BC75" s="7198"/>
    </row>
    <row r="76" spans="1:55">
      <c r="A76" s="1127"/>
      <c r="B76" s="70" t="s">
        <v>728</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1127"/>
      <c r="BA76" s="9700" t="s">
        <v>779</v>
      </c>
      <c r="BB76" s="9700" t="s">
        <v>770</v>
      </c>
      <c r="BC76" s="9700" t="s">
        <v>771</v>
      </c>
    </row>
    <row r="77" spans="1:55" ht="4.5" customHeight="1" thickBot="1">
      <c r="A77" s="1127"/>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1127"/>
      <c r="BA77" s="9701"/>
      <c r="BB77" s="9701"/>
      <c r="BC77" s="9701"/>
    </row>
    <row r="78" spans="1:55" ht="12" customHeight="1" thickBot="1">
      <c r="A78" s="1127"/>
      <c r="B78" s="1258">
        <f>IF(C78&lt;&gt;"",1,0)</f>
        <v>0</v>
      </c>
      <c r="C78" s="1257"/>
      <c r="D78" s="999" t="s">
        <v>2817</v>
      </c>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1127"/>
      <c r="AJ78" s="9694"/>
      <c r="AK78" s="9695"/>
      <c r="AL78" s="9695"/>
      <c r="AM78" s="9695"/>
      <c r="AN78" s="9695"/>
      <c r="AO78" s="9695"/>
      <c r="AP78" s="9695"/>
      <c r="AQ78" s="9695"/>
      <c r="BA78" s="9701"/>
      <c r="BB78" s="9701"/>
      <c r="BC78" s="9701"/>
    </row>
    <row r="79" spans="1:55" ht="4.5" customHeight="1" thickBot="1">
      <c r="A79" s="1127"/>
      <c r="B79" s="1235"/>
      <c r="C79" s="56"/>
      <c r="D79" s="70"/>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1127"/>
      <c r="BA79" s="9701"/>
      <c r="BB79" s="9701"/>
      <c r="BC79" s="9701"/>
    </row>
    <row r="80" spans="1:55" ht="11.25" customHeight="1" thickBot="1">
      <c r="A80" s="1127"/>
      <c r="B80" s="1258">
        <f>IF(C80&lt;&gt;"",1,0)</f>
        <v>0</v>
      </c>
      <c r="C80" s="1257"/>
      <c r="D80" s="999" t="s">
        <v>2818</v>
      </c>
      <c r="E80" s="56"/>
      <c r="F80" s="56"/>
      <c r="G80" s="56"/>
      <c r="H80" s="56"/>
      <c r="I80" s="56"/>
      <c r="J80" s="56"/>
      <c r="K80" s="56"/>
      <c r="L80" s="56"/>
      <c r="M80" s="56"/>
      <c r="N80" s="56"/>
      <c r="O80" s="56"/>
      <c r="P80" s="56"/>
      <c r="Q80" s="1262"/>
      <c r="R80" s="1262"/>
      <c r="S80" s="1262"/>
      <c r="T80" s="1262"/>
      <c r="U80" s="1262"/>
      <c r="V80" s="1262"/>
      <c r="W80" s="1262"/>
      <c r="X80" s="1262"/>
      <c r="Y80" s="1262"/>
      <c r="Z80" s="1262"/>
      <c r="AA80" s="1262"/>
      <c r="AB80" s="1262"/>
      <c r="AC80" s="1262"/>
      <c r="AD80" s="1262"/>
      <c r="AE80" s="56"/>
      <c r="AF80" s="56"/>
      <c r="AG80" s="1127"/>
      <c r="AJ80" s="9694"/>
      <c r="AK80" s="9695"/>
      <c r="AL80" s="9695"/>
      <c r="AM80" s="9695"/>
      <c r="AN80" s="9695"/>
      <c r="AO80" s="9695"/>
      <c r="AP80" s="9695"/>
      <c r="AQ80" s="9695"/>
      <c r="BA80" s="9701"/>
      <c r="BB80" s="9701"/>
      <c r="BC80" s="9701"/>
    </row>
    <row r="81" spans="1:55" ht="4.5" customHeight="1" thickBot="1">
      <c r="A81" s="1127"/>
      <c r="B81" s="1235"/>
      <c r="C81" s="56"/>
      <c r="D81" s="70"/>
      <c r="E81" s="56"/>
      <c r="F81" s="56"/>
      <c r="G81" s="56"/>
      <c r="H81" s="56"/>
      <c r="I81" s="56"/>
      <c r="J81" s="56"/>
      <c r="K81" s="56"/>
      <c r="L81" s="56"/>
      <c r="M81" s="56"/>
      <c r="N81" s="56"/>
      <c r="O81" s="56"/>
      <c r="P81" s="56"/>
      <c r="Q81" s="1262"/>
      <c r="R81" s="1262"/>
      <c r="S81" s="1262"/>
      <c r="T81" s="1262"/>
      <c r="U81" s="1262"/>
      <c r="V81" s="1262"/>
      <c r="W81" s="1262"/>
      <c r="X81" s="1262"/>
      <c r="Y81" s="1262"/>
      <c r="Z81" s="1262"/>
      <c r="AA81" s="1262"/>
      <c r="AB81" s="1262"/>
      <c r="AC81" s="1262"/>
      <c r="AD81" s="1262"/>
      <c r="AE81" s="56"/>
      <c r="AF81" s="56"/>
      <c r="AG81" s="1127"/>
      <c r="BA81" s="9701"/>
      <c r="BB81" s="9701"/>
      <c r="BC81" s="9701"/>
    </row>
    <row r="82" spans="1:55" ht="12" customHeight="1" thickBot="1">
      <c r="A82" s="1127">
        <f>SUM(B78:B82)</f>
        <v>0</v>
      </c>
      <c r="B82" s="1258">
        <f>IF(C82&lt;&gt;"",1,0)</f>
        <v>0</v>
      </c>
      <c r="C82" s="1257"/>
      <c r="D82" s="999" t="s">
        <v>2819</v>
      </c>
      <c r="E82" s="56"/>
      <c r="F82" s="56"/>
      <c r="G82" s="56"/>
      <c r="H82" s="56"/>
      <c r="I82" s="56"/>
      <c r="J82" s="56"/>
      <c r="K82" s="56"/>
      <c r="L82" s="56"/>
      <c r="M82" s="56"/>
      <c r="N82" s="56"/>
      <c r="O82" s="56"/>
      <c r="P82" s="56"/>
      <c r="Q82" s="1263"/>
      <c r="R82" s="9686" t="str">
        <f>IF(SpaceUsed_8949A_LT,"ERROR: DO NOT use the space bar to uncheck a box. Use the 'Delete' key.",IF(A82&gt;1,"Check only ONE box.",IF(A82&gt;0,"",IF(A82&lt;1,"Check ONE box.",""))))</f>
        <v>Check ONE box.</v>
      </c>
      <c r="S82" s="9687"/>
      <c r="T82" s="9687"/>
      <c r="U82" s="9687"/>
      <c r="V82" s="9687"/>
      <c r="W82" s="9687"/>
      <c r="X82" s="9687"/>
      <c r="Y82" s="9687"/>
      <c r="Z82" s="9687"/>
      <c r="AA82" s="9687"/>
      <c r="AB82" s="9687"/>
      <c r="AC82" s="9687"/>
      <c r="AD82" s="9687"/>
      <c r="AE82" s="9687"/>
      <c r="AF82" s="56"/>
      <c r="AG82" s="1127"/>
      <c r="AH82" s="1430" t="b">
        <f>IF(OR(F8949ALBOXA=CHAR(32),F8949ALBOXB=CHAR(32),F8949ALBOXC=CHAR(32)),TRUE,FALSE)</f>
        <v>0</v>
      </c>
      <c r="AJ82" s="9702" t="s">
        <v>2467</v>
      </c>
      <c r="AK82" s="9695"/>
      <c r="AL82" s="9695"/>
      <c r="AM82" s="9695"/>
      <c r="AN82" s="9695"/>
      <c r="AO82" s="9695"/>
      <c r="AP82" s="9695"/>
      <c r="AQ82" s="9695"/>
      <c r="BA82" s="9701"/>
      <c r="BB82" s="9701"/>
      <c r="BC82" s="9701"/>
    </row>
    <row r="83" spans="1:55" ht="3.75" customHeight="1">
      <c r="A83" s="1127"/>
      <c r="B83" s="279"/>
      <c r="C83" s="1092"/>
      <c r="D83" s="279"/>
      <c r="E83" s="279"/>
      <c r="F83" s="279"/>
      <c r="G83" s="279"/>
      <c r="H83" s="279"/>
      <c r="I83" s="279"/>
      <c r="J83" s="279"/>
      <c r="K83" s="279"/>
      <c r="L83" s="279"/>
      <c r="M83" s="279"/>
      <c r="N83" s="1092"/>
      <c r="O83" s="279"/>
      <c r="P83" s="279"/>
      <c r="Q83" s="279"/>
      <c r="R83" s="279"/>
      <c r="S83" s="279"/>
      <c r="T83" s="279"/>
      <c r="U83" s="279"/>
      <c r="V83" s="279"/>
      <c r="W83" s="279"/>
      <c r="X83" s="279"/>
      <c r="Y83" s="1092"/>
      <c r="Z83" s="279"/>
      <c r="AA83" s="279"/>
      <c r="AB83" s="279"/>
      <c r="AC83" s="279"/>
      <c r="AD83" s="279"/>
      <c r="AE83" s="279"/>
      <c r="AF83" s="279"/>
      <c r="AG83" s="1127"/>
      <c r="BA83" s="9701"/>
      <c r="BB83" s="9701"/>
      <c r="BC83" s="9701"/>
    </row>
    <row r="84" spans="1:55" ht="21" customHeight="1">
      <c r="A84" s="1127"/>
      <c r="B84" s="9725">
        <v>1</v>
      </c>
      <c r="C84" s="9732" t="s">
        <v>620</v>
      </c>
      <c r="D84" s="9733"/>
      <c r="E84" s="9733"/>
      <c r="F84" s="9733"/>
      <c r="G84" s="9733"/>
      <c r="H84" s="9733"/>
      <c r="I84" s="9734"/>
      <c r="J84" s="6448" t="s">
        <v>2821</v>
      </c>
      <c r="K84" s="7379"/>
      <c r="L84" s="7155"/>
      <c r="M84" s="6448" t="s">
        <v>5477</v>
      </c>
      <c r="N84" s="7379"/>
      <c r="O84" s="7379"/>
      <c r="P84" s="7155"/>
      <c r="Q84" s="6448" t="s">
        <v>730</v>
      </c>
      <c r="R84" s="7379"/>
      <c r="S84" s="7379"/>
      <c r="T84" s="7155"/>
      <c r="U84" s="9673" t="s">
        <v>734</v>
      </c>
      <c r="V84" s="9674"/>
      <c r="W84" s="9674"/>
      <c r="X84" s="9748"/>
      <c r="Y84" s="9742" t="s">
        <v>2820</v>
      </c>
      <c r="Z84" s="9743"/>
      <c r="AA84" s="9743"/>
      <c r="AB84" s="9744"/>
      <c r="AC84" s="9673" t="s">
        <v>733</v>
      </c>
      <c r="AD84" s="9674"/>
      <c r="AE84" s="9674"/>
      <c r="AF84" s="9674"/>
      <c r="AG84" s="1127"/>
      <c r="AJ84" s="9692" t="s">
        <v>711</v>
      </c>
      <c r="AK84" s="9692" t="s">
        <v>736</v>
      </c>
      <c r="AL84" s="9692" t="s">
        <v>737</v>
      </c>
      <c r="AM84" s="9692" t="s">
        <v>738</v>
      </c>
      <c r="AN84" s="9690" t="s">
        <v>739</v>
      </c>
      <c r="AO84" s="9696" t="s">
        <v>731</v>
      </c>
      <c r="AP84" s="7127"/>
      <c r="AQ84" s="9692" t="s">
        <v>741</v>
      </c>
      <c r="BA84" s="9701"/>
      <c r="BB84" s="9701"/>
      <c r="BC84" s="9701"/>
    </row>
    <row r="85" spans="1:55" ht="21" customHeight="1">
      <c r="A85" s="1127"/>
      <c r="B85" s="9726"/>
      <c r="C85" s="9735"/>
      <c r="D85" s="9736"/>
      <c r="E85" s="9736"/>
      <c r="F85" s="9736"/>
      <c r="G85" s="9736"/>
      <c r="H85" s="9736"/>
      <c r="I85" s="9737"/>
      <c r="J85" s="6450"/>
      <c r="K85" s="8199"/>
      <c r="L85" s="7157"/>
      <c r="M85" s="6450"/>
      <c r="N85" s="8199"/>
      <c r="O85" s="8199"/>
      <c r="P85" s="7157"/>
      <c r="Q85" s="6450"/>
      <c r="R85" s="8199"/>
      <c r="S85" s="8199"/>
      <c r="T85" s="7157"/>
      <c r="U85" s="9675"/>
      <c r="V85" s="9676"/>
      <c r="W85" s="9676"/>
      <c r="X85" s="9749"/>
      <c r="Y85" s="9745"/>
      <c r="Z85" s="9746"/>
      <c r="AA85" s="9746"/>
      <c r="AB85" s="9747"/>
      <c r="AC85" s="9675"/>
      <c r="AD85" s="9676"/>
      <c r="AE85" s="9676"/>
      <c r="AF85" s="9676"/>
      <c r="AG85" s="1127"/>
      <c r="AJ85" s="9692"/>
      <c r="AK85" s="9692"/>
      <c r="AL85" s="9692"/>
      <c r="AM85" s="9692"/>
      <c r="AN85" s="9690"/>
      <c r="AO85" s="7264"/>
      <c r="AP85" s="7133"/>
      <c r="AQ85" s="9692"/>
      <c r="BA85" s="9701"/>
      <c r="BB85" s="9701"/>
      <c r="BC85" s="9701"/>
    </row>
    <row r="86" spans="1:55" ht="18" customHeight="1">
      <c r="A86" s="1127"/>
      <c r="B86" s="9727"/>
      <c r="C86" s="9736"/>
      <c r="D86" s="9736"/>
      <c r="E86" s="9736"/>
      <c r="F86" s="9736"/>
      <c r="G86" s="9736"/>
      <c r="H86" s="9736"/>
      <c r="I86" s="9737"/>
      <c r="J86" s="7156"/>
      <c r="K86" s="8199"/>
      <c r="L86" s="7157"/>
      <c r="M86" s="7156"/>
      <c r="N86" s="8199"/>
      <c r="O86" s="8199"/>
      <c r="P86" s="7157"/>
      <c r="Q86" s="7156"/>
      <c r="R86" s="8199"/>
      <c r="S86" s="8199"/>
      <c r="T86" s="7157"/>
      <c r="U86" s="9677"/>
      <c r="V86" s="9676"/>
      <c r="W86" s="9676"/>
      <c r="X86" s="9749"/>
      <c r="Y86" s="7324" t="s">
        <v>2822</v>
      </c>
      <c r="Z86" s="7155"/>
      <c r="AA86" s="7324" t="s">
        <v>732</v>
      </c>
      <c r="AB86" s="7258"/>
      <c r="AC86" s="9677"/>
      <c r="AD86" s="9676"/>
      <c r="AE86" s="9676"/>
      <c r="AF86" s="9676"/>
      <c r="AG86" s="1127"/>
      <c r="AJ86" s="9693"/>
      <c r="AK86" s="9693"/>
      <c r="AL86" s="9693"/>
      <c r="AM86" s="9693"/>
      <c r="AN86" s="9691"/>
      <c r="AO86" s="9698" t="s">
        <v>740</v>
      </c>
      <c r="AP86" s="7237" t="s">
        <v>732</v>
      </c>
      <c r="AQ86" s="9693"/>
      <c r="BA86" s="9701"/>
      <c r="BB86" s="9701"/>
      <c r="BC86" s="9701"/>
    </row>
    <row r="87" spans="1:55" ht="18" customHeight="1">
      <c r="A87" s="1127"/>
      <c r="B87" s="9728"/>
      <c r="C87" s="9738"/>
      <c r="D87" s="9738"/>
      <c r="E87" s="9738"/>
      <c r="F87" s="9738"/>
      <c r="G87" s="9738"/>
      <c r="H87" s="9738"/>
      <c r="I87" s="9739"/>
      <c r="J87" s="7158"/>
      <c r="K87" s="9751"/>
      <c r="L87" s="7159"/>
      <c r="M87" s="7158"/>
      <c r="N87" s="9751"/>
      <c r="O87" s="9751"/>
      <c r="P87" s="7159"/>
      <c r="Q87" s="7158"/>
      <c r="R87" s="9751"/>
      <c r="S87" s="9751"/>
      <c r="T87" s="7159"/>
      <c r="U87" s="9678"/>
      <c r="V87" s="9679"/>
      <c r="W87" s="9679"/>
      <c r="X87" s="9750"/>
      <c r="Y87" s="7158"/>
      <c r="Z87" s="7159"/>
      <c r="AA87" s="6619"/>
      <c r="AB87" s="7260"/>
      <c r="AC87" s="9678"/>
      <c r="AD87" s="9679"/>
      <c r="AE87" s="9679"/>
      <c r="AF87" s="9679"/>
      <c r="AG87" s="1127"/>
      <c r="AJ87" s="9693"/>
      <c r="AK87" s="9693"/>
      <c r="AL87" s="9693"/>
      <c r="AM87" s="9693"/>
      <c r="AN87" s="9691"/>
      <c r="AO87" s="9697"/>
      <c r="AP87" s="9697"/>
      <c r="AQ87" s="9693"/>
      <c r="BA87" s="9701"/>
      <c r="BB87" s="9701"/>
      <c r="BC87" s="9701"/>
    </row>
    <row r="88" spans="1:55" ht="19.5" customHeight="1">
      <c r="A88" s="1127">
        <f>IF(OR(Q88&lt;&gt;"",U88&lt;&gt;"",AC88&lt;&gt;""),1,0)</f>
        <v>0</v>
      </c>
      <c r="B88" s="9703" t="str">
        <f>IF(AJ88="","",AJ88)</f>
        <v/>
      </c>
      <c r="C88" s="9704"/>
      <c r="D88" s="9704"/>
      <c r="E88" s="9704"/>
      <c r="F88" s="9704"/>
      <c r="G88" s="9704"/>
      <c r="H88" s="9704"/>
      <c r="I88" s="9705"/>
      <c r="J88" s="9706" t="str">
        <f>IF(AK88="","",AK88)</f>
        <v/>
      </c>
      <c r="K88" s="9707"/>
      <c r="L88" s="9707"/>
      <c r="M88" s="9706" t="str">
        <f>IF(AL88="","",AL88)</f>
        <v/>
      </c>
      <c r="N88" s="9707"/>
      <c r="O88" s="9707"/>
      <c r="P88" s="9708"/>
      <c r="Q88" s="6969" t="str">
        <f>IF(AM88="","",AM88)</f>
        <v/>
      </c>
      <c r="R88" s="9688"/>
      <c r="S88" s="9688"/>
      <c r="T88" s="9689"/>
      <c r="U88" s="6969" t="str">
        <f>IF(AN88="","",AN88)</f>
        <v/>
      </c>
      <c r="V88" s="9688"/>
      <c r="W88" s="9688"/>
      <c r="X88" s="9689"/>
      <c r="Y88" s="9670" t="str">
        <f>IF(AO88&lt;&gt;"",AO88,"")</f>
        <v/>
      </c>
      <c r="Z88" s="6222"/>
      <c r="AA88" s="9670" t="str">
        <f>IF(AP88="","",AP88)</f>
        <v/>
      </c>
      <c r="AB88" s="6222"/>
      <c r="AC88" s="9671" t="str">
        <f>IF(AQ88&lt;&gt;"",AQ88,IF(AND(Q88="",U88=""),"",IF(AND(Q88&lt;&gt;"",U88=""),SUM(Q88,AA88),SUM(Q88,-U88,AA88))))</f>
        <v/>
      </c>
      <c r="AD88" s="9672"/>
      <c r="AE88" s="9672"/>
      <c r="AF88" s="9672"/>
      <c r="AG88" s="1297">
        <f>IF(OR(J88="",M88=""),0,IF(OR(BA88,BB88,BC88),1,0))</f>
        <v>0</v>
      </c>
      <c r="AH88" s="1090"/>
      <c r="AI88" s="1090" t="e">
        <f>M88-J88</f>
        <v>#VALUE!</v>
      </c>
      <c r="AJ88" s="1237"/>
      <c r="AK88" s="1241"/>
      <c r="AL88" s="1241"/>
      <c r="AM88" s="1239"/>
      <c r="AN88" s="1239"/>
      <c r="AO88" s="1240"/>
      <c r="AP88" s="1239"/>
      <c r="AQ88" s="1238"/>
      <c r="AS88" s="42" t="e">
        <f>YEAR(J88)</f>
        <v>#VALUE!</v>
      </c>
      <c r="AT88" s="42" t="e">
        <f>MONTH(J88)</f>
        <v>#VALUE!</v>
      </c>
      <c r="AU88" s="42" t="e">
        <f>DAY(J88)</f>
        <v>#VALUE!</v>
      </c>
      <c r="AW88" s="42" t="e">
        <f>YEAR(M88)</f>
        <v>#VALUE!</v>
      </c>
      <c r="AX88" s="42" t="e">
        <f>MONTH(M88)</f>
        <v>#VALUE!</v>
      </c>
      <c r="AY88" s="42" t="e">
        <f>DAY(M88)</f>
        <v>#VALUE!</v>
      </c>
      <c r="BA88" s="42" t="e">
        <f>IF(AW88=AS88,TRUE,FALSE)</f>
        <v>#VALUE!</v>
      </c>
      <c r="BB88" s="42" t="e">
        <f>IF(AND(AW88=AS88+1,AX88&lt;AT88),TRUE,FALSE)</f>
        <v>#VALUE!</v>
      </c>
      <c r="BC88" s="42" t="e">
        <f>IF(AND(AW88=AS88+1,AX88=AT88,AY88&lt;=AU88),TRUE,FALSE)</f>
        <v>#VALUE!</v>
      </c>
    </row>
    <row r="89" spans="1:55" ht="19.5" customHeight="1">
      <c r="A89" s="1127">
        <f t="shared" ref="A89:A115" si="20">IF(OR(Q89&lt;&gt;"",U89&lt;&gt;"",AC89&lt;&gt;""),1,0)</f>
        <v>0</v>
      </c>
      <c r="B89" s="9703" t="str">
        <f t="shared" ref="B89:B115" si="21">IF(AJ89="","",AJ89)</f>
        <v/>
      </c>
      <c r="C89" s="9704"/>
      <c r="D89" s="9704"/>
      <c r="E89" s="9704"/>
      <c r="F89" s="9704"/>
      <c r="G89" s="9704"/>
      <c r="H89" s="9704"/>
      <c r="I89" s="9705"/>
      <c r="J89" s="9706" t="str">
        <f t="shared" ref="J89:J115" si="22">IF(AK89="","",AK89)</f>
        <v/>
      </c>
      <c r="K89" s="9707"/>
      <c r="L89" s="9707"/>
      <c r="M89" s="9706" t="str">
        <f t="shared" ref="M89:M115" si="23">IF(AL89="","",AL89)</f>
        <v/>
      </c>
      <c r="N89" s="9707"/>
      <c r="O89" s="9707"/>
      <c r="P89" s="9708"/>
      <c r="Q89" s="6969" t="str">
        <f t="shared" ref="Q89:Q115" si="24">IF(AM89="","",AM89)</f>
        <v/>
      </c>
      <c r="R89" s="9688"/>
      <c r="S89" s="9688"/>
      <c r="T89" s="9689"/>
      <c r="U89" s="6969" t="str">
        <f t="shared" ref="U89:U115" si="25">IF(AN89="","",AN89)</f>
        <v/>
      </c>
      <c r="V89" s="9688"/>
      <c r="W89" s="9688"/>
      <c r="X89" s="9689"/>
      <c r="Y89" s="9670" t="str">
        <f t="shared" ref="Y89:Y115" si="26">IF(AO89&lt;&gt;"",AO89,"")</f>
        <v/>
      </c>
      <c r="Z89" s="6222"/>
      <c r="AA89" s="9670" t="str">
        <f t="shared" ref="AA89:AA115" si="27">IF(AP89="","",AP89)</f>
        <v/>
      </c>
      <c r="AB89" s="6222"/>
      <c r="AC89" s="9671" t="str">
        <f t="shared" ref="AC89:AC115" si="28">IF(AQ89&lt;&gt;"",AQ89,IF(AND(Q89="",U89=""),"",IF(AND(Q89&lt;&gt;"",U89=""),SUM(Q89,AA89),SUM(Q89,-U89,AA89))))</f>
        <v/>
      </c>
      <c r="AD89" s="9672"/>
      <c r="AE89" s="9672"/>
      <c r="AF89" s="9672"/>
      <c r="AG89" s="1297">
        <f t="shared" ref="AG89:AG115" si="29">IF(OR(J89="",M89=""),0,IF(OR(BA89,BB89,BC89),1,0))</f>
        <v>0</v>
      </c>
      <c r="AH89" s="1090"/>
      <c r="AI89" s="1090" t="e">
        <f t="shared" ref="AI89:AI115" si="30">M89-J89</f>
        <v>#VALUE!</v>
      </c>
      <c r="AJ89" s="1237"/>
      <c r="AK89" s="1241"/>
      <c r="AL89" s="1241"/>
      <c r="AM89" s="1239"/>
      <c r="AN89" s="1239"/>
      <c r="AO89" s="1240"/>
      <c r="AP89" s="1239"/>
      <c r="AQ89" s="1238"/>
      <c r="AS89" s="42" t="e">
        <f t="shared" ref="AS89:AS115" si="31">YEAR(J89)</f>
        <v>#VALUE!</v>
      </c>
      <c r="AT89" s="42" t="e">
        <f t="shared" ref="AT89:AT115" si="32">MONTH(J89)</f>
        <v>#VALUE!</v>
      </c>
      <c r="AU89" s="42" t="e">
        <f t="shared" ref="AU89:AU115" si="33">DAY(J89)</f>
        <v>#VALUE!</v>
      </c>
      <c r="AW89" s="42" t="e">
        <f t="shared" ref="AW89:AW115" si="34">YEAR(M89)</f>
        <v>#VALUE!</v>
      </c>
      <c r="AX89" s="42" t="e">
        <f t="shared" ref="AX89:AX115" si="35">MONTH(M89)</f>
        <v>#VALUE!</v>
      </c>
      <c r="AY89" s="42" t="e">
        <f t="shared" ref="AY89:AY115" si="36">DAY(M89)</f>
        <v>#VALUE!</v>
      </c>
      <c r="BA89" s="42" t="e">
        <f t="shared" ref="BA89:BA115" si="37">IF(AW89=AS89,TRUE,FALSE)</f>
        <v>#VALUE!</v>
      </c>
      <c r="BB89" s="42" t="e">
        <f t="shared" ref="BB89:BB115" si="38">IF(AND(AW89=AS89+1,AX89&lt;AT89),TRUE,FALSE)</f>
        <v>#VALUE!</v>
      </c>
      <c r="BC89" s="42" t="e">
        <f t="shared" ref="BC89:BC115" si="39">IF(AND(AW89=AS89+1,AX89=AT89,AY89&lt;=AU89),TRUE,FALSE)</f>
        <v>#VALUE!</v>
      </c>
    </row>
    <row r="90" spans="1:55" ht="19.5" customHeight="1">
      <c r="A90" s="1127">
        <f t="shared" si="20"/>
        <v>0</v>
      </c>
      <c r="B90" s="9703" t="str">
        <f t="shared" si="21"/>
        <v/>
      </c>
      <c r="C90" s="9704"/>
      <c r="D90" s="9704"/>
      <c r="E90" s="9704"/>
      <c r="F90" s="9704"/>
      <c r="G90" s="9704"/>
      <c r="H90" s="9704"/>
      <c r="I90" s="9705"/>
      <c r="J90" s="9706" t="str">
        <f t="shared" si="22"/>
        <v/>
      </c>
      <c r="K90" s="9707"/>
      <c r="L90" s="9707"/>
      <c r="M90" s="9706" t="str">
        <f t="shared" si="23"/>
        <v/>
      </c>
      <c r="N90" s="9707"/>
      <c r="O90" s="9707"/>
      <c r="P90" s="9708"/>
      <c r="Q90" s="6969" t="str">
        <f t="shared" si="24"/>
        <v/>
      </c>
      <c r="R90" s="9688"/>
      <c r="S90" s="9688"/>
      <c r="T90" s="9689"/>
      <c r="U90" s="6969" t="str">
        <f t="shared" si="25"/>
        <v/>
      </c>
      <c r="V90" s="9688"/>
      <c r="W90" s="9688"/>
      <c r="X90" s="9689"/>
      <c r="Y90" s="9670" t="str">
        <f t="shared" si="26"/>
        <v/>
      </c>
      <c r="Z90" s="6222"/>
      <c r="AA90" s="9670" t="str">
        <f t="shared" si="27"/>
        <v/>
      </c>
      <c r="AB90" s="6222"/>
      <c r="AC90" s="9671" t="str">
        <f t="shared" si="28"/>
        <v/>
      </c>
      <c r="AD90" s="9672"/>
      <c r="AE90" s="9672"/>
      <c r="AF90" s="9672"/>
      <c r="AG90" s="1297">
        <f t="shared" si="29"/>
        <v>0</v>
      </c>
      <c r="AH90" s="1090"/>
      <c r="AI90" s="1090" t="e">
        <f t="shared" si="30"/>
        <v>#VALUE!</v>
      </c>
      <c r="AJ90" s="1237"/>
      <c r="AK90" s="1241"/>
      <c r="AL90" s="1241"/>
      <c r="AM90" s="1239"/>
      <c r="AN90" s="1239"/>
      <c r="AO90" s="1240"/>
      <c r="AP90" s="1239"/>
      <c r="AQ90" s="1238"/>
      <c r="AS90" s="42" t="e">
        <f t="shared" si="31"/>
        <v>#VALUE!</v>
      </c>
      <c r="AT90" s="42" t="e">
        <f t="shared" si="32"/>
        <v>#VALUE!</v>
      </c>
      <c r="AU90" s="42" t="e">
        <f t="shared" si="33"/>
        <v>#VALUE!</v>
      </c>
      <c r="AW90" s="42" t="e">
        <f t="shared" si="34"/>
        <v>#VALUE!</v>
      </c>
      <c r="AX90" s="42" t="e">
        <f t="shared" si="35"/>
        <v>#VALUE!</v>
      </c>
      <c r="AY90" s="42" t="e">
        <f t="shared" si="36"/>
        <v>#VALUE!</v>
      </c>
      <c r="BA90" s="42" t="e">
        <f t="shared" si="37"/>
        <v>#VALUE!</v>
      </c>
      <c r="BB90" s="42" t="e">
        <f t="shared" si="38"/>
        <v>#VALUE!</v>
      </c>
      <c r="BC90" s="42" t="e">
        <f t="shared" si="39"/>
        <v>#VALUE!</v>
      </c>
    </row>
    <row r="91" spans="1:55" ht="19.5" customHeight="1">
      <c r="A91" s="1127">
        <f t="shared" si="20"/>
        <v>0</v>
      </c>
      <c r="B91" s="9703" t="str">
        <f t="shared" si="21"/>
        <v/>
      </c>
      <c r="C91" s="9704"/>
      <c r="D91" s="9704"/>
      <c r="E91" s="9704"/>
      <c r="F91" s="9704"/>
      <c r="G91" s="9704"/>
      <c r="H91" s="9704"/>
      <c r="I91" s="9705"/>
      <c r="J91" s="9706" t="str">
        <f t="shared" si="22"/>
        <v/>
      </c>
      <c r="K91" s="9707"/>
      <c r="L91" s="9707"/>
      <c r="M91" s="9706" t="str">
        <f t="shared" si="23"/>
        <v/>
      </c>
      <c r="N91" s="9707"/>
      <c r="O91" s="9707"/>
      <c r="P91" s="9708"/>
      <c r="Q91" s="6969" t="str">
        <f t="shared" si="24"/>
        <v/>
      </c>
      <c r="R91" s="9688"/>
      <c r="S91" s="9688"/>
      <c r="T91" s="9689"/>
      <c r="U91" s="6969" t="str">
        <f t="shared" si="25"/>
        <v/>
      </c>
      <c r="V91" s="9688"/>
      <c r="W91" s="9688"/>
      <c r="X91" s="9689"/>
      <c r="Y91" s="9670" t="str">
        <f t="shared" si="26"/>
        <v/>
      </c>
      <c r="Z91" s="6222"/>
      <c r="AA91" s="9670" t="str">
        <f t="shared" si="27"/>
        <v/>
      </c>
      <c r="AB91" s="6222"/>
      <c r="AC91" s="9671" t="str">
        <f t="shared" si="28"/>
        <v/>
      </c>
      <c r="AD91" s="9672"/>
      <c r="AE91" s="9672"/>
      <c r="AF91" s="9672"/>
      <c r="AG91" s="1297">
        <f t="shared" si="29"/>
        <v>0</v>
      </c>
      <c r="AH91" s="1090"/>
      <c r="AI91" s="1090" t="e">
        <f t="shared" si="30"/>
        <v>#VALUE!</v>
      </c>
      <c r="AJ91" s="1237"/>
      <c r="AK91" s="1241"/>
      <c r="AL91" s="1241"/>
      <c r="AM91" s="1239"/>
      <c r="AN91" s="1239"/>
      <c r="AO91" s="1240"/>
      <c r="AP91" s="1239"/>
      <c r="AQ91" s="1238"/>
      <c r="AS91" s="42" t="e">
        <f t="shared" si="31"/>
        <v>#VALUE!</v>
      </c>
      <c r="AT91" s="42" t="e">
        <f t="shared" si="32"/>
        <v>#VALUE!</v>
      </c>
      <c r="AU91" s="42" t="e">
        <f t="shared" si="33"/>
        <v>#VALUE!</v>
      </c>
      <c r="AW91" s="42" t="e">
        <f t="shared" si="34"/>
        <v>#VALUE!</v>
      </c>
      <c r="AX91" s="42" t="e">
        <f t="shared" si="35"/>
        <v>#VALUE!</v>
      </c>
      <c r="AY91" s="42" t="e">
        <f t="shared" si="36"/>
        <v>#VALUE!</v>
      </c>
      <c r="BA91" s="42" t="e">
        <f t="shared" si="37"/>
        <v>#VALUE!</v>
      </c>
      <c r="BB91" s="42" t="e">
        <f t="shared" si="38"/>
        <v>#VALUE!</v>
      </c>
      <c r="BC91" s="42" t="e">
        <f t="shared" si="39"/>
        <v>#VALUE!</v>
      </c>
    </row>
    <row r="92" spans="1:55" ht="19.5" customHeight="1">
      <c r="A92" s="1127">
        <f t="shared" si="20"/>
        <v>0</v>
      </c>
      <c r="B92" s="9703" t="str">
        <f t="shared" si="21"/>
        <v/>
      </c>
      <c r="C92" s="9704"/>
      <c r="D92" s="9704"/>
      <c r="E92" s="9704"/>
      <c r="F92" s="9704"/>
      <c r="G92" s="9704"/>
      <c r="H92" s="9704"/>
      <c r="I92" s="9705"/>
      <c r="J92" s="9706" t="str">
        <f t="shared" si="22"/>
        <v/>
      </c>
      <c r="K92" s="9707"/>
      <c r="L92" s="9707"/>
      <c r="M92" s="9706" t="str">
        <f t="shared" si="23"/>
        <v/>
      </c>
      <c r="N92" s="9707"/>
      <c r="O92" s="9707"/>
      <c r="P92" s="9708"/>
      <c r="Q92" s="6969" t="str">
        <f t="shared" si="24"/>
        <v/>
      </c>
      <c r="R92" s="9688"/>
      <c r="S92" s="9688"/>
      <c r="T92" s="9689"/>
      <c r="U92" s="6969" t="str">
        <f t="shared" si="25"/>
        <v/>
      </c>
      <c r="V92" s="9688"/>
      <c r="W92" s="9688"/>
      <c r="X92" s="9689"/>
      <c r="Y92" s="9670" t="str">
        <f t="shared" si="26"/>
        <v/>
      </c>
      <c r="Z92" s="6222"/>
      <c r="AA92" s="9670" t="str">
        <f t="shared" si="27"/>
        <v/>
      </c>
      <c r="AB92" s="6222"/>
      <c r="AC92" s="9671" t="str">
        <f t="shared" si="28"/>
        <v/>
      </c>
      <c r="AD92" s="9672"/>
      <c r="AE92" s="9672"/>
      <c r="AF92" s="9672"/>
      <c r="AG92" s="1297">
        <f t="shared" si="29"/>
        <v>0</v>
      </c>
      <c r="AH92" s="1090"/>
      <c r="AI92" s="1090" t="e">
        <f t="shared" si="30"/>
        <v>#VALUE!</v>
      </c>
      <c r="AJ92" s="1237"/>
      <c r="AK92" s="1241"/>
      <c r="AL92" s="1241"/>
      <c r="AM92" s="1239"/>
      <c r="AN92" s="1239"/>
      <c r="AO92" s="1240"/>
      <c r="AP92" s="1239"/>
      <c r="AQ92" s="1238"/>
      <c r="AS92" s="42" t="e">
        <f t="shared" si="31"/>
        <v>#VALUE!</v>
      </c>
      <c r="AT92" s="42" t="e">
        <f t="shared" si="32"/>
        <v>#VALUE!</v>
      </c>
      <c r="AU92" s="42" t="e">
        <f t="shared" si="33"/>
        <v>#VALUE!</v>
      </c>
      <c r="AW92" s="42" t="e">
        <f t="shared" si="34"/>
        <v>#VALUE!</v>
      </c>
      <c r="AX92" s="42" t="e">
        <f t="shared" si="35"/>
        <v>#VALUE!</v>
      </c>
      <c r="AY92" s="42" t="e">
        <f t="shared" si="36"/>
        <v>#VALUE!</v>
      </c>
      <c r="BA92" s="42" t="e">
        <f t="shared" si="37"/>
        <v>#VALUE!</v>
      </c>
      <c r="BB92" s="42" t="e">
        <f t="shared" si="38"/>
        <v>#VALUE!</v>
      </c>
      <c r="BC92" s="42" t="e">
        <f t="shared" si="39"/>
        <v>#VALUE!</v>
      </c>
    </row>
    <row r="93" spans="1:55" ht="19.5" customHeight="1">
      <c r="A93" s="1127">
        <f t="shared" si="20"/>
        <v>0</v>
      </c>
      <c r="B93" s="9703" t="str">
        <f t="shared" si="21"/>
        <v/>
      </c>
      <c r="C93" s="9704"/>
      <c r="D93" s="9704"/>
      <c r="E93" s="9704"/>
      <c r="F93" s="9704"/>
      <c r="G93" s="9704"/>
      <c r="H93" s="9704"/>
      <c r="I93" s="9705"/>
      <c r="J93" s="9706" t="str">
        <f t="shared" si="22"/>
        <v/>
      </c>
      <c r="K93" s="9707"/>
      <c r="L93" s="9707"/>
      <c r="M93" s="9706" t="str">
        <f t="shared" si="23"/>
        <v/>
      </c>
      <c r="N93" s="9707"/>
      <c r="O93" s="9707"/>
      <c r="P93" s="9708"/>
      <c r="Q93" s="6969" t="str">
        <f t="shared" si="24"/>
        <v/>
      </c>
      <c r="R93" s="9688"/>
      <c r="S93" s="9688"/>
      <c r="T93" s="9689"/>
      <c r="U93" s="6969" t="str">
        <f t="shared" si="25"/>
        <v/>
      </c>
      <c r="V93" s="9688"/>
      <c r="W93" s="9688"/>
      <c r="X93" s="9689"/>
      <c r="Y93" s="9670" t="str">
        <f t="shared" si="26"/>
        <v/>
      </c>
      <c r="Z93" s="6222"/>
      <c r="AA93" s="9670" t="str">
        <f t="shared" si="27"/>
        <v/>
      </c>
      <c r="AB93" s="6222"/>
      <c r="AC93" s="9671" t="str">
        <f t="shared" si="28"/>
        <v/>
      </c>
      <c r="AD93" s="9672"/>
      <c r="AE93" s="9672"/>
      <c r="AF93" s="9672"/>
      <c r="AG93" s="1297">
        <f t="shared" si="29"/>
        <v>0</v>
      </c>
      <c r="AH93" s="1090"/>
      <c r="AI93" s="1090" t="e">
        <f t="shared" si="30"/>
        <v>#VALUE!</v>
      </c>
      <c r="AJ93" s="1237"/>
      <c r="AK93" s="1241"/>
      <c r="AL93" s="1241"/>
      <c r="AM93" s="1239"/>
      <c r="AN93" s="1239"/>
      <c r="AO93" s="1240"/>
      <c r="AP93" s="1239"/>
      <c r="AQ93" s="1238"/>
      <c r="AS93" s="42" t="e">
        <f t="shared" si="31"/>
        <v>#VALUE!</v>
      </c>
      <c r="AT93" s="42" t="e">
        <f t="shared" si="32"/>
        <v>#VALUE!</v>
      </c>
      <c r="AU93" s="42" t="e">
        <f t="shared" si="33"/>
        <v>#VALUE!</v>
      </c>
      <c r="AW93" s="42" t="e">
        <f t="shared" si="34"/>
        <v>#VALUE!</v>
      </c>
      <c r="AX93" s="42" t="e">
        <f t="shared" si="35"/>
        <v>#VALUE!</v>
      </c>
      <c r="AY93" s="42" t="e">
        <f t="shared" si="36"/>
        <v>#VALUE!</v>
      </c>
      <c r="BA93" s="42" t="e">
        <f t="shared" si="37"/>
        <v>#VALUE!</v>
      </c>
      <c r="BB93" s="42" t="e">
        <f t="shared" si="38"/>
        <v>#VALUE!</v>
      </c>
      <c r="BC93" s="42" t="e">
        <f t="shared" si="39"/>
        <v>#VALUE!</v>
      </c>
    </row>
    <row r="94" spans="1:55" ht="19.5" customHeight="1">
      <c r="A94" s="1127">
        <f t="shared" si="20"/>
        <v>0</v>
      </c>
      <c r="B94" s="9703" t="str">
        <f t="shared" si="21"/>
        <v/>
      </c>
      <c r="C94" s="9704"/>
      <c r="D94" s="9704"/>
      <c r="E94" s="9704"/>
      <c r="F94" s="9704"/>
      <c r="G94" s="9704"/>
      <c r="H94" s="9704"/>
      <c r="I94" s="9705"/>
      <c r="J94" s="9706" t="str">
        <f t="shared" si="22"/>
        <v/>
      </c>
      <c r="K94" s="9707"/>
      <c r="L94" s="9707"/>
      <c r="M94" s="9706" t="str">
        <f t="shared" si="23"/>
        <v/>
      </c>
      <c r="N94" s="9707"/>
      <c r="O94" s="9707"/>
      <c r="P94" s="9708"/>
      <c r="Q94" s="6969" t="str">
        <f t="shared" si="24"/>
        <v/>
      </c>
      <c r="R94" s="9688"/>
      <c r="S94" s="9688"/>
      <c r="T94" s="9689"/>
      <c r="U94" s="6969" t="str">
        <f t="shared" si="25"/>
        <v/>
      </c>
      <c r="V94" s="9688"/>
      <c r="W94" s="9688"/>
      <c r="X94" s="9689"/>
      <c r="Y94" s="9670" t="str">
        <f t="shared" si="26"/>
        <v/>
      </c>
      <c r="Z94" s="6222"/>
      <c r="AA94" s="9670" t="str">
        <f t="shared" si="27"/>
        <v/>
      </c>
      <c r="AB94" s="6222"/>
      <c r="AC94" s="9671" t="str">
        <f t="shared" si="28"/>
        <v/>
      </c>
      <c r="AD94" s="9672"/>
      <c r="AE94" s="9672"/>
      <c r="AF94" s="9672"/>
      <c r="AG94" s="1297">
        <f t="shared" si="29"/>
        <v>0</v>
      </c>
      <c r="AH94" s="1090"/>
      <c r="AI94" s="1090" t="e">
        <f t="shared" si="30"/>
        <v>#VALUE!</v>
      </c>
      <c r="AJ94" s="1237"/>
      <c r="AK94" s="1241"/>
      <c r="AL94" s="1241"/>
      <c r="AM94" s="1239"/>
      <c r="AN94" s="1239"/>
      <c r="AO94" s="1240"/>
      <c r="AP94" s="1239"/>
      <c r="AQ94" s="1238"/>
      <c r="AS94" s="42" t="e">
        <f t="shared" si="31"/>
        <v>#VALUE!</v>
      </c>
      <c r="AT94" s="42" t="e">
        <f t="shared" si="32"/>
        <v>#VALUE!</v>
      </c>
      <c r="AU94" s="42" t="e">
        <f t="shared" si="33"/>
        <v>#VALUE!</v>
      </c>
      <c r="AW94" s="42" t="e">
        <f t="shared" si="34"/>
        <v>#VALUE!</v>
      </c>
      <c r="AX94" s="42" t="e">
        <f t="shared" si="35"/>
        <v>#VALUE!</v>
      </c>
      <c r="AY94" s="42" t="e">
        <f t="shared" si="36"/>
        <v>#VALUE!</v>
      </c>
      <c r="BA94" s="42" t="e">
        <f t="shared" si="37"/>
        <v>#VALUE!</v>
      </c>
      <c r="BB94" s="42" t="e">
        <f t="shared" si="38"/>
        <v>#VALUE!</v>
      </c>
      <c r="BC94" s="42" t="e">
        <f t="shared" si="39"/>
        <v>#VALUE!</v>
      </c>
    </row>
    <row r="95" spans="1:55" ht="19.5" customHeight="1">
      <c r="A95" s="1127">
        <f t="shared" si="20"/>
        <v>0</v>
      </c>
      <c r="B95" s="9703" t="str">
        <f t="shared" si="21"/>
        <v/>
      </c>
      <c r="C95" s="9704"/>
      <c r="D95" s="9704"/>
      <c r="E95" s="9704"/>
      <c r="F95" s="9704"/>
      <c r="G95" s="9704"/>
      <c r="H95" s="9704"/>
      <c r="I95" s="9705"/>
      <c r="J95" s="9706" t="str">
        <f t="shared" si="22"/>
        <v/>
      </c>
      <c r="K95" s="9707"/>
      <c r="L95" s="9707"/>
      <c r="M95" s="9706" t="str">
        <f t="shared" si="23"/>
        <v/>
      </c>
      <c r="N95" s="9707"/>
      <c r="O95" s="9707"/>
      <c r="P95" s="9708"/>
      <c r="Q95" s="6969" t="str">
        <f t="shared" si="24"/>
        <v/>
      </c>
      <c r="R95" s="9688"/>
      <c r="S95" s="9688"/>
      <c r="T95" s="9689"/>
      <c r="U95" s="6969" t="str">
        <f t="shared" si="25"/>
        <v/>
      </c>
      <c r="V95" s="9688"/>
      <c r="W95" s="9688"/>
      <c r="X95" s="9689"/>
      <c r="Y95" s="9670" t="str">
        <f t="shared" si="26"/>
        <v/>
      </c>
      <c r="Z95" s="6222"/>
      <c r="AA95" s="9670" t="str">
        <f t="shared" si="27"/>
        <v/>
      </c>
      <c r="AB95" s="6222"/>
      <c r="AC95" s="9671" t="str">
        <f t="shared" si="28"/>
        <v/>
      </c>
      <c r="AD95" s="9672"/>
      <c r="AE95" s="9672"/>
      <c r="AF95" s="9672"/>
      <c r="AG95" s="1297">
        <f t="shared" si="29"/>
        <v>0</v>
      </c>
      <c r="AH95" s="1090"/>
      <c r="AI95" s="1090" t="e">
        <f t="shared" si="30"/>
        <v>#VALUE!</v>
      </c>
      <c r="AJ95" s="1237"/>
      <c r="AK95" s="1241"/>
      <c r="AL95" s="1241"/>
      <c r="AM95" s="1239"/>
      <c r="AN95" s="1239"/>
      <c r="AO95" s="1240"/>
      <c r="AP95" s="1239"/>
      <c r="AQ95" s="1238"/>
      <c r="AS95" s="42" t="e">
        <f t="shared" si="31"/>
        <v>#VALUE!</v>
      </c>
      <c r="AT95" s="42" t="e">
        <f t="shared" si="32"/>
        <v>#VALUE!</v>
      </c>
      <c r="AU95" s="42" t="e">
        <f t="shared" si="33"/>
        <v>#VALUE!</v>
      </c>
      <c r="AW95" s="42" t="e">
        <f t="shared" si="34"/>
        <v>#VALUE!</v>
      </c>
      <c r="AX95" s="42" t="e">
        <f t="shared" si="35"/>
        <v>#VALUE!</v>
      </c>
      <c r="AY95" s="42" t="e">
        <f t="shared" si="36"/>
        <v>#VALUE!</v>
      </c>
      <c r="BA95" s="42" t="e">
        <f t="shared" si="37"/>
        <v>#VALUE!</v>
      </c>
      <c r="BB95" s="42" t="e">
        <f t="shared" si="38"/>
        <v>#VALUE!</v>
      </c>
      <c r="BC95" s="42" t="e">
        <f t="shared" si="39"/>
        <v>#VALUE!</v>
      </c>
    </row>
    <row r="96" spans="1:55" ht="19.5" customHeight="1">
      <c r="A96" s="1127">
        <f t="shared" si="20"/>
        <v>0</v>
      </c>
      <c r="B96" s="9703" t="str">
        <f t="shared" si="21"/>
        <v/>
      </c>
      <c r="C96" s="9704"/>
      <c r="D96" s="9704"/>
      <c r="E96" s="9704"/>
      <c r="F96" s="9704"/>
      <c r="G96" s="9704"/>
      <c r="H96" s="9704"/>
      <c r="I96" s="9705"/>
      <c r="J96" s="9706" t="str">
        <f t="shared" si="22"/>
        <v/>
      </c>
      <c r="K96" s="9707"/>
      <c r="L96" s="9707"/>
      <c r="M96" s="9706" t="str">
        <f t="shared" si="23"/>
        <v/>
      </c>
      <c r="N96" s="9707"/>
      <c r="O96" s="9707"/>
      <c r="P96" s="9708"/>
      <c r="Q96" s="6969" t="str">
        <f t="shared" si="24"/>
        <v/>
      </c>
      <c r="R96" s="9688"/>
      <c r="S96" s="9688"/>
      <c r="T96" s="9689"/>
      <c r="U96" s="6969" t="str">
        <f t="shared" si="25"/>
        <v/>
      </c>
      <c r="V96" s="9688"/>
      <c r="W96" s="9688"/>
      <c r="X96" s="9689"/>
      <c r="Y96" s="9670" t="str">
        <f t="shared" si="26"/>
        <v/>
      </c>
      <c r="Z96" s="6222"/>
      <c r="AA96" s="9670" t="str">
        <f t="shared" si="27"/>
        <v/>
      </c>
      <c r="AB96" s="6222"/>
      <c r="AC96" s="9671" t="str">
        <f t="shared" si="28"/>
        <v/>
      </c>
      <c r="AD96" s="9672"/>
      <c r="AE96" s="9672"/>
      <c r="AF96" s="9672"/>
      <c r="AG96" s="1297">
        <f t="shared" si="29"/>
        <v>0</v>
      </c>
      <c r="AH96" s="1090"/>
      <c r="AI96" s="1090" t="e">
        <f t="shared" si="30"/>
        <v>#VALUE!</v>
      </c>
      <c r="AJ96" s="1237"/>
      <c r="AK96" s="1241"/>
      <c r="AL96" s="1241"/>
      <c r="AM96" s="1239"/>
      <c r="AN96" s="1239"/>
      <c r="AO96" s="1240"/>
      <c r="AP96" s="1239"/>
      <c r="AQ96" s="1238"/>
      <c r="AS96" s="42" t="e">
        <f t="shared" si="31"/>
        <v>#VALUE!</v>
      </c>
      <c r="AT96" s="42" t="e">
        <f t="shared" si="32"/>
        <v>#VALUE!</v>
      </c>
      <c r="AU96" s="42" t="e">
        <f t="shared" si="33"/>
        <v>#VALUE!</v>
      </c>
      <c r="AW96" s="42" t="e">
        <f t="shared" si="34"/>
        <v>#VALUE!</v>
      </c>
      <c r="AX96" s="42" t="e">
        <f t="shared" si="35"/>
        <v>#VALUE!</v>
      </c>
      <c r="AY96" s="42" t="e">
        <f t="shared" si="36"/>
        <v>#VALUE!</v>
      </c>
      <c r="BA96" s="42" t="e">
        <f t="shared" si="37"/>
        <v>#VALUE!</v>
      </c>
      <c r="BB96" s="42" t="e">
        <f t="shared" si="38"/>
        <v>#VALUE!</v>
      </c>
      <c r="BC96" s="42" t="e">
        <f t="shared" si="39"/>
        <v>#VALUE!</v>
      </c>
    </row>
    <row r="97" spans="1:55" ht="19.5" customHeight="1">
      <c r="A97" s="1127">
        <f t="shared" si="20"/>
        <v>0</v>
      </c>
      <c r="B97" s="9703" t="str">
        <f t="shared" si="21"/>
        <v/>
      </c>
      <c r="C97" s="9704"/>
      <c r="D97" s="9704"/>
      <c r="E97" s="9704"/>
      <c r="F97" s="9704"/>
      <c r="G97" s="9704"/>
      <c r="H97" s="9704"/>
      <c r="I97" s="9705"/>
      <c r="J97" s="9706" t="str">
        <f t="shared" si="22"/>
        <v/>
      </c>
      <c r="K97" s="9707"/>
      <c r="L97" s="9707"/>
      <c r="M97" s="9706" t="str">
        <f t="shared" si="23"/>
        <v/>
      </c>
      <c r="N97" s="9707"/>
      <c r="O97" s="9707"/>
      <c r="P97" s="9708"/>
      <c r="Q97" s="6969" t="str">
        <f t="shared" si="24"/>
        <v/>
      </c>
      <c r="R97" s="9688"/>
      <c r="S97" s="9688"/>
      <c r="T97" s="9689"/>
      <c r="U97" s="6969" t="str">
        <f t="shared" si="25"/>
        <v/>
      </c>
      <c r="V97" s="9688"/>
      <c r="W97" s="9688"/>
      <c r="X97" s="9689"/>
      <c r="Y97" s="9670" t="str">
        <f t="shared" si="26"/>
        <v/>
      </c>
      <c r="Z97" s="6222"/>
      <c r="AA97" s="9670" t="str">
        <f t="shared" si="27"/>
        <v/>
      </c>
      <c r="AB97" s="6222"/>
      <c r="AC97" s="9671" t="str">
        <f t="shared" si="28"/>
        <v/>
      </c>
      <c r="AD97" s="9672"/>
      <c r="AE97" s="9672"/>
      <c r="AF97" s="9672"/>
      <c r="AG97" s="1297">
        <f t="shared" si="29"/>
        <v>0</v>
      </c>
      <c r="AH97" s="1090"/>
      <c r="AI97" s="1090" t="e">
        <f t="shared" si="30"/>
        <v>#VALUE!</v>
      </c>
      <c r="AJ97" s="1237"/>
      <c r="AK97" s="1241"/>
      <c r="AL97" s="1241"/>
      <c r="AM97" s="1239"/>
      <c r="AN97" s="1239"/>
      <c r="AO97" s="1240"/>
      <c r="AP97" s="1239"/>
      <c r="AQ97" s="1238"/>
      <c r="AS97" s="42" t="e">
        <f t="shared" si="31"/>
        <v>#VALUE!</v>
      </c>
      <c r="AT97" s="42" t="e">
        <f t="shared" si="32"/>
        <v>#VALUE!</v>
      </c>
      <c r="AU97" s="42" t="e">
        <f t="shared" si="33"/>
        <v>#VALUE!</v>
      </c>
      <c r="AW97" s="42" t="e">
        <f t="shared" si="34"/>
        <v>#VALUE!</v>
      </c>
      <c r="AX97" s="42" t="e">
        <f t="shared" si="35"/>
        <v>#VALUE!</v>
      </c>
      <c r="AY97" s="42" t="e">
        <f t="shared" si="36"/>
        <v>#VALUE!</v>
      </c>
      <c r="BA97" s="42" t="e">
        <f t="shared" si="37"/>
        <v>#VALUE!</v>
      </c>
      <c r="BB97" s="42" t="e">
        <f t="shared" si="38"/>
        <v>#VALUE!</v>
      </c>
      <c r="BC97" s="42" t="e">
        <f t="shared" si="39"/>
        <v>#VALUE!</v>
      </c>
    </row>
    <row r="98" spans="1:55" ht="19.5" customHeight="1">
      <c r="A98" s="1127">
        <f t="shared" si="20"/>
        <v>0</v>
      </c>
      <c r="B98" s="9703" t="str">
        <f t="shared" si="21"/>
        <v/>
      </c>
      <c r="C98" s="9704"/>
      <c r="D98" s="9704"/>
      <c r="E98" s="9704"/>
      <c r="F98" s="9704"/>
      <c r="G98" s="9704"/>
      <c r="H98" s="9704"/>
      <c r="I98" s="9705"/>
      <c r="J98" s="9706" t="str">
        <f t="shared" si="22"/>
        <v/>
      </c>
      <c r="K98" s="9707"/>
      <c r="L98" s="9707"/>
      <c r="M98" s="9706" t="str">
        <f t="shared" si="23"/>
        <v/>
      </c>
      <c r="N98" s="9707"/>
      <c r="O98" s="9707"/>
      <c r="P98" s="9708"/>
      <c r="Q98" s="6969" t="str">
        <f t="shared" si="24"/>
        <v/>
      </c>
      <c r="R98" s="9688"/>
      <c r="S98" s="9688"/>
      <c r="T98" s="9689"/>
      <c r="U98" s="6969" t="str">
        <f t="shared" si="25"/>
        <v/>
      </c>
      <c r="V98" s="9688"/>
      <c r="W98" s="9688"/>
      <c r="X98" s="9689"/>
      <c r="Y98" s="9670" t="str">
        <f t="shared" si="26"/>
        <v/>
      </c>
      <c r="Z98" s="6222"/>
      <c r="AA98" s="9670" t="str">
        <f t="shared" si="27"/>
        <v/>
      </c>
      <c r="AB98" s="6222"/>
      <c r="AC98" s="9671" t="str">
        <f t="shared" si="28"/>
        <v/>
      </c>
      <c r="AD98" s="9672"/>
      <c r="AE98" s="9672"/>
      <c r="AF98" s="9672"/>
      <c r="AG98" s="1297">
        <f t="shared" si="29"/>
        <v>0</v>
      </c>
      <c r="AH98" s="1090"/>
      <c r="AI98" s="1090" t="e">
        <f t="shared" si="30"/>
        <v>#VALUE!</v>
      </c>
      <c r="AJ98" s="1237"/>
      <c r="AK98" s="1241"/>
      <c r="AL98" s="1241"/>
      <c r="AM98" s="1239"/>
      <c r="AN98" s="1239"/>
      <c r="AO98" s="1240"/>
      <c r="AP98" s="1239"/>
      <c r="AQ98" s="1238"/>
      <c r="AS98" s="42" t="e">
        <f t="shared" si="31"/>
        <v>#VALUE!</v>
      </c>
      <c r="AT98" s="42" t="e">
        <f t="shared" si="32"/>
        <v>#VALUE!</v>
      </c>
      <c r="AU98" s="42" t="e">
        <f t="shared" si="33"/>
        <v>#VALUE!</v>
      </c>
      <c r="AW98" s="42" t="e">
        <f t="shared" si="34"/>
        <v>#VALUE!</v>
      </c>
      <c r="AX98" s="42" t="e">
        <f t="shared" si="35"/>
        <v>#VALUE!</v>
      </c>
      <c r="AY98" s="42" t="e">
        <f t="shared" si="36"/>
        <v>#VALUE!</v>
      </c>
      <c r="BA98" s="42" t="e">
        <f t="shared" si="37"/>
        <v>#VALUE!</v>
      </c>
      <c r="BB98" s="42" t="e">
        <f t="shared" si="38"/>
        <v>#VALUE!</v>
      </c>
      <c r="BC98" s="42" t="e">
        <f t="shared" si="39"/>
        <v>#VALUE!</v>
      </c>
    </row>
    <row r="99" spans="1:55" ht="19.5" customHeight="1">
      <c r="A99" s="1127">
        <f t="shared" si="20"/>
        <v>0</v>
      </c>
      <c r="B99" s="9703" t="str">
        <f t="shared" si="21"/>
        <v/>
      </c>
      <c r="C99" s="9704"/>
      <c r="D99" s="9704"/>
      <c r="E99" s="9704"/>
      <c r="F99" s="9704"/>
      <c r="G99" s="9704"/>
      <c r="H99" s="9704"/>
      <c r="I99" s="9705"/>
      <c r="J99" s="9706" t="str">
        <f t="shared" si="22"/>
        <v/>
      </c>
      <c r="K99" s="9707"/>
      <c r="L99" s="9707"/>
      <c r="M99" s="9706" t="str">
        <f t="shared" si="23"/>
        <v/>
      </c>
      <c r="N99" s="9707"/>
      <c r="O99" s="9707"/>
      <c r="P99" s="9708"/>
      <c r="Q99" s="6969" t="str">
        <f t="shared" si="24"/>
        <v/>
      </c>
      <c r="R99" s="9688"/>
      <c r="S99" s="9688"/>
      <c r="T99" s="9689"/>
      <c r="U99" s="6969" t="str">
        <f t="shared" si="25"/>
        <v/>
      </c>
      <c r="V99" s="9688"/>
      <c r="W99" s="9688"/>
      <c r="X99" s="9689"/>
      <c r="Y99" s="9670" t="str">
        <f t="shared" si="26"/>
        <v/>
      </c>
      <c r="Z99" s="6222"/>
      <c r="AA99" s="9670" t="str">
        <f t="shared" si="27"/>
        <v/>
      </c>
      <c r="AB99" s="6222"/>
      <c r="AC99" s="9671" t="str">
        <f t="shared" si="28"/>
        <v/>
      </c>
      <c r="AD99" s="9672"/>
      <c r="AE99" s="9672"/>
      <c r="AF99" s="9672"/>
      <c r="AG99" s="1297">
        <f t="shared" si="29"/>
        <v>0</v>
      </c>
      <c r="AH99" s="1090"/>
      <c r="AI99" s="1090" t="e">
        <f t="shared" si="30"/>
        <v>#VALUE!</v>
      </c>
      <c r="AJ99" s="1237"/>
      <c r="AK99" s="1241"/>
      <c r="AL99" s="1241"/>
      <c r="AM99" s="1239"/>
      <c r="AN99" s="1239"/>
      <c r="AO99" s="1240"/>
      <c r="AP99" s="1239"/>
      <c r="AQ99" s="1238"/>
      <c r="AS99" s="42" t="e">
        <f t="shared" si="31"/>
        <v>#VALUE!</v>
      </c>
      <c r="AT99" s="42" t="e">
        <f t="shared" si="32"/>
        <v>#VALUE!</v>
      </c>
      <c r="AU99" s="42" t="e">
        <f t="shared" si="33"/>
        <v>#VALUE!</v>
      </c>
      <c r="AW99" s="42" t="e">
        <f t="shared" si="34"/>
        <v>#VALUE!</v>
      </c>
      <c r="AX99" s="42" t="e">
        <f t="shared" si="35"/>
        <v>#VALUE!</v>
      </c>
      <c r="AY99" s="42" t="e">
        <f t="shared" si="36"/>
        <v>#VALUE!</v>
      </c>
      <c r="BA99" s="42" t="e">
        <f t="shared" si="37"/>
        <v>#VALUE!</v>
      </c>
      <c r="BB99" s="42" t="e">
        <f t="shared" si="38"/>
        <v>#VALUE!</v>
      </c>
      <c r="BC99" s="42" t="e">
        <f t="shared" si="39"/>
        <v>#VALUE!</v>
      </c>
    </row>
    <row r="100" spans="1:55" ht="19.5" customHeight="1">
      <c r="A100" s="1127">
        <f t="shared" si="20"/>
        <v>0</v>
      </c>
      <c r="B100" s="9703" t="str">
        <f t="shared" si="21"/>
        <v/>
      </c>
      <c r="C100" s="9704"/>
      <c r="D100" s="9704"/>
      <c r="E100" s="9704"/>
      <c r="F100" s="9704"/>
      <c r="G100" s="9704"/>
      <c r="H100" s="9704"/>
      <c r="I100" s="9705"/>
      <c r="J100" s="9706" t="str">
        <f t="shared" si="22"/>
        <v/>
      </c>
      <c r="K100" s="9707"/>
      <c r="L100" s="9707"/>
      <c r="M100" s="9706" t="str">
        <f t="shared" si="23"/>
        <v/>
      </c>
      <c r="N100" s="9707"/>
      <c r="O100" s="9707"/>
      <c r="P100" s="9708"/>
      <c r="Q100" s="6969" t="str">
        <f t="shared" si="24"/>
        <v/>
      </c>
      <c r="R100" s="9688"/>
      <c r="S100" s="9688"/>
      <c r="T100" s="9689"/>
      <c r="U100" s="6969" t="str">
        <f t="shared" si="25"/>
        <v/>
      </c>
      <c r="V100" s="9688"/>
      <c r="W100" s="9688"/>
      <c r="X100" s="9689"/>
      <c r="Y100" s="9670" t="str">
        <f t="shared" si="26"/>
        <v/>
      </c>
      <c r="Z100" s="6222"/>
      <c r="AA100" s="9670" t="str">
        <f t="shared" si="27"/>
        <v/>
      </c>
      <c r="AB100" s="6222"/>
      <c r="AC100" s="9671" t="str">
        <f t="shared" si="28"/>
        <v/>
      </c>
      <c r="AD100" s="9672"/>
      <c r="AE100" s="9672"/>
      <c r="AF100" s="9672"/>
      <c r="AG100" s="1297">
        <f t="shared" si="29"/>
        <v>0</v>
      </c>
      <c r="AH100" s="1090"/>
      <c r="AI100" s="1090" t="e">
        <f t="shared" si="30"/>
        <v>#VALUE!</v>
      </c>
      <c r="AJ100" s="1237"/>
      <c r="AK100" s="1241"/>
      <c r="AL100" s="1241"/>
      <c r="AM100" s="1239"/>
      <c r="AN100" s="1239"/>
      <c r="AO100" s="1240"/>
      <c r="AP100" s="1239"/>
      <c r="AQ100" s="1238"/>
      <c r="AS100" s="42" t="e">
        <f t="shared" si="31"/>
        <v>#VALUE!</v>
      </c>
      <c r="AT100" s="42" t="e">
        <f t="shared" si="32"/>
        <v>#VALUE!</v>
      </c>
      <c r="AU100" s="42" t="e">
        <f t="shared" si="33"/>
        <v>#VALUE!</v>
      </c>
      <c r="AW100" s="42" t="e">
        <f t="shared" si="34"/>
        <v>#VALUE!</v>
      </c>
      <c r="AX100" s="42" t="e">
        <f t="shared" si="35"/>
        <v>#VALUE!</v>
      </c>
      <c r="AY100" s="42" t="e">
        <f t="shared" si="36"/>
        <v>#VALUE!</v>
      </c>
      <c r="BA100" s="42" t="e">
        <f t="shared" si="37"/>
        <v>#VALUE!</v>
      </c>
      <c r="BB100" s="42" t="e">
        <f t="shared" si="38"/>
        <v>#VALUE!</v>
      </c>
      <c r="BC100" s="42" t="e">
        <f t="shared" si="39"/>
        <v>#VALUE!</v>
      </c>
    </row>
    <row r="101" spans="1:55" ht="19.5" customHeight="1">
      <c r="A101" s="1127">
        <f t="shared" si="20"/>
        <v>0</v>
      </c>
      <c r="B101" s="9703" t="str">
        <f t="shared" si="21"/>
        <v/>
      </c>
      <c r="C101" s="9704"/>
      <c r="D101" s="9704"/>
      <c r="E101" s="9704"/>
      <c r="F101" s="9704"/>
      <c r="G101" s="9704"/>
      <c r="H101" s="9704"/>
      <c r="I101" s="9705"/>
      <c r="J101" s="9706" t="str">
        <f t="shared" si="22"/>
        <v/>
      </c>
      <c r="K101" s="9707"/>
      <c r="L101" s="9707"/>
      <c r="M101" s="9706" t="str">
        <f t="shared" si="23"/>
        <v/>
      </c>
      <c r="N101" s="9707"/>
      <c r="O101" s="9707"/>
      <c r="P101" s="9708"/>
      <c r="Q101" s="6969" t="str">
        <f t="shared" si="24"/>
        <v/>
      </c>
      <c r="R101" s="9688"/>
      <c r="S101" s="9688"/>
      <c r="T101" s="9689"/>
      <c r="U101" s="6969" t="str">
        <f t="shared" si="25"/>
        <v/>
      </c>
      <c r="V101" s="9688"/>
      <c r="W101" s="9688"/>
      <c r="X101" s="9689"/>
      <c r="Y101" s="9670" t="str">
        <f t="shared" si="26"/>
        <v/>
      </c>
      <c r="Z101" s="6222"/>
      <c r="AA101" s="9670" t="str">
        <f t="shared" si="27"/>
        <v/>
      </c>
      <c r="AB101" s="6222"/>
      <c r="AC101" s="9671" t="str">
        <f t="shared" si="28"/>
        <v/>
      </c>
      <c r="AD101" s="9672"/>
      <c r="AE101" s="9672"/>
      <c r="AF101" s="9672"/>
      <c r="AG101" s="1297">
        <f t="shared" si="29"/>
        <v>0</v>
      </c>
      <c r="AH101" s="1090"/>
      <c r="AI101" s="1090" t="e">
        <f t="shared" si="30"/>
        <v>#VALUE!</v>
      </c>
      <c r="AJ101" s="1237"/>
      <c r="AK101" s="1241"/>
      <c r="AL101" s="1241"/>
      <c r="AM101" s="1239"/>
      <c r="AN101" s="1239"/>
      <c r="AO101" s="1240"/>
      <c r="AP101" s="1239"/>
      <c r="AQ101" s="1238"/>
      <c r="AS101" s="42" t="e">
        <f t="shared" si="31"/>
        <v>#VALUE!</v>
      </c>
      <c r="AT101" s="42" t="e">
        <f t="shared" si="32"/>
        <v>#VALUE!</v>
      </c>
      <c r="AU101" s="42" t="e">
        <f t="shared" si="33"/>
        <v>#VALUE!</v>
      </c>
      <c r="AW101" s="42" t="e">
        <f t="shared" si="34"/>
        <v>#VALUE!</v>
      </c>
      <c r="AX101" s="42" t="e">
        <f t="shared" si="35"/>
        <v>#VALUE!</v>
      </c>
      <c r="AY101" s="42" t="e">
        <f t="shared" si="36"/>
        <v>#VALUE!</v>
      </c>
      <c r="BA101" s="42" t="e">
        <f t="shared" si="37"/>
        <v>#VALUE!</v>
      </c>
      <c r="BB101" s="42" t="e">
        <f t="shared" si="38"/>
        <v>#VALUE!</v>
      </c>
      <c r="BC101" s="42" t="e">
        <f t="shared" si="39"/>
        <v>#VALUE!</v>
      </c>
    </row>
    <row r="102" spans="1:55" ht="19.5" customHeight="1">
      <c r="A102" s="1127">
        <f t="shared" si="20"/>
        <v>0</v>
      </c>
      <c r="B102" s="9703" t="str">
        <f t="shared" si="21"/>
        <v/>
      </c>
      <c r="C102" s="9704"/>
      <c r="D102" s="9704"/>
      <c r="E102" s="9704"/>
      <c r="F102" s="9704"/>
      <c r="G102" s="9704"/>
      <c r="H102" s="9704"/>
      <c r="I102" s="9705"/>
      <c r="J102" s="9706" t="str">
        <f t="shared" si="22"/>
        <v/>
      </c>
      <c r="K102" s="9707"/>
      <c r="L102" s="9707"/>
      <c r="M102" s="9706" t="str">
        <f t="shared" si="23"/>
        <v/>
      </c>
      <c r="N102" s="9707"/>
      <c r="O102" s="9707"/>
      <c r="P102" s="9708"/>
      <c r="Q102" s="6969" t="str">
        <f t="shared" si="24"/>
        <v/>
      </c>
      <c r="R102" s="9688"/>
      <c r="S102" s="9688"/>
      <c r="T102" s="9689"/>
      <c r="U102" s="6969" t="str">
        <f t="shared" si="25"/>
        <v/>
      </c>
      <c r="V102" s="9688"/>
      <c r="W102" s="9688"/>
      <c r="X102" s="9689"/>
      <c r="Y102" s="9670" t="str">
        <f t="shared" si="26"/>
        <v/>
      </c>
      <c r="Z102" s="6222"/>
      <c r="AA102" s="9670" t="str">
        <f t="shared" si="27"/>
        <v/>
      </c>
      <c r="AB102" s="6222"/>
      <c r="AC102" s="9671" t="str">
        <f t="shared" si="28"/>
        <v/>
      </c>
      <c r="AD102" s="9672"/>
      <c r="AE102" s="9672"/>
      <c r="AF102" s="9672"/>
      <c r="AG102" s="1297">
        <f t="shared" si="29"/>
        <v>0</v>
      </c>
      <c r="AH102" s="1090"/>
      <c r="AI102" s="1090" t="e">
        <f t="shared" si="30"/>
        <v>#VALUE!</v>
      </c>
      <c r="AJ102" s="1237"/>
      <c r="AK102" s="1241"/>
      <c r="AL102" s="1241"/>
      <c r="AM102" s="1239"/>
      <c r="AN102" s="1239"/>
      <c r="AO102" s="1240"/>
      <c r="AP102" s="1239"/>
      <c r="AQ102" s="1238"/>
      <c r="AS102" s="42" t="e">
        <f t="shared" si="31"/>
        <v>#VALUE!</v>
      </c>
      <c r="AT102" s="42" t="e">
        <f t="shared" si="32"/>
        <v>#VALUE!</v>
      </c>
      <c r="AU102" s="42" t="e">
        <f t="shared" si="33"/>
        <v>#VALUE!</v>
      </c>
      <c r="AW102" s="42" t="e">
        <f t="shared" si="34"/>
        <v>#VALUE!</v>
      </c>
      <c r="AX102" s="42" t="e">
        <f t="shared" si="35"/>
        <v>#VALUE!</v>
      </c>
      <c r="AY102" s="42" t="e">
        <f t="shared" si="36"/>
        <v>#VALUE!</v>
      </c>
      <c r="BA102" s="42" t="e">
        <f t="shared" si="37"/>
        <v>#VALUE!</v>
      </c>
      <c r="BB102" s="42" t="e">
        <f t="shared" si="38"/>
        <v>#VALUE!</v>
      </c>
      <c r="BC102" s="42" t="e">
        <f t="shared" si="39"/>
        <v>#VALUE!</v>
      </c>
    </row>
    <row r="103" spans="1:55" ht="19.5" customHeight="1">
      <c r="A103" s="1127">
        <f t="shared" si="20"/>
        <v>0</v>
      </c>
      <c r="B103" s="9703" t="str">
        <f t="shared" si="21"/>
        <v/>
      </c>
      <c r="C103" s="9704"/>
      <c r="D103" s="9704"/>
      <c r="E103" s="9704"/>
      <c r="F103" s="9704"/>
      <c r="G103" s="9704"/>
      <c r="H103" s="9704"/>
      <c r="I103" s="9705"/>
      <c r="J103" s="9706" t="str">
        <f t="shared" si="22"/>
        <v/>
      </c>
      <c r="K103" s="9707"/>
      <c r="L103" s="9707"/>
      <c r="M103" s="9706" t="str">
        <f t="shared" si="23"/>
        <v/>
      </c>
      <c r="N103" s="9707"/>
      <c r="O103" s="9707"/>
      <c r="P103" s="9708"/>
      <c r="Q103" s="6969" t="str">
        <f t="shared" si="24"/>
        <v/>
      </c>
      <c r="R103" s="9688"/>
      <c r="S103" s="9688"/>
      <c r="T103" s="9689"/>
      <c r="U103" s="6969" t="str">
        <f t="shared" si="25"/>
        <v/>
      </c>
      <c r="V103" s="9688"/>
      <c r="W103" s="9688"/>
      <c r="X103" s="9689"/>
      <c r="Y103" s="9670" t="str">
        <f t="shared" si="26"/>
        <v/>
      </c>
      <c r="Z103" s="6222"/>
      <c r="AA103" s="9670" t="str">
        <f t="shared" si="27"/>
        <v/>
      </c>
      <c r="AB103" s="6222"/>
      <c r="AC103" s="9671" t="str">
        <f t="shared" si="28"/>
        <v/>
      </c>
      <c r="AD103" s="9672"/>
      <c r="AE103" s="9672"/>
      <c r="AF103" s="9672"/>
      <c r="AG103" s="1297">
        <f t="shared" si="29"/>
        <v>0</v>
      </c>
      <c r="AH103" s="1090"/>
      <c r="AI103" s="1090" t="e">
        <f t="shared" si="30"/>
        <v>#VALUE!</v>
      </c>
      <c r="AJ103" s="1237"/>
      <c r="AK103" s="1241"/>
      <c r="AL103" s="1241"/>
      <c r="AM103" s="1239"/>
      <c r="AN103" s="1239"/>
      <c r="AO103" s="1240"/>
      <c r="AP103" s="1239"/>
      <c r="AQ103" s="1238"/>
      <c r="AS103" s="42" t="e">
        <f t="shared" si="31"/>
        <v>#VALUE!</v>
      </c>
      <c r="AT103" s="42" t="e">
        <f t="shared" si="32"/>
        <v>#VALUE!</v>
      </c>
      <c r="AU103" s="42" t="e">
        <f t="shared" si="33"/>
        <v>#VALUE!</v>
      </c>
      <c r="AW103" s="42" t="e">
        <f t="shared" si="34"/>
        <v>#VALUE!</v>
      </c>
      <c r="AX103" s="42" t="e">
        <f t="shared" si="35"/>
        <v>#VALUE!</v>
      </c>
      <c r="AY103" s="42" t="e">
        <f t="shared" si="36"/>
        <v>#VALUE!</v>
      </c>
      <c r="BA103" s="42" t="e">
        <f t="shared" si="37"/>
        <v>#VALUE!</v>
      </c>
      <c r="BB103" s="42" t="e">
        <f t="shared" si="38"/>
        <v>#VALUE!</v>
      </c>
      <c r="BC103" s="42" t="e">
        <f t="shared" si="39"/>
        <v>#VALUE!</v>
      </c>
    </row>
    <row r="104" spans="1:55" ht="19.5" customHeight="1">
      <c r="A104" s="1127">
        <f t="shared" si="20"/>
        <v>0</v>
      </c>
      <c r="B104" s="9703" t="str">
        <f t="shared" si="21"/>
        <v/>
      </c>
      <c r="C104" s="9704"/>
      <c r="D104" s="9704"/>
      <c r="E104" s="9704"/>
      <c r="F104" s="9704"/>
      <c r="G104" s="9704"/>
      <c r="H104" s="9704"/>
      <c r="I104" s="9705"/>
      <c r="J104" s="9706" t="str">
        <f t="shared" si="22"/>
        <v/>
      </c>
      <c r="K104" s="9707"/>
      <c r="L104" s="9707"/>
      <c r="M104" s="9706" t="str">
        <f t="shared" si="23"/>
        <v/>
      </c>
      <c r="N104" s="9707"/>
      <c r="O104" s="9707"/>
      <c r="P104" s="9708"/>
      <c r="Q104" s="6969" t="str">
        <f t="shared" si="24"/>
        <v/>
      </c>
      <c r="R104" s="9688"/>
      <c r="S104" s="9688"/>
      <c r="T104" s="9689"/>
      <c r="U104" s="6969" t="str">
        <f t="shared" si="25"/>
        <v/>
      </c>
      <c r="V104" s="9688"/>
      <c r="W104" s="9688"/>
      <c r="X104" s="9689"/>
      <c r="Y104" s="9670" t="str">
        <f t="shared" si="26"/>
        <v/>
      </c>
      <c r="Z104" s="6222"/>
      <c r="AA104" s="9670" t="str">
        <f t="shared" si="27"/>
        <v/>
      </c>
      <c r="AB104" s="6222"/>
      <c r="AC104" s="9671" t="str">
        <f t="shared" si="28"/>
        <v/>
      </c>
      <c r="AD104" s="9672"/>
      <c r="AE104" s="9672"/>
      <c r="AF104" s="9672"/>
      <c r="AG104" s="1297">
        <f t="shared" si="29"/>
        <v>0</v>
      </c>
      <c r="AH104" s="1090"/>
      <c r="AI104" s="1090" t="e">
        <f t="shared" si="30"/>
        <v>#VALUE!</v>
      </c>
      <c r="AJ104" s="1237"/>
      <c r="AK104" s="1241"/>
      <c r="AL104" s="1241"/>
      <c r="AM104" s="1239"/>
      <c r="AN104" s="1239"/>
      <c r="AO104" s="1240"/>
      <c r="AP104" s="1239"/>
      <c r="AQ104" s="1238"/>
      <c r="AS104" s="42" t="e">
        <f t="shared" si="31"/>
        <v>#VALUE!</v>
      </c>
      <c r="AT104" s="42" t="e">
        <f t="shared" si="32"/>
        <v>#VALUE!</v>
      </c>
      <c r="AU104" s="42" t="e">
        <f t="shared" si="33"/>
        <v>#VALUE!</v>
      </c>
      <c r="AW104" s="42" t="e">
        <f t="shared" si="34"/>
        <v>#VALUE!</v>
      </c>
      <c r="AX104" s="42" t="e">
        <f t="shared" si="35"/>
        <v>#VALUE!</v>
      </c>
      <c r="AY104" s="42" t="e">
        <f t="shared" si="36"/>
        <v>#VALUE!</v>
      </c>
      <c r="BA104" s="42" t="e">
        <f t="shared" si="37"/>
        <v>#VALUE!</v>
      </c>
      <c r="BB104" s="42" t="e">
        <f t="shared" si="38"/>
        <v>#VALUE!</v>
      </c>
      <c r="BC104" s="42" t="e">
        <f t="shared" si="39"/>
        <v>#VALUE!</v>
      </c>
    </row>
    <row r="105" spans="1:55" ht="19.5" customHeight="1">
      <c r="A105" s="1127">
        <f t="shared" si="20"/>
        <v>0</v>
      </c>
      <c r="B105" s="9703" t="str">
        <f t="shared" si="21"/>
        <v/>
      </c>
      <c r="C105" s="9704"/>
      <c r="D105" s="9704"/>
      <c r="E105" s="9704"/>
      <c r="F105" s="9704"/>
      <c r="G105" s="9704"/>
      <c r="H105" s="9704"/>
      <c r="I105" s="9705"/>
      <c r="J105" s="9706" t="str">
        <f t="shared" si="22"/>
        <v/>
      </c>
      <c r="K105" s="9707"/>
      <c r="L105" s="9707"/>
      <c r="M105" s="9706" t="str">
        <f t="shared" si="23"/>
        <v/>
      </c>
      <c r="N105" s="9707"/>
      <c r="O105" s="9707"/>
      <c r="P105" s="9708"/>
      <c r="Q105" s="6969" t="str">
        <f t="shared" si="24"/>
        <v/>
      </c>
      <c r="R105" s="9688"/>
      <c r="S105" s="9688"/>
      <c r="T105" s="9689"/>
      <c r="U105" s="6969" t="str">
        <f t="shared" si="25"/>
        <v/>
      </c>
      <c r="V105" s="9688"/>
      <c r="W105" s="9688"/>
      <c r="X105" s="9689"/>
      <c r="Y105" s="9670" t="str">
        <f t="shared" si="26"/>
        <v/>
      </c>
      <c r="Z105" s="6222"/>
      <c r="AA105" s="9670" t="str">
        <f t="shared" si="27"/>
        <v/>
      </c>
      <c r="AB105" s="6222"/>
      <c r="AC105" s="9671" t="str">
        <f t="shared" si="28"/>
        <v/>
      </c>
      <c r="AD105" s="9672"/>
      <c r="AE105" s="9672"/>
      <c r="AF105" s="9672"/>
      <c r="AG105" s="1297">
        <f t="shared" si="29"/>
        <v>0</v>
      </c>
      <c r="AH105" s="1090"/>
      <c r="AI105" s="1090" t="e">
        <f t="shared" si="30"/>
        <v>#VALUE!</v>
      </c>
      <c r="AJ105" s="1237"/>
      <c r="AK105" s="1241"/>
      <c r="AL105" s="1241"/>
      <c r="AM105" s="1239"/>
      <c r="AN105" s="1239"/>
      <c r="AO105" s="1240"/>
      <c r="AP105" s="1239"/>
      <c r="AQ105" s="1238"/>
      <c r="AS105" s="42" t="e">
        <f t="shared" si="31"/>
        <v>#VALUE!</v>
      </c>
      <c r="AT105" s="42" t="e">
        <f t="shared" si="32"/>
        <v>#VALUE!</v>
      </c>
      <c r="AU105" s="42" t="e">
        <f t="shared" si="33"/>
        <v>#VALUE!</v>
      </c>
      <c r="AW105" s="42" t="e">
        <f t="shared" si="34"/>
        <v>#VALUE!</v>
      </c>
      <c r="AX105" s="42" t="e">
        <f t="shared" si="35"/>
        <v>#VALUE!</v>
      </c>
      <c r="AY105" s="42" t="e">
        <f t="shared" si="36"/>
        <v>#VALUE!</v>
      </c>
      <c r="BA105" s="42" t="e">
        <f t="shared" si="37"/>
        <v>#VALUE!</v>
      </c>
      <c r="BB105" s="42" t="e">
        <f t="shared" si="38"/>
        <v>#VALUE!</v>
      </c>
      <c r="BC105" s="42" t="e">
        <f t="shared" si="39"/>
        <v>#VALUE!</v>
      </c>
    </row>
    <row r="106" spans="1:55" ht="19.5" customHeight="1">
      <c r="A106" s="1127">
        <f t="shared" si="20"/>
        <v>0</v>
      </c>
      <c r="B106" s="9703" t="str">
        <f t="shared" si="21"/>
        <v/>
      </c>
      <c r="C106" s="9704"/>
      <c r="D106" s="9704"/>
      <c r="E106" s="9704"/>
      <c r="F106" s="9704"/>
      <c r="G106" s="9704"/>
      <c r="H106" s="9704"/>
      <c r="I106" s="9705"/>
      <c r="J106" s="9706" t="str">
        <f t="shared" si="22"/>
        <v/>
      </c>
      <c r="K106" s="9707"/>
      <c r="L106" s="9707"/>
      <c r="M106" s="9706" t="str">
        <f t="shared" si="23"/>
        <v/>
      </c>
      <c r="N106" s="9707"/>
      <c r="O106" s="9707"/>
      <c r="P106" s="9708"/>
      <c r="Q106" s="6969" t="str">
        <f t="shared" si="24"/>
        <v/>
      </c>
      <c r="R106" s="9688"/>
      <c r="S106" s="9688"/>
      <c r="T106" s="9689"/>
      <c r="U106" s="6969" t="str">
        <f t="shared" si="25"/>
        <v/>
      </c>
      <c r="V106" s="9688"/>
      <c r="W106" s="9688"/>
      <c r="X106" s="9689"/>
      <c r="Y106" s="9670" t="str">
        <f t="shared" si="26"/>
        <v/>
      </c>
      <c r="Z106" s="6222"/>
      <c r="AA106" s="9670" t="str">
        <f t="shared" si="27"/>
        <v/>
      </c>
      <c r="AB106" s="6222"/>
      <c r="AC106" s="9671" t="str">
        <f t="shared" si="28"/>
        <v/>
      </c>
      <c r="AD106" s="9672"/>
      <c r="AE106" s="9672"/>
      <c r="AF106" s="9672"/>
      <c r="AG106" s="1297">
        <f t="shared" si="29"/>
        <v>0</v>
      </c>
      <c r="AH106" s="1090"/>
      <c r="AI106" s="1090" t="e">
        <f t="shared" si="30"/>
        <v>#VALUE!</v>
      </c>
      <c r="AJ106" s="1237"/>
      <c r="AK106" s="1241"/>
      <c r="AL106" s="1241"/>
      <c r="AM106" s="1239"/>
      <c r="AN106" s="1239"/>
      <c r="AO106" s="1240"/>
      <c r="AP106" s="1239"/>
      <c r="AQ106" s="1238"/>
      <c r="AS106" s="42" t="e">
        <f t="shared" si="31"/>
        <v>#VALUE!</v>
      </c>
      <c r="AT106" s="42" t="e">
        <f t="shared" si="32"/>
        <v>#VALUE!</v>
      </c>
      <c r="AU106" s="42" t="e">
        <f t="shared" si="33"/>
        <v>#VALUE!</v>
      </c>
      <c r="AW106" s="42" t="e">
        <f t="shared" si="34"/>
        <v>#VALUE!</v>
      </c>
      <c r="AX106" s="42" t="e">
        <f t="shared" si="35"/>
        <v>#VALUE!</v>
      </c>
      <c r="AY106" s="42" t="e">
        <f t="shared" si="36"/>
        <v>#VALUE!</v>
      </c>
      <c r="BA106" s="42" t="e">
        <f t="shared" si="37"/>
        <v>#VALUE!</v>
      </c>
      <c r="BB106" s="42" t="e">
        <f t="shared" si="38"/>
        <v>#VALUE!</v>
      </c>
      <c r="BC106" s="42" t="e">
        <f t="shared" si="39"/>
        <v>#VALUE!</v>
      </c>
    </row>
    <row r="107" spans="1:55" ht="19.5" customHeight="1">
      <c r="A107" s="1127">
        <f t="shared" si="20"/>
        <v>0</v>
      </c>
      <c r="B107" s="9703" t="str">
        <f t="shared" si="21"/>
        <v/>
      </c>
      <c r="C107" s="9704"/>
      <c r="D107" s="9704"/>
      <c r="E107" s="9704"/>
      <c r="F107" s="9704"/>
      <c r="G107" s="9704"/>
      <c r="H107" s="9704"/>
      <c r="I107" s="9705"/>
      <c r="J107" s="9706" t="str">
        <f t="shared" si="22"/>
        <v/>
      </c>
      <c r="K107" s="9707"/>
      <c r="L107" s="9707"/>
      <c r="M107" s="9706" t="str">
        <f t="shared" si="23"/>
        <v/>
      </c>
      <c r="N107" s="9707"/>
      <c r="O107" s="9707"/>
      <c r="P107" s="9708"/>
      <c r="Q107" s="6969" t="str">
        <f t="shared" si="24"/>
        <v/>
      </c>
      <c r="R107" s="9688"/>
      <c r="S107" s="9688"/>
      <c r="T107" s="9689"/>
      <c r="U107" s="6969" t="str">
        <f t="shared" si="25"/>
        <v/>
      </c>
      <c r="V107" s="9688"/>
      <c r="W107" s="9688"/>
      <c r="X107" s="9689"/>
      <c r="Y107" s="9670" t="str">
        <f t="shared" si="26"/>
        <v/>
      </c>
      <c r="Z107" s="6222"/>
      <c r="AA107" s="9670" t="str">
        <f t="shared" si="27"/>
        <v/>
      </c>
      <c r="AB107" s="6222"/>
      <c r="AC107" s="9671" t="str">
        <f t="shared" si="28"/>
        <v/>
      </c>
      <c r="AD107" s="9672"/>
      <c r="AE107" s="9672"/>
      <c r="AF107" s="9672"/>
      <c r="AG107" s="1297">
        <f t="shared" si="29"/>
        <v>0</v>
      </c>
      <c r="AH107" s="1090"/>
      <c r="AI107" s="1090" t="e">
        <f t="shared" si="30"/>
        <v>#VALUE!</v>
      </c>
      <c r="AJ107" s="1237"/>
      <c r="AK107" s="1241"/>
      <c r="AL107" s="1241"/>
      <c r="AM107" s="1239"/>
      <c r="AN107" s="1239"/>
      <c r="AO107" s="1240"/>
      <c r="AP107" s="1239"/>
      <c r="AQ107" s="1238"/>
      <c r="AS107" s="42" t="e">
        <f t="shared" si="31"/>
        <v>#VALUE!</v>
      </c>
      <c r="AT107" s="42" t="e">
        <f t="shared" si="32"/>
        <v>#VALUE!</v>
      </c>
      <c r="AU107" s="42" t="e">
        <f t="shared" si="33"/>
        <v>#VALUE!</v>
      </c>
      <c r="AW107" s="42" t="e">
        <f t="shared" si="34"/>
        <v>#VALUE!</v>
      </c>
      <c r="AX107" s="42" t="e">
        <f t="shared" si="35"/>
        <v>#VALUE!</v>
      </c>
      <c r="AY107" s="42" t="e">
        <f t="shared" si="36"/>
        <v>#VALUE!</v>
      </c>
      <c r="BA107" s="42" t="e">
        <f t="shared" si="37"/>
        <v>#VALUE!</v>
      </c>
      <c r="BB107" s="42" t="e">
        <f t="shared" si="38"/>
        <v>#VALUE!</v>
      </c>
      <c r="BC107" s="42" t="e">
        <f t="shared" si="39"/>
        <v>#VALUE!</v>
      </c>
    </row>
    <row r="108" spans="1:55" ht="19.5" customHeight="1">
      <c r="A108" s="1127">
        <f t="shared" si="20"/>
        <v>0</v>
      </c>
      <c r="B108" s="9703" t="str">
        <f t="shared" si="21"/>
        <v/>
      </c>
      <c r="C108" s="9704"/>
      <c r="D108" s="9704"/>
      <c r="E108" s="9704"/>
      <c r="F108" s="9704"/>
      <c r="G108" s="9704"/>
      <c r="H108" s="9704"/>
      <c r="I108" s="9705"/>
      <c r="J108" s="9706" t="str">
        <f t="shared" si="22"/>
        <v/>
      </c>
      <c r="K108" s="9707"/>
      <c r="L108" s="9707"/>
      <c r="M108" s="9706" t="str">
        <f t="shared" si="23"/>
        <v/>
      </c>
      <c r="N108" s="9707"/>
      <c r="O108" s="9707"/>
      <c r="P108" s="9708"/>
      <c r="Q108" s="6969" t="str">
        <f t="shared" si="24"/>
        <v/>
      </c>
      <c r="R108" s="9688"/>
      <c r="S108" s="9688"/>
      <c r="T108" s="9689"/>
      <c r="U108" s="6969" t="str">
        <f t="shared" si="25"/>
        <v/>
      </c>
      <c r="V108" s="9688"/>
      <c r="W108" s="9688"/>
      <c r="X108" s="9689"/>
      <c r="Y108" s="9670" t="str">
        <f t="shared" si="26"/>
        <v/>
      </c>
      <c r="Z108" s="6222"/>
      <c r="AA108" s="9670" t="str">
        <f t="shared" si="27"/>
        <v/>
      </c>
      <c r="AB108" s="6222"/>
      <c r="AC108" s="9671" t="str">
        <f t="shared" si="28"/>
        <v/>
      </c>
      <c r="AD108" s="9672"/>
      <c r="AE108" s="9672"/>
      <c r="AF108" s="9672"/>
      <c r="AG108" s="1297">
        <f t="shared" si="29"/>
        <v>0</v>
      </c>
      <c r="AH108" s="1090"/>
      <c r="AI108" s="1090" t="e">
        <f t="shared" si="30"/>
        <v>#VALUE!</v>
      </c>
      <c r="AJ108" s="1237"/>
      <c r="AK108" s="1241"/>
      <c r="AL108" s="1241"/>
      <c r="AM108" s="1239"/>
      <c r="AN108" s="1239"/>
      <c r="AO108" s="1240"/>
      <c r="AP108" s="1239"/>
      <c r="AQ108" s="1238"/>
      <c r="AS108" s="42" t="e">
        <f t="shared" si="31"/>
        <v>#VALUE!</v>
      </c>
      <c r="AT108" s="42" t="e">
        <f t="shared" si="32"/>
        <v>#VALUE!</v>
      </c>
      <c r="AU108" s="42" t="e">
        <f t="shared" si="33"/>
        <v>#VALUE!</v>
      </c>
      <c r="AW108" s="42" t="e">
        <f t="shared" si="34"/>
        <v>#VALUE!</v>
      </c>
      <c r="AX108" s="42" t="e">
        <f t="shared" si="35"/>
        <v>#VALUE!</v>
      </c>
      <c r="AY108" s="42" t="e">
        <f t="shared" si="36"/>
        <v>#VALUE!</v>
      </c>
      <c r="BA108" s="42" t="e">
        <f t="shared" si="37"/>
        <v>#VALUE!</v>
      </c>
      <c r="BB108" s="42" t="e">
        <f t="shared" si="38"/>
        <v>#VALUE!</v>
      </c>
      <c r="BC108" s="42" t="e">
        <f t="shared" si="39"/>
        <v>#VALUE!</v>
      </c>
    </row>
    <row r="109" spans="1:55" ht="19.5" customHeight="1">
      <c r="A109" s="1127">
        <f t="shared" si="20"/>
        <v>0</v>
      </c>
      <c r="B109" s="9703" t="str">
        <f t="shared" si="21"/>
        <v/>
      </c>
      <c r="C109" s="9704"/>
      <c r="D109" s="9704"/>
      <c r="E109" s="9704"/>
      <c r="F109" s="9704"/>
      <c r="G109" s="9704"/>
      <c r="H109" s="9704"/>
      <c r="I109" s="9705"/>
      <c r="J109" s="9706" t="str">
        <f t="shared" si="22"/>
        <v/>
      </c>
      <c r="K109" s="9707"/>
      <c r="L109" s="9707"/>
      <c r="M109" s="9706" t="str">
        <f t="shared" si="23"/>
        <v/>
      </c>
      <c r="N109" s="9707"/>
      <c r="O109" s="9707"/>
      <c r="P109" s="9708"/>
      <c r="Q109" s="6969" t="str">
        <f t="shared" si="24"/>
        <v/>
      </c>
      <c r="R109" s="9688"/>
      <c r="S109" s="9688"/>
      <c r="T109" s="9689"/>
      <c r="U109" s="6969" t="str">
        <f t="shared" si="25"/>
        <v/>
      </c>
      <c r="V109" s="9688"/>
      <c r="W109" s="9688"/>
      <c r="X109" s="9689"/>
      <c r="Y109" s="9670" t="str">
        <f t="shared" si="26"/>
        <v/>
      </c>
      <c r="Z109" s="6222"/>
      <c r="AA109" s="9670" t="str">
        <f t="shared" si="27"/>
        <v/>
      </c>
      <c r="AB109" s="6222"/>
      <c r="AC109" s="9671" t="str">
        <f t="shared" si="28"/>
        <v/>
      </c>
      <c r="AD109" s="9672"/>
      <c r="AE109" s="9672"/>
      <c r="AF109" s="9672"/>
      <c r="AG109" s="1297">
        <f t="shared" si="29"/>
        <v>0</v>
      </c>
      <c r="AH109" s="1090"/>
      <c r="AI109" s="1090" t="e">
        <f t="shared" si="30"/>
        <v>#VALUE!</v>
      </c>
      <c r="AJ109" s="1237"/>
      <c r="AK109" s="1241"/>
      <c r="AL109" s="1241"/>
      <c r="AM109" s="1239"/>
      <c r="AN109" s="1239"/>
      <c r="AO109" s="1240"/>
      <c r="AP109" s="1239"/>
      <c r="AQ109" s="1238"/>
      <c r="AS109" s="42" t="e">
        <f t="shared" si="31"/>
        <v>#VALUE!</v>
      </c>
      <c r="AT109" s="42" t="e">
        <f t="shared" si="32"/>
        <v>#VALUE!</v>
      </c>
      <c r="AU109" s="42" t="e">
        <f t="shared" si="33"/>
        <v>#VALUE!</v>
      </c>
      <c r="AW109" s="42" t="e">
        <f t="shared" si="34"/>
        <v>#VALUE!</v>
      </c>
      <c r="AX109" s="42" t="e">
        <f t="shared" si="35"/>
        <v>#VALUE!</v>
      </c>
      <c r="AY109" s="42" t="e">
        <f t="shared" si="36"/>
        <v>#VALUE!</v>
      </c>
      <c r="BA109" s="42" t="e">
        <f t="shared" si="37"/>
        <v>#VALUE!</v>
      </c>
      <c r="BB109" s="42" t="e">
        <f t="shared" si="38"/>
        <v>#VALUE!</v>
      </c>
      <c r="BC109" s="42" t="e">
        <f t="shared" si="39"/>
        <v>#VALUE!</v>
      </c>
    </row>
    <row r="110" spans="1:55" ht="19.5" customHeight="1">
      <c r="A110" s="1127">
        <f t="shared" si="20"/>
        <v>0</v>
      </c>
      <c r="B110" s="9703" t="str">
        <f t="shared" si="21"/>
        <v/>
      </c>
      <c r="C110" s="9704"/>
      <c r="D110" s="9704"/>
      <c r="E110" s="9704"/>
      <c r="F110" s="9704"/>
      <c r="G110" s="9704"/>
      <c r="H110" s="9704"/>
      <c r="I110" s="9705"/>
      <c r="J110" s="9706" t="str">
        <f t="shared" si="22"/>
        <v/>
      </c>
      <c r="K110" s="9707"/>
      <c r="L110" s="9707"/>
      <c r="M110" s="9706" t="str">
        <f t="shared" si="23"/>
        <v/>
      </c>
      <c r="N110" s="9707"/>
      <c r="O110" s="9707"/>
      <c r="P110" s="9708"/>
      <c r="Q110" s="6969" t="str">
        <f t="shared" si="24"/>
        <v/>
      </c>
      <c r="R110" s="9688"/>
      <c r="S110" s="9688"/>
      <c r="T110" s="9689"/>
      <c r="U110" s="6969" t="str">
        <f t="shared" si="25"/>
        <v/>
      </c>
      <c r="V110" s="9688"/>
      <c r="W110" s="9688"/>
      <c r="X110" s="9689"/>
      <c r="Y110" s="9670" t="str">
        <f t="shared" si="26"/>
        <v/>
      </c>
      <c r="Z110" s="6222"/>
      <c r="AA110" s="9670" t="str">
        <f t="shared" si="27"/>
        <v/>
      </c>
      <c r="AB110" s="6222"/>
      <c r="AC110" s="9671" t="str">
        <f t="shared" si="28"/>
        <v/>
      </c>
      <c r="AD110" s="9672"/>
      <c r="AE110" s="9672"/>
      <c r="AF110" s="9672"/>
      <c r="AG110" s="1297">
        <f t="shared" si="29"/>
        <v>0</v>
      </c>
      <c r="AH110" s="1090"/>
      <c r="AI110" s="1090" t="e">
        <f t="shared" si="30"/>
        <v>#VALUE!</v>
      </c>
      <c r="AJ110" s="1237"/>
      <c r="AK110" s="1241"/>
      <c r="AL110" s="1241"/>
      <c r="AM110" s="1239"/>
      <c r="AN110" s="1239"/>
      <c r="AO110" s="1240"/>
      <c r="AP110" s="1239"/>
      <c r="AQ110" s="1238"/>
      <c r="AS110" s="42" t="e">
        <f t="shared" si="31"/>
        <v>#VALUE!</v>
      </c>
      <c r="AT110" s="42" t="e">
        <f t="shared" si="32"/>
        <v>#VALUE!</v>
      </c>
      <c r="AU110" s="42" t="e">
        <f t="shared" si="33"/>
        <v>#VALUE!</v>
      </c>
      <c r="AW110" s="42" t="e">
        <f t="shared" si="34"/>
        <v>#VALUE!</v>
      </c>
      <c r="AX110" s="42" t="e">
        <f t="shared" si="35"/>
        <v>#VALUE!</v>
      </c>
      <c r="AY110" s="42" t="e">
        <f t="shared" si="36"/>
        <v>#VALUE!</v>
      </c>
      <c r="BA110" s="42" t="e">
        <f t="shared" si="37"/>
        <v>#VALUE!</v>
      </c>
      <c r="BB110" s="42" t="e">
        <f t="shared" si="38"/>
        <v>#VALUE!</v>
      </c>
      <c r="BC110" s="42" t="e">
        <f t="shared" si="39"/>
        <v>#VALUE!</v>
      </c>
    </row>
    <row r="111" spans="1:55" ht="19.5" customHeight="1">
      <c r="A111" s="1127">
        <f t="shared" si="20"/>
        <v>0</v>
      </c>
      <c r="B111" s="9703" t="str">
        <f t="shared" si="21"/>
        <v/>
      </c>
      <c r="C111" s="9704"/>
      <c r="D111" s="9704"/>
      <c r="E111" s="9704"/>
      <c r="F111" s="9704"/>
      <c r="G111" s="9704"/>
      <c r="H111" s="9704"/>
      <c r="I111" s="9705"/>
      <c r="J111" s="9706" t="str">
        <f t="shared" si="22"/>
        <v/>
      </c>
      <c r="K111" s="9707"/>
      <c r="L111" s="9707"/>
      <c r="M111" s="9706" t="str">
        <f t="shared" si="23"/>
        <v/>
      </c>
      <c r="N111" s="9707"/>
      <c r="O111" s="9707"/>
      <c r="P111" s="9708"/>
      <c r="Q111" s="6969" t="str">
        <f t="shared" si="24"/>
        <v/>
      </c>
      <c r="R111" s="9688"/>
      <c r="S111" s="9688"/>
      <c r="T111" s="9689"/>
      <c r="U111" s="6969" t="str">
        <f t="shared" si="25"/>
        <v/>
      </c>
      <c r="V111" s="9688"/>
      <c r="W111" s="9688"/>
      <c r="X111" s="9689"/>
      <c r="Y111" s="9670" t="str">
        <f t="shared" si="26"/>
        <v/>
      </c>
      <c r="Z111" s="6222"/>
      <c r="AA111" s="9670" t="str">
        <f t="shared" si="27"/>
        <v/>
      </c>
      <c r="AB111" s="6222"/>
      <c r="AC111" s="9671" t="str">
        <f t="shared" si="28"/>
        <v/>
      </c>
      <c r="AD111" s="9672"/>
      <c r="AE111" s="9672"/>
      <c r="AF111" s="9672"/>
      <c r="AG111" s="1297">
        <f t="shared" si="29"/>
        <v>0</v>
      </c>
      <c r="AH111" s="1090"/>
      <c r="AI111" s="1090" t="e">
        <f t="shared" si="30"/>
        <v>#VALUE!</v>
      </c>
      <c r="AJ111" s="1237"/>
      <c r="AK111" s="1241"/>
      <c r="AL111" s="1241"/>
      <c r="AM111" s="1239"/>
      <c r="AN111" s="1239"/>
      <c r="AO111" s="1240"/>
      <c r="AP111" s="1239"/>
      <c r="AQ111" s="1238"/>
      <c r="AS111" s="42" t="e">
        <f t="shared" si="31"/>
        <v>#VALUE!</v>
      </c>
      <c r="AT111" s="42" t="e">
        <f t="shared" si="32"/>
        <v>#VALUE!</v>
      </c>
      <c r="AU111" s="42" t="e">
        <f t="shared" si="33"/>
        <v>#VALUE!</v>
      </c>
      <c r="AW111" s="42" t="e">
        <f t="shared" si="34"/>
        <v>#VALUE!</v>
      </c>
      <c r="AX111" s="42" t="e">
        <f t="shared" si="35"/>
        <v>#VALUE!</v>
      </c>
      <c r="AY111" s="42" t="e">
        <f t="shared" si="36"/>
        <v>#VALUE!</v>
      </c>
      <c r="BA111" s="42" t="e">
        <f t="shared" si="37"/>
        <v>#VALUE!</v>
      </c>
      <c r="BB111" s="42" t="e">
        <f t="shared" si="38"/>
        <v>#VALUE!</v>
      </c>
      <c r="BC111" s="42" t="e">
        <f t="shared" si="39"/>
        <v>#VALUE!</v>
      </c>
    </row>
    <row r="112" spans="1:55" ht="19.5" customHeight="1">
      <c r="A112" s="1127">
        <f t="shared" si="20"/>
        <v>0</v>
      </c>
      <c r="B112" s="9703" t="str">
        <f t="shared" si="21"/>
        <v/>
      </c>
      <c r="C112" s="9704"/>
      <c r="D112" s="9704"/>
      <c r="E112" s="9704"/>
      <c r="F112" s="9704"/>
      <c r="G112" s="9704"/>
      <c r="H112" s="9704"/>
      <c r="I112" s="9705"/>
      <c r="J112" s="9706" t="str">
        <f t="shared" si="22"/>
        <v/>
      </c>
      <c r="K112" s="9707"/>
      <c r="L112" s="9707"/>
      <c r="M112" s="9706" t="str">
        <f t="shared" si="23"/>
        <v/>
      </c>
      <c r="N112" s="9707"/>
      <c r="O112" s="9707"/>
      <c r="P112" s="9708"/>
      <c r="Q112" s="6969" t="str">
        <f t="shared" si="24"/>
        <v/>
      </c>
      <c r="R112" s="9688"/>
      <c r="S112" s="9688"/>
      <c r="T112" s="9689"/>
      <c r="U112" s="6969" t="str">
        <f t="shared" si="25"/>
        <v/>
      </c>
      <c r="V112" s="9688"/>
      <c r="W112" s="9688"/>
      <c r="X112" s="9689"/>
      <c r="Y112" s="9670" t="str">
        <f t="shared" si="26"/>
        <v/>
      </c>
      <c r="Z112" s="6222"/>
      <c r="AA112" s="9670" t="str">
        <f t="shared" si="27"/>
        <v/>
      </c>
      <c r="AB112" s="6222"/>
      <c r="AC112" s="9671" t="str">
        <f t="shared" si="28"/>
        <v/>
      </c>
      <c r="AD112" s="9672"/>
      <c r="AE112" s="9672"/>
      <c r="AF112" s="9672"/>
      <c r="AG112" s="1297">
        <f t="shared" si="29"/>
        <v>0</v>
      </c>
      <c r="AH112" s="1090"/>
      <c r="AI112" s="1090" t="e">
        <f t="shared" si="30"/>
        <v>#VALUE!</v>
      </c>
      <c r="AJ112" s="1237"/>
      <c r="AK112" s="1241"/>
      <c r="AL112" s="1241"/>
      <c r="AM112" s="1239"/>
      <c r="AN112" s="1239"/>
      <c r="AO112" s="1240"/>
      <c r="AP112" s="1239"/>
      <c r="AQ112" s="1238"/>
      <c r="AS112" s="42" t="e">
        <f t="shared" si="31"/>
        <v>#VALUE!</v>
      </c>
      <c r="AT112" s="42" t="e">
        <f t="shared" si="32"/>
        <v>#VALUE!</v>
      </c>
      <c r="AU112" s="42" t="e">
        <f t="shared" si="33"/>
        <v>#VALUE!</v>
      </c>
      <c r="AW112" s="42" t="e">
        <f t="shared" si="34"/>
        <v>#VALUE!</v>
      </c>
      <c r="AX112" s="42" t="e">
        <f t="shared" si="35"/>
        <v>#VALUE!</v>
      </c>
      <c r="AY112" s="42" t="e">
        <f t="shared" si="36"/>
        <v>#VALUE!</v>
      </c>
      <c r="BA112" s="42" t="e">
        <f t="shared" si="37"/>
        <v>#VALUE!</v>
      </c>
      <c r="BB112" s="42" t="e">
        <f t="shared" si="38"/>
        <v>#VALUE!</v>
      </c>
      <c r="BC112" s="42" t="e">
        <f t="shared" si="39"/>
        <v>#VALUE!</v>
      </c>
    </row>
    <row r="113" spans="1:55" ht="19.5" customHeight="1">
      <c r="A113" s="1127">
        <f t="shared" si="20"/>
        <v>0</v>
      </c>
      <c r="B113" s="9703" t="str">
        <f t="shared" si="21"/>
        <v/>
      </c>
      <c r="C113" s="9704"/>
      <c r="D113" s="9704"/>
      <c r="E113" s="9704"/>
      <c r="F113" s="9704"/>
      <c r="G113" s="9704"/>
      <c r="H113" s="9704"/>
      <c r="I113" s="9705"/>
      <c r="J113" s="9706" t="str">
        <f t="shared" si="22"/>
        <v/>
      </c>
      <c r="K113" s="9707"/>
      <c r="L113" s="9707"/>
      <c r="M113" s="9706" t="str">
        <f t="shared" si="23"/>
        <v/>
      </c>
      <c r="N113" s="9707"/>
      <c r="O113" s="9707"/>
      <c r="P113" s="9708"/>
      <c r="Q113" s="6969" t="str">
        <f t="shared" si="24"/>
        <v/>
      </c>
      <c r="R113" s="9688"/>
      <c r="S113" s="9688"/>
      <c r="T113" s="9689"/>
      <c r="U113" s="6969" t="str">
        <f t="shared" si="25"/>
        <v/>
      </c>
      <c r="V113" s="9688"/>
      <c r="W113" s="9688"/>
      <c r="X113" s="9689"/>
      <c r="Y113" s="9670" t="str">
        <f t="shared" si="26"/>
        <v/>
      </c>
      <c r="Z113" s="6222"/>
      <c r="AA113" s="9670" t="str">
        <f t="shared" si="27"/>
        <v/>
      </c>
      <c r="AB113" s="6222"/>
      <c r="AC113" s="9671" t="str">
        <f t="shared" si="28"/>
        <v/>
      </c>
      <c r="AD113" s="9672"/>
      <c r="AE113" s="9672"/>
      <c r="AF113" s="9672"/>
      <c r="AG113" s="1297">
        <f t="shared" si="29"/>
        <v>0</v>
      </c>
      <c r="AH113" s="1090"/>
      <c r="AI113" s="1090" t="e">
        <f t="shared" si="30"/>
        <v>#VALUE!</v>
      </c>
      <c r="AJ113" s="1237"/>
      <c r="AK113" s="1241"/>
      <c r="AL113" s="1241"/>
      <c r="AM113" s="1239"/>
      <c r="AN113" s="1239"/>
      <c r="AO113" s="1240"/>
      <c r="AP113" s="1239"/>
      <c r="AQ113" s="1238"/>
      <c r="AS113" s="42" t="e">
        <f t="shared" si="31"/>
        <v>#VALUE!</v>
      </c>
      <c r="AT113" s="42" t="e">
        <f t="shared" si="32"/>
        <v>#VALUE!</v>
      </c>
      <c r="AU113" s="42" t="e">
        <f t="shared" si="33"/>
        <v>#VALUE!</v>
      </c>
      <c r="AW113" s="42" t="e">
        <f t="shared" si="34"/>
        <v>#VALUE!</v>
      </c>
      <c r="AX113" s="42" t="e">
        <f t="shared" si="35"/>
        <v>#VALUE!</v>
      </c>
      <c r="AY113" s="42" t="e">
        <f t="shared" si="36"/>
        <v>#VALUE!</v>
      </c>
      <c r="BA113" s="42" t="e">
        <f t="shared" si="37"/>
        <v>#VALUE!</v>
      </c>
      <c r="BB113" s="42" t="e">
        <f t="shared" si="38"/>
        <v>#VALUE!</v>
      </c>
      <c r="BC113" s="42" t="e">
        <f t="shared" si="39"/>
        <v>#VALUE!</v>
      </c>
    </row>
    <row r="114" spans="1:55" ht="19.5" customHeight="1">
      <c r="A114" s="1127">
        <f t="shared" si="20"/>
        <v>0</v>
      </c>
      <c r="B114" s="9703" t="str">
        <f t="shared" si="21"/>
        <v/>
      </c>
      <c r="C114" s="9704"/>
      <c r="D114" s="9704"/>
      <c r="E114" s="9704"/>
      <c r="F114" s="9704"/>
      <c r="G114" s="9704"/>
      <c r="H114" s="9704"/>
      <c r="I114" s="9705"/>
      <c r="J114" s="9706" t="str">
        <f t="shared" si="22"/>
        <v/>
      </c>
      <c r="K114" s="9707"/>
      <c r="L114" s="9707"/>
      <c r="M114" s="9706" t="str">
        <f t="shared" si="23"/>
        <v/>
      </c>
      <c r="N114" s="9707"/>
      <c r="O114" s="9707"/>
      <c r="P114" s="9708"/>
      <c r="Q114" s="6969" t="str">
        <f t="shared" si="24"/>
        <v/>
      </c>
      <c r="R114" s="9688"/>
      <c r="S114" s="9688"/>
      <c r="T114" s="9689"/>
      <c r="U114" s="6969" t="str">
        <f t="shared" si="25"/>
        <v/>
      </c>
      <c r="V114" s="9688"/>
      <c r="W114" s="9688"/>
      <c r="X114" s="9689"/>
      <c r="Y114" s="9670" t="str">
        <f t="shared" si="26"/>
        <v/>
      </c>
      <c r="Z114" s="6222"/>
      <c r="AA114" s="9670" t="str">
        <f t="shared" si="27"/>
        <v/>
      </c>
      <c r="AB114" s="6222"/>
      <c r="AC114" s="9671" t="str">
        <f t="shared" si="28"/>
        <v/>
      </c>
      <c r="AD114" s="9672"/>
      <c r="AE114" s="9672"/>
      <c r="AF114" s="9672"/>
      <c r="AG114" s="1297">
        <f t="shared" si="29"/>
        <v>0</v>
      </c>
      <c r="AH114" s="1090"/>
      <c r="AI114" s="1090" t="e">
        <f t="shared" si="30"/>
        <v>#VALUE!</v>
      </c>
      <c r="AJ114" s="1237"/>
      <c r="AK114" s="1241"/>
      <c r="AL114" s="1241"/>
      <c r="AM114" s="1239"/>
      <c r="AN114" s="1239"/>
      <c r="AO114" s="1240"/>
      <c r="AP114" s="1239"/>
      <c r="AQ114" s="1238"/>
      <c r="AS114" s="42" t="e">
        <f t="shared" si="31"/>
        <v>#VALUE!</v>
      </c>
      <c r="AT114" s="42" t="e">
        <f t="shared" si="32"/>
        <v>#VALUE!</v>
      </c>
      <c r="AU114" s="42" t="e">
        <f t="shared" si="33"/>
        <v>#VALUE!</v>
      </c>
      <c r="AW114" s="42" t="e">
        <f t="shared" si="34"/>
        <v>#VALUE!</v>
      </c>
      <c r="AX114" s="42" t="e">
        <f t="shared" si="35"/>
        <v>#VALUE!</v>
      </c>
      <c r="AY114" s="42" t="e">
        <f t="shared" si="36"/>
        <v>#VALUE!</v>
      </c>
      <c r="BA114" s="42" t="e">
        <f t="shared" si="37"/>
        <v>#VALUE!</v>
      </c>
      <c r="BB114" s="42" t="e">
        <f t="shared" si="38"/>
        <v>#VALUE!</v>
      </c>
      <c r="BC114" s="42" t="e">
        <f t="shared" si="39"/>
        <v>#VALUE!</v>
      </c>
    </row>
    <row r="115" spans="1:55" ht="19.5" customHeight="1">
      <c r="A115" s="1127">
        <f t="shared" si="20"/>
        <v>0</v>
      </c>
      <c r="B115" s="9703" t="str">
        <f t="shared" si="21"/>
        <v/>
      </c>
      <c r="C115" s="9704"/>
      <c r="D115" s="9704"/>
      <c r="E115" s="9704"/>
      <c r="F115" s="9704"/>
      <c r="G115" s="9704"/>
      <c r="H115" s="9704"/>
      <c r="I115" s="9705"/>
      <c r="J115" s="9706" t="str">
        <f t="shared" si="22"/>
        <v/>
      </c>
      <c r="K115" s="9707"/>
      <c r="L115" s="9707"/>
      <c r="M115" s="9706" t="str">
        <f t="shared" si="23"/>
        <v/>
      </c>
      <c r="N115" s="9707"/>
      <c r="O115" s="9707"/>
      <c r="P115" s="9708"/>
      <c r="Q115" s="6969" t="str">
        <f t="shared" si="24"/>
        <v/>
      </c>
      <c r="R115" s="9688"/>
      <c r="S115" s="9688"/>
      <c r="T115" s="9689"/>
      <c r="U115" s="6969" t="str">
        <f t="shared" si="25"/>
        <v/>
      </c>
      <c r="V115" s="9688"/>
      <c r="W115" s="9688"/>
      <c r="X115" s="9689"/>
      <c r="Y115" s="9670" t="str">
        <f t="shared" si="26"/>
        <v/>
      </c>
      <c r="Z115" s="6222"/>
      <c r="AA115" s="9670" t="str">
        <f t="shared" si="27"/>
        <v/>
      </c>
      <c r="AB115" s="6222"/>
      <c r="AC115" s="9671" t="str">
        <f t="shared" si="28"/>
        <v/>
      </c>
      <c r="AD115" s="9672"/>
      <c r="AE115" s="9672"/>
      <c r="AF115" s="9672"/>
      <c r="AG115" s="1297">
        <f t="shared" si="29"/>
        <v>0</v>
      </c>
      <c r="AH115" s="1090"/>
      <c r="AI115" s="1090" t="e">
        <f t="shared" si="30"/>
        <v>#VALUE!</v>
      </c>
      <c r="AJ115" s="1237"/>
      <c r="AK115" s="1241"/>
      <c r="AL115" s="1241"/>
      <c r="AM115" s="1239"/>
      <c r="AN115" s="1239"/>
      <c r="AO115" s="1240"/>
      <c r="AP115" s="1239"/>
      <c r="AQ115" s="1238"/>
      <c r="AS115" s="42" t="e">
        <f t="shared" si="31"/>
        <v>#VALUE!</v>
      </c>
      <c r="AT115" s="42" t="e">
        <f t="shared" si="32"/>
        <v>#VALUE!</v>
      </c>
      <c r="AU115" s="42" t="e">
        <f t="shared" si="33"/>
        <v>#VALUE!</v>
      </c>
      <c r="AW115" s="42" t="e">
        <f t="shared" si="34"/>
        <v>#VALUE!</v>
      </c>
      <c r="AX115" s="42" t="e">
        <f t="shared" si="35"/>
        <v>#VALUE!</v>
      </c>
      <c r="AY115" s="42" t="e">
        <f t="shared" si="36"/>
        <v>#VALUE!</v>
      </c>
      <c r="BA115" s="42" t="e">
        <f t="shared" si="37"/>
        <v>#VALUE!</v>
      </c>
      <c r="BB115" s="42" t="e">
        <f t="shared" si="38"/>
        <v>#VALUE!</v>
      </c>
      <c r="BC115" s="42" t="e">
        <f t="shared" si="39"/>
        <v>#VALUE!</v>
      </c>
    </row>
    <row r="116" spans="1:55" ht="11.25" customHeight="1">
      <c r="A116" s="1127">
        <f>SUM(A88:A115)</f>
        <v>0</v>
      </c>
      <c r="B116" s="9759">
        <v>2</v>
      </c>
      <c r="C116" s="9780" t="s">
        <v>920</v>
      </c>
      <c r="D116" s="9781"/>
      <c r="E116" s="9781"/>
      <c r="F116" s="9781"/>
      <c r="G116" s="9781"/>
      <c r="H116" s="9781"/>
      <c r="I116" s="9781"/>
      <c r="J116" s="9781"/>
      <c r="K116" s="9781"/>
      <c r="L116" s="9781"/>
      <c r="M116" s="9781"/>
      <c r="N116" s="9781"/>
      <c r="O116" s="9781"/>
      <c r="P116" s="9781"/>
      <c r="Q116" s="9680" t="str">
        <f>IF(A116=0,"",ROUND(SUM(Q88:Q115),0))</f>
        <v/>
      </c>
      <c r="R116" s="9783"/>
      <c r="S116" s="9783"/>
      <c r="T116" s="9681"/>
      <c r="U116" s="9680" t="str">
        <f>IF(A116=0,"",ROUND(SUM(U88:U115),0))</f>
        <v/>
      </c>
      <c r="V116" s="9761"/>
      <c r="W116" s="9761"/>
      <c r="X116" s="9762"/>
      <c r="Y116" s="9769"/>
      <c r="Z116" s="9770"/>
      <c r="AA116" s="9680" t="str">
        <f>IF(A116=0,"",ROUND(SUM(AA88:AA115),0))</f>
        <v/>
      </c>
      <c r="AB116" s="9681"/>
      <c r="AC116" s="9680" t="str">
        <f>IF(A116=0,"",ROUND(SUM(AC88:AC115),0))</f>
        <v/>
      </c>
      <c r="AD116" s="9761"/>
      <c r="AE116" s="9761"/>
      <c r="AF116" s="9761"/>
      <c r="AG116" s="1127"/>
    </row>
    <row r="117" spans="1:55" ht="11.25" customHeight="1">
      <c r="A117" s="1127"/>
      <c r="B117" s="9760"/>
      <c r="C117" s="9782"/>
      <c r="D117" s="9782"/>
      <c r="E117" s="9782"/>
      <c r="F117" s="9782"/>
      <c r="G117" s="9782"/>
      <c r="H117" s="9782"/>
      <c r="I117" s="9782"/>
      <c r="J117" s="9782"/>
      <c r="K117" s="9782"/>
      <c r="L117" s="9782"/>
      <c r="M117" s="9782"/>
      <c r="N117" s="9782"/>
      <c r="O117" s="9782"/>
      <c r="P117" s="9782"/>
      <c r="Q117" s="9682"/>
      <c r="R117" s="9784"/>
      <c r="S117" s="9784"/>
      <c r="T117" s="9683"/>
      <c r="U117" s="9763"/>
      <c r="V117" s="9764"/>
      <c r="W117" s="9764"/>
      <c r="X117" s="9765"/>
      <c r="Y117" s="9771"/>
      <c r="Z117" s="9772"/>
      <c r="AA117" s="9682"/>
      <c r="AB117" s="9683"/>
      <c r="AC117" s="9763"/>
      <c r="AD117" s="9764"/>
      <c r="AE117" s="9764"/>
      <c r="AF117" s="9764"/>
      <c r="AG117" s="1127"/>
    </row>
    <row r="118" spans="1:55" ht="11.25" customHeight="1">
      <c r="A118" s="1127"/>
      <c r="B118" s="9760"/>
      <c r="C118" s="9782"/>
      <c r="D118" s="9782"/>
      <c r="E118" s="9782"/>
      <c r="F118" s="9782"/>
      <c r="G118" s="9782"/>
      <c r="H118" s="9782"/>
      <c r="I118" s="9782"/>
      <c r="J118" s="9782"/>
      <c r="K118" s="9782"/>
      <c r="L118" s="9782"/>
      <c r="M118" s="9782"/>
      <c r="N118" s="9782"/>
      <c r="O118" s="9782"/>
      <c r="P118" s="9782"/>
      <c r="Q118" s="9682"/>
      <c r="R118" s="9784"/>
      <c r="S118" s="9784"/>
      <c r="T118" s="9683"/>
      <c r="U118" s="9763"/>
      <c r="V118" s="9764"/>
      <c r="W118" s="9764"/>
      <c r="X118" s="9765"/>
      <c r="Y118" s="9771"/>
      <c r="Z118" s="9772"/>
      <c r="AA118" s="9682"/>
      <c r="AB118" s="9683"/>
      <c r="AC118" s="9763"/>
      <c r="AD118" s="9764"/>
      <c r="AE118" s="9764"/>
      <c r="AF118" s="9764"/>
      <c r="AG118" s="1127"/>
    </row>
    <row r="119" spans="1:55" ht="11.25" customHeight="1">
      <c r="A119" s="1127"/>
      <c r="B119" s="9760"/>
      <c r="C119" s="9782"/>
      <c r="D119" s="9782"/>
      <c r="E119" s="9782"/>
      <c r="F119" s="9782"/>
      <c r="G119" s="9782"/>
      <c r="H119" s="9782"/>
      <c r="I119" s="9782"/>
      <c r="J119" s="9782"/>
      <c r="K119" s="9782"/>
      <c r="L119" s="9782"/>
      <c r="M119" s="9782"/>
      <c r="N119" s="9782"/>
      <c r="O119" s="9782"/>
      <c r="P119" s="9782"/>
      <c r="Q119" s="9682"/>
      <c r="R119" s="9784"/>
      <c r="S119" s="9784"/>
      <c r="T119" s="9683"/>
      <c r="U119" s="9763"/>
      <c r="V119" s="9764"/>
      <c r="W119" s="9764"/>
      <c r="X119" s="9765"/>
      <c r="Y119" s="9771"/>
      <c r="Z119" s="9772"/>
      <c r="AA119" s="9682"/>
      <c r="AB119" s="9683"/>
      <c r="AC119" s="9763"/>
      <c r="AD119" s="9764"/>
      <c r="AE119" s="9764"/>
      <c r="AF119" s="9764"/>
      <c r="AG119" s="1127"/>
    </row>
    <row r="120" spans="1:55" ht="6" customHeight="1" thickBot="1">
      <c r="A120" s="1127"/>
      <c r="B120" s="9760"/>
      <c r="C120" s="9782"/>
      <c r="D120" s="9782"/>
      <c r="E120" s="9782"/>
      <c r="F120" s="9782"/>
      <c r="G120" s="9782"/>
      <c r="H120" s="9782"/>
      <c r="I120" s="9782"/>
      <c r="J120" s="9782"/>
      <c r="K120" s="9782"/>
      <c r="L120" s="9782"/>
      <c r="M120" s="9782"/>
      <c r="N120" s="9782"/>
      <c r="O120" s="9782"/>
      <c r="P120" s="9782"/>
      <c r="Q120" s="9682"/>
      <c r="R120" s="9784"/>
      <c r="S120" s="9784"/>
      <c r="T120" s="9683"/>
      <c r="U120" s="9766"/>
      <c r="V120" s="9767"/>
      <c r="W120" s="9767"/>
      <c r="X120" s="9768"/>
      <c r="Y120" s="9773"/>
      <c r="Z120" s="9774"/>
      <c r="AA120" s="9684"/>
      <c r="AB120" s="9685"/>
      <c r="AC120" s="9763"/>
      <c r="AD120" s="9764"/>
      <c r="AE120" s="9764"/>
      <c r="AF120" s="9764"/>
      <c r="AG120" s="1127"/>
    </row>
    <row r="121" spans="1:55" ht="25.5" customHeight="1" thickBot="1">
      <c r="A121" s="1127"/>
      <c r="B121" s="9777" t="s">
        <v>1591</v>
      </c>
      <c r="C121" s="9778"/>
      <c r="D121" s="9778"/>
      <c r="E121" s="9778"/>
      <c r="F121" s="9778"/>
      <c r="G121" s="9778"/>
      <c r="H121" s="9778"/>
      <c r="I121" s="9778"/>
      <c r="J121" s="9778"/>
      <c r="K121" s="9778"/>
      <c r="L121" s="9778"/>
      <c r="M121" s="9778"/>
      <c r="N121" s="9778"/>
      <c r="O121" s="9778"/>
      <c r="P121" s="9778"/>
      <c r="Q121" s="9778"/>
      <c r="R121" s="9778"/>
      <c r="S121" s="9778"/>
      <c r="T121" s="9778"/>
      <c r="U121" s="9779"/>
      <c r="V121" s="9779"/>
      <c r="W121" s="9779"/>
      <c r="X121" s="9779"/>
      <c r="Y121" s="9778"/>
      <c r="Z121" s="9778"/>
      <c r="AA121" s="9778"/>
      <c r="AB121" s="9778"/>
      <c r="AC121" s="9778"/>
      <c r="AD121" s="9778"/>
      <c r="AE121" s="9778"/>
      <c r="AF121" s="9778"/>
      <c r="AG121" s="1127"/>
    </row>
    <row r="122" spans="1:55" s="2528" customFormat="1" ht="14.25" customHeight="1" thickTop="1">
      <c r="A122" s="4757"/>
      <c r="B122" s="4759" t="s">
        <v>484</v>
      </c>
      <c r="C122" s="23"/>
      <c r="D122" s="23"/>
      <c r="E122" s="23"/>
      <c r="F122" s="23"/>
      <c r="G122" s="23"/>
      <c r="H122" s="23"/>
      <c r="I122" s="23"/>
      <c r="J122" s="23"/>
      <c r="K122" s="23"/>
      <c r="L122" s="23"/>
      <c r="M122" s="23"/>
      <c r="N122" s="23"/>
      <c r="O122" s="23"/>
      <c r="P122" s="23"/>
      <c r="Q122" s="23"/>
      <c r="R122" s="23"/>
      <c r="S122" s="23"/>
      <c r="T122" s="23"/>
      <c r="U122" s="501" t="s">
        <v>621</v>
      </c>
      <c r="V122" s="23"/>
      <c r="W122" s="23"/>
      <c r="X122" s="23"/>
      <c r="Y122" s="23"/>
      <c r="Z122" s="23"/>
      <c r="AA122" s="23"/>
      <c r="AB122" s="23"/>
      <c r="AC122" s="23"/>
      <c r="AD122" s="1035" t="s">
        <v>632</v>
      </c>
      <c r="AE122" s="23"/>
      <c r="AF122" s="3559" t="str">
        <f>"("&amp;TaxYear&amp;")"</f>
        <v>(2021)</v>
      </c>
      <c r="AG122" s="4757"/>
      <c r="AH122" s="4758"/>
      <c r="AI122" s="4758"/>
    </row>
    <row r="123" spans="1:55">
      <c r="A123" s="1127"/>
      <c r="B123" s="1127"/>
      <c r="C123" s="1127"/>
      <c r="D123" s="1127"/>
      <c r="E123" s="1127"/>
      <c r="F123" s="1127"/>
      <c r="G123" s="1127"/>
      <c r="H123" s="1127"/>
      <c r="I123" s="1127"/>
      <c r="J123" s="1127"/>
      <c r="K123" s="1127"/>
      <c r="L123" s="1127"/>
      <c r="M123" s="1127"/>
      <c r="N123" s="1127"/>
      <c r="O123" s="1127"/>
      <c r="P123" s="1127"/>
      <c r="Q123" s="1127"/>
      <c r="R123" s="1127"/>
      <c r="S123" s="1127"/>
      <c r="T123" s="1127"/>
      <c r="U123" s="1127"/>
      <c r="V123" s="1127"/>
      <c r="W123" s="1127"/>
      <c r="X123" s="1127"/>
      <c r="Y123" s="1127"/>
      <c r="Z123" s="1127"/>
      <c r="AA123" s="1127"/>
      <c r="AB123" s="1127"/>
      <c r="AC123" s="1127"/>
      <c r="AD123" s="1127"/>
      <c r="AE123" s="1127"/>
      <c r="AF123" s="1127"/>
      <c r="AG123" s="1127"/>
    </row>
  </sheetData>
  <sheetProtection password="F07E" sheet="1" objects="1" scenarios="1"/>
  <mergeCells count="471">
    <mergeCell ref="B88:I88"/>
    <mergeCell ref="J88:L88"/>
    <mergeCell ref="M88:P88"/>
    <mergeCell ref="AA88:AB88"/>
    <mergeCell ref="B53:I53"/>
    <mergeCell ref="J53:L53"/>
    <mergeCell ref="M53:P53"/>
    <mergeCell ref="U88:X88"/>
    <mergeCell ref="Y88:Z88"/>
    <mergeCell ref="U84:X87"/>
    <mergeCell ref="Y84:AB85"/>
    <mergeCell ref="B54:I54"/>
    <mergeCell ref="J54:L54"/>
    <mergeCell ref="M54:P54"/>
    <mergeCell ref="Q54:T54"/>
    <mergeCell ref="U54:X54"/>
    <mergeCell ref="B55:B59"/>
    <mergeCell ref="C55:P59"/>
    <mergeCell ref="Q55:T59"/>
    <mergeCell ref="B65:AF67"/>
    <mergeCell ref="AC55:AF59"/>
    <mergeCell ref="Y54:Z54"/>
    <mergeCell ref="AA54:AB54"/>
    <mergeCell ref="Y55:Z59"/>
    <mergeCell ref="J44:L44"/>
    <mergeCell ref="M44:P44"/>
    <mergeCell ref="B50:I50"/>
    <mergeCell ref="J50:L50"/>
    <mergeCell ref="M50:P50"/>
    <mergeCell ref="AA99:AB99"/>
    <mergeCell ref="AA97:AB97"/>
    <mergeCell ref="U91:X91"/>
    <mergeCell ref="Y91:Z91"/>
    <mergeCell ref="AA95:AB95"/>
    <mergeCell ref="Y53:Z53"/>
    <mergeCell ref="M89:P89"/>
    <mergeCell ref="Q53:T53"/>
    <mergeCell ref="U53:X53"/>
    <mergeCell ref="Q88:T88"/>
    <mergeCell ref="Q98:T98"/>
    <mergeCell ref="U98:X98"/>
    <mergeCell ref="Y98:Z98"/>
    <mergeCell ref="AA86:AB87"/>
    <mergeCell ref="M96:P96"/>
    <mergeCell ref="Q96:T96"/>
    <mergeCell ref="U96:X96"/>
    <mergeCell ref="J89:L89"/>
    <mergeCell ref="Q89:T89"/>
    <mergeCell ref="J52:L52"/>
    <mergeCell ref="M52:P52"/>
    <mergeCell ref="U55:X59"/>
    <mergeCell ref="Y52:Z52"/>
    <mergeCell ref="J41:L41"/>
    <mergeCell ref="AA47:AB47"/>
    <mergeCell ref="B43:I43"/>
    <mergeCell ref="J43:L43"/>
    <mergeCell ref="M43:P43"/>
    <mergeCell ref="M45:P45"/>
    <mergeCell ref="Q45:T45"/>
    <mergeCell ref="U45:X45"/>
    <mergeCell ref="B45:I45"/>
    <mergeCell ref="B47:I47"/>
    <mergeCell ref="J47:L47"/>
    <mergeCell ref="M47:P47"/>
    <mergeCell ref="Q47:T47"/>
    <mergeCell ref="U47:X47"/>
    <mergeCell ref="B46:I46"/>
    <mergeCell ref="J46:L46"/>
    <mergeCell ref="M46:P46"/>
    <mergeCell ref="Q46:T46"/>
    <mergeCell ref="J45:L45"/>
    <mergeCell ref="B44:I44"/>
    <mergeCell ref="B89:I89"/>
    <mergeCell ref="AC107:AF107"/>
    <mergeCell ref="AA106:AB106"/>
    <mergeCell ref="AA107:AB107"/>
    <mergeCell ref="AC108:AF108"/>
    <mergeCell ref="AC109:AF109"/>
    <mergeCell ref="Y109:Z109"/>
    <mergeCell ref="Y38:Z38"/>
    <mergeCell ref="Y39:Z39"/>
    <mergeCell ref="Y40:Z40"/>
    <mergeCell ref="Y45:Z45"/>
    <mergeCell ref="Y46:Z46"/>
    <mergeCell ref="Y47:Z47"/>
    <mergeCell ref="Q50:T50"/>
    <mergeCell ref="M41:P41"/>
    <mergeCell ref="Y86:Z87"/>
    <mergeCell ref="B60:AF60"/>
    <mergeCell ref="B84:B87"/>
    <mergeCell ref="C84:I87"/>
    <mergeCell ref="J84:L87"/>
    <mergeCell ref="B69:C69"/>
    <mergeCell ref="B64:U64"/>
    <mergeCell ref="V64:AF64"/>
    <mergeCell ref="M84:P87"/>
    <mergeCell ref="B90:I90"/>
    <mergeCell ref="J90:L90"/>
    <mergeCell ref="M90:P90"/>
    <mergeCell ref="AA90:AB90"/>
    <mergeCell ref="Q90:T90"/>
    <mergeCell ref="U90:X90"/>
    <mergeCell ref="U92:X92"/>
    <mergeCell ref="B91:I91"/>
    <mergeCell ref="J91:L91"/>
    <mergeCell ref="M91:P91"/>
    <mergeCell ref="Q91:T91"/>
    <mergeCell ref="M92:P92"/>
    <mergeCell ref="AA92:AB92"/>
    <mergeCell ref="Q92:T92"/>
    <mergeCell ref="Y90:Z90"/>
    <mergeCell ref="J92:L92"/>
    <mergeCell ref="Y106:Z106"/>
    <mergeCell ref="B104:I104"/>
    <mergeCell ref="B121:AF121"/>
    <mergeCell ref="C116:P120"/>
    <mergeCell ref="Q116:T120"/>
    <mergeCell ref="AA91:AB91"/>
    <mergeCell ref="Q95:T95"/>
    <mergeCell ref="U95:X95"/>
    <mergeCell ref="Y95:Z95"/>
    <mergeCell ref="AA93:AB93"/>
    <mergeCell ref="B107:I107"/>
    <mergeCell ref="J107:L107"/>
    <mergeCell ref="B106:I106"/>
    <mergeCell ref="J106:L106"/>
    <mergeCell ref="B105:I105"/>
    <mergeCell ref="B109:I109"/>
    <mergeCell ref="J109:L109"/>
    <mergeCell ref="M107:P107"/>
    <mergeCell ref="M106:P106"/>
    <mergeCell ref="J105:L105"/>
    <mergeCell ref="M105:P105"/>
    <mergeCell ref="B100:I100"/>
    <mergeCell ref="J100:L100"/>
    <mergeCell ref="B101:I101"/>
    <mergeCell ref="B102:I102"/>
    <mergeCell ref="M100:P100"/>
    <mergeCell ref="B110:I110"/>
    <mergeCell ref="J110:L110"/>
    <mergeCell ref="M110:P110"/>
    <mergeCell ref="Q110:T110"/>
    <mergeCell ref="U110:X110"/>
    <mergeCell ref="B108:I108"/>
    <mergeCell ref="J108:L108"/>
    <mergeCell ref="M108:P108"/>
    <mergeCell ref="Q108:T108"/>
    <mergeCell ref="U108:X108"/>
    <mergeCell ref="J102:L102"/>
    <mergeCell ref="M102:P102"/>
    <mergeCell ref="U100:X100"/>
    <mergeCell ref="Y100:Z100"/>
    <mergeCell ref="Q102:T102"/>
    <mergeCell ref="U102:X102"/>
    <mergeCell ref="J104:L104"/>
    <mergeCell ref="M104:P104"/>
    <mergeCell ref="Q104:T104"/>
    <mergeCell ref="U104:X104"/>
    <mergeCell ref="M101:P101"/>
    <mergeCell ref="Q101:T101"/>
    <mergeCell ref="J101:L101"/>
    <mergeCell ref="U101:X101"/>
    <mergeCell ref="B99:I99"/>
    <mergeCell ref="B96:I96"/>
    <mergeCell ref="M94:P94"/>
    <mergeCell ref="Y93:Z93"/>
    <mergeCell ref="Y94:Z94"/>
    <mergeCell ref="Y99:Z99"/>
    <mergeCell ref="Q97:T97"/>
    <mergeCell ref="U97:X97"/>
    <mergeCell ref="Y97:Z97"/>
    <mergeCell ref="U93:X93"/>
    <mergeCell ref="Q94:T94"/>
    <mergeCell ref="U94:X94"/>
    <mergeCell ref="J96:L96"/>
    <mergeCell ref="Y96:Z96"/>
    <mergeCell ref="B94:I94"/>
    <mergeCell ref="J94:L94"/>
    <mergeCell ref="B95:I95"/>
    <mergeCell ref="J95:L95"/>
    <mergeCell ref="M95:P95"/>
    <mergeCell ref="B98:I98"/>
    <mergeCell ref="J98:L98"/>
    <mergeCell ref="M98:P98"/>
    <mergeCell ref="J99:L99"/>
    <mergeCell ref="M99:P99"/>
    <mergeCell ref="AA114:AB114"/>
    <mergeCell ref="Y111:Z111"/>
    <mergeCell ref="M109:P109"/>
    <mergeCell ref="Q109:T109"/>
    <mergeCell ref="U109:X109"/>
    <mergeCell ref="U113:X113"/>
    <mergeCell ref="AC111:AF111"/>
    <mergeCell ref="AC110:AF110"/>
    <mergeCell ref="Y112:Z112"/>
    <mergeCell ref="Y113:Z113"/>
    <mergeCell ref="AA113:AB113"/>
    <mergeCell ref="AA112:AB112"/>
    <mergeCell ref="AA111:AB111"/>
    <mergeCell ref="M111:P111"/>
    <mergeCell ref="Q111:T111"/>
    <mergeCell ref="U111:X111"/>
    <mergeCell ref="AC114:AF114"/>
    <mergeCell ref="Y114:Z114"/>
    <mergeCell ref="Y110:Z110"/>
    <mergeCell ref="AA110:AB110"/>
    <mergeCell ref="AA109:AB109"/>
    <mergeCell ref="Q112:T112"/>
    <mergeCell ref="U112:X112"/>
    <mergeCell ref="M113:P113"/>
    <mergeCell ref="B41:I41"/>
    <mergeCell ref="Y41:Z41"/>
    <mergeCell ref="AA41:AB41"/>
    <mergeCell ref="AC41:AF41"/>
    <mergeCell ref="Q41:T41"/>
    <mergeCell ref="U41:X41"/>
    <mergeCell ref="AC106:AF106"/>
    <mergeCell ref="B103:I103"/>
    <mergeCell ref="J103:L103"/>
    <mergeCell ref="M103:P103"/>
    <mergeCell ref="Q103:T103"/>
    <mergeCell ref="U103:X103"/>
    <mergeCell ref="Y103:Z103"/>
    <mergeCell ref="B93:I93"/>
    <mergeCell ref="J93:L93"/>
    <mergeCell ref="M93:P93"/>
    <mergeCell ref="Q93:T93"/>
    <mergeCell ref="Y92:Z92"/>
    <mergeCell ref="B97:I97"/>
    <mergeCell ref="J97:L97"/>
    <mergeCell ref="U50:X50"/>
    <mergeCell ref="Y43:Z43"/>
    <mergeCell ref="M97:P97"/>
    <mergeCell ref="B92:I92"/>
    <mergeCell ref="AC113:AF113"/>
    <mergeCell ref="AC42:AF42"/>
    <mergeCell ref="Y101:Z101"/>
    <mergeCell ref="Q107:T107"/>
    <mergeCell ref="U107:X107"/>
    <mergeCell ref="Q106:T106"/>
    <mergeCell ref="U106:X106"/>
    <mergeCell ref="Q105:T105"/>
    <mergeCell ref="U105:X105"/>
    <mergeCell ref="Y108:Z108"/>
    <mergeCell ref="AA108:AB108"/>
    <mergeCell ref="AC103:AF103"/>
    <mergeCell ref="Y104:Z104"/>
    <mergeCell ref="AA104:AB104"/>
    <mergeCell ref="AC104:AF104"/>
    <mergeCell ref="AC105:AF105"/>
    <mergeCell ref="Y105:Z105"/>
    <mergeCell ref="Q99:T99"/>
    <mergeCell ref="U99:X99"/>
    <mergeCell ref="Y102:Z102"/>
    <mergeCell ref="Q100:T100"/>
    <mergeCell ref="AA105:AB105"/>
    <mergeCell ref="AA103:AB103"/>
    <mergeCell ref="Y107:Z107"/>
    <mergeCell ref="M40:P40"/>
    <mergeCell ref="Q40:T40"/>
    <mergeCell ref="U40:X40"/>
    <mergeCell ref="Q44:T44"/>
    <mergeCell ref="U44:X44"/>
    <mergeCell ref="Q49:T49"/>
    <mergeCell ref="U49:X49"/>
    <mergeCell ref="Q48:T48"/>
    <mergeCell ref="AA33:AB34"/>
    <mergeCell ref="AA46:AB46"/>
    <mergeCell ref="U46:X46"/>
    <mergeCell ref="AA45:AB45"/>
    <mergeCell ref="AA40:AB40"/>
    <mergeCell ref="AA39:AB39"/>
    <mergeCell ref="AA38:AB38"/>
    <mergeCell ref="AA43:AB43"/>
    <mergeCell ref="U48:X48"/>
    <mergeCell ref="AA48:AB48"/>
    <mergeCell ref="Q43:T43"/>
    <mergeCell ref="B12:AF14"/>
    <mergeCell ref="J35:L35"/>
    <mergeCell ref="M35:P35"/>
    <mergeCell ref="M31:P34"/>
    <mergeCell ref="J31:L34"/>
    <mergeCell ref="Q36:T36"/>
    <mergeCell ref="J37:L37"/>
    <mergeCell ref="U37:X37"/>
    <mergeCell ref="Y35:Z35"/>
    <mergeCell ref="Y36:Z36"/>
    <mergeCell ref="Y37:Z37"/>
    <mergeCell ref="M37:P37"/>
    <mergeCell ref="Q37:T37"/>
    <mergeCell ref="J36:L36"/>
    <mergeCell ref="AA35:AB35"/>
    <mergeCell ref="AA37:AB37"/>
    <mergeCell ref="AC115:AF115"/>
    <mergeCell ref="B116:B120"/>
    <mergeCell ref="U116:X120"/>
    <mergeCell ref="AC116:AF120"/>
    <mergeCell ref="B115:I115"/>
    <mergeCell ref="J115:L115"/>
    <mergeCell ref="M115:P115"/>
    <mergeCell ref="Q115:T115"/>
    <mergeCell ref="U115:X115"/>
    <mergeCell ref="AA115:AB115"/>
    <mergeCell ref="Y116:Z120"/>
    <mergeCell ref="AA116:AB120"/>
    <mergeCell ref="Y115:Z115"/>
    <mergeCell ref="Q113:T113"/>
    <mergeCell ref="B113:I113"/>
    <mergeCell ref="J113:L113"/>
    <mergeCell ref="AC112:AF112"/>
    <mergeCell ref="B111:I111"/>
    <mergeCell ref="J111:L111"/>
    <mergeCell ref="J38:L38"/>
    <mergeCell ref="Q84:T87"/>
    <mergeCell ref="Y33:Z34"/>
    <mergeCell ref="B36:I36"/>
    <mergeCell ref="B35:I35"/>
    <mergeCell ref="AA50:AB50"/>
    <mergeCell ref="AA49:AB49"/>
    <mergeCell ref="AC49:AF49"/>
    <mergeCell ref="Q42:T42"/>
    <mergeCell ref="U42:X42"/>
    <mergeCell ref="Y42:Z42"/>
    <mergeCell ref="AA42:AB42"/>
    <mergeCell ref="Y48:Z48"/>
    <mergeCell ref="Y49:Z49"/>
    <mergeCell ref="B52:I52"/>
    <mergeCell ref="Y44:Z44"/>
    <mergeCell ref="AA44:AB44"/>
    <mergeCell ref="U43:X43"/>
    <mergeCell ref="B114:I114"/>
    <mergeCell ref="J114:L114"/>
    <mergeCell ref="M114:P114"/>
    <mergeCell ref="Q114:T114"/>
    <mergeCell ref="U114:X114"/>
    <mergeCell ref="B112:I112"/>
    <mergeCell ref="J112:L112"/>
    <mergeCell ref="M112:P112"/>
    <mergeCell ref="M36:P36"/>
    <mergeCell ref="Q39:T39"/>
    <mergeCell ref="B40:I40"/>
    <mergeCell ref="J40:L40"/>
    <mergeCell ref="U39:X39"/>
    <mergeCell ref="B37:I37"/>
    <mergeCell ref="B38:I38"/>
    <mergeCell ref="B39:I39"/>
    <mergeCell ref="J39:L39"/>
    <mergeCell ref="M39:P39"/>
    <mergeCell ref="M38:P38"/>
    <mergeCell ref="Q38:T38"/>
    <mergeCell ref="U38:X38"/>
    <mergeCell ref="B42:I42"/>
    <mergeCell ref="J42:L42"/>
    <mergeCell ref="M42:P42"/>
    <mergeCell ref="B2:K2"/>
    <mergeCell ref="B4:F6"/>
    <mergeCell ref="AB4:AF4"/>
    <mergeCell ref="AB5:AF7"/>
    <mergeCell ref="AC35:AF35"/>
    <mergeCell ref="AC36:AF36"/>
    <mergeCell ref="U35:X35"/>
    <mergeCell ref="V11:AF11"/>
    <mergeCell ref="B11:U11"/>
    <mergeCell ref="H4:AA6"/>
    <mergeCell ref="B16:C16"/>
    <mergeCell ref="B31:B34"/>
    <mergeCell ref="H7:AA7"/>
    <mergeCell ref="U36:X36"/>
    <mergeCell ref="C31:I34"/>
    <mergeCell ref="AA36:AB36"/>
    <mergeCell ref="R29:AE29"/>
    <mergeCell ref="Y31:AB32"/>
    <mergeCell ref="U31:X34"/>
    <mergeCell ref="Q31:T34"/>
    <mergeCell ref="Q35:T35"/>
    <mergeCell ref="AB8:AD9"/>
    <mergeCell ref="H8:AA9"/>
    <mergeCell ref="AE8:AF9"/>
    <mergeCell ref="B48:I48"/>
    <mergeCell ref="J51:L51"/>
    <mergeCell ref="B49:I49"/>
    <mergeCell ref="J49:L49"/>
    <mergeCell ref="M49:P49"/>
    <mergeCell ref="J48:L48"/>
    <mergeCell ref="M48:P48"/>
    <mergeCell ref="M51:P51"/>
    <mergeCell ref="Q51:T51"/>
    <mergeCell ref="B51:I51"/>
    <mergeCell ref="BA22:BC22"/>
    <mergeCell ref="BA23:BA34"/>
    <mergeCell ref="BB23:BB34"/>
    <mergeCell ref="BC23:BC34"/>
    <mergeCell ref="BA75:BC75"/>
    <mergeCell ref="BA76:BA87"/>
    <mergeCell ref="BB76:BB87"/>
    <mergeCell ref="BC76:BC87"/>
    <mergeCell ref="AO33:AO34"/>
    <mergeCell ref="AO31:AP32"/>
    <mergeCell ref="AP33:AP34"/>
    <mergeCell ref="AJ27:AQ27"/>
    <mergeCell ref="AJ29:AQ29"/>
    <mergeCell ref="AJ78:AQ78"/>
    <mergeCell ref="AJ80:AQ80"/>
    <mergeCell ref="AJ82:AQ82"/>
    <mergeCell ref="AL84:AL87"/>
    <mergeCell ref="AK31:AK34"/>
    <mergeCell ref="AL31:AL34"/>
    <mergeCell ref="AK84:AK87"/>
    <mergeCell ref="AJ84:AJ87"/>
    <mergeCell ref="AN31:AN34"/>
    <mergeCell ref="AQ31:AQ34"/>
    <mergeCell ref="AM31:AM34"/>
    <mergeCell ref="AN84:AN87"/>
    <mergeCell ref="AM84:AM87"/>
    <mergeCell ref="AC97:AF97"/>
    <mergeCell ref="AC51:AF51"/>
    <mergeCell ref="AC50:AF50"/>
    <mergeCell ref="AC95:AF95"/>
    <mergeCell ref="AJ25:AQ25"/>
    <mergeCell ref="AC88:AF88"/>
    <mergeCell ref="AQ84:AQ87"/>
    <mergeCell ref="AO84:AP85"/>
    <mergeCell ref="AP86:AP87"/>
    <mergeCell ref="AO86:AO87"/>
    <mergeCell ref="AC38:AF38"/>
    <mergeCell ref="AC39:AF39"/>
    <mergeCell ref="AC40:AF40"/>
    <mergeCell ref="AJ31:AJ34"/>
    <mergeCell ref="AC43:AF43"/>
    <mergeCell ref="AC37:AF37"/>
    <mergeCell ref="AC48:AF48"/>
    <mergeCell ref="AC54:AF54"/>
    <mergeCell ref="AC46:AF46"/>
    <mergeCell ref="AC47:AF47"/>
    <mergeCell ref="AC45:AF45"/>
    <mergeCell ref="AC31:AF34"/>
    <mergeCell ref="AC89:AF89"/>
    <mergeCell ref="AC99:AF99"/>
    <mergeCell ref="AC98:AF98"/>
    <mergeCell ref="AC90:AF90"/>
    <mergeCell ref="AC91:AF91"/>
    <mergeCell ref="AC53:AF53"/>
    <mergeCell ref="AC44:AF44"/>
    <mergeCell ref="AC84:AF87"/>
    <mergeCell ref="AA52:AB52"/>
    <mergeCell ref="AA51:AB51"/>
    <mergeCell ref="AA55:AB59"/>
    <mergeCell ref="AA94:AB94"/>
    <mergeCell ref="AA53:AB53"/>
    <mergeCell ref="AA89:AB89"/>
    <mergeCell ref="R82:AE82"/>
    <mergeCell ref="U89:X89"/>
    <mergeCell ref="Q52:T52"/>
    <mergeCell ref="U52:X52"/>
    <mergeCell ref="AC52:AF52"/>
    <mergeCell ref="Y89:Z89"/>
    <mergeCell ref="U51:X51"/>
    <mergeCell ref="Y50:Z50"/>
    <mergeCell ref="Y51:Z51"/>
    <mergeCell ref="AA102:AB102"/>
    <mergeCell ref="AC102:AF102"/>
    <mergeCell ref="AA96:AB96"/>
    <mergeCell ref="AC96:AF96"/>
    <mergeCell ref="AC93:AF93"/>
    <mergeCell ref="AC94:AF94"/>
    <mergeCell ref="AC92:AF92"/>
    <mergeCell ref="AC101:AF101"/>
    <mergeCell ref="AA101:AB101"/>
    <mergeCell ref="AA98:AB98"/>
    <mergeCell ref="AA100:AB100"/>
    <mergeCell ref="AC100:AF100"/>
  </mergeCells>
  <conditionalFormatting sqref="B2">
    <cfRule type="expression" dxfId="288" priority="576" stopIfTrue="1">
      <formula>IF(OR($AG$16,$AG$69),1,0)</formula>
    </cfRule>
  </conditionalFormatting>
  <conditionalFormatting sqref="B21">
    <cfRule type="expression" dxfId="287" priority="3">
      <formula>(A29=0)</formula>
    </cfRule>
  </conditionalFormatting>
  <conditionalFormatting sqref="B74">
    <cfRule type="expression" dxfId="286" priority="4">
      <formula>(A82=0)</formula>
    </cfRule>
  </conditionalFormatting>
  <conditionalFormatting sqref="B11:AF11">
    <cfRule type="expression" dxfId="285" priority="33">
      <formula>IF(NoColor,1,0)</formula>
    </cfRule>
  </conditionalFormatting>
  <conditionalFormatting sqref="B35:AF54">
    <cfRule type="expression" dxfId="284" priority="29">
      <formula>IF(NoColor,1,0)</formula>
    </cfRule>
  </conditionalFormatting>
  <conditionalFormatting sqref="B64:AF64">
    <cfRule type="expression" dxfId="283" priority="26">
      <formula>IF(NoColor,1,0)</formula>
    </cfRule>
  </conditionalFormatting>
  <conditionalFormatting sqref="B88:AF115">
    <cfRule type="expression" dxfId="282" priority="1">
      <formula>IF(NoColor,1,0)</formula>
    </cfRule>
  </conditionalFormatting>
  <conditionalFormatting sqref="C25">
    <cfRule type="expression" dxfId="281" priority="32">
      <formula>IF(NoColor,1,0)</formula>
    </cfRule>
  </conditionalFormatting>
  <conditionalFormatting sqref="C27">
    <cfRule type="expression" dxfId="280" priority="14">
      <formula>IF(NoColor,1,0)</formula>
    </cfRule>
  </conditionalFormatting>
  <conditionalFormatting sqref="C29">
    <cfRule type="expression" dxfId="279" priority="13">
      <formula>IF(NoColor,1,0)</formula>
    </cfRule>
  </conditionalFormatting>
  <conditionalFormatting sqref="C78">
    <cfRule type="expression" dxfId="278" priority="25">
      <formula>IF(NoColor,1,0)</formula>
    </cfRule>
  </conditionalFormatting>
  <conditionalFormatting sqref="C80">
    <cfRule type="expression" dxfId="277" priority="12">
      <formula>IF(NoColor,1,0)</formula>
    </cfRule>
  </conditionalFormatting>
  <conditionalFormatting sqref="C82">
    <cfRule type="expression" dxfId="276" priority="11">
      <formula>IF(NoColor,1,0)</formula>
    </cfRule>
  </conditionalFormatting>
  <conditionalFormatting sqref="J35:J54">
    <cfRule type="expression" dxfId="275" priority="35" stopIfTrue="1">
      <formula>IF(AND($L$2="",AG35&lt;&gt;0),TRUE,FALSE)</formula>
    </cfRule>
  </conditionalFormatting>
  <conditionalFormatting sqref="J88:J115">
    <cfRule type="expression" dxfId="274" priority="22" stopIfTrue="1">
      <formula>IF(AND($L$2="",AG88&lt;&gt;0),TRUE,FALSE)</formula>
    </cfRule>
  </conditionalFormatting>
  <conditionalFormatting sqref="K74">
    <cfRule type="expression" dxfId="273" priority="5">
      <formula>IF($A$82&gt;1,1,0)</formula>
    </cfRule>
  </conditionalFormatting>
  <conditionalFormatting sqref="L2">
    <cfRule type="expression" dxfId="272" priority="575" stopIfTrue="1">
      <formula>IF(OR($AG$16,$AG$69),1,0)</formula>
    </cfRule>
  </conditionalFormatting>
  <conditionalFormatting sqref="L21">
    <cfRule type="expression" dxfId="271" priority="2">
      <formula>(A29&gt;1)</formula>
    </cfRule>
  </conditionalFormatting>
  <conditionalFormatting sqref="M35:M54">
    <cfRule type="expression" dxfId="270" priority="34" stopIfTrue="1">
      <formula>IF(AND($L$2="",AG35&gt;0),TRUE,FALSE)</formula>
    </cfRule>
  </conditionalFormatting>
  <conditionalFormatting sqref="M88:M115">
    <cfRule type="expression" dxfId="269" priority="21" stopIfTrue="1">
      <formula>IF(AND($L$2="",AG88&gt;0),TRUE,FALSE)</formula>
    </cfRule>
  </conditionalFormatting>
  <conditionalFormatting sqref="P69">
    <cfRule type="expression" dxfId="268" priority="537" stopIfTrue="1">
      <formula>IF(AND($L$2="",$AG$69),TRUE,FALSE)</formula>
    </cfRule>
  </conditionalFormatting>
  <conditionalFormatting sqref="Q55:X59">
    <cfRule type="expression" dxfId="267" priority="28">
      <formula>IF(NoColor,1,0)</formula>
    </cfRule>
  </conditionalFormatting>
  <conditionalFormatting sqref="Q116:X120">
    <cfRule type="expression" dxfId="266" priority="16">
      <formula>IF(NoColor,1,0)</formula>
    </cfRule>
  </conditionalFormatting>
  <conditionalFormatting sqref="T16:T19">
    <cfRule type="expression" dxfId="265" priority="129" stopIfTrue="1">
      <formula>IF(AND($L$2="",$AG$16),TRUE,FALSE)</formula>
    </cfRule>
  </conditionalFormatting>
  <conditionalFormatting sqref="T69">
    <cfRule type="expression" dxfId="264" priority="128" stopIfTrue="1">
      <formula>IF(AND($L$2="",$AG$69),TRUE,FALSE)</formula>
    </cfRule>
  </conditionalFormatting>
  <conditionalFormatting sqref="T70:T72">
    <cfRule type="expression" dxfId="263" priority="9" stopIfTrue="1">
      <formula>IF(AND($L$2="",$AG$16),TRUE,FALSE)</formula>
    </cfRule>
  </conditionalFormatting>
  <conditionalFormatting sqref="AA55:AF59">
    <cfRule type="expression" dxfId="262" priority="27">
      <formula>IF(NoColor,1,0)</formula>
    </cfRule>
  </conditionalFormatting>
  <conditionalFormatting sqref="AA116:AF120">
    <cfRule type="expression" dxfId="261" priority="15">
      <formula>IF(NoColor,1,0)</formula>
    </cfRule>
  </conditionalFormatting>
  <printOptions horizontalCentered="1"/>
  <pageMargins left="0.2" right="0.2" top="0.3" bottom="0.25" header="0" footer="0"/>
  <pageSetup scale="80" fitToHeight="2" orientation="portrait" r:id="rId1"/>
  <rowBreaks count="1" manualBreakCount="1">
    <brk id="61" min="1" max="31" man="1"/>
  </rowBreak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C123"/>
  <sheetViews>
    <sheetView zoomScaleNormal="100" zoomScaleSheetLayoutView="100" workbookViewId="0"/>
  </sheetViews>
  <sheetFormatPr defaultColWidth="3.7109375" defaultRowHeight="12.75"/>
  <cols>
    <col min="1" max="1" width="3.7109375" style="1098" customWidth="1"/>
    <col min="2" max="2" width="4.140625" style="42" customWidth="1"/>
    <col min="3" max="3" width="2.28515625" style="42" customWidth="1"/>
    <col min="4" max="9" width="3.7109375" style="42" customWidth="1"/>
    <col min="10" max="10" width="4" style="42" customWidth="1"/>
    <col min="11" max="11" width="6.85546875" style="42" customWidth="1"/>
    <col min="12" max="12" width="4" style="42" customWidth="1"/>
    <col min="13" max="19" width="3.7109375" style="42" customWidth="1"/>
    <col min="20" max="23" width="3.85546875" style="42" customWidth="1"/>
    <col min="24" max="24" width="3.7109375" style="42" customWidth="1"/>
    <col min="25" max="26" width="5.42578125" style="42" customWidth="1"/>
    <col min="27" max="27" width="8.42578125" style="42" customWidth="1"/>
    <col min="28" max="28" width="6.42578125" style="42" customWidth="1"/>
    <col min="29" max="32" width="3.7109375" style="42" customWidth="1"/>
    <col min="33" max="33" width="6" style="1289" customWidth="1"/>
    <col min="34" max="34" width="4.85546875" style="313" customWidth="1"/>
    <col min="35" max="35" width="8.5703125" style="313" bestFit="1" customWidth="1"/>
    <col min="36" max="36" width="29.28515625" style="42" customWidth="1"/>
    <col min="37" max="40" width="13.7109375" style="42" customWidth="1"/>
    <col min="41" max="41" width="10" style="42" customWidth="1"/>
    <col min="42" max="42" width="15.5703125" style="42" customWidth="1"/>
    <col min="43" max="43" width="15.42578125" style="42" customWidth="1"/>
    <col min="44" max="44" width="3.7109375" style="42"/>
    <col min="45" max="46" width="5" style="42" hidden="1" customWidth="1"/>
    <col min="47" max="47" width="0" style="42" hidden="1" customWidth="1"/>
    <col min="48" max="48" width="1.7109375" style="42" hidden="1" customWidth="1"/>
    <col min="49" max="49" width="5" style="42" hidden="1" customWidth="1"/>
    <col min="50" max="52" width="0" style="42" hidden="1" customWidth="1"/>
    <col min="53" max="55" width="7" style="42" hidden="1" customWidth="1"/>
    <col min="56" max="16384" width="3.7109375" style="42"/>
  </cols>
  <sheetData>
    <row r="1" spans="1:34">
      <c r="A1" s="1127"/>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021"/>
    </row>
    <row r="2" spans="1:34">
      <c r="A2" s="78"/>
      <c r="B2" s="9709" t="s">
        <v>710</v>
      </c>
      <c r="C2" s="9710"/>
      <c r="D2" s="9710"/>
      <c r="E2" s="9710"/>
      <c r="F2" s="9710"/>
      <c r="G2" s="9710"/>
      <c r="H2" s="9710"/>
      <c r="I2" s="9710"/>
      <c r="J2" s="9710"/>
      <c r="K2" s="9710"/>
      <c r="L2" s="1161"/>
      <c r="M2" s="78"/>
      <c r="N2" s="78"/>
      <c r="O2" s="78"/>
      <c r="P2" s="78"/>
      <c r="Q2" s="78"/>
      <c r="R2" s="78"/>
      <c r="S2" s="78"/>
      <c r="T2" s="78"/>
      <c r="U2" s="78"/>
      <c r="V2" s="78"/>
      <c r="W2" s="78"/>
      <c r="X2" s="78"/>
      <c r="Y2" s="78"/>
      <c r="Z2" s="78"/>
      <c r="AA2" s="1009"/>
      <c r="AB2" s="78"/>
      <c r="AC2" s="78"/>
      <c r="AD2" s="78"/>
      <c r="AE2" s="78"/>
      <c r="AF2" s="78"/>
      <c r="AG2" s="1021"/>
    </row>
    <row r="3" spans="1:34">
      <c r="A3" s="1127"/>
      <c r="B3" s="1127"/>
      <c r="C3" s="1127"/>
      <c r="D3" s="1127"/>
      <c r="E3" s="1127"/>
      <c r="F3" s="1127"/>
      <c r="G3" s="1127"/>
      <c r="H3" s="1127"/>
      <c r="I3" s="1127"/>
      <c r="J3" s="1127"/>
      <c r="K3" s="1127"/>
      <c r="L3" s="1127"/>
      <c r="M3" s="1127"/>
      <c r="N3" s="1127"/>
      <c r="O3" s="1127"/>
      <c r="P3" s="1127"/>
      <c r="Q3" s="1127"/>
      <c r="R3" s="1127"/>
      <c r="S3" s="1127"/>
      <c r="T3" s="1127"/>
      <c r="U3" s="1127"/>
      <c r="V3" s="1127"/>
      <c r="W3" s="1127"/>
      <c r="X3" s="1127"/>
      <c r="Y3" s="1127"/>
      <c r="Z3" s="1127"/>
      <c r="AA3" s="1127"/>
      <c r="AB3" s="1127"/>
      <c r="AC3" s="1127"/>
      <c r="AD3" s="1127"/>
      <c r="AE3" s="1127"/>
      <c r="AF3" s="1127"/>
      <c r="AG3" s="1021"/>
    </row>
    <row r="4" spans="1:34" ht="11.25" customHeight="1">
      <c r="A4" s="1127"/>
      <c r="B4" s="9711" t="s">
        <v>618</v>
      </c>
      <c r="C4" s="8624"/>
      <c r="D4" s="8624"/>
      <c r="E4" s="8624"/>
      <c r="F4" s="8624"/>
      <c r="G4" s="23"/>
      <c r="H4" s="9719" t="s">
        <v>619</v>
      </c>
      <c r="I4" s="9720"/>
      <c r="J4" s="9720"/>
      <c r="K4" s="9720"/>
      <c r="L4" s="9720"/>
      <c r="M4" s="9720"/>
      <c r="N4" s="9720"/>
      <c r="O4" s="9720"/>
      <c r="P4" s="9720"/>
      <c r="Q4" s="9720"/>
      <c r="R4" s="9720"/>
      <c r="S4" s="9720"/>
      <c r="T4" s="9720"/>
      <c r="U4" s="9720"/>
      <c r="V4" s="9720"/>
      <c r="W4" s="9720"/>
      <c r="X4" s="9720"/>
      <c r="Y4" s="9720"/>
      <c r="Z4" s="9720"/>
      <c r="AA4" s="9721"/>
      <c r="AB4" s="9712" t="s">
        <v>152</v>
      </c>
      <c r="AC4" s="8628"/>
      <c r="AD4" s="8628"/>
      <c r="AE4" s="8628"/>
      <c r="AF4" s="8628"/>
      <c r="AG4" s="1021"/>
      <c r="AH4" s="1091"/>
    </row>
    <row r="5" spans="1:34" ht="11.25" customHeight="1">
      <c r="A5" s="1127"/>
      <c r="B5" s="8624"/>
      <c r="C5" s="8624"/>
      <c r="D5" s="8624"/>
      <c r="E5" s="8624"/>
      <c r="F5" s="8624"/>
      <c r="G5" s="23"/>
      <c r="H5" s="9722"/>
      <c r="I5" s="9720"/>
      <c r="J5" s="9720"/>
      <c r="K5" s="9720"/>
      <c r="L5" s="9720"/>
      <c r="M5" s="9720"/>
      <c r="N5" s="9720"/>
      <c r="O5" s="9720"/>
      <c r="P5" s="9720"/>
      <c r="Q5" s="9720"/>
      <c r="R5" s="9720"/>
      <c r="S5" s="9720"/>
      <c r="T5" s="9720"/>
      <c r="U5" s="9720"/>
      <c r="V5" s="9720"/>
      <c r="W5" s="9720"/>
      <c r="X5" s="9720"/>
      <c r="Y5" s="9720"/>
      <c r="Z5" s="9720"/>
      <c r="AA5" s="9721"/>
      <c r="AB5" s="9713">
        <f>TaxYear</f>
        <v>2021</v>
      </c>
      <c r="AC5" s="8624"/>
      <c r="AD5" s="8624"/>
      <c r="AE5" s="8624"/>
      <c r="AF5" s="8624"/>
      <c r="AG5" s="1021"/>
      <c r="AH5" s="1091"/>
    </row>
    <row r="6" spans="1:34" ht="11.25" customHeight="1">
      <c r="A6" s="1127"/>
      <c r="B6" s="8624"/>
      <c r="C6" s="8624"/>
      <c r="D6" s="8624"/>
      <c r="E6" s="8624"/>
      <c r="F6" s="8624"/>
      <c r="G6" s="23"/>
      <c r="H6" s="9180"/>
      <c r="I6" s="6371"/>
      <c r="J6" s="6371"/>
      <c r="K6" s="6371"/>
      <c r="L6" s="6371"/>
      <c r="M6" s="6371"/>
      <c r="N6" s="6371"/>
      <c r="O6" s="6371"/>
      <c r="P6" s="6371"/>
      <c r="Q6" s="6371"/>
      <c r="R6" s="6371"/>
      <c r="S6" s="6371"/>
      <c r="T6" s="6371"/>
      <c r="U6" s="6371"/>
      <c r="V6" s="6371"/>
      <c r="W6" s="6371"/>
      <c r="X6" s="6371"/>
      <c r="Y6" s="6371"/>
      <c r="Z6" s="6371"/>
      <c r="AA6" s="8426"/>
      <c r="AB6" s="8624"/>
      <c r="AC6" s="8624"/>
      <c r="AD6" s="8624"/>
      <c r="AE6" s="8624"/>
      <c r="AF6" s="8624"/>
      <c r="AG6" s="1021"/>
      <c r="AH6" s="1089"/>
    </row>
    <row r="7" spans="1:34" ht="11.25" customHeight="1">
      <c r="A7" s="1127"/>
      <c r="B7" s="23"/>
      <c r="C7" s="23"/>
      <c r="D7" s="23"/>
      <c r="E7" s="23"/>
      <c r="F7" s="23"/>
      <c r="G7" s="23"/>
      <c r="H7" s="9729" t="s">
        <v>2052</v>
      </c>
      <c r="I7" s="9730"/>
      <c r="J7" s="9730"/>
      <c r="K7" s="9730"/>
      <c r="L7" s="9730"/>
      <c r="M7" s="9730"/>
      <c r="N7" s="9730"/>
      <c r="O7" s="9730"/>
      <c r="P7" s="9730"/>
      <c r="Q7" s="9730"/>
      <c r="R7" s="9730"/>
      <c r="S7" s="9730"/>
      <c r="T7" s="9730"/>
      <c r="U7" s="9730"/>
      <c r="V7" s="9730"/>
      <c r="W7" s="9730"/>
      <c r="X7" s="9730"/>
      <c r="Y7" s="9730"/>
      <c r="Z7" s="9730"/>
      <c r="AA7" s="9731"/>
      <c r="AB7" s="8624"/>
      <c r="AC7" s="8624"/>
      <c r="AD7" s="8624"/>
      <c r="AE7" s="8624"/>
      <c r="AF7" s="8624"/>
      <c r="AG7" s="1021"/>
    </row>
    <row r="8" spans="1:34" ht="10.5" customHeight="1">
      <c r="A8" s="1127"/>
      <c r="B8" s="30" t="s">
        <v>176</v>
      </c>
      <c r="C8" s="23"/>
      <c r="D8" s="23"/>
      <c r="E8" s="23"/>
      <c r="F8" s="23"/>
      <c r="G8" s="23"/>
      <c r="H8" s="9729" t="s">
        <v>1049</v>
      </c>
      <c r="I8" s="9730"/>
      <c r="J8" s="9730"/>
      <c r="K8" s="9730"/>
      <c r="L8" s="9730"/>
      <c r="M8" s="9730"/>
      <c r="N8" s="9730"/>
      <c r="O8" s="9730"/>
      <c r="P8" s="9730"/>
      <c r="Q8" s="9730"/>
      <c r="R8" s="9730"/>
      <c r="S8" s="9730"/>
      <c r="T8" s="9730"/>
      <c r="U8" s="9730"/>
      <c r="V8" s="9730"/>
      <c r="W8" s="9730"/>
      <c r="X8" s="9730"/>
      <c r="Y8" s="9730"/>
      <c r="Z8" s="9730"/>
      <c r="AA8" s="9731"/>
      <c r="AB8" s="9752" t="s">
        <v>2729</v>
      </c>
      <c r="AC8" s="6451"/>
      <c r="AD8" s="6451"/>
      <c r="AE8" s="7834" t="s">
        <v>2806</v>
      </c>
      <c r="AF8" s="7834"/>
      <c r="AG8" s="1021"/>
    </row>
    <row r="9" spans="1:34" ht="10.5" customHeight="1" thickBot="1">
      <c r="A9" s="1127"/>
      <c r="B9" s="29" t="s">
        <v>395</v>
      </c>
      <c r="C9" s="36"/>
      <c r="D9" s="36"/>
      <c r="E9" s="36"/>
      <c r="F9" s="36"/>
      <c r="G9" s="36"/>
      <c r="H9" s="9756"/>
      <c r="I9" s="9757"/>
      <c r="J9" s="9757"/>
      <c r="K9" s="9757"/>
      <c r="L9" s="9757"/>
      <c r="M9" s="9757"/>
      <c r="N9" s="9757"/>
      <c r="O9" s="9757"/>
      <c r="P9" s="9757"/>
      <c r="Q9" s="9757"/>
      <c r="R9" s="9757"/>
      <c r="S9" s="9757"/>
      <c r="T9" s="9757"/>
      <c r="U9" s="9757"/>
      <c r="V9" s="9757"/>
      <c r="W9" s="9757"/>
      <c r="X9" s="9757"/>
      <c r="Y9" s="9757"/>
      <c r="Z9" s="9757"/>
      <c r="AA9" s="9758"/>
      <c r="AB9" s="9796"/>
      <c r="AC9" s="9797"/>
      <c r="AD9" s="9797"/>
      <c r="AE9" s="7835"/>
      <c r="AF9" s="7835"/>
      <c r="AG9" s="1021"/>
    </row>
    <row r="10" spans="1:34">
      <c r="A10" s="1127"/>
      <c r="B10" s="30" t="s">
        <v>55</v>
      </c>
      <c r="C10" s="23"/>
      <c r="D10" s="23"/>
      <c r="E10" s="23"/>
      <c r="F10" s="23"/>
      <c r="G10" s="23"/>
      <c r="H10" s="23"/>
      <c r="I10" s="23"/>
      <c r="J10" s="23"/>
      <c r="K10" s="23"/>
      <c r="L10" s="23"/>
      <c r="M10" s="23"/>
      <c r="N10" s="23"/>
      <c r="O10" s="23"/>
      <c r="P10" s="23"/>
      <c r="Q10" s="23"/>
      <c r="R10" s="23"/>
      <c r="S10" s="23"/>
      <c r="T10" s="23"/>
      <c r="U10" s="23"/>
      <c r="V10" s="1236" t="s">
        <v>735</v>
      </c>
      <c r="W10" s="23"/>
      <c r="X10" s="23"/>
      <c r="Y10" s="23"/>
      <c r="Z10" s="34"/>
      <c r="AA10" s="23"/>
      <c r="AB10" s="23"/>
      <c r="AC10" s="23"/>
      <c r="AD10" s="23"/>
      <c r="AE10" s="23"/>
      <c r="AF10" s="23"/>
      <c r="AG10" s="1021"/>
    </row>
    <row r="11" spans="1:34" ht="16.5" thickBot="1">
      <c r="A11" s="1127"/>
      <c r="B11" s="9716" t="str">
        <f>Names</f>
        <v/>
      </c>
      <c r="C11" s="9717"/>
      <c r="D11" s="9717"/>
      <c r="E11" s="9717"/>
      <c r="F11" s="9717"/>
      <c r="G11" s="9717"/>
      <c r="H11" s="9717"/>
      <c r="I11" s="9717"/>
      <c r="J11" s="9717"/>
      <c r="K11" s="9717"/>
      <c r="L11" s="9717"/>
      <c r="M11" s="9717"/>
      <c r="N11" s="9717"/>
      <c r="O11" s="9717"/>
      <c r="P11" s="9717"/>
      <c r="Q11" s="9717"/>
      <c r="R11" s="9717"/>
      <c r="S11" s="9717"/>
      <c r="T11" s="9717"/>
      <c r="U11" s="9718"/>
      <c r="V11" s="9714">
        <f>IF(NoSSN,"",SS_Yours)</f>
        <v>1010001</v>
      </c>
      <c r="W11" s="9715"/>
      <c r="X11" s="9715"/>
      <c r="Y11" s="9715"/>
      <c r="Z11" s="9715"/>
      <c r="AA11" s="9715"/>
      <c r="AB11" s="9715"/>
      <c r="AC11" s="9715"/>
      <c r="AD11" s="9715"/>
      <c r="AE11" s="9715"/>
      <c r="AF11" s="9715"/>
      <c r="AG11" s="1021"/>
    </row>
    <row r="12" spans="1:34" ht="12.75" customHeight="1">
      <c r="A12" s="1127"/>
      <c r="B12" s="9775" t="s">
        <v>1590</v>
      </c>
      <c r="C12" s="9776"/>
      <c r="D12" s="9776"/>
      <c r="E12" s="9776"/>
      <c r="F12" s="9776"/>
      <c r="G12" s="9776"/>
      <c r="H12" s="9776"/>
      <c r="I12" s="9776"/>
      <c r="J12" s="9776"/>
      <c r="K12" s="9776"/>
      <c r="L12" s="9776"/>
      <c r="M12" s="9776"/>
      <c r="N12" s="9776"/>
      <c r="O12" s="9776"/>
      <c r="P12" s="9776"/>
      <c r="Q12" s="9776"/>
      <c r="R12" s="9776"/>
      <c r="S12" s="9776"/>
      <c r="T12" s="9776"/>
      <c r="U12" s="9776"/>
      <c r="V12" s="9776"/>
      <c r="W12" s="9776"/>
      <c r="X12" s="9776"/>
      <c r="Y12" s="9776"/>
      <c r="Z12" s="9776"/>
      <c r="AA12" s="9776"/>
      <c r="AB12" s="9776"/>
      <c r="AC12" s="9776"/>
      <c r="AD12" s="9776"/>
      <c r="AE12" s="9776"/>
      <c r="AF12" s="9776"/>
      <c r="AG12" s="1021"/>
    </row>
    <row r="13" spans="1:34" ht="12.75" customHeight="1">
      <c r="A13" s="1127"/>
      <c r="B13" s="7093"/>
      <c r="C13" s="7093"/>
      <c r="D13" s="7093"/>
      <c r="E13" s="7093"/>
      <c r="F13" s="7093"/>
      <c r="G13" s="7093"/>
      <c r="H13" s="7093"/>
      <c r="I13" s="7093"/>
      <c r="J13" s="7093"/>
      <c r="K13" s="7093"/>
      <c r="L13" s="7093"/>
      <c r="M13" s="7093"/>
      <c r="N13" s="7093"/>
      <c r="O13" s="7093"/>
      <c r="P13" s="7093"/>
      <c r="Q13" s="7093"/>
      <c r="R13" s="7093"/>
      <c r="S13" s="7093"/>
      <c r="T13" s="7093"/>
      <c r="U13" s="7093"/>
      <c r="V13" s="7093"/>
      <c r="W13" s="7093"/>
      <c r="X13" s="7093"/>
      <c r="Y13" s="7093"/>
      <c r="Z13" s="7093"/>
      <c r="AA13" s="7093"/>
      <c r="AB13" s="7093"/>
      <c r="AC13" s="7093"/>
      <c r="AD13" s="7093"/>
      <c r="AE13" s="7093"/>
      <c r="AF13" s="7093"/>
      <c r="AG13" s="1021"/>
    </row>
    <row r="14" spans="1:34" ht="12.75" customHeight="1">
      <c r="A14" s="1127"/>
      <c r="B14" s="7776"/>
      <c r="C14" s="7776"/>
      <c r="D14" s="7776"/>
      <c r="E14" s="7776"/>
      <c r="F14" s="7776"/>
      <c r="G14" s="7776"/>
      <c r="H14" s="7776"/>
      <c r="I14" s="7776"/>
      <c r="J14" s="7776"/>
      <c r="K14" s="7776"/>
      <c r="L14" s="7776"/>
      <c r="M14" s="7776"/>
      <c r="N14" s="7776"/>
      <c r="O14" s="7776"/>
      <c r="P14" s="7776"/>
      <c r="Q14" s="7776"/>
      <c r="R14" s="7776"/>
      <c r="S14" s="7776"/>
      <c r="T14" s="7776"/>
      <c r="U14" s="7776"/>
      <c r="V14" s="7776"/>
      <c r="W14" s="7776"/>
      <c r="X14" s="7776"/>
      <c r="Y14" s="7776"/>
      <c r="Z14" s="7776"/>
      <c r="AA14" s="7776"/>
      <c r="AB14" s="7776"/>
      <c r="AC14" s="7776"/>
      <c r="AD14" s="7776"/>
      <c r="AE14" s="7776"/>
      <c r="AF14" s="7776"/>
      <c r="AG14" s="1021"/>
    </row>
    <row r="15" spans="1:34" ht="3.75" customHeight="1">
      <c r="A15" s="1127"/>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1021"/>
    </row>
    <row r="16" spans="1:34" ht="15">
      <c r="A16" s="1127"/>
      <c r="B16" s="9788" t="s">
        <v>51</v>
      </c>
      <c r="C16" s="9789"/>
      <c r="D16" s="23"/>
      <c r="E16" s="343" t="s">
        <v>2054</v>
      </c>
      <c r="F16" s="23"/>
      <c r="G16" s="23"/>
      <c r="H16" s="23"/>
      <c r="I16" s="23"/>
      <c r="J16" s="23"/>
      <c r="K16" s="23"/>
      <c r="L16" s="23"/>
      <c r="M16" s="23"/>
      <c r="N16" s="23"/>
      <c r="O16" s="23"/>
      <c r="P16" s="23"/>
      <c r="Q16" s="23"/>
      <c r="R16" s="23"/>
      <c r="S16" s="23"/>
      <c r="T16" s="412" t="s">
        <v>2053</v>
      </c>
      <c r="U16" s="23"/>
      <c r="V16" s="23"/>
      <c r="W16" s="23"/>
      <c r="X16" s="412" t="s">
        <v>2813</v>
      </c>
      <c r="Y16" s="23"/>
      <c r="Z16" s="23"/>
      <c r="AA16" s="23"/>
      <c r="AB16" s="23"/>
      <c r="AC16" s="23"/>
      <c r="AD16" s="23"/>
      <c r="AE16" s="23"/>
      <c r="AF16" s="23"/>
      <c r="AG16" s="1297" t="b">
        <f>IF(SUM(AG35:AG54)&gt;0,TRUE,FALSE)</f>
        <v>0</v>
      </c>
    </row>
    <row r="17" spans="1:55" ht="11.25" customHeight="1">
      <c r="A17" s="1127"/>
      <c r="B17" s="23"/>
      <c r="C17" s="23"/>
      <c r="D17" s="23"/>
      <c r="E17" s="412" t="s">
        <v>2807</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1021"/>
    </row>
    <row r="18" spans="1:55" s="262" customFormat="1" ht="13.5" customHeight="1">
      <c r="A18" s="2667"/>
      <c r="B18" s="412"/>
      <c r="C18" s="412"/>
      <c r="D18" s="412"/>
      <c r="E18" s="2668" t="s">
        <v>2055</v>
      </c>
      <c r="F18" s="412"/>
      <c r="G18" s="412"/>
      <c r="H18" s="412"/>
      <c r="I18" s="412"/>
      <c r="J18" s="412"/>
      <c r="K18" s="412"/>
      <c r="L18" s="412"/>
      <c r="M18" s="412"/>
      <c r="N18" s="412"/>
      <c r="O18" s="412"/>
      <c r="P18" s="412"/>
      <c r="Q18" s="412"/>
      <c r="R18" s="412"/>
      <c r="S18" s="412"/>
      <c r="T18" s="412"/>
      <c r="U18" s="412"/>
      <c r="V18" s="412"/>
      <c r="W18" s="412"/>
      <c r="X18" s="412"/>
      <c r="Y18" s="412"/>
      <c r="Z18" s="412"/>
      <c r="AA18" s="412"/>
      <c r="AB18" s="412"/>
      <c r="AC18" s="412"/>
      <c r="AD18" s="412"/>
      <c r="AE18" s="412"/>
      <c r="AF18" s="412"/>
      <c r="AG18" s="2667"/>
      <c r="AH18" s="982"/>
      <c r="AI18" s="982"/>
    </row>
    <row r="19" spans="1:55" s="262" customFormat="1" ht="13.5" customHeight="1">
      <c r="A19" s="2667"/>
      <c r="B19" s="412"/>
      <c r="C19" s="412"/>
      <c r="D19" s="412"/>
      <c r="E19" s="412" t="s">
        <v>816</v>
      </c>
      <c r="F19" s="412"/>
      <c r="G19" s="412"/>
      <c r="H19" s="412"/>
      <c r="I19" s="412"/>
      <c r="J19" s="412"/>
      <c r="K19" s="412"/>
      <c r="L19" s="412"/>
      <c r="M19" s="412"/>
      <c r="N19" s="412"/>
      <c r="O19" s="412"/>
      <c r="P19" s="412"/>
      <c r="Q19" s="412"/>
      <c r="R19" s="412"/>
      <c r="S19" s="412"/>
      <c r="T19" s="412"/>
      <c r="U19" s="412"/>
      <c r="V19" s="412"/>
      <c r="W19" s="412"/>
      <c r="X19" s="412"/>
      <c r="Y19" s="412"/>
      <c r="Z19" s="412"/>
      <c r="AA19" s="412"/>
      <c r="AB19" s="412"/>
      <c r="AC19" s="412"/>
      <c r="AD19" s="412"/>
      <c r="AE19" s="412"/>
      <c r="AF19" s="412"/>
      <c r="AG19" s="2667"/>
      <c r="AH19" s="982"/>
      <c r="AI19" s="982"/>
    </row>
    <row r="20" spans="1:55" s="262" customFormat="1" ht="13.5" customHeight="1">
      <c r="A20" s="2667"/>
      <c r="B20" s="2669"/>
      <c r="C20" s="2669"/>
      <c r="D20" s="2669"/>
      <c r="E20" s="2669" t="s">
        <v>2808</v>
      </c>
      <c r="F20" s="2669"/>
      <c r="G20" s="2669"/>
      <c r="H20" s="2669"/>
      <c r="I20" s="2669"/>
      <c r="J20" s="2669"/>
      <c r="K20" s="2669"/>
      <c r="L20" s="2669"/>
      <c r="M20" s="2669"/>
      <c r="N20" s="2669"/>
      <c r="O20" s="2669"/>
      <c r="P20" s="2669"/>
      <c r="Q20" s="2669"/>
      <c r="R20" s="2669"/>
      <c r="S20" s="2669"/>
      <c r="T20" s="2669"/>
      <c r="U20" s="2669"/>
      <c r="V20" s="2669"/>
      <c r="W20" s="2669"/>
      <c r="X20" s="2669"/>
      <c r="Y20" s="2669"/>
      <c r="Z20" s="2669"/>
      <c r="AA20" s="2669"/>
      <c r="AB20" s="2669"/>
      <c r="AC20" s="2669"/>
      <c r="AD20" s="2669"/>
      <c r="AE20" s="2669"/>
      <c r="AF20" s="2669"/>
      <c r="AG20" s="2667"/>
      <c r="AH20" s="982"/>
      <c r="AI20" s="982"/>
    </row>
    <row r="21" spans="1:55">
      <c r="A21" s="1127"/>
      <c r="B21" s="278" t="s">
        <v>725</v>
      </c>
      <c r="C21" s="56"/>
      <c r="D21" s="56"/>
      <c r="E21" s="56"/>
      <c r="F21" s="56"/>
      <c r="G21" s="56"/>
      <c r="H21" s="56"/>
      <c r="I21" s="56"/>
      <c r="J21" s="56"/>
      <c r="K21" s="278"/>
      <c r="L21" s="278" t="s">
        <v>724</v>
      </c>
      <c r="M21" s="56"/>
      <c r="N21" s="56"/>
      <c r="O21" s="56"/>
      <c r="P21" s="56"/>
      <c r="Q21" s="70" t="s">
        <v>723</v>
      </c>
      <c r="R21" s="56"/>
      <c r="S21" s="56"/>
      <c r="T21" s="56"/>
      <c r="U21" s="56"/>
      <c r="V21" s="56"/>
      <c r="W21" s="56"/>
      <c r="X21" s="56"/>
      <c r="Y21" s="56"/>
      <c r="Z21" s="56"/>
      <c r="AA21" s="56"/>
      <c r="AB21" s="56"/>
      <c r="AC21" s="56"/>
      <c r="AD21" s="56"/>
      <c r="AE21" s="56"/>
      <c r="AF21" s="56"/>
      <c r="AG21" s="1021"/>
    </row>
    <row r="22" spans="1:55">
      <c r="A22" s="1127"/>
      <c r="B22" s="70" t="s">
        <v>721</v>
      </c>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1021"/>
      <c r="BA22" s="9699" t="s">
        <v>780</v>
      </c>
      <c r="BB22" s="6206"/>
      <c r="BC22" s="7198"/>
    </row>
    <row r="23" spans="1:55">
      <c r="A23" s="1127"/>
      <c r="B23" s="70" t="s">
        <v>722</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1021"/>
      <c r="BA23" s="9700" t="s">
        <v>779</v>
      </c>
      <c r="BB23" s="9700" t="s">
        <v>770</v>
      </c>
      <c r="BC23" s="9700" t="s">
        <v>771</v>
      </c>
    </row>
    <row r="24" spans="1:55" ht="4.5" customHeight="1" thickBot="1">
      <c r="A24" s="112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1021"/>
      <c r="BA24" s="9701"/>
      <c r="BB24" s="9701"/>
      <c r="BC24" s="9701"/>
    </row>
    <row r="25" spans="1:55" ht="12" customHeight="1" thickBot="1">
      <c r="A25" s="1127"/>
      <c r="B25" s="1258">
        <f>IF(C25&lt;&gt;"",1,0)</f>
        <v>0</v>
      </c>
      <c r="C25" s="1257"/>
      <c r="D25" s="999" t="s">
        <v>2810</v>
      </c>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1021"/>
      <c r="AJ25" s="9694"/>
      <c r="AK25" s="9695"/>
      <c r="AL25" s="9695"/>
      <c r="AM25" s="9695"/>
      <c r="AN25" s="9695"/>
      <c r="AO25" s="9695"/>
      <c r="AP25" s="9695"/>
      <c r="AQ25" s="9695"/>
      <c r="BA25" s="9701"/>
      <c r="BB25" s="9701"/>
      <c r="BC25" s="9701"/>
    </row>
    <row r="26" spans="1:55" ht="4.5" customHeight="1" thickBot="1">
      <c r="A26" s="1127"/>
      <c r="B26" s="1258"/>
      <c r="C26" s="56"/>
      <c r="D26" s="70"/>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1021"/>
      <c r="BA26" s="9701"/>
      <c r="BB26" s="9701"/>
      <c r="BC26" s="9701"/>
    </row>
    <row r="27" spans="1:55" ht="11.25" customHeight="1" thickBot="1">
      <c r="A27" s="1127"/>
      <c r="B27" s="1258">
        <f>IF(C27&lt;&gt;"",1,0)</f>
        <v>0</v>
      </c>
      <c r="C27" s="1257"/>
      <c r="D27" s="999" t="s">
        <v>2809</v>
      </c>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1021"/>
      <c r="AJ27" s="9694"/>
      <c r="AK27" s="9695"/>
      <c r="AL27" s="9695"/>
      <c r="AM27" s="9695"/>
      <c r="AN27" s="9695"/>
      <c r="AO27" s="9695"/>
      <c r="AP27" s="9695"/>
      <c r="AQ27" s="9695"/>
      <c r="BA27" s="9701"/>
      <c r="BB27" s="9701"/>
      <c r="BC27" s="9701"/>
    </row>
    <row r="28" spans="1:55" ht="4.5" customHeight="1" thickBot="1">
      <c r="A28" s="1127"/>
      <c r="B28" s="1258"/>
      <c r="C28" s="56"/>
      <c r="D28" s="70"/>
      <c r="E28" s="56"/>
      <c r="F28" s="56"/>
      <c r="G28" s="56"/>
      <c r="H28" s="56"/>
      <c r="I28" s="56"/>
      <c r="J28" s="56"/>
      <c r="K28" s="56"/>
      <c r="L28" s="56"/>
      <c r="M28" s="56"/>
      <c r="N28" s="56"/>
      <c r="O28" s="56"/>
      <c r="P28" s="56"/>
      <c r="Q28" s="56"/>
      <c r="R28" s="9740"/>
      <c r="S28" s="9741"/>
      <c r="T28" s="9741"/>
      <c r="U28" s="9741"/>
      <c r="V28" s="9741"/>
      <c r="W28" s="9741"/>
      <c r="X28" s="9741"/>
      <c r="Y28" s="9741"/>
      <c r="Z28" s="9741"/>
      <c r="AA28" s="9741"/>
      <c r="AB28" s="9741"/>
      <c r="AC28" s="9741"/>
      <c r="AD28" s="9741"/>
      <c r="AE28" s="9741"/>
      <c r="AF28" s="56"/>
      <c r="AG28" s="1021"/>
      <c r="BA28" s="9701"/>
      <c r="BB28" s="9701"/>
      <c r="BC28" s="9701"/>
    </row>
    <row r="29" spans="1:55" ht="12" customHeight="1" thickBot="1">
      <c r="A29" s="1127">
        <f>SUM(B25:B29)</f>
        <v>0</v>
      </c>
      <c r="B29" s="1258">
        <f>IF(C29&lt;&gt;"",1,0)</f>
        <v>0</v>
      </c>
      <c r="C29" s="1257"/>
      <c r="D29" s="999" t="s">
        <v>2811</v>
      </c>
      <c r="E29" s="56"/>
      <c r="F29" s="56"/>
      <c r="G29" s="56"/>
      <c r="H29" s="56"/>
      <c r="I29" s="56"/>
      <c r="J29" s="56"/>
      <c r="K29" s="56"/>
      <c r="L29" s="56"/>
      <c r="M29" s="56"/>
      <c r="N29" s="56"/>
      <c r="O29" s="56"/>
      <c r="P29" s="56"/>
      <c r="Q29" s="56"/>
      <c r="R29" s="9740" t="str">
        <f>IF(SpaceUsed_8949B_ST,"ERROR: DO NOT use the space bar to uncheck a box. Use the 'Delete' key.",IF(A29&gt;1,"Check only ONE box.",IF(A29&gt;0,"",IF(A29&lt;1,"Check ONE box.",""))))</f>
        <v>Check ONE box.</v>
      </c>
      <c r="S29" s="9741"/>
      <c r="T29" s="9741"/>
      <c r="U29" s="9741"/>
      <c r="V29" s="9741"/>
      <c r="W29" s="9741"/>
      <c r="X29" s="9741"/>
      <c r="Y29" s="9741"/>
      <c r="Z29" s="9741"/>
      <c r="AA29" s="9741"/>
      <c r="AB29" s="9741"/>
      <c r="AC29" s="9741"/>
      <c r="AD29" s="9741"/>
      <c r="AE29" s="9741"/>
      <c r="AF29" s="56"/>
      <c r="AG29" s="1021"/>
      <c r="AH29" s="1430" t="b">
        <f>IF(OR(F8949BSBOXA=CHAR(32),F8949BSBOXB=CHAR(32),F8949BSBOXC=CHAR(32)),TRUE,FALSE)</f>
        <v>0</v>
      </c>
      <c r="AJ29" s="9702" t="s">
        <v>2467</v>
      </c>
      <c r="AK29" s="9695"/>
      <c r="AL29" s="9695"/>
      <c r="AM29" s="9695"/>
      <c r="AN29" s="9695"/>
      <c r="AO29" s="9695"/>
      <c r="AP29" s="9695"/>
      <c r="AQ29" s="9695"/>
      <c r="BA29" s="9701"/>
      <c r="BB29" s="9701"/>
      <c r="BC29" s="9701"/>
    </row>
    <row r="30" spans="1:55" ht="3.75" customHeight="1">
      <c r="A30" s="1127"/>
      <c r="B30" s="279"/>
      <c r="C30" s="1092"/>
      <c r="D30" s="279"/>
      <c r="E30" s="279"/>
      <c r="F30" s="279"/>
      <c r="G30" s="279"/>
      <c r="H30" s="279"/>
      <c r="I30" s="279"/>
      <c r="J30" s="279"/>
      <c r="K30" s="279"/>
      <c r="L30" s="279"/>
      <c r="M30" s="279"/>
      <c r="N30" s="1092"/>
      <c r="O30" s="279"/>
      <c r="P30" s="279"/>
      <c r="Q30" s="279"/>
      <c r="R30" s="279"/>
      <c r="S30" s="279"/>
      <c r="T30" s="279"/>
      <c r="U30" s="279"/>
      <c r="V30" s="279"/>
      <c r="W30" s="279"/>
      <c r="X30" s="279"/>
      <c r="Y30" s="1092"/>
      <c r="Z30" s="279"/>
      <c r="AA30" s="279"/>
      <c r="AB30" s="279"/>
      <c r="AC30" s="279"/>
      <c r="AD30" s="279"/>
      <c r="AE30" s="279"/>
      <c r="AF30" s="279"/>
      <c r="AG30" s="1021"/>
      <c r="BA30" s="9701"/>
      <c r="BB30" s="9701"/>
      <c r="BC30" s="9701"/>
    </row>
    <row r="31" spans="1:55" ht="21" customHeight="1">
      <c r="A31" s="1127"/>
      <c r="B31" s="9725">
        <v>1</v>
      </c>
      <c r="C31" s="9732" t="s">
        <v>620</v>
      </c>
      <c r="D31" s="9733"/>
      <c r="E31" s="9733"/>
      <c r="F31" s="9733"/>
      <c r="G31" s="9733"/>
      <c r="H31" s="9733"/>
      <c r="I31" s="9734"/>
      <c r="J31" s="6448" t="s">
        <v>729</v>
      </c>
      <c r="K31" s="7379"/>
      <c r="L31" s="7155"/>
      <c r="M31" s="6448" t="s">
        <v>5477</v>
      </c>
      <c r="N31" s="7379"/>
      <c r="O31" s="7379"/>
      <c r="P31" s="7155"/>
      <c r="Q31" s="6448" t="s">
        <v>730</v>
      </c>
      <c r="R31" s="7379"/>
      <c r="S31" s="7379"/>
      <c r="T31" s="7155"/>
      <c r="U31" s="9673" t="s">
        <v>734</v>
      </c>
      <c r="V31" s="9674"/>
      <c r="W31" s="9674"/>
      <c r="X31" s="9748"/>
      <c r="Y31" s="9742" t="s">
        <v>2820</v>
      </c>
      <c r="Z31" s="9743"/>
      <c r="AA31" s="9743"/>
      <c r="AB31" s="9744"/>
      <c r="AC31" s="9673" t="s">
        <v>733</v>
      </c>
      <c r="AD31" s="9674"/>
      <c r="AE31" s="9674"/>
      <c r="AF31" s="9674"/>
      <c r="AG31" s="1021"/>
      <c r="AJ31" s="9692" t="s">
        <v>711</v>
      </c>
      <c r="AK31" s="9692" t="s">
        <v>736</v>
      </c>
      <c r="AL31" s="9692" t="s">
        <v>737</v>
      </c>
      <c r="AM31" s="9692" t="s">
        <v>738</v>
      </c>
      <c r="AN31" s="9690" t="s">
        <v>739</v>
      </c>
      <c r="AO31" s="9696" t="s">
        <v>731</v>
      </c>
      <c r="AP31" s="7127"/>
      <c r="AQ31" s="9692" t="s">
        <v>759</v>
      </c>
      <c r="BA31" s="9701"/>
      <c r="BB31" s="9701"/>
      <c r="BC31" s="9701"/>
    </row>
    <row r="32" spans="1:55" ht="21" customHeight="1">
      <c r="A32" s="1127"/>
      <c r="B32" s="9726"/>
      <c r="C32" s="9735"/>
      <c r="D32" s="9736"/>
      <c r="E32" s="9736"/>
      <c r="F32" s="9736"/>
      <c r="G32" s="9736"/>
      <c r="H32" s="9736"/>
      <c r="I32" s="9737"/>
      <c r="J32" s="6450"/>
      <c r="K32" s="8199"/>
      <c r="L32" s="7157"/>
      <c r="M32" s="6450"/>
      <c r="N32" s="8199"/>
      <c r="O32" s="8199"/>
      <c r="P32" s="7157"/>
      <c r="Q32" s="6450"/>
      <c r="R32" s="8199"/>
      <c r="S32" s="8199"/>
      <c r="T32" s="7157"/>
      <c r="U32" s="9675"/>
      <c r="V32" s="9676"/>
      <c r="W32" s="9676"/>
      <c r="X32" s="9749"/>
      <c r="Y32" s="9745"/>
      <c r="Z32" s="9746"/>
      <c r="AA32" s="9746"/>
      <c r="AB32" s="9747"/>
      <c r="AC32" s="9675"/>
      <c r="AD32" s="9676"/>
      <c r="AE32" s="9676"/>
      <c r="AF32" s="9676"/>
      <c r="AG32" s="1021"/>
      <c r="AJ32" s="9692"/>
      <c r="AK32" s="9692"/>
      <c r="AL32" s="9692"/>
      <c r="AM32" s="9692"/>
      <c r="AN32" s="9690"/>
      <c r="AO32" s="7264"/>
      <c r="AP32" s="7133"/>
      <c r="AQ32" s="9692"/>
      <c r="BA32" s="9701"/>
      <c r="BB32" s="9701"/>
      <c r="BC32" s="9701"/>
    </row>
    <row r="33" spans="1:55" ht="18" customHeight="1">
      <c r="A33" s="1127"/>
      <c r="B33" s="9727"/>
      <c r="C33" s="9736"/>
      <c r="D33" s="9736"/>
      <c r="E33" s="9736"/>
      <c r="F33" s="9736"/>
      <c r="G33" s="9736"/>
      <c r="H33" s="9736"/>
      <c r="I33" s="9737"/>
      <c r="J33" s="7156"/>
      <c r="K33" s="8199"/>
      <c r="L33" s="7157"/>
      <c r="M33" s="7156"/>
      <c r="N33" s="8199"/>
      <c r="O33" s="8199"/>
      <c r="P33" s="7157"/>
      <c r="Q33" s="7156"/>
      <c r="R33" s="8199"/>
      <c r="S33" s="8199"/>
      <c r="T33" s="7157"/>
      <c r="U33" s="9677"/>
      <c r="V33" s="9676"/>
      <c r="W33" s="9676"/>
      <c r="X33" s="9749"/>
      <c r="Y33" s="7324" t="s">
        <v>2822</v>
      </c>
      <c r="Z33" s="7155"/>
      <c r="AA33" s="7324" t="s">
        <v>732</v>
      </c>
      <c r="AB33" s="7258"/>
      <c r="AC33" s="9677"/>
      <c r="AD33" s="9676"/>
      <c r="AE33" s="9676"/>
      <c r="AF33" s="9676"/>
      <c r="AG33" s="1021"/>
      <c r="AJ33" s="9693"/>
      <c r="AK33" s="9693"/>
      <c r="AL33" s="9693"/>
      <c r="AM33" s="9693"/>
      <c r="AN33" s="9691"/>
      <c r="AO33" s="9698" t="s">
        <v>740</v>
      </c>
      <c r="AP33" s="7237" t="s">
        <v>732</v>
      </c>
      <c r="AQ33" s="9693"/>
      <c r="BA33" s="9701"/>
      <c r="BB33" s="9701"/>
      <c r="BC33" s="9701"/>
    </row>
    <row r="34" spans="1:55" ht="18" customHeight="1">
      <c r="A34" s="1127"/>
      <c r="B34" s="9728"/>
      <c r="C34" s="9738"/>
      <c r="D34" s="9738"/>
      <c r="E34" s="9738"/>
      <c r="F34" s="9738"/>
      <c r="G34" s="9738"/>
      <c r="H34" s="9738"/>
      <c r="I34" s="9739"/>
      <c r="J34" s="7158"/>
      <c r="K34" s="9751"/>
      <c r="L34" s="7159"/>
      <c r="M34" s="7158"/>
      <c r="N34" s="9751"/>
      <c r="O34" s="9751"/>
      <c r="P34" s="7159"/>
      <c r="Q34" s="7158"/>
      <c r="R34" s="9751"/>
      <c r="S34" s="9751"/>
      <c r="T34" s="7159"/>
      <c r="U34" s="9678"/>
      <c r="V34" s="9679"/>
      <c r="W34" s="9679"/>
      <c r="X34" s="9750"/>
      <c r="Y34" s="7158"/>
      <c r="Z34" s="7159"/>
      <c r="AA34" s="6619"/>
      <c r="AB34" s="7260"/>
      <c r="AC34" s="9678"/>
      <c r="AD34" s="9679"/>
      <c r="AE34" s="9679"/>
      <c r="AF34" s="9679"/>
      <c r="AG34" s="1021"/>
      <c r="AJ34" s="9693"/>
      <c r="AK34" s="9693"/>
      <c r="AL34" s="9693"/>
      <c r="AM34" s="9693"/>
      <c r="AN34" s="9691"/>
      <c r="AO34" s="9697"/>
      <c r="AP34" s="9697"/>
      <c r="AQ34" s="9693"/>
      <c r="BA34" s="9701"/>
      <c r="BB34" s="9701"/>
      <c r="BC34" s="9701"/>
    </row>
    <row r="35" spans="1:55" ht="19.5" customHeight="1">
      <c r="A35" s="1127">
        <f>IF(OR(Q35&lt;&gt;"",U35&lt;&gt;"",AC35&lt;&gt;""),1,0)</f>
        <v>0</v>
      </c>
      <c r="B35" s="9703" t="str">
        <f t="shared" ref="B35:B54" si="0">IF(AJ35="","",AJ35)</f>
        <v/>
      </c>
      <c r="C35" s="9704"/>
      <c r="D35" s="9704"/>
      <c r="E35" s="9704"/>
      <c r="F35" s="9704"/>
      <c r="G35" s="9704"/>
      <c r="H35" s="9704"/>
      <c r="I35" s="9705"/>
      <c r="J35" s="9706" t="str">
        <f t="shared" ref="J35:J54" si="1">IF(AK35="","",AK35)</f>
        <v/>
      </c>
      <c r="K35" s="9707"/>
      <c r="L35" s="9707"/>
      <c r="M35" s="9706" t="str">
        <f t="shared" ref="M35:M54" si="2">IF(AL35="","",AL35)</f>
        <v/>
      </c>
      <c r="N35" s="9707"/>
      <c r="O35" s="9707"/>
      <c r="P35" s="9708"/>
      <c r="Q35" s="6969" t="str">
        <f t="shared" ref="Q35:Q54" si="3">IF(AM35="","",AM35)</f>
        <v/>
      </c>
      <c r="R35" s="9688"/>
      <c r="S35" s="9688"/>
      <c r="T35" s="9689"/>
      <c r="U35" s="6969" t="str">
        <f t="shared" ref="U35:U54" si="4">IF(AN35="","",AN35)</f>
        <v/>
      </c>
      <c r="V35" s="9688"/>
      <c r="W35" s="9688"/>
      <c r="X35" s="9689"/>
      <c r="Y35" s="9670" t="str">
        <f>IF(AO35&lt;&gt;"",AO35,"")</f>
        <v/>
      </c>
      <c r="Z35" s="6222"/>
      <c r="AA35" s="9670" t="str">
        <f>IF(AP35="","",AP35)</f>
        <v/>
      </c>
      <c r="AB35" s="6222"/>
      <c r="AC35" s="9671" t="str">
        <f>IF(AQ35&lt;&gt;"",AQ35,IF(AND(Q35="",U35=""),"",IF(AND(Q35&lt;&gt;"",U35=""),SUM(Q35,AA35),SUM(Q35,-U35,AA35))))</f>
        <v/>
      </c>
      <c r="AD35" s="9672"/>
      <c r="AE35" s="9672"/>
      <c r="AF35" s="9672"/>
      <c r="AG35" s="1297">
        <f>IF(OR(J35="",M35=""),0,IF(OR(BA35,BB35,BC35),0,1))</f>
        <v>0</v>
      </c>
      <c r="AH35" s="1090"/>
      <c r="AI35" s="1090" t="e">
        <f t="shared" ref="AI35:AI54" si="5">M35-J35</f>
        <v>#VALUE!</v>
      </c>
      <c r="AJ35" s="1237"/>
      <c r="AK35" s="1241"/>
      <c r="AL35" s="1241"/>
      <c r="AM35" s="1239"/>
      <c r="AN35" s="1239"/>
      <c r="AO35" s="1240"/>
      <c r="AP35" s="1239"/>
      <c r="AQ35" s="1238"/>
      <c r="AS35" s="42" t="e">
        <f>YEAR(J35)</f>
        <v>#VALUE!</v>
      </c>
      <c r="AT35" s="42" t="e">
        <f>MONTH(J35)</f>
        <v>#VALUE!</v>
      </c>
      <c r="AU35" s="42" t="e">
        <f>DAY(J35)</f>
        <v>#VALUE!</v>
      </c>
      <c r="AW35" s="42" t="e">
        <f>YEAR(M35)</f>
        <v>#VALUE!</v>
      </c>
      <c r="AX35" s="42" t="e">
        <f>MONTH(M35)</f>
        <v>#VALUE!</v>
      </c>
      <c r="AY35" s="42" t="e">
        <f>DAY(M35)</f>
        <v>#VALUE!</v>
      </c>
      <c r="BA35" s="42" t="e">
        <f>IF(AW35=AS35,TRUE,FALSE)</f>
        <v>#VALUE!</v>
      </c>
      <c r="BB35" s="42" t="e">
        <f>IF(AND(AW35=AS35+1,AX35&lt;AT35),TRUE,FALSE)</f>
        <v>#VALUE!</v>
      </c>
      <c r="BC35" s="42" t="e">
        <f>IF(AND(AW35=AS35+1,AX35=AT35,AY35&lt;=AU35),TRUE,FALSE)</f>
        <v>#VALUE!</v>
      </c>
    </row>
    <row r="36" spans="1:55" ht="19.5" customHeight="1">
      <c r="A36" s="1127">
        <f t="shared" ref="A36:A54" si="6">IF(OR(Q36&lt;&gt;"",U36&lt;&gt;"",AC36&lt;&gt;""),1,0)</f>
        <v>0</v>
      </c>
      <c r="B36" s="9703" t="str">
        <f t="shared" si="0"/>
        <v/>
      </c>
      <c r="C36" s="9704"/>
      <c r="D36" s="9704"/>
      <c r="E36" s="9704"/>
      <c r="F36" s="9704"/>
      <c r="G36" s="9704"/>
      <c r="H36" s="9704"/>
      <c r="I36" s="9705"/>
      <c r="J36" s="9706" t="str">
        <f t="shared" si="1"/>
        <v/>
      </c>
      <c r="K36" s="9707"/>
      <c r="L36" s="9707"/>
      <c r="M36" s="9706" t="str">
        <f t="shared" si="2"/>
        <v/>
      </c>
      <c r="N36" s="9707"/>
      <c r="O36" s="9707"/>
      <c r="P36" s="9708"/>
      <c r="Q36" s="6969" t="str">
        <f t="shared" si="3"/>
        <v/>
      </c>
      <c r="R36" s="9688"/>
      <c r="S36" s="9688"/>
      <c r="T36" s="9689"/>
      <c r="U36" s="6969" t="str">
        <f t="shared" si="4"/>
        <v/>
      </c>
      <c r="V36" s="9688"/>
      <c r="W36" s="9688"/>
      <c r="X36" s="9689"/>
      <c r="Y36" s="9670" t="str">
        <f>IF(AO36&lt;&gt;"",AO36,"")</f>
        <v/>
      </c>
      <c r="Z36" s="6222"/>
      <c r="AA36" s="9670" t="str">
        <f>IF(AP36="","",AP36)</f>
        <v/>
      </c>
      <c r="AB36" s="6222"/>
      <c r="AC36" s="9671" t="str">
        <f t="shared" ref="AC36:AC54" si="7">IF(AQ36&lt;&gt;"",AQ36,IF(AND(Q36="",U36=""),"",IF(AND(Q36&lt;&gt;"",U36=""),SUM(Q36,AA36),SUM(Q36,-U36,AA36))))</f>
        <v/>
      </c>
      <c r="AD36" s="9672"/>
      <c r="AE36" s="9672"/>
      <c r="AF36" s="9672"/>
      <c r="AG36" s="1297">
        <f t="shared" ref="AG36:AG54" si="8">IF(OR(J36="",M36=""),0,IF(OR(BA36,BB36,BC36),0,1))</f>
        <v>0</v>
      </c>
      <c r="AH36" s="1090"/>
      <c r="AI36" s="1090" t="e">
        <f t="shared" si="5"/>
        <v>#VALUE!</v>
      </c>
      <c r="AJ36" s="1237"/>
      <c r="AK36" s="1241"/>
      <c r="AL36" s="1241"/>
      <c r="AM36" s="1239"/>
      <c r="AN36" s="1239"/>
      <c r="AO36" s="1240"/>
      <c r="AP36" s="1239"/>
      <c r="AQ36" s="1238"/>
      <c r="AS36" s="42" t="e">
        <f t="shared" ref="AS36:AS54" si="9">YEAR(J36)</f>
        <v>#VALUE!</v>
      </c>
      <c r="AT36" s="42" t="e">
        <f t="shared" ref="AT36:AT54" si="10">MONTH(J36)</f>
        <v>#VALUE!</v>
      </c>
      <c r="AU36" s="42" t="e">
        <f t="shared" ref="AU36:AU54" si="11">DAY(J36)</f>
        <v>#VALUE!</v>
      </c>
      <c r="AW36" s="42" t="e">
        <f t="shared" ref="AW36:AW54" si="12">YEAR(M36)</f>
        <v>#VALUE!</v>
      </c>
      <c r="AX36" s="42" t="e">
        <f t="shared" ref="AX36:AX54" si="13">MONTH(M36)</f>
        <v>#VALUE!</v>
      </c>
      <c r="AY36" s="42" t="e">
        <f t="shared" ref="AY36:AY54" si="14">DAY(M36)</f>
        <v>#VALUE!</v>
      </c>
      <c r="BA36" s="42" t="e">
        <f t="shared" ref="BA36:BA54" si="15">IF(AW36=AS36,TRUE,FALSE)</f>
        <v>#VALUE!</v>
      </c>
      <c r="BB36" s="42" t="e">
        <f t="shared" ref="BB36:BB54" si="16">IF(AND(AW36=AS36+1,AX36&lt;AT36),TRUE,FALSE)</f>
        <v>#VALUE!</v>
      </c>
      <c r="BC36" s="42" t="e">
        <f t="shared" ref="BC36:BC54" si="17">IF(AND(AW36=AS36+1,AX36=AT36,AY36&lt;=AU36),TRUE,FALSE)</f>
        <v>#VALUE!</v>
      </c>
    </row>
    <row r="37" spans="1:55" ht="19.5" customHeight="1">
      <c r="A37" s="1127">
        <f t="shared" si="6"/>
        <v>0</v>
      </c>
      <c r="B37" s="9703" t="str">
        <f t="shared" si="0"/>
        <v/>
      </c>
      <c r="C37" s="9704"/>
      <c r="D37" s="9704"/>
      <c r="E37" s="9704"/>
      <c r="F37" s="9704"/>
      <c r="G37" s="9704"/>
      <c r="H37" s="9704"/>
      <c r="I37" s="9705"/>
      <c r="J37" s="9706" t="str">
        <f t="shared" si="1"/>
        <v/>
      </c>
      <c r="K37" s="9707"/>
      <c r="L37" s="9707"/>
      <c r="M37" s="9706" t="str">
        <f t="shared" si="2"/>
        <v/>
      </c>
      <c r="N37" s="9707"/>
      <c r="O37" s="9707"/>
      <c r="P37" s="9708"/>
      <c r="Q37" s="6969" t="str">
        <f t="shared" si="3"/>
        <v/>
      </c>
      <c r="R37" s="9688"/>
      <c r="S37" s="9688"/>
      <c r="T37" s="9689"/>
      <c r="U37" s="6969" t="str">
        <f t="shared" si="4"/>
        <v/>
      </c>
      <c r="V37" s="9688"/>
      <c r="W37" s="9688"/>
      <c r="X37" s="9689"/>
      <c r="Y37" s="9670" t="str">
        <f>IF(AO37&lt;&gt;"",AO37,"")</f>
        <v/>
      </c>
      <c r="Z37" s="6222"/>
      <c r="AA37" s="9670" t="str">
        <f>IF(AP37="","",AP37)</f>
        <v/>
      </c>
      <c r="AB37" s="6222"/>
      <c r="AC37" s="9671" t="str">
        <f t="shared" si="7"/>
        <v/>
      </c>
      <c r="AD37" s="9672"/>
      <c r="AE37" s="9672"/>
      <c r="AF37" s="9672"/>
      <c r="AG37" s="1297">
        <f t="shared" si="8"/>
        <v>0</v>
      </c>
      <c r="AH37" s="1090"/>
      <c r="AI37" s="1090" t="e">
        <f t="shared" si="5"/>
        <v>#VALUE!</v>
      </c>
      <c r="AJ37" s="1237"/>
      <c r="AK37" s="1241"/>
      <c r="AL37" s="1241"/>
      <c r="AM37" s="1239"/>
      <c r="AN37" s="1239"/>
      <c r="AO37" s="1240"/>
      <c r="AP37" s="1239"/>
      <c r="AQ37" s="1238"/>
      <c r="AS37" s="42" t="e">
        <f t="shared" si="9"/>
        <v>#VALUE!</v>
      </c>
      <c r="AT37" s="42" t="e">
        <f t="shared" si="10"/>
        <v>#VALUE!</v>
      </c>
      <c r="AU37" s="42" t="e">
        <f t="shared" si="11"/>
        <v>#VALUE!</v>
      </c>
      <c r="AW37" s="42" t="e">
        <f t="shared" si="12"/>
        <v>#VALUE!</v>
      </c>
      <c r="AX37" s="42" t="e">
        <f t="shared" si="13"/>
        <v>#VALUE!</v>
      </c>
      <c r="AY37" s="42" t="e">
        <f t="shared" si="14"/>
        <v>#VALUE!</v>
      </c>
      <c r="BA37" s="42" t="e">
        <f t="shared" si="15"/>
        <v>#VALUE!</v>
      </c>
      <c r="BB37" s="42" t="e">
        <f t="shared" si="16"/>
        <v>#VALUE!</v>
      </c>
      <c r="BC37" s="42" t="e">
        <f t="shared" si="17"/>
        <v>#VALUE!</v>
      </c>
    </row>
    <row r="38" spans="1:55" ht="19.5" customHeight="1">
      <c r="A38" s="1127">
        <f t="shared" si="6"/>
        <v>0</v>
      </c>
      <c r="B38" s="9703" t="str">
        <f t="shared" si="0"/>
        <v/>
      </c>
      <c r="C38" s="9704"/>
      <c r="D38" s="9704"/>
      <c r="E38" s="9704"/>
      <c r="F38" s="9704"/>
      <c r="G38" s="9704"/>
      <c r="H38" s="9704"/>
      <c r="I38" s="9705"/>
      <c r="J38" s="9706" t="str">
        <f t="shared" si="1"/>
        <v/>
      </c>
      <c r="K38" s="9707"/>
      <c r="L38" s="9707"/>
      <c r="M38" s="9706" t="str">
        <f t="shared" si="2"/>
        <v/>
      </c>
      <c r="N38" s="9707"/>
      <c r="O38" s="9707"/>
      <c r="P38" s="9708"/>
      <c r="Q38" s="6969" t="str">
        <f t="shared" si="3"/>
        <v/>
      </c>
      <c r="R38" s="9688"/>
      <c r="S38" s="9688"/>
      <c r="T38" s="9689"/>
      <c r="U38" s="6969" t="str">
        <f t="shared" si="4"/>
        <v/>
      </c>
      <c r="V38" s="9688"/>
      <c r="W38" s="9688"/>
      <c r="X38" s="9689"/>
      <c r="Y38" s="9670" t="str">
        <f t="shared" ref="Y38:Y54" si="18">IF(AO38&lt;&gt;"",AO38,"")</f>
        <v/>
      </c>
      <c r="Z38" s="6222"/>
      <c r="AA38" s="9670" t="str">
        <f t="shared" ref="AA38:AA54" si="19">IF(AP38="","",AP38)</f>
        <v/>
      </c>
      <c r="AB38" s="6222"/>
      <c r="AC38" s="9671" t="str">
        <f t="shared" si="7"/>
        <v/>
      </c>
      <c r="AD38" s="9672"/>
      <c r="AE38" s="9672"/>
      <c r="AF38" s="9672"/>
      <c r="AG38" s="1297">
        <f t="shared" si="8"/>
        <v>0</v>
      </c>
      <c r="AH38" s="1090"/>
      <c r="AI38" s="1090" t="e">
        <f t="shared" si="5"/>
        <v>#VALUE!</v>
      </c>
      <c r="AJ38" s="1237"/>
      <c r="AK38" s="1241"/>
      <c r="AL38" s="1241"/>
      <c r="AM38" s="1239"/>
      <c r="AN38" s="1239"/>
      <c r="AO38" s="1240"/>
      <c r="AP38" s="1239"/>
      <c r="AQ38" s="1238"/>
      <c r="AS38" s="42" t="e">
        <f t="shared" si="9"/>
        <v>#VALUE!</v>
      </c>
      <c r="AT38" s="42" t="e">
        <f t="shared" si="10"/>
        <v>#VALUE!</v>
      </c>
      <c r="AU38" s="42" t="e">
        <f t="shared" si="11"/>
        <v>#VALUE!</v>
      </c>
      <c r="AW38" s="42" t="e">
        <f t="shared" si="12"/>
        <v>#VALUE!</v>
      </c>
      <c r="AX38" s="42" t="e">
        <f t="shared" si="13"/>
        <v>#VALUE!</v>
      </c>
      <c r="AY38" s="42" t="e">
        <f t="shared" si="14"/>
        <v>#VALUE!</v>
      </c>
      <c r="BA38" s="42" t="e">
        <f t="shared" si="15"/>
        <v>#VALUE!</v>
      </c>
      <c r="BB38" s="42" t="e">
        <f t="shared" si="16"/>
        <v>#VALUE!</v>
      </c>
      <c r="BC38" s="42" t="e">
        <f t="shared" si="17"/>
        <v>#VALUE!</v>
      </c>
    </row>
    <row r="39" spans="1:55" ht="19.5" customHeight="1">
      <c r="A39" s="1127">
        <f t="shared" si="6"/>
        <v>0</v>
      </c>
      <c r="B39" s="9703" t="str">
        <f t="shared" si="0"/>
        <v/>
      </c>
      <c r="C39" s="9704"/>
      <c r="D39" s="9704"/>
      <c r="E39" s="9704"/>
      <c r="F39" s="9704"/>
      <c r="G39" s="9704"/>
      <c r="H39" s="9704"/>
      <c r="I39" s="9705"/>
      <c r="J39" s="9706" t="str">
        <f t="shared" si="1"/>
        <v/>
      </c>
      <c r="K39" s="9707"/>
      <c r="L39" s="9707"/>
      <c r="M39" s="9706" t="str">
        <f t="shared" si="2"/>
        <v/>
      </c>
      <c r="N39" s="9707"/>
      <c r="O39" s="9707"/>
      <c r="P39" s="9708"/>
      <c r="Q39" s="6969" t="str">
        <f t="shared" si="3"/>
        <v/>
      </c>
      <c r="R39" s="9688"/>
      <c r="S39" s="9688"/>
      <c r="T39" s="9689"/>
      <c r="U39" s="6969" t="str">
        <f t="shared" si="4"/>
        <v/>
      </c>
      <c r="V39" s="9688"/>
      <c r="W39" s="9688"/>
      <c r="X39" s="9689"/>
      <c r="Y39" s="9670" t="str">
        <f t="shared" si="18"/>
        <v/>
      </c>
      <c r="Z39" s="6222"/>
      <c r="AA39" s="9670" t="str">
        <f t="shared" si="19"/>
        <v/>
      </c>
      <c r="AB39" s="6222"/>
      <c r="AC39" s="9671" t="str">
        <f t="shared" si="7"/>
        <v/>
      </c>
      <c r="AD39" s="9672"/>
      <c r="AE39" s="9672"/>
      <c r="AF39" s="9672"/>
      <c r="AG39" s="1297">
        <f t="shared" si="8"/>
        <v>0</v>
      </c>
      <c r="AH39" s="1090"/>
      <c r="AI39" s="1090" t="e">
        <f t="shared" si="5"/>
        <v>#VALUE!</v>
      </c>
      <c r="AJ39" s="1237"/>
      <c r="AK39" s="1241"/>
      <c r="AL39" s="1241"/>
      <c r="AM39" s="1239"/>
      <c r="AN39" s="1239"/>
      <c r="AO39" s="1240"/>
      <c r="AP39" s="1239"/>
      <c r="AQ39" s="1238"/>
      <c r="AS39" s="42" t="e">
        <f t="shared" si="9"/>
        <v>#VALUE!</v>
      </c>
      <c r="AT39" s="42" t="e">
        <f t="shared" si="10"/>
        <v>#VALUE!</v>
      </c>
      <c r="AU39" s="42" t="e">
        <f t="shared" si="11"/>
        <v>#VALUE!</v>
      </c>
      <c r="AW39" s="42" t="e">
        <f t="shared" si="12"/>
        <v>#VALUE!</v>
      </c>
      <c r="AX39" s="42" t="e">
        <f t="shared" si="13"/>
        <v>#VALUE!</v>
      </c>
      <c r="AY39" s="42" t="e">
        <f t="shared" si="14"/>
        <v>#VALUE!</v>
      </c>
      <c r="BA39" s="42" t="e">
        <f t="shared" si="15"/>
        <v>#VALUE!</v>
      </c>
      <c r="BB39" s="42" t="e">
        <f t="shared" si="16"/>
        <v>#VALUE!</v>
      </c>
      <c r="BC39" s="42" t="e">
        <f t="shared" si="17"/>
        <v>#VALUE!</v>
      </c>
    </row>
    <row r="40" spans="1:55" ht="19.5" customHeight="1">
      <c r="A40" s="1127">
        <f t="shared" si="6"/>
        <v>0</v>
      </c>
      <c r="B40" s="9703" t="str">
        <f t="shared" si="0"/>
        <v/>
      </c>
      <c r="C40" s="9704"/>
      <c r="D40" s="9704"/>
      <c r="E40" s="9704"/>
      <c r="F40" s="9704"/>
      <c r="G40" s="9704"/>
      <c r="H40" s="9704"/>
      <c r="I40" s="9705"/>
      <c r="J40" s="9706" t="str">
        <f t="shared" si="1"/>
        <v/>
      </c>
      <c r="K40" s="9707"/>
      <c r="L40" s="9707"/>
      <c r="M40" s="9706" t="str">
        <f t="shared" si="2"/>
        <v/>
      </c>
      <c r="N40" s="9707"/>
      <c r="O40" s="9707"/>
      <c r="P40" s="9708"/>
      <c r="Q40" s="6969" t="str">
        <f t="shared" si="3"/>
        <v/>
      </c>
      <c r="R40" s="9688"/>
      <c r="S40" s="9688"/>
      <c r="T40" s="9689"/>
      <c r="U40" s="6969" t="str">
        <f t="shared" si="4"/>
        <v/>
      </c>
      <c r="V40" s="9688"/>
      <c r="W40" s="9688"/>
      <c r="X40" s="9689"/>
      <c r="Y40" s="9670" t="str">
        <f t="shared" si="18"/>
        <v/>
      </c>
      <c r="Z40" s="6222"/>
      <c r="AA40" s="9670" t="str">
        <f t="shared" si="19"/>
        <v/>
      </c>
      <c r="AB40" s="6222"/>
      <c r="AC40" s="9671" t="str">
        <f t="shared" si="7"/>
        <v/>
      </c>
      <c r="AD40" s="9672"/>
      <c r="AE40" s="9672"/>
      <c r="AF40" s="9672"/>
      <c r="AG40" s="1297">
        <f t="shared" si="8"/>
        <v>0</v>
      </c>
      <c r="AH40" s="1090"/>
      <c r="AI40" s="1090" t="e">
        <f t="shared" si="5"/>
        <v>#VALUE!</v>
      </c>
      <c r="AJ40" s="1237"/>
      <c r="AK40" s="1241"/>
      <c r="AL40" s="1241"/>
      <c r="AM40" s="1239"/>
      <c r="AN40" s="1239"/>
      <c r="AO40" s="1240"/>
      <c r="AP40" s="1239"/>
      <c r="AQ40" s="1238"/>
      <c r="AS40" s="42" t="e">
        <f t="shared" si="9"/>
        <v>#VALUE!</v>
      </c>
      <c r="AT40" s="42" t="e">
        <f t="shared" si="10"/>
        <v>#VALUE!</v>
      </c>
      <c r="AU40" s="42" t="e">
        <f t="shared" si="11"/>
        <v>#VALUE!</v>
      </c>
      <c r="AW40" s="42" t="e">
        <f t="shared" si="12"/>
        <v>#VALUE!</v>
      </c>
      <c r="AX40" s="42" t="e">
        <f t="shared" si="13"/>
        <v>#VALUE!</v>
      </c>
      <c r="AY40" s="42" t="e">
        <f t="shared" si="14"/>
        <v>#VALUE!</v>
      </c>
      <c r="BA40" s="42" t="e">
        <f t="shared" si="15"/>
        <v>#VALUE!</v>
      </c>
      <c r="BB40" s="42" t="e">
        <f t="shared" si="16"/>
        <v>#VALUE!</v>
      </c>
      <c r="BC40" s="42" t="e">
        <f t="shared" si="17"/>
        <v>#VALUE!</v>
      </c>
    </row>
    <row r="41" spans="1:55" ht="19.5" customHeight="1">
      <c r="A41" s="1127">
        <f t="shared" si="6"/>
        <v>0</v>
      </c>
      <c r="B41" s="9703" t="str">
        <f t="shared" si="0"/>
        <v/>
      </c>
      <c r="C41" s="9704"/>
      <c r="D41" s="9704"/>
      <c r="E41" s="9704"/>
      <c r="F41" s="9704"/>
      <c r="G41" s="9704"/>
      <c r="H41" s="9704"/>
      <c r="I41" s="9705"/>
      <c r="J41" s="9706" t="str">
        <f t="shared" si="1"/>
        <v/>
      </c>
      <c r="K41" s="9707"/>
      <c r="L41" s="9707"/>
      <c r="M41" s="9706" t="str">
        <f t="shared" si="2"/>
        <v/>
      </c>
      <c r="N41" s="9707"/>
      <c r="O41" s="9707"/>
      <c r="P41" s="9708"/>
      <c r="Q41" s="6969" t="str">
        <f t="shared" si="3"/>
        <v/>
      </c>
      <c r="R41" s="9688"/>
      <c r="S41" s="9688"/>
      <c r="T41" s="9689"/>
      <c r="U41" s="6969" t="str">
        <f t="shared" si="4"/>
        <v/>
      </c>
      <c r="V41" s="9688"/>
      <c r="W41" s="9688"/>
      <c r="X41" s="9689"/>
      <c r="Y41" s="9670" t="str">
        <f t="shared" si="18"/>
        <v/>
      </c>
      <c r="Z41" s="6222"/>
      <c r="AA41" s="9670" t="str">
        <f t="shared" si="19"/>
        <v/>
      </c>
      <c r="AB41" s="6222"/>
      <c r="AC41" s="9671" t="str">
        <f t="shared" si="7"/>
        <v/>
      </c>
      <c r="AD41" s="9672"/>
      <c r="AE41" s="9672"/>
      <c r="AF41" s="9672"/>
      <c r="AG41" s="1297">
        <f t="shared" si="8"/>
        <v>0</v>
      </c>
      <c r="AH41" s="1090"/>
      <c r="AI41" s="1090" t="e">
        <f t="shared" si="5"/>
        <v>#VALUE!</v>
      </c>
      <c r="AJ41" s="1237"/>
      <c r="AK41" s="1241"/>
      <c r="AL41" s="1241"/>
      <c r="AM41" s="1239"/>
      <c r="AN41" s="1239"/>
      <c r="AO41" s="1240"/>
      <c r="AP41" s="1239"/>
      <c r="AQ41" s="1238"/>
      <c r="AS41" s="42" t="e">
        <f t="shared" si="9"/>
        <v>#VALUE!</v>
      </c>
      <c r="AT41" s="42" t="e">
        <f t="shared" si="10"/>
        <v>#VALUE!</v>
      </c>
      <c r="AU41" s="42" t="e">
        <f t="shared" si="11"/>
        <v>#VALUE!</v>
      </c>
      <c r="AW41" s="42" t="e">
        <f t="shared" si="12"/>
        <v>#VALUE!</v>
      </c>
      <c r="AX41" s="42" t="e">
        <f t="shared" si="13"/>
        <v>#VALUE!</v>
      </c>
      <c r="AY41" s="42" t="e">
        <f t="shared" si="14"/>
        <v>#VALUE!</v>
      </c>
      <c r="BA41" s="42" t="e">
        <f t="shared" si="15"/>
        <v>#VALUE!</v>
      </c>
      <c r="BB41" s="42" t="e">
        <f t="shared" si="16"/>
        <v>#VALUE!</v>
      </c>
      <c r="BC41" s="42" t="e">
        <f t="shared" si="17"/>
        <v>#VALUE!</v>
      </c>
    </row>
    <row r="42" spans="1:55" ht="19.5" customHeight="1">
      <c r="A42" s="1127">
        <f t="shared" si="6"/>
        <v>0</v>
      </c>
      <c r="B42" s="9703" t="str">
        <f t="shared" si="0"/>
        <v/>
      </c>
      <c r="C42" s="9704"/>
      <c r="D42" s="9704"/>
      <c r="E42" s="9704"/>
      <c r="F42" s="9704"/>
      <c r="G42" s="9704"/>
      <c r="H42" s="9704"/>
      <c r="I42" s="9705"/>
      <c r="J42" s="9706" t="str">
        <f t="shared" si="1"/>
        <v/>
      </c>
      <c r="K42" s="9707"/>
      <c r="L42" s="9707"/>
      <c r="M42" s="9706" t="str">
        <f t="shared" si="2"/>
        <v/>
      </c>
      <c r="N42" s="9707"/>
      <c r="O42" s="9707"/>
      <c r="P42" s="9708"/>
      <c r="Q42" s="6969" t="str">
        <f t="shared" si="3"/>
        <v/>
      </c>
      <c r="R42" s="9688"/>
      <c r="S42" s="9688"/>
      <c r="T42" s="9689"/>
      <c r="U42" s="6969" t="str">
        <f t="shared" si="4"/>
        <v/>
      </c>
      <c r="V42" s="9688"/>
      <c r="W42" s="9688"/>
      <c r="X42" s="9689"/>
      <c r="Y42" s="9670" t="str">
        <f t="shared" si="18"/>
        <v/>
      </c>
      <c r="Z42" s="6222"/>
      <c r="AA42" s="9670" t="str">
        <f t="shared" si="19"/>
        <v/>
      </c>
      <c r="AB42" s="6222"/>
      <c r="AC42" s="9671" t="str">
        <f t="shared" si="7"/>
        <v/>
      </c>
      <c r="AD42" s="9672"/>
      <c r="AE42" s="9672"/>
      <c r="AF42" s="9672"/>
      <c r="AG42" s="1297">
        <f t="shared" si="8"/>
        <v>0</v>
      </c>
      <c r="AH42" s="1090"/>
      <c r="AI42" s="1090" t="e">
        <f t="shared" si="5"/>
        <v>#VALUE!</v>
      </c>
      <c r="AJ42" s="1237"/>
      <c r="AK42" s="1241"/>
      <c r="AL42" s="1241"/>
      <c r="AM42" s="1239"/>
      <c r="AN42" s="1239"/>
      <c r="AO42" s="1240"/>
      <c r="AP42" s="1239"/>
      <c r="AQ42" s="1238"/>
      <c r="AS42" s="42" t="e">
        <f t="shared" si="9"/>
        <v>#VALUE!</v>
      </c>
      <c r="AT42" s="42" t="e">
        <f t="shared" si="10"/>
        <v>#VALUE!</v>
      </c>
      <c r="AU42" s="42" t="e">
        <f t="shared" si="11"/>
        <v>#VALUE!</v>
      </c>
      <c r="AW42" s="42" t="e">
        <f t="shared" si="12"/>
        <v>#VALUE!</v>
      </c>
      <c r="AX42" s="42" t="e">
        <f t="shared" si="13"/>
        <v>#VALUE!</v>
      </c>
      <c r="AY42" s="42" t="e">
        <f t="shared" si="14"/>
        <v>#VALUE!</v>
      </c>
      <c r="BA42" s="42" t="e">
        <f t="shared" si="15"/>
        <v>#VALUE!</v>
      </c>
      <c r="BB42" s="42" t="e">
        <f t="shared" si="16"/>
        <v>#VALUE!</v>
      </c>
      <c r="BC42" s="42" t="e">
        <f t="shared" si="17"/>
        <v>#VALUE!</v>
      </c>
    </row>
    <row r="43" spans="1:55" ht="19.5" customHeight="1">
      <c r="A43" s="1127">
        <f t="shared" si="6"/>
        <v>0</v>
      </c>
      <c r="B43" s="9703" t="str">
        <f t="shared" si="0"/>
        <v/>
      </c>
      <c r="C43" s="9704"/>
      <c r="D43" s="9704"/>
      <c r="E43" s="9704"/>
      <c r="F43" s="9704"/>
      <c r="G43" s="9704"/>
      <c r="H43" s="9704"/>
      <c r="I43" s="9705"/>
      <c r="J43" s="9706" t="str">
        <f t="shared" si="1"/>
        <v/>
      </c>
      <c r="K43" s="9707"/>
      <c r="L43" s="9707"/>
      <c r="M43" s="9706" t="str">
        <f t="shared" si="2"/>
        <v/>
      </c>
      <c r="N43" s="9707"/>
      <c r="O43" s="9707"/>
      <c r="P43" s="9708"/>
      <c r="Q43" s="6969" t="str">
        <f t="shared" si="3"/>
        <v/>
      </c>
      <c r="R43" s="9688"/>
      <c r="S43" s="9688"/>
      <c r="T43" s="9689"/>
      <c r="U43" s="6969" t="str">
        <f t="shared" si="4"/>
        <v/>
      </c>
      <c r="V43" s="9688"/>
      <c r="W43" s="9688"/>
      <c r="X43" s="9689"/>
      <c r="Y43" s="9670" t="str">
        <f t="shared" si="18"/>
        <v/>
      </c>
      <c r="Z43" s="6222"/>
      <c r="AA43" s="9670" t="str">
        <f t="shared" si="19"/>
        <v/>
      </c>
      <c r="AB43" s="6222"/>
      <c r="AC43" s="9671" t="str">
        <f t="shared" si="7"/>
        <v/>
      </c>
      <c r="AD43" s="9672"/>
      <c r="AE43" s="9672"/>
      <c r="AF43" s="9672"/>
      <c r="AG43" s="1297">
        <f t="shared" si="8"/>
        <v>0</v>
      </c>
      <c r="AH43" s="1090"/>
      <c r="AI43" s="1090" t="e">
        <f t="shared" si="5"/>
        <v>#VALUE!</v>
      </c>
      <c r="AJ43" s="1237"/>
      <c r="AK43" s="1241"/>
      <c r="AL43" s="1241"/>
      <c r="AM43" s="1239"/>
      <c r="AN43" s="1239"/>
      <c r="AO43" s="1240"/>
      <c r="AP43" s="1239"/>
      <c r="AQ43" s="1238"/>
      <c r="AS43" s="42" t="e">
        <f t="shared" si="9"/>
        <v>#VALUE!</v>
      </c>
      <c r="AT43" s="42" t="e">
        <f t="shared" si="10"/>
        <v>#VALUE!</v>
      </c>
      <c r="AU43" s="42" t="e">
        <f t="shared" si="11"/>
        <v>#VALUE!</v>
      </c>
      <c r="AW43" s="42" t="e">
        <f t="shared" si="12"/>
        <v>#VALUE!</v>
      </c>
      <c r="AX43" s="42" t="e">
        <f t="shared" si="13"/>
        <v>#VALUE!</v>
      </c>
      <c r="AY43" s="42" t="e">
        <f t="shared" si="14"/>
        <v>#VALUE!</v>
      </c>
      <c r="BA43" s="42" t="e">
        <f t="shared" si="15"/>
        <v>#VALUE!</v>
      </c>
      <c r="BB43" s="42" t="e">
        <f t="shared" si="16"/>
        <v>#VALUE!</v>
      </c>
      <c r="BC43" s="42" t="e">
        <f t="shared" si="17"/>
        <v>#VALUE!</v>
      </c>
    </row>
    <row r="44" spans="1:55" ht="19.5" customHeight="1">
      <c r="A44" s="1127">
        <f t="shared" si="6"/>
        <v>0</v>
      </c>
      <c r="B44" s="9703" t="str">
        <f t="shared" si="0"/>
        <v/>
      </c>
      <c r="C44" s="9704"/>
      <c r="D44" s="9704"/>
      <c r="E44" s="9704"/>
      <c r="F44" s="9704"/>
      <c r="G44" s="9704"/>
      <c r="H44" s="9704"/>
      <c r="I44" s="9705"/>
      <c r="J44" s="9706" t="str">
        <f t="shared" si="1"/>
        <v/>
      </c>
      <c r="K44" s="9707"/>
      <c r="L44" s="9707"/>
      <c r="M44" s="9706" t="str">
        <f t="shared" si="2"/>
        <v/>
      </c>
      <c r="N44" s="9707"/>
      <c r="O44" s="9707"/>
      <c r="P44" s="9708"/>
      <c r="Q44" s="6969" t="str">
        <f t="shared" si="3"/>
        <v/>
      </c>
      <c r="R44" s="9688"/>
      <c r="S44" s="9688"/>
      <c r="T44" s="9689"/>
      <c r="U44" s="6969" t="str">
        <f t="shared" si="4"/>
        <v/>
      </c>
      <c r="V44" s="9688"/>
      <c r="W44" s="9688"/>
      <c r="X44" s="9689"/>
      <c r="Y44" s="9670" t="str">
        <f t="shared" si="18"/>
        <v/>
      </c>
      <c r="Z44" s="6222"/>
      <c r="AA44" s="9670" t="str">
        <f t="shared" si="19"/>
        <v/>
      </c>
      <c r="AB44" s="6222"/>
      <c r="AC44" s="9671" t="str">
        <f t="shared" si="7"/>
        <v/>
      </c>
      <c r="AD44" s="9672"/>
      <c r="AE44" s="9672"/>
      <c r="AF44" s="9672"/>
      <c r="AG44" s="1297">
        <f t="shared" si="8"/>
        <v>0</v>
      </c>
      <c r="AH44" s="1090"/>
      <c r="AI44" s="1090" t="e">
        <f t="shared" si="5"/>
        <v>#VALUE!</v>
      </c>
      <c r="AJ44" s="1237"/>
      <c r="AK44" s="1241"/>
      <c r="AL44" s="1241"/>
      <c r="AM44" s="1239"/>
      <c r="AN44" s="1239"/>
      <c r="AO44" s="1240"/>
      <c r="AP44" s="1239"/>
      <c r="AQ44" s="1238"/>
      <c r="AS44" s="42" t="e">
        <f t="shared" si="9"/>
        <v>#VALUE!</v>
      </c>
      <c r="AT44" s="42" t="e">
        <f t="shared" si="10"/>
        <v>#VALUE!</v>
      </c>
      <c r="AU44" s="42" t="e">
        <f t="shared" si="11"/>
        <v>#VALUE!</v>
      </c>
      <c r="AW44" s="42" t="e">
        <f t="shared" si="12"/>
        <v>#VALUE!</v>
      </c>
      <c r="AX44" s="42" t="e">
        <f t="shared" si="13"/>
        <v>#VALUE!</v>
      </c>
      <c r="AY44" s="42" t="e">
        <f t="shared" si="14"/>
        <v>#VALUE!</v>
      </c>
      <c r="BA44" s="42" t="e">
        <f t="shared" si="15"/>
        <v>#VALUE!</v>
      </c>
      <c r="BB44" s="42" t="e">
        <f t="shared" si="16"/>
        <v>#VALUE!</v>
      </c>
      <c r="BC44" s="42" t="e">
        <f t="shared" si="17"/>
        <v>#VALUE!</v>
      </c>
    </row>
    <row r="45" spans="1:55" ht="19.5" customHeight="1">
      <c r="A45" s="1127">
        <f t="shared" si="6"/>
        <v>0</v>
      </c>
      <c r="B45" s="9703" t="str">
        <f t="shared" si="0"/>
        <v/>
      </c>
      <c r="C45" s="9704"/>
      <c r="D45" s="9704"/>
      <c r="E45" s="9704"/>
      <c r="F45" s="9704"/>
      <c r="G45" s="9704"/>
      <c r="H45" s="9704"/>
      <c r="I45" s="9705"/>
      <c r="J45" s="9706" t="str">
        <f t="shared" si="1"/>
        <v/>
      </c>
      <c r="K45" s="9707"/>
      <c r="L45" s="9707"/>
      <c r="M45" s="9706" t="str">
        <f t="shared" si="2"/>
        <v/>
      </c>
      <c r="N45" s="9707"/>
      <c r="O45" s="9707"/>
      <c r="P45" s="9708"/>
      <c r="Q45" s="6969" t="str">
        <f t="shared" si="3"/>
        <v/>
      </c>
      <c r="R45" s="9688"/>
      <c r="S45" s="9688"/>
      <c r="T45" s="9689"/>
      <c r="U45" s="6969" t="str">
        <f t="shared" si="4"/>
        <v/>
      </c>
      <c r="V45" s="9688"/>
      <c r="W45" s="9688"/>
      <c r="X45" s="9689"/>
      <c r="Y45" s="9670" t="str">
        <f t="shared" si="18"/>
        <v/>
      </c>
      <c r="Z45" s="6222"/>
      <c r="AA45" s="9670" t="str">
        <f t="shared" si="19"/>
        <v/>
      </c>
      <c r="AB45" s="6222"/>
      <c r="AC45" s="9671" t="str">
        <f t="shared" si="7"/>
        <v/>
      </c>
      <c r="AD45" s="9672"/>
      <c r="AE45" s="9672"/>
      <c r="AF45" s="9672"/>
      <c r="AG45" s="1297">
        <f t="shared" si="8"/>
        <v>0</v>
      </c>
      <c r="AH45" s="1090"/>
      <c r="AI45" s="1090" t="e">
        <f t="shared" si="5"/>
        <v>#VALUE!</v>
      </c>
      <c r="AJ45" s="1237"/>
      <c r="AK45" s="1241"/>
      <c r="AL45" s="1241"/>
      <c r="AM45" s="1239"/>
      <c r="AN45" s="1239"/>
      <c r="AO45" s="1240"/>
      <c r="AP45" s="1239"/>
      <c r="AQ45" s="1238"/>
      <c r="AS45" s="42" t="e">
        <f t="shared" si="9"/>
        <v>#VALUE!</v>
      </c>
      <c r="AT45" s="42" t="e">
        <f t="shared" si="10"/>
        <v>#VALUE!</v>
      </c>
      <c r="AU45" s="42" t="e">
        <f t="shared" si="11"/>
        <v>#VALUE!</v>
      </c>
      <c r="AW45" s="42" t="e">
        <f t="shared" si="12"/>
        <v>#VALUE!</v>
      </c>
      <c r="AX45" s="42" t="e">
        <f t="shared" si="13"/>
        <v>#VALUE!</v>
      </c>
      <c r="AY45" s="42" t="e">
        <f t="shared" si="14"/>
        <v>#VALUE!</v>
      </c>
      <c r="BA45" s="42" t="e">
        <f t="shared" si="15"/>
        <v>#VALUE!</v>
      </c>
      <c r="BB45" s="42" t="e">
        <f t="shared" si="16"/>
        <v>#VALUE!</v>
      </c>
      <c r="BC45" s="42" t="e">
        <f t="shared" si="17"/>
        <v>#VALUE!</v>
      </c>
    </row>
    <row r="46" spans="1:55" ht="19.5" customHeight="1">
      <c r="A46" s="1127">
        <f t="shared" si="6"/>
        <v>0</v>
      </c>
      <c r="B46" s="9703" t="str">
        <f t="shared" si="0"/>
        <v/>
      </c>
      <c r="C46" s="9704"/>
      <c r="D46" s="9704"/>
      <c r="E46" s="9704"/>
      <c r="F46" s="9704"/>
      <c r="G46" s="9704"/>
      <c r="H46" s="9704"/>
      <c r="I46" s="9705"/>
      <c r="J46" s="9706" t="str">
        <f t="shared" si="1"/>
        <v/>
      </c>
      <c r="K46" s="9707"/>
      <c r="L46" s="9707"/>
      <c r="M46" s="9706" t="str">
        <f t="shared" si="2"/>
        <v/>
      </c>
      <c r="N46" s="9707"/>
      <c r="O46" s="9707"/>
      <c r="P46" s="9708"/>
      <c r="Q46" s="6969" t="str">
        <f t="shared" si="3"/>
        <v/>
      </c>
      <c r="R46" s="9688"/>
      <c r="S46" s="9688"/>
      <c r="T46" s="9689"/>
      <c r="U46" s="6969" t="str">
        <f t="shared" si="4"/>
        <v/>
      </c>
      <c r="V46" s="9688"/>
      <c r="W46" s="9688"/>
      <c r="X46" s="9689"/>
      <c r="Y46" s="9670" t="str">
        <f t="shared" si="18"/>
        <v/>
      </c>
      <c r="Z46" s="6222"/>
      <c r="AA46" s="9670" t="str">
        <f t="shared" si="19"/>
        <v/>
      </c>
      <c r="AB46" s="6222"/>
      <c r="AC46" s="9671" t="str">
        <f t="shared" si="7"/>
        <v/>
      </c>
      <c r="AD46" s="9672"/>
      <c r="AE46" s="9672"/>
      <c r="AF46" s="9672"/>
      <c r="AG46" s="1297">
        <f t="shared" si="8"/>
        <v>0</v>
      </c>
      <c r="AH46" s="1090"/>
      <c r="AI46" s="1090" t="e">
        <f t="shared" si="5"/>
        <v>#VALUE!</v>
      </c>
      <c r="AJ46" s="1237"/>
      <c r="AK46" s="1241"/>
      <c r="AL46" s="1241"/>
      <c r="AM46" s="1239"/>
      <c r="AN46" s="1239"/>
      <c r="AO46" s="1240"/>
      <c r="AP46" s="1239"/>
      <c r="AQ46" s="1238"/>
      <c r="AS46" s="42" t="e">
        <f t="shared" si="9"/>
        <v>#VALUE!</v>
      </c>
      <c r="AT46" s="42" t="e">
        <f t="shared" si="10"/>
        <v>#VALUE!</v>
      </c>
      <c r="AU46" s="42" t="e">
        <f t="shared" si="11"/>
        <v>#VALUE!</v>
      </c>
      <c r="AW46" s="42" t="e">
        <f t="shared" si="12"/>
        <v>#VALUE!</v>
      </c>
      <c r="AX46" s="42" t="e">
        <f t="shared" si="13"/>
        <v>#VALUE!</v>
      </c>
      <c r="AY46" s="42" t="e">
        <f t="shared" si="14"/>
        <v>#VALUE!</v>
      </c>
      <c r="BA46" s="42" t="e">
        <f t="shared" si="15"/>
        <v>#VALUE!</v>
      </c>
      <c r="BB46" s="42" t="e">
        <f t="shared" si="16"/>
        <v>#VALUE!</v>
      </c>
      <c r="BC46" s="42" t="e">
        <f t="shared" si="17"/>
        <v>#VALUE!</v>
      </c>
    </row>
    <row r="47" spans="1:55" ht="19.5" customHeight="1">
      <c r="A47" s="1127">
        <f t="shared" si="6"/>
        <v>0</v>
      </c>
      <c r="B47" s="9703" t="str">
        <f t="shared" si="0"/>
        <v/>
      </c>
      <c r="C47" s="9704"/>
      <c r="D47" s="9704"/>
      <c r="E47" s="9704"/>
      <c r="F47" s="9704"/>
      <c r="G47" s="9704"/>
      <c r="H47" s="9704"/>
      <c r="I47" s="9705"/>
      <c r="J47" s="9706" t="str">
        <f t="shared" si="1"/>
        <v/>
      </c>
      <c r="K47" s="9707"/>
      <c r="L47" s="9707"/>
      <c r="M47" s="9706" t="str">
        <f t="shared" si="2"/>
        <v/>
      </c>
      <c r="N47" s="9707"/>
      <c r="O47" s="9707"/>
      <c r="P47" s="9708"/>
      <c r="Q47" s="6969" t="str">
        <f t="shared" si="3"/>
        <v/>
      </c>
      <c r="R47" s="9688"/>
      <c r="S47" s="9688"/>
      <c r="T47" s="9689"/>
      <c r="U47" s="6969" t="str">
        <f t="shared" si="4"/>
        <v/>
      </c>
      <c r="V47" s="9688"/>
      <c r="W47" s="9688"/>
      <c r="X47" s="9689"/>
      <c r="Y47" s="9670" t="str">
        <f t="shared" si="18"/>
        <v/>
      </c>
      <c r="Z47" s="6222"/>
      <c r="AA47" s="9670" t="str">
        <f t="shared" si="19"/>
        <v/>
      </c>
      <c r="AB47" s="6222"/>
      <c r="AC47" s="9671" t="str">
        <f t="shared" si="7"/>
        <v/>
      </c>
      <c r="AD47" s="9672"/>
      <c r="AE47" s="9672"/>
      <c r="AF47" s="9672"/>
      <c r="AG47" s="1297">
        <f t="shared" si="8"/>
        <v>0</v>
      </c>
      <c r="AH47" s="1090"/>
      <c r="AI47" s="1090" t="e">
        <f t="shared" si="5"/>
        <v>#VALUE!</v>
      </c>
      <c r="AJ47" s="1237"/>
      <c r="AK47" s="1241"/>
      <c r="AL47" s="1241"/>
      <c r="AM47" s="1239"/>
      <c r="AN47" s="1239"/>
      <c r="AO47" s="1240"/>
      <c r="AP47" s="1239"/>
      <c r="AQ47" s="1238"/>
      <c r="AS47" s="42" t="e">
        <f t="shared" si="9"/>
        <v>#VALUE!</v>
      </c>
      <c r="AT47" s="42" t="e">
        <f t="shared" si="10"/>
        <v>#VALUE!</v>
      </c>
      <c r="AU47" s="42" t="e">
        <f t="shared" si="11"/>
        <v>#VALUE!</v>
      </c>
      <c r="AW47" s="42" t="e">
        <f t="shared" si="12"/>
        <v>#VALUE!</v>
      </c>
      <c r="AX47" s="42" t="e">
        <f t="shared" si="13"/>
        <v>#VALUE!</v>
      </c>
      <c r="AY47" s="42" t="e">
        <f t="shared" si="14"/>
        <v>#VALUE!</v>
      </c>
      <c r="BA47" s="42" t="e">
        <f t="shared" si="15"/>
        <v>#VALUE!</v>
      </c>
      <c r="BB47" s="42" t="e">
        <f t="shared" si="16"/>
        <v>#VALUE!</v>
      </c>
      <c r="BC47" s="42" t="e">
        <f t="shared" si="17"/>
        <v>#VALUE!</v>
      </c>
    </row>
    <row r="48" spans="1:55" ht="19.5" customHeight="1">
      <c r="A48" s="1127">
        <f t="shared" si="6"/>
        <v>0</v>
      </c>
      <c r="B48" s="9703" t="str">
        <f t="shared" si="0"/>
        <v/>
      </c>
      <c r="C48" s="9704"/>
      <c r="D48" s="9704"/>
      <c r="E48" s="9704"/>
      <c r="F48" s="9704"/>
      <c r="G48" s="9704"/>
      <c r="H48" s="9704"/>
      <c r="I48" s="9705"/>
      <c r="J48" s="9706" t="str">
        <f t="shared" si="1"/>
        <v/>
      </c>
      <c r="K48" s="9707"/>
      <c r="L48" s="9707"/>
      <c r="M48" s="9706" t="str">
        <f t="shared" si="2"/>
        <v/>
      </c>
      <c r="N48" s="9707"/>
      <c r="O48" s="9707"/>
      <c r="P48" s="9708"/>
      <c r="Q48" s="6969" t="str">
        <f t="shared" si="3"/>
        <v/>
      </c>
      <c r="R48" s="9688"/>
      <c r="S48" s="9688"/>
      <c r="T48" s="9689"/>
      <c r="U48" s="6969" t="str">
        <f t="shared" si="4"/>
        <v/>
      </c>
      <c r="V48" s="9688"/>
      <c r="W48" s="9688"/>
      <c r="X48" s="9689"/>
      <c r="Y48" s="9670" t="str">
        <f t="shared" si="18"/>
        <v/>
      </c>
      <c r="Z48" s="6222"/>
      <c r="AA48" s="9670" t="str">
        <f t="shared" si="19"/>
        <v/>
      </c>
      <c r="AB48" s="6222"/>
      <c r="AC48" s="9671" t="str">
        <f t="shared" si="7"/>
        <v/>
      </c>
      <c r="AD48" s="9672"/>
      <c r="AE48" s="9672"/>
      <c r="AF48" s="9672"/>
      <c r="AG48" s="1297">
        <f t="shared" si="8"/>
        <v>0</v>
      </c>
      <c r="AH48" s="1090"/>
      <c r="AI48" s="1090" t="e">
        <f t="shared" si="5"/>
        <v>#VALUE!</v>
      </c>
      <c r="AJ48" s="1237"/>
      <c r="AK48" s="1241"/>
      <c r="AL48" s="1241"/>
      <c r="AM48" s="1239"/>
      <c r="AN48" s="1239"/>
      <c r="AO48" s="1240"/>
      <c r="AP48" s="1239"/>
      <c r="AQ48" s="1238"/>
      <c r="AS48" s="42" t="e">
        <f t="shared" si="9"/>
        <v>#VALUE!</v>
      </c>
      <c r="AT48" s="42" t="e">
        <f t="shared" si="10"/>
        <v>#VALUE!</v>
      </c>
      <c r="AU48" s="42" t="e">
        <f t="shared" si="11"/>
        <v>#VALUE!</v>
      </c>
      <c r="AW48" s="42" t="e">
        <f t="shared" si="12"/>
        <v>#VALUE!</v>
      </c>
      <c r="AX48" s="42" t="e">
        <f t="shared" si="13"/>
        <v>#VALUE!</v>
      </c>
      <c r="AY48" s="42" t="e">
        <f t="shared" si="14"/>
        <v>#VALUE!</v>
      </c>
      <c r="BA48" s="42" t="e">
        <f t="shared" si="15"/>
        <v>#VALUE!</v>
      </c>
      <c r="BB48" s="42" t="e">
        <f t="shared" si="16"/>
        <v>#VALUE!</v>
      </c>
      <c r="BC48" s="42" t="e">
        <f t="shared" si="17"/>
        <v>#VALUE!</v>
      </c>
    </row>
    <row r="49" spans="1:55" ht="19.5" customHeight="1">
      <c r="A49" s="1127">
        <f t="shared" si="6"/>
        <v>0</v>
      </c>
      <c r="B49" s="9703" t="str">
        <f t="shared" si="0"/>
        <v/>
      </c>
      <c r="C49" s="9704"/>
      <c r="D49" s="9704"/>
      <c r="E49" s="9704"/>
      <c r="F49" s="9704"/>
      <c r="G49" s="9704"/>
      <c r="H49" s="9704"/>
      <c r="I49" s="9705"/>
      <c r="J49" s="9706" t="str">
        <f t="shared" si="1"/>
        <v/>
      </c>
      <c r="K49" s="9707"/>
      <c r="L49" s="9707"/>
      <c r="M49" s="9706" t="str">
        <f t="shared" si="2"/>
        <v/>
      </c>
      <c r="N49" s="9707"/>
      <c r="O49" s="9707"/>
      <c r="P49" s="9708"/>
      <c r="Q49" s="6969" t="str">
        <f t="shared" si="3"/>
        <v/>
      </c>
      <c r="R49" s="9688"/>
      <c r="S49" s="9688"/>
      <c r="T49" s="9689"/>
      <c r="U49" s="6969" t="str">
        <f t="shared" si="4"/>
        <v/>
      </c>
      <c r="V49" s="9688"/>
      <c r="W49" s="9688"/>
      <c r="X49" s="9689"/>
      <c r="Y49" s="9670" t="str">
        <f t="shared" si="18"/>
        <v/>
      </c>
      <c r="Z49" s="6222"/>
      <c r="AA49" s="9670" t="str">
        <f t="shared" si="19"/>
        <v/>
      </c>
      <c r="AB49" s="6222"/>
      <c r="AC49" s="9671" t="str">
        <f t="shared" si="7"/>
        <v/>
      </c>
      <c r="AD49" s="9672"/>
      <c r="AE49" s="9672"/>
      <c r="AF49" s="9672"/>
      <c r="AG49" s="1297">
        <f t="shared" si="8"/>
        <v>0</v>
      </c>
      <c r="AH49" s="1090"/>
      <c r="AI49" s="1090" t="e">
        <f t="shared" si="5"/>
        <v>#VALUE!</v>
      </c>
      <c r="AJ49" s="1237"/>
      <c r="AK49" s="1241"/>
      <c r="AL49" s="1241"/>
      <c r="AM49" s="1239"/>
      <c r="AN49" s="1239"/>
      <c r="AO49" s="1240"/>
      <c r="AP49" s="1239"/>
      <c r="AQ49" s="1238"/>
      <c r="AS49" s="42" t="e">
        <f t="shared" si="9"/>
        <v>#VALUE!</v>
      </c>
      <c r="AT49" s="42" t="e">
        <f t="shared" si="10"/>
        <v>#VALUE!</v>
      </c>
      <c r="AU49" s="42" t="e">
        <f t="shared" si="11"/>
        <v>#VALUE!</v>
      </c>
      <c r="AW49" s="42" t="e">
        <f t="shared" si="12"/>
        <v>#VALUE!</v>
      </c>
      <c r="AX49" s="42" t="e">
        <f t="shared" si="13"/>
        <v>#VALUE!</v>
      </c>
      <c r="AY49" s="42" t="e">
        <f t="shared" si="14"/>
        <v>#VALUE!</v>
      </c>
      <c r="BA49" s="42" t="e">
        <f t="shared" si="15"/>
        <v>#VALUE!</v>
      </c>
      <c r="BB49" s="42" t="e">
        <f t="shared" si="16"/>
        <v>#VALUE!</v>
      </c>
      <c r="BC49" s="42" t="e">
        <f t="shared" si="17"/>
        <v>#VALUE!</v>
      </c>
    </row>
    <row r="50" spans="1:55" ht="19.5" customHeight="1">
      <c r="A50" s="1127">
        <f t="shared" si="6"/>
        <v>0</v>
      </c>
      <c r="B50" s="9703" t="str">
        <f t="shared" si="0"/>
        <v/>
      </c>
      <c r="C50" s="9704"/>
      <c r="D50" s="9704"/>
      <c r="E50" s="9704"/>
      <c r="F50" s="9704"/>
      <c r="G50" s="9704"/>
      <c r="H50" s="9704"/>
      <c r="I50" s="9705"/>
      <c r="J50" s="9706" t="str">
        <f t="shared" si="1"/>
        <v/>
      </c>
      <c r="K50" s="9707"/>
      <c r="L50" s="9707"/>
      <c r="M50" s="9706" t="str">
        <f t="shared" si="2"/>
        <v/>
      </c>
      <c r="N50" s="9707"/>
      <c r="O50" s="9707"/>
      <c r="P50" s="9708"/>
      <c r="Q50" s="6969" t="str">
        <f t="shared" si="3"/>
        <v/>
      </c>
      <c r="R50" s="9688"/>
      <c r="S50" s="9688"/>
      <c r="T50" s="9689"/>
      <c r="U50" s="6969" t="str">
        <f t="shared" si="4"/>
        <v/>
      </c>
      <c r="V50" s="9688"/>
      <c r="W50" s="9688"/>
      <c r="X50" s="9689"/>
      <c r="Y50" s="9670" t="str">
        <f t="shared" si="18"/>
        <v/>
      </c>
      <c r="Z50" s="6222"/>
      <c r="AA50" s="9670" t="str">
        <f t="shared" si="19"/>
        <v/>
      </c>
      <c r="AB50" s="6222"/>
      <c r="AC50" s="9671" t="str">
        <f t="shared" si="7"/>
        <v/>
      </c>
      <c r="AD50" s="9672"/>
      <c r="AE50" s="9672"/>
      <c r="AF50" s="9672"/>
      <c r="AG50" s="1297">
        <f t="shared" si="8"/>
        <v>0</v>
      </c>
      <c r="AH50" s="1090"/>
      <c r="AI50" s="1090" t="e">
        <f t="shared" si="5"/>
        <v>#VALUE!</v>
      </c>
      <c r="AJ50" s="1237"/>
      <c r="AK50" s="1241"/>
      <c r="AL50" s="1241"/>
      <c r="AM50" s="1239"/>
      <c r="AN50" s="1239"/>
      <c r="AO50" s="1240"/>
      <c r="AP50" s="1239"/>
      <c r="AQ50" s="1238"/>
      <c r="AS50" s="42" t="e">
        <f t="shared" si="9"/>
        <v>#VALUE!</v>
      </c>
      <c r="AT50" s="42" t="e">
        <f t="shared" si="10"/>
        <v>#VALUE!</v>
      </c>
      <c r="AU50" s="42" t="e">
        <f t="shared" si="11"/>
        <v>#VALUE!</v>
      </c>
      <c r="AW50" s="42" t="e">
        <f t="shared" si="12"/>
        <v>#VALUE!</v>
      </c>
      <c r="AX50" s="42" t="e">
        <f t="shared" si="13"/>
        <v>#VALUE!</v>
      </c>
      <c r="AY50" s="42" t="e">
        <f t="shared" si="14"/>
        <v>#VALUE!</v>
      </c>
      <c r="BA50" s="42" t="e">
        <f t="shared" si="15"/>
        <v>#VALUE!</v>
      </c>
      <c r="BB50" s="42" t="e">
        <f t="shared" si="16"/>
        <v>#VALUE!</v>
      </c>
      <c r="BC50" s="42" t="e">
        <f t="shared" si="17"/>
        <v>#VALUE!</v>
      </c>
    </row>
    <row r="51" spans="1:55" ht="19.5" customHeight="1">
      <c r="A51" s="1127">
        <f t="shared" si="6"/>
        <v>0</v>
      </c>
      <c r="B51" s="9703" t="str">
        <f t="shared" si="0"/>
        <v/>
      </c>
      <c r="C51" s="9704"/>
      <c r="D51" s="9704"/>
      <c r="E51" s="9704"/>
      <c r="F51" s="9704"/>
      <c r="G51" s="9704"/>
      <c r="H51" s="9704"/>
      <c r="I51" s="9705"/>
      <c r="J51" s="9706" t="str">
        <f t="shared" si="1"/>
        <v/>
      </c>
      <c r="K51" s="9707"/>
      <c r="L51" s="9707"/>
      <c r="M51" s="9706" t="str">
        <f t="shared" si="2"/>
        <v/>
      </c>
      <c r="N51" s="9707"/>
      <c r="O51" s="9707"/>
      <c r="P51" s="9708"/>
      <c r="Q51" s="6969" t="str">
        <f t="shared" si="3"/>
        <v/>
      </c>
      <c r="R51" s="9688"/>
      <c r="S51" s="9688"/>
      <c r="T51" s="9689"/>
      <c r="U51" s="6969" t="str">
        <f t="shared" si="4"/>
        <v/>
      </c>
      <c r="V51" s="9688"/>
      <c r="W51" s="9688"/>
      <c r="X51" s="9689"/>
      <c r="Y51" s="9670" t="str">
        <f t="shared" si="18"/>
        <v/>
      </c>
      <c r="Z51" s="6222"/>
      <c r="AA51" s="9670" t="str">
        <f t="shared" si="19"/>
        <v/>
      </c>
      <c r="AB51" s="6222"/>
      <c r="AC51" s="9671" t="str">
        <f t="shared" si="7"/>
        <v/>
      </c>
      <c r="AD51" s="9672"/>
      <c r="AE51" s="9672"/>
      <c r="AF51" s="9672"/>
      <c r="AG51" s="1297">
        <f t="shared" si="8"/>
        <v>0</v>
      </c>
      <c r="AH51" s="1090"/>
      <c r="AI51" s="1090" t="e">
        <f t="shared" si="5"/>
        <v>#VALUE!</v>
      </c>
      <c r="AJ51" s="1237"/>
      <c r="AK51" s="1241"/>
      <c r="AL51" s="1241"/>
      <c r="AM51" s="1239"/>
      <c r="AN51" s="1239"/>
      <c r="AO51" s="1240"/>
      <c r="AP51" s="1239"/>
      <c r="AQ51" s="1238"/>
      <c r="AS51" s="42" t="e">
        <f t="shared" si="9"/>
        <v>#VALUE!</v>
      </c>
      <c r="AT51" s="42" t="e">
        <f t="shared" si="10"/>
        <v>#VALUE!</v>
      </c>
      <c r="AU51" s="42" t="e">
        <f t="shared" si="11"/>
        <v>#VALUE!</v>
      </c>
      <c r="AW51" s="42" t="e">
        <f t="shared" si="12"/>
        <v>#VALUE!</v>
      </c>
      <c r="AX51" s="42" t="e">
        <f t="shared" si="13"/>
        <v>#VALUE!</v>
      </c>
      <c r="AY51" s="42" t="e">
        <f t="shared" si="14"/>
        <v>#VALUE!</v>
      </c>
      <c r="BA51" s="42" t="e">
        <f t="shared" si="15"/>
        <v>#VALUE!</v>
      </c>
      <c r="BB51" s="42" t="e">
        <f t="shared" si="16"/>
        <v>#VALUE!</v>
      </c>
      <c r="BC51" s="42" t="e">
        <f t="shared" si="17"/>
        <v>#VALUE!</v>
      </c>
    </row>
    <row r="52" spans="1:55" ht="19.5" customHeight="1">
      <c r="A52" s="1127">
        <f t="shared" si="6"/>
        <v>0</v>
      </c>
      <c r="B52" s="9703" t="str">
        <f t="shared" si="0"/>
        <v/>
      </c>
      <c r="C52" s="9704"/>
      <c r="D52" s="9704"/>
      <c r="E52" s="9704"/>
      <c r="F52" s="9704"/>
      <c r="G52" s="9704"/>
      <c r="H52" s="9704"/>
      <c r="I52" s="9705"/>
      <c r="J52" s="9706" t="str">
        <f t="shared" si="1"/>
        <v/>
      </c>
      <c r="K52" s="9707"/>
      <c r="L52" s="9707"/>
      <c r="M52" s="9706" t="str">
        <f t="shared" si="2"/>
        <v/>
      </c>
      <c r="N52" s="9707"/>
      <c r="O52" s="9707"/>
      <c r="P52" s="9708"/>
      <c r="Q52" s="6969" t="str">
        <f t="shared" si="3"/>
        <v/>
      </c>
      <c r="R52" s="9688"/>
      <c r="S52" s="9688"/>
      <c r="T52" s="9689"/>
      <c r="U52" s="6969" t="str">
        <f t="shared" si="4"/>
        <v/>
      </c>
      <c r="V52" s="9688"/>
      <c r="W52" s="9688"/>
      <c r="X52" s="9689"/>
      <c r="Y52" s="9670" t="str">
        <f t="shared" si="18"/>
        <v/>
      </c>
      <c r="Z52" s="6222"/>
      <c r="AA52" s="9670" t="str">
        <f t="shared" si="19"/>
        <v/>
      </c>
      <c r="AB52" s="6222"/>
      <c r="AC52" s="9671" t="str">
        <f t="shared" si="7"/>
        <v/>
      </c>
      <c r="AD52" s="9672"/>
      <c r="AE52" s="9672"/>
      <c r="AF52" s="9672"/>
      <c r="AG52" s="1297">
        <f t="shared" si="8"/>
        <v>0</v>
      </c>
      <c r="AH52" s="1090"/>
      <c r="AI52" s="1090" t="e">
        <f t="shared" si="5"/>
        <v>#VALUE!</v>
      </c>
      <c r="AJ52" s="1237"/>
      <c r="AK52" s="1241"/>
      <c r="AL52" s="1241"/>
      <c r="AM52" s="1239"/>
      <c r="AN52" s="1239"/>
      <c r="AO52" s="1240"/>
      <c r="AP52" s="1239"/>
      <c r="AQ52" s="1238"/>
      <c r="AS52" s="42" t="e">
        <f t="shared" si="9"/>
        <v>#VALUE!</v>
      </c>
      <c r="AT52" s="42" t="e">
        <f t="shared" si="10"/>
        <v>#VALUE!</v>
      </c>
      <c r="AU52" s="42" t="e">
        <f t="shared" si="11"/>
        <v>#VALUE!</v>
      </c>
      <c r="AW52" s="42" t="e">
        <f t="shared" si="12"/>
        <v>#VALUE!</v>
      </c>
      <c r="AX52" s="42" t="e">
        <f t="shared" si="13"/>
        <v>#VALUE!</v>
      </c>
      <c r="AY52" s="42" t="e">
        <f t="shared" si="14"/>
        <v>#VALUE!</v>
      </c>
      <c r="BA52" s="42" t="e">
        <f t="shared" si="15"/>
        <v>#VALUE!</v>
      </c>
      <c r="BB52" s="42" t="e">
        <f t="shared" si="16"/>
        <v>#VALUE!</v>
      </c>
      <c r="BC52" s="42" t="e">
        <f t="shared" si="17"/>
        <v>#VALUE!</v>
      </c>
    </row>
    <row r="53" spans="1:55" ht="19.5" customHeight="1">
      <c r="A53" s="1127">
        <f t="shared" si="6"/>
        <v>0</v>
      </c>
      <c r="B53" s="9703" t="str">
        <f t="shared" si="0"/>
        <v/>
      </c>
      <c r="C53" s="9704"/>
      <c r="D53" s="9704"/>
      <c r="E53" s="9704"/>
      <c r="F53" s="9704"/>
      <c r="G53" s="9704"/>
      <c r="H53" s="9704"/>
      <c r="I53" s="9705"/>
      <c r="J53" s="9706" t="str">
        <f t="shared" si="1"/>
        <v/>
      </c>
      <c r="K53" s="9707"/>
      <c r="L53" s="9707"/>
      <c r="M53" s="9706" t="str">
        <f t="shared" si="2"/>
        <v/>
      </c>
      <c r="N53" s="9707"/>
      <c r="O53" s="9707"/>
      <c r="P53" s="9708"/>
      <c r="Q53" s="6969" t="str">
        <f t="shared" si="3"/>
        <v/>
      </c>
      <c r="R53" s="9688"/>
      <c r="S53" s="9688"/>
      <c r="T53" s="9689"/>
      <c r="U53" s="6969" t="str">
        <f t="shared" si="4"/>
        <v/>
      </c>
      <c r="V53" s="9688"/>
      <c r="W53" s="9688"/>
      <c r="X53" s="9689"/>
      <c r="Y53" s="9670" t="str">
        <f t="shared" si="18"/>
        <v/>
      </c>
      <c r="Z53" s="6222"/>
      <c r="AA53" s="9670" t="str">
        <f t="shared" si="19"/>
        <v/>
      </c>
      <c r="AB53" s="6222"/>
      <c r="AC53" s="9671" t="str">
        <f t="shared" si="7"/>
        <v/>
      </c>
      <c r="AD53" s="9672"/>
      <c r="AE53" s="9672"/>
      <c r="AF53" s="9672"/>
      <c r="AG53" s="1297">
        <f t="shared" si="8"/>
        <v>0</v>
      </c>
      <c r="AH53" s="1090"/>
      <c r="AI53" s="1090" t="e">
        <f t="shared" si="5"/>
        <v>#VALUE!</v>
      </c>
      <c r="AJ53" s="1237"/>
      <c r="AK53" s="1241"/>
      <c r="AL53" s="1241"/>
      <c r="AM53" s="1239"/>
      <c r="AN53" s="1239"/>
      <c r="AO53" s="1240"/>
      <c r="AP53" s="1239"/>
      <c r="AQ53" s="1238"/>
      <c r="AS53" s="42" t="e">
        <f t="shared" si="9"/>
        <v>#VALUE!</v>
      </c>
      <c r="AT53" s="42" t="e">
        <f t="shared" si="10"/>
        <v>#VALUE!</v>
      </c>
      <c r="AU53" s="42" t="e">
        <f t="shared" si="11"/>
        <v>#VALUE!</v>
      </c>
      <c r="AW53" s="42" t="e">
        <f t="shared" si="12"/>
        <v>#VALUE!</v>
      </c>
      <c r="AX53" s="42" t="e">
        <f t="shared" si="13"/>
        <v>#VALUE!</v>
      </c>
      <c r="AY53" s="42" t="e">
        <f t="shared" si="14"/>
        <v>#VALUE!</v>
      </c>
      <c r="BA53" s="42" t="e">
        <f t="shared" si="15"/>
        <v>#VALUE!</v>
      </c>
      <c r="BB53" s="42" t="e">
        <f t="shared" si="16"/>
        <v>#VALUE!</v>
      </c>
      <c r="BC53" s="42" t="e">
        <f t="shared" si="17"/>
        <v>#VALUE!</v>
      </c>
    </row>
    <row r="54" spans="1:55" ht="19.5" customHeight="1">
      <c r="A54" s="1127">
        <f t="shared" si="6"/>
        <v>0</v>
      </c>
      <c r="B54" s="9703" t="str">
        <f t="shared" si="0"/>
        <v/>
      </c>
      <c r="C54" s="9704"/>
      <c r="D54" s="9704"/>
      <c r="E54" s="9704"/>
      <c r="F54" s="9704"/>
      <c r="G54" s="9704"/>
      <c r="H54" s="9704"/>
      <c r="I54" s="9705"/>
      <c r="J54" s="9706" t="str">
        <f t="shared" si="1"/>
        <v/>
      </c>
      <c r="K54" s="9707"/>
      <c r="L54" s="9707"/>
      <c r="M54" s="9706" t="str">
        <f t="shared" si="2"/>
        <v/>
      </c>
      <c r="N54" s="9707"/>
      <c r="O54" s="9707"/>
      <c r="P54" s="9708"/>
      <c r="Q54" s="6969" t="str">
        <f t="shared" si="3"/>
        <v/>
      </c>
      <c r="R54" s="9688"/>
      <c r="S54" s="9688"/>
      <c r="T54" s="9689"/>
      <c r="U54" s="6969" t="str">
        <f t="shared" si="4"/>
        <v/>
      </c>
      <c r="V54" s="9688"/>
      <c r="W54" s="9688"/>
      <c r="X54" s="9689"/>
      <c r="Y54" s="9670" t="str">
        <f t="shared" si="18"/>
        <v/>
      </c>
      <c r="Z54" s="6222"/>
      <c r="AA54" s="9670" t="str">
        <f t="shared" si="19"/>
        <v/>
      </c>
      <c r="AB54" s="6222"/>
      <c r="AC54" s="9671" t="str">
        <f t="shared" si="7"/>
        <v/>
      </c>
      <c r="AD54" s="9672"/>
      <c r="AE54" s="9672"/>
      <c r="AF54" s="9672"/>
      <c r="AG54" s="1297">
        <f t="shared" si="8"/>
        <v>0</v>
      </c>
      <c r="AH54" s="1090"/>
      <c r="AI54" s="1090" t="e">
        <f t="shared" si="5"/>
        <v>#VALUE!</v>
      </c>
      <c r="AJ54" s="1237"/>
      <c r="AK54" s="1241"/>
      <c r="AL54" s="1241"/>
      <c r="AM54" s="1239"/>
      <c r="AN54" s="1239"/>
      <c r="AO54" s="1240"/>
      <c r="AP54" s="1239"/>
      <c r="AQ54" s="1238"/>
      <c r="AS54" s="42" t="e">
        <f t="shared" si="9"/>
        <v>#VALUE!</v>
      </c>
      <c r="AT54" s="42" t="e">
        <f t="shared" si="10"/>
        <v>#VALUE!</v>
      </c>
      <c r="AU54" s="42" t="e">
        <f t="shared" si="11"/>
        <v>#VALUE!</v>
      </c>
      <c r="AW54" s="42" t="e">
        <f t="shared" si="12"/>
        <v>#VALUE!</v>
      </c>
      <c r="AX54" s="42" t="e">
        <f t="shared" si="13"/>
        <v>#VALUE!</v>
      </c>
      <c r="AY54" s="42" t="e">
        <f t="shared" si="14"/>
        <v>#VALUE!</v>
      </c>
      <c r="BA54" s="42" t="e">
        <f t="shared" si="15"/>
        <v>#VALUE!</v>
      </c>
      <c r="BB54" s="42" t="e">
        <f t="shared" si="16"/>
        <v>#VALUE!</v>
      </c>
      <c r="BC54" s="42" t="e">
        <f t="shared" si="17"/>
        <v>#VALUE!</v>
      </c>
    </row>
    <row r="55" spans="1:55" ht="11.25" customHeight="1">
      <c r="A55" s="1127">
        <f>SUM(A35:A54)</f>
        <v>0</v>
      </c>
      <c r="B55" s="9793">
        <v>2</v>
      </c>
      <c r="C55" s="9780" t="s">
        <v>2059</v>
      </c>
      <c r="D55" s="9781"/>
      <c r="E55" s="9781"/>
      <c r="F55" s="9781"/>
      <c r="G55" s="9781"/>
      <c r="H55" s="9781"/>
      <c r="I55" s="9781"/>
      <c r="J55" s="9781"/>
      <c r="K55" s="9781"/>
      <c r="L55" s="9781"/>
      <c r="M55" s="9781"/>
      <c r="N55" s="9781"/>
      <c r="O55" s="9781"/>
      <c r="P55" s="9781"/>
      <c r="Q55" s="9680" t="str">
        <f>IF(A55=0,"",ROUND(SUM(Q35:Q54),0))</f>
        <v/>
      </c>
      <c r="R55" s="9783"/>
      <c r="S55" s="9783"/>
      <c r="T55" s="9681"/>
      <c r="U55" s="9680" t="str">
        <f>IF(A55=0,"",ROUND(SUM(U35:U54),0))</f>
        <v/>
      </c>
      <c r="V55" s="9761"/>
      <c r="W55" s="9761"/>
      <c r="X55" s="9762"/>
      <c r="Y55" s="9769"/>
      <c r="Z55" s="9770"/>
      <c r="AA55" s="9680" t="str">
        <f>IF(A55=0,"",ROUND(SUM(AA35:AA54),0))</f>
        <v/>
      </c>
      <c r="AB55" s="9681"/>
      <c r="AC55" s="9680" t="str">
        <f>IF(A55=0,"",ROUND(SUM(AC35:AC54),0))</f>
        <v/>
      </c>
      <c r="AD55" s="9761"/>
      <c r="AE55" s="9761"/>
      <c r="AF55" s="9761"/>
      <c r="AG55" s="1021"/>
    </row>
    <row r="56" spans="1:55" ht="11.25" customHeight="1">
      <c r="A56" s="1127"/>
      <c r="B56" s="9794"/>
      <c r="C56" s="9782"/>
      <c r="D56" s="9782"/>
      <c r="E56" s="9782"/>
      <c r="F56" s="9782"/>
      <c r="G56" s="9782"/>
      <c r="H56" s="9782"/>
      <c r="I56" s="9782"/>
      <c r="J56" s="9782"/>
      <c r="K56" s="9782"/>
      <c r="L56" s="9782"/>
      <c r="M56" s="9782"/>
      <c r="N56" s="9782"/>
      <c r="O56" s="9782"/>
      <c r="P56" s="9782"/>
      <c r="Q56" s="9682"/>
      <c r="R56" s="9784"/>
      <c r="S56" s="9784"/>
      <c r="T56" s="9683"/>
      <c r="U56" s="9763"/>
      <c r="V56" s="9764"/>
      <c r="W56" s="9764"/>
      <c r="X56" s="9765"/>
      <c r="Y56" s="9771"/>
      <c r="Z56" s="9772"/>
      <c r="AA56" s="9682"/>
      <c r="AB56" s="9683"/>
      <c r="AC56" s="9763"/>
      <c r="AD56" s="9764"/>
      <c r="AE56" s="9764"/>
      <c r="AF56" s="9764"/>
      <c r="AG56" s="1021"/>
    </row>
    <row r="57" spans="1:55" ht="11.25" customHeight="1">
      <c r="A57" s="1127"/>
      <c r="B57" s="9794"/>
      <c r="C57" s="9782"/>
      <c r="D57" s="9782"/>
      <c r="E57" s="9782"/>
      <c r="F57" s="9782"/>
      <c r="G57" s="9782"/>
      <c r="H57" s="9782"/>
      <c r="I57" s="9782"/>
      <c r="J57" s="9782"/>
      <c r="K57" s="9782"/>
      <c r="L57" s="9782"/>
      <c r="M57" s="9782"/>
      <c r="N57" s="9782"/>
      <c r="O57" s="9782"/>
      <c r="P57" s="9782"/>
      <c r="Q57" s="9682"/>
      <c r="R57" s="9784"/>
      <c r="S57" s="9784"/>
      <c r="T57" s="9683"/>
      <c r="U57" s="9763"/>
      <c r="V57" s="9764"/>
      <c r="W57" s="9764"/>
      <c r="X57" s="9765"/>
      <c r="Y57" s="9771"/>
      <c r="Z57" s="9772"/>
      <c r="AA57" s="9682"/>
      <c r="AB57" s="9683"/>
      <c r="AC57" s="9763"/>
      <c r="AD57" s="9764"/>
      <c r="AE57" s="9764"/>
      <c r="AF57" s="9764"/>
      <c r="AG57" s="1021"/>
    </row>
    <row r="58" spans="1:55" ht="11.25" customHeight="1">
      <c r="A58" s="1127"/>
      <c r="B58" s="9794"/>
      <c r="C58" s="9782"/>
      <c r="D58" s="9782"/>
      <c r="E58" s="9782"/>
      <c r="F58" s="9782"/>
      <c r="G58" s="9782"/>
      <c r="H58" s="9782"/>
      <c r="I58" s="9782"/>
      <c r="J58" s="9782"/>
      <c r="K58" s="9782"/>
      <c r="L58" s="9782"/>
      <c r="M58" s="9782"/>
      <c r="N58" s="9782"/>
      <c r="O58" s="9782"/>
      <c r="P58" s="9782"/>
      <c r="Q58" s="9682"/>
      <c r="R58" s="9784"/>
      <c r="S58" s="9784"/>
      <c r="T58" s="9683"/>
      <c r="U58" s="9763"/>
      <c r="V58" s="9764"/>
      <c r="W58" s="9764"/>
      <c r="X58" s="9765"/>
      <c r="Y58" s="9771"/>
      <c r="Z58" s="9772"/>
      <c r="AA58" s="9682"/>
      <c r="AB58" s="9683"/>
      <c r="AC58" s="9763"/>
      <c r="AD58" s="9764"/>
      <c r="AE58" s="9764"/>
      <c r="AF58" s="9764"/>
      <c r="AG58" s="1021"/>
    </row>
    <row r="59" spans="1:55" ht="9" customHeight="1">
      <c r="A59" s="1127"/>
      <c r="B59" s="9794"/>
      <c r="C59" s="9782"/>
      <c r="D59" s="9782"/>
      <c r="E59" s="9782"/>
      <c r="F59" s="9782"/>
      <c r="G59" s="9782"/>
      <c r="H59" s="9782"/>
      <c r="I59" s="9782"/>
      <c r="J59" s="9782"/>
      <c r="K59" s="9782"/>
      <c r="L59" s="9782"/>
      <c r="M59" s="9782"/>
      <c r="N59" s="9782"/>
      <c r="O59" s="9782"/>
      <c r="P59" s="9782"/>
      <c r="Q59" s="9682"/>
      <c r="R59" s="9784"/>
      <c r="S59" s="9784"/>
      <c r="T59" s="9683"/>
      <c r="U59" s="9790"/>
      <c r="V59" s="9791"/>
      <c r="W59" s="9791"/>
      <c r="X59" s="9792"/>
      <c r="Y59" s="9773"/>
      <c r="Z59" s="9774"/>
      <c r="AA59" s="9684"/>
      <c r="AB59" s="9685"/>
      <c r="AC59" s="9763"/>
      <c r="AD59" s="9764"/>
      <c r="AE59" s="9764"/>
      <c r="AF59" s="9764"/>
      <c r="AG59" s="1021"/>
    </row>
    <row r="60" spans="1:55" ht="25.5" customHeight="1" thickBot="1">
      <c r="A60" s="1127"/>
      <c r="B60" s="9785" t="s">
        <v>2812</v>
      </c>
      <c r="C60" s="9786"/>
      <c r="D60" s="9786"/>
      <c r="E60" s="9786"/>
      <c r="F60" s="9786"/>
      <c r="G60" s="9786"/>
      <c r="H60" s="9786"/>
      <c r="I60" s="9786"/>
      <c r="J60" s="9786"/>
      <c r="K60" s="9786"/>
      <c r="L60" s="9786"/>
      <c r="M60" s="9786"/>
      <c r="N60" s="9786"/>
      <c r="O60" s="9786"/>
      <c r="P60" s="9786"/>
      <c r="Q60" s="9786"/>
      <c r="R60" s="9786"/>
      <c r="S60" s="9786"/>
      <c r="T60" s="9786"/>
      <c r="U60" s="9787"/>
      <c r="V60" s="9787"/>
      <c r="W60" s="9787"/>
      <c r="X60" s="9787"/>
      <c r="Y60" s="9786"/>
      <c r="Z60" s="9786"/>
      <c r="AA60" s="9786"/>
      <c r="AB60" s="9786"/>
      <c r="AC60" s="9786"/>
      <c r="AD60" s="9786"/>
      <c r="AE60" s="9786"/>
      <c r="AF60" s="9786"/>
      <c r="AG60" s="1021"/>
      <c r="AJ60" s="989"/>
    </row>
    <row r="61" spans="1:55" ht="16.5" thickTop="1">
      <c r="A61" s="1127"/>
      <c r="B61" s="4759" t="s">
        <v>484</v>
      </c>
      <c r="C61" s="23"/>
      <c r="D61" s="23"/>
      <c r="E61" s="23"/>
      <c r="F61" s="23"/>
      <c r="G61" s="23"/>
      <c r="H61" s="23"/>
      <c r="I61" s="23"/>
      <c r="J61" s="23"/>
      <c r="K61" s="23"/>
      <c r="L61" s="23"/>
      <c r="M61" s="23"/>
      <c r="N61" s="23"/>
      <c r="O61" s="23"/>
      <c r="P61" s="23"/>
      <c r="Q61" s="23"/>
      <c r="R61" s="23"/>
      <c r="S61" s="23"/>
      <c r="T61" s="23"/>
      <c r="U61" s="501" t="s">
        <v>621</v>
      </c>
      <c r="V61" s="23"/>
      <c r="W61" s="23"/>
      <c r="X61" s="23"/>
      <c r="Y61" s="23"/>
      <c r="Z61" s="23"/>
      <c r="AA61" s="23"/>
      <c r="AB61" s="23"/>
      <c r="AC61" s="23"/>
      <c r="AD61" s="1035" t="s">
        <v>632</v>
      </c>
      <c r="AE61" s="23"/>
      <c r="AF61" s="3559" t="str">
        <f>"("&amp;TaxYear&amp;")"</f>
        <v>(2021)</v>
      </c>
      <c r="AG61" s="1021"/>
    </row>
    <row r="62" spans="1:55" ht="15.75">
      <c r="A62" s="1127"/>
      <c r="B62" s="32" t="str">
        <f>"Form 8949 ("&amp;TaxYear&amp;")"</f>
        <v>Form 8949 (2021)</v>
      </c>
      <c r="C62" s="41"/>
      <c r="D62" s="41"/>
      <c r="E62" s="41"/>
      <c r="F62" s="41"/>
      <c r="G62" s="41"/>
      <c r="H62" s="41"/>
      <c r="I62" s="41"/>
      <c r="J62" s="41"/>
      <c r="K62" s="41"/>
      <c r="L62" s="41"/>
      <c r="M62" s="41"/>
      <c r="N62" s="41"/>
      <c r="O62" s="41"/>
      <c r="P62" s="41"/>
      <c r="Q62" s="41"/>
      <c r="R62" s="41"/>
      <c r="S62" s="41"/>
      <c r="T62" s="41"/>
      <c r="U62" s="41"/>
      <c r="V62" s="32" t="s">
        <v>623</v>
      </c>
      <c r="W62" s="41"/>
      <c r="X62" s="41"/>
      <c r="Y62" s="41"/>
      <c r="Z62" s="41"/>
      <c r="AA62" s="41"/>
      <c r="AB62" s="41"/>
      <c r="AC62" s="41"/>
      <c r="AD62" s="41"/>
      <c r="AE62" s="41"/>
      <c r="AF62" s="1093" t="s">
        <v>160</v>
      </c>
      <c r="AG62" s="1021"/>
    </row>
    <row r="63" spans="1:55">
      <c r="A63" s="1127"/>
      <c r="B63" s="30" t="s">
        <v>3572</v>
      </c>
      <c r="C63" s="23"/>
      <c r="D63" s="23"/>
      <c r="E63" s="23"/>
      <c r="F63" s="23"/>
      <c r="G63" s="23"/>
      <c r="H63" s="23"/>
      <c r="I63" s="23"/>
      <c r="J63" s="23"/>
      <c r="K63" s="23"/>
      <c r="L63" s="23"/>
      <c r="M63" s="23"/>
      <c r="N63" s="23"/>
      <c r="O63" s="23"/>
      <c r="P63" s="23"/>
      <c r="Q63" s="23"/>
      <c r="R63" s="23"/>
      <c r="S63" s="23"/>
      <c r="T63" s="23"/>
      <c r="U63" s="23"/>
      <c r="V63" s="1236" t="s">
        <v>735</v>
      </c>
      <c r="W63" s="23"/>
      <c r="X63" s="23"/>
      <c r="Y63" s="23"/>
      <c r="Z63" s="34"/>
      <c r="AA63" s="23"/>
      <c r="AB63" s="23"/>
      <c r="AC63" s="23"/>
      <c r="AD63" s="23"/>
      <c r="AE63" s="23"/>
      <c r="AF63" s="23"/>
      <c r="AG63" s="1021"/>
    </row>
    <row r="64" spans="1:55" ht="16.5" thickBot="1">
      <c r="A64" s="1127"/>
      <c r="B64" s="9716" t="str">
        <f>Names</f>
        <v/>
      </c>
      <c r="C64" s="9717"/>
      <c r="D64" s="9717"/>
      <c r="E64" s="9717"/>
      <c r="F64" s="9717"/>
      <c r="G64" s="9717"/>
      <c r="H64" s="9717"/>
      <c r="I64" s="9717"/>
      <c r="J64" s="9717"/>
      <c r="K64" s="9717"/>
      <c r="L64" s="9717"/>
      <c r="M64" s="9717"/>
      <c r="N64" s="9717"/>
      <c r="O64" s="9717"/>
      <c r="P64" s="9717"/>
      <c r="Q64" s="9717"/>
      <c r="R64" s="9717"/>
      <c r="S64" s="9717"/>
      <c r="T64" s="9717"/>
      <c r="U64" s="9718"/>
      <c r="V64" s="9714">
        <f>IF(NoSSN,"",SS_Yours)</f>
        <v>1010001</v>
      </c>
      <c r="W64" s="9715"/>
      <c r="X64" s="9715"/>
      <c r="Y64" s="9715"/>
      <c r="Z64" s="9715"/>
      <c r="AA64" s="9715"/>
      <c r="AB64" s="9715"/>
      <c r="AC64" s="9715"/>
      <c r="AD64" s="9715"/>
      <c r="AE64" s="9715"/>
      <c r="AF64" s="9715"/>
      <c r="AG64" s="1021"/>
    </row>
    <row r="65" spans="1:55" ht="12.75" customHeight="1">
      <c r="A65" s="1127"/>
      <c r="B65" s="9775" t="s">
        <v>2064</v>
      </c>
      <c r="C65" s="9776"/>
      <c r="D65" s="9776"/>
      <c r="E65" s="9776"/>
      <c r="F65" s="9776"/>
      <c r="G65" s="9776"/>
      <c r="H65" s="9776"/>
      <c r="I65" s="9776"/>
      <c r="J65" s="9776"/>
      <c r="K65" s="9776"/>
      <c r="L65" s="9776"/>
      <c r="M65" s="9776"/>
      <c r="N65" s="9776"/>
      <c r="O65" s="9776"/>
      <c r="P65" s="9776"/>
      <c r="Q65" s="9776"/>
      <c r="R65" s="9776"/>
      <c r="S65" s="9776"/>
      <c r="T65" s="9776"/>
      <c r="U65" s="9776"/>
      <c r="V65" s="9776"/>
      <c r="W65" s="9776"/>
      <c r="X65" s="9776"/>
      <c r="Y65" s="9776"/>
      <c r="Z65" s="9776"/>
      <c r="AA65" s="9776"/>
      <c r="AB65" s="9776"/>
      <c r="AC65" s="9776"/>
      <c r="AD65" s="9776"/>
      <c r="AE65" s="9776"/>
      <c r="AF65" s="9776"/>
      <c r="AG65" s="1021"/>
    </row>
    <row r="66" spans="1:55" ht="12.75" customHeight="1">
      <c r="A66" s="1127"/>
      <c r="B66" s="7093"/>
      <c r="C66" s="7093"/>
      <c r="D66" s="7093"/>
      <c r="E66" s="7093"/>
      <c r="F66" s="7093"/>
      <c r="G66" s="7093"/>
      <c r="H66" s="7093"/>
      <c r="I66" s="7093"/>
      <c r="J66" s="7093"/>
      <c r="K66" s="7093"/>
      <c r="L66" s="7093"/>
      <c r="M66" s="7093"/>
      <c r="N66" s="7093"/>
      <c r="O66" s="7093"/>
      <c r="P66" s="7093"/>
      <c r="Q66" s="7093"/>
      <c r="R66" s="7093"/>
      <c r="S66" s="7093"/>
      <c r="T66" s="7093"/>
      <c r="U66" s="7093"/>
      <c r="V66" s="7093"/>
      <c r="W66" s="7093"/>
      <c r="X66" s="7093"/>
      <c r="Y66" s="7093"/>
      <c r="Z66" s="7093"/>
      <c r="AA66" s="7093"/>
      <c r="AB66" s="7093"/>
      <c r="AC66" s="7093"/>
      <c r="AD66" s="7093"/>
      <c r="AE66" s="7093"/>
      <c r="AF66" s="7093"/>
      <c r="AG66" s="1021"/>
    </row>
    <row r="67" spans="1:55" ht="12.75" customHeight="1">
      <c r="A67" s="1127"/>
      <c r="B67" s="7776"/>
      <c r="C67" s="7776"/>
      <c r="D67" s="7776"/>
      <c r="E67" s="7776"/>
      <c r="F67" s="7776"/>
      <c r="G67" s="7776"/>
      <c r="H67" s="7776"/>
      <c r="I67" s="7776"/>
      <c r="J67" s="7776"/>
      <c r="K67" s="7776"/>
      <c r="L67" s="7776"/>
      <c r="M67" s="7776"/>
      <c r="N67" s="7776"/>
      <c r="O67" s="7776"/>
      <c r="P67" s="7776"/>
      <c r="Q67" s="7776"/>
      <c r="R67" s="7776"/>
      <c r="S67" s="7776"/>
      <c r="T67" s="7776"/>
      <c r="U67" s="7776"/>
      <c r="V67" s="7776"/>
      <c r="W67" s="7776"/>
      <c r="X67" s="7776"/>
      <c r="Y67" s="7776"/>
      <c r="Z67" s="7776"/>
      <c r="AA67" s="7776"/>
      <c r="AB67" s="7776"/>
      <c r="AC67" s="7776"/>
      <c r="AD67" s="7776"/>
      <c r="AE67" s="7776"/>
      <c r="AF67" s="7776"/>
      <c r="AG67" s="1021"/>
    </row>
    <row r="68" spans="1:55" ht="3.75" customHeight="1">
      <c r="A68" s="1127"/>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1021"/>
    </row>
    <row r="69" spans="1:55" ht="15">
      <c r="A69" s="1127"/>
      <c r="B69" s="9788" t="s">
        <v>118</v>
      </c>
      <c r="C69" s="9789"/>
      <c r="D69" s="23"/>
      <c r="E69" s="343" t="s">
        <v>2057</v>
      </c>
      <c r="F69" s="412"/>
      <c r="G69" s="412"/>
      <c r="H69" s="412"/>
      <c r="I69" s="412"/>
      <c r="J69" s="412"/>
      <c r="K69" s="412"/>
      <c r="L69" s="412"/>
      <c r="M69" s="412"/>
      <c r="N69" s="412"/>
      <c r="O69" s="412"/>
      <c r="P69" s="343"/>
      <c r="Q69" s="412"/>
      <c r="R69" s="412"/>
      <c r="S69" s="412"/>
      <c r="T69" s="412" t="s">
        <v>2056</v>
      </c>
      <c r="U69" s="412"/>
      <c r="V69" s="412"/>
      <c r="W69" s="412"/>
      <c r="X69" s="412"/>
      <c r="Y69" s="412" t="s">
        <v>2814</v>
      </c>
      <c r="Z69" s="412"/>
      <c r="AA69" s="412"/>
      <c r="AB69" s="412"/>
      <c r="AC69" s="412"/>
      <c r="AD69" s="412"/>
      <c r="AE69" s="412"/>
      <c r="AF69" s="412"/>
      <c r="AG69" s="1297" t="b">
        <f>IF(SUM(AG88:AG115)&gt;0,TRUE,FALSE)</f>
        <v>0</v>
      </c>
    </row>
    <row r="70" spans="1:55" ht="11.25" customHeight="1">
      <c r="A70" s="1127"/>
      <c r="B70" s="23"/>
      <c r="C70" s="23"/>
      <c r="D70" s="23"/>
      <c r="E70" s="412" t="s">
        <v>2815</v>
      </c>
      <c r="F70" s="412"/>
      <c r="G70" s="412"/>
      <c r="H70" s="412"/>
      <c r="I70" s="412"/>
      <c r="J70" s="412"/>
      <c r="K70" s="412"/>
      <c r="L70" s="412"/>
      <c r="M70" s="412"/>
      <c r="N70" s="412"/>
      <c r="O70" s="412"/>
      <c r="P70" s="412"/>
      <c r="Q70" s="412"/>
      <c r="R70" s="412"/>
      <c r="S70" s="412"/>
      <c r="T70" s="412"/>
      <c r="U70" s="412"/>
      <c r="V70" s="412"/>
      <c r="W70" s="412"/>
      <c r="X70" s="412"/>
      <c r="Y70" s="412"/>
      <c r="Z70" s="412"/>
      <c r="AA70" s="412"/>
      <c r="AB70" s="412"/>
      <c r="AC70" s="412"/>
      <c r="AD70" s="412"/>
      <c r="AE70" s="412"/>
      <c r="AF70" s="412"/>
      <c r="AG70" s="1021"/>
    </row>
    <row r="71" spans="1:55" s="262" customFormat="1" ht="13.5" customHeight="1">
      <c r="A71" s="2667"/>
      <c r="B71" s="412"/>
      <c r="C71" s="412"/>
      <c r="D71" s="412"/>
      <c r="E71" s="2668" t="s">
        <v>2058</v>
      </c>
      <c r="F71" s="412"/>
      <c r="G71" s="412"/>
      <c r="H71" s="412"/>
      <c r="I71" s="412"/>
      <c r="J71" s="412"/>
      <c r="K71" s="412"/>
      <c r="L71" s="412"/>
      <c r="M71" s="412"/>
      <c r="N71" s="412"/>
      <c r="O71" s="412"/>
      <c r="P71" s="412"/>
      <c r="Q71" s="412"/>
      <c r="R71" s="412"/>
      <c r="S71" s="412"/>
      <c r="T71" s="412"/>
      <c r="U71" s="412"/>
      <c r="V71" s="412"/>
      <c r="W71" s="412"/>
      <c r="X71" s="412"/>
      <c r="Y71" s="412"/>
      <c r="Z71" s="412"/>
      <c r="AA71" s="412"/>
      <c r="AB71" s="412"/>
      <c r="AC71" s="412"/>
      <c r="AD71" s="412"/>
      <c r="AE71" s="412"/>
      <c r="AF71" s="412"/>
      <c r="AG71" s="2667"/>
      <c r="AH71" s="982"/>
      <c r="AI71" s="982"/>
    </row>
    <row r="72" spans="1:55" s="262" customFormat="1" ht="13.5" customHeight="1">
      <c r="A72" s="2667"/>
      <c r="B72" s="412"/>
      <c r="C72" s="412"/>
      <c r="D72" s="412"/>
      <c r="E72" s="412" t="s">
        <v>817</v>
      </c>
      <c r="F72" s="412"/>
      <c r="G72" s="412"/>
      <c r="H72" s="412"/>
      <c r="I72" s="412"/>
      <c r="J72" s="412"/>
      <c r="K72" s="412"/>
      <c r="L72" s="412"/>
      <c r="M72" s="412"/>
      <c r="N72" s="412"/>
      <c r="O72" s="412"/>
      <c r="P72" s="412"/>
      <c r="Q72" s="412"/>
      <c r="R72" s="412"/>
      <c r="S72" s="412"/>
      <c r="T72" s="412"/>
      <c r="U72" s="412"/>
      <c r="V72" s="412"/>
      <c r="W72" s="412"/>
      <c r="X72" s="412"/>
      <c r="Y72" s="412"/>
      <c r="Z72" s="412"/>
      <c r="AA72" s="412"/>
      <c r="AB72" s="412"/>
      <c r="AC72" s="412"/>
      <c r="AD72" s="412"/>
      <c r="AE72" s="412"/>
      <c r="AF72" s="412"/>
      <c r="AG72" s="2667"/>
      <c r="AH72" s="982"/>
      <c r="AI72" s="982"/>
    </row>
    <row r="73" spans="1:55" s="262" customFormat="1" ht="13.5" customHeight="1">
      <c r="A73" s="2667"/>
      <c r="B73" s="2669"/>
      <c r="C73" s="2669"/>
      <c r="D73" s="2669"/>
      <c r="E73" s="2669" t="s">
        <v>2816</v>
      </c>
      <c r="F73" s="2669"/>
      <c r="G73" s="2669"/>
      <c r="H73" s="2669"/>
      <c r="I73" s="2669"/>
      <c r="J73" s="2669"/>
      <c r="K73" s="2669"/>
      <c r="L73" s="2669"/>
      <c r="M73" s="2669"/>
      <c r="N73" s="2669"/>
      <c r="O73" s="2669"/>
      <c r="P73" s="2669"/>
      <c r="Q73" s="2669"/>
      <c r="R73" s="2669"/>
      <c r="S73" s="2669"/>
      <c r="T73" s="2669"/>
      <c r="U73" s="2669"/>
      <c r="V73" s="2669"/>
      <c r="W73" s="2669"/>
      <c r="X73" s="2669"/>
      <c r="Y73" s="2669"/>
      <c r="Z73" s="2669"/>
      <c r="AA73" s="2669"/>
      <c r="AB73" s="2669"/>
      <c r="AC73" s="2669"/>
      <c r="AD73" s="2669"/>
      <c r="AE73" s="2669"/>
      <c r="AF73" s="2669"/>
      <c r="AG73" s="2667"/>
      <c r="AH73" s="982"/>
      <c r="AI73" s="982"/>
    </row>
    <row r="74" spans="1:55">
      <c r="A74" s="1127"/>
      <c r="B74" s="278" t="s">
        <v>818</v>
      </c>
      <c r="C74" s="56"/>
      <c r="D74" s="56"/>
      <c r="E74" s="56"/>
      <c r="F74" s="56"/>
      <c r="G74" s="56"/>
      <c r="H74" s="56"/>
      <c r="I74" s="56"/>
      <c r="J74" s="56"/>
      <c r="K74" s="278" t="s">
        <v>724</v>
      </c>
      <c r="L74" s="56"/>
      <c r="M74" s="56"/>
      <c r="N74" s="56"/>
      <c r="O74" s="56"/>
      <c r="P74" s="70" t="s">
        <v>726</v>
      </c>
      <c r="Q74" s="56"/>
      <c r="R74" s="56"/>
      <c r="S74" s="56"/>
      <c r="T74" s="56"/>
      <c r="U74" s="56"/>
      <c r="V74" s="56"/>
      <c r="W74" s="56"/>
      <c r="X74" s="56"/>
      <c r="Y74" s="56"/>
      <c r="Z74" s="56"/>
      <c r="AA74" s="56"/>
      <c r="AB74" s="56"/>
      <c r="AC74" s="56"/>
      <c r="AD74" s="56"/>
      <c r="AE74" s="56"/>
      <c r="AF74" s="56"/>
      <c r="AG74" s="1021"/>
    </row>
    <row r="75" spans="1:55">
      <c r="A75" s="1127"/>
      <c r="B75" s="70" t="s">
        <v>727</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1021"/>
      <c r="BA75" s="9699" t="s">
        <v>780</v>
      </c>
      <c r="BB75" s="6206"/>
      <c r="BC75" s="7198"/>
    </row>
    <row r="76" spans="1:55">
      <c r="A76" s="1127"/>
      <c r="B76" s="70" t="s">
        <v>728</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1021"/>
      <c r="BA76" s="9700" t="s">
        <v>779</v>
      </c>
      <c r="BB76" s="9700" t="s">
        <v>770</v>
      </c>
      <c r="BC76" s="9700" t="s">
        <v>771</v>
      </c>
    </row>
    <row r="77" spans="1:55" ht="4.5" customHeight="1" thickBot="1">
      <c r="A77" s="1127"/>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1021"/>
      <c r="BA77" s="9701"/>
      <c r="BB77" s="9701"/>
      <c r="BC77" s="9701"/>
    </row>
    <row r="78" spans="1:55" ht="12" customHeight="1" thickBot="1">
      <c r="A78" s="1127"/>
      <c r="B78" s="1258">
        <f>IF(C78&lt;&gt;"",1,0)</f>
        <v>0</v>
      </c>
      <c r="C78" s="1257"/>
      <c r="D78" s="999" t="s">
        <v>2817</v>
      </c>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1021"/>
      <c r="AJ78" s="9694"/>
      <c r="AK78" s="9695"/>
      <c r="AL78" s="9695"/>
      <c r="AM78" s="9695"/>
      <c r="AN78" s="9695"/>
      <c r="AO78" s="9695"/>
      <c r="AP78" s="9695"/>
      <c r="AQ78" s="9695"/>
      <c r="BA78" s="9701"/>
      <c r="BB78" s="9701"/>
      <c r="BC78" s="9701"/>
    </row>
    <row r="79" spans="1:55" ht="4.5" customHeight="1" thickBot="1">
      <c r="A79" s="1127"/>
      <c r="B79" s="1235"/>
      <c r="C79" s="56"/>
      <c r="D79" s="70"/>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1021"/>
      <c r="BA79" s="9701"/>
      <c r="BB79" s="9701"/>
      <c r="BC79" s="9701"/>
    </row>
    <row r="80" spans="1:55" ht="11.25" customHeight="1" thickBot="1">
      <c r="A80" s="1127"/>
      <c r="B80" s="1258">
        <f>IF(C80&lt;&gt;"",1,0)</f>
        <v>0</v>
      </c>
      <c r="C80" s="1257"/>
      <c r="D80" s="999" t="s">
        <v>2818</v>
      </c>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1021"/>
      <c r="AJ80" s="9694"/>
      <c r="AK80" s="9695"/>
      <c r="AL80" s="9695"/>
      <c r="AM80" s="9695"/>
      <c r="AN80" s="9695"/>
      <c r="AO80" s="9695"/>
      <c r="AP80" s="9695"/>
      <c r="AQ80" s="9695"/>
      <c r="BA80" s="9701"/>
      <c r="BB80" s="9701"/>
      <c r="BC80" s="9701"/>
    </row>
    <row r="81" spans="1:55" ht="4.5" customHeight="1" thickBot="1">
      <c r="A81" s="1127"/>
      <c r="B81" s="1235"/>
      <c r="C81" s="56"/>
      <c r="D81" s="70"/>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1021"/>
      <c r="BA81" s="9701"/>
      <c r="BB81" s="9701"/>
      <c r="BC81" s="9701"/>
    </row>
    <row r="82" spans="1:55" ht="12" customHeight="1" thickBot="1">
      <c r="A82" s="1127">
        <f>SUM(B78:B82)</f>
        <v>0</v>
      </c>
      <c r="B82" s="1258">
        <f>IF(C82&lt;&gt;"",1,0)</f>
        <v>0</v>
      </c>
      <c r="C82" s="1257"/>
      <c r="D82" s="999" t="s">
        <v>2819</v>
      </c>
      <c r="E82" s="56"/>
      <c r="F82" s="56"/>
      <c r="G82" s="56"/>
      <c r="H82" s="56"/>
      <c r="I82" s="56"/>
      <c r="J82" s="56"/>
      <c r="K82" s="56"/>
      <c r="L82" s="56"/>
      <c r="M82" s="56"/>
      <c r="N82" s="56"/>
      <c r="O82" s="56"/>
      <c r="P82" s="56"/>
      <c r="Q82" s="56"/>
      <c r="R82" s="9740" t="str">
        <f>IF(SpaceUsed_8949B_LT,"ERROR: DO NOT use the space bar to uncheck a box. Use the 'Delete' key.",IF(A82&gt;1,"Check only ONE box.",IF(A82&gt;0,"",IF(A82&lt;1,"Check ONE box.",""))))</f>
        <v>Check ONE box.</v>
      </c>
      <c r="S82" s="9741"/>
      <c r="T82" s="9741"/>
      <c r="U82" s="9741"/>
      <c r="V82" s="9741"/>
      <c r="W82" s="9741"/>
      <c r="X82" s="9741"/>
      <c r="Y82" s="9741"/>
      <c r="Z82" s="9741"/>
      <c r="AA82" s="9741"/>
      <c r="AB82" s="9741"/>
      <c r="AC82" s="9741"/>
      <c r="AD82" s="9741"/>
      <c r="AE82" s="9741"/>
      <c r="AF82" s="56"/>
      <c r="AG82" s="1021"/>
      <c r="AH82" s="1430" t="b">
        <f>IF(OR(F8949BLBOXA=CHAR(32),F8949BLBOXB=CHAR(32),F8949BLBOXC=CHAR(32)),TRUE,FALSE)</f>
        <v>0</v>
      </c>
      <c r="AJ82" s="9702" t="s">
        <v>2467</v>
      </c>
      <c r="AK82" s="9695"/>
      <c r="AL82" s="9695"/>
      <c r="AM82" s="9695"/>
      <c r="AN82" s="9695"/>
      <c r="AO82" s="9695"/>
      <c r="AP82" s="9695"/>
      <c r="AQ82" s="9695"/>
      <c r="BA82" s="9701"/>
      <c r="BB82" s="9701"/>
      <c r="BC82" s="9701"/>
    </row>
    <row r="83" spans="1:55" ht="3.75" customHeight="1">
      <c r="A83" s="1127"/>
      <c r="B83" s="279"/>
      <c r="C83" s="1092"/>
      <c r="D83" s="279"/>
      <c r="E83" s="279"/>
      <c r="F83" s="279"/>
      <c r="G83" s="279"/>
      <c r="H83" s="279"/>
      <c r="I83" s="279"/>
      <c r="J83" s="279"/>
      <c r="K83" s="279"/>
      <c r="L83" s="279"/>
      <c r="M83" s="279"/>
      <c r="N83" s="1092"/>
      <c r="O83" s="279"/>
      <c r="P83" s="279"/>
      <c r="Q83" s="279"/>
      <c r="R83" s="279"/>
      <c r="S83" s="279"/>
      <c r="T83" s="279"/>
      <c r="U83" s="279"/>
      <c r="V83" s="279"/>
      <c r="W83" s="279"/>
      <c r="X83" s="279"/>
      <c r="Y83" s="1092"/>
      <c r="Z83" s="279"/>
      <c r="AA83" s="279"/>
      <c r="AB83" s="279"/>
      <c r="AC83" s="279"/>
      <c r="AD83" s="279"/>
      <c r="AE83" s="279"/>
      <c r="AF83" s="279"/>
      <c r="AG83" s="1021"/>
      <c r="BA83" s="9701"/>
      <c r="BB83" s="9701"/>
      <c r="BC83" s="9701"/>
    </row>
    <row r="84" spans="1:55" ht="21" customHeight="1">
      <c r="A84" s="1127"/>
      <c r="B84" s="9725">
        <v>1</v>
      </c>
      <c r="C84" s="9732" t="s">
        <v>620</v>
      </c>
      <c r="D84" s="9733"/>
      <c r="E84" s="9733"/>
      <c r="F84" s="9733"/>
      <c r="G84" s="9733"/>
      <c r="H84" s="9733"/>
      <c r="I84" s="9734"/>
      <c r="J84" s="6448" t="s">
        <v>2821</v>
      </c>
      <c r="K84" s="7379"/>
      <c r="L84" s="7155"/>
      <c r="M84" s="6448" t="s">
        <v>5477</v>
      </c>
      <c r="N84" s="7379"/>
      <c r="O84" s="7379"/>
      <c r="P84" s="7155"/>
      <c r="Q84" s="6448" t="s">
        <v>730</v>
      </c>
      <c r="R84" s="7379"/>
      <c r="S84" s="7379"/>
      <c r="T84" s="7155"/>
      <c r="U84" s="9673" t="s">
        <v>734</v>
      </c>
      <c r="V84" s="9674"/>
      <c r="W84" s="9674"/>
      <c r="X84" s="9748"/>
      <c r="Y84" s="9742" t="s">
        <v>2820</v>
      </c>
      <c r="Z84" s="9743"/>
      <c r="AA84" s="9743"/>
      <c r="AB84" s="9744"/>
      <c r="AC84" s="9673" t="s">
        <v>733</v>
      </c>
      <c r="AD84" s="9674"/>
      <c r="AE84" s="9674"/>
      <c r="AF84" s="9674"/>
      <c r="AG84" s="1021"/>
      <c r="AJ84" s="9692" t="s">
        <v>711</v>
      </c>
      <c r="AK84" s="9692" t="s">
        <v>736</v>
      </c>
      <c r="AL84" s="9692" t="s">
        <v>737</v>
      </c>
      <c r="AM84" s="9692" t="s">
        <v>738</v>
      </c>
      <c r="AN84" s="9690" t="s">
        <v>739</v>
      </c>
      <c r="AO84" s="9696" t="s">
        <v>731</v>
      </c>
      <c r="AP84" s="7127"/>
      <c r="AQ84" s="9692" t="s">
        <v>741</v>
      </c>
      <c r="BA84" s="9701"/>
      <c r="BB84" s="9701"/>
      <c r="BC84" s="9701"/>
    </row>
    <row r="85" spans="1:55" ht="21" customHeight="1">
      <c r="A85" s="1127"/>
      <c r="B85" s="9726"/>
      <c r="C85" s="9735"/>
      <c r="D85" s="9736"/>
      <c r="E85" s="9736"/>
      <c r="F85" s="9736"/>
      <c r="G85" s="9736"/>
      <c r="H85" s="9736"/>
      <c r="I85" s="9737"/>
      <c r="J85" s="6450"/>
      <c r="K85" s="8199"/>
      <c r="L85" s="7157"/>
      <c r="M85" s="6450"/>
      <c r="N85" s="8199"/>
      <c r="O85" s="8199"/>
      <c r="P85" s="7157"/>
      <c r="Q85" s="6450"/>
      <c r="R85" s="8199"/>
      <c r="S85" s="8199"/>
      <c r="T85" s="7157"/>
      <c r="U85" s="9675"/>
      <c r="V85" s="9676"/>
      <c r="W85" s="9676"/>
      <c r="X85" s="9749"/>
      <c r="Y85" s="9745"/>
      <c r="Z85" s="9746"/>
      <c r="AA85" s="9746"/>
      <c r="AB85" s="9747"/>
      <c r="AC85" s="9675"/>
      <c r="AD85" s="9676"/>
      <c r="AE85" s="9676"/>
      <c r="AF85" s="9676"/>
      <c r="AG85" s="1021"/>
      <c r="AJ85" s="9692"/>
      <c r="AK85" s="9692"/>
      <c r="AL85" s="9692"/>
      <c r="AM85" s="9692"/>
      <c r="AN85" s="9690"/>
      <c r="AO85" s="7264"/>
      <c r="AP85" s="7133"/>
      <c r="AQ85" s="9692"/>
      <c r="BA85" s="9701"/>
      <c r="BB85" s="9701"/>
      <c r="BC85" s="9701"/>
    </row>
    <row r="86" spans="1:55" ht="18" customHeight="1">
      <c r="A86" s="1127"/>
      <c r="B86" s="9727"/>
      <c r="C86" s="9736"/>
      <c r="D86" s="9736"/>
      <c r="E86" s="9736"/>
      <c r="F86" s="9736"/>
      <c r="G86" s="9736"/>
      <c r="H86" s="9736"/>
      <c r="I86" s="9737"/>
      <c r="J86" s="7156"/>
      <c r="K86" s="8199"/>
      <c r="L86" s="7157"/>
      <c r="M86" s="7156"/>
      <c r="N86" s="8199"/>
      <c r="O86" s="8199"/>
      <c r="P86" s="7157"/>
      <c r="Q86" s="7156"/>
      <c r="R86" s="8199"/>
      <c r="S86" s="8199"/>
      <c r="T86" s="7157"/>
      <c r="U86" s="9677"/>
      <c r="V86" s="9676"/>
      <c r="W86" s="9676"/>
      <c r="X86" s="9749"/>
      <c r="Y86" s="7324" t="s">
        <v>2822</v>
      </c>
      <c r="Z86" s="7155"/>
      <c r="AA86" s="7324" t="s">
        <v>732</v>
      </c>
      <c r="AB86" s="7258"/>
      <c r="AC86" s="9677"/>
      <c r="AD86" s="9676"/>
      <c r="AE86" s="9676"/>
      <c r="AF86" s="9676"/>
      <c r="AG86" s="1021"/>
      <c r="AJ86" s="9693"/>
      <c r="AK86" s="9693"/>
      <c r="AL86" s="9693"/>
      <c r="AM86" s="9693"/>
      <c r="AN86" s="9691"/>
      <c r="AO86" s="9698" t="s">
        <v>740</v>
      </c>
      <c r="AP86" s="7237" t="s">
        <v>732</v>
      </c>
      <c r="AQ86" s="9693"/>
      <c r="BA86" s="9701"/>
      <c r="BB86" s="9701"/>
      <c r="BC86" s="9701"/>
    </row>
    <row r="87" spans="1:55" ht="18" customHeight="1">
      <c r="A87" s="1127"/>
      <c r="B87" s="9728"/>
      <c r="C87" s="9738"/>
      <c r="D87" s="9738"/>
      <c r="E87" s="9738"/>
      <c r="F87" s="9738"/>
      <c r="G87" s="9738"/>
      <c r="H87" s="9738"/>
      <c r="I87" s="9739"/>
      <c r="J87" s="7158"/>
      <c r="K87" s="9751"/>
      <c r="L87" s="7159"/>
      <c r="M87" s="7158"/>
      <c r="N87" s="9751"/>
      <c r="O87" s="9751"/>
      <c r="P87" s="7159"/>
      <c r="Q87" s="7158"/>
      <c r="R87" s="9751"/>
      <c r="S87" s="9751"/>
      <c r="T87" s="7159"/>
      <c r="U87" s="9678"/>
      <c r="V87" s="9679"/>
      <c r="W87" s="9679"/>
      <c r="X87" s="9750"/>
      <c r="Y87" s="7158"/>
      <c r="Z87" s="7159"/>
      <c r="AA87" s="6619"/>
      <c r="AB87" s="7260"/>
      <c r="AC87" s="9678"/>
      <c r="AD87" s="9679"/>
      <c r="AE87" s="9679"/>
      <c r="AF87" s="9679"/>
      <c r="AG87" s="1021"/>
      <c r="AJ87" s="9693"/>
      <c r="AK87" s="9693"/>
      <c r="AL87" s="9693"/>
      <c r="AM87" s="9693"/>
      <c r="AN87" s="9691"/>
      <c r="AO87" s="9697"/>
      <c r="AP87" s="9697"/>
      <c r="AQ87" s="9693"/>
      <c r="BA87" s="9701"/>
      <c r="BB87" s="9701"/>
      <c r="BC87" s="9701"/>
    </row>
    <row r="88" spans="1:55" ht="19.5" customHeight="1">
      <c r="A88" s="1127">
        <f>IF(OR(U88&lt;&gt;"",Y88&lt;&gt;"",AC88&lt;&gt;""),1,0)</f>
        <v>0</v>
      </c>
      <c r="B88" s="9703" t="str">
        <f t="shared" ref="B88:B115" si="20">IF(AJ88="","",AJ88)</f>
        <v/>
      </c>
      <c r="C88" s="9704"/>
      <c r="D88" s="9704"/>
      <c r="E88" s="9704"/>
      <c r="F88" s="9704"/>
      <c r="G88" s="9704"/>
      <c r="H88" s="9704"/>
      <c r="I88" s="9705"/>
      <c r="J88" s="9706" t="str">
        <f t="shared" ref="J88:J115" si="21">IF(AK88="","",AK88)</f>
        <v/>
      </c>
      <c r="K88" s="9707"/>
      <c r="L88" s="9707"/>
      <c r="M88" s="9706" t="str">
        <f t="shared" ref="M88:M115" si="22">IF(AL88="","",AL88)</f>
        <v/>
      </c>
      <c r="N88" s="9707"/>
      <c r="O88" s="9707"/>
      <c r="P88" s="9708"/>
      <c r="Q88" s="6969" t="str">
        <f t="shared" ref="Q88:Q115" si="23">IF(AM88="","",AM88)</f>
        <v/>
      </c>
      <c r="R88" s="9688"/>
      <c r="S88" s="9688"/>
      <c r="T88" s="9689"/>
      <c r="U88" s="6969" t="str">
        <f t="shared" ref="U88:U115" si="24">IF(AN88="","",AN88)</f>
        <v/>
      </c>
      <c r="V88" s="9688"/>
      <c r="W88" s="9688"/>
      <c r="X88" s="9689"/>
      <c r="Y88" s="9670" t="str">
        <f>IF(AO88&lt;&gt;"",AO88,"")</f>
        <v/>
      </c>
      <c r="Z88" s="6222"/>
      <c r="AA88" s="9670" t="str">
        <f>IF(AP88="","",AP88)</f>
        <v/>
      </c>
      <c r="AB88" s="6222"/>
      <c r="AC88" s="9671" t="str">
        <f>IF(AQ88&lt;&gt;"",AQ88,IF(AND(Q88="",U88=""),"",IF(AND(Q88&lt;&gt;"",U88=""),SUM(Q88,AA88),SUM(Q88,-U88,AA88))))</f>
        <v/>
      </c>
      <c r="AD88" s="9672"/>
      <c r="AE88" s="9672"/>
      <c r="AF88" s="9672"/>
      <c r="AG88" s="1297">
        <f>IF(OR(J88="",M88=""),0,IF(OR(BA88,BB88,BC88),1,0))</f>
        <v>0</v>
      </c>
      <c r="AH88" s="1090"/>
      <c r="AI88" s="1090" t="e">
        <f>M88-J88</f>
        <v>#VALUE!</v>
      </c>
      <c r="AJ88" s="1237"/>
      <c r="AK88" s="1241"/>
      <c r="AL88" s="1241"/>
      <c r="AM88" s="1239"/>
      <c r="AN88" s="1239"/>
      <c r="AO88" s="1240"/>
      <c r="AP88" s="1239"/>
      <c r="AQ88" s="1238"/>
      <c r="AS88" s="42" t="e">
        <f>YEAR(J88)</f>
        <v>#VALUE!</v>
      </c>
      <c r="AT88" s="42" t="e">
        <f>MONTH(J88)</f>
        <v>#VALUE!</v>
      </c>
      <c r="AU88" s="42" t="e">
        <f>DAY(J88)</f>
        <v>#VALUE!</v>
      </c>
      <c r="AW88" s="42" t="e">
        <f>YEAR(M88)</f>
        <v>#VALUE!</v>
      </c>
      <c r="AX88" s="42" t="e">
        <f>MONTH(M88)</f>
        <v>#VALUE!</v>
      </c>
      <c r="AY88" s="42" t="e">
        <f>DAY(M88)</f>
        <v>#VALUE!</v>
      </c>
      <c r="BA88" s="42" t="e">
        <f>IF(AW88=AS88,TRUE,FALSE)</f>
        <v>#VALUE!</v>
      </c>
      <c r="BB88" s="42" t="e">
        <f>IF(AND(AW88=AS88+1,AX88&lt;AT88),TRUE,FALSE)</f>
        <v>#VALUE!</v>
      </c>
      <c r="BC88" s="42" t="e">
        <f>IF(AND(AW88=AS88+1,AX88=AT88,AY88&lt;=AU88),TRUE,FALSE)</f>
        <v>#VALUE!</v>
      </c>
    </row>
    <row r="89" spans="1:55" ht="19.5" customHeight="1">
      <c r="A89" s="1127">
        <f t="shared" ref="A89:A115" si="25">IF(OR(U89&lt;&gt;"",Y89&lt;&gt;"",AC89&lt;&gt;""),1,0)</f>
        <v>0</v>
      </c>
      <c r="B89" s="9703" t="str">
        <f t="shared" si="20"/>
        <v/>
      </c>
      <c r="C89" s="9704"/>
      <c r="D89" s="9704"/>
      <c r="E89" s="9704"/>
      <c r="F89" s="9704"/>
      <c r="G89" s="9704"/>
      <c r="H89" s="9704"/>
      <c r="I89" s="9705"/>
      <c r="J89" s="9706" t="str">
        <f t="shared" si="21"/>
        <v/>
      </c>
      <c r="K89" s="9707"/>
      <c r="L89" s="9707"/>
      <c r="M89" s="9706" t="str">
        <f t="shared" si="22"/>
        <v/>
      </c>
      <c r="N89" s="9707"/>
      <c r="O89" s="9707"/>
      <c r="P89" s="9708"/>
      <c r="Q89" s="6969" t="str">
        <f t="shared" si="23"/>
        <v/>
      </c>
      <c r="R89" s="9688"/>
      <c r="S89" s="9688"/>
      <c r="T89" s="9689"/>
      <c r="U89" s="6969" t="str">
        <f t="shared" si="24"/>
        <v/>
      </c>
      <c r="V89" s="9688"/>
      <c r="W89" s="9688"/>
      <c r="X89" s="9689"/>
      <c r="Y89" s="9670" t="str">
        <f t="shared" ref="Y89:Y115" si="26">IF(AO89&lt;&gt;"",AO89,"")</f>
        <v/>
      </c>
      <c r="Z89" s="6222"/>
      <c r="AA89" s="9670" t="str">
        <f t="shared" ref="AA89:AA115" si="27">IF(AP89="","",AP89)</f>
        <v/>
      </c>
      <c r="AB89" s="6222"/>
      <c r="AC89" s="9671" t="str">
        <f t="shared" ref="AC89:AC115" si="28">IF(AQ89&lt;&gt;"",AQ89,IF(AND(Q89="",U89=""),"",IF(AND(Q89&lt;&gt;"",U89=""),SUM(Q89,AA89),SUM(Q89,-U89,AA89))))</f>
        <v/>
      </c>
      <c r="AD89" s="9672"/>
      <c r="AE89" s="9672"/>
      <c r="AF89" s="9672"/>
      <c r="AG89" s="1297">
        <f t="shared" ref="AG89:AG115" si="29">IF(OR(J89="",M89=""),0,IF(OR(BA89,BB89,BC89),1,0))</f>
        <v>0</v>
      </c>
      <c r="AH89" s="1090"/>
      <c r="AI89" s="1090" t="e">
        <f t="shared" ref="AI89:AI115" si="30">M89-J89</f>
        <v>#VALUE!</v>
      </c>
      <c r="AJ89" s="1237"/>
      <c r="AK89" s="1241"/>
      <c r="AL89" s="1241"/>
      <c r="AM89" s="1239"/>
      <c r="AN89" s="1239"/>
      <c r="AO89" s="1240"/>
      <c r="AP89" s="1239"/>
      <c r="AQ89" s="1238"/>
      <c r="AS89" s="42" t="e">
        <f t="shared" ref="AS89:AS115" si="31">YEAR(J89)</f>
        <v>#VALUE!</v>
      </c>
      <c r="AT89" s="42" t="e">
        <f t="shared" ref="AT89:AT115" si="32">MONTH(J89)</f>
        <v>#VALUE!</v>
      </c>
      <c r="AU89" s="42" t="e">
        <f t="shared" ref="AU89:AU115" si="33">DAY(J89)</f>
        <v>#VALUE!</v>
      </c>
      <c r="AW89" s="42" t="e">
        <f t="shared" ref="AW89:AW115" si="34">YEAR(M89)</f>
        <v>#VALUE!</v>
      </c>
      <c r="AX89" s="42" t="e">
        <f t="shared" ref="AX89:AX115" si="35">MONTH(M89)</f>
        <v>#VALUE!</v>
      </c>
      <c r="AY89" s="42" t="e">
        <f t="shared" ref="AY89:AY115" si="36">DAY(M89)</f>
        <v>#VALUE!</v>
      </c>
      <c r="BA89" s="42" t="e">
        <f t="shared" ref="BA89:BA115" si="37">IF(AW89=AS89,TRUE,FALSE)</f>
        <v>#VALUE!</v>
      </c>
      <c r="BB89" s="42" t="e">
        <f t="shared" ref="BB89:BB115" si="38">IF(AND(AW89=AS89+1,AX89&lt;AT89),TRUE,FALSE)</f>
        <v>#VALUE!</v>
      </c>
      <c r="BC89" s="42" t="e">
        <f t="shared" ref="BC89:BC115" si="39">IF(AND(AW89=AS89+1,AX89=AT89,AY89&lt;=AU89),TRUE,FALSE)</f>
        <v>#VALUE!</v>
      </c>
    </row>
    <row r="90" spans="1:55" ht="19.5" customHeight="1">
      <c r="A90" s="1127">
        <f t="shared" si="25"/>
        <v>0</v>
      </c>
      <c r="B90" s="9703" t="str">
        <f t="shared" si="20"/>
        <v/>
      </c>
      <c r="C90" s="9704"/>
      <c r="D90" s="9704"/>
      <c r="E90" s="9704"/>
      <c r="F90" s="9704"/>
      <c r="G90" s="9704"/>
      <c r="H90" s="9704"/>
      <c r="I90" s="9705"/>
      <c r="J90" s="9706" t="str">
        <f t="shared" si="21"/>
        <v/>
      </c>
      <c r="K90" s="9707"/>
      <c r="L90" s="9707"/>
      <c r="M90" s="9706" t="str">
        <f t="shared" si="22"/>
        <v/>
      </c>
      <c r="N90" s="9707"/>
      <c r="O90" s="9707"/>
      <c r="P90" s="9708"/>
      <c r="Q90" s="6969" t="str">
        <f t="shared" si="23"/>
        <v/>
      </c>
      <c r="R90" s="9688"/>
      <c r="S90" s="9688"/>
      <c r="T90" s="9689"/>
      <c r="U90" s="6969" t="str">
        <f t="shared" si="24"/>
        <v/>
      </c>
      <c r="V90" s="9688"/>
      <c r="W90" s="9688"/>
      <c r="X90" s="9689"/>
      <c r="Y90" s="9670" t="str">
        <f t="shared" si="26"/>
        <v/>
      </c>
      <c r="Z90" s="6222"/>
      <c r="AA90" s="9670" t="str">
        <f t="shared" si="27"/>
        <v/>
      </c>
      <c r="AB90" s="6222"/>
      <c r="AC90" s="9671" t="str">
        <f t="shared" si="28"/>
        <v/>
      </c>
      <c r="AD90" s="9672"/>
      <c r="AE90" s="9672"/>
      <c r="AF90" s="9672"/>
      <c r="AG90" s="1297">
        <f t="shared" si="29"/>
        <v>0</v>
      </c>
      <c r="AH90" s="1090"/>
      <c r="AI90" s="1090" t="e">
        <f t="shared" si="30"/>
        <v>#VALUE!</v>
      </c>
      <c r="AJ90" s="1237"/>
      <c r="AK90" s="1241"/>
      <c r="AL90" s="1241"/>
      <c r="AM90" s="1239"/>
      <c r="AN90" s="1239"/>
      <c r="AO90" s="1240"/>
      <c r="AP90" s="1239"/>
      <c r="AQ90" s="1238"/>
      <c r="AS90" s="42" t="e">
        <f t="shared" si="31"/>
        <v>#VALUE!</v>
      </c>
      <c r="AT90" s="42" t="e">
        <f t="shared" si="32"/>
        <v>#VALUE!</v>
      </c>
      <c r="AU90" s="42" t="e">
        <f t="shared" si="33"/>
        <v>#VALUE!</v>
      </c>
      <c r="AW90" s="42" t="e">
        <f t="shared" si="34"/>
        <v>#VALUE!</v>
      </c>
      <c r="AX90" s="42" t="e">
        <f t="shared" si="35"/>
        <v>#VALUE!</v>
      </c>
      <c r="AY90" s="42" t="e">
        <f t="shared" si="36"/>
        <v>#VALUE!</v>
      </c>
      <c r="BA90" s="42" t="e">
        <f t="shared" si="37"/>
        <v>#VALUE!</v>
      </c>
      <c r="BB90" s="42" t="e">
        <f t="shared" si="38"/>
        <v>#VALUE!</v>
      </c>
      <c r="BC90" s="42" t="e">
        <f t="shared" si="39"/>
        <v>#VALUE!</v>
      </c>
    </row>
    <row r="91" spans="1:55" ht="19.5" customHeight="1">
      <c r="A91" s="1127">
        <f t="shared" si="25"/>
        <v>0</v>
      </c>
      <c r="B91" s="9703" t="str">
        <f t="shared" si="20"/>
        <v/>
      </c>
      <c r="C91" s="9704"/>
      <c r="D91" s="9704"/>
      <c r="E91" s="9704"/>
      <c r="F91" s="9704"/>
      <c r="G91" s="9704"/>
      <c r="H91" s="9704"/>
      <c r="I91" s="9705"/>
      <c r="J91" s="9706" t="str">
        <f t="shared" si="21"/>
        <v/>
      </c>
      <c r="K91" s="9707"/>
      <c r="L91" s="9707"/>
      <c r="M91" s="9706" t="str">
        <f t="shared" si="22"/>
        <v/>
      </c>
      <c r="N91" s="9707"/>
      <c r="O91" s="9707"/>
      <c r="P91" s="9708"/>
      <c r="Q91" s="6969" t="str">
        <f t="shared" si="23"/>
        <v/>
      </c>
      <c r="R91" s="9688"/>
      <c r="S91" s="9688"/>
      <c r="T91" s="9689"/>
      <c r="U91" s="6969" t="str">
        <f t="shared" si="24"/>
        <v/>
      </c>
      <c r="V91" s="9688"/>
      <c r="W91" s="9688"/>
      <c r="X91" s="9689"/>
      <c r="Y91" s="9670" t="str">
        <f t="shared" si="26"/>
        <v/>
      </c>
      <c r="Z91" s="6222"/>
      <c r="AA91" s="9670" t="str">
        <f t="shared" si="27"/>
        <v/>
      </c>
      <c r="AB91" s="6222"/>
      <c r="AC91" s="9671" t="str">
        <f t="shared" si="28"/>
        <v/>
      </c>
      <c r="AD91" s="9672"/>
      <c r="AE91" s="9672"/>
      <c r="AF91" s="9672"/>
      <c r="AG91" s="1297">
        <f t="shared" si="29"/>
        <v>0</v>
      </c>
      <c r="AH91" s="1090"/>
      <c r="AI91" s="1090" t="e">
        <f t="shared" si="30"/>
        <v>#VALUE!</v>
      </c>
      <c r="AJ91" s="1237"/>
      <c r="AK91" s="1241"/>
      <c r="AL91" s="1241"/>
      <c r="AM91" s="1239"/>
      <c r="AN91" s="1239"/>
      <c r="AO91" s="1240"/>
      <c r="AP91" s="1239"/>
      <c r="AQ91" s="1238"/>
      <c r="AS91" s="42" t="e">
        <f t="shared" si="31"/>
        <v>#VALUE!</v>
      </c>
      <c r="AT91" s="42" t="e">
        <f t="shared" si="32"/>
        <v>#VALUE!</v>
      </c>
      <c r="AU91" s="42" t="e">
        <f t="shared" si="33"/>
        <v>#VALUE!</v>
      </c>
      <c r="AW91" s="42" t="e">
        <f t="shared" si="34"/>
        <v>#VALUE!</v>
      </c>
      <c r="AX91" s="42" t="e">
        <f t="shared" si="35"/>
        <v>#VALUE!</v>
      </c>
      <c r="AY91" s="42" t="e">
        <f t="shared" si="36"/>
        <v>#VALUE!</v>
      </c>
      <c r="BA91" s="42" t="e">
        <f t="shared" si="37"/>
        <v>#VALUE!</v>
      </c>
      <c r="BB91" s="42" t="e">
        <f t="shared" si="38"/>
        <v>#VALUE!</v>
      </c>
      <c r="BC91" s="42" t="e">
        <f t="shared" si="39"/>
        <v>#VALUE!</v>
      </c>
    </row>
    <row r="92" spans="1:55" ht="19.5" customHeight="1">
      <c r="A92" s="1127">
        <f t="shared" si="25"/>
        <v>0</v>
      </c>
      <c r="B92" s="9703" t="str">
        <f t="shared" si="20"/>
        <v/>
      </c>
      <c r="C92" s="9704"/>
      <c r="D92" s="9704"/>
      <c r="E92" s="9704"/>
      <c r="F92" s="9704"/>
      <c r="G92" s="9704"/>
      <c r="H92" s="9704"/>
      <c r="I92" s="9705"/>
      <c r="J92" s="9706" t="str">
        <f t="shared" si="21"/>
        <v/>
      </c>
      <c r="K92" s="9707"/>
      <c r="L92" s="9707"/>
      <c r="M92" s="9706" t="str">
        <f t="shared" si="22"/>
        <v/>
      </c>
      <c r="N92" s="9707"/>
      <c r="O92" s="9707"/>
      <c r="P92" s="9708"/>
      <c r="Q92" s="6969" t="str">
        <f t="shared" si="23"/>
        <v/>
      </c>
      <c r="R92" s="9688"/>
      <c r="S92" s="9688"/>
      <c r="T92" s="9689"/>
      <c r="U92" s="6969" t="str">
        <f t="shared" si="24"/>
        <v/>
      </c>
      <c r="V92" s="9688"/>
      <c r="W92" s="9688"/>
      <c r="X92" s="9689"/>
      <c r="Y92" s="9670" t="str">
        <f t="shared" si="26"/>
        <v/>
      </c>
      <c r="Z92" s="6222"/>
      <c r="AA92" s="9670" t="str">
        <f t="shared" si="27"/>
        <v/>
      </c>
      <c r="AB92" s="6222"/>
      <c r="AC92" s="9671" t="str">
        <f t="shared" si="28"/>
        <v/>
      </c>
      <c r="AD92" s="9672"/>
      <c r="AE92" s="9672"/>
      <c r="AF92" s="9672"/>
      <c r="AG92" s="1297">
        <f t="shared" si="29"/>
        <v>0</v>
      </c>
      <c r="AH92" s="1090"/>
      <c r="AI92" s="1090" t="e">
        <f t="shared" si="30"/>
        <v>#VALUE!</v>
      </c>
      <c r="AJ92" s="1237"/>
      <c r="AK92" s="1241"/>
      <c r="AL92" s="1241"/>
      <c r="AM92" s="1239"/>
      <c r="AN92" s="1239"/>
      <c r="AO92" s="1240"/>
      <c r="AP92" s="1239"/>
      <c r="AQ92" s="1238"/>
      <c r="AS92" s="42" t="e">
        <f t="shared" si="31"/>
        <v>#VALUE!</v>
      </c>
      <c r="AT92" s="42" t="e">
        <f t="shared" si="32"/>
        <v>#VALUE!</v>
      </c>
      <c r="AU92" s="42" t="e">
        <f t="shared" si="33"/>
        <v>#VALUE!</v>
      </c>
      <c r="AW92" s="42" t="e">
        <f t="shared" si="34"/>
        <v>#VALUE!</v>
      </c>
      <c r="AX92" s="42" t="e">
        <f t="shared" si="35"/>
        <v>#VALUE!</v>
      </c>
      <c r="AY92" s="42" t="e">
        <f t="shared" si="36"/>
        <v>#VALUE!</v>
      </c>
      <c r="BA92" s="42" t="e">
        <f t="shared" si="37"/>
        <v>#VALUE!</v>
      </c>
      <c r="BB92" s="42" t="e">
        <f t="shared" si="38"/>
        <v>#VALUE!</v>
      </c>
      <c r="BC92" s="42" t="e">
        <f t="shared" si="39"/>
        <v>#VALUE!</v>
      </c>
    </row>
    <row r="93" spans="1:55" ht="19.5" customHeight="1">
      <c r="A93" s="1127">
        <f t="shared" si="25"/>
        <v>0</v>
      </c>
      <c r="B93" s="9703" t="str">
        <f t="shared" si="20"/>
        <v/>
      </c>
      <c r="C93" s="9704"/>
      <c r="D93" s="9704"/>
      <c r="E93" s="9704"/>
      <c r="F93" s="9704"/>
      <c r="G93" s="9704"/>
      <c r="H93" s="9704"/>
      <c r="I93" s="9705"/>
      <c r="J93" s="9706" t="str">
        <f t="shared" si="21"/>
        <v/>
      </c>
      <c r="K93" s="9707"/>
      <c r="L93" s="9707"/>
      <c r="M93" s="9706" t="str">
        <f t="shared" si="22"/>
        <v/>
      </c>
      <c r="N93" s="9707"/>
      <c r="O93" s="9707"/>
      <c r="P93" s="9708"/>
      <c r="Q93" s="6969" t="str">
        <f t="shared" si="23"/>
        <v/>
      </c>
      <c r="R93" s="9688"/>
      <c r="S93" s="9688"/>
      <c r="T93" s="9689"/>
      <c r="U93" s="6969" t="str">
        <f t="shared" si="24"/>
        <v/>
      </c>
      <c r="V93" s="9688"/>
      <c r="W93" s="9688"/>
      <c r="X93" s="9689"/>
      <c r="Y93" s="9670" t="str">
        <f t="shared" si="26"/>
        <v/>
      </c>
      <c r="Z93" s="6222"/>
      <c r="AA93" s="9670" t="str">
        <f t="shared" si="27"/>
        <v/>
      </c>
      <c r="AB93" s="6222"/>
      <c r="AC93" s="9671" t="str">
        <f t="shared" si="28"/>
        <v/>
      </c>
      <c r="AD93" s="9672"/>
      <c r="AE93" s="9672"/>
      <c r="AF93" s="9672"/>
      <c r="AG93" s="1297">
        <f t="shared" si="29"/>
        <v>0</v>
      </c>
      <c r="AH93" s="1090"/>
      <c r="AI93" s="1090" t="e">
        <f t="shared" si="30"/>
        <v>#VALUE!</v>
      </c>
      <c r="AJ93" s="1237"/>
      <c r="AK93" s="1241"/>
      <c r="AL93" s="1241"/>
      <c r="AM93" s="1239"/>
      <c r="AN93" s="1239"/>
      <c r="AO93" s="1240"/>
      <c r="AP93" s="1239"/>
      <c r="AQ93" s="1238"/>
      <c r="AS93" s="42" t="e">
        <f t="shared" si="31"/>
        <v>#VALUE!</v>
      </c>
      <c r="AT93" s="42" t="e">
        <f t="shared" si="32"/>
        <v>#VALUE!</v>
      </c>
      <c r="AU93" s="42" t="e">
        <f t="shared" si="33"/>
        <v>#VALUE!</v>
      </c>
      <c r="AW93" s="42" t="e">
        <f t="shared" si="34"/>
        <v>#VALUE!</v>
      </c>
      <c r="AX93" s="42" t="e">
        <f t="shared" si="35"/>
        <v>#VALUE!</v>
      </c>
      <c r="AY93" s="42" t="e">
        <f t="shared" si="36"/>
        <v>#VALUE!</v>
      </c>
      <c r="BA93" s="42" t="e">
        <f t="shared" si="37"/>
        <v>#VALUE!</v>
      </c>
      <c r="BB93" s="42" t="e">
        <f t="shared" si="38"/>
        <v>#VALUE!</v>
      </c>
      <c r="BC93" s="42" t="e">
        <f t="shared" si="39"/>
        <v>#VALUE!</v>
      </c>
    </row>
    <row r="94" spans="1:55" ht="19.5" customHeight="1">
      <c r="A94" s="1127">
        <f t="shared" si="25"/>
        <v>0</v>
      </c>
      <c r="B94" s="9703" t="str">
        <f t="shared" si="20"/>
        <v/>
      </c>
      <c r="C94" s="9704"/>
      <c r="D94" s="9704"/>
      <c r="E94" s="9704"/>
      <c r="F94" s="9704"/>
      <c r="G94" s="9704"/>
      <c r="H94" s="9704"/>
      <c r="I94" s="9705"/>
      <c r="J94" s="9706" t="str">
        <f t="shared" si="21"/>
        <v/>
      </c>
      <c r="K94" s="9707"/>
      <c r="L94" s="9707"/>
      <c r="M94" s="9706" t="str">
        <f t="shared" si="22"/>
        <v/>
      </c>
      <c r="N94" s="9707"/>
      <c r="O94" s="9707"/>
      <c r="P94" s="9708"/>
      <c r="Q94" s="6969" t="str">
        <f t="shared" si="23"/>
        <v/>
      </c>
      <c r="R94" s="9688"/>
      <c r="S94" s="9688"/>
      <c r="T94" s="9689"/>
      <c r="U94" s="6969" t="str">
        <f t="shared" si="24"/>
        <v/>
      </c>
      <c r="V94" s="9688"/>
      <c r="W94" s="9688"/>
      <c r="X94" s="9689"/>
      <c r="Y94" s="9670" t="str">
        <f t="shared" si="26"/>
        <v/>
      </c>
      <c r="Z94" s="6222"/>
      <c r="AA94" s="9670" t="str">
        <f t="shared" si="27"/>
        <v/>
      </c>
      <c r="AB94" s="6222"/>
      <c r="AC94" s="9671" t="str">
        <f t="shared" si="28"/>
        <v/>
      </c>
      <c r="AD94" s="9672"/>
      <c r="AE94" s="9672"/>
      <c r="AF94" s="9672"/>
      <c r="AG94" s="1297">
        <f t="shared" si="29"/>
        <v>0</v>
      </c>
      <c r="AH94" s="1090"/>
      <c r="AI94" s="1090" t="e">
        <f t="shared" si="30"/>
        <v>#VALUE!</v>
      </c>
      <c r="AJ94" s="1237"/>
      <c r="AK94" s="1241"/>
      <c r="AL94" s="1241"/>
      <c r="AM94" s="1239"/>
      <c r="AN94" s="1239"/>
      <c r="AO94" s="1240"/>
      <c r="AP94" s="1239"/>
      <c r="AQ94" s="1238"/>
      <c r="AS94" s="42" t="e">
        <f t="shared" si="31"/>
        <v>#VALUE!</v>
      </c>
      <c r="AT94" s="42" t="e">
        <f t="shared" si="32"/>
        <v>#VALUE!</v>
      </c>
      <c r="AU94" s="42" t="e">
        <f t="shared" si="33"/>
        <v>#VALUE!</v>
      </c>
      <c r="AW94" s="42" t="e">
        <f t="shared" si="34"/>
        <v>#VALUE!</v>
      </c>
      <c r="AX94" s="42" t="e">
        <f t="shared" si="35"/>
        <v>#VALUE!</v>
      </c>
      <c r="AY94" s="42" t="e">
        <f t="shared" si="36"/>
        <v>#VALUE!</v>
      </c>
      <c r="BA94" s="42" t="e">
        <f t="shared" si="37"/>
        <v>#VALUE!</v>
      </c>
      <c r="BB94" s="42" t="e">
        <f t="shared" si="38"/>
        <v>#VALUE!</v>
      </c>
      <c r="BC94" s="42" t="e">
        <f t="shared" si="39"/>
        <v>#VALUE!</v>
      </c>
    </row>
    <row r="95" spans="1:55" ht="19.5" customHeight="1">
      <c r="A95" s="1127">
        <f t="shared" si="25"/>
        <v>0</v>
      </c>
      <c r="B95" s="9703" t="str">
        <f t="shared" si="20"/>
        <v/>
      </c>
      <c r="C95" s="9704"/>
      <c r="D95" s="9704"/>
      <c r="E95" s="9704"/>
      <c r="F95" s="9704"/>
      <c r="G95" s="9704"/>
      <c r="H95" s="9704"/>
      <c r="I95" s="9705"/>
      <c r="J95" s="9706" t="str">
        <f t="shared" si="21"/>
        <v/>
      </c>
      <c r="K95" s="9707"/>
      <c r="L95" s="9707"/>
      <c r="M95" s="9706" t="str">
        <f t="shared" si="22"/>
        <v/>
      </c>
      <c r="N95" s="9707"/>
      <c r="O95" s="9707"/>
      <c r="P95" s="9708"/>
      <c r="Q95" s="6969" t="str">
        <f t="shared" si="23"/>
        <v/>
      </c>
      <c r="R95" s="9688"/>
      <c r="S95" s="9688"/>
      <c r="T95" s="9689"/>
      <c r="U95" s="6969" t="str">
        <f t="shared" si="24"/>
        <v/>
      </c>
      <c r="V95" s="9688"/>
      <c r="W95" s="9688"/>
      <c r="X95" s="9689"/>
      <c r="Y95" s="9670" t="str">
        <f t="shared" si="26"/>
        <v/>
      </c>
      <c r="Z95" s="6222"/>
      <c r="AA95" s="9670" t="str">
        <f t="shared" si="27"/>
        <v/>
      </c>
      <c r="AB95" s="6222"/>
      <c r="AC95" s="9671" t="str">
        <f t="shared" si="28"/>
        <v/>
      </c>
      <c r="AD95" s="9672"/>
      <c r="AE95" s="9672"/>
      <c r="AF95" s="9672"/>
      <c r="AG95" s="1297">
        <f t="shared" si="29"/>
        <v>0</v>
      </c>
      <c r="AH95" s="1090"/>
      <c r="AI95" s="1090" t="e">
        <f t="shared" si="30"/>
        <v>#VALUE!</v>
      </c>
      <c r="AJ95" s="1237"/>
      <c r="AK95" s="1241"/>
      <c r="AL95" s="1241"/>
      <c r="AM95" s="1239"/>
      <c r="AN95" s="1239"/>
      <c r="AO95" s="1240"/>
      <c r="AP95" s="1239"/>
      <c r="AQ95" s="1238"/>
      <c r="AS95" s="42" t="e">
        <f t="shared" si="31"/>
        <v>#VALUE!</v>
      </c>
      <c r="AT95" s="42" t="e">
        <f t="shared" si="32"/>
        <v>#VALUE!</v>
      </c>
      <c r="AU95" s="42" t="e">
        <f t="shared" si="33"/>
        <v>#VALUE!</v>
      </c>
      <c r="AW95" s="42" t="e">
        <f t="shared" si="34"/>
        <v>#VALUE!</v>
      </c>
      <c r="AX95" s="42" t="e">
        <f t="shared" si="35"/>
        <v>#VALUE!</v>
      </c>
      <c r="AY95" s="42" t="e">
        <f t="shared" si="36"/>
        <v>#VALUE!</v>
      </c>
      <c r="BA95" s="42" t="e">
        <f t="shared" si="37"/>
        <v>#VALUE!</v>
      </c>
      <c r="BB95" s="42" t="e">
        <f t="shared" si="38"/>
        <v>#VALUE!</v>
      </c>
      <c r="BC95" s="42" t="e">
        <f t="shared" si="39"/>
        <v>#VALUE!</v>
      </c>
    </row>
    <row r="96" spans="1:55" ht="19.5" customHeight="1">
      <c r="A96" s="1127">
        <f t="shared" si="25"/>
        <v>0</v>
      </c>
      <c r="B96" s="9703" t="str">
        <f t="shared" si="20"/>
        <v/>
      </c>
      <c r="C96" s="9704"/>
      <c r="D96" s="9704"/>
      <c r="E96" s="9704"/>
      <c r="F96" s="9704"/>
      <c r="G96" s="9704"/>
      <c r="H96" s="9704"/>
      <c r="I96" s="9705"/>
      <c r="J96" s="9706" t="str">
        <f t="shared" si="21"/>
        <v/>
      </c>
      <c r="K96" s="9707"/>
      <c r="L96" s="9707"/>
      <c r="M96" s="9706" t="str">
        <f t="shared" si="22"/>
        <v/>
      </c>
      <c r="N96" s="9707"/>
      <c r="O96" s="9707"/>
      <c r="P96" s="9708"/>
      <c r="Q96" s="6969" t="str">
        <f t="shared" si="23"/>
        <v/>
      </c>
      <c r="R96" s="9688"/>
      <c r="S96" s="9688"/>
      <c r="T96" s="9689"/>
      <c r="U96" s="6969" t="str">
        <f t="shared" si="24"/>
        <v/>
      </c>
      <c r="V96" s="9688"/>
      <c r="W96" s="9688"/>
      <c r="X96" s="9689"/>
      <c r="Y96" s="9670" t="str">
        <f t="shared" si="26"/>
        <v/>
      </c>
      <c r="Z96" s="6222"/>
      <c r="AA96" s="9670" t="str">
        <f t="shared" si="27"/>
        <v/>
      </c>
      <c r="AB96" s="6222"/>
      <c r="AC96" s="9671" t="str">
        <f t="shared" si="28"/>
        <v/>
      </c>
      <c r="AD96" s="9672"/>
      <c r="AE96" s="9672"/>
      <c r="AF96" s="9672"/>
      <c r="AG96" s="1297">
        <f t="shared" si="29"/>
        <v>0</v>
      </c>
      <c r="AH96" s="1090"/>
      <c r="AI96" s="1090" t="e">
        <f t="shared" si="30"/>
        <v>#VALUE!</v>
      </c>
      <c r="AJ96" s="1237"/>
      <c r="AK96" s="1241"/>
      <c r="AL96" s="1241"/>
      <c r="AM96" s="1239"/>
      <c r="AN96" s="1239"/>
      <c r="AO96" s="1240"/>
      <c r="AP96" s="1239"/>
      <c r="AQ96" s="1238"/>
      <c r="AS96" s="42" t="e">
        <f t="shared" si="31"/>
        <v>#VALUE!</v>
      </c>
      <c r="AT96" s="42" t="e">
        <f t="shared" si="32"/>
        <v>#VALUE!</v>
      </c>
      <c r="AU96" s="42" t="e">
        <f t="shared" si="33"/>
        <v>#VALUE!</v>
      </c>
      <c r="AW96" s="42" t="e">
        <f t="shared" si="34"/>
        <v>#VALUE!</v>
      </c>
      <c r="AX96" s="42" t="e">
        <f t="shared" si="35"/>
        <v>#VALUE!</v>
      </c>
      <c r="AY96" s="42" t="e">
        <f t="shared" si="36"/>
        <v>#VALUE!</v>
      </c>
      <c r="BA96" s="42" t="e">
        <f t="shared" si="37"/>
        <v>#VALUE!</v>
      </c>
      <c r="BB96" s="42" t="e">
        <f t="shared" si="38"/>
        <v>#VALUE!</v>
      </c>
      <c r="BC96" s="42" t="e">
        <f t="shared" si="39"/>
        <v>#VALUE!</v>
      </c>
    </row>
    <row r="97" spans="1:55" ht="19.5" customHeight="1">
      <c r="A97" s="1127">
        <f t="shared" si="25"/>
        <v>0</v>
      </c>
      <c r="B97" s="9703" t="str">
        <f t="shared" si="20"/>
        <v/>
      </c>
      <c r="C97" s="9704"/>
      <c r="D97" s="9704"/>
      <c r="E97" s="9704"/>
      <c r="F97" s="9704"/>
      <c r="G97" s="9704"/>
      <c r="H97" s="9704"/>
      <c r="I97" s="9705"/>
      <c r="J97" s="9706" t="str">
        <f t="shared" si="21"/>
        <v/>
      </c>
      <c r="K97" s="9707"/>
      <c r="L97" s="9707"/>
      <c r="M97" s="9706" t="str">
        <f t="shared" si="22"/>
        <v/>
      </c>
      <c r="N97" s="9707"/>
      <c r="O97" s="9707"/>
      <c r="P97" s="9708"/>
      <c r="Q97" s="6969" t="str">
        <f t="shared" si="23"/>
        <v/>
      </c>
      <c r="R97" s="9688"/>
      <c r="S97" s="9688"/>
      <c r="T97" s="9689"/>
      <c r="U97" s="6969" t="str">
        <f t="shared" si="24"/>
        <v/>
      </c>
      <c r="V97" s="9688"/>
      <c r="W97" s="9688"/>
      <c r="X97" s="9689"/>
      <c r="Y97" s="9670" t="str">
        <f t="shared" si="26"/>
        <v/>
      </c>
      <c r="Z97" s="6222"/>
      <c r="AA97" s="9670" t="str">
        <f t="shared" si="27"/>
        <v/>
      </c>
      <c r="AB97" s="6222"/>
      <c r="AC97" s="9671" t="str">
        <f t="shared" si="28"/>
        <v/>
      </c>
      <c r="AD97" s="9672"/>
      <c r="AE97" s="9672"/>
      <c r="AF97" s="9672"/>
      <c r="AG97" s="1297">
        <f t="shared" si="29"/>
        <v>0</v>
      </c>
      <c r="AH97" s="1090"/>
      <c r="AI97" s="1090" t="e">
        <f t="shared" si="30"/>
        <v>#VALUE!</v>
      </c>
      <c r="AJ97" s="1237"/>
      <c r="AK97" s="1241"/>
      <c r="AL97" s="1241"/>
      <c r="AM97" s="1239"/>
      <c r="AN97" s="1239"/>
      <c r="AO97" s="1240"/>
      <c r="AP97" s="1239"/>
      <c r="AQ97" s="1238"/>
      <c r="AS97" s="42" t="e">
        <f t="shared" si="31"/>
        <v>#VALUE!</v>
      </c>
      <c r="AT97" s="42" t="e">
        <f t="shared" si="32"/>
        <v>#VALUE!</v>
      </c>
      <c r="AU97" s="42" t="e">
        <f t="shared" si="33"/>
        <v>#VALUE!</v>
      </c>
      <c r="AW97" s="42" t="e">
        <f t="shared" si="34"/>
        <v>#VALUE!</v>
      </c>
      <c r="AX97" s="42" t="e">
        <f t="shared" si="35"/>
        <v>#VALUE!</v>
      </c>
      <c r="AY97" s="42" t="e">
        <f t="shared" si="36"/>
        <v>#VALUE!</v>
      </c>
      <c r="BA97" s="42" t="e">
        <f t="shared" si="37"/>
        <v>#VALUE!</v>
      </c>
      <c r="BB97" s="42" t="e">
        <f t="shared" si="38"/>
        <v>#VALUE!</v>
      </c>
      <c r="BC97" s="42" t="e">
        <f t="shared" si="39"/>
        <v>#VALUE!</v>
      </c>
    </row>
    <row r="98" spans="1:55" ht="19.5" customHeight="1">
      <c r="A98" s="1127">
        <f t="shared" si="25"/>
        <v>0</v>
      </c>
      <c r="B98" s="9703" t="str">
        <f t="shared" si="20"/>
        <v/>
      </c>
      <c r="C98" s="9704"/>
      <c r="D98" s="9704"/>
      <c r="E98" s="9704"/>
      <c r="F98" s="9704"/>
      <c r="G98" s="9704"/>
      <c r="H98" s="9704"/>
      <c r="I98" s="9705"/>
      <c r="J98" s="9706" t="str">
        <f t="shared" si="21"/>
        <v/>
      </c>
      <c r="K98" s="9707"/>
      <c r="L98" s="9707"/>
      <c r="M98" s="9706" t="str">
        <f t="shared" si="22"/>
        <v/>
      </c>
      <c r="N98" s="9707"/>
      <c r="O98" s="9707"/>
      <c r="P98" s="9708"/>
      <c r="Q98" s="6969" t="str">
        <f t="shared" si="23"/>
        <v/>
      </c>
      <c r="R98" s="9688"/>
      <c r="S98" s="9688"/>
      <c r="T98" s="9689"/>
      <c r="U98" s="6969" t="str">
        <f t="shared" si="24"/>
        <v/>
      </c>
      <c r="V98" s="9688"/>
      <c r="W98" s="9688"/>
      <c r="X98" s="9689"/>
      <c r="Y98" s="9670" t="str">
        <f t="shared" si="26"/>
        <v/>
      </c>
      <c r="Z98" s="6222"/>
      <c r="AA98" s="9670" t="str">
        <f t="shared" si="27"/>
        <v/>
      </c>
      <c r="AB98" s="6222"/>
      <c r="AC98" s="9671" t="str">
        <f t="shared" si="28"/>
        <v/>
      </c>
      <c r="AD98" s="9672"/>
      <c r="AE98" s="9672"/>
      <c r="AF98" s="9672"/>
      <c r="AG98" s="1297">
        <f t="shared" si="29"/>
        <v>0</v>
      </c>
      <c r="AH98" s="1090"/>
      <c r="AI98" s="1090" t="e">
        <f t="shared" si="30"/>
        <v>#VALUE!</v>
      </c>
      <c r="AJ98" s="1237"/>
      <c r="AK98" s="1241"/>
      <c r="AL98" s="1241"/>
      <c r="AM98" s="1239"/>
      <c r="AN98" s="1239"/>
      <c r="AO98" s="1240"/>
      <c r="AP98" s="1239"/>
      <c r="AQ98" s="1238"/>
      <c r="AS98" s="42" t="e">
        <f t="shared" si="31"/>
        <v>#VALUE!</v>
      </c>
      <c r="AT98" s="42" t="e">
        <f t="shared" si="32"/>
        <v>#VALUE!</v>
      </c>
      <c r="AU98" s="42" t="e">
        <f t="shared" si="33"/>
        <v>#VALUE!</v>
      </c>
      <c r="AW98" s="42" t="e">
        <f t="shared" si="34"/>
        <v>#VALUE!</v>
      </c>
      <c r="AX98" s="42" t="e">
        <f t="shared" si="35"/>
        <v>#VALUE!</v>
      </c>
      <c r="AY98" s="42" t="e">
        <f t="shared" si="36"/>
        <v>#VALUE!</v>
      </c>
      <c r="BA98" s="42" t="e">
        <f t="shared" si="37"/>
        <v>#VALUE!</v>
      </c>
      <c r="BB98" s="42" t="e">
        <f t="shared" si="38"/>
        <v>#VALUE!</v>
      </c>
      <c r="BC98" s="42" t="e">
        <f t="shared" si="39"/>
        <v>#VALUE!</v>
      </c>
    </row>
    <row r="99" spans="1:55" ht="19.5" customHeight="1">
      <c r="A99" s="1127">
        <f t="shared" si="25"/>
        <v>0</v>
      </c>
      <c r="B99" s="9703" t="str">
        <f t="shared" si="20"/>
        <v/>
      </c>
      <c r="C99" s="9704"/>
      <c r="D99" s="9704"/>
      <c r="E99" s="9704"/>
      <c r="F99" s="9704"/>
      <c r="G99" s="9704"/>
      <c r="H99" s="9704"/>
      <c r="I99" s="9705"/>
      <c r="J99" s="9706" t="str">
        <f t="shared" si="21"/>
        <v/>
      </c>
      <c r="K99" s="9707"/>
      <c r="L99" s="9707"/>
      <c r="M99" s="9706" t="str">
        <f t="shared" si="22"/>
        <v/>
      </c>
      <c r="N99" s="9707"/>
      <c r="O99" s="9707"/>
      <c r="P99" s="9708"/>
      <c r="Q99" s="6969" t="str">
        <f t="shared" si="23"/>
        <v/>
      </c>
      <c r="R99" s="9688"/>
      <c r="S99" s="9688"/>
      <c r="T99" s="9689"/>
      <c r="U99" s="6969" t="str">
        <f t="shared" si="24"/>
        <v/>
      </c>
      <c r="V99" s="9688"/>
      <c r="W99" s="9688"/>
      <c r="X99" s="9689"/>
      <c r="Y99" s="9670" t="str">
        <f t="shared" si="26"/>
        <v/>
      </c>
      <c r="Z99" s="6222"/>
      <c r="AA99" s="9670" t="str">
        <f t="shared" si="27"/>
        <v/>
      </c>
      <c r="AB99" s="6222"/>
      <c r="AC99" s="9671" t="str">
        <f t="shared" si="28"/>
        <v/>
      </c>
      <c r="AD99" s="9672"/>
      <c r="AE99" s="9672"/>
      <c r="AF99" s="9672"/>
      <c r="AG99" s="1297">
        <f t="shared" si="29"/>
        <v>0</v>
      </c>
      <c r="AH99" s="1090"/>
      <c r="AI99" s="1090" t="e">
        <f t="shared" si="30"/>
        <v>#VALUE!</v>
      </c>
      <c r="AJ99" s="1237"/>
      <c r="AK99" s="1241"/>
      <c r="AL99" s="1241"/>
      <c r="AM99" s="1239"/>
      <c r="AN99" s="1239"/>
      <c r="AO99" s="1240"/>
      <c r="AP99" s="1239"/>
      <c r="AQ99" s="1238"/>
      <c r="AS99" s="42" t="e">
        <f t="shared" si="31"/>
        <v>#VALUE!</v>
      </c>
      <c r="AT99" s="42" t="e">
        <f t="shared" si="32"/>
        <v>#VALUE!</v>
      </c>
      <c r="AU99" s="42" t="e">
        <f t="shared" si="33"/>
        <v>#VALUE!</v>
      </c>
      <c r="AW99" s="42" t="e">
        <f t="shared" si="34"/>
        <v>#VALUE!</v>
      </c>
      <c r="AX99" s="42" t="e">
        <f t="shared" si="35"/>
        <v>#VALUE!</v>
      </c>
      <c r="AY99" s="42" t="e">
        <f t="shared" si="36"/>
        <v>#VALUE!</v>
      </c>
      <c r="BA99" s="42" t="e">
        <f t="shared" si="37"/>
        <v>#VALUE!</v>
      </c>
      <c r="BB99" s="42" t="e">
        <f t="shared" si="38"/>
        <v>#VALUE!</v>
      </c>
      <c r="BC99" s="42" t="e">
        <f t="shared" si="39"/>
        <v>#VALUE!</v>
      </c>
    </row>
    <row r="100" spans="1:55" ht="19.5" customHeight="1">
      <c r="A100" s="1127">
        <f t="shared" si="25"/>
        <v>0</v>
      </c>
      <c r="B100" s="9703" t="str">
        <f t="shared" si="20"/>
        <v/>
      </c>
      <c r="C100" s="9704"/>
      <c r="D100" s="9704"/>
      <c r="E100" s="9704"/>
      <c r="F100" s="9704"/>
      <c r="G100" s="9704"/>
      <c r="H100" s="9704"/>
      <c r="I100" s="9705"/>
      <c r="J100" s="9706" t="str">
        <f t="shared" si="21"/>
        <v/>
      </c>
      <c r="K100" s="9707"/>
      <c r="L100" s="9707"/>
      <c r="M100" s="9706" t="str">
        <f t="shared" si="22"/>
        <v/>
      </c>
      <c r="N100" s="9707"/>
      <c r="O100" s="9707"/>
      <c r="P100" s="9708"/>
      <c r="Q100" s="6969" t="str">
        <f t="shared" si="23"/>
        <v/>
      </c>
      <c r="R100" s="9688"/>
      <c r="S100" s="9688"/>
      <c r="T100" s="9689"/>
      <c r="U100" s="6969" t="str">
        <f t="shared" si="24"/>
        <v/>
      </c>
      <c r="V100" s="9688"/>
      <c r="W100" s="9688"/>
      <c r="X100" s="9689"/>
      <c r="Y100" s="9670" t="str">
        <f t="shared" si="26"/>
        <v/>
      </c>
      <c r="Z100" s="6222"/>
      <c r="AA100" s="9670" t="str">
        <f t="shared" si="27"/>
        <v/>
      </c>
      <c r="AB100" s="6222"/>
      <c r="AC100" s="9671" t="str">
        <f t="shared" si="28"/>
        <v/>
      </c>
      <c r="AD100" s="9672"/>
      <c r="AE100" s="9672"/>
      <c r="AF100" s="9672"/>
      <c r="AG100" s="1297">
        <f t="shared" si="29"/>
        <v>0</v>
      </c>
      <c r="AH100" s="1090"/>
      <c r="AI100" s="1090" t="e">
        <f t="shared" si="30"/>
        <v>#VALUE!</v>
      </c>
      <c r="AJ100" s="1237"/>
      <c r="AK100" s="1241"/>
      <c r="AL100" s="1241"/>
      <c r="AM100" s="1239"/>
      <c r="AN100" s="1239"/>
      <c r="AO100" s="1240"/>
      <c r="AP100" s="1239"/>
      <c r="AQ100" s="1238"/>
      <c r="AS100" s="42" t="e">
        <f t="shared" si="31"/>
        <v>#VALUE!</v>
      </c>
      <c r="AT100" s="42" t="e">
        <f t="shared" si="32"/>
        <v>#VALUE!</v>
      </c>
      <c r="AU100" s="42" t="e">
        <f t="shared" si="33"/>
        <v>#VALUE!</v>
      </c>
      <c r="AW100" s="42" t="e">
        <f t="shared" si="34"/>
        <v>#VALUE!</v>
      </c>
      <c r="AX100" s="42" t="e">
        <f t="shared" si="35"/>
        <v>#VALUE!</v>
      </c>
      <c r="AY100" s="42" t="e">
        <f t="shared" si="36"/>
        <v>#VALUE!</v>
      </c>
      <c r="BA100" s="42" t="e">
        <f t="shared" si="37"/>
        <v>#VALUE!</v>
      </c>
      <c r="BB100" s="42" t="e">
        <f t="shared" si="38"/>
        <v>#VALUE!</v>
      </c>
      <c r="BC100" s="42" t="e">
        <f t="shared" si="39"/>
        <v>#VALUE!</v>
      </c>
    </row>
    <row r="101" spans="1:55" ht="19.5" customHeight="1">
      <c r="A101" s="1127">
        <f t="shared" si="25"/>
        <v>0</v>
      </c>
      <c r="B101" s="9703" t="str">
        <f t="shared" si="20"/>
        <v/>
      </c>
      <c r="C101" s="9704"/>
      <c r="D101" s="9704"/>
      <c r="E101" s="9704"/>
      <c r="F101" s="9704"/>
      <c r="G101" s="9704"/>
      <c r="H101" s="9704"/>
      <c r="I101" s="9705"/>
      <c r="J101" s="9706" t="str">
        <f t="shared" si="21"/>
        <v/>
      </c>
      <c r="K101" s="9707"/>
      <c r="L101" s="9707"/>
      <c r="M101" s="9706" t="str">
        <f t="shared" si="22"/>
        <v/>
      </c>
      <c r="N101" s="9707"/>
      <c r="O101" s="9707"/>
      <c r="P101" s="9708"/>
      <c r="Q101" s="6969" t="str">
        <f t="shared" si="23"/>
        <v/>
      </c>
      <c r="R101" s="9688"/>
      <c r="S101" s="9688"/>
      <c r="T101" s="9689"/>
      <c r="U101" s="6969" t="str">
        <f t="shared" si="24"/>
        <v/>
      </c>
      <c r="V101" s="9688"/>
      <c r="W101" s="9688"/>
      <c r="X101" s="9689"/>
      <c r="Y101" s="9670" t="str">
        <f t="shared" si="26"/>
        <v/>
      </c>
      <c r="Z101" s="6222"/>
      <c r="AA101" s="9670" t="str">
        <f t="shared" si="27"/>
        <v/>
      </c>
      <c r="AB101" s="6222"/>
      <c r="AC101" s="9671" t="str">
        <f t="shared" si="28"/>
        <v/>
      </c>
      <c r="AD101" s="9672"/>
      <c r="AE101" s="9672"/>
      <c r="AF101" s="9672"/>
      <c r="AG101" s="1297">
        <f t="shared" si="29"/>
        <v>0</v>
      </c>
      <c r="AH101" s="1090"/>
      <c r="AI101" s="1090" t="e">
        <f t="shared" si="30"/>
        <v>#VALUE!</v>
      </c>
      <c r="AJ101" s="1237"/>
      <c r="AK101" s="1241"/>
      <c r="AL101" s="1241"/>
      <c r="AM101" s="1239"/>
      <c r="AN101" s="1239"/>
      <c r="AO101" s="1240"/>
      <c r="AP101" s="1239"/>
      <c r="AQ101" s="1238"/>
      <c r="AS101" s="42" t="e">
        <f t="shared" si="31"/>
        <v>#VALUE!</v>
      </c>
      <c r="AT101" s="42" t="e">
        <f t="shared" si="32"/>
        <v>#VALUE!</v>
      </c>
      <c r="AU101" s="42" t="e">
        <f t="shared" si="33"/>
        <v>#VALUE!</v>
      </c>
      <c r="AW101" s="42" t="e">
        <f t="shared" si="34"/>
        <v>#VALUE!</v>
      </c>
      <c r="AX101" s="42" t="e">
        <f t="shared" si="35"/>
        <v>#VALUE!</v>
      </c>
      <c r="AY101" s="42" t="e">
        <f t="shared" si="36"/>
        <v>#VALUE!</v>
      </c>
      <c r="BA101" s="42" t="e">
        <f t="shared" si="37"/>
        <v>#VALUE!</v>
      </c>
      <c r="BB101" s="42" t="e">
        <f t="shared" si="38"/>
        <v>#VALUE!</v>
      </c>
      <c r="BC101" s="42" t="e">
        <f t="shared" si="39"/>
        <v>#VALUE!</v>
      </c>
    </row>
    <row r="102" spans="1:55" ht="19.5" customHeight="1">
      <c r="A102" s="1127">
        <f t="shared" si="25"/>
        <v>0</v>
      </c>
      <c r="B102" s="9703" t="str">
        <f t="shared" si="20"/>
        <v/>
      </c>
      <c r="C102" s="9704"/>
      <c r="D102" s="9704"/>
      <c r="E102" s="9704"/>
      <c r="F102" s="9704"/>
      <c r="G102" s="9704"/>
      <c r="H102" s="9704"/>
      <c r="I102" s="9705"/>
      <c r="J102" s="9706" t="str">
        <f t="shared" si="21"/>
        <v/>
      </c>
      <c r="K102" s="9707"/>
      <c r="L102" s="9707"/>
      <c r="M102" s="9706" t="str">
        <f t="shared" si="22"/>
        <v/>
      </c>
      <c r="N102" s="9707"/>
      <c r="O102" s="9707"/>
      <c r="P102" s="9708"/>
      <c r="Q102" s="6969" t="str">
        <f t="shared" si="23"/>
        <v/>
      </c>
      <c r="R102" s="9688"/>
      <c r="S102" s="9688"/>
      <c r="T102" s="9689"/>
      <c r="U102" s="6969" t="str">
        <f t="shared" si="24"/>
        <v/>
      </c>
      <c r="V102" s="9688"/>
      <c r="W102" s="9688"/>
      <c r="X102" s="9689"/>
      <c r="Y102" s="9670" t="str">
        <f t="shared" si="26"/>
        <v/>
      </c>
      <c r="Z102" s="6222"/>
      <c r="AA102" s="9670" t="str">
        <f t="shared" si="27"/>
        <v/>
      </c>
      <c r="AB102" s="6222"/>
      <c r="AC102" s="9671" t="str">
        <f t="shared" si="28"/>
        <v/>
      </c>
      <c r="AD102" s="9672"/>
      <c r="AE102" s="9672"/>
      <c r="AF102" s="9672"/>
      <c r="AG102" s="1297">
        <f t="shared" si="29"/>
        <v>0</v>
      </c>
      <c r="AH102" s="1090"/>
      <c r="AI102" s="1090" t="e">
        <f t="shared" si="30"/>
        <v>#VALUE!</v>
      </c>
      <c r="AJ102" s="1237"/>
      <c r="AK102" s="1241"/>
      <c r="AL102" s="1241"/>
      <c r="AM102" s="1239"/>
      <c r="AN102" s="1239"/>
      <c r="AO102" s="1240"/>
      <c r="AP102" s="1239"/>
      <c r="AQ102" s="1238"/>
      <c r="AS102" s="42" t="e">
        <f t="shared" si="31"/>
        <v>#VALUE!</v>
      </c>
      <c r="AT102" s="42" t="e">
        <f t="shared" si="32"/>
        <v>#VALUE!</v>
      </c>
      <c r="AU102" s="42" t="e">
        <f t="shared" si="33"/>
        <v>#VALUE!</v>
      </c>
      <c r="AW102" s="42" t="e">
        <f t="shared" si="34"/>
        <v>#VALUE!</v>
      </c>
      <c r="AX102" s="42" t="e">
        <f t="shared" si="35"/>
        <v>#VALUE!</v>
      </c>
      <c r="AY102" s="42" t="e">
        <f t="shared" si="36"/>
        <v>#VALUE!</v>
      </c>
      <c r="BA102" s="42" t="e">
        <f t="shared" si="37"/>
        <v>#VALUE!</v>
      </c>
      <c r="BB102" s="42" t="e">
        <f t="shared" si="38"/>
        <v>#VALUE!</v>
      </c>
      <c r="BC102" s="42" t="e">
        <f t="shared" si="39"/>
        <v>#VALUE!</v>
      </c>
    </row>
    <row r="103" spans="1:55" ht="19.5" customHeight="1">
      <c r="A103" s="1127">
        <f t="shared" si="25"/>
        <v>0</v>
      </c>
      <c r="B103" s="9703" t="str">
        <f t="shared" si="20"/>
        <v/>
      </c>
      <c r="C103" s="9704"/>
      <c r="D103" s="9704"/>
      <c r="E103" s="9704"/>
      <c r="F103" s="9704"/>
      <c r="G103" s="9704"/>
      <c r="H103" s="9704"/>
      <c r="I103" s="9705"/>
      <c r="J103" s="9706" t="str">
        <f t="shared" si="21"/>
        <v/>
      </c>
      <c r="K103" s="9707"/>
      <c r="L103" s="9707"/>
      <c r="M103" s="9706" t="str">
        <f t="shared" si="22"/>
        <v/>
      </c>
      <c r="N103" s="9707"/>
      <c r="O103" s="9707"/>
      <c r="P103" s="9708"/>
      <c r="Q103" s="6969" t="str">
        <f t="shared" si="23"/>
        <v/>
      </c>
      <c r="R103" s="9688"/>
      <c r="S103" s="9688"/>
      <c r="T103" s="9689"/>
      <c r="U103" s="6969" t="str">
        <f t="shared" si="24"/>
        <v/>
      </c>
      <c r="V103" s="9688"/>
      <c r="W103" s="9688"/>
      <c r="X103" s="9689"/>
      <c r="Y103" s="9670" t="str">
        <f t="shared" si="26"/>
        <v/>
      </c>
      <c r="Z103" s="6222"/>
      <c r="AA103" s="9670" t="str">
        <f t="shared" si="27"/>
        <v/>
      </c>
      <c r="AB103" s="6222"/>
      <c r="AC103" s="9671" t="str">
        <f t="shared" si="28"/>
        <v/>
      </c>
      <c r="AD103" s="9672"/>
      <c r="AE103" s="9672"/>
      <c r="AF103" s="9672"/>
      <c r="AG103" s="1297">
        <f t="shared" si="29"/>
        <v>0</v>
      </c>
      <c r="AH103" s="1090"/>
      <c r="AI103" s="1090" t="e">
        <f t="shared" si="30"/>
        <v>#VALUE!</v>
      </c>
      <c r="AJ103" s="1237"/>
      <c r="AK103" s="1241"/>
      <c r="AL103" s="1241"/>
      <c r="AM103" s="1239"/>
      <c r="AN103" s="1239"/>
      <c r="AO103" s="1240"/>
      <c r="AP103" s="1239"/>
      <c r="AQ103" s="1238"/>
      <c r="AS103" s="42" t="e">
        <f t="shared" si="31"/>
        <v>#VALUE!</v>
      </c>
      <c r="AT103" s="42" t="e">
        <f t="shared" si="32"/>
        <v>#VALUE!</v>
      </c>
      <c r="AU103" s="42" t="e">
        <f t="shared" si="33"/>
        <v>#VALUE!</v>
      </c>
      <c r="AW103" s="42" t="e">
        <f t="shared" si="34"/>
        <v>#VALUE!</v>
      </c>
      <c r="AX103" s="42" t="e">
        <f t="shared" si="35"/>
        <v>#VALUE!</v>
      </c>
      <c r="AY103" s="42" t="e">
        <f t="shared" si="36"/>
        <v>#VALUE!</v>
      </c>
      <c r="BA103" s="42" t="e">
        <f t="shared" si="37"/>
        <v>#VALUE!</v>
      </c>
      <c r="BB103" s="42" t="e">
        <f t="shared" si="38"/>
        <v>#VALUE!</v>
      </c>
      <c r="BC103" s="42" t="e">
        <f t="shared" si="39"/>
        <v>#VALUE!</v>
      </c>
    </row>
    <row r="104" spans="1:55" ht="19.5" customHeight="1">
      <c r="A104" s="1127">
        <f t="shared" si="25"/>
        <v>0</v>
      </c>
      <c r="B104" s="9703" t="str">
        <f t="shared" si="20"/>
        <v/>
      </c>
      <c r="C104" s="9704"/>
      <c r="D104" s="9704"/>
      <c r="E104" s="9704"/>
      <c r="F104" s="9704"/>
      <c r="G104" s="9704"/>
      <c r="H104" s="9704"/>
      <c r="I104" s="9705"/>
      <c r="J104" s="9706" t="str">
        <f t="shared" si="21"/>
        <v/>
      </c>
      <c r="K104" s="9707"/>
      <c r="L104" s="9707"/>
      <c r="M104" s="9706" t="str">
        <f t="shared" si="22"/>
        <v/>
      </c>
      <c r="N104" s="9707"/>
      <c r="O104" s="9707"/>
      <c r="P104" s="9708"/>
      <c r="Q104" s="6969" t="str">
        <f t="shared" si="23"/>
        <v/>
      </c>
      <c r="R104" s="9688"/>
      <c r="S104" s="9688"/>
      <c r="T104" s="9689"/>
      <c r="U104" s="6969" t="str">
        <f t="shared" si="24"/>
        <v/>
      </c>
      <c r="V104" s="9688"/>
      <c r="W104" s="9688"/>
      <c r="X104" s="9689"/>
      <c r="Y104" s="9670" t="str">
        <f t="shared" si="26"/>
        <v/>
      </c>
      <c r="Z104" s="6222"/>
      <c r="AA104" s="9670" t="str">
        <f t="shared" si="27"/>
        <v/>
      </c>
      <c r="AB104" s="6222"/>
      <c r="AC104" s="9671" t="str">
        <f t="shared" si="28"/>
        <v/>
      </c>
      <c r="AD104" s="9672"/>
      <c r="AE104" s="9672"/>
      <c r="AF104" s="9672"/>
      <c r="AG104" s="1297">
        <f t="shared" si="29"/>
        <v>0</v>
      </c>
      <c r="AH104" s="1090"/>
      <c r="AI104" s="1090" t="e">
        <f t="shared" si="30"/>
        <v>#VALUE!</v>
      </c>
      <c r="AJ104" s="1237"/>
      <c r="AK104" s="1241"/>
      <c r="AL104" s="1241"/>
      <c r="AM104" s="1239"/>
      <c r="AN104" s="1239"/>
      <c r="AO104" s="1240"/>
      <c r="AP104" s="1239"/>
      <c r="AQ104" s="1238"/>
      <c r="AS104" s="42" t="e">
        <f t="shared" si="31"/>
        <v>#VALUE!</v>
      </c>
      <c r="AT104" s="42" t="e">
        <f t="shared" si="32"/>
        <v>#VALUE!</v>
      </c>
      <c r="AU104" s="42" t="e">
        <f t="shared" si="33"/>
        <v>#VALUE!</v>
      </c>
      <c r="AW104" s="42" t="e">
        <f t="shared" si="34"/>
        <v>#VALUE!</v>
      </c>
      <c r="AX104" s="42" t="e">
        <f t="shared" si="35"/>
        <v>#VALUE!</v>
      </c>
      <c r="AY104" s="42" t="e">
        <f t="shared" si="36"/>
        <v>#VALUE!</v>
      </c>
      <c r="BA104" s="42" t="e">
        <f t="shared" si="37"/>
        <v>#VALUE!</v>
      </c>
      <c r="BB104" s="42" t="e">
        <f t="shared" si="38"/>
        <v>#VALUE!</v>
      </c>
      <c r="BC104" s="42" t="e">
        <f t="shared" si="39"/>
        <v>#VALUE!</v>
      </c>
    </row>
    <row r="105" spans="1:55" ht="19.5" customHeight="1">
      <c r="A105" s="1127">
        <f t="shared" si="25"/>
        <v>0</v>
      </c>
      <c r="B105" s="9703" t="str">
        <f t="shared" si="20"/>
        <v/>
      </c>
      <c r="C105" s="9704"/>
      <c r="D105" s="9704"/>
      <c r="E105" s="9704"/>
      <c r="F105" s="9704"/>
      <c r="G105" s="9704"/>
      <c r="H105" s="9704"/>
      <c r="I105" s="9705"/>
      <c r="J105" s="9706" t="str">
        <f t="shared" si="21"/>
        <v/>
      </c>
      <c r="K105" s="9707"/>
      <c r="L105" s="9707"/>
      <c r="M105" s="9706" t="str">
        <f t="shared" si="22"/>
        <v/>
      </c>
      <c r="N105" s="9707"/>
      <c r="O105" s="9707"/>
      <c r="P105" s="9708"/>
      <c r="Q105" s="6969" t="str">
        <f t="shared" si="23"/>
        <v/>
      </c>
      <c r="R105" s="9688"/>
      <c r="S105" s="9688"/>
      <c r="T105" s="9689"/>
      <c r="U105" s="6969" t="str">
        <f t="shared" si="24"/>
        <v/>
      </c>
      <c r="V105" s="9688"/>
      <c r="W105" s="9688"/>
      <c r="X105" s="9689"/>
      <c r="Y105" s="9670" t="str">
        <f t="shared" si="26"/>
        <v/>
      </c>
      <c r="Z105" s="6222"/>
      <c r="AA105" s="9670" t="str">
        <f t="shared" si="27"/>
        <v/>
      </c>
      <c r="AB105" s="6222"/>
      <c r="AC105" s="9671" t="str">
        <f t="shared" si="28"/>
        <v/>
      </c>
      <c r="AD105" s="9672"/>
      <c r="AE105" s="9672"/>
      <c r="AF105" s="9672"/>
      <c r="AG105" s="1297">
        <f t="shared" si="29"/>
        <v>0</v>
      </c>
      <c r="AH105" s="1090"/>
      <c r="AI105" s="1090" t="e">
        <f t="shared" si="30"/>
        <v>#VALUE!</v>
      </c>
      <c r="AJ105" s="1237"/>
      <c r="AK105" s="1241"/>
      <c r="AL105" s="1241"/>
      <c r="AM105" s="1239"/>
      <c r="AN105" s="1239"/>
      <c r="AO105" s="1240"/>
      <c r="AP105" s="1239"/>
      <c r="AQ105" s="1238"/>
      <c r="AS105" s="42" t="e">
        <f t="shared" si="31"/>
        <v>#VALUE!</v>
      </c>
      <c r="AT105" s="42" t="e">
        <f t="shared" si="32"/>
        <v>#VALUE!</v>
      </c>
      <c r="AU105" s="42" t="e">
        <f t="shared" si="33"/>
        <v>#VALUE!</v>
      </c>
      <c r="AW105" s="42" t="e">
        <f t="shared" si="34"/>
        <v>#VALUE!</v>
      </c>
      <c r="AX105" s="42" t="e">
        <f t="shared" si="35"/>
        <v>#VALUE!</v>
      </c>
      <c r="AY105" s="42" t="e">
        <f t="shared" si="36"/>
        <v>#VALUE!</v>
      </c>
      <c r="BA105" s="42" t="e">
        <f t="shared" si="37"/>
        <v>#VALUE!</v>
      </c>
      <c r="BB105" s="42" t="e">
        <f t="shared" si="38"/>
        <v>#VALUE!</v>
      </c>
      <c r="BC105" s="42" t="e">
        <f t="shared" si="39"/>
        <v>#VALUE!</v>
      </c>
    </row>
    <row r="106" spans="1:55" ht="19.5" customHeight="1">
      <c r="A106" s="1127">
        <f t="shared" si="25"/>
        <v>0</v>
      </c>
      <c r="B106" s="9703" t="str">
        <f t="shared" si="20"/>
        <v/>
      </c>
      <c r="C106" s="9704"/>
      <c r="D106" s="9704"/>
      <c r="E106" s="9704"/>
      <c r="F106" s="9704"/>
      <c r="G106" s="9704"/>
      <c r="H106" s="9704"/>
      <c r="I106" s="9705"/>
      <c r="J106" s="9706" t="str">
        <f t="shared" si="21"/>
        <v/>
      </c>
      <c r="K106" s="9707"/>
      <c r="L106" s="9707"/>
      <c r="M106" s="9706" t="str">
        <f t="shared" si="22"/>
        <v/>
      </c>
      <c r="N106" s="9707"/>
      <c r="O106" s="9707"/>
      <c r="P106" s="9708"/>
      <c r="Q106" s="6969" t="str">
        <f t="shared" si="23"/>
        <v/>
      </c>
      <c r="R106" s="9688"/>
      <c r="S106" s="9688"/>
      <c r="T106" s="9689"/>
      <c r="U106" s="6969" t="str">
        <f t="shared" si="24"/>
        <v/>
      </c>
      <c r="V106" s="9688"/>
      <c r="W106" s="9688"/>
      <c r="X106" s="9689"/>
      <c r="Y106" s="9670" t="str">
        <f t="shared" si="26"/>
        <v/>
      </c>
      <c r="Z106" s="6222"/>
      <c r="AA106" s="9670" t="str">
        <f t="shared" si="27"/>
        <v/>
      </c>
      <c r="AB106" s="6222"/>
      <c r="AC106" s="9671" t="str">
        <f t="shared" si="28"/>
        <v/>
      </c>
      <c r="AD106" s="9672"/>
      <c r="AE106" s="9672"/>
      <c r="AF106" s="9672"/>
      <c r="AG106" s="1297">
        <f t="shared" si="29"/>
        <v>0</v>
      </c>
      <c r="AH106" s="1090"/>
      <c r="AI106" s="1090" t="e">
        <f t="shared" si="30"/>
        <v>#VALUE!</v>
      </c>
      <c r="AJ106" s="1237"/>
      <c r="AK106" s="1241"/>
      <c r="AL106" s="1241"/>
      <c r="AM106" s="1239"/>
      <c r="AN106" s="1239"/>
      <c r="AO106" s="1240"/>
      <c r="AP106" s="1239"/>
      <c r="AQ106" s="1238"/>
      <c r="AS106" s="42" t="e">
        <f t="shared" si="31"/>
        <v>#VALUE!</v>
      </c>
      <c r="AT106" s="42" t="e">
        <f t="shared" si="32"/>
        <v>#VALUE!</v>
      </c>
      <c r="AU106" s="42" t="e">
        <f t="shared" si="33"/>
        <v>#VALUE!</v>
      </c>
      <c r="AW106" s="42" t="e">
        <f t="shared" si="34"/>
        <v>#VALUE!</v>
      </c>
      <c r="AX106" s="42" t="e">
        <f t="shared" si="35"/>
        <v>#VALUE!</v>
      </c>
      <c r="AY106" s="42" t="e">
        <f t="shared" si="36"/>
        <v>#VALUE!</v>
      </c>
      <c r="BA106" s="42" t="e">
        <f t="shared" si="37"/>
        <v>#VALUE!</v>
      </c>
      <c r="BB106" s="42" t="e">
        <f t="shared" si="38"/>
        <v>#VALUE!</v>
      </c>
      <c r="BC106" s="42" t="e">
        <f t="shared" si="39"/>
        <v>#VALUE!</v>
      </c>
    </row>
    <row r="107" spans="1:55" ht="19.5" customHeight="1">
      <c r="A107" s="1127">
        <f t="shared" si="25"/>
        <v>0</v>
      </c>
      <c r="B107" s="9703" t="str">
        <f t="shared" si="20"/>
        <v/>
      </c>
      <c r="C107" s="9704"/>
      <c r="D107" s="9704"/>
      <c r="E107" s="9704"/>
      <c r="F107" s="9704"/>
      <c r="G107" s="9704"/>
      <c r="H107" s="9704"/>
      <c r="I107" s="9705"/>
      <c r="J107" s="9706" t="str">
        <f t="shared" si="21"/>
        <v/>
      </c>
      <c r="K107" s="9707"/>
      <c r="L107" s="9707"/>
      <c r="M107" s="9706" t="str">
        <f t="shared" si="22"/>
        <v/>
      </c>
      <c r="N107" s="9707"/>
      <c r="O107" s="9707"/>
      <c r="P107" s="9708"/>
      <c r="Q107" s="6969" t="str">
        <f t="shared" si="23"/>
        <v/>
      </c>
      <c r="R107" s="9688"/>
      <c r="S107" s="9688"/>
      <c r="T107" s="9689"/>
      <c r="U107" s="6969" t="str">
        <f t="shared" si="24"/>
        <v/>
      </c>
      <c r="V107" s="9688"/>
      <c r="W107" s="9688"/>
      <c r="X107" s="9689"/>
      <c r="Y107" s="9670" t="str">
        <f t="shared" si="26"/>
        <v/>
      </c>
      <c r="Z107" s="6222"/>
      <c r="AA107" s="9670" t="str">
        <f t="shared" si="27"/>
        <v/>
      </c>
      <c r="AB107" s="6222"/>
      <c r="AC107" s="9671" t="str">
        <f t="shared" si="28"/>
        <v/>
      </c>
      <c r="AD107" s="9672"/>
      <c r="AE107" s="9672"/>
      <c r="AF107" s="9672"/>
      <c r="AG107" s="1297">
        <f t="shared" si="29"/>
        <v>0</v>
      </c>
      <c r="AH107" s="1090"/>
      <c r="AI107" s="1090" t="e">
        <f t="shared" si="30"/>
        <v>#VALUE!</v>
      </c>
      <c r="AJ107" s="1237"/>
      <c r="AK107" s="1241"/>
      <c r="AL107" s="1241"/>
      <c r="AM107" s="1239"/>
      <c r="AN107" s="1239"/>
      <c r="AO107" s="1240"/>
      <c r="AP107" s="1239"/>
      <c r="AQ107" s="1238"/>
      <c r="AS107" s="42" t="e">
        <f t="shared" si="31"/>
        <v>#VALUE!</v>
      </c>
      <c r="AT107" s="42" t="e">
        <f t="shared" si="32"/>
        <v>#VALUE!</v>
      </c>
      <c r="AU107" s="42" t="e">
        <f t="shared" si="33"/>
        <v>#VALUE!</v>
      </c>
      <c r="AW107" s="42" t="e">
        <f t="shared" si="34"/>
        <v>#VALUE!</v>
      </c>
      <c r="AX107" s="42" t="e">
        <f t="shared" si="35"/>
        <v>#VALUE!</v>
      </c>
      <c r="AY107" s="42" t="e">
        <f t="shared" si="36"/>
        <v>#VALUE!</v>
      </c>
      <c r="BA107" s="42" t="e">
        <f t="shared" si="37"/>
        <v>#VALUE!</v>
      </c>
      <c r="BB107" s="42" t="e">
        <f t="shared" si="38"/>
        <v>#VALUE!</v>
      </c>
      <c r="BC107" s="42" t="e">
        <f t="shared" si="39"/>
        <v>#VALUE!</v>
      </c>
    </row>
    <row r="108" spans="1:55" ht="19.5" customHeight="1">
      <c r="A108" s="1127">
        <f t="shared" si="25"/>
        <v>0</v>
      </c>
      <c r="B108" s="9703" t="str">
        <f t="shared" si="20"/>
        <v/>
      </c>
      <c r="C108" s="9704"/>
      <c r="D108" s="9704"/>
      <c r="E108" s="9704"/>
      <c r="F108" s="9704"/>
      <c r="G108" s="9704"/>
      <c r="H108" s="9704"/>
      <c r="I108" s="9705"/>
      <c r="J108" s="9706" t="str">
        <f t="shared" si="21"/>
        <v/>
      </c>
      <c r="K108" s="9707"/>
      <c r="L108" s="9707"/>
      <c r="M108" s="9706" t="str">
        <f t="shared" si="22"/>
        <v/>
      </c>
      <c r="N108" s="9707"/>
      <c r="O108" s="9707"/>
      <c r="P108" s="9708"/>
      <c r="Q108" s="6969" t="str">
        <f t="shared" si="23"/>
        <v/>
      </c>
      <c r="R108" s="9688"/>
      <c r="S108" s="9688"/>
      <c r="T108" s="9689"/>
      <c r="U108" s="6969" t="str">
        <f t="shared" si="24"/>
        <v/>
      </c>
      <c r="V108" s="9688"/>
      <c r="W108" s="9688"/>
      <c r="X108" s="9689"/>
      <c r="Y108" s="9670" t="str">
        <f t="shared" si="26"/>
        <v/>
      </c>
      <c r="Z108" s="6222"/>
      <c r="AA108" s="9670" t="str">
        <f t="shared" si="27"/>
        <v/>
      </c>
      <c r="AB108" s="6222"/>
      <c r="AC108" s="9671" t="str">
        <f t="shared" si="28"/>
        <v/>
      </c>
      <c r="AD108" s="9672"/>
      <c r="AE108" s="9672"/>
      <c r="AF108" s="9672"/>
      <c r="AG108" s="1297">
        <f t="shared" si="29"/>
        <v>0</v>
      </c>
      <c r="AH108" s="1090"/>
      <c r="AI108" s="1090" t="e">
        <f t="shared" si="30"/>
        <v>#VALUE!</v>
      </c>
      <c r="AJ108" s="1237"/>
      <c r="AK108" s="1241"/>
      <c r="AL108" s="1241"/>
      <c r="AM108" s="1239"/>
      <c r="AN108" s="1239"/>
      <c r="AO108" s="1240"/>
      <c r="AP108" s="1239"/>
      <c r="AQ108" s="1238"/>
      <c r="AS108" s="42" t="e">
        <f t="shared" si="31"/>
        <v>#VALUE!</v>
      </c>
      <c r="AT108" s="42" t="e">
        <f t="shared" si="32"/>
        <v>#VALUE!</v>
      </c>
      <c r="AU108" s="42" t="e">
        <f t="shared" si="33"/>
        <v>#VALUE!</v>
      </c>
      <c r="AW108" s="42" t="e">
        <f t="shared" si="34"/>
        <v>#VALUE!</v>
      </c>
      <c r="AX108" s="42" t="e">
        <f t="shared" si="35"/>
        <v>#VALUE!</v>
      </c>
      <c r="AY108" s="42" t="e">
        <f t="shared" si="36"/>
        <v>#VALUE!</v>
      </c>
      <c r="BA108" s="42" t="e">
        <f t="shared" si="37"/>
        <v>#VALUE!</v>
      </c>
      <c r="BB108" s="42" t="e">
        <f t="shared" si="38"/>
        <v>#VALUE!</v>
      </c>
      <c r="BC108" s="42" t="e">
        <f t="shared" si="39"/>
        <v>#VALUE!</v>
      </c>
    </row>
    <row r="109" spans="1:55" ht="19.5" customHeight="1">
      <c r="A109" s="1127">
        <f t="shared" si="25"/>
        <v>0</v>
      </c>
      <c r="B109" s="9703" t="str">
        <f t="shared" si="20"/>
        <v/>
      </c>
      <c r="C109" s="9704"/>
      <c r="D109" s="9704"/>
      <c r="E109" s="9704"/>
      <c r="F109" s="9704"/>
      <c r="G109" s="9704"/>
      <c r="H109" s="9704"/>
      <c r="I109" s="9705"/>
      <c r="J109" s="9706" t="str">
        <f t="shared" si="21"/>
        <v/>
      </c>
      <c r="K109" s="9707"/>
      <c r="L109" s="9707"/>
      <c r="M109" s="9706" t="str">
        <f t="shared" si="22"/>
        <v/>
      </c>
      <c r="N109" s="9707"/>
      <c r="O109" s="9707"/>
      <c r="P109" s="9708"/>
      <c r="Q109" s="6969" t="str">
        <f t="shared" si="23"/>
        <v/>
      </c>
      <c r="R109" s="9688"/>
      <c r="S109" s="9688"/>
      <c r="T109" s="9689"/>
      <c r="U109" s="6969" t="str">
        <f t="shared" si="24"/>
        <v/>
      </c>
      <c r="V109" s="9688"/>
      <c r="W109" s="9688"/>
      <c r="X109" s="9689"/>
      <c r="Y109" s="9670" t="str">
        <f t="shared" si="26"/>
        <v/>
      </c>
      <c r="Z109" s="6222"/>
      <c r="AA109" s="9670" t="str">
        <f t="shared" si="27"/>
        <v/>
      </c>
      <c r="AB109" s="6222"/>
      <c r="AC109" s="9671" t="str">
        <f t="shared" si="28"/>
        <v/>
      </c>
      <c r="AD109" s="9672"/>
      <c r="AE109" s="9672"/>
      <c r="AF109" s="9672"/>
      <c r="AG109" s="1297">
        <f t="shared" si="29"/>
        <v>0</v>
      </c>
      <c r="AH109" s="1090"/>
      <c r="AI109" s="1090" t="e">
        <f t="shared" si="30"/>
        <v>#VALUE!</v>
      </c>
      <c r="AJ109" s="1237"/>
      <c r="AK109" s="1241"/>
      <c r="AL109" s="1241"/>
      <c r="AM109" s="1239"/>
      <c r="AN109" s="1239"/>
      <c r="AO109" s="1240"/>
      <c r="AP109" s="1239"/>
      <c r="AQ109" s="1238"/>
      <c r="AS109" s="42" t="e">
        <f t="shared" si="31"/>
        <v>#VALUE!</v>
      </c>
      <c r="AT109" s="42" t="e">
        <f t="shared" si="32"/>
        <v>#VALUE!</v>
      </c>
      <c r="AU109" s="42" t="e">
        <f t="shared" si="33"/>
        <v>#VALUE!</v>
      </c>
      <c r="AW109" s="42" t="e">
        <f t="shared" si="34"/>
        <v>#VALUE!</v>
      </c>
      <c r="AX109" s="42" t="e">
        <f t="shared" si="35"/>
        <v>#VALUE!</v>
      </c>
      <c r="AY109" s="42" t="e">
        <f t="shared" si="36"/>
        <v>#VALUE!</v>
      </c>
      <c r="BA109" s="42" t="e">
        <f t="shared" si="37"/>
        <v>#VALUE!</v>
      </c>
      <c r="BB109" s="42" t="e">
        <f t="shared" si="38"/>
        <v>#VALUE!</v>
      </c>
      <c r="BC109" s="42" t="e">
        <f t="shared" si="39"/>
        <v>#VALUE!</v>
      </c>
    </row>
    <row r="110" spans="1:55" ht="19.5" customHeight="1">
      <c r="A110" s="1127">
        <f t="shared" si="25"/>
        <v>0</v>
      </c>
      <c r="B110" s="9703" t="str">
        <f t="shared" si="20"/>
        <v/>
      </c>
      <c r="C110" s="9704"/>
      <c r="D110" s="9704"/>
      <c r="E110" s="9704"/>
      <c r="F110" s="9704"/>
      <c r="G110" s="9704"/>
      <c r="H110" s="9704"/>
      <c r="I110" s="9705"/>
      <c r="J110" s="9706" t="str">
        <f t="shared" si="21"/>
        <v/>
      </c>
      <c r="K110" s="9707"/>
      <c r="L110" s="9707"/>
      <c r="M110" s="9706" t="str">
        <f t="shared" si="22"/>
        <v/>
      </c>
      <c r="N110" s="9707"/>
      <c r="O110" s="9707"/>
      <c r="P110" s="9708"/>
      <c r="Q110" s="6969" t="str">
        <f t="shared" si="23"/>
        <v/>
      </c>
      <c r="R110" s="9688"/>
      <c r="S110" s="9688"/>
      <c r="T110" s="9689"/>
      <c r="U110" s="6969" t="str">
        <f t="shared" si="24"/>
        <v/>
      </c>
      <c r="V110" s="9688"/>
      <c r="W110" s="9688"/>
      <c r="X110" s="9689"/>
      <c r="Y110" s="9670" t="str">
        <f t="shared" si="26"/>
        <v/>
      </c>
      <c r="Z110" s="6222"/>
      <c r="AA110" s="9670" t="str">
        <f t="shared" si="27"/>
        <v/>
      </c>
      <c r="AB110" s="6222"/>
      <c r="AC110" s="9671" t="str">
        <f t="shared" si="28"/>
        <v/>
      </c>
      <c r="AD110" s="9672"/>
      <c r="AE110" s="9672"/>
      <c r="AF110" s="9672"/>
      <c r="AG110" s="1297">
        <f t="shared" si="29"/>
        <v>0</v>
      </c>
      <c r="AH110" s="1090"/>
      <c r="AI110" s="1090" t="e">
        <f t="shared" si="30"/>
        <v>#VALUE!</v>
      </c>
      <c r="AJ110" s="1237"/>
      <c r="AK110" s="1241"/>
      <c r="AL110" s="1241"/>
      <c r="AM110" s="1239"/>
      <c r="AN110" s="1239"/>
      <c r="AO110" s="1240"/>
      <c r="AP110" s="1239"/>
      <c r="AQ110" s="1238"/>
      <c r="AS110" s="42" t="e">
        <f t="shared" si="31"/>
        <v>#VALUE!</v>
      </c>
      <c r="AT110" s="42" t="e">
        <f t="shared" si="32"/>
        <v>#VALUE!</v>
      </c>
      <c r="AU110" s="42" t="e">
        <f t="shared" si="33"/>
        <v>#VALUE!</v>
      </c>
      <c r="AW110" s="42" t="e">
        <f t="shared" si="34"/>
        <v>#VALUE!</v>
      </c>
      <c r="AX110" s="42" t="e">
        <f t="shared" si="35"/>
        <v>#VALUE!</v>
      </c>
      <c r="AY110" s="42" t="e">
        <f t="shared" si="36"/>
        <v>#VALUE!</v>
      </c>
      <c r="BA110" s="42" t="e">
        <f t="shared" si="37"/>
        <v>#VALUE!</v>
      </c>
      <c r="BB110" s="42" t="e">
        <f t="shared" si="38"/>
        <v>#VALUE!</v>
      </c>
      <c r="BC110" s="42" t="e">
        <f t="shared" si="39"/>
        <v>#VALUE!</v>
      </c>
    </row>
    <row r="111" spans="1:55" ht="19.5" customHeight="1">
      <c r="A111" s="1127">
        <f t="shared" si="25"/>
        <v>0</v>
      </c>
      <c r="B111" s="9703" t="str">
        <f t="shared" si="20"/>
        <v/>
      </c>
      <c r="C111" s="9704"/>
      <c r="D111" s="9704"/>
      <c r="E111" s="9704"/>
      <c r="F111" s="9704"/>
      <c r="G111" s="9704"/>
      <c r="H111" s="9704"/>
      <c r="I111" s="9705"/>
      <c r="J111" s="9706" t="str">
        <f t="shared" si="21"/>
        <v/>
      </c>
      <c r="K111" s="9707"/>
      <c r="L111" s="9707"/>
      <c r="M111" s="9706" t="str">
        <f t="shared" si="22"/>
        <v/>
      </c>
      <c r="N111" s="9707"/>
      <c r="O111" s="9707"/>
      <c r="P111" s="9708"/>
      <c r="Q111" s="6969" t="str">
        <f t="shared" si="23"/>
        <v/>
      </c>
      <c r="R111" s="9688"/>
      <c r="S111" s="9688"/>
      <c r="T111" s="9689"/>
      <c r="U111" s="6969" t="str">
        <f t="shared" si="24"/>
        <v/>
      </c>
      <c r="V111" s="9688"/>
      <c r="W111" s="9688"/>
      <c r="X111" s="9689"/>
      <c r="Y111" s="9670" t="str">
        <f t="shared" si="26"/>
        <v/>
      </c>
      <c r="Z111" s="6222"/>
      <c r="AA111" s="9670" t="str">
        <f t="shared" si="27"/>
        <v/>
      </c>
      <c r="AB111" s="6222"/>
      <c r="AC111" s="9671" t="str">
        <f t="shared" si="28"/>
        <v/>
      </c>
      <c r="AD111" s="9672"/>
      <c r="AE111" s="9672"/>
      <c r="AF111" s="9672"/>
      <c r="AG111" s="1297">
        <f t="shared" si="29"/>
        <v>0</v>
      </c>
      <c r="AH111" s="1090"/>
      <c r="AI111" s="1090" t="e">
        <f t="shared" si="30"/>
        <v>#VALUE!</v>
      </c>
      <c r="AJ111" s="1237"/>
      <c r="AK111" s="1241"/>
      <c r="AL111" s="1241"/>
      <c r="AM111" s="1239"/>
      <c r="AN111" s="1239"/>
      <c r="AO111" s="1240"/>
      <c r="AP111" s="1239"/>
      <c r="AQ111" s="1238"/>
      <c r="AS111" s="42" t="e">
        <f t="shared" si="31"/>
        <v>#VALUE!</v>
      </c>
      <c r="AT111" s="42" t="e">
        <f t="shared" si="32"/>
        <v>#VALUE!</v>
      </c>
      <c r="AU111" s="42" t="e">
        <f t="shared" si="33"/>
        <v>#VALUE!</v>
      </c>
      <c r="AW111" s="42" t="e">
        <f t="shared" si="34"/>
        <v>#VALUE!</v>
      </c>
      <c r="AX111" s="42" t="e">
        <f t="shared" si="35"/>
        <v>#VALUE!</v>
      </c>
      <c r="AY111" s="42" t="e">
        <f t="shared" si="36"/>
        <v>#VALUE!</v>
      </c>
      <c r="BA111" s="42" t="e">
        <f t="shared" si="37"/>
        <v>#VALUE!</v>
      </c>
      <c r="BB111" s="42" t="e">
        <f t="shared" si="38"/>
        <v>#VALUE!</v>
      </c>
      <c r="BC111" s="42" t="e">
        <f t="shared" si="39"/>
        <v>#VALUE!</v>
      </c>
    </row>
    <row r="112" spans="1:55" ht="19.5" customHeight="1">
      <c r="A112" s="1127">
        <f t="shared" si="25"/>
        <v>0</v>
      </c>
      <c r="B112" s="9703" t="str">
        <f t="shared" si="20"/>
        <v/>
      </c>
      <c r="C112" s="9704"/>
      <c r="D112" s="9704"/>
      <c r="E112" s="9704"/>
      <c r="F112" s="9704"/>
      <c r="G112" s="9704"/>
      <c r="H112" s="9704"/>
      <c r="I112" s="9705"/>
      <c r="J112" s="9706" t="str">
        <f t="shared" si="21"/>
        <v/>
      </c>
      <c r="K112" s="9707"/>
      <c r="L112" s="9707"/>
      <c r="M112" s="9706" t="str">
        <f t="shared" si="22"/>
        <v/>
      </c>
      <c r="N112" s="9707"/>
      <c r="O112" s="9707"/>
      <c r="P112" s="9708"/>
      <c r="Q112" s="6969" t="str">
        <f t="shared" si="23"/>
        <v/>
      </c>
      <c r="R112" s="9688"/>
      <c r="S112" s="9688"/>
      <c r="T112" s="9689"/>
      <c r="U112" s="6969" t="str">
        <f t="shared" si="24"/>
        <v/>
      </c>
      <c r="V112" s="9688"/>
      <c r="W112" s="9688"/>
      <c r="X112" s="9689"/>
      <c r="Y112" s="9670" t="str">
        <f t="shared" si="26"/>
        <v/>
      </c>
      <c r="Z112" s="6222"/>
      <c r="AA112" s="9670" t="str">
        <f t="shared" si="27"/>
        <v/>
      </c>
      <c r="AB112" s="6222"/>
      <c r="AC112" s="9671" t="str">
        <f t="shared" si="28"/>
        <v/>
      </c>
      <c r="AD112" s="9672"/>
      <c r="AE112" s="9672"/>
      <c r="AF112" s="9672"/>
      <c r="AG112" s="1297">
        <f t="shared" si="29"/>
        <v>0</v>
      </c>
      <c r="AH112" s="1090"/>
      <c r="AI112" s="1090" t="e">
        <f t="shared" si="30"/>
        <v>#VALUE!</v>
      </c>
      <c r="AJ112" s="1237"/>
      <c r="AK112" s="1241"/>
      <c r="AL112" s="1241"/>
      <c r="AM112" s="1239"/>
      <c r="AN112" s="1239"/>
      <c r="AO112" s="1240"/>
      <c r="AP112" s="1239"/>
      <c r="AQ112" s="1238"/>
      <c r="AS112" s="42" t="e">
        <f t="shared" si="31"/>
        <v>#VALUE!</v>
      </c>
      <c r="AT112" s="42" t="e">
        <f t="shared" si="32"/>
        <v>#VALUE!</v>
      </c>
      <c r="AU112" s="42" t="e">
        <f t="shared" si="33"/>
        <v>#VALUE!</v>
      </c>
      <c r="AW112" s="42" t="e">
        <f t="shared" si="34"/>
        <v>#VALUE!</v>
      </c>
      <c r="AX112" s="42" t="e">
        <f t="shared" si="35"/>
        <v>#VALUE!</v>
      </c>
      <c r="AY112" s="42" t="e">
        <f t="shared" si="36"/>
        <v>#VALUE!</v>
      </c>
      <c r="BA112" s="42" t="e">
        <f t="shared" si="37"/>
        <v>#VALUE!</v>
      </c>
      <c r="BB112" s="42" t="e">
        <f t="shared" si="38"/>
        <v>#VALUE!</v>
      </c>
      <c r="BC112" s="42" t="e">
        <f t="shared" si="39"/>
        <v>#VALUE!</v>
      </c>
    </row>
    <row r="113" spans="1:55" ht="19.5" customHeight="1">
      <c r="A113" s="1127">
        <f t="shared" si="25"/>
        <v>0</v>
      </c>
      <c r="B113" s="9703" t="str">
        <f t="shared" si="20"/>
        <v/>
      </c>
      <c r="C113" s="9704"/>
      <c r="D113" s="9704"/>
      <c r="E113" s="9704"/>
      <c r="F113" s="9704"/>
      <c r="G113" s="9704"/>
      <c r="H113" s="9704"/>
      <c r="I113" s="9705"/>
      <c r="J113" s="9706" t="str">
        <f t="shared" si="21"/>
        <v/>
      </c>
      <c r="K113" s="9707"/>
      <c r="L113" s="9707"/>
      <c r="M113" s="9706" t="str">
        <f t="shared" si="22"/>
        <v/>
      </c>
      <c r="N113" s="9707"/>
      <c r="O113" s="9707"/>
      <c r="P113" s="9708"/>
      <c r="Q113" s="6969" t="str">
        <f t="shared" si="23"/>
        <v/>
      </c>
      <c r="R113" s="9688"/>
      <c r="S113" s="9688"/>
      <c r="T113" s="9689"/>
      <c r="U113" s="6969" t="str">
        <f t="shared" si="24"/>
        <v/>
      </c>
      <c r="V113" s="9688"/>
      <c r="W113" s="9688"/>
      <c r="X113" s="9689"/>
      <c r="Y113" s="9670" t="str">
        <f t="shared" si="26"/>
        <v/>
      </c>
      <c r="Z113" s="6222"/>
      <c r="AA113" s="9670" t="str">
        <f t="shared" si="27"/>
        <v/>
      </c>
      <c r="AB113" s="6222"/>
      <c r="AC113" s="9671" t="str">
        <f t="shared" si="28"/>
        <v/>
      </c>
      <c r="AD113" s="9672"/>
      <c r="AE113" s="9672"/>
      <c r="AF113" s="9672"/>
      <c r="AG113" s="1297">
        <f t="shared" si="29"/>
        <v>0</v>
      </c>
      <c r="AH113" s="1090"/>
      <c r="AI113" s="1090" t="e">
        <f t="shared" si="30"/>
        <v>#VALUE!</v>
      </c>
      <c r="AJ113" s="1237"/>
      <c r="AK113" s="1241"/>
      <c r="AL113" s="1241"/>
      <c r="AM113" s="1239"/>
      <c r="AN113" s="1239"/>
      <c r="AO113" s="1240"/>
      <c r="AP113" s="1239"/>
      <c r="AQ113" s="1238"/>
      <c r="AS113" s="42" t="e">
        <f t="shared" si="31"/>
        <v>#VALUE!</v>
      </c>
      <c r="AT113" s="42" t="e">
        <f t="shared" si="32"/>
        <v>#VALUE!</v>
      </c>
      <c r="AU113" s="42" t="e">
        <f t="shared" si="33"/>
        <v>#VALUE!</v>
      </c>
      <c r="AW113" s="42" t="e">
        <f t="shared" si="34"/>
        <v>#VALUE!</v>
      </c>
      <c r="AX113" s="42" t="e">
        <f t="shared" si="35"/>
        <v>#VALUE!</v>
      </c>
      <c r="AY113" s="42" t="e">
        <f t="shared" si="36"/>
        <v>#VALUE!</v>
      </c>
      <c r="BA113" s="42" t="e">
        <f t="shared" si="37"/>
        <v>#VALUE!</v>
      </c>
      <c r="BB113" s="42" t="e">
        <f t="shared" si="38"/>
        <v>#VALUE!</v>
      </c>
      <c r="BC113" s="42" t="e">
        <f t="shared" si="39"/>
        <v>#VALUE!</v>
      </c>
    </row>
    <row r="114" spans="1:55" ht="19.5" customHeight="1">
      <c r="A114" s="1127">
        <f t="shared" si="25"/>
        <v>0</v>
      </c>
      <c r="B114" s="9703" t="str">
        <f t="shared" si="20"/>
        <v/>
      </c>
      <c r="C114" s="9704"/>
      <c r="D114" s="9704"/>
      <c r="E114" s="9704"/>
      <c r="F114" s="9704"/>
      <c r="G114" s="9704"/>
      <c r="H114" s="9704"/>
      <c r="I114" s="9705"/>
      <c r="J114" s="9706" t="str">
        <f t="shared" si="21"/>
        <v/>
      </c>
      <c r="K114" s="9707"/>
      <c r="L114" s="9707"/>
      <c r="M114" s="9706" t="str">
        <f t="shared" si="22"/>
        <v/>
      </c>
      <c r="N114" s="9707"/>
      <c r="O114" s="9707"/>
      <c r="P114" s="9708"/>
      <c r="Q114" s="6969" t="str">
        <f t="shared" si="23"/>
        <v/>
      </c>
      <c r="R114" s="9688"/>
      <c r="S114" s="9688"/>
      <c r="T114" s="9689"/>
      <c r="U114" s="6969" t="str">
        <f t="shared" si="24"/>
        <v/>
      </c>
      <c r="V114" s="9688"/>
      <c r="W114" s="9688"/>
      <c r="X114" s="9689"/>
      <c r="Y114" s="9670" t="str">
        <f t="shared" si="26"/>
        <v/>
      </c>
      <c r="Z114" s="6222"/>
      <c r="AA114" s="9670" t="str">
        <f t="shared" si="27"/>
        <v/>
      </c>
      <c r="AB114" s="6222"/>
      <c r="AC114" s="9671" t="str">
        <f t="shared" si="28"/>
        <v/>
      </c>
      <c r="AD114" s="9672"/>
      <c r="AE114" s="9672"/>
      <c r="AF114" s="9672"/>
      <c r="AG114" s="1297">
        <f t="shared" si="29"/>
        <v>0</v>
      </c>
      <c r="AH114" s="1090"/>
      <c r="AI114" s="1090" t="e">
        <f t="shared" si="30"/>
        <v>#VALUE!</v>
      </c>
      <c r="AJ114" s="1237"/>
      <c r="AK114" s="1241"/>
      <c r="AL114" s="1241"/>
      <c r="AM114" s="1239"/>
      <c r="AN114" s="1239"/>
      <c r="AO114" s="1240"/>
      <c r="AP114" s="1239"/>
      <c r="AQ114" s="1238"/>
      <c r="AS114" s="42" t="e">
        <f t="shared" si="31"/>
        <v>#VALUE!</v>
      </c>
      <c r="AT114" s="42" t="e">
        <f t="shared" si="32"/>
        <v>#VALUE!</v>
      </c>
      <c r="AU114" s="42" t="e">
        <f t="shared" si="33"/>
        <v>#VALUE!</v>
      </c>
      <c r="AW114" s="42" t="e">
        <f t="shared" si="34"/>
        <v>#VALUE!</v>
      </c>
      <c r="AX114" s="42" t="e">
        <f t="shared" si="35"/>
        <v>#VALUE!</v>
      </c>
      <c r="AY114" s="42" t="e">
        <f t="shared" si="36"/>
        <v>#VALUE!</v>
      </c>
      <c r="BA114" s="42" t="e">
        <f t="shared" si="37"/>
        <v>#VALUE!</v>
      </c>
      <c r="BB114" s="42" t="e">
        <f t="shared" si="38"/>
        <v>#VALUE!</v>
      </c>
      <c r="BC114" s="42" t="e">
        <f t="shared" si="39"/>
        <v>#VALUE!</v>
      </c>
    </row>
    <row r="115" spans="1:55" ht="19.5" customHeight="1">
      <c r="A115" s="1127">
        <f t="shared" si="25"/>
        <v>0</v>
      </c>
      <c r="B115" s="9703" t="str">
        <f t="shared" si="20"/>
        <v/>
      </c>
      <c r="C115" s="9704"/>
      <c r="D115" s="9704"/>
      <c r="E115" s="9704"/>
      <c r="F115" s="9704"/>
      <c r="G115" s="9704"/>
      <c r="H115" s="9704"/>
      <c r="I115" s="9705"/>
      <c r="J115" s="9706" t="str">
        <f t="shared" si="21"/>
        <v/>
      </c>
      <c r="K115" s="9707"/>
      <c r="L115" s="9707"/>
      <c r="M115" s="9706" t="str">
        <f t="shared" si="22"/>
        <v/>
      </c>
      <c r="N115" s="9707"/>
      <c r="O115" s="9707"/>
      <c r="P115" s="9708"/>
      <c r="Q115" s="6969" t="str">
        <f t="shared" si="23"/>
        <v/>
      </c>
      <c r="R115" s="9688"/>
      <c r="S115" s="9688"/>
      <c r="T115" s="9689"/>
      <c r="U115" s="6969" t="str">
        <f t="shared" si="24"/>
        <v/>
      </c>
      <c r="V115" s="9688"/>
      <c r="W115" s="9688"/>
      <c r="X115" s="9689"/>
      <c r="Y115" s="9670" t="str">
        <f t="shared" si="26"/>
        <v/>
      </c>
      <c r="Z115" s="6222"/>
      <c r="AA115" s="9670" t="str">
        <f t="shared" si="27"/>
        <v/>
      </c>
      <c r="AB115" s="6222"/>
      <c r="AC115" s="9671" t="str">
        <f t="shared" si="28"/>
        <v/>
      </c>
      <c r="AD115" s="9672"/>
      <c r="AE115" s="9672"/>
      <c r="AF115" s="9672"/>
      <c r="AG115" s="1297">
        <f t="shared" si="29"/>
        <v>0</v>
      </c>
      <c r="AH115" s="1090"/>
      <c r="AI115" s="1090" t="e">
        <f t="shared" si="30"/>
        <v>#VALUE!</v>
      </c>
      <c r="AJ115" s="1237"/>
      <c r="AK115" s="1241"/>
      <c r="AL115" s="1241"/>
      <c r="AM115" s="1239"/>
      <c r="AN115" s="1239"/>
      <c r="AO115" s="1240"/>
      <c r="AP115" s="1239"/>
      <c r="AQ115" s="1238"/>
      <c r="AS115" s="42" t="e">
        <f t="shared" si="31"/>
        <v>#VALUE!</v>
      </c>
      <c r="AT115" s="42" t="e">
        <f t="shared" si="32"/>
        <v>#VALUE!</v>
      </c>
      <c r="AU115" s="42" t="e">
        <f t="shared" si="33"/>
        <v>#VALUE!</v>
      </c>
      <c r="AW115" s="42" t="e">
        <f t="shared" si="34"/>
        <v>#VALUE!</v>
      </c>
      <c r="AX115" s="42" t="e">
        <f t="shared" si="35"/>
        <v>#VALUE!</v>
      </c>
      <c r="AY115" s="42" t="e">
        <f t="shared" si="36"/>
        <v>#VALUE!</v>
      </c>
      <c r="BA115" s="42" t="e">
        <f t="shared" si="37"/>
        <v>#VALUE!</v>
      </c>
      <c r="BB115" s="42" t="e">
        <f t="shared" si="38"/>
        <v>#VALUE!</v>
      </c>
      <c r="BC115" s="42" t="e">
        <f t="shared" si="39"/>
        <v>#VALUE!</v>
      </c>
    </row>
    <row r="116" spans="1:55" ht="11.25" customHeight="1">
      <c r="A116" s="1127">
        <f>SUM(A88:A115)</f>
        <v>0</v>
      </c>
      <c r="B116" s="9759">
        <v>2</v>
      </c>
      <c r="C116" s="9780" t="s">
        <v>920</v>
      </c>
      <c r="D116" s="9781"/>
      <c r="E116" s="9781"/>
      <c r="F116" s="9781"/>
      <c r="G116" s="9781"/>
      <c r="H116" s="9781"/>
      <c r="I116" s="9781"/>
      <c r="J116" s="9781"/>
      <c r="K116" s="9781"/>
      <c r="L116" s="9781"/>
      <c r="M116" s="9781"/>
      <c r="N116" s="9781"/>
      <c r="O116" s="9781"/>
      <c r="P116" s="9781"/>
      <c r="Q116" s="9680" t="str">
        <f>IF(A116=0,"",ROUND(SUM(Q88:Q115),0))</f>
        <v/>
      </c>
      <c r="R116" s="9783"/>
      <c r="S116" s="9783"/>
      <c r="T116" s="9681"/>
      <c r="U116" s="9680" t="str">
        <f>IF(A116=0,"",ROUND(SUM(U88:U115),0))</f>
        <v/>
      </c>
      <c r="V116" s="9761"/>
      <c r="W116" s="9761"/>
      <c r="X116" s="9762"/>
      <c r="Y116" s="9769"/>
      <c r="Z116" s="9770"/>
      <c r="AA116" s="9680" t="str">
        <f>IF(A116=0,"",ROUND(SUM(AA88:AA115),0))</f>
        <v/>
      </c>
      <c r="AB116" s="9681"/>
      <c r="AC116" s="9680" t="str">
        <f>IF(A116=0,"",ROUND(SUM(AC88:AC115),0))</f>
        <v/>
      </c>
      <c r="AD116" s="9761"/>
      <c r="AE116" s="9761"/>
      <c r="AF116" s="9761"/>
      <c r="AG116" s="1021"/>
    </row>
    <row r="117" spans="1:55" ht="11.25" customHeight="1">
      <c r="A117" s="1127"/>
      <c r="B117" s="9760"/>
      <c r="C117" s="9782"/>
      <c r="D117" s="9782"/>
      <c r="E117" s="9782"/>
      <c r="F117" s="9782"/>
      <c r="G117" s="9782"/>
      <c r="H117" s="9782"/>
      <c r="I117" s="9782"/>
      <c r="J117" s="9782"/>
      <c r="K117" s="9782"/>
      <c r="L117" s="9782"/>
      <c r="M117" s="9782"/>
      <c r="N117" s="9782"/>
      <c r="O117" s="9782"/>
      <c r="P117" s="9782"/>
      <c r="Q117" s="9682"/>
      <c r="R117" s="9784"/>
      <c r="S117" s="9784"/>
      <c r="T117" s="9683"/>
      <c r="U117" s="9763"/>
      <c r="V117" s="9764"/>
      <c r="W117" s="9764"/>
      <c r="X117" s="9765"/>
      <c r="Y117" s="9771"/>
      <c r="Z117" s="9772"/>
      <c r="AA117" s="9682"/>
      <c r="AB117" s="9683"/>
      <c r="AC117" s="9763"/>
      <c r="AD117" s="9764"/>
      <c r="AE117" s="9764"/>
      <c r="AF117" s="9764"/>
      <c r="AG117" s="1021"/>
    </row>
    <row r="118" spans="1:55" ht="11.25" customHeight="1">
      <c r="A118" s="1127"/>
      <c r="B118" s="9760"/>
      <c r="C118" s="9782"/>
      <c r="D118" s="9782"/>
      <c r="E118" s="9782"/>
      <c r="F118" s="9782"/>
      <c r="G118" s="9782"/>
      <c r="H118" s="9782"/>
      <c r="I118" s="9782"/>
      <c r="J118" s="9782"/>
      <c r="K118" s="9782"/>
      <c r="L118" s="9782"/>
      <c r="M118" s="9782"/>
      <c r="N118" s="9782"/>
      <c r="O118" s="9782"/>
      <c r="P118" s="9782"/>
      <c r="Q118" s="9682"/>
      <c r="R118" s="9784"/>
      <c r="S118" s="9784"/>
      <c r="T118" s="9683"/>
      <c r="U118" s="9763"/>
      <c r="V118" s="9764"/>
      <c r="W118" s="9764"/>
      <c r="X118" s="9765"/>
      <c r="Y118" s="9771"/>
      <c r="Z118" s="9772"/>
      <c r="AA118" s="9682"/>
      <c r="AB118" s="9683"/>
      <c r="AC118" s="9763"/>
      <c r="AD118" s="9764"/>
      <c r="AE118" s="9764"/>
      <c r="AF118" s="9764"/>
      <c r="AG118" s="1021"/>
    </row>
    <row r="119" spans="1:55" ht="11.25" customHeight="1">
      <c r="A119" s="1127"/>
      <c r="B119" s="9760"/>
      <c r="C119" s="9782"/>
      <c r="D119" s="9782"/>
      <c r="E119" s="9782"/>
      <c r="F119" s="9782"/>
      <c r="G119" s="9782"/>
      <c r="H119" s="9782"/>
      <c r="I119" s="9782"/>
      <c r="J119" s="9782"/>
      <c r="K119" s="9782"/>
      <c r="L119" s="9782"/>
      <c r="M119" s="9782"/>
      <c r="N119" s="9782"/>
      <c r="O119" s="9782"/>
      <c r="P119" s="9782"/>
      <c r="Q119" s="9682"/>
      <c r="R119" s="9784"/>
      <c r="S119" s="9784"/>
      <c r="T119" s="9683"/>
      <c r="U119" s="9763"/>
      <c r="V119" s="9764"/>
      <c r="W119" s="9764"/>
      <c r="X119" s="9765"/>
      <c r="Y119" s="9771"/>
      <c r="Z119" s="9772"/>
      <c r="AA119" s="9682"/>
      <c r="AB119" s="9683"/>
      <c r="AC119" s="9763"/>
      <c r="AD119" s="9764"/>
      <c r="AE119" s="9764"/>
      <c r="AF119" s="9764"/>
      <c r="AG119" s="1021"/>
    </row>
    <row r="120" spans="1:55" ht="6" customHeight="1" thickBot="1">
      <c r="A120" s="1127"/>
      <c r="B120" s="9760"/>
      <c r="C120" s="9782"/>
      <c r="D120" s="9782"/>
      <c r="E120" s="9782"/>
      <c r="F120" s="9782"/>
      <c r="G120" s="9782"/>
      <c r="H120" s="9782"/>
      <c r="I120" s="9782"/>
      <c r="J120" s="9782"/>
      <c r="K120" s="9782"/>
      <c r="L120" s="9782"/>
      <c r="M120" s="9782"/>
      <c r="N120" s="9782"/>
      <c r="O120" s="9782"/>
      <c r="P120" s="9782"/>
      <c r="Q120" s="9682"/>
      <c r="R120" s="9784"/>
      <c r="S120" s="9784"/>
      <c r="T120" s="9683"/>
      <c r="U120" s="9766"/>
      <c r="V120" s="9767"/>
      <c r="W120" s="9767"/>
      <c r="X120" s="9768"/>
      <c r="Y120" s="9773"/>
      <c r="Z120" s="9774"/>
      <c r="AA120" s="9684"/>
      <c r="AB120" s="9685"/>
      <c r="AC120" s="9763"/>
      <c r="AD120" s="9764"/>
      <c r="AE120" s="9764"/>
      <c r="AF120" s="9764"/>
      <c r="AG120" s="1021"/>
    </row>
    <row r="121" spans="1:55" ht="25.5" customHeight="1" thickBot="1">
      <c r="A121" s="1127"/>
      <c r="B121" s="9777" t="s">
        <v>1591</v>
      </c>
      <c r="C121" s="9778"/>
      <c r="D121" s="9778"/>
      <c r="E121" s="9778"/>
      <c r="F121" s="9778"/>
      <c r="G121" s="9778"/>
      <c r="H121" s="9778"/>
      <c r="I121" s="9778"/>
      <c r="J121" s="9778"/>
      <c r="K121" s="9778"/>
      <c r="L121" s="9778"/>
      <c r="M121" s="9778"/>
      <c r="N121" s="9778"/>
      <c r="O121" s="9778"/>
      <c r="P121" s="9778"/>
      <c r="Q121" s="9778"/>
      <c r="R121" s="9778"/>
      <c r="S121" s="9778"/>
      <c r="T121" s="9778"/>
      <c r="U121" s="9779"/>
      <c r="V121" s="9779"/>
      <c r="W121" s="9779"/>
      <c r="X121" s="9779"/>
      <c r="Y121" s="9778"/>
      <c r="Z121" s="9778"/>
      <c r="AA121" s="9778"/>
      <c r="AB121" s="9778"/>
      <c r="AC121" s="9778"/>
      <c r="AD121" s="9778"/>
      <c r="AE121" s="9778"/>
      <c r="AF121" s="9778"/>
      <c r="AG121" s="1021"/>
    </row>
    <row r="122" spans="1:55" ht="14.25" customHeight="1" thickTop="1">
      <c r="A122" s="1127"/>
      <c r="B122" s="4759" t="s">
        <v>484</v>
      </c>
      <c r="C122" s="23"/>
      <c r="D122" s="23"/>
      <c r="E122" s="23"/>
      <c r="F122" s="23"/>
      <c r="G122" s="23"/>
      <c r="H122" s="23"/>
      <c r="I122" s="23"/>
      <c r="J122" s="23"/>
      <c r="K122" s="23"/>
      <c r="L122" s="23"/>
      <c r="M122" s="23"/>
      <c r="N122" s="23"/>
      <c r="O122" s="23"/>
      <c r="P122" s="23"/>
      <c r="Q122" s="23"/>
      <c r="R122" s="23"/>
      <c r="S122" s="23"/>
      <c r="T122" s="23"/>
      <c r="U122" s="501" t="s">
        <v>621</v>
      </c>
      <c r="V122" s="23"/>
      <c r="W122" s="23"/>
      <c r="X122" s="23"/>
      <c r="Y122" s="23"/>
      <c r="Z122" s="23"/>
      <c r="AA122" s="23"/>
      <c r="AB122" s="23"/>
      <c r="AC122" s="23"/>
      <c r="AD122" s="1035" t="s">
        <v>632</v>
      </c>
      <c r="AE122" s="23"/>
      <c r="AF122" s="3559" t="str">
        <f>"("&amp;TaxYear&amp;")"</f>
        <v>(2021)</v>
      </c>
      <c r="AG122" s="1021"/>
    </row>
    <row r="123" spans="1:55">
      <c r="A123" s="1127"/>
      <c r="B123" s="1127"/>
      <c r="C123" s="1127"/>
      <c r="D123" s="1127"/>
      <c r="E123" s="1127"/>
      <c r="F123" s="1127"/>
      <c r="G123" s="1127"/>
      <c r="H123" s="1127"/>
      <c r="I123" s="1127"/>
      <c r="J123" s="1127"/>
      <c r="K123" s="1127"/>
      <c r="L123" s="1127"/>
      <c r="M123" s="1127"/>
      <c r="N123" s="1127"/>
      <c r="O123" s="1127"/>
      <c r="P123" s="1127"/>
      <c r="Q123" s="1127"/>
      <c r="R123" s="1127"/>
      <c r="S123" s="1127"/>
      <c r="T123" s="1127"/>
      <c r="U123" s="1127"/>
      <c r="V123" s="1127"/>
      <c r="W123" s="1127"/>
      <c r="X123" s="1127"/>
      <c r="Y123" s="1127"/>
      <c r="Z123" s="1127"/>
      <c r="AA123" s="1127"/>
      <c r="AB123" s="1127"/>
      <c r="AC123" s="1127"/>
      <c r="AD123" s="1127"/>
      <c r="AE123" s="1127"/>
      <c r="AF123" s="1127"/>
      <c r="AG123" s="1021"/>
    </row>
  </sheetData>
  <sheetProtection algorithmName="SHA-512" hashValue="7NfzY1320OTl2cFvV9r5EkP7005wg7aVcA80JCu+1UsDDl/TEVLeSingRy9p73lVc+NVwqC1Qatd2Er5K339lQ==" saltValue="1Tf1B/V0gcVPRKlvDeONOA==" spinCount="100000" sheet="1" objects="1" scenarios="1"/>
  <mergeCells count="472">
    <mergeCell ref="BA23:BA34"/>
    <mergeCell ref="BB23:BB34"/>
    <mergeCell ref="BC23:BC34"/>
    <mergeCell ref="R82:AE82"/>
    <mergeCell ref="R28:AE28"/>
    <mergeCell ref="R29:AE29"/>
    <mergeCell ref="B11:U11"/>
    <mergeCell ref="V11:AF11"/>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 ref="U35:X35"/>
    <mergeCell ref="AJ25:AQ25"/>
    <mergeCell ref="B2:K2"/>
    <mergeCell ref="B4:F6"/>
    <mergeCell ref="H4:AA6"/>
    <mergeCell ref="AB4:AF4"/>
    <mergeCell ref="AB5:AF7"/>
    <mergeCell ref="H7:AA7"/>
    <mergeCell ref="B16:C16"/>
    <mergeCell ref="Y35:Z35"/>
    <mergeCell ref="B12:AF14"/>
    <mergeCell ref="H8:AA9"/>
    <mergeCell ref="AB8:AD9"/>
    <mergeCell ref="AE8:AF9"/>
    <mergeCell ref="AJ27:AQ27"/>
    <mergeCell ref="AJ29:AQ29"/>
    <mergeCell ref="B31:B34"/>
    <mergeCell ref="C31:I34"/>
    <mergeCell ref="J31:L34"/>
    <mergeCell ref="M31:P34"/>
    <mergeCell ref="Q31:T34"/>
    <mergeCell ref="AM31:AM34"/>
    <mergeCell ref="AN31:AN34"/>
    <mergeCell ref="AO31:AP32"/>
    <mergeCell ref="AQ31:AQ34"/>
    <mergeCell ref="Y33:Z34"/>
    <mergeCell ref="AA33:AB34"/>
    <mergeCell ref="AO33:AO34"/>
    <mergeCell ref="AP33:AP34"/>
    <mergeCell ref="U31:X34"/>
    <mergeCell ref="Y31:AB32"/>
    <mergeCell ref="AC31:AF34"/>
    <mergeCell ref="AJ31:AJ34"/>
    <mergeCell ref="AK31:AK34"/>
    <mergeCell ref="AL31:AL34"/>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B65:AF67"/>
    <mergeCell ref="AA53:AB53"/>
    <mergeCell ref="AC53:AF53"/>
    <mergeCell ref="B54:I54"/>
    <mergeCell ref="J54:L54"/>
    <mergeCell ref="M54:P54"/>
    <mergeCell ref="Q54:T54"/>
    <mergeCell ref="U54:X54"/>
    <mergeCell ref="Y54:Z54"/>
    <mergeCell ref="AA54:AB54"/>
    <mergeCell ref="AC54:AF54"/>
    <mergeCell ref="B53:I53"/>
    <mergeCell ref="J53:L53"/>
    <mergeCell ref="M53:P53"/>
    <mergeCell ref="Q53:T53"/>
    <mergeCell ref="U53:X53"/>
    <mergeCell ref="Y53:Z53"/>
    <mergeCell ref="AC55:AF59"/>
    <mergeCell ref="B60:AF60"/>
    <mergeCell ref="B64:U64"/>
    <mergeCell ref="V64:AF64"/>
    <mergeCell ref="B55:B59"/>
    <mergeCell ref="C55:P59"/>
    <mergeCell ref="Q55:T59"/>
    <mergeCell ref="U55:X59"/>
    <mergeCell ref="Y55:Z59"/>
    <mergeCell ref="AA55:AB59"/>
    <mergeCell ref="B69:C69"/>
    <mergeCell ref="AJ78:AQ78"/>
    <mergeCell ref="AJ80:AQ80"/>
    <mergeCell ref="AJ82:AQ82"/>
    <mergeCell ref="B84:B87"/>
    <mergeCell ref="C84:I87"/>
    <mergeCell ref="J84:L87"/>
    <mergeCell ref="M84:P87"/>
    <mergeCell ref="Q84:T87"/>
    <mergeCell ref="AM84:AM87"/>
    <mergeCell ref="AN84:AN87"/>
    <mergeCell ref="AO84:AP85"/>
    <mergeCell ref="AQ84:AQ87"/>
    <mergeCell ref="Y86:Z87"/>
    <mergeCell ref="AA86:AB87"/>
    <mergeCell ref="AO86:AO87"/>
    <mergeCell ref="AP86:AP87"/>
    <mergeCell ref="U84:X87"/>
    <mergeCell ref="Y84:AB85"/>
    <mergeCell ref="AC84:AF87"/>
    <mergeCell ref="AJ84:AJ87"/>
    <mergeCell ref="AK84:AK87"/>
    <mergeCell ref="AL84:AL87"/>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10:AB110"/>
    <mergeCell ref="AC110:AF110"/>
    <mergeCell ref="B111:I111"/>
    <mergeCell ref="J111:L111"/>
    <mergeCell ref="M111:P111"/>
    <mergeCell ref="Q111:T111"/>
    <mergeCell ref="U111:X111"/>
    <mergeCell ref="Y111:Z111"/>
    <mergeCell ref="AA111:AB111"/>
    <mergeCell ref="AC111:AF111"/>
    <mergeCell ref="B110:I110"/>
    <mergeCell ref="J110:L110"/>
    <mergeCell ref="M110:P110"/>
    <mergeCell ref="Q110:T110"/>
    <mergeCell ref="U110:X110"/>
    <mergeCell ref="Y110:Z110"/>
    <mergeCell ref="J114:L114"/>
    <mergeCell ref="M114:P114"/>
    <mergeCell ref="Q114:T114"/>
    <mergeCell ref="U114:X114"/>
    <mergeCell ref="Y114:Z114"/>
    <mergeCell ref="AA112:AB112"/>
    <mergeCell ref="AC112:AF112"/>
    <mergeCell ref="B113:I113"/>
    <mergeCell ref="J113:L113"/>
    <mergeCell ref="M113:P113"/>
    <mergeCell ref="Q113:T113"/>
    <mergeCell ref="U113:X113"/>
    <mergeCell ref="Y113:Z113"/>
    <mergeCell ref="AA113:AB113"/>
    <mergeCell ref="AC113:AF113"/>
    <mergeCell ref="B112:I112"/>
    <mergeCell ref="J112:L112"/>
    <mergeCell ref="M112:P112"/>
    <mergeCell ref="Q112:T112"/>
    <mergeCell ref="U112:X112"/>
    <mergeCell ref="Y112:Z112"/>
    <mergeCell ref="BA22:BC22"/>
    <mergeCell ref="BA75:BC75"/>
    <mergeCell ref="BA76:BA87"/>
    <mergeCell ref="BB76:BB87"/>
    <mergeCell ref="BC76:BC87"/>
    <mergeCell ref="AC116:AF120"/>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s>
  <conditionalFormatting sqref="B2">
    <cfRule type="expression" dxfId="260" priority="71" stopIfTrue="1">
      <formula>IF(OR($AG$16,$AG$69),1,0)</formula>
    </cfRule>
  </conditionalFormatting>
  <conditionalFormatting sqref="B21">
    <cfRule type="expression" dxfId="259" priority="11">
      <formula>(A29=0)</formula>
    </cfRule>
  </conditionalFormatting>
  <conditionalFormatting sqref="B74">
    <cfRule type="expression" dxfId="258" priority="6">
      <formula>IF(A82=0,1,0)</formula>
    </cfRule>
  </conditionalFormatting>
  <conditionalFormatting sqref="B11:AF11">
    <cfRule type="expression" dxfId="257" priority="53">
      <formula>IF(NoColor,1,0)</formula>
    </cfRule>
  </conditionalFormatting>
  <conditionalFormatting sqref="B35:AF54">
    <cfRule type="expression" dxfId="256" priority="17">
      <formula>IF(NoColor,1,0)</formula>
    </cfRule>
  </conditionalFormatting>
  <conditionalFormatting sqref="B64:AF64">
    <cfRule type="expression" dxfId="255" priority="35">
      <formula>IF(NoColor,1,0)</formula>
    </cfRule>
  </conditionalFormatting>
  <conditionalFormatting sqref="B88:AF115">
    <cfRule type="expression" dxfId="254" priority="1">
      <formula>IF(NoColor,1,0)</formula>
    </cfRule>
  </conditionalFormatting>
  <conditionalFormatting sqref="C25">
    <cfRule type="expression" dxfId="253" priority="19">
      <formula>IF(NoColor,1,0)</formula>
    </cfRule>
  </conditionalFormatting>
  <conditionalFormatting sqref="C27">
    <cfRule type="expression" dxfId="252" priority="51">
      <formula>IF(NoColor,1,0)</formula>
    </cfRule>
  </conditionalFormatting>
  <conditionalFormatting sqref="C29">
    <cfRule type="expression" dxfId="251" priority="18">
      <formula>IF(NoColor,1,0)</formula>
    </cfRule>
  </conditionalFormatting>
  <conditionalFormatting sqref="C78">
    <cfRule type="expression" dxfId="250" priority="34">
      <formula>IF(NoColor,1,0)</formula>
    </cfRule>
  </conditionalFormatting>
  <conditionalFormatting sqref="C80">
    <cfRule type="expression" dxfId="249" priority="15">
      <formula>IF(NoColor,1,0)</formula>
    </cfRule>
  </conditionalFormatting>
  <conditionalFormatting sqref="C82">
    <cfRule type="expression" dxfId="248" priority="14">
      <formula>IF(NoColor,1,0)</formula>
    </cfRule>
  </conditionalFormatting>
  <conditionalFormatting sqref="J35:J54">
    <cfRule type="expression" dxfId="247" priority="38" stopIfTrue="1">
      <formula>IF(AND($L$2="",AG35&lt;&gt;0),TRUE,FALSE)</formula>
    </cfRule>
  </conditionalFormatting>
  <conditionalFormatting sqref="J88:J115">
    <cfRule type="expression" dxfId="246" priority="30" stopIfTrue="1">
      <formula>IF(AND($L$2="",AG88&lt;&gt;0),TRUE,FALSE)</formula>
    </cfRule>
  </conditionalFormatting>
  <conditionalFormatting sqref="K74">
    <cfRule type="expression" dxfId="245" priority="7">
      <formula>IF($A$82&gt;1,1,0)</formula>
    </cfRule>
  </conditionalFormatting>
  <conditionalFormatting sqref="L2">
    <cfRule type="expression" dxfId="244" priority="70" stopIfTrue="1">
      <formula>IF(OR($AG$16,$AG$69),1,0)</formula>
    </cfRule>
  </conditionalFormatting>
  <conditionalFormatting sqref="L21">
    <cfRule type="expression" dxfId="243" priority="10">
      <formula>($A29&gt;1)</formula>
    </cfRule>
  </conditionalFormatting>
  <conditionalFormatting sqref="M35:M54">
    <cfRule type="expression" dxfId="242" priority="37" stopIfTrue="1">
      <formula>IF(AND($L$2="",AG35&gt;0),TRUE,FALSE)</formula>
    </cfRule>
  </conditionalFormatting>
  <conditionalFormatting sqref="M88:M115">
    <cfRule type="expression" dxfId="241" priority="31" stopIfTrue="1">
      <formula>IF(AND($L$2="",AG88&gt;0),TRUE,FALSE)</formula>
    </cfRule>
  </conditionalFormatting>
  <conditionalFormatting sqref="P69">
    <cfRule type="expression" dxfId="240" priority="4" stopIfTrue="1">
      <formula>IF(AND($L$2="",$AG$69),TRUE,FALSE)</formula>
    </cfRule>
  </conditionalFormatting>
  <conditionalFormatting sqref="Q55:X59">
    <cfRule type="expression" dxfId="239" priority="23">
      <formula>IF(NoColor,1,0)</formula>
    </cfRule>
  </conditionalFormatting>
  <conditionalFormatting sqref="Q116:X120">
    <cfRule type="expression" dxfId="238" priority="21">
      <formula>IF(NoColor,1,0)</formula>
    </cfRule>
  </conditionalFormatting>
  <conditionalFormatting sqref="T16">
    <cfRule type="expression" dxfId="237" priority="5" stopIfTrue="1">
      <formula>IF(AND($L$2="",$AG$16),TRUE,FALSE)</formula>
    </cfRule>
  </conditionalFormatting>
  <conditionalFormatting sqref="T69">
    <cfRule type="expression" dxfId="235" priority="3" stopIfTrue="1">
      <formula>IF(AND($L$2="",$AG$69),TRUE,FALSE)</formula>
    </cfRule>
  </conditionalFormatting>
  <conditionalFormatting sqref="T70">
    <cfRule type="expression" dxfId="234" priority="2" stopIfTrue="1">
      <formula>IF(AND($L$2="",$AG$16),TRUE,FALSE)</formula>
    </cfRule>
  </conditionalFormatting>
  <conditionalFormatting sqref="AA55:AF59">
    <cfRule type="expression" dxfId="232" priority="22">
      <formula>IF(NoColor,1,0)</formula>
    </cfRule>
  </conditionalFormatting>
  <conditionalFormatting sqref="AA116:AF120">
    <cfRule type="expression" dxfId="231" priority="20">
      <formula>IF(NoColor,1,0)</formula>
    </cfRule>
  </conditionalFormatting>
  <printOptions horizontalCentered="1"/>
  <pageMargins left="0.2" right="0.2" top="0.5" bottom="0.5" header="0.3" footer="0.3"/>
  <pageSetup scale="77" fitToHeight="2" orientation="portrait" r:id="rId1"/>
  <rowBreaks count="1" manualBreakCount="1">
    <brk id="61" min="1" max="31" man="1"/>
  </rowBreaks>
  <drawing r:id="rId2"/>
  <extLst>
    <ext xmlns:x14="http://schemas.microsoft.com/office/spreadsheetml/2009/9/main" uri="{78C0D931-6437-407d-A8EE-F0AAD7539E65}">
      <x14:conditionalFormattings>
        <x14:conditionalFormatting xmlns:xm="http://schemas.microsoft.com/office/excel/2006/main">
          <x14:cfRule type="expression" priority="13" stopIfTrue="1" id="{8D0FE8FA-A41F-4963-85DD-83943E3BB0AB}">
            <xm:f>IF(AND('8949A'!$L$2="",'8949A'!$AG$16),TRUE,FALSE)</xm:f>
            <x14:dxf>
              <font>
                <b val="0"/>
                <i val="0"/>
                <color rgb="FFFF0000"/>
              </font>
            </x14:dxf>
          </x14:cfRule>
          <xm:sqref>T18:T19</xm:sqref>
        </x14:conditionalFormatting>
        <x14:conditionalFormatting xmlns:xm="http://schemas.microsoft.com/office/excel/2006/main">
          <x14:cfRule type="expression" priority="12" stopIfTrue="1" id="{A592C3FD-D5A1-4036-B0CA-3734C6869B7F}">
            <xm:f>IF(AND('8949A'!$L$2="",'8949A'!$AG$16),TRUE,FALSE)</xm:f>
            <x14:dxf>
              <font>
                <b val="0"/>
                <i val="0"/>
                <color rgb="FFFF0000"/>
              </font>
            </x14:dxf>
          </x14:cfRule>
          <xm:sqref>T71:T72</xm:sqref>
        </x14:conditionalFormatting>
      </x14:conditionalFormatting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C123"/>
  <sheetViews>
    <sheetView zoomScaleNormal="100" zoomScaleSheetLayoutView="100" workbookViewId="0"/>
  </sheetViews>
  <sheetFormatPr defaultColWidth="3.7109375" defaultRowHeight="12.75"/>
  <cols>
    <col min="1" max="1" width="3.7109375" style="1098" customWidth="1"/>
    <col min="2" max="2" width="4.140625" style="42" customWidth="1"/>
    <col min="3" max="3" width="2.28515625" style="42" customWidth="1"/>
    <col min="4" max="9" width="3.7109375" style="42" customWidth="1"/>
    <col min="10" max="10" width="4" style="42" customWidth="1"/>
    <col min="11" max="11" width="6.85546875" style="42" customWidth="1"/>
    <col min="12" max="12" width="4" style="42" customWidth="1"/>
    <col min="13" max="19" width="3.7109375" style="42" customWidth="1"/>
    <col min="20" max="23" width="3.85546875" style="42" customWidth="1"/>
    <col min="24" max="24" width="3.7109375" style="42" customWidth="1"/>
    <col min="25" max="26" width="5.42578125" style="42" customWidth="1"/>
    <col min="27" max="27" width="8.42578125" style="42" customWidth="1"/>
    <col min="28" max="28" width="6.42578125" style="42" customWidth="1"/>
    <col min="29" max="32" width="3.7109375" style="42" customWidth="1"/>
    <col min="33" max="33" width="6" style="1090" customWidth="1"/>
    <col min="34" max="34" width="4.85546875" style="313" customWidth="1"/>
    <col min="35" max="35" width="8.5703125" style="313" bestFit="1" customWidth="1"/>
    <col min="36" max="36" width="29.28515625" style="42" customWidth="1"/>
    <col min="37" max="40" width="13.7109375" style="42" customWidth="1"/>
    <col min="41" max="41" width="10" style="42" customWidth="1"/>
    <col min="42" max="42" width="15.5703125" style="42" customWidth="1"/>
    <col min="43" max="43" width="15.42578125" style="42" customWidth="1"/>
    <col min="44" max="44" width="3.7109375" style="42"/>
    <col min="45" max="46" width="5" style="42" hidden="1" customWidth="1"/>
    <col min="47" max="47" width="0" style="42" hidden="1" customWidth="1"/>
    <col min="48" max="48" width="1.7109375" style="42" hidden="1" customWidth="1"/>
    <col min="49" max="49" width="5" style="42" hidden="1" customWidth="1"/>
    <col min="50" max="52" width="0" style="42" hidden="1" customWidth="1"/>
    <col min="53" max="55" width="7" style="42" hidden="1" customWidth="1"/>
    <col min="56" max="16384" width="3.7109375" style="42"/>
  </cols>
  <sheetData>
    <row r="1" spans="1:34">
      <c r="A1" s="1127"/>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row>
    <row r="2" spans="1:34">
      <c r="A2" s="78"/>
      <c r="B2" s="9709" t="s">
        <v>710</v>
      </c>
      <c r="C2" s="9710"/>
      <c r="D2" s="9710"/>
      <c r="E2" s="9710"/>
      <c r="F2" s="9710"/>
      <c r="G2" s="9710"/>
      <c r="H2" s="9710"/>
      <c r="I2" s="9710"/>
      <c r="J2" s="9710"/>
      <c r="K2" s="9710"/>
      <c r="L2" s="1161"/>
      <c r="M2" s="78"/>
      <c r="N2" s="78"/>
      <c r="O2" s="78"/>
      <c r="P2" s="78"/>
      <c r="Q2" s="78"/>
      <c r="R2" s="78"/>
      <c r="S2" s="78"/>
      <c r="T2" s="78"/>
      <c r="U2" s="78"/>
      <c r="V2" s="78"/>
      <c r="W2" s="78"/>
      <c r="X2" s="78"/>
      <c r="Y2" s="78"/>
      <c r="Z2" s="78"/>
      <c r="AA2" s="1009"/>
      <c r="AB2" s="78"/>
      <c r="AC2" s="78"/>
      <c r="AD2" s="78"/>
      <c r="AE2" s="78"/>
      <c r="AF2" s="78"/>
      <c r="AG2" s="1127"/>
    </row>
    <row r="3" spans="1:34">
      <c r="A3" s="1127"/>
      <c r="B3" s="1127"/>
      <c r="C3" s="1127"/>
      <c r="D3" s="1127"/>
      <c r="E3" s="1127"/>
      <c r="F3" s="1127"/>
      <c r="G3" s="1127"/>
      <c r="H3" s="1127"/>
      <c r="I3" s="1127"/>
      <c r="J3" s="1127"/>
      <c r="K3" s="1127"/>
      <c r="L3" s="1127"/>
      <c r="M3" s="1127"/>
      <c r="N3" s="1127"/>
      <c r="O3" s="1127"/>
      <c r="P3" s="1127"/>
      <c r="Q3" s="1127"/>
      <c r="R3" s="1127"/>
      <c r="S3" s="1127"/>
      <c r="T3" s="1127"/>
      <c r="U3" s="1127"/>
      <c r="V3" s="1127"/>
      <c r="W3" s="1127"/>
      <c r="X3" s="1127"/>
      <c r="Y3" s="1127"/>
      <c r="Z3" s="1127"/>
      <c r="AA3" s="1127"/>
      <c r="AB3" s="1127"/>
      <c r="AC3" s="1127"/>
      <c r="AD3" s="1127"/>
      <c r="AE3" s="1127"/>
      <c r="AF3" s="1127"/>
      <c r="AG3" s="1127"/>
    </row>
    <row r="4" spans="1:34" ht="11.25" customHeight="1">
      <c r="A4" s="1127"/>
      <c r="B4" s="9711" t="s">
        <v>618</v>
      </c>
      <c r="C4" s="8624"/>
      <c r="D4" s="8624"/>
      <c r="E4" s="8624"/>
      <c r="F4" s="8624"/>
      <c r="G4" s="23"/>
      <c r="H4" s="9719" t="s">
        <v>619</v>
      </c>
      <c r="I4" s="9720"/>
      <c r="J4" s="9720"/>
      <c r="K4" s="9720"/>
      <c r="L4" s="9720"/>
      <c r="M4" s="9720"/>
      <c r="N4" s="9720"/>
      <c r="O4" s="9720"/>
      <c r="P4" s="9720"/>
      <c r="Q4" s="9720"/>
      <c r="R4" s="9720"/>
      <c r="S4" s="9720"/>
      <c r="T4" s="9720"/>
      <c r="U4" s="9720"/>
      <c r="V4" s="9720"/>
      <c r="W4" s="9720"/>
      <c r="X4" s="9720"/>
      <c r="Y4" s="9720"/>
      <c r="Z4" s="9720"/>
      <c r="AA4" s="9721"/>
      <c r="AB4" s="9712" t="s">
        <v>152</v>
      </c>
      <c r="AC4" s="8628"/>
      <c r="AD4" s="8628"/>
      <c r="AE4" s="8628"/>
      <c r="AF4" s="8628"/>
      <c r="AG4" s="1127"/>
      <c r="AH4" s="1091"/>
    </row>
    <row r="5" spans="1:34" ht="11.25" customHeight="1">
      <c r="A5" s="1127"/>
      <c r="B5" s="8624"/>
      <c r="C5" s="8624"/>
      <c r="D5" s="8624"/>
      <c r="E5" s="8624"/>
      <c r="F5" s="8624"/>
      <c r="G5" s="23"/>
      <c r="H5" s="9722"/>
      <c r="I5" s="9720"/>
      <c r="J5" s="9720"/>
      <c r="K5" s="9720"/>
      <c r="L5" s="9720"/>
      <c r="M5" s="9720"/>
      <c r="N5" s="9720"/>
      <c r="O5" s="9720"/>
      <c r="P5" s="9720"/>
      <c r="Q5" s="9720"/>
      <c r="R5" s="9720"/>
      <c r="S5" s="9720"/>
      <c r="T5" s="9720"/>
      <c r="U5" s="9720"/>
      <c r="V5" s="9720"/>
      <c r="W5" s="9720"/>
      <c r="X5" s="9720"/>
      <c r="Y5" s="9720"/>
      <c r="Z5" s="9720"/>
      <c r="AA5" s="9721"/>
      <c r="AB5" s="9713">
        <f>TaxYear</f>
        <v>2021</v>
      </c>
      <c r="AC5" s="8624"/>
      <c r="AD5" s="8624"/>
      <c r="AE5" s="8624"/>
      <c r="AF5" s="8624"/>
      <c r="AG5" s="1127"/>
      <c r="AH5" s="1091"/>
    </row>
    <row r="6" spans="1:34" ht="11.25" customHeight="1">
      <c r="A6" s="1127"/>
      <c r="B6" s="8624"/>
      <c r="C6" s="8624"/>
      <c r="D6" s="8624"/>
      <c r="E6" s="8624"/>
      <c r="F6" s="8624"/>
      <c r="G6" s="23"/>
      <c r="H6" s="9180"/>
      <c r="I6" s="6371"/>
      <c r="J6" s="6371"/>
      <c r="K6" s="6371"/>
      <c r="L6" s="6371"/>
      <c r="M6" s="6371"/>
      <c r="N6" s="6371"/>
      <c r="O6" s="6371"/>
      <c r="P6" s="6371"/>
      <c r="Q6" s="6371"/>
      <c r="R6" s="6371"/>
      <c r="S6" s="6371"/>
      <c r="T6" s="6371"/>
      <c r="U6" s="6371"/>
      <c r="V6" s="6371"/>
      <c r="W6" s="6371"/>
      <c r="X6" s="6371"/>
      <c r="Y6" s="6371"/>
      <c r="Z6" s="6371"/>
      <c r="AA6" s="8426"/>
      <c r="AB6" s="8624"/>
      <c r="AC6" s="8624"/>
      <c r="AD6" s="8624"/>
      <c r="AE6" s="8624"/>
      <c r="AF6" s="8624"/>
      <c r="AG6" s="1127"/>
      <c r="AH6" s="1089"/>
    </row>
    <row r="7" spans="1:34" ht="11.25" customHeight="1">
      <c r="A7" s="1127"/>
      <c r="B7" s="23"/>
      <c r="C7" s="23"/>
      <c r="D7" s="23"/>
      <c r="E7" s="23"/>
      <c r="F7" s="23"/>
      <c r="G7" s="23"/>
      <c r="H7" s="9729" t="s">
        <v>2052</v>
      </c>
      <c r="I7" s="9730"/>
      <c r="J7" s="9730"/>
      <c r="K7" s="9730"/>
      <c r="L7" s="9730"/>
      <c r="M7" s="9730"/>
      <c r="N7" s="9730"/>
      <c r="O7" s="9730"/>
      <c r="P7" s="9730"/>
      <c r="Q7" s="9730"/>
      <c r="R7" s="9730"/>
      <c r="S7" s="9730"/>
      <c r="T7" s="9730"/>
      <c r="U7" s="9730"/>
      <c r="V7" s="9730"/>
      <c r="W7" s="9730"/>
      <c r="X7" s="9730"/>
      <c r="Y7" s="9730"/>
      <c r="Z7" s="9730"/>
      <c r="AA7" s="9731"/>
      <c r="AB7" s="8624"/>
      <c r="AC7" s="8624"/>
      <c r="AD7" s="8624"/>
      <c r="AE7" s="8624"/>
      <c r="AF7" s="8624"/>
      <c r="AG7" s="1127"/>
    </row>
    <row r="8" spans="1:34" ht="10.5" customHeight="1">
      <c r="A8" s="1127"/>
      <c r="B8" s="30" t="s">
        <v>176</v>
      </c>
      <c r="C8" s="23"/>
      <c r="D8" s="23"/>
      <c r="E8" s="23"/>
      <c r="F8" s="23"/>
      <c r="G8" s="23"/>
      <c r="H8" s="9729" t="s">
        <v>1049</v>
      </c>
      <c r="I8" s="9730"/>
      <c r="J8" s="9730"/>
      <c r="K8" s="9730"/>
      <c r="L8" s="9730"/>
      <c r="M8" s="9730"/>
      <c r="N8" s="9730"/>
      <c r="O8" s="9730"/>
      <c r="P8" s="9730"/>
      <c r="Q8" s="9730"/>
      <c r="R8" s="9730"/>
      <c r="S8" s="9730"/>
      <c r="T8" s="9730"/>
      <c r="U8" s="9730"/>
      <c r="V8" s="9730"/>
      <c r="W8" s="9730"/>
      <c r="X8" s="9730"/>
      <c r="Y8" s="9730"/>
      <c r="Z8" s="9730"/>
      <c r="AA8" s="9731"/>
      <c r="AB8" s="9752" t="s">
        <v>2729</v>
      </c>
      <c r="AC8" s="6451"/>
      <c r="AD8" s="6451"/>
      <c r="AE8" s="7834" t="s">
        <v>2806</v>
      </c>
      <c r="AF8" s="7834"/>
      <c r="AG8" s="1127"/>
    </row>
    <row r="9" spans="1:34" ht="10.5" customHeight="1" thickBot="1">
      <c r="A9" s="1127"/>
      <c r="B9" s="29" t="s">
        <v>395</v>
      </c>
      <c r="C9" s="36"/>
      <c r="D9" s="36"/>
      <c r="E9" s="36"/>
      <c r="F9" s="36"/>
      <c r="G9" s="36"/>
      <c r="H9" s="9798"/>
      <c r="I9" s="9799"/>
      <c r="J9" s="9799"/>
      <c r="K9" s="9799"/>
      <c r="L9" s="9799"/>
      <c r="M9" s="9799"/>
      <c r="N9" s="9799"/>
      <c r="O9" s="9799"/>
      <c r="P9" s="9799"/>
      <c r="Q9" s="9799"/>
      <c r="R9" s="9799"/>
      <c r="S9" s="9799"/>
      <c r="T9" s="9799"/>
      <c r="U9" s="9799"/>
      <c r="V9" s="9799"/>
      <c r="W9" s="9799"/>
      <c r="X9" s="9799"/>
      <c r="Y9" s="9799"/>
      <c r="Z9" s="9799"/>
      <c r="AA9" s="9800"/>
      <c r="AB9" s="9796"/>
      <c r="AC9" s="9797"/>
      <c r="AD9" s="9797"/>
      <c r="AE9" s="7835"/>
      <c r="AF9" s="7835"/>
      <c r="AG9" s="1127"/>
    </row>
    <row r="10" spans="1:34">
      <c r="A10" s="1127"/>
      <c r="B10" s="30" t="s">
        <v>55</v>
      </c>
      <c r="C10" s="23"/>
      <c r="D10" s="23"/>
      <c r="E10" s="23"/>
      <c r="F10" s="23"/>
      <c r="G10" s="23"/>
      <c r="H10" s="23"/>
      <c r="I10" s="23"/>
      <c r="J10" s="23"/>
      <c r="K10" s="23"/>
      <c r="L10" s="23"/>
      <c r="M10" s="23"/>
      <c r="N10" s="23"/>
      <c r="O10" s="23"/>
      <c r="P10" s="23"/>
      <c r="Q10" s="23"/>
      <c r="R10" s="23"/>
      <c r="S10" s="23"/>
      <c r="T10" s="23"/>
      <c r="U10" s="23"/>
      <c r="V10" s="1236" t="s">
        <v>735</v>
      </c>
      <c r="W10" s="23"/>
      <c r="X10" s="23"/>
      <c r="Y10" s="23"/>
      <c r="Z10" s="34"/>
      <c r="AA10" s="23"/>
      <c r="AB10" s="23"/>
      <c r="AC10" s="23"/>
      <c r="AD10" s="23"/>
      <c r="AE10" s="23"/>
      <c r="AF10" s="23"/>
      <c r="AG10" s="1127"/>
    </row>
    <row r="11" spans="1:34" ht="16.5" thickBot="1">
      <c r="A11" s="1127"/>
      <c r="B11" s="9716" t="str">
        <f>Names</f>
        <v/>
      </c>
      <c r="C11" s="9717"/>
      <c r="D11" s="9717"/>
      <c r="E11" s="9717"/>
      <c r="F11" s="9717"/>
      <c r="G11" s="9717"/>
      <c r="H11" s="9717"/>
      <c r="I11" s="9717"/>
      <c r="J11" s="9717"/>
      <c r="K11" s="9717"/>
      <c r="L11" s="9717"/>
      <c r="M11" s="9717"/>
      <c r="N11" s="9717"/>
      <c r="O11" s="9717"/>
      <c r="P11" s="9717"/>
      <c r="Q11" s="9717"/>
      <c r="R11" s="9717"/>
      <c r="S11" s="9717"/>
      <c r="T11" s="9717"/>
      <c r="U11" s="9718"/>
      <c r="V11" s="9714">
        <f>IF(NoSSN,"",SS_Yours)</f>
        <v>1010001</v>
      </c>
      <c r="W11" s="9715"/>
      <c r="X11" s="9715"/>
      <c r="Y11" s="9715"/>
      <c r="Z11" s="9715"/>
      <c r="AA11" s="9715"/>
      <c r="AB11" s="9715"/>
      <c r="AC11" s="9715"/>
      <c r="AD11" s="9715"/>
      <c r="AE11" s="9715"/>
      <c r="AF11" s="9715"/>
      <c r="AG11" s="1127"/>
    </row>
    <row r="12" spans="1:34" ht="12.75" customHeight="1">
      <c r="A12" s="1127"/>
      <c r="B12" s="9775" t="s">
        <v>1590</v>
      </c>
      <c r="C12" s="9776"/>
      <c r="D12" s="9776"/>
      <c r="E12" s="9776"/>
      <c r="F12" s="9776"/>
      <c r="G12" s="9776"/>
      <c r="H12" s="9776"/>
      <c r="I12" s="9776"/>
      <c r="J12" s="9776"/>
      <c r="K12" s="9776"/>
      <c r="L12" s="9776"/>
      <c r="M12" s="9776"/>
      <c r="N12" s="9776"/>
      <c r="O12" s="9776"/>
      <c r="P12" s="9776"/>
      <c r="Q12" s="9776"/>
      <c r="R12" s="9776"/>
      <c r="S12" s="9776"/>
      <c r="T12" s="9776"/>
      <c r="U12" s="9776"/>
      <c r="V12" s="9776"/>
      <c r="W12" s="9776"/>
      <c r="X12" s="9776"/>
      <c r="Y12" s="9776"/>
      <c r="Z12" s="9776"/>
      <c r="AA12" s="9776"/>
      <c r="AB12" s="9776"/>
      <c r="AC12" s="9776"/>
      <c r="AD12" s="9776"/>
      <c r="AE12" s="9776"/>
      <c r="AF12" s="9776"/>
      <c r="AG12" s="1127"/>
    </row>
    <row r="13" spans="1:34" ht="12.75" customHeight="1">
      <c r="A13" s="1127"/>
      <c r="B13" s="7093"/>
      <c r="C13" s="7093"/>
      <c r="D13" s="7093"/>
      <c r="E13" s="7093"/>
      <c r="F13" s="7093"/>
      <c r="G13" s="7093"/>
      <c r="H13" s="7093"/>
      <c r="I13" s="7093"/>
      <c r="J13" s="7093"/>
      <c r="K13" s="7093"/>
      <c r="L13" s="7093"/>
      <c r="M13" s="7093"/>
      <c r="N13" s="7093"/>
      <c r="O13" s="7093"/>
      <c r="P13" s="7093"/>
      <c r="Q13" s="7093"/>
      <c r="R13" s="7093"/>
      <c r="S13" s="7093"/>
      <c r="T13" s="7093"/>
      <c r="U13" s="7093"/>
      <c r="V13" s="7093"/>
      <c r="W13" s="7093"/>
      <c r="X13" s="7093"/>
      <c r="Y13" s="7093"/>
      <c r="Z13" s="7093"/>
      <c r="AA13" s="7093"/>
      <c r="AB13" s="7093"/>
      <c r="AC13" s="7093"/>
      <c r="AD13" s="7093"/>
      <c r="AE13" s="7093"/>
      <c r="AF13" s="7093"/>
      <c r="AG13" s="1127"/>
    </row>
    <row r="14" spans="1:34" ht="12.75" customHeight="1">
      <c r="A14" s="1127"/>
      <c r="B14" s="7776"/>
      <c r="C14" s="7776"/>
      <c r="D14" s="7776"/>
      <c r="E14" s="7776"/>
      <c r="F14" s="7776"/>
      <c r="G14" s="7776"/>
      <c r="H14" s="7776"/>
      <c r="I14" s="7776"/>
      <c r="J14" s="7776"/>
      <c r="K14" s="7776"/>
      <c r="L14" s="7776"/>
      <c r="M14" s="7776"/>
      <c r="N14" s="7776"/>
      <c r="O14" s="7776"/>
      <c r="P14" s="7776"/>
      <c r="Q14" s="7776"/>
      <c r="R14" s="7776"/>
      <c r="S14" s="7776"/>
      <c r="T14" s="7776"/>
      <c r="U14" s="7776"/>
      <c r="V14" s="7776"/>
      <c r="W14" s="7776"/>
      <c r="X14" s="7776"/>
      <c r="Y14" s="7776"/>
      <c r="Z14" s="7776"/>
      <c r="AA14" s="7776"/>
      <c r="AB14" s="7776"/>
      <c r="AC14" s="7776"/>
      <c r="AD14" s="7776"/>
      <c r="AE14" s="7776"/>
      <c r="AF14" s="7776"/>
      <c r="AG14" s="1127"/>
    </row>
    <row r="15" spans="1:34" ht="3.75" customHeight="1">
      <c r="A15" s="1127"/>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1127"/>
    </row>
    <row r="16" spans="1:34" ht="15">
      <c r="A16" s="1127"/>
      <c r="B16" s="9788" t="s">
        <v>51</v>
      </c>
      <c r="C16" s="9789"/>
      <c r="D16" s="23"/>
      <c r="E16" s="343" t="s">
        <v>2054</v>
      </c>
      <c r="F16" s="23"/>
      <c r="G16" s="23"/>
      <c r="H16" s="23"/>
      <c r="I16" s="23"/>
      <c r="J16" s="23"/>
      <c r="K16" s="23"/>
      <c r="L16" s="23"/>
      <c r="M16" s="23"/>
      <c r="N16" s="23"/>
      <c r="O16" s="23"/>
      <c r="P16" s="23"/>
      <c r="Q16" s="23"/>
      <c r="R16" s="23"/>
      <c r="S16" s="23"/>
      <c r="T16" s="412" t="s">
        <v>2053</v>
      </c>
      <c r="U16" s="23"/>
      <c r="V16" s="23"/>
      <c r="W16" s="23"/>
      <c r="X16" s="412" t="s">
        <v>2813</v>
      </c>
      <c r="Y16" s="23"/>
      <c r="Z16" s="23"/>
      <c r="AA16" s="23"/>
      <c r="AB16" s="23"/>
      <c r="AC16" s="23"/>
      <c r="AD16" s="23"/>
      <c r="AE16" s="23"/>
      <c r="AF16" s="23"/>
      <c r="AG16" s="1127" t="b">
        <f>IF(SUM(AG35:AG54)&gt;0,TRUE,FALSE)</f>
        <v>0</v>
      </c>
    </row>
    <row r="17" spans="1:55" ht="11.25" customHeight="1">
      <c r="A17" s="1127"/>
      <c r="B17" s="23"/>
      <c r="C17" s="23"/>
      <c r="D17" s="23"/>
      <c r="E17" s="412" t="s">
        <v>2807</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1127"/>
    </row>
    <row r="18" spans="1:55" s="262" customFormat="1" ht="13.5" customHeight="1">
      <c r="A18" s="2667"/>
      <c r="B18" s="412"/>
      <c r="C18" s="412"/>
      <c r="D18" s="412"/>
      <c r="E18" s="2668" t="s">
        <v>2055</v>
      </c>
      <c r="F18" s="412"/>
      <c r="G18" s="412"/>
      <c r="H18" s="412"/>
      <c r="I18" s="412"/>
      <c r="J18" s="412"/>
      <c r="K18" s="412"/>
      <c r="L18" s="412"/>
      <c r="M18" s="412"/>
      <c r="N18" s="412"/>
      <c r="O18" s="412"/>
      <c r="P18" s="412"/>
      <c r="Q18" s="412"/>
      <c r="R18" s="412"/>
      <c r="S18" s="412"/>
      <c r="T18" s="412"/>
      <c r="U18" s="412"/>
      <c r="V18" s="412"/>
      <c r="W18" s="412"/>
      <c r="X18" s="412"/>
      <c r="Y18" s="412"/>
      <c r="Z18" s="412"/>
      <c r="AA18" s="412"/>
      <c r="AB18" s="412"/>
      <c r="AC18" s="412"/>
      <c r="AD18" s="412"/>
      <c r="AE18" s="412"/>
      <c r="AF18" s="412"/>
      <c r="AG18" s="2667"/>
      <c r="AH18" s="982"/>
      <c r="AI18" s="982"/>
    </row>
    <row r="19" spans="1:55" s="262" customFormat="1" ht="13.5" customHeight="1">
      <c r="A19" s="2667"/>
      <c r="B19" s="412"/>
      <c r="C19" s="412"/>
      <c r="D19" s="412"/>
      <c r="E19" s="412" t="s">
        <v>816</v>
      </c>
      <c r="F19" s="412"/>
      <c r="G19" s="412"/>
      <c r="H19" s="412"/>
      <c r="I19" s="412"/>
      <c r="J19" s="412"/>
      <c r="K19" s="412"/>
      <c r="L19" s="412"/>
      <c r="M19" s="412"/>
      <c r="N19" s="412"/>
      <c r="O19" s="412"/>
      <c r="P19" s="412"/>
      <c r="Q19" s="412"/>
      <c r="R19" s="412"/>
      <c r="S19" s="412"/>
      <c r="T19" s="412"/>
      <c r="U19" s="412"/>
      <c r="V19" s="412"/>
      <c r="W19" s="412"/>
      <c r="X19" s="412"/>
      <c r="Y19" s="412"/>
      <c r="Z19" s="412"/>
      <c r="AA19" s="412"/>
      <c r="AB19" s="412"/>
      <c r="AC19" s="412"/>
      <c r="AD19" s="412"/>
      <c r="AE19" s="412"/>
      <c r="AF19" s="412"/>
      <c r="AG19" s="2667"/>
      <c r="AH19" s="982"/>
      <c r="AI19" s="982"/>
    </row>
    <row r="20" spans="1:55" s="262" customFormat="1" ht="13.5" customHeight="1">
      <c r="A20" s="2667"/>
      <c r="B20" s="2669"/>
      <c r="C20" s="2669"/>
      <c r="D20" s="2669"/>
      <c r="E20" s="2669" t="s">
        <v>2808</v>
      </c>
      <c r="F20" s="2669"/>
      <c r="G20" s="2669"/>
      <c r="H20" s="2669"/>
      <c r="I20" s="2669"/>
      <c r="J20" s="2669"/>
      <c r="K20" s="2669"/>
      <c r="L20" s="2669"/>
      <c r="M20" s="2669"/>
      <c r="N20" s="2669"/>
      <c r="O20" s="2669"/>
      <c r="P20" s="2669"/>
      <c r="Q20" s="2669"/>
      <c r="R20" s="2669"/>
      <c r="S20" s="2669"/>
      <c r="T20" s="2669"/>
      <c r="U20" s="2669"/>
      <c r="V20" s="2669"/>
      <c r="W20" s="2669"/>
      <c r="X20" s="2669"/>
      <c r="Y20" s="2669"/>
      <c r="Z20" s="2669"/>
      <c r="AA20" s="2669"/>
      <c r="AB20" s="2669"/>
      <c r="AC20" s="2669"/>
      <c r="AD20" s="2669"/>
      <c r="AE20" s="2669"/>
      <c r="AF20" s="2669"/>
      <c r="AG20" s="2667"/>
      <c r="AH20" s="982"/>
      <c r="AI20" s="982"/>
    </row>
    <row r="21" spans="1:55">
      <c r="A21" s="1127"/>
      <c r="B21" s="278" t="s">
        <v>725</v>
      </c>
      <c r="C21" s="56"/>
      <c r="D21" s="56"/>
      <c r="E21" s="56"/>
      <c r="F21" s="56"/>
      <c r="G21" s="56"/>
      <c r="H21" s="56"/>
      <c r="I21" s="56"/>
      <c r="J21" s="56"/>
      <c r="K21" s="278"/>
      <c r="L21" s="278" t="s">
        <v>724</v>
      </c>
      <c r="M21" s="56"/>
      <c r="N21" s="56"/>
      <c r="O21" s="56"/>
      <c r="P21" s="56"/>
      <c r="Q21" s="70" t="s">
        <v>723</v>
      </c>
      <c r="R21" s="56"/>
      <c r="S21" s="56"/>
      <c r="T21" s="56"/>
      <c r="U21" s="56"/>
      <c r="V21" s="56"/>
      <c r="W21" s="56"/>
      <c r="X21" s="56"/>
      <c r="Y21" s="56"/>
      <c r="Z21" s="56"/>
      <c r="AA21" s="56"/>
      <c r="AB21" s="56"/>
      <c r="AC21" s="56"/>
      <c r="AD21" s="56"/>
      <c r="AE21" s="56"/>
      <c r="AF21" s="56"/>
      <c r="AG21" s="1127"/>
    </row>
    <row r="22" spans="1:55">
      <c r="A22" s="1127"/>
      <c r="B22" s="70" t="s">
        <v>721</v>
      </c>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1127"/>
      <c r="BA22" s="9699" t="s">
        <v>780</v>
      </c>
      <c r="BB22" s="6206"/>
      <c r="BC22" s="7198"/>
    </row>
    <row r="23" spans="1:55">
      <c r="A23" s="1127"/>
      <c r="B23" s="70" t="s">
        <v>722</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1127"/>
      <c r="BA23" s="9700" t="s">
        <v>779</v>
      </c>
      <c r="BB23" s="9700" t="s">
        <v>770</v>
      </c>
      <c r="BC23" s="9700" t="s">
        <v>771</v>
      </c>
    </row>
    <row r="24" spans="1:55" ht="4.5" customHeight="1" thickBot="1">
      <c r="A24" s="112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1127"/>
      <c r="BA24" s="9701"/>
      <c r="BB24" s="9701"/>
      <c r="BC24" s="9701"/>
    </row>
    <row r="25" spans="1:55" ht="12" customHeight="1" thickBot="1">
      <c r="A25" s="1127"/>
      <c r="B25" s="1258">
        <f>IF(C25&lt;&gt;"",1,0)</f>
        <v>0</v>
      </c>
      <c r="C25" s="1257"/>
      <c r="D25" s="999" t="s">
        <v>2810</v>
      </c>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1127"/>
      <c r="AJ25" s="9694"/>
      <c r="AK25" s="9695"/>
      <c r="AL25" s="9695"/>
      <c r="AM25" s="9695"/>
      <c r="AN25" s="9695"/>
      <c r="AO25" s="9695"/>
      <c r="AP25" s="9695"/>
      <c r="AQ25" s="9695"/>
      <c r="BA25" s="9701"/>
      <c r="BB25" s="9701"/>
      <c r="BC25" s="9701"/>
    </row>
    <row r="26" spans="1:55" ht="4.5" customHeight="1" thickBot="1">
      <c r="A26" s="1127"/>
      <c r="B26" s="1258"/>
      <c r="C26" s="56"/>
      <c r="D26" s="70"/>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1127"/>
      <c r="BA26" s="9701"/>
      <c r="BB26" s="9701"/>
      <c r="BC26" s="9701"/>
    </row>
    <row r="27" spans="1:55" ht="11.25" customHeight="1" thickBot="1">
      <c r="A27" s="1127"/>
      <c r="B27" s="1258">
        <f>IF(C27&lt;&gt;"",1,0)</f>
        <v>0</v>
      </c>
      <c r="C27" s="1257"/>
      <c r="D27" s="999" t="s">
        <v>2809</v>
      </c>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1127"/>
      <c r="AJ27" s="9694"/>
      <c r="AK27" s="9695"/>
      <c r="AL27" s="9695"/>
      <c r="AM27" s="9695"/>
      <c r="AN27" s="9695"/>
      <c r="AO27" s="9695"/>
      <c r="AP27" s="9695"/>
      <c r="AQ27" s="9695"/>
      <c r="BA27" s="9701"/>
      <c r="BB27" s="9701"/>
      <c r="BC27" s="9701"/>
    </row>
    <row r="28" spans="1:55" ht="4.5" customHeight="1" thickBot="1">
      <c r="A28" s="1127"/>
      <c r="B28" s="1258"/>
      <c r="C28" s="56"/>
      <c r="D28" s="70"/>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1127"/>
      <c r="BA28" s="9701"/>
      <c r="BB28" s="9701"/>
      <c r="BC28" s="9701"/>
    </row>
    <row r="29" spans="1:55" ht="12" customHeight="1" thickBot="1">
      <c r="A29" s="1127">
        <f>SUM(B25:B29)</f>
        <v>0</v>
      </c>
      <c r="B29" s="1258">
        <f>IF(C29&lt;&gt;"",1,0)</f>
        <v>0</v>
      </c>
      <c r="C29" s="1257"/>
      <c r="D29" s="999" t="s">
        <v>2811</v>
      </c>
      <c r="E29" s="56"/>
      <c r="F29" s="56"/>
      <c r="G29" s="56"/>
      <c r="H29" s="56"/>
      <c r="I29" s="56"/>
      <c r="J29" s="56"/>
      <c r="K29" s="56"/>
      <c r="L29" s="56"/>
      <c r="M29" s="56"/>
      <c r="N29" s="56"/>
      <c r="O29" s="56"/>
      <c r="P29" s="56"/>
      <c r="Q29" s="56"/>
      <c r="R29" s="9740" t="str">
        <f>IF(SpaceUsed_8949C_ST,"ERROR: DO NOT use the space bar to uncheck a box. Use the 'Delete' key.",IF(A29&gt;1,"Check only ONE box.",IF(A29&gt;0,"",IF(A29&lt;1,"Check ONE box.",""))))</f>
        <v>Check ONE box.</v>
      </c>
      <c r="S29" s="9741"/>
      <c r="T29" s="9741"/>
      <c r="U29" s="9741"/>
      <c r="V29" s="9741"/>
      <c r="W29" s="9741"/>
      <c r="X29" s="9741"/>
      <c r="Y29" s="9741"/>
      <c r="Z29" s="9741"/>
      <c r="AA29" s="9741"/>
      <c r="AB29" s="9741"/>
      <c r="AC29" s="9741"/>
      <c r="AD29" s="9741"/>
      <c r="AE29" s="9741"/>
      <c r="AF29" s="56"/>
      <c r="AG29" s="1127"/>
      <c r="AH29" s="1430" t="b">
        <f>IF(OR(F8949CSBOXA=CHAR(32),F8949CSBOXB=CHAR(32),F8949CSBOXC=CHAR(32)),TRUE,FALSE)</f>
        <v>0</v>
      </c>
      <c r="AJ29" s="9702" t="s">
        <v>2467</v>
      </c>
      <c r="AK29" s="9695"/>
      <c r="AL29" s="9695"/>
      <c r="AM29" s="9695"/>
      <c r="AN29" s="9695"/>
      <c r="AO29" s="9695"/>
      <c r="AP29" s="9695"/>
      <c r="AQ29" s="9695"/>
      <c r="BA29" s="9701"/>
      <c r="BB29" s="9701"/>
      <c r="BC29" s="9701"/>
    </row>
    <row r="30" spans="1:55" ht="3.75" customHeight="1">
      <c r="A30" s="1127"/>
      <c r="B30" s="279"/>
      <c r="C30" s="1092"/>
      <c r="D30" s="279"/>
      <c r="E30" s="279"/>
      <c r="F30" s="279"/>
      <c r="G30" s="279"/>
      <c r="H30" s="279"/>
      <c r="I30" s="279"/>
      <c r="J30" s="279"/>
      <c r="K30" s="279"/>
      <c r="L30" s="279"/>
      <c r="M30" s="279"/>
      <c r="N30" s="1092"/>
      <c r="O30" s="279"/>
      <c r="P30" s="279"/>
      <c r="Q30" s="279"/>
      <c r="R30" s="279"/>
      <c r="S30" s="279"/>
      <c r="T30" s="279"/>
      <c r="U30" s="279"/>
      <c r="V30" s="279"/>
      <c r="W30" s="279"/>
      <c r="X30" s="279"/>
      <c r="Y30" s="1092"/>
      <c r="Z30" s="279"/>
      <c r="AA30" s="279"/>
      <c r="AB30" s="279"/>
      <c r="AC30" s="279"/>
      <c r="AD30" s="279"/>
      <c r="AE30" s="279"/>
      <c r="AF30" s="279"/>
      <c r="AG30" s="1127"/>
      <c r="BA30" s="9701"/>
      <c r="BB30" s="9701"/>
      <c r="BC30" s="9701"/>
    </row>
    <row r="31" spans="1:55" ht="21" customHeight="1">
      <c r="A31" s="1127"/>
      <c r="B31" s="9725">
        <v>1</v>
      </c>
      <c r="C31" s="9732" t="s">
        <v>620</v>
      </c>
      <c r="D31" s="9733"/>
      <c r="E31" s="9733"/>
      <c r="F31" s="9733"/>
      <c r="G31" s="9733"/>
      <c r="H31" s="9733"/>
      <c r="I31" s="9734"/>
      <c r="J31" s="6448" t="s">
        <v>729</v>
      </c>
      <c r="K31" s="7379"/>
      <c r="L31" s="7155"/>
      <c r="M31" s="6448" t="s">
        <v>5477</v>
      </c>
      <c r="N31" s="7379"/>
      <c r="O31" s="7379"/>
      <c r="P31" s="7155"/>
      <c r="Q31" s="6448" t="s">
        <v>730</v>
      </c>
      <c r="R31" s="7379"/>
      <c r="S31" s="7379"/>
      <c r="T31" s="7155"/>
      <c r="U31" s="9673" t="s">
        <v>734</v>
      </c>
      <c r="V31" s="9674"/>
      <c r="W31" s="9674"/>
      <c r="X31" s="9748"/>
      <c r="Y31" s="9742" t="s">
        <v>2820</v>
      </c>
      <c r="Z31" s="9743"/>
      <c r="AA31" s="9743"/>
      <c r="AB31" s="9744"/>
      <c r="AC31" s="9673" t="s">
        <v>733</v>
      </c>
      <c r="AD31" s="9674"/>
      <c r="AE31" s="9674"/>
      <c r="AF31" s="9674"/>
      <c r="AG31" s="1127"/>
      <c r="AJ31" s="9692" t="s">
        <v>711</v>
      </c>
      <c r="AK31" s="9692" t="s">
        <v>736</v>
      </c>
      <c r="AL31" s="9692" t="s">
        <v>737</v>
      </c>
      <c r="AM31" s="9692" t="s">
        <v>738</v>
      </c>
      <c r="AN31" s="9690" t="s">
        <v>739</v>
      </c>
      <c r="AO31" s="9696" t="s">
        <v>731</v>
      </c>
      <c r="AP31" s="7127"/>
      <c r="AQ31" s="9692" t="s">
        <v>759</v>
      </c>
      <c r="BA31" s="9701"/>
      <c r="BB31" s="9701"/>
      <c r="BC31" s="9701"/>
    </row>
    <row r="32" spans="1:55" ht="21" customHeight="1">
      <c r="A32" s="1127"/>
      <c r="B32" s="9726"/>
      <c r="C32" s="9735"/>
      <c r="D32" s="9736"/>
      <c r="E32" s="9736"/>
      <c r="F32" s="9736"/>
      <c r="G32" s="9736"/>
      <c r="H32" s="9736"/>
      <c r="I32" s="9737"/>
      <c r="J32" s="6450"/>
      <c r="K32" s="8199"/>
      <c r="L32" s="7157"/>
      <c r="M32" s="6450"/>
      <c r="N32" s="8199"/>
      <c r="O32" s="8199"/>
      <c r="P32" s="7157"/>
      <c r="Q32" s="6450"/>
      <c r="R32" s="8199"/>
      <c r="S32" s="8199"/>
      <c r="T32" s="7157"/>
      <c r="U32" s="9675"/>
      <c r="V32" s="9676"/>
      <c r="W32" s="9676"/>
      <c r="X32" s="9749"/>
      <c r="Y32" s="9745"/>
      <c r="Z32" s="9746"/>
      <c r="AA32" s="9746"/>
      <c r="AB32" s="9747"/>
      <c r="AC32" s="9675"/>
      <c r="AD32" s="9676"/>
      <c r="AE32" s="9676"/>
      <c r="AF32" s="9676"/>
      <c r="AG32" s="1127"/>
      <c r="AJ32" s="9692"/>
      <c r="AK32" s="9692"/>
      <c r="AL32" s="9692"/>
      <c r="AM32" s="9692"/>
      <c r="AN32" s="9690"/>
      <c r="AO32" s="7264"/>
      <c r="AP32" s="7133"/>
      <c r="AQ32" s="9692"/>
      <c r="BA32" s="9701"/>
      <c r="BB32" s="9701"/>
      <c r="BC32" s="9701"/>
    </row>
    <row r="33" spans="1:55" ht="18" customHeight="1">
      <c r="A33" s="1127"/>
      <c r="B33" s="9727"/>
      <c r="C33" s="9736"/>
      <c r="D33" s="9736"/>
      <c r="E33" s="9736"/>
      <c r="F33" s="9736"/>
      <c r="G33" s="9736"/>
      <c r="H33" s="9736"/>
      <c r="I33" s="9737"/>
      <c r="J33" s="7156"/>
      <c r="K33" s="8199"/>
      <c r="L33" s="7157"/>
      <c r="M33" s="7156"/>
      <c r="N33" s="8199"/>
      <c r="O33" s="8199"/>
      <c r="P33" s="7157"/>
      <c r="Q33" s="7156"/>
      <c r="R33" s="8199"/>
      <c r="S33" s="8199"/>
      <c r="T33" s="7157"/>
      <c r="U33" s="9677"/>
      <c r="V33" s="9676"/>
      <c r="W33" s="9676"/>
      <c r="X33" s="9749"/>
      <c r="Y33" s="7324" t="s">
        <v>2822</v>
      </c>
      <c r="Z33" s="7155"/>
      <c r="AA33" s="7324" t="s">
        <v>732</v>
      </c>
      <c r="AB33" s="7258"/>
      <c r="AC33" s="9677"/>
      <c r="AD33" s="9676"/>
      <c r="AE33" s="9676"/>
      <c r="AF33" s="9676"/>
      <c r="AG33" s="1127"/>
      <c r="AJ33" s="9693"/>
      <c r="AK33" s="9693"/>
      <c r="AL33" s="9693"/>
      <c r="AM33" s="9693"/>
      <c r="AN33" s="9691"/>
      <c r="AO33" s="9698" t="s">
        <v>740</v>
      </c>
      <c r="AP33" s="7237" t="s">
        <v>732</v>
      </c>
      <c r="AQ33" s="9693"/>
      <c r="BA33" s="9701"/>
      <c r="BB33" s="9701"/>
      <c r="BC33" s="9701"/>
    </row>
    <row r="34" spans="1:55" ht="18" customHeight="1">
      <c r="A34" s="1127"/>
      <c r="B34" s="9728"/>
      <c r="C34" s="9738"/>
      <c r="D34" s="9738"/>
      <c r="E34" s="9738"/>
      <c r="F34" s="9738"/>
      <c r="G34" s="9738"/>
      <c r="H34" s="9738"/>
      <c r="I34" s="9739"/>
      <c r="J34" s="7158"/>
      <c r="K34" s="9751"/>
      <c r="L34" s="7159"/>
      <c r="M34" s="7158"/>
      <c r="N34" s="9751"/>
      <c r="O34" s="9751"/>
      <c r="P34" s="7159"/>
      <c r="Q34" s="7158"/>
      <c r="R34" s="9751"/>
      <c r="S34" s="9751"/>
      <c r="T34" s="7159"/>
      <c r="U34" s="9678"/>
      <c r="V34" s="9679"/>
      <c r="W34" s="9679"/>
      <c r="X34" s="9750"/>
      <c r="Y34" s="7158"/>
      <c r="Z34" s="7159"/>
      <c r="AA34" s="6619"/>
      <c r="AB34" s="7260"/>
      <c r="AC34" s="9678"/>
      <c r="AD34" s="9679"/>
      <c r="AE34" s="9679"/>
      <c r="AF34" s="9679"/>
      <c r="AG34" s="1127"/>
      <c r="AJ34" s="9693"/>
      <c r="AK34" s="9693"/>
      <c r="AL34" s="9693"/>
      <c r="AM34" s="9693"/>
      <c r="AN34" s="9691"/>
      <c r="AO34" s="9697"/>
      <c r="AP34" s="9697"/>
      <c r="AQ34" s="9693"/>
      <c r="BA34" s="9701"/>
      <c r="BB34" s="9701"/>
      <c r="BC34" s="9701"/>
    </row>
    <row r="35" spans="1:55" ht="19.5" customHeight="1">
      <c r="A35" s="1127">
        <f>IF(OR(Q35&lt;&gt;"",U35&lt;&gt;"",AC35&lt;&gt;""),1,0)</f>
        <v>0</v>
      </c>
      <c r="B35" s="9703" t="str">
        <f t="shared" ref="B35:B54" si="0">IF(AJ35="","",AJ35)</f>
        <v/>
      </c>
      <c r="C35" s="9704"/>
      <c r="D35" s="9704"/>
      <c r="E35" s="9704"/>
      <c r="F35" s="9704"/>
      <c r="G35" s="9704"/>
      <c r="H35" s="9704"/>
      <c r="I35" s="9705"/>
      <c r="J35" s="9706" t="str">
        <f t="shared" ref="J35:J54" si="1">IF(AK35="","",AK35)</f>
        <v/>
      </c>
      <c r="K35" s="9707"/>
      <c r="L35" s="9707"/>
      <c r="M35" s="9706" t="str">
        <f t="shared" ref="M35:M54" si="2">IF(AL35="","",AL35)</f>
        <v/>
      </c>
      <c r="N35" s="9707"/>
      <c r="O35" s="9707"/>
      <c r="P35" s="9708"/>
      <c r="Q35" s="6969" t="str">
        <f t="shared" ref="Q35:Q54" si="3">IF(AM35="","",AM35)</f>
        <v/>
      </c>
      <c r="R35" s="9688"/>
      <c r="S35" s="9688"/>
      <c r="T35" s="9689"/>
      <c r="U35" s="6969" t="str">
        <f t="shared" ref="U35:U54" si="4">IF(AN35="","",AN35)</f>
        <v/>
      </c>
      <c r="V35" s="9688"/>
      <c r="W35" s="9688"/>
      <c r="X35" s="9689"/>
      <c r="Y35" s="9670" t="str">
        <f>IF(AO35&lt;&gt;"",AO35,"")</f>
        <v/>
      </c>
      <c r="Z35" s="6222"/>
      <c r="AA35" s="9670" t="str">
        <f>IF(AP35="","",AP35)</f>
        <v/>
      </c>
      <c r="AB35" s="6222"/>
      <c r="AC35" s="9671" t="str">
        <f>IF(AQ35&lt;&gt;"",AQ35,IF(AND(Q35="",U35=""),"",IF(AND(Q35&lt;&gt;"",U35=""),SUM(Q35,AA35),SUM(Q35,-U35,AA35))))</f>
        <v/>
      </c>
      <c r="AD35" s="9672"/>
      <c r="AE35" s="9672"/>
      <c r="AF35" s="9672"/>
      <c r="AG35" s="1297">
        <f>IF(OR(J35="",M35=""),0,IF(OR(BA35,BB35,BC35),0,1))</f>
        <v>0</v>
      </c>
      <c r="AH35" s="1090"/>
      <c r="AI35" s="1090" t="e">
        <f t="shared" ref="AI35:AI54" si="5">M35-J35</f>
        <v>#VALUE!</v>
      </c>
      <c r="AJ35" s="1237"/>
      <c r="AK35" s="1241"/>
      <c r="AL35" s="1241"/>
      <c r="AM35" s="1239"/>
      <c r="AN35" s="1239"/>
      <c r="AO35" s="1240"/>
      <c r="AP35" s="1239"/>
      <c r="AQ35" s="1238"/>
      <c r="AS35" s="42" t="e">
        <f>YEAR(J35)</f>
        <v>#VALUE!</v>
      </c>
      <c r="AT35" s="42" t="e">
        <f>MONTH(J35)</f>
        <v>#VALUE!</v>
      </c>
      <c r="AU35" s="42" t="e">
        <f>DAY(J35)</f>
        <v>#VALUE!</v>
      </c>
      <c r="AW35" s="42" t="e">
        <f>YEAR(M35)</f>
        <v>#VALUE!</v>
      </c>
      <c r="AX35" s="42" t="e">
        <f>MONTH(M35)</f>
        <v>#VALUE!</v>
      </c>
      <c r="AY35" s="42" t="e">
        <f>DAY(M35)</f>
        <v>#VALUE!</v>
      </c>
      <c r="BA35" s="42" t="e">
        <f>IF(AW35=AS35,TRUE,FALSE)</f>
        <v>#VALUE!</v>
      </c>
      <c r="BB35" s="42" t="e">
        <f>IF(AND(AW35=AS35+1,AX35&lt;AT35),TRUE,FALSE)</f>
        <v>#VALUE!</v>
      </c>
      <c r="BC35" s="42" t="e">
        <f>IF(AND(AW35=AS35+1,AX35=AT35,AY35&lt;=AU35),TRUE,FALSE)</f>
        <v>#VALUE!</v>
      </c>
    </row>
    <row r="36" spans="1:55" ht="19.5" customHeight="1">
      <c r="A36" s="1127">
        <f t="shared" ref="A36:A54" si="6">IF(OR(Q36&lt;&gt;"",U36&lt;&gt;"",AC36&lt;&gt;""),1,0)</f>
        <v>0</v>
      </c>
      <c r="B36" s="9703" t="str">
        <f t="shared" si="0"/>
        <v/>
      </c>
      <c r="C36" s="9704"/>
      <c r="D36" s="9704"/>
      <c r="E36" s="9704"/>
      <c r="F36" s="9704"/>
      <c r="G36" s="9704"/>
      <c r="H36" s="9704"/>
      <c r="I36" s="9705"/>
      <c r="J36" s="9706" t="str">
        <f t="shared" si="1"/>
        <v/>
      </c>
      <c r="K36" s="9707"/>
      <c r="L36" s="9707"/>
      <c r="M36" s="9706" t="str">
        <f t="shared" si="2"/>
        <v/>
      </c>
      <c r="N36" s="9707"/>
      <c r="O36" s="9707"/>
      <c r="P36" s="9708"/>
      <c r="Q36" s="6969" t="str">
        <f t="shared" si="3"/>
        <v/>
      </c>
      <c r="R36" s="9688"/>
      <c r="S36" s="9688"/>
      <c r="T36" s="9689"/>
      <c r="U36" s="6969" t="str">
        <f t="shared" si="4"/>
        <v/>
      </c>
      <c r="V36" s="9688"/>
      <c r="W36" s="9688"/>
      <c r="X36" s="9689"/>
      <c r="Y36" s="9670" t="str">
        <f>IF(AO36&lt;&gt;"",AO36,"")</f>
        <v/>
      </c>
      <c r="Z36" s="6222"/>
      <c r="AA36" s="9670" t="str">
        <f>IF(AP36="","",AP36)</f>
        <v/>
      </c>
      <c r="AB36" s="6222"/>
      <c r="AC36" s="9671" t="str">
        <f t="shared" ref="AC36:AC54" si="7">IF(AQ36&lt;&gt;"",AQ36,IF(AND(Q36="",U36=""),"",IF(AND(Q36&lt;&gt;"",U36=""),SUM(Q36,AA36),SUM(Q36,-U36,AA36))))</f>
        <v/>
      </c>
      <c r="AD36" s="9672"/>
      <c r="AE36" s="9672"/>
      <c r="AF36" s="9672"/>
      <c r="AG36" s="1297">
        <f t="shared" ref="AG36:AG54" si="8">IF(OR(J36="",M36=""),0,IF(OR(BA36,BB36,BC36),0,1))</f>
        <v>0</v>
      </c>
      <c r="AH36" s="1090"/>
      <c r="AI36" s="1090" t="e">
        <f t="shared" si="5"/>
        <v>#VALUE!</v>
      </c>
      <c r="AJ36" s="1237"/>
      <c r="AK36" s="1241"/>
      <c r="AL36" s="1241"/>
      <c r="AM36" s="1239"/>
      <c r="AN36" s="1239"/>
      <c r="AO36" s="1240"/>
      <c r="AP36" s="1239"/>
      <c r="AQ36" s="1238"/>
      <c r="AS36" s="42" t="e">
        <f t="shared" ref="AS36:AS54" si="9">YEAR(J36)</f>
        <v>#VALUE!</v>
      </c>
      <c r="AT36" s="42" t="e">
        <f t="shared" ref="AT36:AT54" si="10">MONTH(J36)</f>
        <v>#VALUE!</v>
      </c>
      <c r="AU36" s="42" t="e">
        <f t="shared" ref="AU36:AU54" si="11">DAY(J36)</f>
        <v>#VALUE!</v>
      </c>
      <c r="AW36" s="42" t="e">
        <f t="shared" ref="AW36:AW54" si="12">YEAR(M36)</f>
        <v>#VALUE!</v>
      </c>
      <c r="AX36" s="42" t="e">
        <f t="shared" ref="AX36:AX54" si="13">MONTH(M36)</f>
        <v>#VALUE!</v>
      </c>
      <c r="AY36" s="42" t="e">
        <f t="shared" ref="AY36:AY54" si="14">DAY(M36)</f>
        <v>#VALUE!</v>
      </c>
      <c r="BA36" s="42" t="e">
        <f t="shared" ref="BA36:BA54" si="15">IF(AW36=AS36,TRUE,FALSE)</f>
        <v>#VALUE!</v>
      </c>
      <c r="BB36" s="42" t="e">
        <f t="shared" ref="BB36:BB54" si="16">IF(AND(AW36=AS36+1,AX36&lt;AT36),TRUE,FALSE)</f>
        <v>#VALUE!</v>
      </c>
      <c r="BC36" s="42" t="e">
        <f t="shared" ref="BC36:BC54" si="17">IF(AND(AW36=AS36+1,AX36=AT36,AY36&lt;=AU36),TRUE,FALSE)</f>
        <v>#VALUE!</v>
      </c>
    </row>
    <row r="37" spans="1:55" ht="19.5" customHeight="1">
      <c r="A37" s="1127">
        <f t="shared" si="6"/>
        <v>0</v>
      </c>
      <c r="B37" s="9703" t="str">
        <f t="shared" si="0"/>
        <v/>
      </c>
      <c r="C37" s="9704"/>
      <c r="D37" s="9704"/>
      <c r="E37" s="9704"/>
      <c r="F37" s="9704"/>
      <c r="G37" s="9704"/>
      <c r="H37" s="9704"/>
      <c r="I37" s="9705"/>
      <c r="J37" s="9706" t="str">
        <f t="shared" si="1"/>
        <v/>
      </c>
      <c r="K37" s="9707"/>
      <c r="L37" s="9707"/>
      <c r="M37" s="9706" t="str">
        <f t="shared" si="2"/>
        <v/>
      </c>
      <c r="N37" s="9707"/>
      <c r="O37" s="9707"/>
      <c r="P37" s="9708"/>
      <c r="Q37" s="6969" t="str">
        <f t="shared" si="3"/>
        <v/>
      </c>
      <c r="R37" s="9688"/>
      <c r="S37" s="9688"/>
      <c r="T37" s="9689"/>
      <c r="U37" s="6969" t="str">
        <f t="shared" si="4"/>
        <v/>
      </c>
      <c r="V37" s="9688"/>
      <c r="W37" s="9688"/>
      <c r="X37" s="9689"/>
      <c r="Y37" s="9670" t="str">
        <f>IF(AO37&lt;&gt;"",AO37,"")</f>
        <v/>
      </c>
      <c r="Z37" s="6222"/>
      <c r="AA37" s="9670" t="str">
        <f>IF(AP37="","",AP37)</f>
        <v/>
      </c>
      <c r="AB37" s="6222"/>
      <c r="AC37" s="9671" t="str">
        <f t="shared" si="7"/>
        <v/>
      </c>
      <c r="AD37" s="9672"/>
      <c r="AE37" s="9672"/>
      <c r="AF37" s="9672"/>
      <c r="AG37" s="1297">
        <f t="shared" si="8"/>
        <v>0</v>
      </c>
      <c r="AH37" s="1090"/>
      <c r="AI37" s="1090" t="e">
        <f t="shared" si="5"/>
        <v>#VALUE!</v>
      </c>
      <c r="AJ37" s="1237"/>
      <c r="AK37" s="1241"/>
      <c r="AL37" s="1241"/>
      <c r="AM37" s="1239"/>
      <c r="AN37" s="1239"/>
      <c r="AO37" s="1240"/>
      <c r="AP37" s="1239"/>
      <c r="AQ37" s="1238"/>
      <c r="AS37" s="42" t="e">
        <f t="shared" si="9"/>
        <v>#VALUE!</v>
      </c>
      <c r="AT37" s="42" t="e">
        <f t="shared" si="10"/>
        <v>#VALUE!</v>
      </c>
      <c r="AU37" s="42" t="e">
        <f t="shared" si="11"/>
        <v>#VALUE!</v>
      </c>
      <c r="AW37" s="42" t="e">
        <f t="shared" si="12"/>
        <v>#VALUE!</v>
      </c>
      <c r="AX37" s="42" t="e">
        <f t="shared" si="13"/>
        <v>#VALUE!</v>
      </c>
      <c r="AY37" s="42" t="e">
        <f t="shared" si="14"/>
        <v>#VALUE!</v>
      </c>
      <c r="BA37" s="42" t="e">
        <f t="shared" si="15"/>
        <v>#VALUE!</v>
      </c>
      <c r="BB37" s="42" t="e">
        <f t="shared" si="16"/>
        <v>#VALUE!</v>
      </c>
      <c r="BC37" s="42" t="e">
        <f t="shared" si="17"/>
        <v>#VALUE!</v>
      </c>
    </row>
    <row r="38" spans="1:55" ht="19.5" customHeight="1">
      <c r="A38" s="1127">
        <f t="shared" si="6"/>
        <v>0</v>
      </c>
      <c r="B38" s="9703" t="str">
        <f t="shared" si="0"/>
        <v/>
      </c>
      <c r="C38" s="9704"/>
      <c r="D38" s="9704"/>
      <c r="E38" s="9704"/>
      <c r="F38" s="9704"/>
      <c r="G38" s="9704"/>
      <c r="H38" s="9704"/>
      <c r="I38" s="9705"/>
      <c r="J38" s="9706" t="str">
        <f t="shared" si="1"/>
        <v/>
      </c>
      <c r="K38" s="9707"/>
      <c r="L38" s="9707"/>
      <c r="M38" s="9706" t="str">
        <f t="shared" si="2"/>
        <v/>
      </c>
      <c r="N38" s="9707"/>
      <c r="O38" s="9707"/>
      <c r="P38" s="9708"/>
      <c r="Q38" s="6969" t="str">
        <f t="shared" si="3"/>
        <v/>
      </c>
      <c r="R38" s="9688"/>
      <c r="S38" s="9688"/>
      <c r="T38" s="9689"/>
      <c r="U38" s="6969" t="str">
        <f t="shared" si="4"/>
        <v/>
      </c>
      <c r="V38" s="9688"/>
      <c r="W38" s="9688"/>
      <c r="X38" s="9689"/>
      <c r="Y38" s="9670" t="str">
        <f t="shared" ref="Y38:Y54" si="18">IF(AO38&lt;&gt;"",AO38,"")</f>
        <v/>
      </c>
      <c r="Z38" s="6222"/>
      <c r="AA38" s="9670" t="str">
        <f t="shared" ref="AA38:AA54" si="19">IF(AP38="","",AP38)</f>
        <v/>
      </c>
      <c r="AB38" s="6222"/>
      <c r="AC38" s="9671" t="str">
        <f t="shared" si="7"/>
        <v/>
      </c>
      <c r="AD38" s="9672"/>
      <c r="AE38" s="9672"/>
      <c r="AF38" s="9672"/>
      <c r="AG38" s="1297">
        <f t="shared" si="8"/>
        <v>0</v>
      </c>
      <c r="AH38" s="1090"/>
      <c r="AI38" s="1090" t="e">
        <f t="shared" si="5"/>
        <v>#VALUE!</v>
      </c>
      <c r="AJ38" s="1237"/>
      <c r="AK38" s="1241"/>
      <c r="AL38" s="1241"/>
      <c r="AM38" s="1239"/>
      <c r="AN38" s="1239"/>
      <c r="AO38" s="1240"/>
      <c r="AP38" s="1239"/>
      <c r="AQ38" s="1238"/>
      <c r="AS38" s="42" t="e">
        <f t="shared" si="9"/>
        <v>#VALUE!</v>
      </c>
      <c r="AT38" s="42" t="e">
        <f t="shared" si="10"/>
        <v>#VALUE!</v>
      </c>
      <c r="AU38" s="42" t="e">
        <f t="shared" si="11"/>
        <v>#VALUE!</v>
      </c>
      <c r="AW38" s="42" t="e">
        <f t="shared" si="12"/>
        <v>#VALUE!</v>
      </c>
      <c r="AX38" s="42" t="e">
        <f t="shared" si="13"/>
        <v>#VALUE!</v>
      </c>
      <c r="AY38" s="42" t="e">
        <f t="shared" si="14"/>
        <v>#VALUE!</v>
      </c>
      <c r="BA38" s="42" t="e">
        <f t="shared" si="15"/>
        <v>#VALUE!</v>
      </c>
      <c r="BB38" s="42" t="e">
        <f t="shared" si="16"/>
        <v>#VALUE!</v>
      </c>
      <c r="BC38" s="42" t="e">
        <f t="shared" si="17"/>
        <v>#VALUE!</v>
      </c>
    </row>
    <row r="39" spans="1:55" ht="19.5" customHeight="1">
      <c r="A39" s="1127">
        <f t="shared" si="6"/>
        <v>0</v>
      </c>
      <c r="B39" s="9703" t="str">
        <f t="shared" si="0"/>
        <v/>
      </c>
      <c r="C39" s="9704"/>
      <c r="D39" s="9704"/>
      <c r="E39" s="9704"/>
      <c r="F39" s="9704"/>
      <c r="G39" s="9704"/>
      <c r="H39" s="9704"/>
      <c r="I39" s="9705"/>
      <c r="J39" s="9706" t="str">
        <f t="shared" si="1"/>
        <v/>
      </c>
      <c r="K39" s="9707"/>
      <c r="L39" s="9707"/>
      <c r="M39" s="9706" t="str">
        <f t="shared" si="2"/>
        <v/>
      </c>
      <c r="N39" s="9707"/>
      <c r="O39" s="9707"/>
      <c r="P39" s="9708"/>
      <c r="Q39" s="6969" t="str">
        <f t="shared" si="3"/>
        <v/>
      </c>
      <c r="R39" s="9688"/>
      <c r="S39" s="9688"/>
      <c r="T39" s="9689"/>
      <c r="U39" s="6969" t="str">
        <f t="shared" si="4"/>
        <v/>
      </c>
      <c r="V39" s="9688"/>
      <c r="W39" s="9688"/>
      <c r="X39" s="9689"/>
      <c r="Y39" s="9670" t="str">
        <f t="shared" si="18"/>
        <v/>
      </c>
      <c r="Z39" s="6222"/>
      <c r="AA39" s="9670" t="str">
        <f t="shared" si="19"/>
        <v/>
      </c>
      <c r="AB39" s="6222"/>
      <c r="AC39" s="9671" t="str">
        <f t="shared" si="7"/>
        <v/>
      </c>
      <c r="AD39" s="9672"/>
      <c r="AE39" s="9672"/>
      <c r="AF39" s="9672"/>
      <c r="AG39" s="1297">
        <f t="shared" si="8"/>
        <v>0</v>
      </c>
      <c r="AH39" s="1090"/>
      <c r="AI39" s="1090" t="e">
        <f t="shared" si="5"/>
        <v>#VALUE!</v>
      </c>
      <c r="AJ39" s="1237"/>
      <c r="AK39" s="1241"/>
      <c r="AL39" s="1241"/>
      <c r="AM39" s="1239"/>
      <c r="AN39" s="1239"/>
      <c r="AO39" s="1240"/>
      <c r="AP39" s="1239"/>
      <c r="AQ39" s="1238"/>
      <c r="AS39" s="42" t="e">
        <f t="shared" si="9"/>
        <v>#VALUE!</v>
      </c>
      <c r="AT39" s="42" t="e">
        <f t="shared" si="10"/>
        <v>#VALUE!</v>
      </c>
      <c r="AU39" s="42" t="e">
        <f t="shared" si="11"/>
        <v>#VALUE!</v>
      </c>
      <c r="AW39" s="42" t="e">
        <f t="shared" si="12"/>
        <v>#VALUE!</v>
      </c>
      <c r="AX39" s="42" t="e">
        <f t="shared" si="13"/>
        <v>#VALUE!</v>
      </c>
      <c r="AY39" s="42" t="e">
        <f t="shared" si="14"/>
        <v>#VALUE!</v>
      </c>
      <c r="BA39" s="42" t="e">
        <f t="shared" si="15"/>
        <v>#VALUE!</v>
      </c>
      <c r="BB39" s="42" t="e">
        <f t="shared" si="16"/>
        <v>#VALUE!</v>
      </c>
      <c r="BC39" s="42" t="e">
        <f t="shared" si="17"/>
        <v>#VALUE!</v>
      </c>
    </row>
    <row r="40" spans="1:55" ht="19.5" customHeight="1">
      <c r="A40" s="1127">
        <f t="shared" si="6"/>
        <v>0</v>
      </c>
      <c r="B40" s="9703" t="str">
        <f t="shared" si="0"/>
        <v/>
      </c>
      <c r="C40" s="9704"/>
      <c r="D40" s="9704"/>
      <c r="E40" s="9704"/>
      <c r="F40" s="9704"/>
      <c r="G40" s="9704"/>
      <c r="H40" s="9704"/>
      <c r="I40" s="9705"/>
      <c r="J40" s="9706" t="str">
        <f t="shared" si="1"/>
        <v/>
      </c>
      <c r="K40" s="9707"/>
      <c r="L40" s="9707"/>
      <c r="M40" s="9706" t="str">
        <f t="shared" si="2"/>
        <v/>
      </c>
      <c r="N40" s="9707"/>
      <c r="O40" s="9707"/>
      <c r="P40" s="9708"/>
      <c r="Q40" s="6969" t="str">
        <f t="shared" si="3"/>
        <v/>
      </c>
      <c r="R40" s="9688"/>
      <c r="S40" s="9688"/>
      <c r="T40" s="9689"/>
      <c r="U40" s="6969" t="str">
        <f t="shared" si="4"/>
        <v/>
      </c>
      <c r="V40" s="9688"/>
      <c r="W40" s="9688"/>
      <c r="X40" s="9689"/>
      <c r="Y40" s="9670" t="str">
        <f t="shared" si="18"/>
        <v/>
      </c>
      <c r="Z40" s="6222"/>
      <c r="AA40" s="9670" t="str">
        <f t="shared" si="19"/>
        <v/>
      </c>
      <c r="AB40" s="6222"/>
      <c r="AC40" s="9671" t="str">
        <f t="shared" si="7"/>
        <v/>
      </c>
      <c r="AD40" s="9672"/>
      <c r="AE40" s="9672"/>
      <c r="AF40" s="9672"/>
      <c r="AG40" s="1297">
        <f t="shared" si="8"/>
        <v>0</v>
      </c>
      <c r="AH40" s="1090"/>
      <c r="AI40" s="1090" t="e">
        <f t="shared" si="5"/>
        <v>#VALUE!</v>
      </c>
      <c r="AJ40" s="1237"/>
      <c r="AK40" s="1241"/>
      <c r="AL40" s="1241"/>
      <c r="AM40" s="1239"/>
      <c r="AN40" s="1239"/>
      <c r="AO40" s="1240"/>
      <c r="AP40" s="1239"/>
      <c r="AQ40" s="1238"/>
      <c r="AS40" s="42" t="e">
        <f t="shared" si="9"/>
        <v>#VALUE!</v>
      </c>
      <c r="AT40" s="42" t="e">
        <f t="shared" si="10"/>
        <v>#VALUE!</v>
      </c>
      <c r="AU40" s="42" t="e">
        <f t="shared" si="11"/>
        <v>#VALUE!</v>
      </c>
      <c r="AW40" s="42" t="e">
        <f t="shared" si="12"/>
        <v>#VALUE!</v>
      </c>
      <c r="AX40" s="42" t="e">
        <f t="shared" si="13"/>
        <v>#VALUE!</v>
      </c>
      <c r="AY40" s="42" t="e">
        <f t="shared" si="14"/>
        <v>#VALUE!</v>
      </c>
      <c r="BA40" s="42" t="e">
        <f t="shared" si="15"/>
        <v>#VALUE!</v>
      </c>
      <c r="BB40" s="42" t="e">
        <f t="shared" si="16"/>
        <v>#VALUE!</v>
      </c>
      <c r="BC40" s="42" t="e">
        <f t="shared" si="17"/>
        <v>#VALUE!</v>
      </c>
    </row>
    <row r="41" spans="1:55" ht="19.5" customHeight="1">
      <c r="A41" s="1127">
        <f t="shared" si="6"/>
        <v>0</v>
      </c>
      <c r="B41" s="9703" t="str">
        <f t="shared" si="0"/>
        <v/>
      </c>
      <c r="C41" s="9704"/>
      <c r="D41" s="9704"/>
      <c r="E41" s="9704"/>
      <c r="F41" s="9704"/>
      <c r="G41" s="9704"/>
      <c r="H41" s="9704"/>
      <c r="I41" s="9705"/>
      <c r="J41" s="9706" t="str">
        <f t="shared" si="1"/>
        <v/>
      </c>
      <c r="K41" s="9707"/>
      <c r="L41" s="9707"/>
      <c r="M41" s="9706" t="str">
        <f t="shared" si="2"/>
        <v/>
      </c>
      <c r="N41" s="9707"/>
      <c r="O41" s="9707"/>
      <c r="P41" s="9708"/>
      <c r="Q41" s="6969" t="str">
        <f t="shared" si="3"/>
        <v/>
      </c>
      <c r="R41" s="9688"/>
      <c r="S41" s="9688"/>
      <c r="T41" s="9689"/>
      <c r="U41" s="6969" t="str">
        <f t="shared" si="4"/>
        <v/>
      </c>
      <c r="V41" s="9688"/>
      <c r="W41" s="9688"/>
      <c r="X41" s="9689"/>
      <c r="Y41" s="9670" t="str">
        <f t="shared" si="18"/>
        <v/>
      </c>
      <c r="Z41" s="6222"/>
      <c r="AA41" s="9670" t="str">
        <f t="shared" si="19"/>
        <v/>
      </c>
      <c r="AB41" s="6222"/>
      <c r="AC41" s="9671" t="str">
        <f t="shared" si="7"/>
        <v/>
      </c>
      <c r="AD41" s="9672"/>
      <c r="AE41" s="9672"/>
      <c r="AF41" s="9672"/>
      <c r="AG41" s="1297">
        <f t="shared" si="8"/>
        <v>0</v>
      </c>
      <c r="AH41" s="1090"/>
      <c r="AI41" s="1090" t="e">
        <f t="shared" si="5"/>
        <v>#VALUE!</v>
      </c>
      <c r="AJ41" s="1237"/>
      <c r="AK41" s="1241"/>
      <c r="AL41" s="1241"/>
      <c r="AM41" s="1239"/>
      <c r="AN41" s="1239"/>
      <c r="AO41" s="1240"/>
      <c r="AP41" s="1239"/>
      <c r="AQ41" s="1238"/>
      <c r="AS41" s="42" t="e">
        <f t="shared" si="9"/>
        <v>#VALUE!</v>
      </c>
      <c r="AT41" s="42" t="e">
        <f t="shared" si="10"/>
        <v>#VALUE!</v>
      </c>
      <c r="AU41" s="42" t="e">
        <f t="shared" si="11"/>
        <v>#VALUE!</v>
      </c>
      <c r="AW41" s="42" t="e">
        <f t="shared" si="12"/>
        <v>#VALUE!</v>
      </c>
      <c r="AX41" s="42" t="e">
        <f t="shared" si="13"/>
        <v>#VALUE!</v>
      </c>
      <c r="AY41" s="42" t="e">
        <f t="shared" si="14"/>
        <v>#VALUE!</v>
      </c>
      <c r="BA41" s="42" t="e">
        <f t="shared" si="15"/>
        <v>#VALUE!</v>
      </c>
      <c r="BB41" s="42" t="e">
        <f t="shared" si="16"/>
        <v>#VALUE!</v>
      </c>
      <c r="BC41" s="42" t="e">
        <f t="shared" si="17"/>
        <v>#VALUE!</v>
      </c>
    </row>
    <row r="42" spans="1:55" ht="19.5" customHeight="1">
      <c r="A42" s="1127">
        <f t="shared" si="6"/>
        <v>0</v>
      </c>
      <c r="B42" s="9703" t="str">
        <f t="shared" si="0"/>
        <v/>
      </c>
      <c r="C42" s="9704"/>
      <c r="D42" s="9704"/>
      <c r="E42" s="9704"/>
      <c r="F42" s="9704"/>
      <c r="G42" s="9704"/>
      <c r="H42" s="9704"/>
      <c r="I42" s="9705"/>
      <c r="J42" s="9706" t="str">
        <f t="shared" si="1"/>
        <v/>
      </c>
      <c r="K42" s="9707"/>
      <c r="L42" s="9707"/>
      <c r="M42" s="9706" t="str">
        <f t="shared" si="2"/>
        <v/>
      </c>
      <c r="N42" s="9707"/>
      <c r="O42" s="9707"/>
      <c r="P42" s="9708"/>
      <c r="Q42" s="6969" t="str">
        <f t="shared" si="3"/>
        <v/>
      </c>
      <c r="R42" s="9688"/>
      <c r="S42" s="9688"/>
      <c r="T42" s="9689"/>
      <c r="U42" s="6969" t="str">
        <f t="shared" si="4"/>
        <v/>
      </c>
      <c r="V42" s="9688"/>
      <c r="W42" s="9688"/>
      <c r="X42" s="9689"/>
      <c r="Y42" s="9670" t="str">
        <f t="shared" si="18"/>
        <v/>
      </c>
      <c r="Z42" s="6222"/>
      <c r="AA42" s="9670" t="str">
        <f t="shared" si="19"/>
        <v/>
      </c>
      <c r="AB42" s="6222"/>
      <c r="AC42" s="9671" t="str">
        <f t="shared" si="7"/>
        <v/>
      </c>
      <c r="AD42" s="9672"/>
      <c r="AE42" s="9672"/>
      <c r="AF42" s="9672"/>
      <c r="AG42" s="1297">
        <f t="shared" si="8"/>
        <v>0</v>
      </c>
      <c r="AH42" s="1090"/>
      <c r="AI42" s="1090" t="e">
        <f t="shared" si="5"/>
        <v>#VALUE!</v>
      </c>
      <c r="AJ42" s="1237"/>
      <c r="AK42" s="1241"/>
      <c r="AL42" s="1241"/>
      <c r="AM42" s="1239"/>
      <c r="AN42" s="1239"/>
      <c r="AO42" s="1240"/>
      <c r="AP42" s="1239"/>
      <c r="AQ42" s="1238"/>
      <c r="AS42" s="42" t="e">
        <f t="shared" si="9"/>
        <v>#VALUE!</v>
      </c>
      <c r="AT42" s="42" t="e">
        <f t="shared" si="10"/>
        <v>#VALUE!</v>
      </c>
      <c r="AU42" s="42" t="e">
        <f t="shared" si="11"/>
        <v>#VALUE!</v>
      </c>
      <c r="AW42" s="42" t="e">
        <f t="shared" si="12"/>
        <v>#VALUE!</v>
      </c>
      <c r="AX42" s="42" t="e">
        <f t="shared" si="13"/>
        <v>#VALUE!</v>
      </c>
      <c r="AY42" s="42" t="e">
        <f t="shared" si="14"/>
        <v>#VALUE!</v>
      </c>
      <c r="BA42" s="42" t="e">
        <f t="shared" si="15"/>
        <v>#VALUE!</v>
      </c>
      <c r="BB42" s="42" t="e">
        <f t="shared" si="16"/>
        <v>#VALUE!</v>
      </c>
      <c r="BC42" s="42" t="e">
        <f t="shared" si="17"/>
        <v>#VALUE!</v>
      </c>
    </row>
    <row r="43" spans="1:55" ht="19.5" customHeight="1">
      <c r="A43" s="1127">
        <f t="shared" si="6"/>
        <v>0</v>
      </c>
      <c r="B43" s="9703" t="str">
        <f t="shared" si="0"/>
        <v/>
      </c>
      <c r="C43" s="9704"/>
      <c r="D43" s="9704"/>
      <c r="E43" s="9704"/>
      <c r="F43" s="9704"/>
      <c r="G43" s="9704"/>
      <c r="H43" s="9704"/>
      <c r="I43" s="9705"/>
      <c r="J43" s="9706" t="str">
        <f t="shared" si="1"/>
        <v/>
      </c>
      <c r="K43" s="9707"/>
      <c r="L43" s="9707"/>
      <c r="M43" s="9706" t="str">
        <f t="shared" si="2"/>
        <v/>
      </c>
      <c r="N43" s="9707"/>
      <c r="O43" s="9707"/>
      <c r="P43" s="9708"/>
      <c r="Q43" s="6969" t="str">
        <f t="shared" si="3"/>
        <v/>
      </c>
      <c r="R43" s="9688"/>
      <c r="S43" s="9688"/>
      <c r="T43" s="9689"/>
      <c r="U43" s="6969" t="str">
        <f t="shared" si="4"/>
        <v/>
      </c>
      <c r="V43" s="9688"/>
      <c r="W43" s="9688"/>
      <c r="X43" s="9689"/>
      <c r="Y43" s="9670" t="str">
        <f t="shared" si="18"/>
        <v/>
      </c>
      <c r="Z43" s="6222"/>
      <c r="AA43" s="9670" t="str">
        <f t="shared" si="19"/>
        <v/>
      </c>
      <c r="AB43" s="6222"/>
      <c r="AC43" s="9671" t="str">
        <f t="shared" si="7"/>
        <v/>
      </c>
      <c r="AD43" s="9672"/>
      <c r="AE43" s="9672"/>
      <c r="AF43" s="9672"/>
      <c r="AG43" s="1297">
        <f t="shared" si="8"/>
        <v>0</v>
      </c>
      <c r="AH43" s="1090"/>
      <c r="AI43" s="1090" t="e">
        <f t="shared" si="5"/>
        <v>#VALUE!</v>
      </c>
      <c r="AJ43" s="1237"/>
      <c r="AK43" s="1241"/>
      <c r="AL43" s="1241"/>
      <c r="AM43" s="1239"/>
      <c r="AN43" s="1239"/>
      <c r="AO43" s="1240"/>
      <c r="AP43" s="1239"/>
      <c r="AQ43" s="1238"/>
      <c r="AS43" s="42" t="e">
        <f t="shared" si="9"/>
        <v>#VALUE!</v>
      </c>
      <c r="AT43" s="42" t="e">
        <f t="shared" si="10"/>
        <v>#VALUE!</v>
      </c>
      <c r="AU43" s="42" t="e">
        <f t="shared" si="11"/>
        <v>#VALUE!</v>
      </c>
      <c r="AW43" s="42" t="e">
        <f t="shared" si="12"/>
        <v>#VALUE!</v>
      </c>
      <c r="AX43" s="42" t="e">
        <f t="shared" si="13"/>
        <v>#VALUE!</v>
      </c>
      <c r="AY43" s="42" t="e">
        <f t="shared" si="14"/>
        <v>#VALUE!</v>
      </c>
      <c r="BA43" s="42" t="e">
        <f t="shared" si="15"/>
        <v>#VALUE!</v>
      </c>
      <c r="BB43" s="42" t="e">
        <f t="shared" si="16"/>
        <v>#VALUE!</v>
      </c>
      <c r="BC43" s="42" t="e">
        <f t="shared" si="17"/>
        <v>#VALUE!</v>
      </c>
    </row>
    <row r="44" spans="1:55" ht="19.5" customHeight="1">
      <c r="A44" s="1127">
        <f t="shared" si="6"/>
        <v>0</v>
      </c>
      <c r="B44" s="9703" t="str">
        <f t="shared" si="0"/>
        <v/>
      </c>
      <c r="C44" s="9704"/>
      <c r="D44" s="9704"/>
      <c r="E44" s="9704"/>
      <c r="F44" s="9704"/>
      <c r="G44" s="9704"/>
      <c r="H44" s="9704"/>
      <c r="I44" s="9705"/>
      <c r="J44" s="9706" t="str">
        <f t="shared" si="1"/>
        <v/>
      </c>
      <c r="K44" s="9707"/>
      <c r="L44" s="9707"/>
      <c r="M44" s="9706" t="str">
        <f t="shared" si="2"/>
        <v/>
      </c>
      <c r="N44" s="9707"/>
      <c r="O44" s="9707"/>
      <c r="P44" s="9708"/>
      <c r="Q44" s="6969" t="str">
        <f t="shared" si="3"/>
        <v/>
      </c>
      <c r="R44" s="9688"/>
      <c r="S44" s="9688"/>
      <c r="T44" s="9689"/>
      <c r="U44" s="6969" t="str">
        <f t="shared" si="4"/>
        <v/>
      </c>
      <c r="V44" s="9688"/>
      <c r="W44" s="9688"/>
      <c r="X44" s="9689"/>
      <c r="Y44" s="9670" t="str">
        <f t="shared" si="18"/>
        <v/>
      </c>
      <c r="Z44" s="6222"/>
      <c r="AA44" s="9670" t="str">
        <f t="shared" si="19"/>
        <v/>
      </c>
      <c r="AB44" s="6222"/>
      <c r="AC44" s="9671" t="str">
        <f t="shared" si="7"/>
        <v/>
      </c>
      <c r="AD44" s="9672"/>
      <c r="AE44" s="9672"/>
      <c r="AF44" s="9672"/>
      <c r="AG44" s="1297">
        <f t="shared" si="8"/>
        <v>0</v>
      </c>
      <c r="AH44" s="1090"/>
      <c r="AI44" s="1090" t="e">
        <f t="shared" si="5"/>
        <v>#VALUE!</v>
      </c>
      <c r="AJ44" s="1237"/>
      <c r="AK44" s="1241"/>
      <c r="AL44" s="1241"/>
      <c r="AM44" s="1239"/>
      <c r="AN44" s="1239"/>
      <c r="AO44" s="1240"/>
      <c r="AP44" s="1239"/>
      <c r="AQ44" s="1238"/>
      <c r="AS44" s="42" t="e">
        <f t="shared" si="9"/>
        <v>#VALUE!</v>
      </c>
      <c r="AT44" s="42" t="e">
        <f t="shared" si="10"/>
        <v>#VALUE!</v>
      </c>
      <c r="AU44" s="42" t="e">
        <f t="shared" si="11"/>
        <v>#VALUE!</v>
      </c>
      <c r="AW44" s="42" t="e">
        <f t="shared" si="12"/>
        <v>#VALUE!</v>
      </c>
      <c r="AX44" s="42" t="e">
        <f t="shared" si="13"/>
        <v>#VALUE!</v>
      </c>
      <c r="AY44" s="42" t="e">
        <f t="shared" si="14"/>
        <v>#VALUE!</v>
      </c>
      <c r="BA44" s="42" t="e">
        <f t="shared" si="15"/>
        <v>#VALUE!</v>
      </c>
      <c r="BB44" s="42" t="e">
        <f t="shared" si="16"/>
        <v>#VALUE!</v>
      </c>
      <c r="BC44" s="42" t="e">
        <f t="shared" si="17"/>
        <v>#VALUE!</v>
      </c>
    </row>
    <row r="45" spans="1:55" ht="19.5" customHeight="1">
      <c r="A45" s="1127">
        <f t="shared" si="6"/>
        <v>0</v>
      </c>
      <c r="B45" s="9703" t="str">
        <f t="shared" si="0"/>
        <v/>
      </c>
      <c r="C45" s="9704"/>
      <c r="D45" s="9704"/>
      <c r="E45" s="9704"/>
      <c r="F45" s="9704"/>
      <c r="G45" s="9704"/>
      <c r="H45" s="9704"/>
      <c r="I45" s="9705"/>
      <c r="J45" s="9706" t="str">
        <f t="shared" si="1"/>
        <v/>
      </c>
      <c r="K45" s="9707"/>
      <c r="L45" s="9707"/>
      <c r="M45" s="9706" t="str">
        <f t="shared" si="2"/>
        <v/>
      </c>
      <c r="N45" s="9707"/>
      <c r="O45" s="9707"/>
      <c r="P45" s="9708"/>
      <c r="Q45" s="6969" t="str">
        <f t="shared" si="3"/>
        <v/>
      </c>
      <c r="R45" s="9688"/>
      <c r="S45" s="9688"/>
      <c r="T45" s="9689"/>
      <c r="U45" s="6969" t="str">
        <f t="shared" si="4"/>
        <v/>
      </c>
      <c r="V45" s="9688"/>
      <c r="W45" s="9688"/>
      <c r="X45" s="9689"/>
      <c r="Y45" s="9670" t="str">
        <f t="shared" si="18"/>
        <v/>
      </c>
      <c r="Z45" s="6222"/>
      <c r="AA45" s="9670" t="str">
        <f t="shared" si="19"/>
        <v/>
      </c>
      <c r="AB45" s="6222"/>
      <c r="AC45" s="9671" t="str">
        <f t="shared" si="7"/>
        <v/>
      </c>
      <c r="AD45" s="9672"/>
      <c r="AE45" s="9672"/>
      <c r="AF45" s="9672"/>
      <c r="AG45" s="1297">
        <f t="shared" si="8"/>
        <v>0</v>
      </c>
      <c r="AH45" s="1090"/>
      <c r="AI45" s="1090" t="e">
        <f t="shared" si="5"/>
        <v>#VALUE!</v>
      </c>
      <c r="AJ45" s="1237"/>
      <c r="AK45" s="1241"/>
      <c r="AL45" s="1241"/>
      <c r="AM45" s="1239"/>
      <c r="AN45" s="1239"/>
      <c r="AO45" s="1240"/>
      <c r="AP45" s="1239"/>
      <c r="AQ45" s="1238"/>
      <c r="AS45" s="42" t="e">
        <f t="shared" si="9"/>
        <v>#VALUE!</v>
      </c>
      <c r="AT45" s="42" t="e">
        <f t="shared" si="10"/>
        <v>#VALUE!</v>
      </c>
      <c r="AU45" s="42" t="e">
        <f t="shared" si="11"/>
        <v>#VALUE!</v>
      </c>
      <c r="AW45" s="42" t="e">
        <f t="shared" si="12"/>
        <v>#VALUE!</v>
      </c>
      <c r="AX45" s="42" t="e">
        <f t="shared" si="13"/>
        <v>#VALUE!</v>
      </c>
      <c r="AY45" s="42" t="e">
        <f t="shared" si="14"/>
        <v>#VALUE!</v>
      </c>
      <c r="BA45" s="42" t="e">
        <f t="shared" si="15"/>
        <v>#VALUE!</v>
      </c>
      <c r="BB45" s="42" t="e">
        <f t="shared" si="16"/>
        <v>#VALUE!</v>
      </c>
      <c r="BC45" s="42" t="e">
        <f t="shared" si="17"/>
        <v>#VALUE!</v>
      </c>
    </row>
    <row r="46" spans="1:55" ht="19.5" customHeight="1">
      <c r="A46" s="1127">
        <f t="shared" si="6"/>
        <v>0</v>
      </c>
      <c r="B46" s="9703" t="str">
        <f t="shared" si="0"/>
        <v/>
      </c>
      <c r="C46" s="9704"/>
      <c r="D46" s="9704"/>
      <c r="E46" s="9704"/>
      <c r="F46" s="9704"/>
      <c r="G46" s="9704"/>
      <c r="H46" s="9704"/>
      <c r="I46" s="9705"/>
      <c r="J46" s="9706" t="str">
        <f t="shared" si="1"/>
        <v/>
      </c>
      <c r="K46" s="9707"/>
      <c r="L46" s="9707"/>
      <c r="M46" s="9706" t="str">
        <f t="shared" si="2"/>
        <v/>
      </c>
      <c r="N46" s="9707"/>
      <c r="O46" s="9707"/>
      <c r="P46" s="9708"/>
      <c r="Q46" s="6969" t="str">
        <f t="shared" si="3"/>
        <v/>
      </c>
      <c r="R46" s="9688"/>
      <c r="S46" s="9688"/>
      <c r="T46" s="9689"/>
      <c r="U46" s="6969" t="str">
        <f t="shared" si="4"/>
        <v/>
      </c>
      <c r="V46" s="9688"/>
      <c r="W46" s="9688"/>
      <c r="X46" s="9689"/>
      <c r="Y46" s="9670" t="str">
        <f t="shared" si="18"/>
        <v/>
      </c>
      <c r="Z46" s="6222"/>
      <c r="AA46" s="9670" t="str">
        <f t="shared" si="19"/>
        <v/>
      </c>
      <c r="AB46" s="6222"/>
      <c r="AC46" s="9671" t="str">
        <f t="shared" si="7"/>
        <v/>
      </c>
      <c r="AD46" s="9672"/>
      <c r="AE46" s="9672"/>
      <c r="AF46" s="9672"/>
      <c r="AG46" s="1297">
        <f t="shared" si="8"/>
        <v>0</v>
      </c>
      <c r="AH46" s="1090"/>
      <c r="AI46" s="1090" t="e">
        <f t="shared" si="5"/>
        <v>#VALUE!</v>
      </c>
      <c r="AJ46" s="1237"/>
      <c r="AK46" s="1241"/>
      <c r="AL46" s="1241"/>
      <c r="AM46" s="1239"/>
      <c r="AN46" s="1239"/>
      <c r="AO46" s="1240"/>
      <c r="AP46" s="1239"/>
      <c r="AQ46" s="1238"/>
      <c r="AS46" s="42" t="e">
        <f t="shared" si="9"/>
        <v>#VALUE!</v>
      </c>
      <c r="AT46" s="42" t="e">
        <f t="shared" si="10"/>
        <v>#VALUE!</v>
      </c>
      <c r="AU46" s="42" t="e">
        <f t="shared" si="11"/>
        <v>#VALUE!</v>
      </c>
      <c r="AW46" s="42" t="e">
        <f t="shared" si="12"/>
        <v>#VALUE!</v>
      </c>
      <c r="AX46" s="42" t="e">
        <f t="shared" si="13"/>
        <v>#VALUE!</v>
      </c>
      <c r="AY46" s="42" t="e">
        <f t="shared" si="14"/>
        <v>#VALUE!</v>
      </c>
      <c r="BA46" s="42" t="e">
        <f t="shared" si="15"/>
        <v>#VALUE!</v>
      </c>
      <c r="BB46" s="42" t="e">
        <f t="shared" si="16"/>
        <v>#VALUE!</v>
      </c>
      <c r="BC46" s="42" t="e">
        <f t="shared" si="17"/>
        <v>#VALUE!</v>
      </c>
    </row>
    <row r="47" spans="1:55" ht="19.5" customHeight="1">
      <c r="A47" s="1127">
        <f t="shared" si="6"/>
        <v>0</v>
      </c>
      <c r="B47" s="9703" t="str">
        <f t="shared" si="0"/>
        <v/>
      </c>
      <c r="C47" s="9704"/>
      <c r="D47" s="9704"/>
      <c r="E47" s="9704"/>
      <c r="F47" s="9704"/>
      <c r="G47" s="9704"/>
      <c r="H47" s="9704"/>
      <c r="I47" s="9705"/>
      <c r="J47" s="9706" t="str">
        <f t="shared" si="1"/>
        <v/>
      </c>
      <c r="K47" s="9707"/>
      <c r="L47" s="9707"/>
      <c r="M47" s="9706" t="str">
        <f t="shared" si="2"/>
        <v/>
      </c>
      <c r="N47" s="9707"/>
      <c r="O47" s="9707"/>
      <c r="P47" s="9708"/>
      <c r="Q47" s="6969" t="str">
        <f t="shared" si="3"/>
        <v/>
      </c>
      <c r="R47" s="9688"/>
      <c r="S47" s="9688"/>
      <c r="T47" s="9689"/>
      <c r="U47" s="6969" t="str">
        <f t="shared" si="4"/>
        <v/>
      </c>
      <c r="V47" s="9688"/>
      <c r="W47" s="9688"/>
      <c r="X47" s="9689"/>
      <c r="Y47" s="9670" t="str">
        <f t="shared" si="18"/>
        <v/>
      </c>
      <c r="Z47" s="6222"/>
      <c r="AA47" s="9670" t="str">
        <f t="shared" si="19"/>
        <v/>
      </c>
      <c r="AB47" s="6222"/>
      <c r="AC47" s="9671" t="str">
        <f t="shared" si="7"/>
        <v/>
      </c>
      <c r="AD47" s="9672"/>
      <c r="AE47" s="9672"/>
      <c r="AF47" s="9672"/>
      <c r="AG47" s="1297">
        <f t="shared" si="8"/>
        <v>0</v>
      </c>
      <c r="AH47" s="1090"/>
      <c r="AI47" s="1090" t="e">
        <f t="shared" si="5"/>
        <v>#VALUE!</v>
      </c>
      <c r="AJ47" s="1237"/>
      <c r="AK47" s="1241"/>
      <c r="AL47" s="1241"/>
      <c r="AM47" s="1239"/>
      <c r="AN47" s="1239"/>
      <c r="AO47" s="1240"/>
      <c r="AP47" s="1239"/>
      <c r="AQ47" s="1238"/>
      <c r="AS47" s="42" t="e">
        <f t="shared" si="9"/>
        <v>#VALUE!</v>
      </c>
      <c r="AT47" s="42" t="e">
        <f t="shared" si="10"/>
        <v>#VALUE!</v>
      </c>
      <c r="AU47" s="42" t="e">
        <f t="shared" si="11"/>
        <v>#VALUE!</v>
      </c>
      <c r="AW47" s="42" t="e">
        <f t="shared" si="12"/>
        <v>#VALUE!</v>
      </c>
      <c r="AX47" s="42" t="e">
        <f t="shared" si="13"/>
        <v>#VALUE!</v>
      </c>
      <c r="AY47" s="42" t="e">
        <f t="shared" si="14"/>
        <v>#VALUE!</v>
      </c>
      <c r="BA47" s="42" t="e">
        <f t="shared" si="15"/>
        <v>#VALUE!</v>
      </c>
      <c r="BB47" s="42" t="e">
        <f t="shared" si="16"/>
        <v>#VALUE!</v>
      </c>
      <c r="BC47" s="42" t="e">
        <f t="shared" si="17"/>
        <v>#VALUE!</v>
      </c>
    </row>
    <row r="48" spans="1:55" ht="19.5" customHeight="1">
      <c r="A48" s="1127">
        <f t="shared" si="6"/>
        <v>0</v>
      </c>
      <c r="B48" s="9703" t="str">
        <f t="shared" si="0"/>
        <v/>
      </c>
      <c r="C48" s="9704"/>
      <c r="D48" s="9704"/>
      <c r="E48" s="9704"/>
      <c r="F48" s="9704"/>
      <c r="G48" s="9704"/>
      <c r="H48" s="9704"/>
      <c r="I48" s="9705"/>
      <c r="J48" s="9706" t="str">
        <f t="shared" si="1"/>
        <v/>
      </c>
      <c r="K48" s="9707"/>
      <c r="L48" s="9707"/>
      <c r="M48" s="9706" t="str">
        <f t="shared" si="2"/>
        <v/>
      </c>
      <c r="N48" s="9707"/>
      <c r="O48" s="9707"/>
      <c r="P48" s="9708"/>
      <c r="Q48" s="6969" t="str">
        <f t="shared" si="3"/>
        <v/>
      </c>
      <c r="R48" s="9688"/>
      <c r="S48" s="9688"/>
      <c r="T48" s="9689"/>
      <c r="U48" s="6969" t="str">
        <f t="shared" si="4"/>
        <v/>
      </c>
      <c r="V48" s="9688"/>
      <c r="W48" s="9688"/>
      <c r="X48" s="9689"/>
      <c r="Y48" s="9670" t="str">
        <f t="shared" si="18"/>
        <v/>
      </c>
      <c r="Z48" s="6222"/>
      <c r="AA48" s="9670" t="str">
        <f t="shared" si="19"/>
        <v/>
      </c>
      <c r="AB48" s="6222"/>
      <c r="AC48" s="9671" t="str">
        <f t="shared" si="7"/>
        <v/>
      </c>
      <c r="AD48" s="9672"/>
      <c r="AE48" s="9672"/>
      <c r="AF48" s="9672"/>
      <c r="AG48" s="1297">
        <f t="shared" si="8"/>
        <v>0</v>
      </c>
      <c r="AH48" s="1090"/>
      <c r="AI48" s="1090" t="e">
        <f t="shared" si="5"/>
        <v>#VALUE!</v>
      </c>
      <c r="AJ48" s="1237"/>
      <c r="AK48" s="1241"/>
      <c r="AL48" s="1241"/>
      <c r="AM48" s="1239"/>
      <c r="AN48" s="1239"/>
      <c r="AO48" s="1240"/>
      <c r="AP48" s="1239"/>
      <c r="AQ48" s="1238"/>
      <c r="AS48" s="42" t="e">
        <f t="shared" si="9"/>
        <v>#VALUE!</v>
      </c>
      <c r="AT48" s="42" t="e">
        <f t="shared" si="10"/>
        <v>#VALUE!</v>
      </c>
      <c r="AU48" s="42" t="e">
        <f t="shared" si="11"/>
        <v>#VALUE!</v>
      </c>
      <c r="AW48" s="42" t="e">
        <f t="shared" si="12"/>
        <v>#VALUE!</v>
      </c>
      <c r="AX48" s="42" t="e">
        <f t="shared" si="13"/>
        <v>#VALUE!</v>
      </c>
      <c r="AY48" s="42" t="e">
        <f t="shared" si="14"/>
        <v>#VALUE!</v>
      </c>
      <c r="BA48" s="42" t="e">
        <f t="shared" si="15"/>
        <v>#VALUE!</v>
      </c>
      <c r="BB48" s="42" t="e">
        <f t="shared" si="16"/>
        <v>#VALUE!</v>
      </c>
      <c r="BC48" s="42" t="e">
        <f t="shared" si="17"/>
        <v>#VALUE!</v>
      </c>
    </row>
    <row r="49" spans="1:55" ht="19.5" customHeight="1">
      <c r="A49" s="1127">
        <f t="shared" si="6"/>
        <v>0</v>
      </c>
      <c r="B49" s="9703" t="str">
        <f t="shared" si="0"/>
        <v/>
      </c>
      <c r="C49" s="9704"/>
      <c r="D49" s="9704"/>
      <c r="E49" s="9704"/>
      <c r="F49" s="9704"/>
      <c r="G49" s="9704"/>
      <c r="H49" s="9704"/>
      <c r="I49" s="9705"/>
      <c r="J49" s="9706" t="str">
        <f t="shared" si="1"/>
        <v/>
      </c>
      <c r="K49" s="9707"/>
      <c r="L49" s="9707"/>
      <c r="M49" s="9706" t="str">
        <f t="shared" si="2"/>
        <v/>
      </c>
      <c r="N49" s="9707"/>
      <c r="O49" s="9707"/>
      <c r="P49" s="9708"/>
      <c r="Q49" s="6969" t="str">
        <f t="shared" si="3"/>
        <v/>
      </c>
      <c r="R49" s="9688"/>
      <c r="S49" s="9688"/>
      <c r="T49" s="9689"/>
      <c r="U49" s="6969" t="str">
        <f t="shared" si="4"/>
        <v/>
      </c>
      <c r="V49" s="9688"/>
      <c r="W49" s="9688"/>
      <c r="X49" s="9689"/>
      <c r="Y49" s="9670" t="str">
        <f t="shared" si="18"/>
        <v/>
      </c>
      <c r="Z49" s="6222"/>
      <c r="AA49" s="9670" t="str">
        <f t="shared" si="19"/>
        <v/>
      </c>
      <c r="AB49" s="6222"/>
      <c r="AC49" s="9671" t="str">
        <f t="shared" si="7"/>
        <v/>
      </c>
      <c r="AD49" s="9672"/>
      <c r="AE49" s="9672"/>
      <c r="AF49" s="9672"/>
      <c r="AG49" s="1297">
        <f t="shared" si="8"/>
        <v>0</v>
      </c>
      <c r="AH49" s="1090"/>
      <c r="AI49" s="1090" t="e">
        <f t="shared" si="5"/>
        <v>#VALUE!</v>
      </c>
      <c r="AJ49" s="1237"/>
      <c r="AK49" s="1241"/>
      <c r="AL49" s="1241"/>
      <c r="AM49" s="1239"/>
      <c r="AN49" s="1239"/>
      <c r="AO49" s="1240"/>
      <c r="AP49" s="1239"/>
      <c r="AQ49" s="1238"/>
      <c r="AS49" s="42" t="e">
        <f t="shared" si="9"/>
        <v>#VALUE!</v>
      </c>
      <c r="AT49" s="42" t="e">
        <f t="shared" si="10"/>
        <v>#VALUE!</v>
      </c>
      <c r="AU49" s="42" t="e">
        <f t="shared" si="11"/>
        <v>#VALUE!</v>
      </c>
      <c r="AW49" s="42" t="e">
        <f t="shared" si="12"/>
        <v>#VALUE!</v>
      </c>
      <c r="AX49" s="42" t="e">
        <f t="shared" si="13"/>
        <v>#VALUE!</v>
      </c>
      <c r="AY49" s="42" t="e">
        <f t="shared" si="14"/>
        <v>#VALUE!</v>
      </c>
      <c r="BA49" s="42" t="e">
        <f t="shared" si="15"/>
        <v>#VALUE!</v>
      </c>
      <c r="BB49" s="42" t="e">
        <f t="shared" si="16"/>
        <v>#VALUE!</v>
      </c>
      <c r="BC49" s="42" t="e">
        <f t="shared" si="17"/>
        <v>#VALUE!</v>
      </c>
    </row>
    <row r="50" spans="1:55" ht="19.5" customHeight="1">
      <c r="A50" s="1127">
        <f t="shared" si="6"/>
        <v>0</v>
      </c>
      <c r="B50" s="9703" t="str">
        <f t="shared" si="0"/>
        <v/>
      </c>
      <c r="C50" s="9704"/>
      <c r="D50" s="9704"/>
      <c r="E50" s="9704"/>
      <c r="F50" s="9704"/>
      <c r="G50" s="9704"/>
      <c r="H50" s="9704"/>
      <c r="I50" s="9705"/>
      <c r="J50" s="9706" t="str">
        <f t="shared" si="1"/>
        <v/>
      </c>
      <c r="K50" s="9707"/>
      <c r="L50" s="9707"/>
      <c r="M50" s="9706" t="str">
        <f t="shared" si="2"/>
        <v/>
      </c>
      <c r="N50" s="9707"/>
      <c r="O50" s="9707"/>
      <c r="P50" s="9708"/>
      <c r="Q50" s="6969" t="str">
        <f t="shared" si="3"/>
        <v/>
      </c>
      <c r="R50" s="9688"/>
      <c r="S50" s="9688"/>
      <c r="T50" s="9689"/>
      <c r="U50" s="6969" t="str">
        <f t="shared" si="4"/>
        <v/>
      </c>
      <c r="V50" s="9688"/>
      <c r="W50" s="9688"/>
      <c r="X50" s="9689"/>
      <c r="Y50" s="9670" t="str">
        <f t="shared" si="18"/>
        <v/>
      </c>
      <c r="Z50" s="6222"/>
      <c r="AA50" s="9670" t="str">
        <f t="shared" si="19"/>
        <v/>
      </c>
      <c r="AB50" s="6222"/>
      <c r="AC50" s="9671" t="str">
        <f t="shared" si="7"/>
        <v/>
      </c>
      <c r="AD50" s="9672"/>
      <c r="AE50" s="9672"/>
      <c r="AF50" s="9672"/>
      <c r="AG50" s="1297">
        <f t="shared" si="8"/>
        <v>0</v>
      </c>
      <c r="AH50" s="1090"/>
      <c r="AI50" s="1090" t="e">
        <f t="shared" si="5"/>
        <v>#VALUE!</v>
      </c>
      <c r="AJ50" s="1237"/>
      <c r="AK50" s="1241"/>
      <c r="AL50" s="1241"/>
      <c r="AM50" s="1239"/>
      <c r="AN50" s="1239"/>
      <c r="AO50" s="1240"/>
      <c r="AP50" s="1239"/>
      <c r="AQ50" s="1238"/>
      <c r="AS50" s="42" t="e">
        <f t="shared" si="9"/>
        <v>#VALUE!</v>
      </c>
      <c r="AT50" s="42" t="e">
        <f t="shared" si="10"/>
        <v>#VALUE!</v>
      </c>
      <c r="AU50" s="42" t="e">
        <f t="shared" si="11"/>
        <v>#VALUE!</v>
      </c>
      <c r="AW50" s="42" t="e">
        <f t="shared" si="12"/>
        <v>#VALUE!</v>
      </c>
      <c r="AX50" s="42" t="e">
        <f t="shared" si="13"/>
        <v>#VALUE!</v>
      </c>
      <c r="AY50" s="42" t="e">
        <f t="shared" si="14"/>
        <v>#VALUE!</v>
      </c>
      <c r="BA50" s="42" t="e">
        <f t="shared" si="15"/>
        <v>#VALUE!</v>
      </c>
      <c r="BB50" s="42" t="e">
        <f t="shared" si="16"/>
        <v>#VALUE!</v>
      </c>
      <c r="BC50" s="42" t="e">
        <f t="shared" si="17"/>
        <v>#VALUE!</v>
      </c>
    </row>
    <row r="51" spans="1:55" ht="19.5" customHeight="1">
      <c r="A51" s="1127">
        <f t="shared" si="6"/>
        <v>0</v>
      </c>
      <c r="B51" s="9703" t="str">
        <f t="shared" si="0"/>
        <v/>
      </c>
      <c r="C51" s="9704"/>
      <c r="D51" s="9704"/>
      <c r="E51" s="9704"/>
      <c r="F51" s="9704"/>
      <c r="G51" s="9704"/>
      <c r="H51" s="9704"/>
      <c r="I51" s="9705"/>
      <c r="J51" s="9706" t="str">
        <f t="shared" si="1"/>
        <v/>
      </c>
      <c r="K51" s="9707"/>
      <c r="L51" s="9707"/>
      <c r="M51" s="9706" t="str">
        <f t="shared" si="2"/>
        <v/>
      </c>
      <c r="N51" s="9707"/>
      <c r="O51" s="9707"/>
      <c r="P51" s="9708"/>
      <c r="Q51" s="6969" t="str">
        <f t="shared" si="3"/>
        <v/>
      </c>
      <c r="R51" s="9688"/>
      <c r="S51" s="9688"/>
      <c r="T51" s="9689"/>
      <c r="U51" s="6969" t="str">
        <f t="shared" si="4"/>
        <v/>
      </c>
      <c r="V51" s="9688"/>
      <c r="W51" s="9688"/>
      <c r="X51" s="9689"/>
      <c r="Y51" s="9670" t="str">
        <f t="shared" si="18"/>
        <v/>
      </c>
      <c r="Z51" s="6222"/>
      <c r="AA51" s="9670" t="str">
        <f t="shared" si="19"/>
        <v/>
      </c>
      <c r="AB51" s="6222"/>
      <c r="AC51" s="9671" t="str">
        <f t="shared" si="7"/>
        <v/>
      </c>
      <c r="AD51" s="9672"/>
      <c r="AE51" s="9672"/>
      <c r="AF51" s="9672"/>
      <c r="AG51" s="1297">
        <f t="shared" si="8"/>
        <v>0</v>
      </c>
      <c r="AH51" s="1090"/>
      <c r="AI51" s="1090" t="e">
        <f t="shared" si="5"/>
        <v>#VALUE!</v>
      </c>
      <c r="AJ51" s="1237"/>
      <c r="AK51" s="1241"/>
      <c r="AL51" s="1241"/>
      <c r="AM51" s="1239"/>
      <c r="AN51" s="1239"/>
      <c r="AO51" s="1240"/>
      <c r="AP51" s="1239"/>
      <c r="AQ51" s="1238"/>
      <c r="AS51" s="42" t="e">
        <f t="shared" si="9"/>
        <v>#VALUE!</v>
      </c>
      <c r="AT51" s="42" t="e">
        <f t="shared" si="10"/>
        <v>#VALUE!</v>
      </c>
      <c r="AU51" s="42" t="e">
        <f t="shared" si="11"/>
        <v>#VALUE!</v>
      </c>
      <c r="AW51" s="42" t="e">
        <f t="shared" si="12"/>
        <v>#VALUE!</v>
      </c>
      <c r="AX51" s="42" t="e">
        <f t="shared" si="13"/>
        <v>#VALUE!</v>
      </c>
      <c r="AY51" s="42" t="e">
        <f t="shared" si="14"/>
        <v>#VALUE!</v>
      </c>
      <c r="BA51" s="42" t="e">
        <f t="shared" si="15"/>
        <v>#VALUE!</v>
      </c>
      <c r="BB51" s="42" t="e">
        <f t="shared" si="16"/>
        <v>#VALUE!</v>
      </c>
      <c r="BC51" s="42" t="e">
        <f t="shared" si="17"/>
        <v>#VALUE!</v>
      </c>
    </row>
    <row r="52" spans="1:55" ht="19.5" customHeight="1">
      <c r="A52" s="1127">
        <f t="shared" si="6"/>
        <v>0</v>
      </c>
      <c r="B52" s="9703" t="str">
        <f t="shared" si="0"/>
        <v/>
      </c>
      <c r="C52" s="9704"/>
      <c r="D52" s="9704"/>
      <c r="E52" s="9704"/>
      <c r="F52" s="9704"/>
      <c r="G52" s="9704"/>
      <c r="H52" s="9704"/>
      <c r="I52" s="9705"/>
      <c r="J52" s="9706" t="str">
        <f t="shared" si="1"/>
        <v/>
      </c>
      <c r="K52" s="9707"/>
      <c r="L52" s="9707"/>
      <c r="M52" s="9706" t="str">
        <f t="shared" si="2"/>
        <v/>
      </c>
      <c r="N52" s="9707"/>
      <c r="O52" s="9707"/>
      <c r="P52" s="9708"/>
      <c r="Q52" s="6969" t="str">
        <f t="shared" si="3"/>
        <v/>
      </c>
      <c r="R52" s="9688"/>
      <c r="S52" s="9688"/>
      <c r="T52" s="9689"/>
      <c r="U52" s="6969" t="str">
        <f t="shared" si="4"/>
        <v/>
      </c>
      <c r="V52" s="9688"/>
      <c r="W52" s="9688"/>
      <c r="X52" s="9689"/>
      <c r="Y52" s="9670" t="str">
        <f t="shared" si="18"/>
        <v/>
      </c>
      <c r="Z52" s="6222"/>
      <c r="AA52" s="9670" t="str">
        <f t="shared" si="19"/>
        <v/>
      </c>
      <c r="AB52" s="6222"/>
      <c r="AC52" s="9671" t="str">
        <f t="shared" si="7"/>
        <v/>
      </c>
      <c r="AD52" s="9672"/>
      <c r="AE52" s="9672"/>
      <c r="AF52" s="9672"/>
      <c r="AG52" s="1297">
        <f t="shared" si="8"/>
        <v>0</v>
      </c>
      <c r="AH52" s="1090"/>
      <c r="AI52" s="1090" t="e">
        <f t="shared" si="5"/>
        <v>#VALUE!</v>
      </c>
      <c r="AJ52" s="1237"/>
      <c r="AK52" s="1241"/>
      <c r="AL52" s="1241"/>
      <c r="AM52" s="1239"/>
      <c r="AN52" s="1239"/>
      <c r="AO52" s="1240"/>
      <c r="AP52" s="1239"/>
      <c r="AQ52" s="1238"/>
      <c r="AS52" s="42" t="e">
        <f t="shared" si="9"/>
        <v>#VALUE!</v>
      </c>
      <c r="AT52" s="42" t="e">
        <f t="shared" si="10"/>
        <v>#VALUE!</v>
      </c>
      <c r="AU52" s="42" t="e">
        <f t="shared" si="11"/>
        <v>#VALUE!</v>
      </c>
      <c r="AW52" s="42" t="e">
        <f t="shared" si="12"/>
        <v>#VALUE!</v>
      </c>
      <c r="AX52" s="42" t="e">
        <f t="shared" si="13"/>
        <v>#VALUE!</v>
      </c>
      <c r="AY52" s="42" t="e">
        <f t="shared" si="14"/>
        <v>#VALUE!</v>
      </c>
      <c r="BA52" s="42" t="e">
        <f t="shared" si="15"/>
        <v>#VALUE!</v>
      </c>
      <c r="BB52" s="42" t="e">
        <f t="shared" si="16"/>
        <v>#VALUE!</v>
      </c>
      <c r="BC52" s="42" t="e">
        <f t="shared" si="17"/>
        <v>#VALUE!</v>
      </c>
    </row>
    <row r="53" spans="1:55" ht="19.5" customHeight="1">
      <c r="A53" s="1127">
        <f t="shared" si="6"/>
        <v>0</v>
      </c>
      <c r="B53" s="9703" t="str">
        <f t="shared" si="0"/>
        <v/>
      </c>
      <c r="C53" s="9704"/>
      <c r="D53" s="9704"/>
      <c r="E53" s="9704"/>
      <c r="F53" s="9704"/>
      <c r="G53" s="9704"/>
      <c r="H53" s="9704"/>
      <c r="I53" s="9705"/>
      <c r="J53" s="9706" t="str">
        <f t="shared" si="1"/>
        <v/>
      </c>
      <c r="K53" s="9707"/>
      <c r="L53" s="9707"/>
      <c r="M53" s="9706" t="str">
        <f t="shared" si="2"/>
        <v/>
      </c>
      <c r="N53" s="9707"/>
      <c r="O53" s="9707"/>
      <c r="P53" s="9708"/>
      <c r="Q53" s="6969" t="str">
        <f t="shared" si="3"/>
        <v/>
      </c>
      <c r="R53" s="9688"/>
      <c r="S53" s="9688"/>
      <c r="T53" s="9689"/>
      <c r="U53" s="6969" t="str">
        <f t="shared" si="4"/>
        <v/>
      </c>
      <c r="V53" s="9688"/>
      <c r="W53" s="9688"/>
      <c r="X53" s="9689"/>
      <c r="Y53" s="9670" t="str">
        <f t="shared" si="18"/>
        <v/>
      </c>
      <c r="Z53" s="6222"/>
      <c r="AA53" s="9670" t="str">
        <f t="shared" si="19"/>
        <v/>
      </c>
      <c r="AB53" s="6222"/>
      <c r="AC53" s="9671" t="str">
        <f t="shared" si="7"/>
        <v/>
      </c>
      <c r="AD53" s="9672"/>
      <c r="AE53" s="9672"/>
      <c r="AF53" s="9672"/>
      <c r="AG53" s="1297">
        <f t="shared" si="8"/>
        <v>0</v>
      </c>
      <c r="AH53" s="1090"/>
      <c r="AI53" s="1090" t="e">
        <f t="shared" si="5"/>
        <v>#VALUE!</v>
      </c>
      <c r="AJ53" s="1237"/>
      <c r="AK53" s="1241"/>
      <c r="AL53" s="1241"/>
      <c r="AM53" s="1239"/>
      <c r="AN53" s="1239"/>
      <c r="AO53" s="1240"/>
      <c r="AP53" s="1239"/>
      <c r="AQ53" s="1238"/>
      <c r="AS53" s="42" t="e">
        <f t="shared" si="9"/>
        <v>#VALUE!</v>
      </c>
      <c r="AT53" s="42" t="e">
        <f t="shared" si="10"/>
        <v>#VALUE!</v>
      </c>
      <c r="AU53" s="42" t="e">
        <f t="shared" si="11"/>
        <v>#VALUE!</v>
      </c>
      <c r="AW53" s="42" t="e">
        <f t="shared" si="12"/>
        <v>#VALUE!</v>
      </c>
      <c r="AX53" s="42" t="e">
        <f t="shared" si="13"/>
        <v>#VALUE!</v>
      </c>
      <c r="AY53" s="42" t="e">
        <f t="shared" si="14"/>
        <v>#VALUE!</v>
      </c>
      <c r="BA53" s="42" t="e">
        <f t="shared" si="15"/>
        <v>#VALUE!</v>
      </c>
      <c r="BB53" s="42" t="e">
        <f t="shared" si="16"/>
        <v>#VALUE!</v>
      </c>
      <c r="BC53" s="42" t="e">
        <f t="shared" si="17"/>
        <v>#VALUE!</v>
      </c>
    </row>
    <row r="54" spans="1:55" ht="19.5" customHeight="1">
      <c r="A54" s="1127">
        <f t="shared" si="6"/>
        <v>0</v>
      </c>
      <c r="B54" s="9703" t="str">
        <f t="shared" si="0"/>
        <v/>
      </c>
      <c r="C54" s="9704"/>
      <c r="D54" s="9704"/>
      <c r="E54" s="9704"/>
      <c r="F54" s="9704"/>
      <c r="G54" s="9704"/>
      <c r="H54" s="9704"/>
      <c r="I54" s="9705"/>
      <c r="J54" s="9706" t="str">
        <f t="shared" si="1"/>
        <v/>
      </c>
      <c r="K54" s="9707"/>
      <c r="L54" s="9707"/>
      <c r="M54" s="9706" t="str">
        <f t="shared" si="2"/>
        <v/>
      </c>
      <c r="N54" s="9707"/>
      <c r="O54" s="9707"/>
      <c r="P54" s="9708"/>
      <c r="Q54" s="6969" t="str">
        <f t="shared" si="3"/>
        <v/>
      </c>
      <c r="R54" s="9688"/>
      <c r="S54" s="9688"/>
      <c r="T54" s="9689"/>
      <c r="U54" s="6969" t="str">
        <f t="shared" si="4"/>
        <v/>
      </c>
      <c r="V54" s="9688"/>
      <c r="W54" s="9688"/>
      <c r="X54" s="9689"/>
      <c r="Y54" s="9670" t="str">
        <f t="shared" si="18"/>
        <v/>
      </c>
      <c r="Z54" s="6222"/>
      <c r="AA54" s="9670" t="str">
        <f t="shared" si="19"/>
        <v/>
      </c>
      <c r="AB54" s="6222"/>
      <c r="AC54" s="9671" t="str">
        <f t="shared" si="7"/>
        <v/>
      </c>
      <c r="AD54" s="9672"/>
      <c r="AE54" s="9672"/>
      <c r="AF54" s="9672"/>
      <c r="AG54" s="1297">
        <f t="shared" si="8"/>
        <v>0</v>
      </c>
      <c r="AH54" s="1090"/>
      <c r="AI54" s="1090" t="e">
        <f t="shared" si="5"/>
        <v>#VALUE!</v>
      </c>
      <c r="AJ54" s="1237"/>
      <c r="AK54" s="1241"/>
      <c r="AL54" s="1241"/>
      <c r="AM54" s="1239"/>
      <c r="AN54" s="1239"/>
      <c r="AO54" s="1240"/>
      <c r="AP54" s="1239"/>
      <c r="AQ54" s="1238"/>
      <c r="AS54" s="42" t="e">
        <f t="shared" si="9"/>
        <v>#VALUE!</v>
      </c>
      <c r="AT54" s="42" t="e">
        <f t="shared" si="10"/>
        <v>#VALUE!</v>
      </c>
      <c r="AU54" s="42" t="e">
        <f t="shared" si="11"/>
        <v>#VALUE!</v>
      </c>
      <c r="AW54" s="42" t="e">
        <f t="shared" si="12"/>
        <v>#VALUE!</v>
      </c>
      <c r="AX54" s="42" t="e">
        <f t="shared" si="13"/>
        <v>#VALUE!</v>
      </c>
      <c r="AY54" s="42" t="e">
        <f t="shared" si="14"/>
        <v>#VALUE!</v>
      </c>
      <c r="BA54" s="42" t="e">
        <f t="shared" si="15"/>
        <v>#VALUE!</v>
      </c>
      <c r="BB54" s="42" t="e">
        <f t="shared" si="16"/>
        <v>#VALUE!</v>
      </c>
      <c r="BC54" s="42" t="e">
        <f t="shared" si="17"/>
        <v>#VALUE!</v>
      </c>
    </row>
    <row r="55" spans="1:55" ht="11.25" customHeight="1">
      <c r="A55" s="1127">
        <f>SUM(A35:A54)</f>
        <v>0</v>
      </c>
      <c r="B55" s="9793">
        <v>2</v>
      </c>
      <c r="C55" s="9780" t="s">
        <v>2059</v>
      </c>
      <c r="D55" s="9781"/>
      <c r="E55" s="9781"/>
      <c r="F55" s="9781"/>
      <c r="G55" s="9781"/>
      <c r="H55" s="9781"/>
      <c r="I55" s="9781"/>
      <c r="J55" s="9781"/>
      <c r="K55" s="9781"/>
      <c r="L55" s="9781"/>
      <c r="M55" s="9781"/>
      <c r="N55" s="9781"/>
      <c r="O55" s="9781"/>
      <c r="P55" s="9781"/>
      <c r="Q55" s="9680" t="str">
        <f>IF(A55=0,"",ROUND(SUM(Q35:Q54),0))</f>
        <v/>
      </c>
      <c r="R55" s="9783"/>
      <c r="S55" s="9783"/>
      <c r="T55" s="9681"/>
      <c r="U55" s="9680" t="str">
        <f>IF(A55=0,"",ROUND(SUM(U35:U54),0))</f>
        <v/>
      </c>
      <c r="V55" s="9761"/>
      <c r="W55" s="9761"/>
      <c r="X55" s="9762"/>
      <c r="Y55" s="9769"/>
      <c r="Z55" s="9770"/>
      <c r="AA55" s="9680" t="str">
        <f>IF(A55=0,"",ROUND(SUM(AA35:AA54),0))</f>
        <v/>
      </c>
      <c r="AB55" s="9681"/>
      <c r="AC55" s="9680" t="str">
        <f>IF(A55=0,"",ROUND(SUM(AC35:AC54),0))</f>
        <v/>
      </c>
      <c r="AD55" s="9761"/>
      <c r="AE55" s="9761"/>
      <c r="AF55" s="9761"/>
      <c r="AG55" s="1127"/>
    </row>
    <row r="56" spans="1:55" ht="11.25" customHeight="1">
      <c r="A56" s="1127"/>
      <c r="B56" s="9794"/>
      <c r="C56" s="9782"/>
      <c r="D56" s="9782"/>
      <c r="E56" s="9782"/>
      <c r="F56" s="9782"/>
      <c r="G56" s="9782"/>
      <c r="H56" s="9782"/>
      <c r="I56" s="9782"/>
      <c r="J56" s="9782"/>
      <c r="K56" s="9782"/>
      <c r="L56" s="9782"/>
      <c r="M56" s="9782"/>
      <c r="N56" s="9782"/>
      <c r="O56" s="9782"/>
      <c r="P56" s="9782"/>
      <c r="Q56" s="9682"/>
      <c r="R56" s="9784"/>
      <c r="S56" s="9784"/>
      <c r="T56" s="9683"/>
      <c r="U56" s="9763"/>
      <c r="V56" s="9764"/>
      <c r="W56" s="9764"/>
      <c r="X56" s="9765"/>
      <c r="Y56" s="9771"/>
      <c r="Z56" s="9772"/>
      <c r="AA56" s="9682"/>
      <c r="AB56" s="9683"/>
      <c r="AC56" s="9763"/>
      <c r="AD56" s="9764"/>
      <c r="AE56" s="9764"/>
      <c r="AF56" s="9764"/>
      <c r="AG56" s="1127"/>
    </row>
    <row r="57" spans="1:55" ht="11.25" customHeight="1">
      <c r="A57" s="1127"/>
      <c r="B57" s="9794"/>
      <c r="C57" s="9782"/>
      <c r="D57" s="9782"/>
      <c r="E57" s="9782"/>
      <c r="F57" s="9782"/>
      <c r="G57" s="9782"/>
      <c r="H57" s="9782"/>
      <c r="I57" s="9782"/>
      <c r="J57" s="9782"/>
      <c r="K57" s="9782"/>
      <c r="L57" s="9782"/>
      <c r="M57" s="9782"/>
      <c r="N57" s="9782"/>
      <c r="O57" s="9782"/>
      <c r="P57" s="9782"/>
      <c r="Q57" s="9682"/>
      <c r="R57" s="9784"/>
      <c r="S57" s="9784"/>
      <c r="T57" s="9683"/>
      <c r="U57" s="9763"/>
      <c r="V57" s="9764"/>
      <c r="W57" s="9764"/>
      <c r="X57" s="9765"/>
      <c r="Y57" s="9771"/>
      <c r="Z57" s="9772"/>
      <c r="AA57" s="9682"/>
      <c r="AB57" s="9683"/>
      <c r="AC57" s="9763"/>
      <c r="AD57" s="9764"/>
      <c r="AE57" s="9764"/>
      <c r="AF57" s="9764"/>
      <c r="AG57" s="1127"/>
    </row>
    <row r="58" spans="1:55" ht="11.25" customHeight="1">
      <c r="A58" s="1127"/>
      <c r="B58" s="9794"/>
      <c r="C58" s="9782"/>
      <c r="D58" s="9782"/>
      <c r="E58" s="9782"/>
      <c r="F58" s="9782"/>
      <c r="G58" s="9782"/>
      <c r="H58" s="9782"/>
      <c r="I58" s="9782"/>
      <c r="J58" s="9782"/>
      <c r="K58" s="9782"/>
      <c r="L58" s="9782"/>
      <c r="M58" s="9782"/>
      <c r="N58" s="9782"/>
      <c r="O58" s="9782"/>
      <c r="P58" s="9782"/>
      <c r="Q58" s="9682"/>
      <c r="R58" s="9784"/>
      <c r="S58" s="9784"/>
      <c r="T58" s="9683"/>
      <c r="U58" s="9763"/>
      <c r="V58" s="9764"/>
      <c r="W58" s="9764"/>
      <c r="X58" s="9765"/>
      <c r="Y58" s="9771"/>
      <c r="Z58" s="9772"/>
      <c r="AA58" s="9682"/>
      <c r="AB58" s="9683"/>
      <c r="AC58" s="9763"/>
      <c r="AD58" s="9764"/>
      <c r="AE58" s="9764"/>
      <c r="AF58" s="9764"/>
      <c r="AG58" s="1127"/>
    </row>
    <row r="59" spans="1:55" ht="9" customHeight="1">
      <c r="A59" s="1127"/>
      <c r="B59" s="9794"/>
      <c r="C59" s="9782"/>
      <c r="D59" s="9782"/>
      <c r="E59" s="9782"/>
      <c r="F59" s="9782"/>
      <c r="G59" s="9782"/>
      <c r="H59" s="9782"/>
      <c r="I59" s="9782"/>
      <c r="J59" s="9782"/>
      <c r="K59" s="9782"/>
      <c r="L59" s="9782"/>
      <c r="M59" s="9782"/>
      <c r="N59" s="9782"/>
      <c r="O59" s="9782"/>
      <c r="P59" s="9782"/>
      <c r="Q59" s="9682"/>
      <c r="R59" s="9784"/>
      <c r="S59" s="9784"/>
      <c r="T59" s="9683"/>
      <c r="U59" s="9790"/>
      <c r="V59" s="9791"/>
      <c r="W59" s="9791"/>
      <c r="X59" s="9792"/>
      <c r="Y59" s="9773"/>
      <c r="Z59" s="9774"/>
      <c r="AA59" s="9684"/>
      <c r="AB59" s="9685"/>
      <c r="AC59" s="9763"/>
      <c r="AD59" s="9764"/>
      <c r="AE59" s="9764"/>
      <c r="AF59" s="9764"/>
      <c r="AG59" s="1127"/>
    </row>
    <row r="60" spans="1:55" ht="25.5" customHeight="1" thickBot="1">
      <c r="A60" s="1127"/>
      <c r="B60" s="9785" t="s">
        <v>2812</v>
      </c>
      <c r="C60" s="9786"/>
      <c r="D60" s="9786"/>
      <c r="E60" s="9786"/>
      <c r="F60" s="9786"/>
      <c r="G60" s="9786"/>
      <c r="H60" s="9786"/>
      <c r="I60" s="9786"/>
      <c r="J60" s="9786"/>
      <c r="K60" s="9786"/>
      <c r="L60" s="9786"/>
      <c r="M60" s="9786"/>
      <c r="N60" s="9786"/>
      <c r="O60" s="9786"/>
      <c r="P60" s="9786"/>
      <c r="Q60" s="9786"/>
      <c r="R60" s="9786"/>
      <c r="S60" s="9786"/>
      <c r="T60" s="9786"/>
      <c r="U60" s="9787"/>
      <c r="V60" s="9787"/>
      <c r="W60" s="9787"/>
      <c r="X60" s="9787"/>
      <c r="Y60" s="9786"/>
      <c r="Z60" s="9786"/>
      <c r="AA60" s="9786"/>
      <c r="AB60" s="9786"/>
      <c r="AC60" s="9786"/>
      <c r="AD60" s="9786"/>
      <c r="AE60" s="9786"/>
      <c r="AF60" s="9786"/>
      <c r="AG60" s="1127"/>
      <c r="AJ60" s="989"/>
    </row>
    <row r="61" spans="1:55" ht="16.5" thickTop="1">
      <c r="A61" s="1127"/>
      <c r="B61" s="4759" t="s">
        <v>484</v>
      </c>
      <c r="C61" s="23"/>
      <c r="D61" s="23"/>
      <c r="E61" s="23"/>
      <c r="F61" s="23"/>
      <c r="G61" s="23"/>
      <c r="H61" s="23"/>
      <c r="I61" s="23"/>
      <c r="J61" s="23"/>
      <c r="K61" s="23"/>
      <c r="L61" s="23"/>
      <c r="M61" s="23"/>
      <c r="N61" s="23"/>
      <c r="O61" s="23"/>
      <c r="P61" s="23"/>
      <c r="Q61" s="23"/>
      <c r="R61" s="23"/>
      <c r="S61" s="23"/>
      <c r="T61" s="23"/>
      <c r="U61" s="501" t="s">
        <v>621</v>
      </c>
      <c r="V61" s="23"/>
      <c r="W61" s="23"/>
      <c r="X61" s="23"/>
      <c r="Y61" s="23"/>
      <c r="Z61" s="23"/>
      <c r="AA61" s="23"/>
      <c r="AB61" s="23"/>
      <c r="AC61" s="23"/>
      <c r="AD61" s="1035" t="s">
        <v>632</v>
      </c>
      <c r="AE61" s="23"/>
      <c r="AF61" s="3559" t="str">
        <f>"("&amp;TaxYear&amp;")"</f>
        <v>(2021)</v>
      </c>
      <c r="AG61" s="1127"/>
    </row>
    <row r="62" spans="1:55" ht="15.75">
      <c r="A62" s="1127"/>
      <c r="B62" s="32" t="str">
        <f>"Form 8949 ("&amp;TaxYear&amp;")"</f>
        <v>Form 8949 (2021)</v>
      </c>
      <c r="C62" s="41"/>
      <c r="D62" s="41"/>
      <c r="E62" s="41"/>
      <c r="F62" s="41"/>
      <c r="G62" s="41"/>
      <c r="H62" s="41"/>
      <c r="I62" s="41"/>
      <c r="J62" s="41"/>
      <c r="K62" s="41"/>
      <c r="L62" s="41"/>
      <c r="M62" s="41"/>
      <c r="N62" s="41"/>
      <c r="O62" s="41"/>
      <c r="P62" s="41"/>
      <c r="Q62" s="41"/>
      <c r="R62" s="41"/>
      <c r="S62" s="41"/>
      <c r="T62" s="41"/>
      <c r="U62" s="41"/>
      <c r="V62" s="32" t="s">
        <v>623</v>
      </c>
      <c r="W62" s="41"/>
      <c r="X62" s="41"/>
      <c r="Y62" s="41"/>
      <c r="Z62" s="41"/>
      <c r="AA62" s="41"/>
      <c r="AB62" s="41"/>
      <c r="AC62" s="41"/>
      <c r="AD62" s="41"/>
      <c r="AE62" s="41"/>
      <c r="AF62" s="1093" t="s">
        <v>160</v>
      </c>
      <c r="AG62" s="1127"/>
    </row>
    <row r="63" spans="1:55">
      <c r="A63" s="1127"/>
      <c r="B63" s="30" t="s">
        <v>3572</v>
      </c>
      <c r="C63" s="23"/>
      <c r="D63" s="23"/>
      <c r="E63" s="23"/>
      <c r="F63" s="23"/>
      <c r="G63" s="23"/>
      <c r="H63" s="23"/>
      <c r="I63" s="23"/>
      <c r="J63" s="23"/>
      <c r="K63" s="23"/>
      <c r="L63" s="23"/>
      <c r="M63" s="23"/>
      <c r="N63" s="23"/>
      <c r="O63" s="23"/>
      <c r="P63" s="23"/>
      <c r="Q63" s="23"/>
      <c r="R63" s="23"/>
      <c r="S63" s="23"/>
      <c r="T63" s="23"/>
      <c r="U63" s="23"/>
      <c r="V63" s="1236" t="s">
        <v>735</v>
      </c>
      <c r="W63" s="23"/>
      <c r="X63" s="23"/>
      <c r="Y63" s="23"/>
      <c r="Z63" s="34"/>
      <c r="AA63" s="23"/>
      <c r="AB63" s="23"/>
      <c r="AC63" s="23"/>
      <c r="AD63" s="23"/>
      <c r="AE63" s="23"/>
      <c r="AF63" s="23"/>
      <c r="AG63" s="1127"/>
    </row>
    <row r="64" spans="1:55" ht="16.5" thickBot="1">
      <c r="A64" s="1127"/>
      <c r="B64" s="9716" t="str">
        <f>Names</f>
        <v/>
      </c>
      <c r="C64" s="9717"/>
      <c r="D64" s="9717"/>
      <c r="E64" s="9717"/>
      <c r="F64" s="9717"/>
      <c r="G64" s="9717"/>
      <c r="H64" s="9717"/>
      <c r="I64" s="9717"/>
      <c r="J64" s="9717"/>
      <c r="K64" s="9717"/>
      <c r="L64" s="9717"/>
      <c r="M64" s="9717"/>
      <c r="N64" s="9717"/>
      <c r="O64" s="9717"/>
      <c r="P64" s="9717"/>
      <c r="Q64" s="9717"/>
      <c r="R64" s="9717"/>
      <c r="S64" s="9717"/>
      <c r="T64" s="9717"/>
      <c r="U64" s="9718"/>
      <c r="V64" s="9714">
        <f>IF(NoSSN,"",SS_Yours)</f>
        <v>1010001</v>
      </c>
      <c r="W64" s="9715"/>
      <c r="X64" s="9715"/>
      <c r="Y64" s="9715"/>
      <c r="Z64" s="9715"/>
      <c r="AA64" s="9715"/>
      <c r="AB64" s="9715"/>
      <c r="AC64" s="9715"/>
      <c r="AD64" s="9715"/>
      <c r="AE64" s="9715"/>
      <c r="AF64" s="9715"/>
      <c r="AG64" s="1127"/>
    </row>
    <row r="65" spans="1:55" ht="12.75" customHeight="1">
      <c r="A65" s="1127"/>
      <c r="B65" s="9775" t="s">
        <v>2064</v>
      </c>
      <c r="C65" s="9776"/>
      <c r="D65" s="9776"/>
      <c r="E65" s="9776"/>
      <c r="F65" s="9776"/>
      <c r="G65" s="9776"/>
      <c r="H65" s="9776"/>
      <c r="I65" s="9776"/>
      <c r="J65" s="9776"/>
      <c r="K65" s="9776"/>
      <c r="L65" s="9776"/>
      <c r="M65" s="9776"/>
      <c r="N65" s="9776"/>
      <c r="O65" s="9776"/>
      <c r="P65" s="9776"/>
      <c r="Q65" s="9776"/>
      <c r="R65" s="9776"/>
      <c r="S65" s="9776"/>
      <c r="T65" s="9776"/>
      <c r="U65" s="9776"/>
      <c r="V65" s="9776"/>
      <c r="W65" s="9776"/>
      <c r="X65" s="9776"/>
      <c r="Y65" s="9776"/>
      <c r="Z65" s="9776"/>
      <c r="AA65" s="9776"/>
      <c r="AB65" s="9776"/>
      <c r="AC65" s="9776"/>
      <c r="AD65" s="9776"/>
      <c r="AE65" s="9776"/>
      <c r="AF65" s="9776"/>
      <c r="AG65" s="1127"/>
    </row>
    <row r="66" spans="1:55" ht="12.75" customHeight="1">
      <c r="A66" s="1127"/>
      <c r="B66" s="7093"/>
      <c r="C66" s="7093"/>
      <c r="D66" s="7093"/>
      <c r="E66" s="7093"/>
      <c r="F66" s="7093"/>
      <c r="G66" s="7093"/>
      <c r="H66" s="7093"/>
      <c r="I66" s="7093"/>
      <c r="J66" s="7093"/>
      <c r="K66" s="7093"/>
      <c r="L66" s="7093"/>
      <c r="M66" s="7093"/>
      <c r="N66" s="7093"/>
      <c r="O66" s="7093"/>
      <c r="P66" s="7093"/>
      <c r="Q66" s="7093"/>
      <c r="R66" s="7093"/>
      <c r="S66" s="7093"/>
      <c r="T66" s="7093"/>
      <c r="U66" s="7093"/>
      <c r="V66" s="7093"/>
      <c r="W66" s="7093"/>
      <c r="X66" s="7093"/>
      <c r="Y66" s="7093"/>
      <c r="Z66" s="7093"/>
      <c r="AA66" s="7093"/>
      <c r="AB66" s="7093"/>
      <c r="AC66" s="7093"/>
      <c r="AD66" s="7093"/>
      <c r="AE66" s="7093"/>
      <c r="AF66" s="7093"/>
      <c r="AG66" s="1127"/>
    </row>
    <row r="67" spans="1:55" ht="12.75" customHeight="1">
      <c r="A67" s="1127"/>
      <c r="B67" s="7776"/>
      <c r="C67" s="7776"/>
      <c r="D67" s="7776"/>
      <c r="E67" s="7776"/>
      <c r="F67" s="7776"/>
      <c r="G67" s="7776"/>
      <c r="H67" s="7776"/>
      <c r="I67" s="7776"/>
      <c r="J67" s="7776"/>
      <c r="K67" s="7776"/>
      <c r="L67" s="7776"/>
      <c r="M67" s="7776"/>
      <c r="N67" s="7776"/>
      <c r="O67" s="7776"/>
      <c r="P67" s="7776"/>
      <c r="Q67" s="7776"/>
      <c r="R67" s="7776"/>
      <c r="S67" s="7776"/>
      <c r="T67" s="7776"/>
      <c r="U67" s="7776"/>
      <c r="V67" s="7776"/>
      <c r="W67" s="7776"/>
      <c r="X67" s="7776"/>
      <c r="Y67" s="7776"/>
      <c r="Z67" s="7776"/>
      <c r="AA67" s="7776"/>
      <c r="AB67" s="7776"/>
      <c r="AC67" s="7776"/>
      <c r="AD67" s="7776"/>
      <c r="AE67" s="7776"/>
      <c r="AF67" s="7776"/>
      <c r="AG67" s="1127"/>
    </row>
    <row r="68" spans="1:55" ht="3.75" customHeight="1">
      <c r="A68" s="1127"/>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1127"/>
    </row>
    <row r="69" spans="1:55" ht="15">
      <c r="A69" s="1127"/>
      <c r="B69" s="9788" t="s">
        <v>118</v>
      </c>
      <c r="C69" s="9789"/>
      <c r="D69" s="23"/>
      <c r="E69" s="343" t="s">
        <v>2057</v>
      </c>
      <c r="F69" s="412"/>
      <c r="G69" s="412"/>
      <c r="H69" s="412"/>
      <c r="I69" s="412"/>
      <c r="J69" s="412"/>
      <c r="K69" s="412"/>
      <c r="L69" s="412"/>
      <c r="M69" s="412"/>
      <c r="N69" s="412"/>
      <c r="O69" s="412"/>
      <c r="P69" s="343"/>
      <c r="Q69" s="412"/>
      <c r="R69" s="412"/>
      <c r="S69" s="412"/>
      <c r="T69" s="412" t="s">
        <v>2056</v>
      </c>
      <c r="U69" s="412"/>
      <c r="V69" s="412"/>
      <c r="W69" s="412"/>
      <c r="X69" s="412"/>
      <c r="Y69" s="412" t="s">
        <v>2814</v>
      </c>
      <c r="Z69" s="412"/>
      <c r="AA69" s="412"/>
      <c r="AB69" s="412"/>
      <c r="AC69" s="412"/>
      <c r="AD69" s="412"/>
      <c r="AE69" s="412"/>
      <c r="AF69" s="412"/>
      <c r="AG69" s="1127" t="b">
        <f>IF(SUM(AG88:AG115)&gt;0,TRUE,FALSE)</f>
        <v>0</v>
      </c>
    </row>
    <row r="70" spans="1:55" ht="11.25" customHeight="1">
      <c r="A70" s="1127"/>
      <c r="B70" s="23"/>
      <c r="C70" s="23"/>
      <c r="D70" s="23"/>
      <c r="E70" s="412" t="s">
        <v>2815</v>
      </c>
      <c r="F70" s="412"/>
      <c r="G70" s="412"/>
      <c r="H70" s="412"/>
      <c r="I70" s="412"/>
      <c r="J70" s="412"/>
      <c r="K70" s="412"/>
      <c r="L70" s="412"/>
      <c r="M70" s="412"/>
      <c r="N70" s="412"/>
      <c r="O70" s="412"/>
      <c r="P70" s="412"/>
      <c r="Q70" s="412"/>
      <c r="R70" s="412"/>
      <c r="S70" s="412"/>
      <c r="T70" s="412"/>
      <c r="U70" s="412"/>
      <c r="V70" s="412"/>
      <c r="W70" s="412"/>
      <c r="X70" s="412"/>
      <c r="Y70" s="412"/>
      <c r="Z70" s="412"/>
      <c r="AA70" s="412"/>
      <c r="AB70" s="412"/>
      <c r="AC70" s="412"/>
      <c r="AD70" s="412"/>
      <c r="AE70" s="412"/>
      <c r="AF70" s="412"/>
      <c r="AG70" s="1127"/>
    </row>
    <row r="71" spans="1:55" s="262" customFormat="1" ht="13.5" customHeight="1">
      <c r="A71" s="2667"/>
      <c r="B71" s="412"/>
      <c r="C71" s="412"/>
      <c r="D71" s="412"/>
      <c r="E71" s="2668" t="s">
        <v>2058</v>
      </c>
      <c r="F71" s="412"/>
      <c r="G71" s="412"/>
      <c r="H71" s="412"/>
      <c r="I71" s="412"/>
      <c r="J71" s="412"/>
      <c r="K71" s="412"/>
      <c r="L71" s="412"/>
      <c r="M71" s="412"/>
      <c r="N71" s="412"/>
      <c r="O71" s="412"/>
      <c r="P71" s="412"/>
      <c r="Q71" s="412"/>
      <c r="R71" s="412"/>
      <c r="S71" s="412"/>
      <c r="T71" s="412"/>
      <c r="U71" s="412"/>
      <c r="V71" s="412"/>
      <c r="W71" s="412"/>
      <c r="X71" s="412"/>
      <c r="Y71" s="412"/>
      <c r="Z71" s="412"/>
      <c r="AA71" s="412"/>
      <c r="AB71" s="412"/>
      <c r="AC71" s="412"/>
      <c r="AD71" s="412"/>
      <c r="AE71" s="412"/>
      <c r="AF71" s="412"/>
      <c r="AG71" s="2667"/>
      <c r="AH71" s="982"/>
      <c r="AI71" s="982"/>
    </row>
    <row r="72" spans="1:55" s="262" customFormat="1" ht="13.5" customHeight="1">
      <c r="A72" s="2667"/>
      <c r="B72" s="412"/>
      <c r="C72" s="412"/>
      <c r="D72" s="412"/>
      <c r="E72" s="412" t="s">
        <v>817</v>
      </c>
      <c r="F72" s="412"/>
      <c r="G72" s="412"/>
      <c r="H72" s="412"/>
      <c r="I72" s="412"/>
      <c r="J72" s="412"/>
      <c r="K72" s="412"/>
      <c r="L72" s="412"/>
      <c r="M72" s="412"/>
      <c r="N72" s="412"/>
      <c r="O72" s="412"/>
      <c r="P72" s="412"/>
      <c r="Q72" s="412"/>
      <c r="R72" s="412"/>
      <c r="S72" s="412"/>
      <c r="T72" s="412"/>
      <c r="U72" s="412"/>
      <c r="V72" s="412"/>
      <c r="W72" s="412"/>
      <c r="X72" s="412"/>
      <c r="Y72" s="412"/>
      <c r="Z72" s="412"/>
      <c r="AA72" s="412"/>
      <c r="AB72" s="412"/>
      <c r="AC72" s="412"/>
      <c r="AD72" s="412"/>
      <c r="AE72" s="412"/>
      <c r="AF72" s="412"/>
      <c r="AG72" s="2667"/>
      <c r="AH72" s="982"/>
      <c r="AI72" s="982"/>
    </row>
    <row r="73" spans="1:55" s="262" customFormat="1" ht="13.5" customHeight="1">
      <c r="A73" s="2667"/>
      <c r="B73" s="2669"/>
      <c r="C73" s="2669"/>
      <c r="D73" s="2669"/>
      <c r="E73" s="2669" t="s">
        <v>2816</v>
      </c>
      <c r="F73" s="2669"/>
      <c r="G73" s="2669"/>
      <c r="H73" s="2669"/>
      <c r="I73" s="2669"/>
      <c r="J73" s="2669"/>
      <c r="K73" s="2669"/>
      <c r="L73" s="2669"/>
      <c r="M73" s="2669"/>
      <c r="N73" s="2669"/>
      <c r="O73" s="2669"/>
      <c r="P73" s="2669"/>
      <c r="Q73" s="2669"/>
      <c r="R73" s="2669"/>
      <c r="S73" s="2669"/>
      <c r="T73" s="2669"/>
      <c r="U73" s="2669"/>
      <c r="V73" s="2669"/>
      <c r="W73" s="2669"/>
      <c r="X73" s="2669"/>
      <c r="Y73" s="2669"/>
      <c r="Z73" s="2669"/>
      <c r="AA73" s="2669"/>
      <c r="AB73" s="2669"/>
      <c r="AC73" s="2669"/>
      <c r="AD73" s="2669"/>
      <c r="AE73" s="2669"/>
      <c r="AF73" s="2669"/>
      <c r="AG73" s="2667"/>
      <c r="AH73" s="982"/>
      <c r="AI73" s="982"/>
    </row>
    <row r="74" spans="1:55">
      <c r="A74" s="1127"/>
      <c r="B74" s="278" t="s">
        <v>818</v>
      </c>
      <c r="C74" s="56"/>
      <c r="D74" s="56"/>
      <c r="E74" s="56"/>
      <c r="F74" s="56"/>
      <c r="G74" s="56"/>
      <c r="H74" s="56"/>
      <c r="I74" s="56"/>
      <c r="J74" s="56"/>
      <c r="K74" s="278" t="s">
        <v>724</v>
      </c>
      <c r="L74" s="56"/>
      <c r="M74" s="56"/>
      <c r="N74" s="56"/>
      <c r="O74" s="56"/>
      <c r="P74" s="70" t="s">
        <v>726</v>
      </c>
      <c r="Q74" s="56"/>
      <c r="R74" s="56"/>
      <c r="S74" s="56"/>
      <c r="T74" s="56"/>
      <c r="U74" s="56"/>
      <c r="V74" s="56"/>
      <c r="W74" s="56"/>
      <c r="X74" s="56"/>
      <c r="Y74" s="56"/>
      <c r="Z74" s="56"/>
      <c r="AA74" s="56"/>
      <c r="AB74" s="56"/>
      <c r="AC74" s="56"/>
      <c r="AD74" s="56"/>
      <c r="AE74" s="56"/>
      <c r="AF74" s="56"/>
      <c r="AG74" s="1127"/>
    </row>
    <row r="75" spans="1:55">
      <c r="A75" s="1127"/>
      <c r="B75" s="70" t="s">
        <v>727</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1127"/>
      <c r="BA75" s="9699" t="s">
        <v>780</v>
      </c>
      <c r="BB75" s="6206"/>
      <c r="BC75" s="7198"/>
    </row>
    <row r="76" spans="1:55">
      <c r="A76" s="1127"/>
      <c r="B76" s="70" t="s">
        <v>728</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1127"/>
      <c r="BA76" s="9700" t="s">
        <v>779</v>
      </c>
      <c r="BB76" s="9700" t="s">
        <v>770</v>
      </c>
      <c r="BC76" s="9700" t="s">
        <v>771</v>
      </c>
    </row>
    <row r="77" spans="1:55" ht="4.5" customHeight="1" thickBot="1">
      <c r="A77" s="1127"/>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1127"/>
      <c r="BA77" s="9701"/>
      <c r="BB77" s="9701"/>
      <c r="BC77" s="9701"/>
    </row>
    <row r="78" spans="1:55" ht="12" customHeight="1" thickBot="1">
      <c r="A78" s="1127"/>
      <c r="B78" s="1258">
        <f>IF(C78&lt;&gt;"",1,0)</f>
        <v>0</v>
      </c>
      <c r="C78" s="1257"/>
      <c r="D78" s="999" t="s">
        <v>2817</v>
      </c>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1127"/>
      <c r="AJ78" s="9694"/>
      <c r="AK78" s="9695"/>
      <c r="AL78" s="9695"/>
      <c r="AM78" s="9695"/>
      <c r="AN78" s="9695"/>
      <c r="AO78" s="9695"/>
      <c r="AP78" s="9695"/>
      <c r="AQ78" s="9695"/>
      <c r="BA78" s="9701"/>
      <c r="BB78" s="9701"/>
      <c r="BC78" s="9701"/>
    </row>
    <row r="79" spans="1:55" ht="4.5" customHeight="1" thickBot="1">
      <c r="A79" s="1127"/>
      <c r="B79" s="1235"/>
      <c r="C79" s="56"/>
      <c r="D79" s="70"/>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1127"/>
      <c r="BA79" s="9701"/>
      <c r="BB79" s="9701"/>
      <c r="BC79" s="9701"/>
    </row>
    <row r="80" spans="1:55" ht="11.25" customHeight="1" thickBot="1">
      <c r="A80" s="1127"/>
      <c r="B80" s="1258">
        <f>IF(C80&lt;&gt;"",1,0)</f>
        <v>0</v>
      </c>
      <c r="C80" s="1257"/>
      <c r="D80" s="999" t="s">
        <v>2818</v>
      </c>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1127"/>
      <c r="AJ80" s="9694"/>
      <c r="AK80" s="9695"/>
      <c r="AL80" s="9695"/>
      <c r="AM80" s="9695"/>
      <c r="AN80" s="9695"/>
      <c r="AO80" s="9695"/>
      <c r="AP80" s="9695"/>
      <c r="AQ80" s="9695"/>
      <c r="BA80" s="9701"/>
      <c r="BB80" s="9701"/>
      <c r="BC80" s="9701"/>
    </row>
    <row r="81" spans="1:55" ht="4.5" customHeight="1" thickBot="1">
      <c r="A81" s="1127"/>
      <c r="B81" s="1235"/>
      <c r="C81" s="56"/>
      <c r="D81" s="70"/>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1127"/>
      <c r="BA81" s="9701"/>
      <c r="BB81" s="9701"/>
      <c r="BC81" s="9701"/>
    </row>
    <row r="82" spans="1:55" ht="12" customHeight="1" thickBot="1">
      <c r="A82" s="1127">
        <f>SUM(B78:B82)</f>
        <v>0</v>
      </c>
      <c r="B82" s="1258">
        <f>IF(C82&lt;&gt;"",1,0)</f>
        <v>0</v>
      </c>
      <c r="C82" s="1257"/>
      <c r="D82" s="999" t="s">
        <v>2819</v>
      </c>
      <c r="E82" s="56"/>
      <c r="F82" s="56"/>
      <c r="G82" s="56"/>
      <c r="H82" s="56"/>
      <c r="I82" s="56"/>
      <c r="J82" s="56"/>
      <c r="K82" s="56"/>
      <c r="L82" s="56"/>
      <c r="M82" s="56"/>
      <c r="N82" s="56"/>
      <c r="O82" s="56"/>
      <c r="P82" s="56"/>
      <c r="Q82" s="56"/>
      <c r="R82" s="9740" t="str">
        <f>IF(SpaceUsed_8949C_LT,"ERROR: DO NOT use the space bar to uncheck a box. Use the 'Delete' key.",IF(A82&gt;1,"Check only ONE box.",IF(A82&gt;0,"",IF(A82&lt;1,"Check ONE box.",""))))</f>
        <v>Check ONE box.</v>
      </c>
      <c r="S82" s="9741"/>
      <c r="T82" s="9741"/>
      <c r="U82" s="9741"/>
      <c r="V82" s="9741"/>
      <c r="W82" s="9741"/>
      <c r="X82" s="9741"/>
      <c r="Y82" s="9741"/>
      <c r="Z82" s="9741"/>
      <c r="AA82" s="9741"/>
      <c r="AB82" s="9741"/>
      <c r="AC82" s="9741"/>
      <c r="AD82" s="9741"/>
      <c r="AE82" s="9741"/>
      <c r="AF82" s="56"/>
      <c r="AG82" s="1127"/>
      <c r="AH82" s="1430" t="b">
        <f>IF(OR(F8949CLBOXA=CHAR(32),F8949CLBOXB=CHAR(32),F8949CLBOXC=CHAR(32)),TRUE,FALSE)</f>
        <v>0</v>
      </c>
      <c r="AJ82" s="9702" t="s">
        <v>2467</v>
      </c>
      <c r="AK82" s="9695"/>
      <c r="AL82" s="9695"/>
      <c r="AM82" s="9695"/>
      <c r="AN82" s="9695"/>
      <c r="AO82" s="9695"/>
      <c r="AP82" s="9695"/>
      <c r="AQ82" s="9695"/>
      <c r="BA82" s="9701"/>
      <c r="BB82" s="9701"/>
      <c r="BC82" s="9701"/>
    </row>
    <row r="83" spans="1:55" ht="3.75" customHeight="1">
      <c r="A83" s="1127"/>
      <c r="B83" s="279"/>
      <c r="C83" s="1092"/>
      <c r="D83" s="279"/>
      <c r="E83" s="279"/>
      <c r="F83" s="279"/>
      <c r="G83" s="279"/>
      <c r="H83" s="279"/>
      <c r="I83" s="279"/>
      <c r="J83" s="279"/>
      <c r="K83" s="279"/>
      <c r="L83" s="279"/>
      <c r="M83" s="279"/>
      <c r="N83" s="1092"/>
      <c r="O83" s="279"/>
      <c r="P83" s="279"/>
      <c r="Q83" s="279"/>
      <c r="R83" s="279"/>
      <c r="S83" s="279"/>
      <c r="T83" s="279"/>
      <c r="U83" s="279"/>
      <c r="V83" s="279"/>
      <c r="W83" s="279"/>
      <c r="X83" s="279"/>
      <c r="Y83" s="1092"/>
      <c r="Z83" s="279"/>
      <c r="AA83" s="279"/>
      <c r="AB83" s="279"/>
      <c r="AC83" s="279"/>
      <c r="AD83" s="279"/>
      <c r="AE83" s="279"/>
      <c r="AF83" s="279"/>
      <c r="AG83" s="1127"/>
      <c r="BA83" s="9701"/>
      <c r="BB83" s="9701"/>
      <c r="BC83" s="9701"/>
    </row>
    <row r="84" spans="1:55" ht="21" customHeight="1">
      <c r="A84" s="1127"/>
      <c r="B84" s="9725">
        <v>1</v>
      </c>
      <c r="C84" s="9732" t="s">
        <v>620</v>
      </c>
      <c r="D84" s="9733"/>
      <c r="E84" s="9733"/>
      <c r="F84" s="9733"/>
      <c r="G84" s="9733"/>
      <c r="H84" s="9733"/>
      <c r="I84" s="9734"/>
      <c r="J84" s="6448" t="s">
        <v>2821</v>
      </c>
      <c r="K84" s="7379"/>
      <c r="L84" s="7155"/>
      <c r="M84" s="6448" t="s">
        <v>5477</v>
      </c>
      <c r="N84" s="7379"/>
      <c r="O84" s="7379"/>
      <c r="P84" s="7155"/>
      <c r="Q84" s="6448" t="s">
        <v>730</v>
      </c>
      <c r="R84" s="7379"/>
      <c r="S84" s="7379"/>
      <c r="T84" s="7155"/>
      <c r="U84" s="9673" t="s">
        <v>734</v>
      </c>
      <c r="V84" s="9674"/>
      <c r="W84" s="9674"/>
      <c r="X84" s="9748"/>
      <c r="Y84" s="9742" t="s">
        <v>2820</v>
      </c>
      <c r="Z84" s="9743"/>
      <c r="AA84" s="9743"/>
      <c r="AB84" s="9744"/>
      <c r="AC84" s="9673" t="s">
        <v>733</v>
      </c>
      <c r="AD84" s="9674"/>
      <c r="AE84" s="9674"/>
      <c r="AF84" s="9674"/>
      <c r="AG84" s="1127"/>
      <c r="AJ84" s="9692" t="s">
        <v>711</v>
      </c>
      <c r="AK84" s="9692" t="s">
        <v>736</v>
      </c>
      <c r="AL84" s="9692" t="s">
        <v>737</v>
      </c>
      <c r="AM84" s="9692" t="s">
        <v>738</v>
      </c>
      <c r="AN84" s="9690" t="s">
        <v>739</v>
      </c>
      <c r="AO84" s="9696" t="s">
        <v>731</v>
      </c>
      <c r="AP84" s="7127"/>
      <c r="AQ84" s="9692" t="s">
        <v>741</v>
      </c>
      <c r="BA84" s="9701"/>
      <c r="BB84" s="9701"/>
      <c r="BC84" s="9701"/>
    </row>
    <row r="85" spans="1:55" ht="21" customHeight="1">
      <c r="A85" s="1127"/>
      <c r="B85" s="9726"/>
      <c r="C85" s="9735"/>
      <c r="D85" s="9736"/>
      <c r="E85" s="9736"/>
      <c r="F85" s="9736"/>
      <c r="G85" s="9736"/>
      <c r="H85" s="9736"/>
      <c r="I85" s="9737"/>
      <c r="J85" s="6450"/>
      <c r="K85" s="8199"/>
      <c r="L85" s="7157"/>
      <c r="M85" s="6450"/>
      <c r="N85" s="8199"/>
      <c r="O85" s="8199"/>
      <c r="P85" s="7157"/>
      <c r="Q85" s="6450"/>
      <c r="R85" s="8199"/>
      <c r="S85" s="8199"/>
      <c r="T85" s="7157"/>
      <c r="U85" s="9675"/>
      <c r="V85" s="9676"/>
      <c r="W85" s="9676"/>
      <c r="X85" s="9749"/>
      <c r="Y85" s="9745"/>
      <c r="Z85" s="9746"/>
      <c r="AA85" s="9746"/>
      <c r="AB85" s="9747"/>
      <c r="AC85" s="9675"/>
      <c r="AD85" s="9676"/>
      <c r="AE85" s="9676"/>
      <c r="AF85" s="9676"/>
      <c r="AG85" s="1127"/>
      <c r="AJ85" s="9692"/>
      <c r="AK85" s="9692"/>
      <c r="AL85" s="9692"/>
      <c r="AM85" s="9692"/>
      <c r="AN85" s="9690"/>
      <c r="AO85" s="7264"/>
      <c r="AP85" s="7133"/>
      <c r="AQ85" s="9692"/>
      <c r="BA85" s="9701"/>
      <c r="BB85" s="9701"/>
      <c r="BC85" s="9701"/>
    </row>
    <row r="86" spans="1:55" ht="18" customHeight="1">
      <c r="A86" s="1127"/>
      <c r="B86" s="9727"/>
      <c r="C86" s="9736"/>
      <c r="D86" s="9736"/>
      <c r="E86" s="9736"/>
      <c r="F86" s="9736"/>
      <c r="G86" s="9736"/>
      <c r="H86" s="9736"/>
      <c r="I86" s="9737"/>
      <c r="J86" s="7156"/>
      <c r="K86" s="8199"/>
      <c r="L86" s="7157"/>
      <c r="M86" s="7156"/>
      <c r="N86" s="8199"/>
      <c r="O86" s="8199"/>
      <c r="P86" s="7157"/>
      <c r="Q86" s="7156"/>
      <c r="R86" s="8199"/>
      <c r="S86" s="8199"/>
      <c r="T86" s="7157"/>
      <c r="U86" s="9677"/>
      <c r="V86" s="9676"/>
      <c r="W86" s="9676"/>
      <c r="X86" s="9749"/>
      <c r="Y86" s="7324" t="s">
        <v>2822</v>
      </c>
      <c r="Z86" s="7155"/>
      <c r="AA86" s="7324" t="s">
        <v>732</v>
      </c>
      <c r="AB86" s="7258"/>
      <c r="AC86" s="9677"/>
      <c r="AD86" s="9676"/>
      <c r="AE86" s="9676"/>
      <c r="AF86" s="9676"/>
      <c r="AG86" s="1127"/>
      <c r="AJ86" s="9693"/>
      <c r="AK86" s="9693"/>
      <c r="AL86" s="9693"/>
      <c r="AM86" s="9693"/>
      <c r="AN86" s="9691"/>
      <c r="AO86" s="9698" t="s">
        <v>740</v>
      </c>
      <c r="AP86" s="7237" t="s">
        <v>732</v>
      </c>
      <c r="AQ86" s="9693"/>
      <c r="BA86" s="9701"/>
      <c r="BB86" s="9701"/>
      <c r="BC86" s="9701"/>
    </row>
    <row r="87" spans="1:55" ht="18" customHeight="1">
      <c r="A87" s="1127"/>
      <c r="B87" s="9728"/>
      <c r="C87" s="9738"/>
      <c r="D87" s="9738"/>
      <c r="E87" s="9738"/>
      <c r="F87" s="9738"/>
      <c r="G87" s="9738"/>
      <c r="H87" s="9738"/>
      <c r="I87" s="9739"/>
      <c r="J87" s="7158"/>
      <c r="K87" s="9751"/>
      <c r="L87" s="7159"/>
      <c r="M87" s="7158"/>
      <c r="N87" s="9751"/>
      <c r="O87" s="9751"/>
      <c r="P87" s="7159"/>
      <c r="Q87" s="7158"/>
      <c r="R87" s="9751"/>
      <c r="S87" s="9751"/>
      <c r="T87" s="7159"/>
      <c r="U87" s="9678"/>
      <c r="V87" s="9679"/>
      <c r="W87" s="9679"/>
      <c r="X87" s="9750"/>
      <c r="Y87" s="7158"/>
      <c r="Z87" s="7159"/>
      <c r="AA87" s="6619"/>
      <c r="AB87" s="7260"/>
      <c r="AC87" s="9678"/>
      <c r="AD87" s="9679"/>
      <c r="AE87" s="9679"/>
      <c r="AF87" s="9679"/>
      <c r="AG87" s="1127"/>
      <c r="AJ87" s="9693"/>
      <c r="AK87" s="9693"/>
      <c r="AL87" s="9693"/>
      <c r="AM87" s="9693"/>
      <c r="AN87" s="9691"/>
      <c r="AO87" s="9697"/>
      <c r="AP87" s="9697"/>
      <c r="AQ87" s="9693"/>
      <c r="BA87" s="9701"/>
      <c r="BB87" s="9701"/>
      <c r="BC87" s="9701"/>
    </row>
    <row r="88" spans="1:55" ht="19.5" customHeight="1">
      <c r="A88" s="1127">
        <f>IF(OR(U88&lt;&gt;"",Y88&lt;&gt;"",AC88&lt;&gt;""),1,0)</f>
        <v>0</v>
      </c>
      <c r="B88" s="9703" t="str">
        <f t="shared" ref="B88:B115" si="20">IF(AJ88="","",AJ88)</f>
        <v/>
      </c>
      <c r="C88" s="9704"/>
      <c r="D88" s="9704"/>
      <c r="E88" s="9704"/>
      <c r="F88" s="9704"/>
      <c r="G88" s="9704"/>
      <c r="H88" s="9704"/>
      <c r="I88" s="9705"/>
      <c r="J88" s="9706" t="str">
        <f t="shared" ref="J88:J115" si="21">IF(AK88="","",AK88)</f>
        <v/>
      </c>
      <c r="K88" s="9707"/>
      <c r="L88" s="9707"/>
      <c r="M88" s="9706" t="str">
        <f t="shared" ref="M88:M115" si="22">IF(AL88="","",AL88)</f>
        <v/>
      </c>
      <c r="N88" s="9707"/>
      <c r="O88" s="9707"/>
      <c r="P88" s="9708"/>
      <c r="Q88" s="6969" t="str">
        <f t="shared" ref="Q88:Q115" si="23">IF(AM88="","",AM88)</f>
        <v/>
      </c>
      <c r="R88" s="9688"/>
      <c r="S88" s="9688"/>
      <c r="T88" s="9689"/>
      <c r="U88" s="6969" t="str">
        <f t="shared" ref="U88:U115" si="24">IF(AN88="","",AN88)</f>
        <v/>
      </c>
      <c r="V88" s="9688"/>
      <c r="W88" s="9688"/>
      <c r="X88" s="9689"/>
      <c r="Y88" s="9670" t="str">
        <f>IF(AO88&lt;&gt;"",AO88,"")</f>
        <v/>
      </c>
      <c r="Z88" s="6222"/>
      <c r="AA88" s="9670" t="str">
        <f>IF(AP88="","",AP88)</f>
        <v/>
      </c>
      <c r="AB88" s="6222"/>
      <c r="AC88" s="9671" t="str">
        <f>IF(AQ88&lt;&gt;"",AQ88,IF(AND(Q88="",U88=""),"",IF(AND(Q88&lt;&gt;"",U88=""),SUM(Q88,AA88),SUM(Q88,-U88,AA88))))</f>
        <v/>
      </c>
      <c r="AD88" s="9672"/>
      <c r="AE88" s="9672"/>
      <c r="AF88" s="9672"/>
      <c r="AG88" s="1297">
        <f>IF(OR(J88="",M88=""),0,IF(OR(BA88,BB88,BC88),1,0))</f>
        <v>0</v>
      </c>
      <c r="AH88" s="1090"/>
      <c r="AI88" s="1090" t="e">
        <f>M88-J88</f>
        <v>#VALUE!</v>
      </c>
      <c r="AJ88" s="1237"/>
      <c r="AK88" s="1241"/>
      <c r="AL88" s="1241"/>
      <c r="AM88" s="1239"/>
      <c r="AN88" s="1239"/>
      <c r="AO88" s="1240"/>
      <c r="AP88" s="1239"/>
      <c r="AQ88" s="1238"/>
      <c r="AS88" s="42" t="e">
        <f>YEAR(J88)</f>
        <v>#VALUE!</v>
      </c>
      <c r="AT88" s="42" t="e">
        <f>MONTH(J88)</f>
        <v>#VALUE!</v>
      </c>
      <c r="AU88" s="42" t="e">
        <f>DAY(J88)</f>
        <v>#VALUE!</v>
      </c>
      <c r="AW88" s="42" t="e">
        <f>YEAR(M88)</f>
        <v>#VALUE!</v>
      </c>
      <c r="AX88" s="42" t="e">
        <f>MONTH(M88)</f>
        <v>#VALUE!</v>
      </c>
      <c r="AY88" s="42" t="e">
        <f>DAY(M88)</f>
        <v>#VALUE!</v>
      </c>
      <c r="BA88" s="42" t="e">
        <f>IF(AW88=AS88,TRUE,FALSE)</f>
        <v>#VALUE!</v>
      </c>
      <c r="BB88" s="42" t="e">
        <f>IF(AND(AW88=AS88+1,AX88&lt;AT88),TRUE,FALSE)</f>
        <v>#VALUE!</v>
      </c>
      <c r="BC88" s="42" t="e">
        <f>IF(AND(AW88=AS88+1,AX88=AT88,AY88&lt;=AU88),TRUE,FALSE)</f>
        <v>#VALUE!</v>
      </c>
    </row>
    <row r="89" spans="1:55" ht="19.5" customHeight="1">
      <c r="A89" s="1127">
        <f t="shared" ref="A89:A115" si="25">IF(OR(U89&lt;&gt;"",Y89&lt;&gt;"",AC89&lt;&gt;""),1,0)</f>
        <v>0</v>
      </c>
      <c r="B89" s="9703" t="str">
        <f t="shared" si="20"/>
        <v/>
      </c>
      <c r="C89" s="9704"/>
      <c r="D89" s="9704"/>
      <c r="E89" s="9704"/>
      <c r="F89" s="9704"/>
      <c r="G89" s="9704"/>
      <c r="H89" s="9704"/>
      <c r="I89" s="9705"/>
      <c r="J89" s="9706" t="str">
        <f t="shared" si="21"/>
        <v/>
      </c>
      <c r="K89" s="9707"/>
      <c r="L89" s="9707"/>
      <c r="M89" s="9706" t="str">
        <f t="shared" si="22"/>
        <v/>
      </c>
      <c r="N89" s="9707"/>
      <c r="O89" s="9707"/>
      <c r="P89" s="9708"/>
      <c r="Q89" s="6969" t="str">
        <f t="shared" si="23"/>
        <v/>
      </c>
      <c r="R89" s="9688"/>
      <c r="S89" s="9688"/>
      <c r="T89" s="9689"/>
      <c r="U89" s="6969" t="str">
        <f t="shared" si="24"/>
        <v/>
      </c>
      <c r="V89" s="9688"/>
      <c r="W89" s="9688"/>
      <c r="X89" s="9689"/>
      <c r="Y89" s="9670" t="str">
        <f t="shared" ref="Y89:Y115" si="26">IF(AO89&lt;&gt;"",AO89,"")</f>
        <v/>
      </c>
      <c r="Z89" s="6222"/>
      <c r="AA89" s="9670" t="str">
        <f t="shared" ref="AA89:AA115" si="27">IF(AP89="","",AP89)</f>
        <v/>
      </c>
      <c r="AB89" s="6222"/>
      <c r="AC89" s="9671" t="str">
        <f t="shared" ref="AC89:AC115" si="28">IF(AQ89&lt;&gt;"",AQ89,IF(AND(Q89="",U89=""),"",IF(AND(Q89&lt;&gt;"",U89=""),SUM(Q89,AA89),SUM(Q89,-U89,AA89))))</f>
        <v/>
      </c>
      <c r="AD89" s="9672"/>
      <c r="AE89" s="9672"/>
      <c r="AF89" s="9672"/>
      <c r="AG89" s="1297">
        <f t="shared" ref="AG89:AG115" si="29">IF(OR(J89="",M89=""),0,IF(OR(BA89,BB89,BC89),1,0))</f>
        <v>0</v>
      </c>
      <c r="AH89" s="1090"/>
      <c r="AI89" s="1090" t="e">
        <f t="shared" ref="AI89:AI115" si="30">M89-J89</f>
        <v>#VALUE!</v>
      </c>
      <c r="AJ89" s="1237"/>
      <c r="AK89" s="1241"/>
      <c r="AL89" s="1241"/>
      <c r="AM89" s="1239"/>
      <c r="AN89" s="1239"/>
      <c r="AO89" s="1240"/>
      <c r="AP89" s="1239"/>
      <c r="AQ89" s="1238"/>
      <c r="AS89" s="42" t="e">
        <f t="shared" ref="AS89:AS115" si="31">YEAR(J89)</f>
        <v>#VALUE!</v>
      </c>
      <c r="AT89" s="42" t="e">
        <f t="shared" ref="AT89:AT115" si="32">MONTH(J89)</f>
        <v>#VALUE!</v>
      </c>
      <c r="AU89" s="42" t="e">
        <f t="shared" ref="AU89:AU115" si="33">DAY(J89)</f>
        <v>#VALUE!</v>
      </c>
      <c r="AW89" s="42" t="e">
        <f t="shared" ref="AW89:AW115" si="34">YEAR(M89)</f>
        <v>#VALUE!</v>
      </c>
      <c r="AX89" s="42" t="e">
        <f t="shared" ref="AX89:AX115" si="35">MONTH(M89)</f>
        <v>#VALUE!</v>
      </c>
      <c r="AY89" s="42" t="e">
        <f t="shared" ref="AY89:AY115" si="36">DAY(M89)</f>
        <v>#VALUE!</v>
      </c>
      <c r="BA89" s="42" t="e">
        <f t="shared" ref="BA89:BA115" si="37">IF(AW89=AS89,TRUE,FALSE)</f>
        <v>#VALUE!</v>
      </c>
      <c r="BB89" s="42" t="e">
        <f t="shared" ref="BB89:BB115" si="38">IF(AND(AW89=AS89+1,AX89&lt;AT89),TRUE,FALSE)</f>
        <v>#VALUE!</v>
      </c>
      <c r="BC89" s="42" t="e">
        <f t="shared" ref="BC89:BC115" si="39">IF(AND(AW89=AS89+1,AX89=AT89,AY89&lt;=AU89),TRUE,FALSE)</f>
        <v>#VALUE!</v>
      </c>
    </row>
    <row r="90" spans="1:55" ht="19.5" customHeight="1">
      <c r="A90" s="1127">
        <f t="shared" si="25"/>
        <v>0</v>
      </c>
      <c r="B90" s="9703" t="str">
        <f t="shared" si="20"/>
        <v/>
      </c>
      <c r="C90" s="9704"/>
      <c r="D90" s="9704"/>
      <c r="E90" s="9704"/>
      <c r="F90" s="9704"/>
      <c r="G90" s="9704"/>
      <c r="H90" s="9704"/>
      <c r="I90" s="9705"/>
      <c r="J90" s="9706" t="str">
        <f t="shared" si="21"/>
        <v/>
      </c>
      <c r="K90" s="9707"/>
      <c r="L90" s="9707"/>
      <c r="M90" s="9706" t="str">
        <f t="shared" si="22"/>
        <v/>
      </c>
      <c r="N90" s="9707"/>
      <c r="O90" s="9707"/>
      <c r="P90" s="9708"/>
      <c r="Q90" s="6969" t="str">
        <f t="shared" si="23"/>
        <v/>
      </c>
      <c r="R90" s="9688"/>
      <c r="S90" s="9688"/>
      <c r="T90" s="9689"/>
      <c r="U90" s="6969" t="str">
        <f t="shared" si="24"/>
        <v/>
      </c>
      <c r="V90" s="9688"/>
      <c r="W90" s="9688"/>
      <c r="X90" s="9689"/>
      <c r="Y90" s="9670" t="str">
        <f t="shared" si="26"/>
        <v/>
      </c>
      <c r="Z90" s="6222"/>
      <c r="AA90" s="9670" t="str">
        <f t="shared" si="27"/>
        <v/>
      </c>
      <c r="AB90" s="6222"/>
      <c r="AC90" s="9671" t="str">
        <f t="shared" si="28"/>
        <v/>
      </c>
      <c r="AD90" s="9672"/>
      <c r="AE90" s="9672"/>
      <c r="AF90" s="9672"/>
      <c r="AG90" s="1297">
        <f t="shared" si="29"/>
        <v>0</v>
      </c>
      <c r="AH90" s="1090"/>
      <c r="AI90" s="1090" t="e">
        <f t="shared" si="30"/>
        <v>#VALUE!</v>
      </c>
      <c r="AJ90" s="1237"/>
      <c r="AK90" s="1241"/>
      <c r="AL90" s="1241"/>
      <c r="AM90" s="1239"/>
      <c r="AN90" s="1239"/>
      <c r="AO90" s="1240"/>
      <c r="AP90" s="1239"/>
      <c r="AQ90" s="1238"/>
      <c r="AS90" s="42" t="e">
        <f t="shared" si="31"/>
        <v>#VALUE!</v>
      </c>
      <c r="AT90" s="42" t="e">
        <f t="shared" si="32"/>
        <v>#VALUE!</v>
      </c>
      <c r="AU90" s="42" t="e">
        <f t="shared" si="33"/>
        <v>#VALUE!</v>
      </c>
      <c r="AW90" s="42" t="e">
        <f t="shared" si="34"/>
        <v>#VALUE!</v>
      </c>
      <c r="AX90" s="42" t="e">
        <f t="shared" si="35"/>
        <v>#VALUE!</v>
      </c>
      <c r="AY90" s="42" t="e">
        <f t="shared" si="36"/>
        <v>#VALUE!</v>
      </c>
      <c r="BA90" s="42" t="e">
        <f t="shared" si="37"/>
        <v>#VALUE!</v>
      </c>
      <c r="BB90" s="42" t="e">
        <f t="shared" si="38"/>
        <v>#VALUE!</v>
      </c>
      <c r="BC90" s="42" t="e">
        <f t="shared" si="39"/>
        <v>#VALUE!</v>
      </c>
    </row>
    <row r="91" spans="1:55" ht="19.5" customHeight="1">
      <c r="A91" s="1127">
        <f t="shared" si="25"/>
        <v>0</v>
      </c>
      <c r="B91" s="9703" t="str">
        <f t="shared" si="20"/>
        <v/>
      </c>
      <c r="C91" s="9704"/>
      <c r="D91" s="9704"/>
      <c r="E91" s="9704"/>
      <c r="F91" s="9704"/>
      <c r="G91" s="9704"/>
      <c r="H91" s="9704"/>
      <c r="I91" s="9705"/>
      <c r="J91" s="9706" t="str">
        <f t="shared" si="21"/>
        <v/>
      </c>
      <c r="K91" s="9707"/>
      <c r="L91" s="9707"/>
      <c r="M91" s="9706" t="str">
        <f t="shared" si="22"/>
        <v/>
      </c>
      <c r="N91" s="9707"/>
      <c r="O91" s="9707"/>
      <c r="P91" s="9708"/>
      <c r="Q91" s="6969" t="str">
        <f t="shared" si="23"/>
        <v/>
      </c>
      <c r="R91" s="9688"/>
      <c r="S91" s="9688"/>
      <c r="T91" s="9689"/>
      <c r="U91" s="6969" t="str">
        <f t="shared" si="24"/>
        <v/>
      </c>
      <c r="V91" s="9688"/>
      <c r="W91" s="9688"/>
      <c r="X91" s="9689"/>
      <c r="Y91" s="9670" t="str">
        <f t="shared" si="26"/>
        <v/>
      </c>
      <c r="Z91" s="6222"/>
      <c r="AA91" s="9670" t="str">
        <f t="shared" si="27"/>
        <v/>
      </c>
      <c r="AB91" s="6222"/>
      <c r="AC91" s="9671" t="str">
        <f t="shared" si="28"/>
        <v/>
      </c>
      <c r="AD91" s="9672"/>
      <c r="AE91" s="9672"/>
      <c r="AF91" s="9672"/>
      <c r="AG91" s="1297">
        <f t="shared" si="29"/>
        <v>0</v>
      </c>
      <c r="AH91" s="1090"/>
      <c r="AI91" s="1090" t="e">
        <f t="shared" si="30"/>
        <v>#VALUE!</v>
      </c>
      <c r="AJ91" s="1237"/>
      <c r="AK91" s="1241"/>
      <c r="AL91" s="1241"/>
      <c r="AM91" s="1239"/>
      <c r="AN91" s="1239"/>
      <c r="AO91" s="1240"/>
      <c r="AP91" s="1239"/>
      <c r="AQ91" s="1238"/>
      <c r="AS91" s="42" t="e">
        <f t="shared" si="31"/>
        <v>#VALUE!</v>
      </c>
      <c r="AT91" s="42" t="e">
        <f t="shared" si="32"/>
        <v>#VALUE!</v>
      </c>
      <c r="AU91" s="42" t="e">
        <f t="shared" si="33"/>
        <v>#VALUE!</v>
      </c>
      <c r="AW91" s="42" t="e">
        <f t="shared" si="34"/>
        <v>#VALUE!</v>
      </c>
      <c r="AX91" s="42" t="e">
        <f t="shared" si="35"/>
        <v>#VALUE!</v>
      </c>
      <c r="AY91" s="42" t="e">
        <f t="shared" si="36"/>
        <v>#VALUE!</v>
      </c>
      <c r="BA91" s="42" t="e">
        <f t="shared" si="37"/>
        <v>#VALUE!</v>
      </c>
      <c r="BB91" s="42" t="e">
        <f t="shared" si="38"/>
        <v>#VALUE!</v>
      </c>
      <c r="BC91" s="42" t="e">
        <f t="shared" si="39"/>
        <v>#VALUE!</v>
      </c>
    </row>
    <row r="92" spans="1:55" ht="19.5" customHeight="1">
      <c r="A92" s="1127">
        <f t="shared" si="25"/>
        <v>0</v>
      </c>
      <c r="B92" s="9703" t="str">
        <f t="shared" si="20"/>
        <v/>
      </c>
      <c r="C92" s="9704"/>
      <c r="D92" s="9704"/>
      <c r="E92" s="9704"/>
      <c r="F92" s="9704"/>
      <c r="G92" s="9704"/>
      <c r="H92" s="9704"/>
      <c r="I92" s="9705"/>
      <c r="J92" s="9706" t="str">
        <f t="shared" si="21"/>
        <v/>
      </c>
      <c r="K92" s="9707"/>
      <c r="L92" s="9707"/>
      <c r="M92" s="9706" t="str">
        <f t="shared" si="22"/>
        <v/>
      </c>
      <c r="N92" s="9707"/>
      <c r="O92" s="9707"/>
      <c r="P92" s="9708"/>
      <c r="Q92" s="6969" t="str">
        <f t="shared" si="23"/>
        <v/>
      </c>
      <c r="R92" s="9688"/>
      <c r="S92" s="9688"/>
      <c r="T92" s="9689"/>
      <c r="U92" s="6969" t="str">
        <f t="shared" si="24"/>
        <v/>
      </c>
      <c r="V92" s="9688"/>
      <c r="W92" s="9688"/>
      <c r="X92" s="9689"/>
      <c r="Y92" s="9670" t="str">
        <f t="shared" si="26"/>
        <v/>
      </c>
      <c r="Z92" s="6222"/>
      <c r="AA92" s="9670" t="str">
        <f t="shared" si="27"/>
        <v/>
      </c>
      <c r="AB92" s="6222"/>
      <c r="AC92" s="9671" t="str">
        <f t="shared" si="28"/>
        <v/>
      </c>
      <c r="AD92" s="9672"/>
      <c r="AE92" s="9672"/>
      <c r="AF92" s="9672"/>
      <c r="AG92" s="1297">
        <f t="shared" si="29"/>
        <v>0</v>
      </c>
      <c r="AH92" s="1090"/>
      <c r="AI92" s="1090" t="e">
        <f t="shared" si="30"/>
        <v>#VALUE!</v>
      </c>
      <c r="AJ92" s="1237"/>
      <c r="AK92" s="1241"/>
      <c r="AL92" s="1241"/>
      <c r="AM92" s="1239"/>
      <c r="AN92" s="1239"/>
      <c r="AO92" s="1240"/>
      <c r="AP92" s="1239"/>
      <c r="AQ92" s="1238"/>
      <c r="AS92" s="42" t="e">
        <f t="shared" si="31"/>
        <v>#VALUE!</v>
      </c>
      <c r="AT92" s="42" t="e">
        <f t="shared" si="32"/>
        <v>#VALUE!</v>
      </c>
      <c r="AU92" s="42" t="e">
        <f t="shared" si="33"/>
        <v>#VALUE!</v>
      </c>
      <c r="AW92" s="42" t="e">
        <f t="shared" si="34"/>
        <v>#VALUE!</v>
      </c>
      <c r="AX92" s="42" t="e">
        <f t="shared" si="35"/>
        <v>#VALUE!</v>
      </c>
      <c r="AY92" s="42" t="e">
        <f t="shared" si="36"/>
        <v>#VALUE!</v>
      </c>
      <c r="BA92" s="42" t="e">
        <f t="shared" si="37"/>
        <v>#VALUE!</v>
      </c>
      <c r="BB92" s="42" t="e">
        <f t="shared" si="38"/>
        <v>#VALUE!</v>
      </c>
      <c r="BC92" s="42" t="e">
        <f t="shared" si="39"/>
        <v>#VALUE!</v>
      </c>
    </row>
    <row r="93" spans="1:55" ht="19.5" customHeight="1">
      <c r="A93" s="1127">
        <f t="shared" si="25"/>
        <v>0</v>
      </c>
      <c r="B93" s="9703" t="str">
        <f t="shared" si="20"/>
        <v/>
      </c>
      <c r="C93" s="9704"/>
      <c r="D93" s="9704"/>
      <c r="E93" s="9704"/>
      <c r="F93" s="9704"/>
      <c r="G93" s="9704"/>
      <c r="H93" s="9704"/>
      <c r="I93" s="9705"/>
      <c r="J93" s="9706" t="str">
        <f t="shared" si="21"/>
        <v/>
      </c>
      <c r="K93" s="9707"/>
      <c r="L93" s="9707"/>
      <c r="M93" s="9706" t="str">
        <f t="shared" si="22"/>
        <v/>
      </c>
      <c r="N93" s="9707"/>
      <c r="O93" s="9707"/>
      <c r="P93" s="9708"/>
      <c r="Q93" s="6969" t="str">
        <f t="shared" si="23"/>
        <v/>
      </c>
      <c r="R93" s="9688"/>
      <c r="S93" s="9688"/>
      <c r="T93" s="9689"/>
      <c r="U93" s="6969" t="str">
        <f t="shared" si="24"/>
        <v/>
      </c>
      <c r="V93" s="9688"/>
      <c r="W93" s="9688"/>
      <c r="X93" s="9689"/>
      <c r="Y93" s="9670" t="str">
        <f t="shared" si="26"/>
        <v/>
      </c>
      <c r="Z93" s="6222"/>
      <c r="AA93" s="9670" t="str">
        <f t="shared" si="27"/>
        <v/>
      </c>
      <c r="AB93" s="6222"/>
      <c r="AC93" s="9671" t="str">
        <f t="shared" si="28"/>
        <v/>
      </c>
      <c r="AD93" s="9672"/>
      <c r="AE93" s="9672"/>
      <c r="AF93" s="9672"/>
      <c r="AG93" s="1297">
        <f t="shared" si="29"/>
        <v>0</v>
      </c>
      <c r="AH93" s="1090"/>
      <c r="AI93" s="1090" t="e">
        <f t="shared" si="30"/>
        <v>#VALUE!</v>
      </c>
      <c r="AJ93" s="1237"/>
      <c r="AK93" s="1241"/>
      <c r="AL93" s="1241"/>
      <c r="AM93" s="1239"/>
      <c r="AN93" s="1239"/>
      <c r="AO93" s="1240"/>
      <c r="AP93" s="1239"/>
      <c r="AQ93" s="1238"/>
      <c r="AS93" s="42" t="e">
        <f t="shared" si="31"/>
        <v>#VALUE!</v>
      </c>
      <c r="AT93" s="42" t="e">
        <f t="shared" si="32"/>
        <v>#VALUE!</v>
      </c>
      <c r="AU93" s="42" t="e">
        <f t="shared" si="33"/>
        <v>#VALUE!</v>
      </c>
      <c r="AW93" s="42" t="e">
        <f t="shared" si="34"/>
        <v>#VALUE!</v>
      </c>
      <c r="AX93" s="42" t="e">
        <f t="shared" si="35"/>
        <v>#VALUE!</v>
      </c>
      <c r="AY93" s="42" t="e">
        <f t="shared" si="36"/>
        <v>#VALUE!</v>
      </c>
      <c r="BA93" s="42" t="e">
        <f t="shared" si="37"/>
        <v>#VALUE!</v>
      </c>
      <c r="BB93" s="42" t="e">
        <f t="shared" si="38"/>
        <v>#VALUE!</v>
      </c>
      <c r="BC93" s="42" t="e">
        <f t="shared" si="39"/>
        <v>#VALUE!</v>
      </c>
    </row>
    <row r="94" spans="1:55" ht="19.5" customHeight="1">
      <c r="A94" s="1127">
        <f t="shared" si="25"/>
        <v>0</v>
      </c>
      <c r="B94" s="9703" t="str">
        <f t="shared" si="20"/>
        <v/>
      </c>
      <c r="C94" s="9704"/>
      <c r="D94" s="9704"/>
      <c r="E94" s="9704"/>
      <c r="F94" s="9704"/>
      <c r="G94" s="9704"/>
      <c r="H94" s="9704"/>
      <c r="I94" s="9705"/>
      <c r="J94" s="9706" t="str">
        <f t="shared" si="21"/>
        <v/>
      </c>
      <c r="K94" s="9707"/>
      <c r="L94" s="9707"/>
      <c r="M94" s="9706" t="str">
        <f t="shared" si="22"/>
        <v/>
      </c>
      <c r="N94" s="9707"/>
      <c r="O94" s="9707"/>
      <c r="P94" s="9708"/>
      <c r="Q94" s="6969" t="str">
        <f t="shared" si="23"/>
        <v/>
      </c>
      <c r="R94" s="9688"/>
      <c r="S94" s="9688"/>
      <c r="T94" s="9689"/>
      <c r="U94" s="6969" t="str">
        <f t="shared" si="24"/>
        <v/>
      </c>
      <c r="V94" s="9688"/>
      <c r="W94" s="9688"/>
      <c r="X94" s="9689"/>
      <c r="Y94" s="9670" t="str">
        <f t="shared" si="26"/>
        <v/>
      </c>
      <c r="Z94" s="6222"/>
      <c r="AA94" s="9670" t="str">
        <f t="shared" si="27"/>
        <v/>
      </c>
      <c r="AB94" s="6222"/>
      <c r="AC94" s="9671" t="str">
        <f t="shared" si="28"/>
        <v/>
      </c>
      <c r="AD94" s="9672"/>
      <c r="AE94" s="9672"/>
      <c r="AF94" s="9672"/>
      <c r="AG94" s="1297">
        <f t="shared" si="29"/>
        <v>0</v>
      </c>
      <c r="AH94" s="1090"/>
      <c r="AI94" s="1090" t="e">
        <f t="shared" si="30"/>
        <v>#VALUE!</v>
      </c>
      <c r="AJ94" s="1237"/>
      <c r="AK94" s="1241"/>
      <c r="AL94" s="1241"/>
      <c r="AM94" s="1239"/>
      <c r="AN94" s="1239"/>
      <c r="AO94" s="1240"/>
      <c r="AP94" s="1239"/>
      <c r="AQ94" s="1238"/>
      <c r="AS94" s="42" t="e">
        <f t="shared" si="31"/>
        <v>#VALUE!</v>
      </c>
      <c r="AT94" s="42" t="e">
        <f t="shared" si="32"/>
        <v>#VALUE!</v>
      </c>
      <c r="AU94" s="42" t="e">
        <f t="shared" si="33"/>
        <v>#VALUE!</v>
      </c>
      <c r="AW94" s="42" t="e">
        <f t="shared" si="34"/>
        <v>#VALUE!</v>
      </c>
      <c r="AX94" s="42" t="e">
        <f t="shared" si="35"/>
        <v>#VALUE!</v>
      </c>
      <c r="AY94" s="42" t="e">
        <f t="shared" si="36"/>
        <v>#VALUE!</v>
      </c>
      <c r="BA94" s="42" t="e">
        <f t="shared" si="37"/>
        <v>#VALUE!</v>
      </c>
      <c r="BB94" s="42" t="e">
        <f t="shared" si="38"/>
        <v>#VALUE!</v>
      </c>
      <c r="BC94" s="42" t="e">
        <f t="shared" si="39"/>
        <v>#VALUE!</v>
      </c>
    </row>
    <row r="95" spans="1:55" ht="19.5" customHeight="1">
      <c r="A95" s="1127">
        <f t="shared" si="25"/>
        <v>0</v>
      </c>
      <c r="B95" s="9703" t="str">
        <f t="shared" si="20"/>
        <v/>
      </c>
      <c r="C95" s="9704"/>
      <c r="D95" s="9704"/>
      <c r="E95" s="9704"/>
      <c r="F95" s="9704"/>
      <c r="G95" s="9704"/>
      <c r="H95" s="9704"/>
      <c r="I95" s="9705"/>
      <c r="J95" s="9706" t="str">
        <f t="shared" si="21"/>
        <v/>
      </c>
      <c r="K95" s="9707"/>
      <c r="L95" s="9707"/>
      <c r="M95" s="9706" t="str">
        <f t="shared" si="22"/>
        <v/>
      </c>
      <c r="N95" s="9707"/>
      <c r="O95" s="9707"/>
      <c r="P95" s="9708"/>
      <c r="Q95" s="6969" t="str">
        <f t="shared" si="23"/>
        <v/>
      </c>
      <c r="R95" s="9688"/>
      <c r="S95" s="9688"/>
      <c r="T95" s="9689"/>
      <c r="U95" s="6969" t="str">
        <f t="shared" si="24"/>
        <v/>
      </c>
      <c r="V95" s="9688"/>
      <c r="W95" s="9688"/>
      <c r="X95" s="9689"/>
      <c r="Y95" s="9670" t="str">
        <f t="shared" si="26"/>
        <v/>
      </c>
      <c r="Z95" s="6222"/>
      <c r="AA95" s="9670" t="str">
        <f t="shared" si="27"/>
        <v/>
      </c>
      <c r="AB95" s="6222"/>
      <c r="AC95" s="9671" t="str">
        <f t="shared" si="28"/>
        <v/>
      </c>
      <c r="AD95" s="9672"/>
      <c r="AE95" s="9672"/>
      <c r="AF95" s="9672"/>
      <c r="AG95" s="1297">
        <f t="shared" si="29"/>
        <v>0</v>
      </c>
      <c r="AH95" s="1090"/>
      <c r="AI95" s="1090" t="e">
        <f t="shared" si="30"/>
        <v>#VALUE!</v>
      </c>
      <c r="AJ95" s="1237"/>
      <c r="AK95" s="1241"/>
      <c r="AL95" s="1241"/>
      <c r="AM95" s="1239"/>
      <c r="AN95" s="1239"/>
      <c r="AO95" s="1240"/>
      <c r="AP95" s="1239"/>
      <c r="AQ95" s="1238"/>
      <c r="AS95" s="42" t="e">
        <f t="shared" si="31"/>
        <v>#VALUE!</v>
      </c>
      <c r="AT95" s="42" t="e">
        <f t="shared" si="32"/>
        <v>#VALUE!</v>
      </c>
      <c r="AU95" s="42" t="e">
        <f t="shared" si="33"/>
        <v>#VALUE!</v>
      </c>
      <c r="AW95" s="42" t="e">
        <f t="shared" si="34"/>
        <v>#VALUE!</v>
      </c>
      <c r="AX95" s="42" t="e">
        <f t="shared" si="35"/>
        <v>#VALUE!</v>
      </c>
      <c r="AY95" s="42" t="e">
        <f t="shared" si="36"/>
        <v>#VALUE!</v>
      </c>
      <c r="BA95" s="42" t="e">
        <f t="shared" si="37"/>
        <v>#VALUE!</v>
      </c>
      <c r="BB95" s="42" t="e">
        <f t="shared" si="38"/>
        <v>#VALUE!</v>
      </c>
      <c r="BC95" s="42" t="e">
        <f t="shared" si="39"/>
        <v>#VALUE!</v>
      </c>
    </row>
    <row r="96" spans="1:55" ht="19.5" customHeight="1">
      <c r="A96" s="1127">
        <f t="shared" si="25"/>
        <v>0</v>
      </c>
      <c r="B96" s="9703" t="str">
        <f t="shared" si="20"/>
        <v/>
      </c>
      <c r="C96" s="9704"/>
      <c r="D96" s="9704"/>
      <c r="E96" s="9704"/>
      <c r="F96" s="9704"/>
      <c r="G96" s="9704"/>
      <c r="H96" s="9704"/>
      <c r="I96" s="9705"/>
      <c r="J96" s="9706" t="str">
        <f t="shared" si="21"/>
        <v/>
      </c>
      <c r="K96" s="9707"/>
      <c r="L96" s="9707"/>
      <c r="M96" s="9706" t="str">
        <f t="shared" si="22"/>
        <v/>
      </c>
      <c r="N96" s="9707"/>
      <c r="O96" s="9707"/>
      <c r="P96" s="9708"/>
      <c r="Q96" s="6969" t="str">
        <f t="shared" si="23"/>
        <v/>
      </c>
      <c r="R96" s="9688"/>
      <c r="S96" s="9688"/>
      <c r="T96" s="9689"/>
      <c r="U96" s="6969" t="str">
        <f t="shared" si="24"/>
        <v/>
      </c>
      <c r="V96" s="9688"/>
      <c r="W96" s="9688"/>
      <c r="X96" s="9689"/>
      <c r="Y96" s="9670" t="str">
        <f t="shared" si="26"/>
        <v/>
      </c>
      <c r="Z96" s="6222"/>
      <c r="AA96" s="9670" t="str">
        <f t="shared" si="27"/>
        <v/>
      </c>
      <c r="AB96" s="6222"/>
      <c r="AC96" s="9671" t="str">
        <f t="shared" si="28"/>
        <v/>
      </c>
      <c r="AD96" s="9672"/>
      <c r="AE96" s="9672"/>
      <c r="AF96" s="9672"/>
      <c r="AG96" s="1297">
        <f t="shared" si="29"/>
        <v>0</v>
      </c>
      <c r="AH96" s="1090"/>
      <c r="AI96" s="1090" t="e">
        <f t="shared" si="30"/>
        <v>#VALUE!</v>
      </c>
      <c r="AJ96" s="1237"/>
      <c r="AK96" s="1241"/>
      <c r="AL96" s="1241"/>
      <c r="AM96" s="1239"/>
      <c r="AN96" s="1239"/>
      <c r="AO96" s="1240"/>
      <c r="AP96" s="1239"/>
      <c r="AQ96" s="1238"/>
      <c r="AS96" s="42" t="e">
        <f t="shared" si="31"/>
        <v>#VALUE!</v>
      </c>
      <c r="AT96" s="42" t="e">
        <f t="shared" si="32"/>
        <v>#VALUE!</v>
      </c>
      <c r="AU96" s="42" t="e">
        <f t="shared" si="33"/>
        <v>#VALUE!</v>
      </c>
      <c r="AW96" s="42" t="e">
        <f t="shared" si="34"/>
        <v>#VALUE!</v>
      </c>
      <c r="AX96" s="42" t="e">
        <f t="shared" si="35"/>
        <v>#VALUE!</v>
      </c>
      <c r="AY96" s="42" t="e">
        <f t="shared" si="36"/>
        <v>#VALUE!</v>
      </c>
      <c r="BA96" s="42" t="e">
        <f t="shared" si="37"/>
        <v>#VALUE!</v>
      </c>
      <c r="BB96" s="42" t="e">
        <f t="shared" si="38"/>
        <v>#VALUE!</v>
      </c>
      <c r="BC96" s="42" t="e">
        <f t="shared" si="39"/>
        <v>#VALUE!</v>
      </c>
    </row>
    <row r="97" spans="1:55" ht="19.5" customHeight="1">
      <c r="A97" s="1127">
        <f t="shared" si="25"/>
        <v>0</v>
      </c>
      <c r="B97" s="9703" t="str">
        <f t="shared" si="20"/>
        <v/>
      </c>
      <c r="C97" s="9704"/>
      <c r="D97" s="9704"/>
      <c r="E97" s="9704"/>
      <c r="F97" s="9704"/>
      <c r="G97" s="9704"/>
      <c r="H97" s="9704"/>
      <c r="I97" s="9705"/>
      <c r="J97" s="9706" t="str">
        <f t="shared" si="21"/>
        <v/>
      </c>
      <c r="K97" s="9707"/>
      <c r="L97" s="9707"/>
      <c r="M97" s="9706" t="str">
        <f t="shared" si="22"/>
        <v/>
      </c>
      <c r="N97" s="9707"/>
      <c r="O97" s="9707"/>
      <c r="P97" s="9708"/>
      <c r="Q97" s="6969" t="str">
        <f t="shared" si="23"/>
        <v/>
      </c>
      <c r="R97" s="9688"/>
      <c r="S97" s="9688"/>
      <c r="T97" s="9689"/>
      <c r="U97" s="6969" t="str">
        <f t="shared" si="24"/>
        <v/>
      </c>
      <c r="V97" s="9688"/>
      <c r="W97" s="9688"/>
      <c r="X97" s="9689"/>
      <c r="Y97" s="9670" t="str">
        <f t="shared" si="26"/>
        <v/>
      </c>
      <c r="Z97" s="6222"/>
      <c r="AA97" s="9670" t="str">
        <f t="shared" si="27"/>
        <v/>
      </c>
      <c r="AB97" s="6222"/>
      <c r="AC97" s="9671" t="str">
        <f t="shared" si="28"/>
        <v/>
      </c>
      <c r="AD97" s="9672"/>
      <c r="AE97" s="9672"/>
      <c r="AF97" s="9672"/>
      <c r="AG97" s="1297">
        <f t="shared" si="29"/>
        <v>0</v>
      </c>
      <c r="AH97" s="1090"/>
      <c r="AI97" s="1090" t="e">
        <f t="shared" si="30"/>
        <v>#VALUE!</v>
      </c>
      <c r="AJ97" s="1237"/>
      <c r="AK97" s="1241"/>
      <c r="AL97" s="1241"/>
      <c r="AM97" s="1239"/>
      <c r="AN97" s="1239"/>
      <c r="AO97" s="1240"/>
      <c r="AP97" s="1239"/>
      <c r="AQ97" s="1238"/>
      <c r="AS97" s="42" t="e">
        <f t="shared" si="31"/>
        <v>#VALUE!</v>
      </c>
      <c r="AT97" s="42" t="e">
        <f t="shared" si="32"/>
        <v>#VALUE!</v>
      </c>
      <c r="AU97" s="42" t="e">
        <f t="shared" si="33"/>
        <v>#VALUE!</v>
      </c>
      <c r="AW97" s="42" t="e">
        <f t="shared" si="34"/>
        <v>#VALUE!</v>
      </c>
      <c r="AX97" s="42" t="e">
        <f t="shared" si="35"/>
        <v>#VALUE!</v>
      </c>
      <c r="AY97" s="42" t="e">
        <f t="shared" si="36"/>
        <v>#VALUE!</v>
      </c>
      <c r="BA97" s="42" t="e">
        <f t="shared" si="37"/>
        <v>#VALUE!</v>
      </c>
      <c r="BB97" s="42" t="e">
        <f t="shared" si="38"/>
        <v>#VALUE!</v>
      </c>
      <c r="BC97" s="42" t="e">
        <f t="shared" si="39"/>
        <v>#VALUE!</v>
      </c>
    </row>
    <row r="98" spans="1:55" ht="19.5" customHeight="1">
      <c r="A98" s="1127">
        <f t="shared" si="25"/>
        <v>0</v>
      </c>
      <c r="B98" s="9703" t="str">
        <f t="shared" si="20"/>
        <v/>
      </c>
      <c r="C98" s="9704"/>
      <c r="D98" s="9704"/>
      <c r="E98" s="9704"/>
      <c r="F98" s="9704"/>
      <c r="G98" s="9704"/>
      <c r="H98" s="9704"/>
      <c r="I98" s="9705"/>
      <c r="J98" s="9706" t="str">
        <f t="shared" si="21"/>
        <v/>
      </c>
      <c r="K98" s="9707"/>
      <c r="L98" s="9707"/>
      <c r="M98" s="9706" t="str">
        <f t="shared" si="22"/>
        <v/>
      </c>
      <c r="N98" s="9707"/>
      <c r="O98" s="9707"/>
      <c r="P98" s="9708"/>
      <c r="Q98" s="6969" t="str">
        <f t="shared" si="23"/>
        <v/>
      </c>
      <c r="R98" s="9688"/>
      <c r="S98" s="9688"/>
      <c r="T98" s="9689"/>
      <c r="U98" s="6969" t="str">
        <f t="shared" si="24"/>
        <v/>
      </c>
      <c r="V98" s="9688"/>
      <c r="W98" s="9688"/>
      <c r="X98" s="9689"/>
      <c r="Y98" s="9670" t="str">
        <f t="shared" si="26"/>
        <v/>
      </c>
      <c r="Z98" s="6222"/>
      <c r="AA98" s="9670" t="str">
        <f t="shared" si="27"/>
        <v/>
      </c>
      <c r="AB98" s="6222"/>
      <c r="AC98" s="9671" t="str">
        <f t="shared" si="28"/>
        <v/>
      </c>
      <c r="AD98" s="9672"/>
      <c r="AE98" s="9672"/>
      <c r="AF98" s="9672"/>
      <c r="AG98" s="1297">
        <f t="shared" si="29"/>
        <v>0</v>
      </c>
      <c r="AH98" s="1090"/>
      <c r="AI98" s="1090" t="e">
        <f t="shared" si="30"/>
        <v>#VALUE!</v>
      </c>
      <c r="AJ98" s="1237"/>
      <c r="AK98" s="1241"/>
      <c r="AL98" s="1241"/>
      <c r="AM98" s="1239"/>
      <c r="AN98" s="1239"/>
      <c r="AO98" s="1240"/>
      <c r="AP98" s="1239"/>
      <c r="AQ98" s="1238"/>
      <c r="AS98" s="42" t="e">
        <f t="shared" si="31"/>
        <v>#VALUE!</v>
      </c>
      <c r="AT98" s="42" t="e">
        <f t="shared" si="32"/>
        <v>#VALUE!</v>
      </c>
      <c r="AU98" s="42" t="e">
        <f t="shared" si="33"/>
        <v>#VALUE!</v>
      </c>
      <c r="AW98" s="42" t="e">
        <f t="shared" si="34"/>
        <v>#VALUE!</v>
      </c>
      <c r="AX98" s="42" t="e">
        <f t="shared" si="35"/>
        <v>#VALUE!</v>
      </c>
      <c r="AY98" s="42" t="e">
        <f t="shared" si="36"/>
        <v>#VALUE!</v>
      </c>
      <c r="BA98" s="42" t="e">
        <f t="shared" si="37"/>
        <v>#VALUE!</v>
      </c>
      <c r="BB98" s="42" t="e">
        <f t="shared" si="38"/>
        <v>#VALUE!</v>
      </c>
      <c r="BC98" s="42" t="e">
        <f t="shared" si="39"/>
        <v>#VALUE!</v>
      </c>
    </row>
    <row r="99" spans="1:55" ht="19.5" customHeight="1">
      <c r="A99" s="1127">
        <f t="shared" si="25"/>
        <v>0</v>
      </c>
      <c r="B99" s="9703" t="str">
        <f t="shared" si="20"/>
        <v/>
      </c>
      <c r="C99" s="9704"/>
      <c r="D99" s="9704"/>
      <c r="E99" s="9704"/>
      <c r="F99" s="9704"/>
      <c r="G99" s="9704"/>
      <c r="H99" s="9704"/>
      <c r="I99" s="9705"/>
      <c r="J99" s="9706" t="str">
        <f t="shared" si="21"/>
        <v/>
      </c>
      <c r="K99" s="9707"/>
      <c r="L99" s="9707"/>
      <c r="M99" s="9706" t="str">
        <f t="shared" si="22"/>
        <v/>
      </c>
      <c r="N99" s="9707"/>
      <c r="O99" s="9707"/>
      <c r="P99" s="9708"/>
      <c r="Q99" s="6969" t="str">
        <f t="shared" si="23"/>
        <v/>
      </c>
      <c r="R99" s="9688"/>
      <c r="S99" s="9688"/>
      <c r="T99" s="9689"/>
      <c r="U99" s="6969" t="str">
        <f t="shared" si="24"/>
        <v/>
      </c>
      <c r="V99" s="9688"/>
      <c r="W99" s="9688"/>
      <c r="X99" s="9689"/>
      <c r="Y99" s="9670" t="str">
        <f t="shared" si="26"/>
        <v/>
      </c>
      <c r="Z99" s="6222"/>
      <c r="AA99" s="9670" t="str">
        <f t="shared" si="27"/>
        <v/>
      </c>
      <c r="AB99" s="6222"/>
      <c r="AC99" s="9671" t="str">
        <f t="shared" si="28"/>
        <v/>
      </c>
      <c r="AD99" s="9672"/>
      <c r="AE99" s="9672"/>
      <c r="AF99" s="9672"/>
      <c r="AG99" s="1297">
        <f t="shared" si="29"/>
        <v>0</v>
      </c>
      <c r="AH99" s="1090"/>
      <c r="AI99" s="1090" t="e">
        <f t="shared" si="30"/>
        <v>#VALUE!</v>
      </c>
      <c r="AJ99" s="1237"/>
      <c r="AK99" s="1241"/>
      <c r="AL99" s="1241"/>
      <c r="AM99" s="1239"/>
      <c r="AN99" s="1239"/>
      <c r="AO99" s="1240"/>
      <c r="AP99" s="1239"/>
      <c r="AQ99" s="1238"/>
      <c r="AS99" s="42" t="e">
        <f t="shared" si="31"/>
        <v>#VALUE!</v>
      </c>
      <c r="AT99" s="42" t="e">
        <f t="shared" si="32"/>
        <v>#VALUE!</v>
      </c>
      <c r="AU99" s="42" t="e">
        <f t="shared" si="33"/>
        <v>#VALUE!</v>
      </c>
      <c r="AW99" s="42" t="e">
        <f t="shared" si="34"/>
        <v>#VALUE!</v>
      </c>
      <c r="AX99" s="42" t="e">
        <f t="shared" si="35"/>
        <v>#VALUE!</v>
      </c>
      <c r="AY99" s="42" t="e">
        <f t="shared" si="36"/>
        <v>#VALUE!</v>
      </c>
      <c r="BA99" s="42" t="e">
        <f t="shared" si="37"/>
        <v>#VALUE!</v>
      </c>
      <c r="BB99" s="42" t="e">
        <f t="shared" si="38"/>
        <v>#VALUE!</v>
      </c>
      <c r="BC99" s="42" t="e">
        <f t="shared" si="39"/>
        <v>#VALUE!</v>
      </c>
    </row>
    <row r="100" spans="1:55" ht="19.5" customHeight="1">
      <c r="A100" s="1127">
        <f t="shared" si="25"/>
        <v>0</v>
      </c>
      <c r="B100" s="9703" t="str">
        <f t="shared" si="20"/>
        <v/>
      </c>
      <c r="C100" s="9704"/>
      <c r="D100" s="9704"/>
      <c r="E100" s="9704"/>
      <c r="F100" s="9704"/>
      <c r="G100" s="9704"/>
      <c r="H100" s="9704"/>
      <c r="I100" s="9705"/>
      <c r="J100" s="9706" t="str">
        <f t="shared" si="21"/>
        <v/>
      </c>
      <c r="K100" s="9707"/>
      <c r="L100" s="9707"/>
      <c r="M100" s="9706" t="str">
        <f t="shared" si="22"/>
        <v/>
      </c>
      <c r="N100" s="9707"/>
      <c r="O100" s="9707"/>
      <c r="P100" s="9708"/>
      <c r="Q100" s="6969" t="str">
        <f t="shared" si="23"/>
        <v/>
      </c>
      <c r="R100" s="9688"/>
      <c r="S100" s="9688"/>
      <c r="T100" s="9689"/>
      <c r="U100" s="6969" t="str">
        <f t="shared" si="24"/>
        <v/>
      </c>
      <c r="V100" s="9688"/>
      <c r="W100" s="9688"/>
      <c r="X100" s="9689"/>
      <c r="Y100" s="9670" t="str">
        <f t="shared" si="26"/>
        <v/>
      </c>
      <c r="Z100" s="6222"/>
      <c r="AA100" s="9670" t="str">
        <f t="shared" si="27"/>
        <v/>
      </c>
      <c r="AB100" s="6222"/>
      <c r="AC100" s="9671" t="str">
        <f t="shared" si="28"/>
        <v/>
      </c>
      <c r="AD100" s="9672"/>
      <c r="AE100" s="9672"/>
      <c r="AF100" s="9672"/>
      <c r="AG100" s="1297">
        <f t="shared" si="29"/>
        <v>0</v>
      </c>
      <c r="AH100" s="1090"/>
      <c r="AI100" s="1090" t="e">
        <f t="shared" si="30"/>
        <v>#VALUE!</v>
      </c>
      <c r="AJ100" s="1237"/>
      <c r="AK100" s="1241"/>
      <c r="AL100" s="1241"/>
      <c r="AM100" s="1239"/>
      <c r="AN100" s="1239"/>
      <c r="AO100" s="1240"/>
      <c r="AP100" s="1239"/>
      <c r="AQ100" s="1238"/>
      <c r="AS100" s="42" t="e">
        <f t="shared" si="31"/>
        <v>#VALUE!</v>
      </c>
      <c r="AT100" s="42" t="e">
        <f t="shared" si="32"/>
        <v>#VALUE!</v>
      </c>
      <c r="AU100" s="42" t="e">
        <f t="shared" si="33"/>
        <v>#VALUE!</v>
      </c>
      <c r="AW100" s="42" t="e">
        <f t="shared" si="34"/>
        <v>#VALUE!</v>
      </c>
      <c r="AX100" s="42" t="e">
        <f t="shared" si="35"/>
        <v>#VALUE!</v>
      </c>
      <c r="AY100" s="42" t="e">
        <f t="shared" si="36"/>
        <v>#VALUE!</v>
      </c>
      <c r="BA100" s="42" t="e">
        <f t="shared" si="37"/>
        <v>#VALUE!</v>
      </c>
      <c r="BB100" s="42" t="e">
        <f t="shared" si="38"/>
        <v>#VALUE!</v>
      </c>
      <c r="BC100" s="42" t="e">
        <f t="shared" si="39"/>
        <v>#VALUE!</v>
      </c>
    </row>
    <row r="101" spans="1:55" ht="19.5" customHeight="1">
      <c r="A101" s="1127">
        <f t="shared" si="25"/>
        <v>0</v>
      </c>
      <c r="B101" s="9703" t="str">
        <f t="shared" si="20"/>
        <v/>
      </c>
      <c r="C101" s="9704"/>
      <c r="D101" s="9704"/>
      <c r="E101" s="9704"/>
      <c r="F101" s="9704"/>
      <c r="G101" s="9704"/>
      <c r="H101" s="9704"/>
      <c r="I101" s="9705"/>
      <c r="J101" s="9706" t="str">
        <f t="shared" si="21"/>
        <v/>
      </c>
      <c r="K101" s="9707"/>
      <c r="L101" s="9707"/>
      <c r="M101" s="9706" t="str">
        <f t="shared" si="22"/>
        <v/>
      </c>
      <c r="N101" s="9707"/>
      <c r="O101" s="9707"/>
      <c r="P101" s="9708"/>
      <c r="Q101" s="6969" t="str">
        <f t="shared" si="23"/>
        <v/>
      </c>
      <c r="R101" s="9688"/>
      <c r="S101" s="9688"/>
      <c r="T101" s="9689"/>
      <c r="U101" s="6969" t="str">
        <f t="shared" si="24"/>
        <v/>
      </c>
      <c r="V101" s="9688"/>
      <c r="W101" s="9688"/>
      <c r="X101" s="9689"/>
      <c r="Y101" s="9670" t="str">
        <f t="shared" si="26"/>
        <v/>
      </c>
      <c r="Z101" s="6222"/>
      <c r="AA101" s="9670" t="str">
        <f t="shared" si="27"/>
        <v/>
      </c>
      <c r="AB101" s="6222"/>
      <c r="AC101" s="9671" t="str">
        <f t="shared" si="28"/>
        <v/>
      </c>
      <c r="AD101" s="9672"/>
      <c r="AE101" s="9672"/>
      <c r="AF101" s="9672"/>
      <c r="AG101" s="1297">
        <f t="shared" si="29"/>
        <v>0</v>
      </c>
      <c r="AH101" s="1090"/>
      <c r="AI101" s="1090" t="e">
        <f t="shared" si="30"/>
        <v>#VALUE!</v>
      </c>
      <c r="AJ101" s="1237"/>
      <c r="AK101" s="1241"/>
      <c r="AL101" s="1241"/>
      <c r="AM101" s="1239"/>
      <c r="AN101" s="1239"/>
      <c r="AO101" s="1240"/>
      <c r="AP101" s="1239"/>
      <c r="AQ101" s="1238"/>
      <c r="AS101" s="42" t="e">
        <f t="shared" si="31"/>
        <v>#VALUE!</v>
      </c>
      <c r="AT101" s="42" t="e">
        <f t="shared" si="32"/>
        <v>#VALUE!</v>
      </c>
      <c r="AU101" s="42" t="e">
        <f t="shared" si="33"/>
        <v>#VALUE!</v>
      </c>
      <c r="AW101" s="42" t="e">
        <f t="shared" si="34"/>
        <v>#VALUE!</v>
      </c>
      <c r="AX101" s="42" t="e">
        <f t="shared" si="35"/>
        <v>#VALUE!</v>
      </c>
      <c r="AY101" s="42" t="e">
        <f t="shared" si="36"/>
        <v>#VALUE!</v>
      </c>
      <c r="BA101" s="42" t="e">
        <f t="shared" si="37"/>
        <v>#VALUE!</v>
      </c>
      <c r="BB101" s="42" t="e">
        <f t="shared" si="38"/>
        <v>#VALUE!</v>
      </c>
      <c r="BC101" s="42" t="e">
        <f t="shared" si="39"/>
        <v>#VALUE!</v>
      </c>
    </row>
    <row r="102" spans="1:55" ht="19.5" customHeight="1">
      <c r="A102" s="1127">
        <f t="shared" si="25"/>
        <v>0</v>
      </c>
      <c r="B102" s="9703" t="str">
        <f t="shared" si="20"/>
        <v/>
      </c>
      <c r="C102" s="9704"/>
      <c r="D102" s="9704"/>
      <c r="E102" s="9704"/>
      <c r="F102" s="9704"/>
      <c r="G102" s="9704"/>
      <c r="H102" s="9704"/>
      <c r="I102" s="9705"/>
      <c r="J102" s="9706" t="str">
        <f t="shared" si="21"/>
        <v/>
      </c>
      <c r="K102" s="9707"/>
      <c r="L102" s="9707"/>
      <c r="M102" s="9706" t="str">
        <f t="shared" si="22"/>
        <v/>
      </c>
      <c r="N102" s="9707"/>
      <c r="O102" s="9707"/>
      <c r="P102" s="9708"/>
      <c r="Q102" s="6969" t="str">
        <f t="shared" si="23"/>
        <v/>
      </c>
      <c r="R102" s="9688"/>
      <c r="S102" s="9688"/>
      <c r="T102" s="9689"/>
      <c r="U102" s="6969" t="str">
        <f t="shared" si="24"/>
        <v/>
      </c>
      <c r="V102" s="9688"/>
      <c r="W102" s="9688"/>
      <c r="X102" s="9689"/>
      <c r="Y102" s="9670" t="str">
        <f t="shared" si="26"/>
        <v/>
      </c>
      <c r="Z102" s="6222"/>
      <c r="AA102" s="9670" t="str">
        <f t="shared" si="27"/>
        <v/>
      </c>
      <c r="AB102" s="6222"/>
      <c r="AC102" s="9671" t="str">
        <f t="shared" si="28"/>
        <v/>
      </c>
      <c r="AD102" s="9672"/>
      <c r="AE102" s="9672"/>
      <c r="AF102" s="9672"/>
      <c r="AG102" s="1297">
        <f t="shared" si="29"/>
        <v>0</v>
      </c>
      <c r="AH102" s="1090"/>
      <c r="AI102" s="1090" t="e">
        <f t="shared" si="30"/>
        <v>#VALUE!</v>
      </c>
      <c r="AJ102" s="1237"/>
      <c r="AK102" s="1241"/>
      <c r="AL102" s="1241"/>
      <c r="AM102" s="1239"/>
      <c r="AN102" s="1239"/>
      <c r="AO102" s="1240"/>
      <c r="AP102" s="1239"/>
      <c r="AQ102" s="1238"/>
      <c r="AS102" s="42" t="e">
        <f t="shared" si="31"/>
        <v>#VALUE!</v>
      </c>
      <c r="AT102" s="42" t="e">
        <f t="shared" si="32"/>
        <v>#VALUE!</v>
      </c>
      <c r="AU102" s="42" t="e">
        <f t="shared" si="33"/>
        <v>#VALUE!</v>
      </c>
      <c r="AW102" s="42" t="e">
        <f t="shared" si="34"/>
        <v>#VALUE!</v>
      </c>
      <c r="AX102" s="42" t="e">
        <f t="shared" si="35"/>
        <v>#VALUE!</v>
      </c>
      <c r="AY102" s="42" t="e">
        <f t="shared" si="36"/>
        <v>#VALUE!</v>
      </c>
      <c r="BA102" s="42" t="e">
        <f t="shared" si="37"/>
        <v>#VALUE!</v>
      </c>
      <c r="BB102" s="42" t="e">
        <f t="shared" si="38"/>
        <v>#VALUE!</v>
      </c>
      <c r="BC102" s="42" t="e">
        <f t="shared" si="39"/>
        <v>#VALUE!</v>
      </c>
    </row>
    <row r="103" spans="1:55" ht="19.5" customHeight="1">
      <c r="A103" s="1127">
        <f t="shared" si="25"/>
        <v>0</v>
      </c>
      <c r="B103" s="9703" t="str">
        <f t="shared" si="20"/>
        <v/>
      </c>
      <c r="C103" s="9704"/>
      <c r="D103" s="9704"/>
      <c r="E103" s="9704"/>
      <c r="F103" s="9704"/>
      <c r="G103" s="9704"/>
      <c r="H103" s="9704"/>
      <c r="I103" s="9705"/>
      <c r="J103" s="9706" t="str">
        <f t="shared" si="21"/>
        <v/>
      </c>
      <c r="K103" s="9707"/>
      <c r="L103" s="9707"/>
      <c r="M103" s="9706" t="str">
        <f t="shared" si="22"/>
        <v/>
      </c>
      <c r="N103" s="9707"/>
      <c r="O103" s="9707"/>
      <c r="P103" s="9708"/>
      <c r="Q103" s="6969" t="str">
        <f t="shared" si="23"/>
        <v/>
      </c>
      <c r="R103" s="9688"/>
      <c r="S103" s="9688"/>
      <c r="T103" s="9689"/>
      <c r="U103" s="6969" t="str">
        <f t="shared" si="24"/>
        <v/>
      </c>
      <c r="V103" s="9688"/>
      <c r="W103" s="9688"/>
      <c r="X103" s="9689"/>
      <c r="Y103" s="9670" t="str">
        <f t="shared" si="26"/>
        <v/>
      </c>
      <c r="Z103" s="6222"/>
      <c r="AA103" s="9670" t="str">
        <f t="shared" si="27"/>
        <v/>
      </c>
      <c r="AB103" s="6222"/>
      <c r="AC103" s="9671" t="str">
        <f t="shared" si="28"/>
        <v/>
      </c>
      <c r="AD103" s="9672"/>
      <c r="AE103" s="9672"/>
      <c r="AF103" s="9672"/>
      <c r="AG103" s="1297">
        <f t="shared" si="29"/>
        <v>0</v>
      </c>
      <c r="AH103" s="1090"/>
      <c r="AI103" s="1090" t="e">
        <f t="shared" si="30"/>
        <v>#VALUE!</v>
      </c>
      <c r="AJ103" s="1237"/>
      <c r="AK103" s="1241"/>
      <c r="AL103" s="1241"/>
      <c r="AM103" s="1239"/>
      <c r="AN103" s="1239"/>
      <c r="AO103" s="1240"/>
      <c r="AP103" s="1239"/>
      <c r="AQ103" s="1238"/>
      <c r="AS103" s="42" t="e">
        <f t="shared" si="31"/>
        <v>#VALUE!</v>
      </c>
      <c r="AT103" s="42" t="e">
        <f t="shared" si="32"/>
        <v>#VALUE!</v>
      </c>
      <c r="AU103" s="42" t="e">
        <f t="shared" si="33"/>
        <v>#VALUE!</v>
      </c>
      <c r="AW103" s="42" t="e">
        <f t="shared" si="34"/>
        <v>#VALUE!</v>
      </c>
      <c r="AX103" s="42" t="e">
        <f t="shared" si="35"/>
        <v>#VALUE!</v>
      </c>
      <c r="AY103" s="42" t="e">
        <f t="shared" si="36"/>
        <v>#VALUE!</v>
      </c>
      <c r="BA103" s="42" t="e">
        <f t="shared" si="37"/>
        <v>#VALUE!</v>
      </c>
      <c r="BB103" s="42" t="e">
        <f t="shared" si="38"/>
        <v>#VALUE!</v>
      </c>
      <c r="BC103" s="42" t="e">
        <f t="shared" si="39"/>
        <v>#VALUE!</v>
      </c>
    </row>
    <row r="104" spans="1:55" ht="19.5" customHeight="1">
      <c r="A104" s="1127">
        <f t="shared" si="25"/>
        <v>0</v>
      </c>
      <c r="B104" s="9703" t="str">
        <f t="shared" si="20"/>
        <v/>
      </c>
      <c r="C104" s="9704"/>
      <c r="D104" s="9704"/>
      <c r="E104" s="9704"/>
      <c r="F104" s="9704"/>
      <c r="G104" s="9704"/>
      <c r="H104" s="9704"/>
      <c r="I104" s="9705"/>
      <c r="J104" s="9706" t="str">
        <f t="shared" si="21"/>
        <v/>
      </c>
      <c r="K104" s="9707"/>
      <c r="L104" s="9707"/>
      <c r="M104" s="9706" t="str">
        <f t="shared" si="22"/>
        <v/>
      </c>
      <c r="N104" s="9707"/>
      <c r="O104" s="9707"/>
      <c r="P104" s="9708"/>
      <c r="Q104" s="6969" t="str">
        <f t="shared" si="23"/>
        <v/>
      </c>
      <c r="R104" s="9688"/>
      <c r="S104" s="9688"/>
      <c r="T104" s="9689"/>
      <c r="U104" s="6969" t="str">
        <f t="shared" si="24"/>
        <v/>
      </c>
      <c r="V104" s="9688"/>
      <c r="W104" s="9688"/>
      <c r="X104" s="9689"/>
      <c r="Y104" s="9670" t="str">
        <f t="shared" si="26"/>
        <v/>
      </c>
      <c r="Z104" s="6222"/>
      <c r="AA104" s="9670" t="str">
        <f t="shared" si="27"/>
        <v/>
      </c>
      <c r="AB104" s="6222"/>
      <c r="AC104" s="9671" t="str">
        <f t="shared" si="28"/>
        <v/>
      </c>
      <c r="AD104" s="9672"/>
      <c r="AE104" s="9672"/>
      <c r="AF104" s="9672"/>
      <c r="AG104" s="1297">
        <f t="shared" si="29"/>
        <v>0</v>
      </c>
      <c r="AH104" s="1090"/>
      <c r="AI104" s="1090" t="e">
        <f t="shared" si="30"/>
        <v>#VALUE!</v>
      </c>
      <c r="AJ104" s="1237"/>
      <c r="AK104" s="1241"/>
      <c r="AL104" s="1241"/>
      <c r="AM104" s="1239"/>
      <c r="AN104" s="1239"/>
      <c r="AO104" s="1240"/>
      <c r="AP104" s="1239"/>
      <c r="AQ104" s="1238"/>
      <c r="AS104" s="42" t="e">
        <f t="shared" si="31"/>
        <v>#VALUE!</v>
      </c>
      <c r="AT104" s="42" t="e">
        <f t="shared" si="32"/>
        <v>#VALUE!</v>
      </c>
      <c r="AU104" s="42" t="e">
        <f t="shared" si="33"/>
        <v>#VALUE!</v>
      </c>
      <c r="AW104" s="42" t="e">
        <f t="shared" si="34"/>
        <v>#VALUE!</v>
      </c>
      <c r="AX104" s="42" t="e">
        <f t="shared" si="35"/>
        <v>#VALUE!</v>
      </c>
      <c r="AY104" s="42" t="e">
        <f t="shared" si="36"/>
        <v>#VALUE!</v>
      </c>
      <c r="BA104" s="42" t="e">
        <f t="shared" si="37"/>
        <v>#VALUE!</v>
      </c>
      <c r="BB104" s="42" t="e">
        <f t="shared" si="38"/>
        <v>#VALUE!</v>
      </c>
      <c r="BC104" s="42" t="e">
        <f t="shared" si="39"/>
        <v>#VALUE!</v>
      </c>
    </row>
    <row r="105" spans="1:55" ht="19.5" customHeight="1">
      <c r="A105" s="1127">
        <f t="shared" si="25"/>
        <v>0</v>
      </c>
      <c r="B105" s="9703" t="str">
        <f t="shared" si="20"/>
        <v/>
      </c>
      <c r="C105" s="9704"/>
      <c r="D105" s="9704"/>
      <c r="E105" s="9704"/>
      <c r="F105" s="9704"/>
      <c r="G105" s="9704"/>
      <c r="H105" s="9704"/>
      <c r="I105" s="9705"/>
      <c r="J105" s="9706" t="str">
        <f t="shared" si="21"/>
        <v/>
      </c>
      <c r="K105" s="9707"/>
      <c r="L105" s="9707"/>
      <c r="M105" s="9706" t="str">
        <f t="shared" si="22"/>
        <v/>
      </c>
      <c r="N105" s="9707"/>
      <c r="O105" s="9707"/>
      <c r="P105" s="9708"/>
      <c r="Q105" s="6969" t="str">
        <f t="shared" si="23"/>
        <v/>
      </c>
      <c r="R105" s="9688"/>
      <c r="S105" s="9688"/>
      <c r="T105" s="9689"/>
      <c r="U105" s="6969" t="str">
        <f t="shared" si="24"/>
        <v/>
      </c>
      <c r="V105" s="9688"/>
      <c r="W105" s="9688"/>
      <c r="X105" s="9689"/>
      <c r="Y105" s="9670" t="str">
        <f t="shared" si="26"/>
        <v/>
      </c>
      <c r="Z105" s="6222"/>
      <c r="AA105" s="9670" t="str">
        <f t="shared" si="27"/>
        <v/>
      </c>
      <c r="AB105" s="6222"/>
      <c r="AC105" s="9671" t="str">
        <f t="shared" si="28"/>
        <v/>
      </c>
      <c r="AD105" s="9672"/>
      <c r="AE105" s="9672"/>
      <c r="AF105" s="9672"/>
      <c r="AG105" s="1297">
        <f t="shared" si="29"/>
        <v>0</v>
      </c>
      <c r="AH105" s="1090"/>
      <c r="AI105" s="1090" t="e">
        <f t="shared" si="30"/>
        <v>#VALUE!</v>
      </c>
      <c r="AJ105" s="1237"/>
      <c r="AK105" s="1241"/>
      <c r="AL105" s="1241"/>
      <c r="AM105" s="1239"/>
      <c r="AN105" s="1239"/>
      <c r="AO105" s="1240"/>
      <c r="AP105" s="1239"/>
      <c r="AQ105" s="1238"/>
      <c r="AS105" s="42" t="e">
        <f t="shared" si="31"/>
        <v>#VALUE!</v>
      </c>
      <c r="AT105" s="42" t="e">
        <f t="shared" si="32"/>
        <v>#VALUE!</v>
      </c>
      <c r="AU105" s="42" t="e">
        <f t="shared" si="33"/>
        <v>#VALUE!</v>
      </c>
      <c r="AW105" s="42" t="e">
        <f t="shared" si="34"/>
        <v>#VALUE!</v>
      </c>
      <c r="AX105" s="42" t="e">
        <f t="shared" si="35"/>
        <v>#VALUE!</v>
      </c>
      <c r="AY105" s="42" t="e">
        <f t="shared" si="36"/>
        <v>#VALUE!</v>
      </c>
      <c r="BA105" s="42" t="e">
        <f t="shared" si="37"/>
        <v>#VALUE!</v>
      </c>
      <c r="BB105" s="42" t="e">
        <f t="shared" si="38"/>
        <v>#VALUE!</v>
      </c>
      <c r="BC105" s="42" t="e">
        <f t="shared" si="39"/>
        <v>#VALUE!</v>
      </c>
    </row>
    <row r="106" spans="1:55" ht="19.5" customHeight="1">
      <c r="A106" s="1127">
        <f t="shared" si="25"/>
        <v>0</v>
      </c>
      <c r="B106" s="9703" t="str">
        <f t="shared" si="20"/>
        <v/>
      </c>
      <c r="C106" s="9704"/>
      <c r="D106" s="9704"/>
      <c r="E106" s="9704"/>
      <c r="F106" s="9704"/>
      <c r="G106" s="9704"/>
      <c r="H106" s="9704"/>
      <c r="I106" s="9705"/>
      <c r="J106" s="9706" t="str">
        <f t="shared" si="21"/>
        <v/>
      </c>
      <c r="K106" s="9707"/>
      <c r="L106" s="9707"/>
      <c r="M106" s="9706" t="str">
        <f t="shared" si="22"/>
        <v/>
      </c>
      <c r="N106" s="9707"/>
      <c r="O106" s="9707"/>
      <c r="P106" s="9708"/>
      <c r="Q106" s="6969" t="str">
        <f t="shared" si="23"/>
        <v/>
      </c>
      <c r="R106" s="9688"/>
      <c r="S106" s="9688"/>
      <c r="T106" s="9689"/>
      <c r="U106" s="6969" t="str">
        <f t="shared" si="24"/>
        <v/>
      </c>
      <c r="V106" s="9688"/>
      <c r="W106" s="9688"/>
      <c r="X106" s="9689"/>
      <c r="Y106" s="9670" t="str">
        <f t="shared" si="26"/>
        <v/>
      </c>
      <c r="Z106" s="6222"/>
      <c r="AA106" s="9670" t="str">
        <f t="shared" si="27"/>
        <v/>
      </c>
      <c r="AB106" s="6222"/>
      <c r="AC106" s="9671" t="str">
        <f t="shared" si="28"/>
        <v/>
      </c>
      <c r="AD106" s="9672"/>
      <c r="AE106" s="9672"/>
      <c r="AF106" s="9672"/>
      <c r="AG106" s="1297">
        <f t="shared" si="29"/>
        <v>0</v>
      </c>
      <c r="AH106" s="1090"/>
      <c r="AI106" s="1090" t="e">
        <f t="shared" si="30"/>
        <v>#VALUE!</v>
      </c>
      <c r="AJ106" s="1237"/>
      <c r="AK106" s="1241"/>
      <c r="AL106" s="1241"/>
      <c r="AM106" s="1239"/>
      <c r="AN106" s="1239"/>
      <c r="AO106" s="1240"/>
      <c r="AP106" s="1239"/>
      <c r="AQ106" s="1238"/>
      <c r="AS106" s="42" t="e">
        <f t="shared" si="31"/>
        <v>#VALUE!</v>
      </c>
      <c r="AT106" s="42" t="e">
        <f t="shared" si="32"/>
        <v>#VALUE!</v>
      </c>
      <c r="AU106" s="42" t="e">
        <f t="shared" si="33"/>
        <v>#VALUE!</v>
      </c>
      <c r="AW106" s="42" t="e">
        <f t="shared" si="34"/>
        <v>#VALUE!</v>
      </c>
      <c r="AX106" s="42" t="e">
        <f t="shared" si="35"/>
        <v>#VALUE!</v>
      </c>
      <c r="AY106" s="42" t="e">
        <f t="shared" si="36"/>
        <v>#VALUE!</v>
      </c>
      <c r="BA106" s="42" t="e">
        <f t="shared" si="37"/>
        <v>#VALUE!</v>
      </c>
      <c r="BB106" s="42" t="e">
        <f t="shared" si="38"/>
        <v>#VALUE!</v>
      </c>
      <c r="BC106" s="42" t="e">
        <f t="shared" si="39"/>
        <v>#VALUE!</v>
      </c>
    </row>
    <row r="107" spans="1:55" ht="19.5" customHeight="1">
      <c r="A107" s="1127">
        <f t="shared" si="25"/>
        <v>0</v>
      </c>
      <c r="B107" s="9703" t="str">
        <f t="shared" si="20"/>
        <v/>
      </c>
      <c r="C107" s="9704"/>
      <c r="D107" s="9704"/>
      <c r="E107" s="9704"/>
      <c r="F107" s="9704"/>
      <c r="G107" s="9704"/>
      <c r="H107" s="9704"/>
      <c r="I107" s="9705"/>
      <c r="J107" s="9706" t="str">
        <f t="shared" si="21"/>
        <v/>
      </c>
      <c r="K107" s="9707"/>
      <c r="L107" s="9707"/>
      <c r="M107" s="9706" t="str">
        <f t="shared" si="22"/>
        <v/>
      </c>
      <c r="N107" s="9707"/>
      <c r="O107" s="9707"/>
      <c r="P107" s="9708"/>
      <c r="Q107" s="6969" t="str">
        <f t="shared" si="23"/>
        <v/>
      </c>
      <c r="R107" s="9688"/>
      <c r="S107" s="9688"/>
      <c r="T107" s="9689"/>
      <c r="U107" s="6969" t="str">
        <f t="shared" si="24"/>
        <v/>
      </c>
      <c r="V107" s="9688"/>
      <c r="W107" s="9688"/>
      <c r="X107" s="9689"/>
      <c r="Y107" s="9670" t="str">
        <f t="shared" si="26"/>
        <v/>
      </c>
      <c r="Z107" s="6222"/>
      <c r="AA107" s="9670" t="str">
        <f t="shared" si="27"/>
        <v/>
      </c>
      <c r="AB107" s="6222"/>
      <c r="AC107" s="9671" t="str">
        <f t="shared" si="28"/>
        <v/>
      </c>
      <c r="AD107" s="9672"/>
      <c r="AE107" s="9672"/>
      <c r="AF107" s="9672"/>
      <c r="AG107" s="1297">
        <f t="shared" si="29"/>
        <v>0</v>
      </c>
      <c r="AH107" s="1090"/>
      <c r="AI107" s="1090" t="e">
        <f t="shared" si="30"/>
        <v>#VALUE!</v>
      </c>
      <c r="AJ107" s="1237"/>
      <c r="AK107" s="1241"/>
      <c r="AL107" s="1241"/>
      <c r="AM107" s="1239"/>
      <c r="AN107" s="1239"/>
      <c r="AO107" s="1240"/>
      <c r="AP107" s="1239"/>
      <c r="AQ107" s="1238"/>
      <c r="AS107" s="42" t="e">
        <f t="shared" si="31"/>
        <v>#VALUE!</v>
      </c>
      <c r="AT107" s="42" t="e">
        <f t="shared" si="32"/>
        <v>#VALUE!</v>
      </c>
      <c r="AU107" s="42" t="e">
        <f t="shared" si="33"/>
        <v>#VALUE!</v>
      </c>
      <c r="AW107" s="42" t="e">
        <f t="shared" si="34"/>
        <v>#VALUE!</v>
      </c>
      <c r="AX107" s="42" t="e">
        <f t="shared" si="35"/>
        <v>#VALUE!</v>
      </c>
      <c r="AY107" s="42" t="e">
        <f t="shared" si="36"/>
        <v>#VALUE!</v>
      </c>
      <c r="BA107" s="42" t="e">
        <f t="shared" si="37"/>
        <v>#VALUE!</v>
      </c>
      <c r="BB107" s="42" t="e">
        <f t="shared" si="38"/>
        <v>#VALUE!</v>
      </c>
      <c r="BC107" s="42" t="e">
        <f t="shared" si="39"/>
        <v>#VALUE!</v>
      </c>
    </row>
    <row r="108" spans="1:55" ht="19.5" customHeight="1">
      <c r="A108" s="1127">
        <f t="shared" si="25"/>
        <v>0</v>
      </c>
      <c r="B108" s="9703" t="str">
        <f t="shared" si="20"/>
        <v/>
      </c>
      <c r="C108" s="9704"/>
      <c r="D108" s="9704"/>
      <c r="E108" s="9704"/>
      <c r="F108" s="9704"/>
      <c r="G108" s="9704"/>
      <c r="H108" s="9704"/>
      <c r="I108" s="9705"/>
      <c r="J108" s="9706" t="str">
        <f t="shared" si="21"/>
        <v/>
      </c>
      <c r="K108" s="9707"/>
      <c r="L108" s="9707"/>
      <c r="M108" s="9706" t="str">
        <f t="shared" si="22"/>
        <v/>
      </c>
      <c r="N108" s="9707"/>
      <c r="O108" s="9707"/>
      <c r="P108" s="9708"/>
      <c r="Q108" s="6969" t="str">
        <f t="shared" si="23"/>
        <v/>
      </c>
      <c r="R108" s="9688"/>
      <c r="S108" s="9688"/>
      <c r="T108" s="9689"/>
      <c r="U108" s="6969" t="str">
        <f t="shared" si="24"/>
        <v/>
      </c>
      <c r="V108" s="9688"/>
      <c r="W108" s="9688"/>
      <c r="X108" s="9689"/>
      <c r="Y108" s="9670" t="str">
        <f t="shared" si="26"/>
        <v/>
      </c>
      <c r="Z108" s="6222"/>
      <c r="AA108" s="9670" t="str">
        <f t="shared" si="27"/>
        <v/>
      </c>
      <c r="AB108" s="6222"/>
      <c r="AC108" s="9671" t="str">
        <f t="shared" si="28"/>
        <v/>
      </c>
      <c r="AD108" s="9672"/>
      <c r="AE108" s="9672"/>
      <c r="AF108" s="9672"/>
      <c r="AG108" s="1297">
        <f t="shared" si="29"/>
        <v>0</v>
      </c>
      <c r="AH108" s="1090"/>
      <c r="AI108" s="1090" t="e">
        <f t="shared" si="30"/>
        <v>#VALUE!</v>
      </c>
      <c r="AJ108" s="1237"/>
      <c r="AK108" s="1241"/>
      <c r="AL108" s="1241"/>
      <c r="AM108" s="1239"/>
      <c r="AN108" s="1239"/>
      <c r="AO108" s="1240"/>
      <c r="AP108" s="1239"/>
      <c r="AQ108" s="1238"/>
      <c r="AS108" s="42" t="e">
        <f t="shared" si="31"/>
        <v>#VALUE!</v>
      </c>
      <c r="AT108" s="42" t="e">
        <f t="shared" si="32"/>
        <v>#VALUE!</v>
      </c>
      <c r="AU108" s="42" t="e">
        <f t="shared" si="33"/>
        <v>#VALUE!</v>
      </c>
      <c r="AW108" s="42" t="e">
        <f t="shared" si="34"/>
        <v>#VALUE!</v>
      </c>
      <c r="AX108" s="42" t="e">
        <f t="shared" si="35"/>
        <v>#VALUE!</v>
      </c>
      <c r="AY108" s="42" t="e">
        <f t="shared" si="36"/>
        <v>#VALUE!</v>
      </c>
      <c r="BA108" s="42" t="e">
        <f t="shared" si="37"/>
        <v>#VALUE!</v>
      </c>
      <c r="BB108" s="42" t="e">
        <f t="shared" si="38"/>
        <v>#VALUE!</v>
      </c>
      <c r="BC108" s="42" t="e">
        <f t="shared" si="39"/>
        <v>#VALUE!</v>
      </c>
    </row>
    <row r="109" spans="1:55" ht="19.5" customHeight="1">
      <c r="A109" s="1127">
        <f t="shared" si="25"/>
        <v>0</v>
      </c>
      <c r="B109" s="9703" t="str">
        <f t="shared" si="20"/>
        <v/>
      </c>
      <c r="C109" s="9704"/>
      <c r="D109" s="9704"/>
      <c r="E109" s="9704"/>
      <c r="F109" s="9704"/>
      <c r="G109" s="9704"/>
      <c r="H109" s="9704"/>
      <c r="I109" s="9705"/>
      <c r="J109" s="9706" t="str">
        <f t="shared" si="21"/>
        <v/>
      </c>
      <c r="K109" s="9707"/>
      <c r="L109" s="9707"/>
      <c r="M109" s="9706" t="str">
        <f t="shared" si="22"/>
        <v/>
      </c>
      <c r="N109" s="9707"/>
      <c r="O109" s="9707"/>
      <c r="P109" s="9708"/>
      <c r="Q109" s="6969" t="str">
        <f t="shared" si="23"/>
        <v/>
      </c>
      <c r="R109" s="9688"/>
      <c r="S109" s="9688"/>
      <c r="T109" s="9689"/>
      <c r="U109" s="6969" t="str">
        <f t="shared" si="24"/>
        <v/>
      </c>
      <c r="V109" s="9688"/>
      <c r="W109" s="9688"/>
      <c r="X109" s="9689"/>
      <c r="Y109" s="9670" t="str">
        <f t="shared" si="26"/>
        <v/>
      </c>
      <c r="Z109" s="6222"/>
      <c r="AA109" s="9670" t="str">
        <f t="shared" si="27"/>
        <v/>
      </c>
      <c r="AB109" s="6222"/>
      <c r="AC109" s="9671" t="str">
        <f t="shared" si="28"/>
        <v/>
      </c>
      <c r="AD109" s="9672"/>
      <c r="AE109" s="9672"/>
      <c r="AF109" s="9672"/>
      <c r="AG109" s="1297">
        <f t="shared" si="29"/>
        <v>0</v>
      </c>
      <c r="AH109" s="1090"/>
      <c r="AI109" s="1090" t="e">
        <f t="shared" si="30"/>
        <v>#VALUE!</v>
      </c>
      <c r="AJ109" s="1237"/>
      <c r="AK109" s="1241"/>
      <c r="AL109" s="1241"/>
      <c r="AM109" s="1239"/>
      <c r="AN109" s="1239"/>
      <c r="AO109" s="1240"/>
      <c r="AP109" s="1239"/>
      <c r="AQ109" s="1238"/>
      <c r="AS109" s="42" t="e">
        <f t="shared" si="31"/>
        <v>#VALUE!</v>
      </c>
      <c r="AT109" s="42" t="e">
        <f t="shared" si="32"/>
        <v>#VALUE!</v>
      </c>
      <c r="AU109" s="42" t="e">
        <f t="shared" si="33"/>
        <v>#VALUE!</v>
      </c>
      <c r="AW109" s="42" t="e">
        <f t="shared" si="34"/>
        <v>#VALUE!</v>
      </c>
      <c r="AX109" s="42" t="e">
        <f t="shared" si="35"/>
        <v>#VALUE!</v>
      </c>
      <c r="AY109" s="42" t="e">
        <f t="shared" si="36"/>
        <v>#VALUE!</v>
      </c>
      <c r="BA109" s="42" t="e">
        <f t="shared" si="37"/>
        <v>#VALUE!</v>
      </c>
      <c r="BB109" s="42" t="e">
        <f t="shared" si="38"/>
        <v>#VALUE!</v>
      </c>
      <c r="BC109" s="42" t="e">
        <f t="shared" si="39"/>
        <v>#VALUE!</v>
      </c>
    </row>
    <row r="110" spans="1:55" ht="19.5" customHeight="1">
      <c r="A110" s="1127">
        <f t="shared" si="25"/>
        <v>0</v>
      </c>
      <c r="B110" s="9703" t="str">
        <f t="shared" si="20"/>
        <v/>
      </c>
      <c r="C110" s="9704"/>
      <c r="D110" s="9704"/>
      <c r="E110" s="9704"/>
      <c r="F110" s="9704"/>
      <c r="G110" s="9704"/>
      <c r="H110" s="9704"/>
      <c r="I110" s="9705"/>
      <c r="J110" s="9706" t="str">
        <f t="shared" si="21"/>
        <v/>
      </c>
      <c r="K110" s="9707"/>
      <c r="L110" s="9707"/>
      <c r="M110" s="9706" t="str">
        <f t="shared" si="22"/>
        <v/>
      </c>
      <c r="N110" s="9707"/>
      <c r="O110" s="9707"/>
      <c r="P110" s="9708"/>
      <c r="Q110" s="6969" t="str">
        <f t="shared" si="23"/>
        <v/>
      </c>
      <c r="R110" s="9688"/>
      <c r="S110" s="9688"/>
      <c r="T110" s="9689"/>
      <c r="U110" s="6969" t="str">
        <f t="shared" si="24"/>
        <v/>
      </c>
      <c r="V110" s="9688"/>
      <c r="W110" s="9688"/>
      <c r="X110" s="9689"/>
      <c r="Y110" s="9670" t="str">
        <f t="shared" si="26"/>
        <v/>
      </c>
      <c r="Z110" s="6222"/>
      <c r="AA110" s="9670" t="str">
        <f t="shared" si="27"/>
        <v/>
      </c>
      <c r="AB110" s="6222"/>
      <c r="AC110" s="9671" t="str">
        <f t="shared" si="28"/>
        <v/>
      </c>
      <c r="AD110" s="9672"/>
      <c r="AE110" s="9672"/>
      <c r="AF110" s="9672"/>
      <c r="AG110" s="1297">
        <f t="shared" si="29"/>
        <v>0</v>
      </c>
      <c r="AH110" s="1090"/>
      <c r="AI110" s="1090" t="e">
        <f t="shared" si="30"/>
        <v>#VALUE!</v>
      </c>
      <c r="AJ110" s="1237"/>
      <c r="AK110" s="1241"/>
      <c r="AL110" s="1241"/>
      <c r="AM110" s="1239"/>
      <c r="AN110" s="1239"/>
      <c r="AO110" s="1240"/>
      <c r="AP110" s="1239"/>
      <c r="AQ110" s="1238"/>
      <c r="AS110" s="42" t="e">
        <f t="shared" si="31"/>
        <v>#VALUE!</v>
      </c>
      <c r="AT110" s="42" t="e">
        <f t="shared" si="32"/>
        <v>#VALUE!</v>
      </c>
      <c r="AU110" s="42" t="e">
        <f t="shared" si="33"/>
        <v>#VALUE!</v>
      </c>
      <c r="AW110" s="42" t="e">
        <f t="shared" si="34"/>
        <v>#VALUE!</v>
      </c>
      <c r="AX110" s="42" t="e">
        <f t="shared" si="35"/>
        <v>#VALUE!</v>
      </c>
      <c r="AY110" s="42" t="e">
        <f t="shared" si="36"/>
        <v>#VALUE!</v>
      </c>
      <c r="BA110" s="42" t="e">
        <f t="shared" si="37"/>
        <v>#VALUE!</v>
      </c>
      <c r="BB110" s="42" t="e">
        <f t="shared" si="38"/>
        <v>#VALUE!</v>
      </c>
      <c r="BC110" s="42" t="e">
        <f t="shared" si="39"/>
        <v>#VALUE!</v>
      </c>
    </row>
    <row r="111" spans="1:55" ht="19.5" customHeight="1">
      <c r="A111" s="1127">
        <f t="shared" si="25"/>
        <v>0</v>
      </c>
      <c r="B111" s="9703" t="str">
        <f t="shared" si="20"/>
        <v/>
      </c>
      <c r="C111" s="9704"/>
      <c r="D111" s="9704"/>
      <c r="E111" s="9704"/>
      <c r="F111" s="9704"/>
      <c r="G111" s="9704"/>
      <c r="H111" s="9704"/>
      <c r="I111" s="9705"/>
      <c r="J111" s="9706" t="str">
        <f t="shared" si="21"/>
        <v/>
      </c>
      <c r="K111" s="9707"/>
      <c r="L111" s="9707"/>
      <c r="M111" s="9706" t="str">
        <f t="shared" si="22"/>
        <v/>
      </c>
      <c r="N111" s="9707"/>
      <c r="O111" s="9707"/>
      <c r="P111" s="9708"/>
      <c r="Q111" s="6969" t="str">
        <f t="shared" si="23"/>
        <v/>
      </c>
      <c r="R111" s="9688"/>
      <c r="S111" s="9688"/>
      <c r="T111" s="9689"/>
      <c r="U111" s="6969" t="str">
        <f t="shared" si="24"/>
        <v/>
      </c>
      <c r="V111" s="9688"/>
      <c r="W111" s="9688"/>
      <c r="X111" s="9689"/>
      <c r="Y111" s="9670" t="str">
        <f t="shared" si="26"/>
        <v/>
      </c>
      <c r="Z111" s="6222"/>
      <c r="AA111" s="9670" t="str">
        <f t="shared" si="27"/>
        <v/>
      </c>
      <c r="AB111" s="6222"/>
      <c r="AC111" s="9671" t="str">
        <f t="shared" si="28"/>
        <v/>
      </c>
      <c r="AD111" s="9672"/>
      <c r="AE111" s="9672"/>
      <c r="AF111" s="9672"/>
      <c r="AG111" s="1297">
        <f t="shared" si="29"/>
        <v>0</v>
      </c>
      <c r="AH111" s="1090"/>
      <c r="AI111" s="1090" t="e">
        <f t="shared" si="30"/>
        <v>#VALUE!</v>
      </c>
      <c r="AJ111" s="1237"/>
      <c r="AK111" s="1241"/>
      <c r="AL111" s="1241"/>
      <c r="AM111" s="1239"/>
      <c r="AN111" s="1239"/>
      <c r="AO111" s="1240"/>
      <c r="AP111" s="1239"/>
      <c r="AQ111" s="1238"/>
      <c r="AS111" s="42" t="e">
        <f t="shared" si="31"/>
        <v>#VALUE!</v>
      </c>
      <c r="AT111" s="42" t="e">
        <f t="shared" si="32"/>
        <v>#VALUE!</v>
      </c>
      <c r="AU111" s="42" t="e">
        <f t="shared" si="33"/>
        <v>#VALUE!</v>
      </c>
      <c r="AW111" s="42" t="e">
        <f t="shared" si="34"/>
        <v>#VALUE!</v>
      </c>
      <c r="AX111" s="42" t="e">
        <f t="shared" si="35"/>
        <v>#VALUE!</v>
      </c>
      <c r="AY111" s="42" t="e">
        <f t="shared" si="36"/>
        <v>#VALUE!</v>
      </c>
      <c r="BA111" s="42" t="e">
        <f t="shared" si="37"/>
        <v>#VALUE!</v>
      </c>
      <c r="BB111" s="42" t="e">
        <f t="shared" si="38"/>
        <v>#VALUE!</v>
      </c>
      <c r="BC111" s="42" t="e">
        <f t="shared" si="39"/>
        <v>#VALUE!</v>
      </c>
    </row>
    <row r="112" spans="1:55" ht="19.5" customHeight="1">
      <c r="A112" s="1127">
        <f t="shared" si="25"/>
        <v>0</v>
      </c>
      <c r="B112" s="9703" t="str">
        <f t="shared" si="20"/>
        <v/>
      </c>
      <c r="C112" s="9704"/>
      <c r="D112" s="9704"/>
      <c r="E112" s="9704"/>
      <c r="F112" s="9704"/>
      <c r="G112" s="9704"/>
      <c r="H112" s="9704"/>
      <c r="I112" s="9705"/>
      <c r="J112" s="9706" t="str">
        <f t="shared" si="21"/>
        <v/>
      </c>
      <c r="K112" s="9707"/>
      <c r="L112" s="9707"/>
      <c r="M112" s="9706" t="str">
        <f t="shared" si="22"/>
        <v/>
      </c>
      <c r="N112" s="9707"/>
      <c r="O112" s="9707"/>
      <c r="P112" s="9708"/>
      <c r="Q112" s="6969" t="str">
        <f t="shared" si="23"/>
        <v/>
      </c>
      <c r="R112" s="9688"/>
      <c r="S112" s="9688"/>
      <c r="T112" s="9689"/>
      <c r="U112" s="6969" t="str">
        <f t="shared" si="24"/>
        <v/>
      </c>
      <c r="V112" s="9688"/>
      <c r="W112" s="9688"/>
      <c r="X112" s="9689"/>
      <c r="Y112" s="9670" t="str">
        <f t="shared" si="26"/>
        <v/>
      </c>
      <c r="Z112" s="6222"/>
      <c r="AA112" s="9670" t="str">
        <f t="shared" si="27"/>
        <v/>
      </c>
      <c r="AB112" s="6222"/>
      <c r="AC112" s="9671" t="str">
        <f t="shared" si="28"/>
        <v/>
      </c>
      <c r="AD112" s="9672"/>
      <c r="AE112" s="9672"/>
      <c r="AF112" s="9672"/>
      <c r="AG112" s="1297">
        <f t="shared" si="29"/>
        <v>0</v>
      </c>
      <c r="AH112" s="1090"/>
      <c r="AI112" s="1090" t="e">
        <f t="shared" si="30"/>
        <v>#VALUE!</v>
      </c>
      <c r="AJ112" s="1237"/>
      <c r="AK112" s="1241"/>
      <c r="AL112" s="1241"/>
      <c r="AM112" s="1239"/>
      <c r="AN112" s="1239"/>
      <c r="AO112" s="1240"/>
      <c r="AP112" s="1239"/>
      <c r="AQ112" s="1238"/>
      <c r="AS112" s="42" t="e">
        <f t="shared" si="31"/>
        <v>#VALUE!</v>
      </c>
      <c r="AT112" s="42" t="e">
        <f t="shared" si="32"/>
        <v>#VALUE!</v>
      </c>
      <c r="AU112" s="42" t="e">
        <f t="shared" si="33"/>
        <v>#VALUE!</v>
      </c>
      <c r="AW112" s="42" t="e">
        <f t="shared" si="34"/>
        <v>#VALUE!</v>
      </c>
      <c r="AX112" s="42" t="e">
        <f t="shared" si="35"/>
        <v>#VALUE!</v>
      </c>
      <c r="AY112" s="42" t="e">
        <f t="shared" si="36"/>
        <v>#VALUE!</v>
      </c>
      <c r="BA112" s="42" t="e">
        <f t="shared" si="37"/>
        <v>#VALUE!</v>
      </c>
      <c r="BB112" s="42" t="e">
        <f t="shared" si="38"/>
        <v>#VALUE!</v>
      </c>
      <c r="BC112" s="42" t="e">
        <f t="shared" si="39"/>
        <v>#VALUE!</v>
      </c>
    </row>
    <row r="113" spans="1:55" ht="19.5" customHeight="1">
      <c r="A113" s="1127">
        <f t="shared" si="25"/>
        <v>0</v>
      </c>
      <c r="B113" s="9703" t="str">
        <f t="shared" si="20"/>
        <v/>
      </c>
      <c r="C113" s="9704"/>
      <c r="D113" s="9704"/>
      <c r="E113" s="9704"/>
      <c r="F113" s="9704"/>
      <c r="G113" s="9704"/>
      <c r="H113" s="9704"/>
      <c r="I113" s="9705"/>
      <c r="J113" s="9706" t="str">
        <f t="shared" si="21"/>
        <v/>
      </c>
      <c r="K113" s="9707"/>
      <c r="L113" s="9707"/>
      <c r="M113" s="9706" t="str">
        <f t="shared" si="22"/>
        <v/>
      </c>
      <c r="N113" s="9707"/>
      <c r="O113" s="9707"/>
      <c r="P113" s="9708"/>
      <c r="Q113" s="6969" t="str">
        <f t="shared" si="23"/>
        <v/>
      </c>
      <c r="R113" s="9688"/>
      <c r="S113" s="9688"/>
      <c r="T113" s="9689"/>
      <c r="U113" s="6969" t="str">
        <f t="shared" si="24"/>
        <v/>
      </c>
      <c r="V113" s="9688"/>
      <c r="W113" s="9688"/>
      <c r="X113" s="9689"/>
      <c r="Y113" s="9670" t="str">
        <f t="shared" si="26"/>
        <v/>
      </c>
      <c r="Z113" s="6222"/>
      <c r="AA113" s="9670" t="str">
        <f t="shared" si="27"/>
        <v/>
      </c>
      <c r="AB113" s="6222"/>
      <c r="AC113" s="9671" t="str">
        <f t="shared" si="28"/>
        <v/>
      </c>
      <c r="AD113" s="9672"/>
      <c r="AE113" s="9672"/>
      <c r="AF113" s="9672"/>
      <c r="AG113" s="1297">
        <f t="shared" si="29"/>
        <v>0</v>
      </c>
      <c r="AH113" s="1090"/>
      <c r="AI113" s="1090" t="e">
        <f t="shared" si="30"/>
        <v>#VALUE!</v>
      </c>
      <c r="AJ113" s="1237"/>
      <c r="AK113" s="1241"/>
      <c r="AL113" s="1241"/>
      <c r="AM113" s="1239"/>
      <c r="AN113" s="1239"/>
      <c r="AO113" s="1240"/>
      <c r="AP113" s="1239"/>
      <c r="AQ113" s="1238"/>
      <c r="AS113" s="42" t="e">
        <f t="shared" si="31"/>
        <v>#VALUE!</v>
      </c>
      <c r="AT113" s="42" t="e">
        <f t="shared" si="32"/>
        <v>#VALUE!</v>
      </c>
      <c r="AU113" s="42" t="e">
        <f t="shared" si="33"/>
        <v>#VALUE!</v>
      </c>
      <c r="AW113" s="42" t="e">
        <f t="shared" si="34"/>
        <v>#VALUE!</v>
      </c>
      <c r="AX113" s="42" t="e">
        <f t="shared" si="35"/>
        <v>#VALUE!</v>
      </c>
      <c r="AY113" s="42" t="e">
        <f t="shared" si="36"/>
        <v>#VALUE!</v>
      </c>
      <c r="BA113" s="42" t="e">
        <f t="shared" si="37"/>
        <v>#VALUE!</v>
      </c>
      <c r="BB113" s="42" t="e">
        <f t="shared" si="38"/>
        <v>#VALUE!</v>
      </c>
      <c r="BC113" s="42" t="e">
        <f t="shared" si="39"/>
        <v>#VALUE!</v>
      </c>
    </row>
    <row r="114" spans="1:55" ht="19.5" customHeight="1">
      <c r="A114" s="1127">
        <f t="shared" si="25"/>
        <v>0</v>
      </c>
      <c r="B114" s="9703" t="str">
        <f t="shared" si="20"/>
        <v/>
      </c>
      <c r="C114" s="9704"/>
      <c r="D114" s="9704"/>
      <c r="E114" s="9704"/>
      <c r="F114" s="9704"/>
      <c r="G114" s="9704"/>
      <c r="H114" s="9704"/>
      <c r="I114" s="9705"/>
      <c r="J114" s="9706" t="str">
        <f t="shared" si="21"/>
        <v/>
      </c>
      <c r="K114" s="9707"/>
      <c r="L114" s="9707"/>
      <c r="M114" s="9706" t="str">
        <f t="shared" si="22"/>
        <v/>
      </c>
      <c r="N114" s="9707"/>
      <c r="O114" s="9707"/>
      <c r="P114" s="9708"/>
      <c r="Q114" s="6969" t="str">
        <f t="shared" si="23"/>
        <v/>
      </c>
      <c r="R114" s="9688"/>
      <c r="S114" s="9688"/>
      <c r="T114" s="9689"/>
      <c r="U114" s="6969" t="str">
        <f t="shared" si="24"/>
        <v/>
      </c>
      <c r="V114" s="9688"/>
      <c r="W114" s="9688"/>
      <c r="X114" s="9689"/>
      <c r="Y114" s="9670" t="str">
        <f t="shared" si="26"/>
        <v/>
      </c>
      <c r="Z114" s="6222"/>
      <c r="AA114" s="9670" t="str">
        <f t="shared" si="27"/>
        <v/>
      </c>
      <c r="AB114" s="6222"/>
      <c r="AC114" s="9671" t="str">
        <f t="shared" si="28"/>
        <v/>
      </c>
      <c r="AD114" s="9672"/>
      <c r="AE114" s="9672"/>
      <c r="AF114" s="9672"/>
      <c r="AG114" s="1297">
        <f t="shared" si="29"/>
        <v>0</v>
      </c>
      <c r="AH114" s="1090"/>
      <c r="AI114" s="1090" t="e">
        <f t="shared" si="30"/>
        <v>#VALUE!</v>
      </c>
      <c r="AJ114" s="1237"/>
      <c r="AK114" s="1241"/>
      <c r="AL114" s="1241"/>
      <c r="AM114" s="1239"/>
      <c r="AN114" s="1239"/>
      <c r="AO114" s="1240"/>
      <c r="AP114" s="1239"/>
      <c r="AQ114" s="1238"/>
      <c r="AS114" s="42" t="e">
        <f t="shared" si="31"/>
        <v>#VALUE!</v>
      </c>
      <c r="AT114" s="42" t="e">
        <f t="shared" si="32"/>
        <v>#VALUE!</v>
      </c>
      <c r="AU114" s="42" t="e">
        <f t="shared" si="33"/>
        <v>#VALUE!</v>
      </c>
      <c r="AW114" s="42" t="e">
        <f t="shared" si="34"/>
        <v>#VALUE!</v>
      </c>
      <c r="AX114" s="42" t="e">
        <f t="shared" si="35"/>
        <v>#VALUE!</v>
      </c>
      <c r="AY114" s="42" t="e">
        <f t="shared" si="36"/>
        <v>#VALUE!</v>
      </c>
      <c r="BA114" s="42" t="e">
        <f t="shared" si="37"/>
        <v>#VALUE!</v>
      </c>
      <c r="BB114" s="42" t="e">
        <f t="shared" si="38"/>
        <v>#VALUE!</v>
      </c>
      <c r="BC114" s="42" t="e">
        <f t="shared" si="39"/>
        <v>#VALUE!</v>
      </c>
    </row>
    <row r="115" spans="1:55" ht="19.5" customHeight="1">
      <c r="A115" s="1127">
        <f t="shared" si="25"/>
        <v>0</v>
      </c>
      <c r="B115" s="9703" t="str">
        <f t="shared" si="20"/>
        <v/>
      </c>
      <c r="C115" s="9704"/>
      <c r="D115" s="9704"/>
      <c r="E115" s="9704"/>
      <c r="F115" s="9704"/>
      <c r="G115" s="9704"/>
      <c r="H115" s="9704"/>
      <c r="I115" s="9705"/>
      <c r="J115" s="9706" t="str">
        <f t="shared" si="21"/>
        <v/>
      </c>
      <c r="K115" s="9707"/>
      <c r="L115" s="9707"/>
      <c r="M115" s="9706" t="str">
        <f t="shared" si="22"/>
        <v/>
      </c>
      <c r="N115" s="9707"/>
      <c r="O115" s="9707"/>
      <c r="P115" s="9708"/>
      <c r="Q115" s="6969" t="str">
        <f t="shared" si="23"/>
        <v/>
      </c>
      <c r="R115" s="9688"/>
      <c r="S115" s="9688"/>
      <c r="T115" s="9689"/>
      <c r="U115" s="6969" t="str">
        <f t="shared" si="24"/>
        <v/>
      </c>
      <c r="V115" s="9688"/>
      <c r="W115" s="9688"/>
      <c r="X115" s="9689"/>
      <c r="Y115" s="9670" t="str">
        <f t="shared" si="26"/>
        <v/>
      </c>
      <c r="Z115" s="6222"/>
      <c r="AA115" s="9670" t="str">
        <f t="shared" si="27"/>
        <v/>
      </c>
      <c r="AB115" s="6222"/>
      <c r="AC115" s="9671" t="str">
        <f t="shared" si="28"/>
        <v/>
      </c>
      <c r="AD115" s="9672"/>
      <c r="AE115" s="9672"/>
      <c r="AF115" s="9672"/>
      <c r="AG115" s="1297">
        <f t="shared" si="29"/>
        <v>0</v>
      </c>
      <c r="AH115" s="1090"/>
      <c r="AI115" s="1090" t="e">
        <f t="shared" si="30"/>
        <v>#VALUE!</v>
      </c>
      <c r="AJ115" s="1237"/>
      <c r="AK115" s="1241"/>
      <c r="AL115" s="1241"/>
      <c r="AM115" s="1239"/>
      <c r="AN115" s="1239"/>
      <c r="AO115" s="1240"/>
      <c r="AP115" s="1239"/>
      <c r="AQ115" s="1238"/>
      <c r="AS115" s="42" t="e">
        <f t="shared" si="31"/>
        <v>#VALUE!</v>
      </c>
      <c r="AT115" s="42" t="e">
        <f t="shared" si="32"/>
        <v>#VALUE!</v>
      </c>
      <c r="AU115" s="42" t="e">
        <f t="shared" si="33"/>
        <v>#VALUE!</v>
      </c>
      <c r="AW115" s="42" t="e">
        <f t="shared" si="34"/>
        <v>#VALUE!</v>
      </c>
      <c r="AX115" s="42" t="e">
        <f t="shared" si="35"/>
        <v>#VALUE!</v>
      </c>
      <c r="AY115" s="42" t="e">
        <f t="shared" si="36"/>
        <v>#VALUE!</v>
      </c>
      <c r="BA115" s="42" t="e">
        <f t="shared" si="37"/>
        <v>#VALUE!</v>
      </c>
      <c r="BB115" s="42" t="e">
        <f t="shared" si="38"/>
        <v>#VALUE!</v>
      </c>
      <c r="BC115" s="42" t="e">
        <f t="shared" si="39"/>
        <v>#VALUE!</v>
      </c>
    </row>
    <row r="116" spans="1:55" ht="11.25" customHeight="1">
      <c r="A116" s="1127">
        <f>SUM(A88:A115)</f>
        <v>0</v>
      </c>
      <c r="B116" s="9759">
        <v>2</v>
      </c>
      <c r="C116" s="9780" t="s">
        <v>920</v>
      </c>
      <c r="D116" s="9781"/>
      <c r="E116" s="9781"/>
      <c r="F116" s="9781"/>
      <c r="G116" s="9781"/>
      <c r="H116" s="9781"/>
      <c r="I116" s="9781"/>
      <c r="J116" s="9781"/>
      <c r="K116" s="9781"/>
      <c r="L116" s="9781"/>
      <c r="M116" s="9781"/>
      <c r="N116" s="9781"/>
      <c r="O116" s="9781"/>
      <c r="P116" s="9781"/>
      <c r="Q116" s="9680" t="str">
        <f>IF(A116=0,"",ROUND(SUM(Q88:Q115),0))</f>
        <v/>
      </c>
      <c r="R116" s="9783"/>
      <c r="S116" s="9783"/>
      <c r="T116" s="9681"/>
      <c r="U116" s="9680" t="str">
        <f>IF(A116=0,"",ROUND(SUM(U88:U115),0))</f>
        <v/>
      </c>
      <c r="V116" s="9761"/>
      <c r="W116" s="9761"/>
      <c r="X116" s="9762"/>
      <c r="Y116" s="9769"/>
      <c r="Z116" s="9770"/>
      <c r="AA116" s="9680" t="str">
        <f>IF(A116=0,"",ROUND(SUM(AA88:AA115),0))</f>
        <v/>
      </c>
      <c r="AB116" s="9681"/>
      <c r="AC116" s="9680" t="str">
        <f>IF(A116=0,"",ROUND(SUM(AC88:AC115),0))</f>
        <v/>
      </c>
      <c r="AD116" s="9761"/>
      <c r="AE116" s="9761"/>
      <c r="AF116" s="9761"/>
      <c r="AG116" s="1127"/>
    </row>
    <row r="117" spans="1:55" ht="11.25" customHeight="1">
      <c r="A117" s="1127"/>
      <c r="B117" s="9760"/>
      <c r="C117" s="9782"/>
      <c r="D117" s="9782"/>
      <c r="E117" s="9782"/>
      <c r="F117" s="9782"/>
      <c r="G117" s="9782"/>
      <c r="H117" s="9782"/>
      <c r="I117" s="9782"/>
      <c r="J117" s="9782"/>
      <c r="K117" s="9782"/>
      <c r="L117" s="9782"/>
      <c r="M117" s="9782"/>
      <c r="N117" s="9782"/>
      <c r="O117" s="9782"/>
      <c r="P117" s="9782"/>
      <c r="Q117" s="9682"/>
      <c r="R117" s="9784"/>
      <c r="S117" s="9784"/>
      <c r="T117" s="9683"/>
      <c r="U117" s="9763"/>
      <c r="V117" s="9764"/>
      <c r="W117" s="9764"/>
      <c r="X117" s="9765"/>
      <c r="Y117" s="9771"/>
      <c r="Z117" s="9772"/>
      <c r="AA117" s="9682"/>
      <c r="AB117" s="9683"/>
      <c r="AC117" s="9763"/>
      <c r="AD117" s="9764"/>
      <c r="AE117" s="9764"/>
      <c r="AF117" s="9764"/>
      <c r="AG117" s="1127"/>
    </row>
    <row r="118" spans="1:55" ht="11.25" customHeight="1">
      <c r="A118" s="1127"/>
      <c r="B118" s="9760"/>
      <c r="C118" s="9782"/>
      <c r="D118" s="9782"/>
      <c r="E118" s="9782"/>
      <c r="F118" s="9782"/>
      <c r="G118" s="9782"/>
      <c r="H118" s="9782"/>
      <c r="I118" s="9782"/>
      <c r="J118" s="9782"/>
      <c r="K118" s="9782"/>
      <c r="L118" s="9782"/>
      <c r="M118" s="9782"/>
      <c r="N118" s="9782"/>
      <c r="O118" s="9782"/>
      <c r="P118" s="9782"/>
      <c r="Q118" s="9682"/>
      <c r="R118" s="9784"/>
      <c r="S118" s="9784"/>
      <c r="T118" s="9683"/>
      <c r="U118" s="9763"/>
      <c r="V118" s="9764"/>
      <c r="W118" s="9764"/>
      <c r="X118" s="9765"/>
      <c r="Y118" s="9771"/>
      <c r="Z118" s="9772"/>
      <c r="AA118" s="9682"/>
      <c r="AB118" s="9683"/>
      <c r="AC118" s="9763"/>
      <c r="AD118" s="9764"/>
      <c r="AE118" s="9764"/>
      <c r="AF118" s="9764"/>
      <c r="AG118" s="1127"/>
    </row>
    <row r="119" spans="1:55" ht="11.25" customHeight="1">
      <c r="A119" s="1127"/>
      <c r="B119" s="9760"/>
      <c r="C119" s="9782"/>
      <c r="D119" s="9782"/>
      <c r="E119" s="9782"/>
      <c r="F119" s="9782"/>
      <c r="G119" s="9782"/>
      <c r="H119" s="9782"/>
      <c r="I119" s="9782"/>
      <c r="J119" s="9782"/>
      <c r="K119" s="9782"/>
      <c r="L119" s="9782"/>
      <c r="M119" s="9782"/>
      <c r="N119" s="9782"/>
      <c r="O119" s="9782"/>
      <c r="P119" s="9782"/>
      <c r="Q119" s="9682"/>
      <c r="R119" s="9784"/>
      <c r="S119" s="9784"/>
      <c r="T119" s="9683"/>
      <c r="U119" s="9763"/>
      <c r="V119" s="9764"/>
      <c r="W119" s="9764"/>
      <c r="X119" s="9765"/>
      <c r="Y119" s="9771"/>
      <c r="Z119" s="9772"/>
      <c r="AA119" s="9682"/>
      <c r="AB119" s="9683"/>
      <c r="AC119" s="9763"/>
      <c r="AD119" s="9764"/>
      <c r="AE119" s="9764"/>
      <c r="AF119" s="9764"/>
      <c r="AG119" s="1127"/>
    </row>
    <row r="120" spans="1:55" ht="6" customHeight="1">
      <c r="A120" s="1127"/>
      <c r="B120" s="9760"/>
      <c r="C120" s="9782"/>
      <c r="D120" s="9782"/>
      <c r="E120" s="9782"/>
      <c r="F120" s="9782"/>
      <c r="G120" s="9782"/>
      <c r="H120" s="9782"/>
      <c r="I120" s="9782"/>
      <c r="J120" s="9782"/>
      <c r="K120" s="9782"/>
      <c r="L120" s="9782"/>
      <c r="M120" s="9782"/>
      <c r="N120" s="9782"/>
      <c r="O120" s="9782"/>
      <c r="P120" s="9782"/>
      <c r="Q120" s="9682"/>
      <c r="R120" s="9784"/>
      <c r="S120" s="9784"/>
      <c r="T120" s="9683"/>
      <c r="U120" s="9790"/>
      <c r="V120" s="9791"/>
      <c r="W120" s="9791"/>
      <c r="X120" s="9792"/>
      <c r="Y120" s="9773"/>
      <c r="Z120" s="9774"/>
      <c r="AA120" s="9684"/>
      <c r="AB120" s="9685"/>
      <c r="AC120" s="9763"/>
      <c r="AD120" s="9764"/>
      <c r="AE120" s="9764"/>
      <c r="AF120" s="9764"/>
      <c r="AG120" s="1127"/>
    </row>
    <row r="121" spans="1:55" ht="25.5" customHeight="1" thickBot="1">
      <c r="A121" s="1127"/>
      <c r="B121" s="9777" t="s">
        <v>1591</v>
      </c>
      <c r="C121" s="9778"/>
      <c r="D121" s="9778"/>
      <c r="E121" s="9778"/>
      <c r="F121" s="9778"/>
      <c r="G121" s="9778"/>
      <c r="H121" s="9778"/>
      <c r="I121" s="9778"/>
      <c r="J121" s="9778"/>
      <c r="K121" s="9778"/>
      <c r="L121" s="9778"/>
      <c r="M121" s="9778"/>
      <c r="N121" s="9778"/>
      <c r="O121" s="9778"/>
      <c r="P121" s="9778"/>
      <c r="Q121" s="9778"/>
      <c r="R121" s="9778"/>
      <c r="S121" s="9778"/>
      <c r="T121" s="9778"/>
      <c r="U121" s="9779"/>
      <c r="V121" s="9779"/>
      <c r="W121" s="9779"/>
      <c r="X121" s="9779"/>
      <c r="Y121" s="9778"/>
      <c r="Z121" s="9778"/>
      <c r="AA121" s="9778"/>
      <c r="AB121" s="9778"/>
      <c r="AC121" s="9778"/>
      <c r="AD121" s="9778"/>
      <c r="AE121" s="9778"/>
      <c r="AF121" s="9778"/>
      <c r="AG121" s="1127"/>
    </row>
    <row r="122" spans="1:55" ht="14.25" customHeight="1" thickTop="1">
      <c r="A122" s="1127"/>
      <c r="B122" s="4759" t="s">
        <v>484</v>
      </c>
      <c r="C122" s="23"/>
      <c r="D122" s="23"/>
      <c r="E122" s="23"/>
      <c r="F122" s="23"/>
      <c r="G122" s="23"/>
      <c r="H122" s="23"/>
      <c r="I122" s="23"/>
      <c r="J122" s="23"/>
      <c r="K122" s="23"/>
      <c r="L122" s="23"/>
      <c r="M122" s="23"/>
      <c r="N122" s="23"/>
      <c r="O122" s="23"/>
      <c r="P122" s="23"/>
      <c r="Q122" s="23"/>
      <c r="R122" s="23"/>
      <c r="S122" s="23"/>
      <c r="T122" s="23"/>
      <c r="U122" s="501" t="s">
        <v>621</v>
      </c>
      <c r="V122" s="23"/>
      <c r="W122" s="23"/>
      <c r="X122" s="23"/>
      <c r="Y122" s="23"/>
      <c r="Z122" s="23"/>
      <c r="AA122" s="23"/>
      <c r="AB122" s="23"/>
      <c r="AC122" s="23"/>
      <c r="AD122" s="1035" t="s">
        <v>632</v>
      </c>
      <c r="AE122" s="23"/>
      <c r="AF122" s="3559" t="str">
        <f>"("&amp;TaxYear&amp;")"</f>
        <v>(2021)</v>
      </c>
      <c r="AG122" s="1127"/>
    </row>
    <row r="123" spans="1:55">
      <c r="A123" s="1127"/>
      <c r="B123" s="1127"/>
      <c r="C123" s="1127"/>
      <c r="D123" s="1127"/>
      <c r="E123" s="1127"/>
      <c r="F123" s="1127"/>
      <c r="G123" s="1127"/>
      <c r="H123" s="1127"/>
      <c r="I123" s="1127"/>
      <c r="J123" s="1127"/>
      <c r="K123" s="1127"/>
      <c r="L123" s="1127"/>
      <c r="M123" s="1127"/>
      <c r="N123" s="1127"/>
      <c r="O123" s="1127"/>
      <c r="P123" s="1127"/>
      <c r="Q123" s="1127"/>
      <c r="R123" s="1127"/>
      <c r="S123" s="1127"/>
      <c r="T123" s="1127"/>
      <c r="U123" s="1127"/>
      <c r="V123" s="1127"/>
      <c r="W123" s="1127"/>
      <c r="X123" s="1127"/>
      <c r="Y123" s="1127"/>
      <c r="Z123" s="1127"/>
      <c r="AA123" s="1127"/>
      <c r="AB123" s="1127"/>
      <c r="AC123" s="1127"/>
      <c r="AD123" s="1127"/>
      <c r="AE123" s="1127"/>
      <c r="AF123" s="1127"/>
      <c r="AG123" s="1127"/>
    </row>
  </sheetData>
  <sheetProtection algorithmName="SHA-512" hashValue="aFAfbI5DT7NA1nCVRxsEzlFN/Hdk8wmr+32mxfMlnPraHx4Dy5B5BYc5KgLUsBFzepwp2gVylODrW7eBAGUi6A==" saltValue="sBIPzSEJglaSCCgD5xQc+A==" spinCount="100000" sheet="1" objects="1" scenarios="1"/>
  <mergeCells count="471">
    <mergeCell ref="R82:AE82"/>
    <mergeCell ref="B11:U11"/>
    <mergeCell ref="V11:AF11"/>
    <mergeCell ref="B2:K2"/>
    <mergeCell ref="B4:F6"/>
    <mergeCell ref="H4:AA6"/>
    <mergeCell ref="AB4:AF4"/>
    <mergeCell ref="AB5:AF7"/>
    <mergeCell ref="H7:AA7"/>
    <mergeCell ref="B16:C16"/>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 ref="AJ25:AQ25"/>
    <mergeCell ref="AJ27:AQ27"/>
    <mergeCell ref="AJ29:AQ29"/>
    <mergeCell ref="B31:B34"/>
    <mergeCell ref="C31:I34"/>
    <mergeCell ref="J31:L34"/>
    <mergeCell ref="M31:P34"/>
    <mergeCell ref="Q31:T34"/>
    <mergeCell ref="AM31:AM34"/>
    <mergeCell ref="AN31:AN34"/>
    <mergeCell ref="AO31:AP32"/>
    <mergeCell ref="AQ31:AQ34"/>
    <mergeCell ref="Y33:Z34"/>
    <mergeCell ref="AA33:AB34"/>
    <mergeCell ref="AO33:AO34"/>
    <mergeCell ref="AP33:AP34"/>
    <mergeCell ref="U31:X34"/>
    <mergeCell ref="Y31:AB32"/>
    <mergeCell ref="AC31:AF34"/>
    <mergeCell ref="AJ31:AJ34"/>
    <mergeCell ref="AK31:AK34"/>
    <mergeCell ref="AL31:AL34"/>
    <mergeCell ref="R29:AE29"/>
    <mergeCell ref="U35:X35"/>
    <mergeCell ref="Y35:Z35"/>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B53:I53"/>
    <mergeCell ref="J53:L53"/>
    <mergeCell ref="M53:P53"/>
    <mergeCell ref="Q53:T53"/>
    <mergeCell ref="U53:X53"/>
    <mergeCell ref="Y53:Z53"/>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Y111:Z111"/>
    <mergeCell ref="AA111:AB111"/>
    <mergeCell ref="AC111:AF111"/>
    <mergeCell ref="B110:I110"/>
    <mergeCell ref="J110:L110"/>
    <mergeCell ref="M110:P110"/>
    <mergeCell ref="Q110:T110"/>
    <mergeCell ref="U110:X110"/>
    <mergeCell ref="Y110:Z110"/>
    <mergeCell ref="AA110:AB110"/>
    <mergeCell ref="AC110:AF110"/>
    <mergeCell ref="B111:I111"/>
    <mergeCell ref="J111:L111"/>
    <mergeCell ref="M111:P111"/>
    <mergeCell ref="Q111:T111"/>
    <mergeCell ref="U111:X111"/>
    <mergeCell ref="B112:I112"/>
    <mergeCell ref="J112:L112"/>
    <mergeCell ref="M112:P112"/>
    <mergeCell ref="Q112:T112"/>
    <mergeCell ref="U112:X112"/>
    <mergeCell ref="Y112:Z112"/>
    <mergeCell ref="AA112:AB112"/>
    <mergeCell ref="AC112:AF112"/>
    <mergeCell ref="B113:I113"/>
    <mergeCell ref="J113:L113"/>
    <mergeCell ref="M113:P113"/>
    <mergeCell ref="Q113:T113"/>
    <mergeCell ref="U113:X113"/>
    <mergeCell ref="Y113:Z113"/>
    <mergeCell ref="AA113:AB113"/>
    <mergeCell ref="AC115:AF115"/>
    <mergeCell ref="B114:I114"/>
    <mergeCell ref="J114:L114"/>
    <mergeCell ref="M114:P114"/>
    <mergeCell ref="Q114:T114"/>
    <mergeCell ref="U114:X114"/>
    <mergeCell ref="Y114:Z114"/>
    <mergeCell ref="AC116:AF120"/>
    <mergeCell ref="AC113:AF113"/>
    <mergeCell ref="Y54:Z54"/>
    <mergeCell ref="AA54:AB54"/>
    <mergeCell ref="AC54:AF54"/>
    <mergeCell ref="AM84:AM87"/>
    <mergeCell ref="AN84:AN87"/>
    <mergeCell ref="AO84:AP85"/>
    <mergeCell ref="AQ84:AQ87"/>
    <mergeCell ref="Y86:Z87"/>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J78:AQ78"/>
    <mergeCell ref="AJ80:AQ80"/>
    <mergeCell ref="AJ82:AQ82"/>
    <mergeCell ref="B12:AF14"/>
    <mergeCell ref="B65:AF67"/>
    <mergeCell ref="U84:X87"/>
    <mergeCell ref="B69:C69"/>
    <mergeCell ref="B84:B87"/>
    <mergeCell ref="C84:I87"/>
    <mergeCell ref="J84:L87"/>
    <mergeCell ref="M84:P87"/>
    <mergeCell ref="Q84:T87"/>
    <mergeCell ref="C55:P59"/>
    <mergeCell ref="Q55:T59"/>
    <mergeCell ref="U55:X59"/>
    <mergeCell ref="Y55:Z59"/>
    <mergeCell ref="AA55:AB59"/>
    <mergeCell ref="AA53:AB53"/>
    <mergeCell ref="AC53:AF53"/>
    <mergeCell ref="B54:I54"/>
    <mergeCell ref="J54:L54"/>
    <mergeCell ref="M54:P54"/>
    <mergeCell ref="Q54:T54"/>
    <mergeCell ref="U54:X54"/>
    <mergeCell ref="AB8:AD9"/>
    <mergeCell ref="AE8:AF9"/>
    <mergeCell ref="H8:AA9"/>
    <mergeCell ref="BA22:BC22"/>
    <mergeCell ref="BA23:BA34"/>
    <mergeCell ref="BB23:BB34"/>
    <mergeCell ref="BC23:BC34"/>
    <mergeCell ref="BA75:BC75"/>
    <mergeCell ref="BA76:BA87"/>
    <mergeCell ref="BB76:BB87"/>
    <mergeCell ref="BC76:BC87"/>
    <mergeCell ref="AA86:AB87"/>
    <mergeCell ref="AO86:AO87"/>
    <mergeCell ref="AP86:AP87"/>
    <mergeCell ref="Y84:AB85"/>
    <mergeCell ref="AC84:AF87"/>
    <mergeCell ref="AJ84:AJ87"/>
    <mergeCell ref="AK84:AK87"/>
    <mergeCell ref="AL84:AL87"/>
    <mergeCell ref="AC55:AF59"/>
    <mergeCell ref="B60:AF60"/>
    <mergeCell ref="B64:U64"/>
    <mergeCell ref="V64:AF64"/>
    <mergeCell ref="B55:B59"/>
  </mergeCells>
  <conditionalFormatting sqref="B2">
    <cfRule type="expression" dxfId="230" priority="70" stopIfTrue="1">
      <formula>IF(OR($AG$16,$AG$69),1,0)</formula>
    </cfRule>
  </conditionalFormatting>
  <conditionalFormatting sqref="B21">
    <cfRule type="expression" dxfId="229" priority="7">
      <formula>(A29=0)</formula>
    </cfRule>
  </conditionalFormatting>
  <conditionalFormatting sqref="B74">
    <cfRule type="expression" dxfId="228" priority="8">
      <formula>IF(A82=0,1,0)</formula>
    </cfRule>
  </conditionalFormatting>
  <conditionalFormatting sqref="B11:AF11">
    <cfRule type="expression" dxfId="227" priority="52">
      <formula>IF(NoColor,1,0)</formula>
    </cfRule>
  </conditionalFormatting>
  <conditionalFormatting sqref="B35:AF54">
    <cfRule type="expression" dxfId="226" priority="19">
      <formula>IF(NoColor,1,0)</formula>
    </cfRule>
  </conditionalFormatting>
  <conditionalFormatting sqref="B64:AF64">
    <cfRule type="expression" dxfId="225" priority="45">
      <formula>IF(NoColor,1,0)</formula>
    </cfRule>
  </conditionalFormatting>
  <conditionalFormatting sqref="B88:AF115">
    <cfRule type="expression" dxfId="224" priority="20">
      <formula>IF(NoColor,1,0)</formula>
    </cfRule>
  </conditionalFormatting>
  <conditionalFormatting sqref="C25">
    <cfRule type="expression" dxfId="223" priority="21">
      <formula>IF(NoColor,1,0)</formula>
    </cfRule>
  </conditionalFormatting>
  <conditionalFormatting sqref="C27">
    <cfRule type="expression" dxfId="222" priority="16">
      <formula>IF(NoColor,1,0)</formula>
    </cfRule>
  </conditionalFormatting>
  <conditionalFormatting sqref="C29">
    <cfRule type="expression" dxfId="221" priority="15">
      <formula>IF(NoColor,1,0)</formula>
    </cfRule>
  </conditionalFormatting>
  <conditionalFormatting sqref="C78">
    <cfRule type="expression" dxfId="220" priority="31">
      <formula>IF(NoColor,1,0)</formula>
    </cfRule>
  </conditionalFormatting>
  <conditionalFormatting sqref="C80">
    <cfRule type="expression" dxfId="219" priority="18">
      <formula>IF(NoColor,1,0)</formula>
    </cfRule>
  </conditionalFormatting>
  <conditionalFormatting sqref="C82">
    <cfRule type="expression" dxfId="218" priority="17">
      <formula>IF(NoColor,1,0)</formula>
    </cfRule>
  </conditionalFormatting>
  <conditionalFormatting sqref="J35:J54">
    <cfRule type="expression" dxfId="217" priority="48" stopIfTrue="1">
      <formula>IF(AND($L$2="",AG35&lt;&gt;0),TRUE,FALSE)</formula>
    </cfRule>
  </conditionalFormatting>
  <conditionalFormatting sqref="J88:J115">
    <cfRule type="expression" dxfId="216" priority="41" stopIfTrue="1">
      <formula>IF(AND($L$2="",AG88&lt;&gt;0),TRUE,FALSE)</formula>
    </cfRule>
  </conditionalFormatting>
  <conditionalFormatting sqref="K74">
    <cfRule type="expression" dxfId="215" priority="12">
      <formula>(A$82&gt;1)</formula>
    </cfRule>
  </conditionalFormatting>
  <conditionalFormatting sqref="L2">
    <cfRule type="expression" dxfId="214" priority="69" stopIfTrue="1">
      <formula>IF(OR($AG$16,$AG$69),1,0)</formula>
    </cfRule>
  </conditionalFormatting>
  <conditionalFormatting sqref="L21">
    <cfRule type="expression" dxfId="213" priority="6">
      <formula>(A29&gt;1)</formula>
    </cfRule>
  </conditionalFormatting>
  <conditionalFormatting sqref="M35:M54">
    <cfRule type="expression" dxfId="212" priority="47" stopIfTrue="1">
      <formula>IF(AND($L$2="",AG35&gt;0),TRUE,FALSE)</formula>
    </cfRule>
  </conditionalFormatting>
  <conditionalFormatting sqref="M88:M115">
    <cfRule type="expression" dxfId="211" priority="40" stopIfTrue="1">
      <formula>IF(AND($L$2="",AG88&gt;0),TRUE,FALSE)</formula>
    </cfRule>
  </conditionalFormatting>
  <conditionalFormatting sqref="P69">
    <cfRule type="expression" dxfId="210" priority="4" stopIfTrue="1">
      <formula>IF(AND($L$2="",$AG$69),TRUE,FALSE)</formula>
    </cfRule>
  </conditionalFormatting>
  <conditionalFormatting sqref="Q55:X59">
    <cfRule type="expression" dxfId="209" priority="1">
      <formula>IF(NoColor,1,0)</formula>
    </cfRule>
  </conditionalFormatting>
  <conditionalFormatting sqref="Q116:X120">
    <cfRule type="expression" dxfId="208" priority="26">
      <formula>IF(NoColor,1,0)</formula>
    </cfRule>
  </conditionalFormatting>
  <conditionalFormatting sqref="T16">
    <cfRule type="expression" dxfId="207" priority="5" stopIfTrue="1">
      <formula>IF(AND($L$2="",$AG$16),TRUE,FALSE)</formula>
    </cfRule>
  </conditionalFormatting>
  <conditionalFormatting sqref="T69">
    <cfRule type="expression" dxfId="205" priority="3" stopIfTrue="1">
      <formula>IF(AND($L$2="",$AG$69),TRUE,FALSE)</formula>
    </cfRule>
  </conditionalFormatting>
  <conditionalFormatting sqref="T70">
    <cfRule type="expression" dxfId="204" priority="2" stopIfTrue="1">
      <formula>IF(AND($L$2="",$AG$16),TRUE,FALSE)</formula>
    </cfRule>
  </conditionalFormatting>
  <conditionalFormatting sqref="AA55:AF59">
    <cfRule type="expression" dxfId="202" priority="27">
      <formula>IF(NoColor,1,0)</formula>
    </cfRule>
  </conditionalFormatting>
  <conditionalFormatting sqref="AA116:AF120">
    <cfRule type="expression" dxfId="201" priority="25">
      <formula>IF(NoColor,1,0)</formula>
    </cfRule>
  </conditionalFormatting>
  <printOptions horizontalCentered="1"/>
  <pageMargins left="0.2" right="0.2" top="0.5" bottom="0.5" header="0.3" footer="0.3"/>
  <pageSetup scale="77" fitToHeight="2" orientation="portrait" r:id="rId1"/>
  <rowBreaks count="1" manualBreakCount="1">
    <brk id="61" min="1" max="31" man="1"/>
  </rowBreaks>
  <drawing r:id="rId2"/>
  <extLst>
    <ext xmlns:x14="http://schemas.microsoft.com/office/spreadsheetml/2009/9/main" uri="{78C0D931-6437-407d-A8EE-F0AAD7539E65}">
      <x14:conditionalFormattings>
        <x14:conditionalFormatting xmlns:xm="http://schemas.microsoft.com/office/excel/2006/main">
          <x14:cfRule type="expression" priority="14" stopIfTrue="1" id="{FF1D813B-CDD4-426E-B84E-126D84FACA65}">
            <xm:f>IF(AND('8949A'!$L$2="",'8949A'!$AG$16),TRUE,FALSE)</xm:f>
            <x14:dxf>
              <font>
                <b val="0"/>
                <i val="0"/>
                <color rgb="FFFF0000"/>
              </font>
            </x14:dxf>
          </x14:cfRule>
          <xm:sqref>T18:T19</xm:sqref>
        </x14:conditionalFormatting>
        <x14:conditionalFormatting xmlns:xm="http://schemas.microsoft.com/office/excel/2006/main">
          <x14:cfRule type="expression" priority="13" stopIfTrue="1" id="{A2D9BE0A-FD70-42C9-87DB-4C17D8C57EB8}">
            <xm:f>IF(AND('8949A'!$L$2="",'8949A'!$AG$16),TRUE,FALSE)</xm:f>
            <x14:dxf>
              <font>
                <b val="0"/>
                <i val="0"/>
                <color rgb="FFFF0000"/>
              </font>
            </x14:dxf>
          </x14:cfRule>
          <xm:sqref>T71:T72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C123"/>
  <sheetViews>
    <sheetView zoomScaleNormal="100" zoomScaleSheetLayoutView="100" workbookViewId="0"/>
  </sheetViews>
  <sheetFormatPr defaultColWidth="3.7109375" defaultRowHeight="12.75"/>
  <cols>
    <col min="1" max="1" width="3.7109375" style="1098" customWidth="1"/>
    <col min="2" max="2" width="4.140625" style="42" customWidth="1"/>
    <col min="3" max="3" width="2.28515625" style="42" customWidth="1"/>
    <col min="4" max="9" width="3.7109375" style="42" customWidth="1"/>
    <col min="10" max="10" width="4" style="42" customWidth="1"/>
    <col min="11" max="11" width="6.85546875" style="42" customWidth="1"/>
    <col min="12" max="12" width="4" style="42" customWidth="1"/>
    <col min="13" max="19" width="3.7109375" style="42" customWidth="1"/>
    <col min="20" max="23" width="3.85546875" style="42" customWidth="1"/>
    <col min="24" max="24" width="3.7109375" style="42" customWidth="1"/>
    <col min="25" max="26" width="5.42578125" style="42" customWidth="1"/>
    <col min="27" max="27" width="8.42578125" style="42" customWidth="1"/>
    <col min="28" max="28" width="6.42578125" style="42" customWidth="1"/>
    <col min="29" max="32" width="3.7109375" style="42" customWidth="1"/>
    <col min="33" max="33" width="6" style="1090" customWidth="1"/>
    <col min="34" max="34" width="4.85546875" style="313" customWidth="1"/>
    <col min="35" max="35" width="8.5703125" style="313" bestFit="1" customWidth="1"/>
    <col min="36" max="36" width="29.28515625" style="42" customWidth="1"/>
    <col min="37" max="40" width="13.7109375" style="42" customWidth="1"/>
    <col min="41" max="41" width="10" style="42" customWidth="1"/>
    <col min="42" max="42" width="15.5703125" style="42" customWidth="1"/>
    <col min="43" max="43" width="15.42578125" style="42" customWidth="1"/>
    <col min="44" max="44" width="3.7109375" style="42"/>
    <col min="45" max="46" width="5" style="42" hidden="1" customWidth="1"/>
    <col min="47" max="47" width="0" style="42" hidden="1" customWidth="1"/>
    <col min="48" max="48" width="1.7109375" style="42" hidden="1" customWidth="1"/>
    <col min="49" max="49" width="5" style="42" hidden="1" customWidth="1"/>
    <col min="50" max="52" width="0" style="42" hidden="1" customWidth="1"/>
    <col min="53" max="55" width="7" style="42" hidden="1" customWidth="1"/>
    <col min="56" max="16384" width="3.7109375" style="42"/>
  </cols>
  <sheetData>
    <row r="1" spans="1:34">
      <c r="A1" s="1127"/>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row>
    <row r="2" spans="1:34">
      <c r="A2" s="78"/>
      <c r="B2" s="9709" t="s">
        <v>710</v>
      </c>
      <c r="C2" s="9710"/>
      <c r="D2" s="9710"/>
      <c r="E2" s="9710"/>
      <c r="F2" s="9710"/>
      <c r="G2" s="9710"/>
      <c r="H2" s="9710"/>
      <c r="I2" s="9710"/>
      <c r="J2" s="9710"/>
      <c r="K2" s="9710"/>
      <c r="L2" s="1161"/>
      <c r="M2" s="78"/>
      <c r="N2" s="78"/>
      <c r="O2" s="78"/>
      <c r="P2" s="78"/>
      <c r="Q2" s="78"/>
      <c r="R2" s="78"/>
      <c r="S2" s="78"/>
      <c r="T2" s="78"/>
      <c r="U2" s="78"/>
      <c r="V2" s="78"/>
      <c r="W2" s="78"/>
      <c r="X2" s="78"/>
      <c r="Y2" s="78"/>
      <c r="Z2" s="78"/>
      <c r="AA2" s="1009"/>
      <c r="AB2" s="78"/>
      <c r="AC2" s="78"/>
      <c r="AD2" s="78"/>
      <c r="AE2" s="78"/>
      <c r="AF2" s="78"/>
      <c r="AG2" s="1127"/>
    </row>
    <row r="3" spans="1:34">
      <c r="A3" s="1127"/>
      <c r="B3" s="1127"/>
      <c r="C3" s="1127"/>
      <c r="D3" s="1127"/>
      <c r="E3" s="1127"/>
      <c r="F3" s="1127"/>
      <c r="G3" s="1127"/>
      <c r="H3" s="1127"/>
      <c r="I3" s="1127"/>
      <c r="J3" s="1127"/>
      <c r="K3" s="1127"/>
      <c r="L3" s="1127"/>
      <c r="M3" s="1127"/>
      <c r="N3" s="1127"/>
      <c r="O3" s="1127"/>
      <c r="P3" s="1127"/>
      <c r="Q3" s="1127"/>
      <c r="R3" s="1127"/>
      <c r="S3" s="1127"/>
      <c r="T3" s="1127"/>
      <c r="U3" s="1127"/>
      <c r="V3" s="1127"/>
      <c r="W3" s="1127"/>
      <c r="X3" s="1127"/>
      <c r="Y3" s="1127"/>
      <c r="Z3" s="1127"/>
      <c r="AA3" s="1127"/>
      <c r="AB3" s="1127"/>
      <c r="AC3" s="1127"/>
      <c r="AD3" s="1127"/>
      <c r="AE3" s="1127"/>
      <c r="AF3" s="1127"/>
      <c r="AG3" s="1127"/>
    </row>
    <row r="4" spans="1:34" ht="11.25" customHeight="1">
      <c r="A4" s="1127"/>
      <c r="B4" s="9711" t="s">
        <v>618</v>
      </c>
      <c r="C4" s="8624"/>
      <c r="D4" s="8624"/>
      <c r="E4" s="8624"/>
      <c r="F4" s="8624"/>
      <c r="G4" s="23"/>
      <c r="H4" s="9719" t="s">
        <v>619</v>
      </c>
      <c r="I4" s="9720"/>
      <c r="J4" s="9720"/>
      <c r="K4" s="9720"/>
      <c r="L4" s="9720"/>
      <c r="M4" s="9720"/>
      <c r="N4" s="9720"/>
      <c r="O4" s="9720"/>
      <c r="P4" s="9720"/>
      <c r="Q4" s="9720"/>
      <c r="R4" s="9720"/>
      <c r="S4" s="9720"/>
      <c r="T4" s="9720"/>
      <c r="U4" s="9720"/>
      <c r="V4" s="9720"/>
      <c r="W4" s="9720"/>
      <c r="X4" s="9720"/>
      <c r="Y4" s="9720"/>
      <c r="Z4" s="9720"/>
      <c r="AA4" s="9721"/>
      <c r="AB4" s="9712" t="s">
        <v>152</v>
      </c>
      <c r="AC4" s="8628"/>
      <c r="AD4" s="8628"/>
      <c r="AE4" s="8628"/>
      <c r="AF4" s="8628"/>
      <c r="AG4" s="1127"/>
      <c r="AH4" s="1091"/>
    </row>
    <row r="5" spans="1:34" ht="11.25" customHeight="1">
      <c r="A5" s="1127"/>
      <c r="B5" s="8624"/>
      <c r="C5" s="8624"/>
      <c r="D5" s="8624"/>
      <c r="E5" s="8624"/>
      <c r="F5" s="8624"/>
      <c r="G5" s="23"/>
      <c r="H5" s="9722"/>
      <c r="I5" s="9720"/>
      <c r="J5" s="9720"/>
      <c r="K5" s="9720"/>
      <c r="L5" s="9720"/>
      <c r="M5" s="9720"/>
      <c r="N5" s="9720"/>
      <c r="O5" s="9720"/>
      <c r="P5" s="9720"/>
      <c r="Q5" s="9720"/>
      <c r="R5" s="9720"/>
      <c r="S5" s="9720"/>
      <c r="T5" s="9720"/>
      <c r="U5" s="9720"/>
      <c r="V5" s="9720"/>
      <c r="W5" s="9720"/>
      <c r="X5" s="9720"/>
      <c r="Y5" s="9720"/>
      <c r="Z5" s="9720"/>
      <c r="AA5" s="9721"/>
      <c r="AB5" s="9713">
        <f>TaxYear</f>
        <v>2021</v>
      </c>
      <c r="AC5" s="8624"/>
      <c r="AD5" s="8624"/>
      <c r="AE5" s="8624"/>
      <c r="AF5" s="8624"/>
      <c r="AG5" s="1127"/>
      <c r="AH5" s="1091"/>
    </row>
    <row r="6" spans="1:34" ht="11.25" customHeight="1">
      <c r="A6" s="1127"/>
      <c r="B6" s="8624"/>
      <c r="C6" s="8624"/>
      <c r="D6" s="8624"/>
      <c r="E6" s="8624"/>
      <c r="F6" s="8624"/>
      <c r="G6" s="23"/>
      <c r="H6" s="9180"/>
      <c r="I6" s="6371"/>
      <c r="J6" s="6371"/>
      <c r="K6" s="6371"/>
      <c r="L6" s="6371"/>
      <c r="M6" s="6371"/>
      <c r="N6" s="6371"/>
      <c r="O6" s="6371"/>
      <c r="P6" s="6371"/>
      <c r="Q6" s="6371"/>
      <c r="R6" s="6371"/>
      <c r="S6" s="6371"/>
      <c r="T6" s="6371"/>
      <c r="U6" s="6371"/>
      <c r="V6" s="6371"/>
      <c r="W6" s="6371"/>
      <c r="X6" s="6371"/>
      <c r="Y6" s="6371"/>
      <c r="Z6" s="6371"/>
      <c r="AA6" s="8426"/>
      <c r="AB6" s="8624"/>
      <c r="AC6" s="8624"/>
      <c r="AD6" s="8624"/>
      <c r="AE6" s="8624"/>
      <c r="AF6" s="8624"/>
      <c r="AG6" s="1127"/>
      <c r="AH6" s="1089"/>
    </row>
    <row r="7" spans="1:34" ht="11.25" customHeight="1">
      <c r="A7" s="1127"/>
      <c r="B7" s="23"/>
      <c r="C7" s="23"/>
      <c r="D7" s="23"/>
      <c r="E7" s="23"/>
      <c r="F7" s="23"/>
      <c r="G7" s="23"/>
      <c r="H7" s="9729" t="s">
        <v>2052</v>
      </c>
      <c r="I7" s="9730"/>
      <c r="J7" s="9730"/>
      <c r="K7" s="9730"/>
      <c r="L7" s="9730"/>
      <c r="M7" s="9730"/>
      <c r="N7" s="9730"/>
      <c r="O7" s="9730"/>
      <c r="P7" s="9730"/>
      <c r="Q7" s="9730"/>
      <c r="R7" s="9730"/>
      <c r="S7" s="9730"/>
      <c r="T7" s="9730"/>
      <c r="U7" s="9730"/>
      <c r="V7" s="9730"/>
      <c r="W7" s="9730"/>
      <c r="X7" s="9730"/>
      <c r="Y7" s="9730"/>
      <c r="Z7" s="9730"/>
      <c r="AA7" s="9731"/>
      <c r="AB7" s="8624"/>
      <c r="AC7" s="8624"/>
      <c r="AD7" s="8624"/>
      <c r="AE7" s="8624"/>
      <c r="AF7" s="8624"/>
      <c r="AG7" s="1127"/>
    </row>
    <row r="8" spans="1:34" ht="10.5" customHeight="1">
      <c r="A8" s="1127"/>
      <c r="B8" s="30" t="s">
        <v>176</v>
      </c>
      <c r="C8" s="23"/>
      <c r="D8" s="23"/>
      <c r="E8" s="23"/>
      <c r="F8" s="23"/>
      <c r="G8" s="23"/>
      <c r="H8" s="9729" t="s">
        <v>1049</v>
      </c>
      <c r="I8" s="9730"/>
      <c r="J8" s="9730"/>
      <c r="K8" s="9730"/>
      <c r="L8" s="9730"/>
      <c r="M8" s="9730"/>
      <c r="N8" s="9730"/>
      <c r="O8" s="9730"/>
      <c r="P8" s="9730"/>
      <c r="Q8" s="9730"/>
      <c r="R8" s="9730"/>
      <c r="S8" s="9730"/>
      <c r="T8" s="9730"/>
      <c r="U8" s="9730"/>
      <c r="V8" s="9730"/>
      <c r="W8" s="9730"/>
      <c r="X8" s="9730"/>
      <c r="Y8" s="9730"/>
      <c r="Z8" s="9730"/>
      <c r="AA8" s="9731"/>
      <c r="AB8" s="9752" t="s">
        <v>2729</v>
      </c>
      <c r="AC8" s="6451"/>
      <c r="AD8" s="6451"/>
      <c r="AE8" s="7834" t="s">
        <v>2806</v>
      </c>
      <c r="AF8" s="7834"/>
      <c r="AG8" s="1127"/>
    </row>
    <row r="9" spans="1:34" ht="10.5" customHeight="1" thickBot="1">
      <c r="A9" s="1127"/>
      <c r="B9" s="29" t="s">
        <v>395</v>
      </c>
      <c r="C9" s="36"/>
      <c r="D9" s="36"/>
      <c r="E9" s="36"/>
      <c r="F9" s="36"/>
      <c r="G9" s="36"/>
      <c r="H9" s="9798"/>
      <c r="I9" s="9799"/>
      <c r="J9" s="9799"/>
      <c r="K9" s="9799"/>
      <c r="L9" s="9799"/>
      <c r="M9" s="9799"/>
      <c r="N9" s="9799"/>
      <c r="O9" s="9799"/>
      <c r="P9" s="9799"/>
      <c r="Q9" s="9799"/>
      <c r="R9" s="9799"/>
      <c r="S9" s="9799"/>
      <c r="T9" s="9799"/>
      <c r="U9" s="9799"/>
      <c r="V9" s="9799"/>
      <c r="W9" s="9799"/>
      <c r="X9" s="9799"/>
      <c r="Y9" s="9799"/>
      <c r="Z9" s="9799"/>
      <c r="AA9" s="9800"/>
      <c r="AB9" s="9796"/>
      <c r="AC9" s="9797"/>
      <c r="AD9" s="9797"/>
      <c r="AE9" s="7835"/>
      <c r="AF9" s="7835"/>
      <c r="AG9" s="1127"/>
    </row>
    <row r="10" spans="1:34">
      <c r="A10" s="1127"/>
      <c r="B10" s="30" t="s">
        <v>55</v>
      </c>
      <c r="C10" s="23"/>
      <c r="D10" s="23"/>
      <c r="E10" s="23"/>
      <c r="F10" s="23"/>
      <c r="G10" s="23"/>
      <c r="H10" s="23"/>
      <c r="I10" s="23"/>
      <c r="J10" s="23"/>
      <c r="K10" s="23"/>
      <c r="L10" s="23"/>
      <c r="M10" s="23"/>
      <c r="N10" s="23"/>
      <c r="O10" s="23"/>
      <c r="P10" s="23"/>
      <c r="Q10" s="23"/>
      <c r="R10" s="23"/>
      <c r="S10" s="23"/>
      <c r="T10" s="23"/>
      <c r="U10" s="23"/>
      <c r="V10" s="1236" t="s">
        <v>735</v>
      </c>
      <c r="W10" s="23"/>
      <c r="X10" s="23"/>
      <c r="Y10" s="23"/>
      <c r="Z10" s="34"/>
      <c r="AA10" s="23"/>
      <c r="AB10" s="23"/>
      <c r="AC10" s="23"/>
      <c r="AD10" s="23"/>
      <c r="AE10" s="23"/>
      <c r="AF10" s="23"/>
      <c r="AG10" s="1127"/>
    </row>
    <row r="11" spans="1:34" ht="16.5" thickBot="1">
      <c r="A11" s="1127"/>
      <c r="B11" s="9716" t="str">
        <f>Names</f>
        <v/>
      </c>
      <c r="C11" s="9717"/>
      <c r="D11" s="9717"/>
      <c r="E11" s="9717"/>
      <c r="F11" s="9717"/>
      <c r="G11" s="9717"/>
      <c r="H11" s="9717"/>
      <c r="I11" s="9717"/>
      <c r="J11" s="9717"/>
      <c r="K11" s="9717"/>
      <c r="L11" s="9717"/>
      <c r="M11" s="9717"/>
      <c r="N11" s="9717"/>
      <c r="O11" s="9717"/>
      <c r="P11" s="9717"/>
      <c r="Q11" s="9717"/>
      <c r="R11" s="9717"/>
      <c r="S11" s="9717"/>
      <c r="T11" s="9717"/>
      <c r="U11" s="9718"/>
      <c r="V11" s="9714">
        <f>IF(NoSSN,"",SS_Yours)</f>
        <v>1010001</v>
      </c>
      <c r="W11" s="9715"/>
      <c r="X11" s="9715"/>
      <c r="Y11" s="9715"/>
      <c r="Z11" s="9715"/>
      <c r="AA11" s="9715"/>
      <c r="AB11" s="9715"/>
      <c r="AC11" s="9715"/>
      <c r="AD11" s="9715"/>
      <c r="AE11" s="9715"/>
      <c r="AF11" s="9715"/>
      <c r="AG11" s="1127"/>
    </row>
    <row r="12" spans="1:34" ht="12.75" customHeight="1">
      <c r="A12" s="1127"/>
      <c r="B12" s="9775" t="s">
        <v>1590</v>
      </c>
      <c r="C12" s="9776"/>
      <c r="D12" s="9776"/>
      <c r="E12" s="9776"/>
      <c r="F12" s="9776"/>
      <c r="G12" s="9776"/>
      <c r="H12" s="9776"/>
      <c r="I12" s="9776"/>
      <c r="J12" s="9776"/>
      <c r="K12" s="9776"/>
      <c r="L12" s="9776"/>
      <c r="M12" s="9776"/>
      <c r="N12" s="9776"/>
      <c r="O12" s="9776"/>
      <c r="P12" s="9776"/>
      <c r="Q12" s="9776"/>
      <c r="R12" s="9776"/>
      <c r="S12" s="9776"/>
      <c r="T12" s="9776"/>
      <c r="U12" s="9776"/>
      <c r="V12" s="9776"/>
      <c r="W12" s="9776"/>
      <c r="X12" s="9776"/>
      <c r="Y12" s="9776"/>
      <c r="Z12" s="9776"/>
      <c r="AA12" s="9776"/>
      <c r="AB12" s="9776"/>
      <c r="AC12" s="9776"/>
      <c r="AD12" s="9776"/>
      <c r="AE12" s="9776"/>
      <c r="AF12" s="9776"/>
      <c r="AG12" s="1127"/>
    </row>
    <row r="13" spans="1:34" ht="12.75" customHeight="1">
      <c r="A13" s="1127"/>
      <c r="B13" s="7093"/>
      <c r="C13" s="7093"/>
      <c r="D13" s="7093"/>
      <c r="E13" s="7093"/>
      <c r="F13" s="7093"/>
      <c r="G13" s="7093"/>
      <c r="H13" s="7093"/>
      <c r="I13" s="7093"/>
      <c r="J13" s="7093"/>
      <c r="K13" s="7093"/>
      <c r="L13" s="7093"/>
      <c r="M13" s="7093"/>
      <c r="N13" s="7093"/>
      <c r="O13" s="7093"/>
      <c r="P13" s="7093"/>
      <c r="Q13" s="7093"/>
      <c r="R13" s="7093"/>
      <c r="S13" s="7093"/>
      <c r="T13" s="7093"/>
      <c r="U13" s="7093"/>
      <c r="V13" s="7093"/>
      <c r="W13" s="7093"/>
      <c r="X13" s="7093"/>
      <c r="Y13" s="7093"/>
      <c r="Z13" s="7093"/>
      <c r="AA13" s="7093"/>
      <c r="AB13" s="7093"/>
      <c r="AC13" s="7093"/>
      <c r="AD13" s="7093"/>
      <c r="AE13" s="7093"/>
      <c r="AF13" s="7093"/>
      <c r="AG13" s="1127"/>
    </row>
    <row r="14" spans="1:34" ht="12.75" customHeight="1">
      <c r="A14" s="1127"/>
      <c r="B14" s="7776"/>
      <c r="C14" s="7776"/>
      <c r="D14" s="7776"/>
      <c r="E14" s="7776"/>
      <c r="F14" s="7776"/>
      <c r="G14" s="7776"/>
      <c r="H14" s="7776"/>
      <c r="I14" s="7776"/>
      <c r="J14" s="7776"/>
      <c r="K14" s="7776"/>
      <c r="L14" s="7776"/>
      <c r="M14" s="7776"/>
      <c r="N14" s="7776"/>
      <c r="O14" s="7776"/>
      <c r="P14" s="7776"/>
      <c r="Q14" s="7776"/>
      <c r="R14" s="7776"/>
      <c r="S14" s="7776"/>
      <c r="T14" s="7776"/>
      <c r="U14" s="7776"/>
      <c r="V14" s="7776"/>
      <c r="W14" s="7776"/>
      <c r="X14" s="7776"/>
      <c r="Y14" s="7776"/>
      <c r="Z14" s="7776"/>
      <c r="AA14" s="7776"/>
      <c r="AB14" s="7776"/>
      <c r="AC14" s="7776"/>
      <c r="AD14" s="7776"/>
      <c r="AE14" s="7776"/>
      <c r="AF14" s="7776"/>
      <c r="AG14" s="1127"/>
    </row>
    <row r="15" spans="1:34" ht="3.75" customHeight="1">
      <c r="A15" s="1127"/>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1127"/>
    </row>
    <row r="16" spans="1:34" ht="15">
      <c r="A16" s="1127"/>
      <c r="B16" s="9788" t="s">
        <v>51</v>
      </c>
      <c r="C16" s="9789"/>
      <c r="D16" s="23"/>
      <c r="E16" s="343" t="s">
        <v>2054</v>
      </c>
      <c r="F16" s="23"/>
      <c r="G16" s="23"/>
      <c r="H16" s="23"/>
      <c r="I16" s="23"/>
      <c r="J16" s="23"/>
      <c r="K16" s="23"/>
      <c r="L16" s="23"/>
      <c r="M16" s="23"/>
      <c r="N16" s="23"/>
      <c r="O16" s="23"/>
      <c r="P16" s="23"/>
      <c r="Q16" s="23"/>
      <c r="R16" s="23"/>
      <c r="S16" s="23"/>
      <c r="T16" s="412" t="s">
        <v>2053</v>
      </c>
      <c r="U16" s="23"/>
      <c r="V16" s="23"/>
      <c r="W16" s="23"/>
      <c r="X16" s="412" t="s">
        <v>2813</v>
      </c>
      <c r="Y16" s="23"/>
      <c r="Z16" s="23"/>
      <c r="AA16" s="23"/>
      <c r="AB16" s="23"/>
      <c r="AC16" s="23"/>
      <c r="AD16" s="23"/>
      <c r="AE16" s="23"/>
      <c r="AF16" s="23"/>
      <c r="AG16" s="1127" t="b">
        <f>IF(SUM(AG35:AG54)&gt;0,TRUE,FALSE)</f>
        <v>0</v>
      </c>
    </row>
    <row r="17" spans="1:55" ht="11.25" customHeight="1">
      <c r="A17" s="1127"/>
      <c r="B17" s="23"/>
      <c r="C17" s="23"/>
      <c r="D17" s="23"/>
      <c r="E17" s="412" t="s">
        <v>2807</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1127"/>
    </row>
    <row r="18" spans="1:55" s="262" customFormat="1" ht="13.5" customHeight="1">
      <c r="A18" s="2667"/>
      <c r="B18" s="412"/>
      <c r="C18" s="412"/>
      <c r="D18" s="412"/>
      <c r="E18" s="2668" t="s">
        <v>2055</v>
      </c>
      <c r="F18" s="412"/>
      <c r="G18" s="412"/>
      <c r="H18" s="412"/>
      <c r="I18" s="412"/>
      <c r="J18" s="412"/>
      <c r="K18" s="412"/>
      <c r="L18" s="412"/>
      <c r="M18" s="412"/>
      <c r="N18" s="412"/>
      <c r="O18" s="412"/>
      <c r="P18" s="412"/>
      <c r="Q18" s="412"/>
      <c r="R18" s="412"/>
      <c r="S18" s="412"/>
      <c r="T18" s="412"/>
      <c r="U18" s="412"/>
      <c r="V18" s="412"/>
      <c r="W18" s="412"/>
      <c r="X18" s="412"/>
      <c r="Y18" s="412"/>
      <c r="Z18" s="412"/>
      <c r="AA18" s="412"/>
      <c r="AB18" s="412"/>
      <c r="AC18" s="412"/>
      <c r="AD18" s="412"/>
      <c r="AE18" s="412"/>
      <c r="AF18" s="412"/>
      <c r="AG18" s="2667"/>
      <c r="AH18" s="982"/>
      <c r="AI18" s="982"/>
    </row>
    <row r="19" spans="1:55" s="262" customFormat="1" ht="13.5" customHeight="1">
      <c r="A19" s="2667"/>
      <c r="B19" s="412"/>
      <c r="C19" s="412"/>
      <c r="D19" s="412"/>
      <c r="E19" s="412" t="s">
        <v>816</v>
      </c>
      <c r="F19" s="412"/>
      <c r="G19" s="412"/>
      <c r="H19" s="412"/>
      <c r="I19" s="412"/>
      <c r="J19" s="412"/>
      <c r="K19" s="412"/>
      <c r="L19" s="412"/>
      <c r="M19" s="412"/>
      <c r="N19" s="412"/>
      <c r="O19" s="412"/>
      <c r="P19" s="412"/>
      <c r="Q19" s="412"/>
      <c r="R19" s="412"/>
      <c r="S19" s="412"/>
      <c r="T19" s="412"/>
      <c r="U19" s="412"/>
      <c r="V19" s="412"/>
      <c r="W19" s="412"/>
      <c r="X19" s="412"/>
      <c r="Y19" s="412"/>
      <c r="Z19" s="412"/>
      <c r="AA19" s="412"/>
      <c r="AB19" s="412"/>
      <c r="AC19" s="412"/>
      <c r="AD19" s="412"/>
      <c r="AE19" s="412"/>
      <c r="AF19" s="412"/>
      <c r="AG19" s="2667"/>
      <c r="AH19" s="982"/>
      <c r="AI19" s="982"/>
    </row>
    <row r="20" spans="1:55" s="262" customFormat="1" ht="13.5" customHeight="1">
      <c r="A20" s="2667"/>
      <c r="B20" s="2669"/>
      <c r="C20" s="2669"/>
      <c r="D20" s="2669"/>
      <c r="E20" s="2669" t="s">
        <v>2808</v>
      </c>
      <c r="F20" s="2669"/>
      <c r="G20" s="2669"/>
      <c r="H20" s="2669"/>
      <c r="I20" s="2669"/>
      <c r="J20" s="2669"/>
      <c r="K20" s="2669"/>
      <c r="L20" s="2669"/>
      <c r="M20" s="2669"/>
      <c r="N20" s="2669"/>
      <c r="O20" s="2669"/>
      <c r="P20" s="2669"/>
      <c r="Q20" s="2669"/>
      <c r="R20" s="2669"/>
      <c r="S20" s="2669"/>
      <c r="T20" s="2669"/>
      <c r="U20" s="2669"/>
      <c r="V20" s="2669"/>
      <c r="W20" s="2669"/>
      <c r="X20" s="2669"/>
      <c r="Y20" s="2669"/>
      <c r="Z20" s="2669"/>
      <c r="AA20" s="2669"/>
      <c r="AB20" s="2669"/>
      <c r="AC20" s="2669"/>
      <c r="AD20" s="2669"/>
      <c r="AE20" s="2669"/>
      <c r="AF20" s="2669"/>
      <c r="AG20" s="2667"/>
      <c r="AH20" s="982"/>
      <c r="AI20" s="982"/>
    </row>
    <row r="21" spans="1:55">
      <c r="A21" s="1127"/>
      <c r="B21" s="278" t="s">
        <v>725</v>
      </c>
      <c r="C21" s="56"/>
      <c r="D21" s="56"/>
      <c r="E21" s="56"/>
      <c r="F21" s="56"/>
      <c r="G21" s="56"/>
      <c r="H21" s="56"/>
      <c r="I21" s="56"/>
      <c r="J21" s="56"/>
      <c r="K21" s="278"/>
      <c r="L21" s="278" t="s">
        <v>724</v>
      </c>
      <c r="M21" s="56"/>
      <c r="N21" s="56"/>
      <c r="O21" s="56"/>
      <c r="P21" s="56"/>
      <c r="Q21" s="70" t="s">
        <v>723</v>
      </c>
      <c r="R21" s="56"/>
      <c r="S21" s="56"/>
      <c r="T21" s="56"/>
      <c r="U21" s="56"/>
      <c r="V21" s="56"/>
      <c r="W21" s="56"/>
      <c r="X21" s="56"/>
      <c r="Y21" s="56"/>
      <c r="Z21" s="56"/>
      <c r="AA21" s="56"/>
      <c r="AB21" s="56"/>
      <c r="AC21" s="56"/>
      <c r="AD21" s="56"/>
      <c r="AE21" s="56"/>
      <c r="AF21" s="56"/>
      <c r="AG21" s="1127"/>
    </row>
    <row r="22" spans="1:55">
      <c r="A22" s="1127"/>
      <c r="B22" s="70" t="s">
        <v>721</v>
      </c>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1127"/>
      <c r="BA22" s="9699" t="s">
        <v>780</v>
      </c>
      <c r="BB22" s="6206"/>
      <c r="BC22" s="7198"/>
    </row>
    <row r="23" spans="1:55">
      <c r="A23" s="1127"/>
      <c r="B23" s="70" t="s">
        <v>722</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1127"/>
      <c r="BA23" s="9700" t="s">
        <v>779</v>
      </c>
      <c r="BB23" s="9700" t="s">
        <v>770</v>
      </c>
      <c r="BC23" s="9700" t="s">
        <v>771</v>
      </c>
    </row>
    <row r="24" spans="1:55" ht="4.5" customHeight="1" thickBot="1">
      <c r="A24" s="112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1127"/>
      <c r="BA24" s="9701"/>
      <c r="BB24" s="9701"/>
      <c r="BC24" s="9701"/>
    </row>
    <row r="25" spans="1:55" ht="12" customHeight="1" thickBot="1">
      <c r="A25" s="1127"/>
      <c r="B25" s="1258">
        <f>IF(C25&lt;&gt;"",1,0)</f>
        <v>0</v>
      </c>
      <c r="C25" s="1257"/>
      <c r="D25" s="999" t="s">
        <v>2810</v>
      </c>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1127"/>
      <c r="AJ25" s="9694"/>
      <c r="AK25" s="9695"/>
      <c r="AL25" s="9695"/>
      <c r="AM25" s="9695"/>
      <c r="AN25" s="9695"/>
      <c r="AO25" s="9695"/>
      <c r="AP25" s="9695"/>
      <c r="AQ25" s="9695"/>
      <c r="BA25" s="9701"/>
      <c r="BB25" s="9701"/>
      <c r="BC25" s="9701"/>
    </row>
    <row r="26" spans="1:55" ht="4.5" customHeight="1" thickBot="1">
      <c r="A26" s="1127"/>
      <c r="B26" s="1258"/>
      <c r="C26" s="56"/>
      <c r="D26" s="70"/>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1127"/>
      <c r="BA26" s="9701"/>
      <c r="BB26" s="9701"/>
      <c r="BC26" s="9701"/>
    </row>
    <row r="27" spans="1:55" ht="11.25" customHeight="1" thickBot="1">
      <c r="A27" s="1127"/>
      <c r="B27" s="1258">
        <f>IF(C27&lt;&gt;"",1,0)</f>
        <v>0</v>
      </c>
      <c r="C27" s="1257"/>
      <c r="D27" s="999" t="s">
        <v>2809</v>
      </c>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1127"/>
      <c r="AJ27" s="9694"/>
      <c r="AK27" s="9695"/>
      <c r="AL27" s="9695"/>
      <c r="AM27" s="9695"/>
      <c r="AN27" s="9695"/>
      <c r="AO27" s="9695"/>
      <c r="AP27" s="9695"/>
      <c r="AQ27" s="9695"/>
      <c r="BA27" s="9701"/>
      <c r="BB27" s="9701"/>
      <c r="BC27" s="9701"/>
    </row>
    <row r="28" spans="1:55" ht="4.5" customHeight="1" thickBot="1">
      <c r="A28" s="1127"/>
      <c r="B28" s="1258"/>
      <c r="C28" s="56"/>
      <c r="D28" s="70"/>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1127"/>
      <c r="BA28" s="9701"/>
      <c r="BB28" s="9701"/>
      <c r="BC28" s="9701"/>
    </row>
    <row r="29" spans="1:55" ht="12" customHeight="1" thickBot="1">
      <c r="A29" s="1127">
        <f>SUM(B25:B29)</f>
        <v>0</v>
      </c>
      <c r="B29" s="1258">
        <f>IF(C29&lt;&gt;"",1,0)</f>
        <v>0</v>
      </c>
      <c r="C29" s="1257"/>
      <c r="D29" s="999" t="s">
        <v>2811</v>
      </c>
      <c r="E29" s="56"/>
      <c r="F29" s="56"/>
      <c r="G29" s="56"/>
      <c r="H29" s="56"/>
      <c r="I29" s="56"/>
      <c r="J29" s="56"/>
      <c r="K29" s="56"/>
      <c r="L29" s="56"/>
      <c r="M29" s="56"/>
      <c r="N29" s="56"/>
      <c r="O29" s="56"/>
      <c r="P29" s="56"/>
      <c r="Q29" s="56"/>
      <c r="R29" s="9740" t="str">
        <f>IF(SpaceUsed_8949D_ST,"ERROR: DO NOT use the space bar to uncheck a box. Use the 'Delete' key.",IF(A29&gt;1,"Check only ONE box.",IF(A29&gt;0,"",IF(A29&lt;1,"Check ONE box.",""))))</f>
        <v>Check ONE box.</v>
      </c>
      <c r="S29" s="9741"/>
      <c r="T29" s="9741"/>
      <c r="U29" s="9741"/>
      <c r="V29" s="9741"/>
      <c r="W29" s="9741"/>
      <c r="X29" s="9741"/>
      <c r="Y29" s="9741"/>
      <c r="Z29" s="9741"/>
      <c r="AA29" s="9741"/>
      <c r="AB29" s="9741"/>
      <c r="AC29" s="9741"/>
      <c r="AD29" s="9741"/>
      <c r="AE29" s="9741"/>
      <c r="AF29" s="56"/>
      <c r="AG29" s="1127"/>
      <c r="AH29" s="1430" t="b">
        <f>IF(OR(F8949DSBOXA=CHAR(32),F8949DSBOXB=CHAR(32),F8949DSBOXC=CHAR(32)),TRUE,FALSE)</f>
        <v>0</v>
      </c>
      <c r="AJ29" s="9702" t="s">
        <v>2467</v>
      </c>
      <c r="AK29" s="9695"/>
      <c r="AL29" s="9695"/>
      <c r="AM29" s="9695"/>
      <c r="AN29" s="9695"/>
      <c r="AO29" s="9695"/>
      <c r="AP29" s="9695"/>
      <c r="AQ29" s="9695"/>
      <c r="BA29" s="9701"/>
      <c r="BB29" s="9701"/>
      <c r="BC29" s="9701"/>
    </row>
    <row r="30" spans="1:55" ht="3.75" customHeight="1">
      <c r="A30" s="1127"/>
      <c r="B30" s="279"/>
      <c r="C30" s="1092"/>
      <c r="D30" s="279"/>
      <c r="E30" s="279"/>
      <c r="F30" s="279"/>
      <c r="G30" s="279"/>
      <c r="H30" s="279"/>
      <c r="I30" s="279"/>
      <c r="J30" s="279"/>
      <c r="K30" s="279"/>
      <c r="L30" s="279"/>
      <c r="M30" s="279"/>
      <c r="N30" s="1092"/>
      <c r="O30" s="279"/>
      <c r="P30" s="279"/>
      <c r="Q30" s="279"/>
      <c r="R30" s="279"/>
      <c r="S30" s="279"/>
      <c r="T30" s="279"/>
      <c r="U30" s="279"/>
      <c r="V30" s="279"/>
      <c r="W30" s="279"/>
      <c r="X30" s="279"/>
      <c r="Y30" s="1092"/>
      <c r="Z30" s="279"/>
      <c r="AA30" s="279"/>
      <c r="AB30" s="279"/>
      <c r="AC30" s="279"/>
      <c r="AD30" s="279"/>
      <c r="AE30" s="279"/>
      <c r="AF30" s="279"/>
      <c r="AG30" s="1127"/>
      <c r="BA30" s="9701"/>
      <c r="BB30" s="9701"/>
      <c r="BC30" s="9701"/>
    </row>
    <row r="31" spans="1:55" ht="21" customHeight="1">
      <c r="A31" s="1127"/>
      <c r="B31" s="9725">
        <v>1</v>
      </c>
      <c r="C31" s="9732" t="s">
        <v>620</v>
      </c>
      <c r="D31" s="9733"/>
      <c r="E31" s="9733"/>
      <c r="F31" s="9733"/>
      <c r="G31" s="9733"/>
      <c r="H31" s="9733"/>
      <c r="I31" s="9734"/>
      <c r="J31" s="6448" t="s">
        <v>729</v>
      </c>
      <c r="K31" s="7379"/>
      <c r="L31" s="7155"/>
      <c r="M31" s="6448" t="s">
        <v>5477</v>
      </c>
      <c r="N31" s="7379"/>
      <c r="O31" s="7379"/>
      <c r="P31" s="7155"/>
      <c r="Q31" s="6448" t="s">
        <v>730</v>
      </c>
      <c r="R31" s="7379"/>
      <c r="S31" s="7379"/>
      <c r="T31" s="7155"/>
      <c r="U31" s="9673" t="s">
        <v>734</v>
      </c>
      <c r="V31" s="9674"/>
      <c r="W31" s="9674"/>
      <c r="X31" s="9748"/>
      <c r="Y31" s="9742" t="s">
        <v>2820</v>
      </c>
      <c r="Z31" s="9743"/>
      <c r="AA31" s="9743"/>
      <c r="AB31" s="9744"/>
      <c r="AC31" s="9673" t="s">
        <v>733</v>
      </c>
      <c r="AD31" s="9674"/>
      <c r="AE31" s="9674"/>
      <c r="AF31" s="9674"/>
      <c r="AG31" s="1127"/>
      <c r="AJ31" s="9692" t="s">
        <v>711</v>
      </c>
      <c r="AK31" s="9692" t="s">
        <v>736</v>
      </c>
      <c r="AL31" s="9692" t="s">
        <v>737</v>
      </c>
      <c r="AM31" s="9692" t="s">
        <v>738</v>
      </c>
      <c r="AN31" s="9690" t="s">
        <v>739</v>
      </c>
      <c r="AO31" s="9696" t="s">
        <v>731</v>
      </c>
      <c r="AP31" s="7127"/>
      <c r="AQ31" s="9692" t="s">
        <v>759</v>
      </c>
      <c r="BA31" s="9701"/>
      <c r="BB31" s="9701"/>
      <c r="BC31" s="9701"/>
    </row>
    <row r="32" spans="1:55" ht="21" customHeight="1">
      <c r="A32" s="1127"/>
      <c r="B32" s="9726"/>
      <c r="C32" s="9735"/>
      <c r="D32" s="9736"/>
      <c r="E32" s="9736"/>
      <c r="F32" s="9736"/>
      <c r="G32" s="9736"/>
      <c r="H32" s="9736"/>
      <c r="I32" s="9737"/>
      <c r="J32" s="6450"/>
      <c r="K32" s="8199"/>
      <c r="L32" s="7157"/>
      <c r="M32" s="6450"/>
      <c r="N32" s="8199"/>
      <c r="O32" s="8199"/>
      <c r="P32" s="7157"/>
      <c r="Q32" s="6450"/>
      <c r="R32" s="8199"/>
      <c r="S32" s="8199"/>
      <c r="T32" s="7157"/>
      <c r="U32" s="9675"/>
      <c r="V32" s="9676"/>
      <c r="W32" s="9676"/>
      <c r="X32" s="9749"/>
      <c r="Y32" s="9745"/>
      <c r="Z32" s="9746"/>
      <c r="AA32" s="9746"/>
      <c r="AB32" s="9747"/>
      <c r="AC32" s="9675"/>
      <c r="AD32" s="9676"/>
      <c r="AE32" s="9676"/>
      <c r="AF32" s="9676"/>
      <c r="AG32" s="1127"/>
      <c r="AJ32" s="9692"/>
      <c r="AK32" s="9692"/>
      <c r="AL32" s="9692"/>
      <c r="AM32" s="9692"/>
      <c r="AN32" s="9690"/>
      <c r="AO32" s="7264"/>
      <c r="AP32" s="7133"/>
      <c r="AQ32" s="9692"/>
      <c r="BA32" s="9701"/>
      <c r="BB32" s="9701"/>
      <c r="BC32" s="9701"/>
    </row>
    <row r="33" spans="1:55" ht="18" customHeight="1">
      <c r="A33" s="1127"/>
      <c r="B33" s="9727"/>
      <c r="C33" s="9736"/>
      <c r="D33" s="9736"/>
      <c r="E33" s="9736"/>
      <c r="F33" s="9736"/>
      <c r="G33" s="9736"/>
      <c r="H33" s="9736"/>
      <c r="I33" s="9737"/>
      <c r="J33" s="7156"/>
      <c r="K33" s="8199"/>
      <c r="L33" s="7157"/>
      <c r="M33" s="7156"/>
      <c r="N33" s="8199"/>
      <c r="O33" s="8199"/>
      <c r="P33" s="7157"/>
      <c r="Q33" s="7156"/>
      <c r="R33" s="8199"/>
      <c r="S33" s="8199"/>
      <c r="T33" s="7157"/>
      <c r="U33" s="9677"/>
      <c r="V33" s="9676"/>
      <c r="W33" s="9676"/>
      <c r="X33" s="9749"/>
      <c r="Y33" s="7324" t="s">
        <v>2822</v>
      </c>
      <c r="Z33" s="7155"/>
      <c r="AA33" s="7324" t="s">
        <v>732</v>
      </c>
      <c r="AB33" s="7258"/>
      <c r="AC33" s="9677"/>
      <c r="AD33" s="9676"/>
      <c r="AE33" s="9676"/>
      <c r="AF33" s="9676"/>
      <c r="AG33" s="1127"/>
      <c r="AJ33" s="9693"/>
      <c r="AK33" s="9693"/>
      <c r="AL33" s="9693"/>
      <c r="AM33" s="9693"/>
      <c r="AN33" s="9691"/>
      <c r="AO33" s="9698" t="s">
        <v>740</v>
      </c>
      <c r="AP33" s="7237" t="s">
        <v>732</v>
      </c>
      <c r="AQ33" s="9693"/>
      <c r="BA33" s="9701"/>
      <c r="BB33" s="9701"/>
      <c r="BC33" s="9701"/>
    </row>
    <row r="34" spans="1:55" ht="18" customHeight="1">
      <c r="A34" s="1127"/>
      <c r="B34" s="9728"/>
      <c r="C34" s="9738"/>
      <c r="D34" s="9738"/>
      <c r="E34" s="9738"/>
      <c r="F34" s="9738"/>
      <c r="G34" s="9738"/>
      <c r="H34" s="9738"/>
      <c r="I34" s="9739"/>
      <c r="J34" s="7158"/>
      <c r="K34" s="9751"/>
      <c r="L34" s="7159"/>
      <c r="M34" s="7158"/>
      <c r="N34" s="9751"/>
      <c r="O34" s="9751"/>
      <c r="P34" s="7159"/>
      <c r="Q34" s="7158"/>
      <c r="R34" s="9751"/>
      <c r="S34" s="9751"/>
      <c r="T34" s="7159"/>
      <c r="U34" s="9678"/>
      <c r="V34" s="9679"/>
      <c r="W34" s="9679"/>
      <c r="X34" s="9750"/>
      <c r="Y34" s="7158"/>
      <c r="Z34" s="7159"/>
      <c r="AA34" s="6619"/>
      <c r="AB34" s="7260"/>
      <c r="AC34" s="9678"/>
      <c r="AD34" s="9679"/>
      <c r="AE34" s="9679"/>
      <c r="AF34" s="9679"/>
      <c r="AG34" s="1127"/>
      <c r="AJ34" s="9693"/>
      <c r="AK34" s="9693"/>
      <c r="AL34" s="9693"/>
      <c r="AM34" s="9693"/>
      <c r="AN34" s="9691"/>
      <c r="AO34" s="9697"/>
      <c r="AP34" s="9697"/>
      <c r="AQ34" s="9693"/>
      <c r="BA34" s="9701"/>
      <c r="BB34" s="9701"/>
      <c r="BC34" s="9701"/>
    </row>
    <row r="35" spans="1:55" ht="19.5" customHeight="1">
      <c r="A35" s="1127">
        <f>IF(OR(Q35&lt;&gt;"",U35&lt;&gt;"",AC35&lt;&gt;""),1,0)</f>
        <v>0</v>
      </c>
      <c r="B35" s="9703" t="str">
        <f>IF(AJ35="","",AJ35)</f>
        <v/>
      </c>
      <c r="C35" s="9704"/>
      <c r="D35" s="9704"/>
      <c r="E35" s="9704"/>
      <c r="F35" s="9704"/>
      <c r="G35" s="9704"/>
      <c r="H35" s="9704"/>
      <c r="I35" s="9705"/>
      <c r="J35" s="9706" t="str">
        <f>IF(AK35="","",AK35)</f>
        <v/>
      </c>
      <c r="K35" s="9707"/>
      <c r="L35" s="9707"/>
      <c r="M35" s="9706" t="str">
        <f>IF(AL35="","",AL35)</f>
        <v/>
      </c>
      <c r="N35" s="9707"/>
      <c r="O35" s="9707"/>
      <c r="P35" s="9708"/>
      <c r="Q35" s="6969" t="str">
        <f>IF(AM35="","",AM35)</f>
        <v/>
      </c>
      <c r="R35" s="9688"/>
      <c r="S35" s="9688"/>
      <c r="T35" s="9689"/>
      <c r="U35" s="6969" t="str">
        <f>IF(AN35="","",AN35)</f>
        <v/>
      </c>
      <c r="V35" s="9688"/>
      <c r="W35" s="9688"/>
      <c r="X35" s="9689"/>
      <c r="Y35" s="9670" t="str">
        <f>IF(AO35&lt;&gt;"",AO35,"")</f>
        <v/>
      </c>
      <c r="Z35" s="6222"/>
      <c r="AA35" s="9670" t="str">
        <f>IF(AP35="","",AP35)</f>
        <v/>
      </c>
      <c r="AB35" s="6222"/>
      <c r="AC35" s="9671" t="str">
        <f>IF(AQ35&lt;&gt;"",AQ35,IF(AND(Q35="",U35=""),"",IF(AND(Q35&lt;&gt;"",U35=""),SUM(Q35,AA35),SUM(Q35,-U35,AA35))))</f>
        <v/>
      </c>
      <c r="AD35" s="9672"/>
      <c r="AE35" s="9672"/>
      <c r="AF35" s="9672"/>
      <c r="AG35" s="1297">
        <f>IF(OR(J35="",M35=""),0,IF(OR(BA35,BB35,BC35),0,1))</f>
        <v>0</v>
      </c>
      <c r="AH35" s="1090"/>
      <c r="AI35" s="1090" t="e">
        <f t="shared" ref="AI35:AI54" si="0">M35-J35</f>
        <v>#VALUE!</v>
      </c>
      <c r="AJ35" s="1237"/>
      <c r="AK35" s="1241"/>
      <c r="AL35" s="1241"/>
      <c r="AM35" s="1239"/>
      <c r="AN35" s="1239"/>
      <c r="AO35" s="1240"/>
      <c r="AP35" s="1239"/>
      <c r="AQ35" s="1238"/>
      <c r="AS35" s="42" t="e">
        <f>YEAR(J35)</f>
        <v>#VALUE!</v>
      </c>
      <c r="AT35" s="42" t="e">
        <f>MONTH(J35)</f>
        <v>#VALUE!</v>
      </c>
      <c r="AU35" s="42" t="e">
        <f>DAY(J35)</f>
        <v>#VALUE!</v>
      </c>
      <c r="AW35" s="42" t="e">
        <f>YEAR(M35)</f>
        <v>#VALUE!</v>
      </c>
      <c r="AX35" s="42" t="e">
        <f>MONTH(M35)</f>
        <v>#VALUE!</v>
      </c>
      <c r="AY35" s="42" t="e">
        <f>DAY(M35)</f>
        <v>#VALUE!</v>
      </c>
      <c r="BA35" s="42" t="e">
        <f>IF(AW35=AS35,TRUE,FALSE)</f>
        <v>#VALUE!</v>
      </c>
      <c r="BB35" s="42" t="e">
        <f>IF(AND(AW35=AS35+1,AX35&lt;AT35),TRUE,FALSE)</f>
        <v>#VALUE!</v>
      </c>
      <c r="BC35" s="42" t="e">
        <f>IF(AND(AW35=AS35+1,AX35=AT35,AY35&lt;=AU35),TRUE,FALSE)</f>
        <v>#VALUE!</v>
      </c>
    </row>
    <row r="36" spans="1:55" ht="19.5" customHeight="1">
      <c r="A36" s="1127">
        <f t="shared" ref="A36:A54" si="1">IF(OR(Q36&lt;&gt;"",U36&lt;&gt;"",AC36&lt;&gt;""),1,0)</f>
        <v>0</v>
      </c>
      <c r="B36" s="9703" t="str">
        <f t="shared" ref="B36:B54" si="2">IF(AJ36="","",AJ36)</f>
        <v/>
      </c>
      <c r="C36" s="9704"/>
      <c r="D36" s="9704"/>
      <c r="E36" s="9704"/>
      <c r="F36" s="9704"/>
      <c r="G36" s="9704"/>
      <c r="H36" s="9704"/>
      <c r="I36" s="9705"/>
      <c r="J36" s="9706" t="str">
        <f t="shared" ref="J36:J54" si="3">IF(AK36="","",AK36)</f>
        <v/>
      </c>
      <c r="K36" s="9707"/>
      <c r="L36" s="9707"/>
      <c r="M36" s="9706" t="str">
        <f t="shared" ref="M36:M54" si="4">IF(AL36="","",AL36)</f>
        <v/>
      </c>
      <c r="N36" s="9707"/>
      <c r="O36" s="9707"/>
      <c r="P36" s="9708"/>
      <c r="Q36" s="6969" t="str">
        <f t="shared" ref="Q36:Q54" si="5">IF(AM36="","",AM36)</f>
        <v/>
      </c>
      <c r="R36" s="9688"/>
      <c r="S36" s="9688"/>
      <c r="T36" s="9689"/>
      <c r="U36" s="6969" t="str">
        <f t="shared" ref="U36:U54" si="6">IF(AN36="","",AN36)</f>
        <v/>
      </c>
      <c r="V36" s="9688"/>
      <c r="W36" s="9688"/>
      <c r="X36" s="9689"/>
      <c r="Y36" s="9670" t="str">
        <f>IF(AO36&lt;&gt;"",AO36,"")</f>
        <v/>
      </c>
      <c r="Z36" s="6222"/>
      <c r="AA36" s="9670" t="str">
        <f>IF(AP36="","",AP36)</f>
        <v/>
      </c>
      <c r="AB36" s="6222"/>
      <c r="AC36" s="9671" t="str">
        <f t="shared" ref="AC36:AC54" si="7">IF(AQ36&lt;&gt;"",AQ36,IF(AND(Q36="",U36=""),"",IF(AND(Q36&lt;&gt;"",U36=""),SUM(Q36,AA36),SUM(Q36,-U36,AA36))))</f>
        <v/>
      </c>
      <c r="AD36" s="9672"/>
      <c r="AE36" s="9672"/>
      <c r="AF36" s="9672"/>
      <c r="AG36" s="1297">
        <f t="shared" ref="AG36:AG54" si="8">IF(OR(J36="",M36=""),0,IF(OR(BA36,BB36,BC36),0,1))</f>
        <v>0</v>
      </c>
      <c r="AH36" s="1090"/>
      <c r="AI36" s="1090" t="e">
        <f t="shared" si="0"/>
        <v>#VALUE!</v>
      </c>
      <c r="AJ36" s="1237"/>
      <c r="AK36" s="1241"/>
      <c r="AL36" s="1241"/>
      <c r="AM36" s="1239"/>
      <c r="AN36" s="1239"/>
      <c r="AO36" s="1240"/>
      <c r="AP36" s="1239"/>
      <c r="AQ36" s="1238"/>
      <c r="AS36" s="42" t="e">
        <f t="shared" ref="AS36:AS54" si="9">YEAR(J36)</f>
        <v>#VALUE!</v>
      </c>
      <c r="AT36" s="42" t="e">
        <f t="shared" ref="AT36:AT54" si="10">MONTH(J36)</f>
        <v>#VALUE!</v>
      </c>
      <c r="AU36" s="42" t="e">
        <f t="shared" ref="AU36:AU54" si="11">DAY(J36)</f>
        <v>#VALUE!</v>
      </c>
      <c r="AW36" s="42" t="e">
        <f t="shared" ref="AW36:AW54" si="12">YEAR(M36)</f>
        <v>#VALUE!</v>
      </c>
      <c r="AX36" s="42" t="e">
        <f t="shared" ref="AX36:AX54" si="13">MONTH(M36)</f>
        <v>#VALUE!</v>
      </c>
      <c r="AY36" s="42" t="e">
        <f t="shared" ref="AY36:AY54" si="14">DAY(M36)</f>
        <v>#VALUE!</v>
      </c>
      <c r="BA36" s="42" t="e">
        <f t="shared" ref="BA36:BA54" si="15">IF(AW36=AS36,TRUE,FALSE)</f>
        <v>#VALUE!</v>
      </c>
      <c r="BB36" s="42" t="e">
        <f t="shared" ref="BB36:BB54" si="16">IF(AND(AW36=AS36+1,AX36&lt;AT36),TRUE,FALSE)</f>
        <v>#VALUE!</v>
      </c>
      <c r="BC36" s="42" t="e">
        <f t="shared" ref="BC36:BC54" si="17">IF(AND(AW36=AS36+1,AX36=AT36,AY36&lt;=AU36),TRUE,FALSE)</f>
        <v>#VALUE!</v>
      </c>
    </row>
    <row r="37" spans="1:55" ht="19.5" customHeight="1">
      <c r="A37" s="1127">
        <f t="shared" si="1"/>
        <v>0</v>
      </c>
      <c r="B37" s="9703" t="str">
        <f t="shared" si="2"/>
        <v/>
      </c>
      <c r="C37" s="9704"/>
      <c r="D37" s="9704"/>
      <c r="E37" s="9704"/>
      <c r="F37" s="9704"/>
      <c r="G37" s="9704"/>
      <c r="H37" s="9704"/>
      <c r="I37" s="9705"/>
      <c r="J37" s="9706" t="str">
        <f t="shared" si="3"/>
        <v/>
      </c>
      <c r="K37" s="9707"/>
      <c r="L37" s="9707"/>
      <c r="M37" s="9706" t="str">
        <f t="shared" si="4"/>
        <v/>
      </c>
      <c r="N37" s="9707"/>
      <c r="O37" s="9707"/>
      <c r="P37" s="9708"/>
      <c r="Q37" s="6969" t="str">
        <f t="shared" si="5"/>
        <v/>
      </c>
      <c r="R37" s="9688"/>
      <c r="S37" s="9688"/>
      <c r="T37" s="9689"/>
      <c r="U37" s="6969" t="str">
        <f t="shared" si="6"/>
        <v/>
      </c>
      <c r="V37" s="9688"/>
      <c r="W37" s="9688"/>
      <c r="X37" s="9689"/>
      <c r="Y37" s="9670" t="str">
        <f>IF(AO37&lt;&gt;"",AO37,"")</f>
        <v/>
      </c>
      <c r="Z37" s="6222"/>
      <c r="AA37" s="9670" t="str">
        <f>IF(AP37="","",AP37)</f>
        <v/>
      </c>
      <c r="AB37" s="6222"/>
      <c r="AC37" s="9671" t="str">
        <f t="shared" si="7"/>
        <v/>
      </c>
      <c r="AD37" s="9672"/>
      <c r="AE37" s="9672"/>
      <c r="AF37" s="9672"/>
      <c r="AG37" s="1297">
        <f t="shared" si="8"/>
        <v>0</v>
      </c>
      <c r="AH37" s="1090"/>
      <c r="AI37" s="1090" t="e">
        <f t="shared" si="0"/>
        <v>#VALUE!</v>
      </c>
      <c r="AJ37" s="1237"/>
      <c r="AK37" s="1241"/>
      <c r="AL37" s="1241"/>
      <c r="AM37" s="1239"/>
      <c r="AN37" s="1239"/>
      <c r="AO37" s="1240"/>
      <c r="AP37" s="1239"/>
      <c r="AQ37" s="1238"/>
      <c r="AS37" s="42" t="e">
        <f t="shared" si="9"/>
        <v>#VALUE!</v>
      </c>
      <c r="AT37" s="42" t="e">
        <f t="shared" si="10"/>
        <v>#VALUE!</v>
      </c>
      <c r="AU37" s="42" t="e">
        <f t="shared" si="11"/>
        <v>#VALUE!</v>
      </c>
      <c r="AW37" s="42" t="e">
        <f t="shared" si="12"/>
        <v>#VALUE!</v>
      </c>
      <c r="AX37" s="42" t="e">
        <f t="shared" si="13"/>
        <v>#VALUE!</v>
      </c>
      <c r="AY37" s="42" t="e">
        <f t="shared" si="14"/>
        <v>#VALUE!</v>
      </c>
      <c r="BA37" s="42" t="e">
        <f t="shared" si="15"/>
        <v>#VALUE!</v>
      </c>
      <c r="BB37" s="42" t="e">
        <f t="shared" si="16"/>
        <v>#VALUE!</v>
      </c>
      <c r="BC37" s="42" t="e">
        <f t="shared" si="17"/>
        <v>#VALUE!</v>
      </c>
    </row>
    <row r="38" spans="1:55" ht="19.5" customHeight="1">
      <c r="A38" s="1127">
        <f t="shared" si="1"/>
        <v>0</v>
      </c>
      <c r="B38" s="9703" t="str">
        <f t="shared" si="2"/>
        <v/>
      </c>
      <c r="C38" s="9704"/>
      <c r="D38" s="9704"/>
      <c r="E38" s="9704"/>
      <c r="F38" s="9704"/>
      <c r="G38" s="9704"/>
      <c r="H38" s="9704"/>
      <c r="I38" s="9705"/>
      <c r="J38" s="9706" t="str">
        <f t="shared" si="3"/>
        <v/>
      </c>
      <c r="K38" s="9707"/>
      <c r="L38" s="9707"/>
      <c r="M38" s="9706" t="str">
        <f t="shared" si="4"/>
        <v/>
      </c>
      <c r="N38" s="9707"/>
      <c r="O38" s="9707"/>
      <c r="P38" s="9708"/>
      <c r="Q38" s="6969" t="str">
        <f t="shared" si="5"/>
        <v/>
      </c>
      <c r="R38" s="9688"/>
      <c r="S38" s="9688"/>
      <c r="T38" s="9689"/>
      <c r="U38" s="6969" t="str">
        <f t="shared" si="6"/>
        <v/>
      </c>
      <c r="V38" s="9688"/>
      <c r="W38" s="9688"/>
      <c r="X38" s="9689"/>
      <c r="Y38" s="9670" t="str">
        <f t="shared" ref="Y38:Y54" si="18">IF(AO38&lt;&gt;"",AO38,"")</f>
        <v/>
      </c>
      <c r="Z38" s="6222"/>
      <c r="AA38" s="9670" t="str">
        <f t="shared" ref="AA38:AA54" si="19">IF(AP38="","",AP38)</f>
        <v/>
      </c>
      <c r="AB38" s="6222"/>
      <c r="AC38" s="9671" t="str">
        <f t="shared" si="7"/>
        <v/>
      </c>
      <c r="AD38" s="9672"/>
      <c r="AE38" s="9672"/>
      <c r="AF38" s="9672"/>
      <c r="AG38" s="1297">
        <f t="shared" si="8"/>
        <v>0</v>
      </c>
      <c r="AH38" s="1090"/>
      <c r="AI38" s="1090" t="e">
        <f t="shared" si="0"/>
        <v>#VALUE!</v>
      </c>
      <c r="AJ38" s="1237"/>
      <c r="AK38" s="1241"/>
      <c r="AL38" s="1241"/>
      <c r="AM38" s="1239"/>
      <c r="AN38" s="1239"/>
      <c r="AO38" s="1240"/>
      <c r="AP38" s="1239"/>
      <c r="AQ38" s="1238"/>
      <c r="AS38" s="42" t="e">
        <f t="shared" si="9"/>
        <v>#VALUE!</v>
      </c>
      <c r="AT38" s="42" t="e">
        <f t="shared" si="10"/>
        <v>#VALUE!</v>
      </c>
      <c r="AU38" s="42" t="e">
        <f t="shared" si="11"/>
        <v>#VALUE!</v>
      </c>
      <c r="AW38" s="42" t="e">
        <f t="shared" si="12"/>
        <v>#VALUE!</v>
      </c>
      <c r="AX38" s="42" t="e">
        <f t="shared" si="13"/>
        <v>#VALUE!</v>
      </c>
      <c r="AY38" s="42" t="e">
        <f t="shared" si="14"/>
        <v>#VALUE!</v>
      </c>
      <c r="BA38" s="42" t="e">
        <f t="shared" si="15"/>
        <v>#VALUE!</v>
      </c>
      <c r="BB38" s="42" t="e">
        <f t="shared" si="16"/>
        <v>#VALUE!</v>
      </c>
      <c r="BC38" s="42" t="e">
        <f t="shared" si="17"/>
        <v>#VALUE!</v>
      </c>
    </row>
    <row r="39" spans="1:55" ht="19.5" customHeight="1">
      <c r="A39" s="1127">
        <f t="shared" si="1"/>
        <v>0</v>
      </c>
      <c r="B39" s="9703" t="str">
        <f t="shared" si="2"/>
        <v/>
      </c>
      <c r="C39" s="9704"/>
      <c r="D39" s="9704"/>
      <c r="E39" s="9704"/>
      <c r="F39" s="9704"/>
      <c r="G39" s="9704"/>
      <c r="H39" s="9704"/>
      <c r="I39" s="9705"/>
      <c r="J39" s="9706" t="str">
        <f t="shared" si="3"/>
        <v/>
      </c>
      <c r="K39" s="9707"/>
      <c r="L39" s="9707"/>
      <c r="M39" s="9706" t="str">
        <f t="shared" si="4"/>
        <v/>
      </c>
      <c r="N39" s="9707"/>
      <c r="O39" s="9707"/>
      <c r="P39" s="9708"/>
      <c r="Q39" s="6969" t="str">
        <f t="shared" si="5"/>
        <v/>
      </c>
      <c r="R39" s="9688"/>
      <c r="S39" s="9688"/>
      <c r="T39" s="9689"/>
      <c r="U39" s="6969" t="str">
        <f t="shared" si="6"/>
        <v/>
      </c>
      <c r="V39" s="9688"/>
      <c r="W39" s="9688"/>
      <c r="X39" s="9689"/>
      <c r="Y39" s="9670" t="str">
        <f t="shared" si="18"/>
        <v/>
      </c>
      <c r="Z39" s="6222"/>
      <c r="AA39" s="9670" t="str">
        <f t="shared" si="19"/>
        <v/>
      </c>
      <c r="AB39" s="6222"/>
      <c r="AC39" s="9671" t="str">
        <f t="shared" si="7"/>
        <v/>
      </c>
      <c r="AD39" s="9672"/>
      <c r="AE39" s="9672"/>
      <c r="AF39" s="9672"/>
      <c r="AG39" s="1297">
        <f t="shared" si="8"/>
        <v>0</v>
      </c>
      <c r="AH39" s="1090"/>
      <c r="AI39" s="1090" t="e">
        <f t="shared" si="0"/>
        <v>#VALUE!</v>
      </c>
      <c r="AJ39" s="1237"/>
      <c r="AK39" s="1241"/>
      <c r="AL39" s="1241"/>
      <c r="AM39" s="1239"/>
      <c r="AN39" s="1239"/>
      <c r="AO39" s="1240"/>
      <c r="AP39" s="1239"/>
      <c r="AQ39" s="1238"/>
      <c r="AS39" s="42" t="e">
        <f t="shared" si="9"/>
        <v>#VALUE!</v>
      </c>
      <c r="AT39" s="42" t="e">
        <f t="shared" si="10"/>
        <v>#VALUE!</v>
      </c>
      <c r="AU39" s="42" t="e">
        <f t="shared" si="11"/>
        <v>#VALUE!</v>
      </c>
      <c r="AW39" s="42" t="e">
        <f t="shared" si="12"/>
        <v>#VALUE!</v>
      </c>
      <c r="AX39" s="42" t="e">
        <f t="shared" si="13"/>
        <v>#VALUE!</v>
      </c>
      <c r="AY39" s="42" t="e">
        <f t="shared" si="14"/>
        <v>#VALUE!</v>
      </c>
      <c r="BA39" s="42" t="e">
        <f t="shared" si="15"/>
        <v>#VALUE!</v>
      </c>
      <c r="BB39" s="42" t="e">
        <f t="shared" si="16"/>
        <v>#VALUE!</v>
      </c>
      <c r="BC39" s="42" t="e">
        <f t="shared" si="17"/>
        <v>#VALUE!</v>
      </c>
    </row>
    <row r="40" spans="1:55" ht="19.5" customHeight="1">
      <c r="A40" s="1127">
        <f t="shared" si="1"/>
        <v>0</v>
      </c>
      <c r="B40" s="9703" t="str">
        <f t="shared" si="2"/>
        <v/>
      </c>
      <c r="C40" s="9704"/>
      <c r="D40" s="9704"/>
      <c r="E40" s="9704"/>
      <c r="F40" s="9704"/>
      <c r="G40" s="9704"/>
      <c r="H40" s="9704"/>
      <c r="I40" s="9705"/>
      <c r="J40" s="9706" t="str">
        <f t="shared" si="3"/>
        <v/>
      </c>
      <c r="K40" s="9707"/>
      <c r="L40" s="9707"/>
      <c r="M40" s="9706" t="str">
        <f t="shared" si="4"/>
        <v/>
      </c>
      <c r="N40" s="9707"/>
      <c r="O40" s="9707"/>
      <c r="P40" s="9708"/>
      <c r="Q40" s="6969" t="str">
        <f t="shared" si="5"/>
        <v/>
      </c>
      <c r="R40" s="9688"/>
      <c r="S40" s="9688"/>
      <c r="T40" s="9689"/>
      <c r="U40" s="6969" t="str">
        <f t="shared" si="6"/>
        <v/>
      </c>
      <c r="V40" s="9688"/>
      <c r="W40" s="9688"/>
      <c r="X40" s="9689"/>
      <c r="Y40" s="9670" t="str">
        <f t="shared" si="18"/>
        <v/>
      </c>
      <c r="Z40" s="6222"/>
      <c r="AA40" s="9670" t="str">
        <f t="shared" si="19"/>
        <v/>
      </c>
      <c r="AB40" s="6222"/>
      <c r="AC40" s="9671" t="str">
        <f t="shared" si="7"/>
        <v/>
      </c>
      <c r="AD40" s="9672"/>
      <c r="AE40" s="9672"/>
      <c r="AF40" s="9672"/>
      <c r="AG40" s="1297">
        <f t="shared" si="8"/>
        <v>0</v>
      </c>
      <c r="AH40" s="1090"/>
      <c r="AI40" s="1090" t="e">
        <f t="shared" si="0"/>
        <v>#VALUE!</v>
      </c>
      <c r="AJ40" s="1237"/>
      <c r="AK40" s="1241"/>
      <c r="AL40" s="1241"/>
      <c r="AM40" s="1239"/>
      <c r="AN40" s="1239"/>
      <c r="AO40" s="1240"/>
      <c r="AP40" s="1239"/>
      <c r="AQ40" s="1238"/>
      <c r="AS40" s="42" t="e">
        <f t="shared" si="9"/>
        <v>#VALUE!</v>
      </c>
      <c r="AT40" s="42" t="e">
        <f t="shared" si="10"/>
        <v>#VALUE!</v>
      </c>
      <c r="AU40" s="42" t="e">
        <f t="shared" si="11"/>
        <v>#VALUE!</v>
      </c>
      <c r="AW40" s="42" t="e">
        <f t="shared" si="12"/>
        <v>#VALUE!</v>
      </c>
      <c r="AX40" s="42" t="e">
        <f t="shared" si="13"/>
        <v>#VALUE!</v>
      </c>
      <c r="AY40" s="42" t="e">
        <f t="shared" si="14"/>
        <v>#VALUE!</v>
      </c>
      <c r="BA40" s="42" t="e">
        <f t="shared" si="15"/>
        <v>#VALUE!</v>
      </c>
      <c r="BB40" s="42" t="e">
        <f t="shared" si="16"/>
        <v>#VALUE!</v>
      </c>
      <c r="BC40" s="42" t="e">
        <f t="shared" si="17"/>
        <v>#VALUE!</v>
      </c>
    </row>
    <row r="41" spans="1:55" ht="19.5" customHeight="1">
      <c r="A41" s="1127">
        <f t="shared" si="1"/>
        <v>0</v>
      </c>
      <c r="B41" s="9703" t="str">
        <f t="shared" si="2"/>
        <v/>
      </c>
      <c r="C41" s="9704"/>
      <c r="D41" s="9704"/>
      <c r="E41" s="9704"/>
      <c r="F41" s="9704"/>
      <c r="G41" s="9704"/>
      <c r="H41" s="9704"/>
      <c r="I41" s="9705"/>
      <c r="J41" s="9706" t="str">
        <f t="shared" si="3"/>
        <v/>
      </c>
      <c r="K41" s="9707"/>
      <c r="L41" s="9707"/>
      <c r="M41" s="9706" t="str">
        <f t="shared" si="4"/>
        <v/>
      </c>
      <c r="N41" s="9707"/>
      <c r="O41" s="9707"/>
      <c r="P41" s="9708"/>
      <c r="Q41" s="6969" t="str">
        <f t="shared" si="5"/>
        <v/>
      </c>
      <c r="R41" s="9688"/>
      <c r="S41" s="9688"/>
      <c r="T41" s="9689"/>
      <c r="U41" s="6969" t="str">
        <f t="shared" si="6"/>
        <v/>
      </c>
      <c r="V41" s="9688"/>
      <c r="W41" s="9688"/>
      <c r="X41" s="9689"/>
      <c r="Y41" s="9670" t="str">
        <f t="shared" si="18"/>
        <v/>
      </c>
      <c r="Z41" s="6222"/>
      <c r="AA41" s="9670" t="str">
        <f t="shared" si="19"/>
        <v/>
      </c>
      <c r="AB41" s="6222"/>
      <c r="AC41" s="9671" t="str">
        <f t="shared" si="7"/>
        <v/>
      </c>
      <c r="AD41" s="9672"/>
      <c r="AE41" s="9672"/>
      <c r="AF41" s="9672"/>
      <c r="AG41" s="1297">
        <f t="shared" si="8"/>
        <v>0</v>
      </c>
      <c r="AH41" s="1090"/>
      <c r="AI41" s="1090" t="e">
        <f t="shared" si="0"/>
        <v>#VALUE!</v>
      </c>
      <c r="AJ41" s="1237"/>
      <c r="AK41" s="1241"/>
      <c r="AL41" s="1241"/>
      <c r="AM41" s="1239"/>
      <c r="AN41" s="1239"/>
      <c r="AO41" s="1240"/>
      <c r="AP41" s="1239"/>
      <c r="AQ41" s="1238"/>
      <c r="AS41" s="42" t="e">
        <f t="shared" si="9"/>
        <v>#VALUE!</v>
      </c>
      <c r="AT41" s="42" t="e">
        <f t="shared" si="10"/>
        <v>#VALUE!</v>
      </c>
      <c r="AU41" s="42" t="e">
        <f t="shared" si="11"/>
        <v>#VALUE!</v>
      </c>
      <c r="AW41" s="42" t="e">
        <f t="shared" si="12"/>
        <v>#VALUE!</v>
      </c>
      <c r="AX41" s="42" t="e">
        <f t="shared" si="13"/>
        <v>#VALUE!</v>
      </c>
      <c r="AY41" s="42" t="e">
        <f t="shared" si="14"/>
        <v>#VALUE!</v>
      </c>
      <c r="BA41" s="42" t="e">
        <f t="shared" si="15"/>
        <v>#VALUE!</v>
      </c>
      <c r="BB41" s="42" t="e">
        <f t="shared" si="16"/>
        <v>#VALUE!</v>
      </c>
      <c r="BC41" s="42" t="e">
        <f t="shared" si="17"/>
        <v>#VALUE!</v>
      </c>
    </row>
    <row r="42" spans="1:55" ht="19.5" customHeight="1">
      <c r="A42" s="1127">
        <f t="shared" si="1"/>
        <v>0</v>
      </c>
      <c r="B42" s="9703" t="str">
        <f t="shared" si="2"/>
        <v/>
      </c>
      <c r="C42" s="9704"/>
      <c r="D42" s="9704"/>
      <c r="E42" s="9704"/>
      <c r="F42" s="9704"/>
      <c r="G42" s="9704"/>
      <c r="H42" s="9704"/>
      <c r="I42" s="9705"/>
      <c r="J42" s="9706" t="str">
        <f t="shared" si="3"/>
        <v/>
      </c>
      <c r="K42" s="9707"/>
      <c r="L42" s="9707"/>
      <c r="M42" s="9706" t="str">
        <f t="shared" si="4"/>
        <v/>
      </c>
      <c r="N42" s="9707"/>
      <c r="O42" s="9707"/>
      <c r="P42" s="9708"/>
      <c r="Q42" s="6969" t="str">
        <f t="shared" si="5"/>
        <v/>
      </c>
      <c r="R42" s="9688"/>
      <c r="S42" s="9688"/>
      <c r="T42" s="9689"/>
      <c r="U42" s="6969" t="str">
        <f t="shared" si="6"/>
        <v/>
      </c>
      <c r="V42" s="9688"/>
      <c r="W42" s="9688"/>
      <c r="X42" s="9689"/>
      <c r="Y42" s="9670" t="str">
        <f t="shared" si="18"/>
        <v/>
      </c>
      <c r="Z42" s="6222"/>
      <c r="AA42" s="9670" t="str">
        <f t="shared" si="19"/>
        <v/>
      </c>
      <c r="AB42" s="6222"/>
      <c r="AC42" s="9671" t="str">
        <f t="shared" si="7"/>
        <v/>
      </c>
      <c r="AD42" s="9672"/>
      <c r="AE42" s="9672"/>
      <c r="AF42" s="9672"/>
      <c r="AG42" s="1297">
        <f t="shared" si="8"/>
        <v>0</v>
      </c>
      <c r="AH42" s="1090"/>
      <c r="AI42" s="1090" t="e">
        <f t="shared" si="0"/>
        <v>#VALUE!</v>
      </c>
      <c r="AJ42" s="1237"/>
      <c r="AK42" s="1241"/>
      <c r="AL42" s="1241"/>
      <c r="AM42" s="1239"/>
      <c r="AN42" s="1239"/>
      <c r="AO42" s="1240"/>
      <c r="AP42" s="1239"/>
      <c r="AQ42" s="1238"/>
      <c r="AS42" s="42" t="e">
        <f t="shared" si="9"/>
        <v>#VALUE!</v>
      </c>
      <c r="AT42" s="42" t="e">
        <f t="shared" si="10"/>
        <v>#VALUE!</v>
      </c>
      <c r="AU42" s="42" t="e">
        <f t="shared" si="11"/>
        <v>#VALUE!</v>
      </c>
      <c r="AW42" s="42" t="e">
        <f t="shared" si="12"/>
        <v>#VALUE!</v>
      </c>
      <c r="AX42" s="42" t="e">
        <f t="shared" si="13"/>
        <v>#VALUE!</v>
      </c>
      <c r="AY42" s="42" t="e">
        <f t="shared" si="14"/>
        <v>#VALUE!</v>
      </c>
      <c r="BA42" s="42" t="e">
        <f t="shared" si="15"/>
        <v>#VALUE!</v>
      </c>
      <c r="BB42" s="42" t="e">
        <f t="shared" si="16"/>
        <v>#VALUE!</v>
      </c>
      <c r="BC42" s="42" t="e">
        <f t="shared" si="17"/>
        <v>#VALUE!</v>
      </c>
    </row>
    <row r="43" spans="1:55" ht="19.5" customHeight="1">
      <c r="A43" s="1127">
        <f t="shared" si="1"/>
        <v>0</v>
      </c>
      <c r="B43" s="9703" t="str">
        <f t="shared" si="2"/>
        <v/>
      </c>
      <c r="C43" s="9704"/>
      <c r="D43" s="9704"/>
      <c r="E43" s="9704"/>
      <c r="F43" s="9704"/>
      <c r="G43" s="9704"/>
      <c r="H43" s="9704"/>
      <c r="I43" s="9705"/>
      <c r="J43" s="9706" t="str">
        <f t="shared" si="3"/>
        <v/>
      </c>
      <c r="K43" s="9707"/>
      <c r="L43" s="9707"/>
      <c r="M43" s="9706" t="str">
        <f t="shared" si="4"/>
        <v/>
      </c>
      <c r="N43" s="9707"/>
      <c r="O43" s="9707"/>
      <c r="P43" s="9708"/>
      <c r="Q43" s="6969" t="str">
        <f t="shared" si="5"/>
        <v/>
      </c>
      <c r="R43" s="9688"/>
      <c r="S43" s="9688"/>
      <c r="T43" s="9689"/>
      <c r="U43" s="6969" t="str">
        <f t="shared" si="6"/>
        <v/>
      </c>
      <c r="V43" s="9688"/>
      <c r="W43" s="9688"/>
      <c r="X43" s="9689"/>
      <c r="Y43" s="9670" t="str">
        <f t="shared" si="18"/>
        <v/>
      </c>
      <c r="Z43" s="6222"/>
      <c r="AA43" s="9670" t="str">
        <f t="shared" si="19"/>
        <v/>
      </c>
      <c r="AB43" s="6222"/>
      <c r="AC43" s="9671" t="str">
        <f t="shared" si="7"/>
        <v/>
      </c>
      <c r="AD43" s="9672"/>
      <c r="AE43" s="9672"/>
      <c r="AF43" s="9672"/>
      <c r="AG43" s="1297">
        <f t="shared" si="8"/>
        <v>0</v>
      </c>
      <c r="AH43" s="1090"/>
      <c r="AI43" s="1090" t="e">
        <f t="shared" si="0"/>
        <v>#VALUE!</v>
      </c>
      <c r="AJ43" s="1237"/>
      <c r="AK43" s="1241"/>
      <c r="AL43" s="1241"/>
      <c r="AM43" s="1239"/>
      <c r="AN43" s="1239"/>
      <c r="AO43" s="1240"/>
      <c r="AP43" s="1239"/>
      <c r="AQ43" s="1238"/>
      <c r="AS43" s="42" t="e">
        <f t="shared" si="9"/>
        <v>#VALUE!</v>
      </c>
      <c r="AT43" s="42" t="e">
        <f t="shared" si="10"/>
        <v>#VALUE!</v>
      </c>
      <c r="AU43" s="42" t="e">
        <f t="shared" si="11"/>
        <v>#VALUE!</v>
      </c>
      <c r="AW43" s="42" t="e">
        <f t="shared" si="12"/>
        <v>#VALUE!</v>
      </c>
      <c r="AX43" s="42" t="e">
        <f t="shared" si="13"/>
        <v>#VALUE!</v>
      </c>
      <c r="AY43" s="42" t="e">
        <f t="shared" si="14"/>
        <v>#VALUE!</v>
      </c>
      <c r="BA43" s="42" t="e">
        <f t="shared" si="15"/>
        <v>#VALUE!</v>
      </c>
      <c r="BB43" s="42" t="e">
        <f t="shared" si="16"/>
        <v>#VALUE!</v>
      </c>
      <c r="BC43" s="42" t="e">
        <f t="shared" si="17"/>
        <v>#VALUE!</v>
      </c>
    </row>
    <row r="44" spans="1:55" ht="19.5" customHeight="1">
      <c r="A44" s="1127">
        <f t="shared" si="1"/>
        <v>0</v>
      </c>
      <c r="B44" s="9703" t="str">
        <f t="shared" si="2"/>
        <v/>
      </c>
      <c r="C44" s="9704"/>
      <c r="D44" s="9704"/>
      <c r="E44" s="9704"/>
      <c r="F44" s="9704"/>
      <c r="G44" s="9704"/>
      <c r="H44" s="9704"/>
      <c r="I44" s="9705"/>
      <c r="J44" s="9706" t="str">
        <f t="shared" si="3"/>
        <v/>
      </c>
      <c r="K44" s="9707"/>
      <c r="L44" s="9707"/>
      <c r="M44" s="9706" t="str">
        <f t="shared" si="4"/>
        <v/>
      </c>
      <c r="N44" s="9707"/>
      <c r="O44" s="9707"/>
      <c r="P44" s="9708"/>
      <c r="Q44" s="6969" t="str">
        <f t="shared" si="5"/>
        <v/>
      </c>
      <c r="R44" s="9688"/>
      <c r="S44" s="9688"/>
      <c r="T44" s="9689"/>
      <c r="U44" s="6969" t="str">
        <f t="shared" si="6"/>
        <v/>
      </c>
      <c r="V44" s="9688"/>
      <c r="W44" s="9688"/>
      <c r="X44" s="9689"/>
      <c r="Y44" s="9670" t="str">
        <f t="shared" si="18"/>
        <v/>
      </c>
      <c r="Z44" s="6222"/>
      <c r="AA44" s="9670" t="str">
        <f t="shared" si="19"/>
        <v/>
      </c>
      <c r="AB44" s="6222"/>
      <c r="AC44" s="9671" t="str">
        <f t="shared" si="7"/>
        <v/>
      </c>
      <c r="AD44" s="9672"/>
      <c r="AE44" s="9672"/>
      <c r="AF44" s="9672"/>
      <c r="AG44" s="1297">
        <f t="shared" si="8"/>
        <v>0</v>
      </c>
      <c r="AH44" s="1090"/>
      <c r="AI44" s="1090" t="e">
        <f t="shared" si="0"/>
        <v>#VALUE!</v>
      </c>
      <c r="AJ44" s="1237"/>
      <c r="AK44" s="1241"/>
      <c r="AL44" s="1241"/>
      <c r="AM44" s="1239"/>
      <c r="AN44" s="1239"/>
      <c r="AO44" s="1240"/>
      <c r="AP44" s="1239"/>
      <c r="AQ44" s="1238"/>
      <c r="AS44" s="42" t="e">
        <f t="shared" si="9"/>
        <v>#VALUE!</v>
      </c>
      <c r="AT44" s="42" t="e">
        <f t="shared" si="10"/>
        <v>#VALUE!</v>
      </c>
      <c r="AU44" s="42" t="e">
        <f t="shared" si="11"/>
        <v>#VALUE!</v>
      </c>
      <c r="AW44" s="42" t="e">
        <f t="shared" si="12"/>
        <v>#VALUE!</v>
      </c>
      <c r="AX44" s="42" t="e">
        <f t="shared" si="13"/>
        <v>#VALUE!</v>
      </c>
      <c r="AY44" s="42" t="e">
        <f t="shared" si="14"/>
        <v>#VALUE!</v>
      </c>
      <c r="BA44" s="42" t="e">
        <f t="shared" si="15"/>
        <v>#VALUE!</v>
      </c>
      <c r="BB44" s="42" t="e">
        <f t="shared" si="16"/>
        <v>#VALUE!</v>
      </c>
      <c r="BC44" s="42" t="e">
        <f t="shared" si="17"/>
        <v>#VALUE!</v>
      </c>
    </row>
    <row r="45" spans="1:55" ht="19.5" customHeight="1">
      <c r="A45" s="1127">
        <f t="shared" si="1"/>
        <v>0</v>
      </c>
      <c r="B45" s="9703" t="str">
        <f t="shared" si="2"/>
        <v/>
      </c>
      <c r="C45" s="9704"/>
      <c r="D45" s="9704"/>
      <c r="E45" s="9704"/>
      <c r="F45" s="9704"/>
      <c r="G45" s="9704"/>
      <c r="H45" s="9704"/>
      <c r="I45" s="9705"/>
      <c r="J45" s="9706" t="str">
        <f t="shared" si="3"/>
        <v/>
      </c>
      <c r="K45" s="9707"/>
      <c r="L45" s="9707"/>
      <c r="M45" s="9706" t="str">
        <f t="shared" si="4"/>
        <v/>
      </c>
      <c r="N45" s="9707"/>
      <c r="O45" s="9707"/>
      <c r="P45" s="9708"/>
      <c r="Q45" s="6969" t="str">
        <f t="shared" si="5"/>
        <v/>
      </c>
      <c r="R45" s="9688"/>
      <c r="S45" s="9688"/>
      <c r="T45" s="9689"/>
      <c r="U45" s="6969" t="str">
        <f t="shared" si="6"/>
        <v/>
      </c>
      <c r="V45" s="9688"/>
      <c r="W45" s="9688"/>
      <c r="X45" s="9689"/>
      <c r="Y45" s="9670" t="str">
        <f t="shared" si="18"/>
        <v/>
      </c>
      <c r="Z45" s="6222"/>
      <c r="AA45" s="9670" t="str">
        <f t="shared" si="19"/>
        <v/>
      </c>
      <c r="AB45" s="6222"/>
      <c r="AC45" s="9671" t="str">
        <f t="shared" si="7"/>
        <v/>
      </c>
      <c r="AD45" s="9672"/>
      <c r="AE45" s="9672"/>
      <c r="AF45" s="9672"/>
      <c r="AG45" s="1297">
        <f t="shared" si="8"/>
        <v>0</v>
      </c>
      <c r="AH45" s="1090"/>
      <c r="AI45" s="1090" t="e">
        <f t="shared" si="0"/>
        <v>#VALUE!</v>
      </c>
      <c r="AJ45" s="1237"/>
      <c r="AK45" s="1241"/>
      <c r="AL45" s="1241"/>
      <c r="AM45" s="1239"/>
      <c r="AN45" s="1239"/>
      <c r="AO45" s="1240"/>
      <c r="AP45" s="1239"/>
      <c r="AQ45" s="1238"/>
      <c r="AS45" s="42" t="e">
        <f t="shared" si="9"/>
        <v>#VALUE!</v>
      </c>
      <c r="AT45" s="42" t="e">
        <f t="shared" si="10"/>
        <v>#VALUE!</v>
      </c>
      <c r="AU45" s="42" t="e">
        <f t="shared" si="11"/>
        <v>#VALUE!</v>
      </c>
      <c r="AW45" s="42" t="e">
        <f t="shared" si="12"/>
        <v>#VALUE!</v>
      </c>
      <c r="AX45" s="42" t="e">
        <f t="shared" si="13"/>
        <v>#VALUE!</v>
      </c>
      <c r="AY45" s="42" t="e">
        <f t="shared" si="14"/>
        <v>#VALUE!</v>
      </c>
      <c r="BA45" s="42" t="e">
        <f t="shared" si="15"/>
        <v>#VALUE!</v>
      </c>
      <c r="BB45" s="42" t="e">
        <f t="shared" si="16"/>
        <v>#VALUE!</v>
      </c>
      <c r="BC45" s="42" t="e">
        <f t="shared" si="17"/>
        <v>#VALUE!</v>
      </c>
    </row>
    <row r="46" spans="1:55" ht="19.5" customHeight="1">
      <c r="A46" s="1127">
        <f t="shared" si="1"/>
        <v>0</v>
      </c>
      <c r="B46" s="9703" t="str">
        <f t="shared" si="2"/>
        <v/>
      </c>
      <c r="C46" s="9704"/>
      <c r="D46" s="9704"/>
      <c r="E46" s="9704"/>
      <c r="F46" s="9704"/>
      <c r="G46" s="9704"/>
      <c r="H46" s="9704"/>
      <c r="I46" s="9705"/>
      <c r="J46" s="9706" t="str">
        <f t="shared" si="3"/>
        <v/>
      </c>
      <c r="K46" s="9707"/>
      <c r="L46" s="9707"/>
      <c r="M46" s="9706" t="str">
        <f t="shared" si="4"/>
        <v/>
      </c>
      <c r="N46" s="9707"/>
      <c r="O46" s="9707"/>
      <c r="P46" s="9708"/>
      <c r="Q46" s="6969" t="str">
        <f t="shared" si="5"/>
        <v/>
      </c>
      <c r="R46" s="9688"/>
      <c r="S46" s="9688"/>
      <c r="T46" s="9689"/>
      <c r="U46" s="6969" t="str">
        <f t="shared" si="6"/>
        <v/>
      </c>
      <c r="V46" s="9688"/>
      <c r="W46" s="9688"/>
      <c r="X46" s="9689"/>
      <c r="Y46" s="9670" t="str">
        <f t="shared" si="18"/>
        <v/>
      </c>
      <c r="Z46" s="6222"/>
      <c r="AA46" s="9670" t="str">
        <f t="shared" si="19"/>
        <v/>
      </c>
      <c r="AB46" s="6222"/>
      <c r="AC46" s="9671" t="str">
        <f t="shared" si="7"/>
        <v/>
      </c>
      <c r="AD46" s="9672"/>
      <c r="AE46" s="9672"/>
      <c r="AF46" s="9672"/>
      <c r="AG46" s="1297">
        <f t="shared" si="8"/>
        <v>0</v>
      </c>
      <c r="AH46" s="1090"/>
      <c r="AI46" s="1090" t="e">
        <f t="shared" si="0"/>
        <v>#VALUE!</v>
      </c>
      <c r="AJ46" s="1237"/>
      <c r="AK46" s="1241"/>
      <c r="AL46" s="1241"/>
      <c r="AM46" s="1239"/>
      <c r="AN46" s="1239"/>
      <c r="AO46" s="1240"/>
      <c r="AP46" s="1239"/>
      <c r="AQ46" s="1238"/>
      <c r="AS46" s="42" t="e">
        <f t="shared" si="9"/>
        <v>#VALUE!</v>
      </c>
      <c r="AT46" s="42" t="e">
        <f t="shared" si="10"/>
        <v>#VALUE!</v>
      </c>
      <c r="AU46" s="42" t="e">
        <f t="shared" si="11"/>
        <v>#VALUE!</v>
      </c>
      <c r="AW46" s="42" t="e">
        <f t="shared" si="12"/>
        <v>#VALUE!</v>
      </c>
      <c r="AX46" s="42" t="e">
        <f t="shared" si="13"/>
        <v>#VALUE!</v>
      </c>
      <c r="AY46" s="42" t="e">
        <f t="shared" si="14"/>
        <v>#VALUE!</v>
      </c>
      <c r="BA46" s="42" t="e">
        <f t="shared" si="15"/>
        <v>#VALUE!</v>
      </c>
      <c r="BB46" s="42" t="e">
        <f t="shared" si="16"/>
        <v>#VALUE!</v>
      </c>
      <c r="BC46" s="42" t="e">
        <f t="shared" si="17"/>
        <v>#VALUE!</v>
      </c>
    </row>
    <row r="47" spans="1:55" ht="19.5" customHeight="1">
      <c r="A47" s="1127">
        <f t="shared" si="1"/>
        <v>0</v>
      </c>
      <c r="B47" s="9703" t="str">
        <f t="shared" si="2"/>
        <v/>
      </c>
      <c r="C47" s="9704"/>
      <c r="D47" s="9704"/>
      <c r="E47" s="9704"/>
      <c r="F47" s="9704"/>
      <c r="G47" s="9704"/>
      <c r="H47" s="9704"/>
      <c r="I47" s="9705"/>
      <c r="J47" s="9706" t="str">
        <f t="shared" si="3"/>
        <v/>
      </c>
      <c r="K47" s="9707"/>
      <c r="L47" s="9707"/>
      <c r="M47" s="9706" t="str">
        <f t="shared" si="4"/>
        <v/>
      </c>
      <c r="N47" s="9707"/>
      <c r="O47" s="9707"/>
      <c r="P47" s="9708"/>
      <c r="Q47" s="6969" t="str">
        <f t="shared" si="5"/>
        <v/>
      </c>
      <c r="R47" s="9688"/>
      <c r="S47" s="9688"/>
      <c r="T47" s="9689"/>
      <c r="U47" s="6969" t="str">
        <f t="shared" si="6"/>
        <v/>
      </c>
      <c r="V47" s="9688"/>
      <c r="W47" s="9688"/>
      <c r="X47" s="9689"/>
      <c r="Y47" s="9670" t="str">
        <f t="shared" si="18"/>
        <v/>
      </c>
      <c r="Z47" s="6222"/>
      <c r="AA47" s="9670" t="str">
        <f t="shared" si="19"/>
        <v/>
      </c>
      <c r="AB47" s="6222"/>
      <c r="AC47" s="9671" t="str">
        <f t="shared" si="7"/>
        <v/>
      </c>
      <c r="AD47" s="9672"/>
      <c r="AE47" s="9672"/>
      <c r="AF47" s="9672"/>
      <c r="AG47" s="1297">
        <f t="shared" si="8"/>
        <v>0</v>
      </c>
      <c r="AH47" s="1090"/>
      <c r="AI47" s="1090" t="e">
        <f t="shared" si="0"/>
        <v>#VALUE!</v>
      </c>
      <c r="AJ47" s="1237"/>
      <c r="AK47" s="1241"/>
      <c r="AL47" s="1241"/>
      <c r="AM47" s="1239"/>
      <c r="AN47" s="1239"/>
      <c r="AO47" s="1240"/>
      <c r="AP47" s="1239"/>
      <c r="AQ47" s="1238"/>
      <c r="AS47" s="42" t="e">
        <f t="shared" si="9"/>
        <v>#VALUE!</v>
      </c>
      <c r="AT47" s="42" t="e">
        <f t="shared" si="10"/>
        <v>#VALUE!</v>
      </c>
      <c r="AU47" s="42" t="e">
        <f t="shared" si="11"/>
        <v>#VALUE!</v>
      </c>
      <c r="AW47" s="42" t="e">
        <f t="shared" si="12"/>
        <v>#VALUE!</v>
      </c>
      <c r="AX47" s="42" t="e">
        <f t="shared" si="13"/>
        <v>#VALUE!</v>
      </c>
      <c r="AY47" s="42" t="e">
        <f t="shared" si="14"/>
        <v>#VALUE!</v>
      </c>
      <c r="BA47" s="42" t="e">
        <f t="shared" si="15"/>
        <v>#VALUE!</v>
      </c>
      <c r="BB47" s="42" t="e">
        <f t="shared" si="16"/>
        <v>#VALUE!</v>
      </c>
      <c r="BC47" s="42" t="e">
        <f t="shared" si="17"/>
        <v>#VALUE!</v>
      </c>
    </row>
    <row r="48" spans="1:55" ht="19.5" customHeight="1">
      <c r="A48" s="1127">
        <f t="shared" si="1"/>
        <v>0</v>
      </c>
      <c r="B48" s="9703" t="str">
        <f t="shared" si="2"/>
        <v/>
      </c>
      <c r="C48" s="9704"/>
      <c r="D48" s="9704"/>
      <c r="E48" s="9704"/>
      <c r="F48" s="9704"/>
      <c r="G48" s="9704"/>
      <c r="H48" s="9704"/>
      <c r="I48" s="9705"/>
      <c r="J48" s="9706" t="str">
        <f t="shared" si="3"/>
        <v/>
      </c>
      <c r="K48" s="9707"/>
      <c r="L48" s="9707"/>
      <c r="M48" s="9706" t="str">
        <f t="shared" si="4"/>
        <v/>
      </c>
      <c r="N48" s="9707"/>
      <c r="O48" s="9707"/>
      <c r="P48" s="9708"/>
      <c r="Q48" s="6969" t="str">
        <f t="shared" si="5"/>
        <v/>
      </c>
      <c r="R48" s="9688"/>
      <c r="S48" s="9688"/>
      <c r="T48" s="9689"/>
      <c r="U48" s="6969" t="str">
        <f t="shared" si="6"/>
        <v/>
      </c>
      <c r="V48" s="9688"/>
      <c r="W48" s="9688"/>
      <c r="X48" s="9689"/>
      <c r="Y48" s="9670" t="str">
        <f t="shared" si="18"/>
        <v/>
      </c>
      <c r="Z48" s="6222"/>
      <c r="AA48" s="9670" t="str">
        <f t="shared" si="19"/>
        <v/>
      </c>
      <c r="AB48" s="6222"/>
      <c r="AC48" s="9671" t="str">
        <f t="shared" si="7"/>
        <v/>
      </c>
      <c r="AD48" s="9672"/>
      <c r="AE48" s="9672"/>
      <c r="AF48" s="9672"/>
      <c r="AG48" s="1297">
        <f t="shared" si="8"/>
        <v>0</v>
      </c>
      <c r="AH48" s="1090"/>
      <c r="AI48" s="1090" t="e">
        <f t="shared" si="0"/>
        <v>#VALUE!</v>
      </c>
      <c r="AJ48" s="1237"/>
      <c r="AK48" s="1241"/>
      <c r="AL48" s="1241"/>
      <c r="AM48" s="1239"/>
      <c r="AN48" s="1239"/>
      <c r="AO48" s="1240"/>
      <c r="AP48" s="1239"/>
      <c r="AQ48" s="1238"/>
      <c r="AS48" s="42" t="e">
        <f t="shared" si="9"/>
        <v>#VALUE!</v>
      </c>
      <c r="AT48" s="42" t="e">
        <f t="shared" si="10"/>
        <v>#VALUE!</v>
      </c>
      <c r="AU48" s="42" t="e">
        <f t="shared" si="11"/>
        <v>#VALUE!</v>
      </c>
      <c r="AW48" s="42" t="e">
        <f t="shared" si="12"/>
        <v>#VALUE!</v>
      </c>
      <c r="AX48" s="42" t="e">
        <f t="shared" si="13"/>
        <v>#VALUE!</v>
      </c>
      <c r="AY48" s="42" t="e">
        <f t="shared" si="14"/>
        <v>#VALUE!</v>
      </c>
      <c r="BA48" s="42" t="e">
        <f t="shared" si="15"/>
        <v>#VALUE!</v>
      </c>
      <c r="BB48" s="42" t="e">
        <f t="shared" si="16"/>
        <v>#VALUE!</v>
      </c>
      <c r="BC48" s="42" t="e">
        <f t="shared" si="17"/>
        <v>#VALUE!</v>
      </c>
    </row>
    <row r="49" spans="1:55" ht="19.5" customHeight="1">
      <c r="A49" s="1127">
        <f t="shared" si="1"/>
        <v>0</v>
      </c>
      <c r="B49" s="9703" t="str">
        <f t="shared" si="2"/>
        <v/>
      </c>
      <c r="C49" s="9704"/>
      <c r="D49" s="9704"/>
      <c r="E49" s="9704"/>
      <c r="F49" s="9704"/>
      <c r="G49" s="9704"/>
      <c r="H49" s="9704"/>
      <c r="I49" s="9705"/>
      <c r="J49" s="9706" t="str">
        <f t="shared" si="3"/>
        <v/>
      </c>
      <c r="K49" s="9707"/>
      <c r="L49" s="9707"/>
      <c r="M49" s="9706" t="str">
        <f t="shared" si="4"/>
        <v/>
      </c>
      <c r="N49" s="9707"/>
      <c r="O49" s="9707"/>
      <c r="P49" s="9708"/>
      <c r="Q49" s="6969" t="str">
        <f t="shared" si="5"/>
        <v/>
      </c>
      <c r="R49" s="9688"/>
      <c r="S49" s="9688"/>
      <c r="T49" s="9689"/>
      <c r="U49" s="6969" t="str">
        <f t="shared" si="6"/>
        <v/>
      </c>
      <c r="V49" s="9688"/>
      <c r="W49" s="9688"/>
      <c r="X49" s="9689"/>
      <c r="Y49" s="9670" t="str">
        <f t="shared" si="18"/>
        <v/>
      </c>
      <c r="Z49" s="6222"/>
      <c r="AA49" s="9670" t="str">
        <f t="shared" si="19"/>
        <v/>
      </c>
      <c r="AB49" s="6222"/>
      <c r="AC49" s="9671" t="str">
        <f t="shared" si="7"/>
        <v/>
      </c>
      <c r="AD49" s="9672"/>
      <c r="AE49" s="9672"/>
      <c r="AF49" s="9672"/>
      <c r="AG49" s="1297">
        <f t="shared" si="8"/>
        <v>0</v>
      </c>
      <c r="AH49" s="1090"/>
      <c r="AI49" s="1090" t="e">
        <f t="shared" si="0"/>
        <v>#VALUE!</v>
      </c>
      <c r="AJ49" s="1237"/>
      <c r="AK49" s="1241"/>
      <c r="AL49" s="1241"/>
      <c r="AM49" s="1239"/>
      <c r="AN49" s="1239"/>
      <c r="AO49" s="1240"/>
      <c r="AP49" s="1239"/>
      <c r="AQ49" s="1238"/>
      <c r="AS49" s="42" t="e">
        <f t="shared" si="9"/>
        <v>#VALUE!</v>
      </c>
      <c r="AT49" s="42" t="e">
        <f t="shared" si="10"/>
        <v>#VALUE!</v>
      </c>
      <c r="AU49" s="42" t="e">
        <f t="shared" si="11"/>
        <v>#VALUE!</v>
      </c>
      <c r="AW49" s="42" t="e">
        <f t="shared" si="12"/>
        <v>#VALUE!</v>
      </c>
      <c r="AX49" s="42" t="e">
        <f t="shared" si="13"/>
        <v>#VALUE!</v>
      </c>
      <c r="AY49" s="42" t="e">
        <f t="shared" si="14"/>
        <v>#VALUE!</v>
      </c>
      <c r="BA49" s="42" t="e">
        <f t="shared" si="15"/>
        <v>#VALUE!</v>
      </c>
      <c r="BB49" s="42" t="e">
        <f t="shared" si="16"/>
        <v>#VALUE!</v>
      </c>
      <c r="BC49" s="42" t="e">
        <f t="shared" si="17"/>
        <v>#VALUE!</v>
      </c>
    </row>
    <row r="50" spans="1:55" ht="19.5" customHeight="1">
      <c r="A50" s="1127">
        <f t="shared" si="1"/>
        <v>0</v>
      </c>
      <c r="B50" s="9703" t="str">
        <f t="shared" si="2"/>
        <v/>
      </c>
      <c r="C50" s="9704"/>
      <c r="D50" s="9704"/>
      <c r="E50" s="9704"/>
      <c r="F50" s="9704"/>
      <c r="G50" s="9704"/>
      <c r="H50" s="9704"/>
      <c r="I50" s="9705"/>
      <c r="J50" s="9706" t="str">
        <f t="shared" si="3"/>
        <v/>
      </c>
      <c r="K50" s="9707"/>
      <c r="L50" s="9707"/>
      <c r="M50" s="9706" t="str">
        <f t="shared" si="4"/>
        <v/>
      </c>
      <c r="N50" s="9707"/>
      <c r="O50" s="9707"/>
      <c r="P50" s="9708"/>
      <c r="Q50" s="6969" t="str">
        <f t="shared" si="5"/>
        <v/>
      </c>
      <c r="R50" s="9688"/>
      <c r="S50" s="9688"/>
      <c r="T50" s="9689"/>
      <c r="U50" s="6969" t="str">
        <f t="shared" si="6"/>
        <v/>
      </c>
      <c r="V50" s="9688"/>
      <c r="W50" s="9688"/>
      <c r="X50" s="9689"/>
      <c r="Y50" s="9670" t="str">
        <f t="shared" si="18"/>
        <v/>
      </c>
      <c r="Z50" s="6222"/>
      <c r="AA50" s="9670" t="str">
        <f t="shared" si="19"/>
        <v/>
      </c>
      <c r="AB50" s="6222"/>
      <c r="AC50" s="9671" t="str">
        <f t="shared" si="7"/>
        <v/>
      </c>
      <c r="AD50" s="9672"/>
      <c r="AE50" s="9672"/>
      <c r="AF50" s="9672"/>
      <c r="AG50" s="1297">
        <f t="shared" si="8"/>
        <v>0</v>
      </c>
      <c r="AH50" s="1090"/>
      <c r="AI50" s="1090" t="e">
        <f t="shared" si="0"/>
        <v>#VALUE!</v>
      </c>
      <c r="AJ50" s="1237"/>
      <c r="AK50" s="1241"/>
      <c r="AL50" s="1241"/>
      <c r="AM50" s="1239"/>
      <c r="AN50" s="1239"/>
      <c r="AO50" s="1240"/>
      <c r="AP50" s="1239"/>
      <c r="AQ50" s="1238"/>
      <c r="AS50" s="42" t="e">
        <f t="shared" si="9"/>
        <v>#VALUE!</v>
      </c>
      <c r="AT50" s="42" t="e">
        <f t="shared" si="10"/>
        <v>#VALUE!</v>
      </c>
      <c r="AU50" s="42" t="e">
        <f t="shared" si="11"/>
        <v>#VALUE!</v>
      </c>
      <c r="AW50" s="42" t="e">
        <f t="shared" si="12"/>
        <v>#VALUE!</v>
      </c>
      <c r="AX50" s="42" t="e">
        <f t="shared" si="13"/>
        <v>#VALUE!</v>
      </c>
      <c r="AY50" s="42" t="e">
        <f t="shared" si="14"/>
        <v>#VALUE!</v>
      </c>
      <c r="BA50" s="42" t="e">
        <f t="shared" si="15"/>
        <v>#VALUE!</v>
      </c>
      <c r="BB50" s="42" t="e">
        <f t="shared" si="16"/>
        <v>#VALUE!</v>
      </c>
      <c r="BC50" s="42" t="e">
        <f t="shared" si="17"/>
        <v>#VALUE!</v>
      </c>
    </row>
    <row r="51" spans="1:55" ht="19.5" customHeight="1">
      <c r="A51" s="1127">
        <f t="shared" si="1"/>
        <v>0</v>
      </c>
      <c r="B51" s="9703" t="str">
        <f t="shared" si="2"/>
        <v/>
      </c>
      <c r="C51" s="9704"/>
      <c r="D51" s="9704"/>
      <c r="E51" s="9704"/>
      <c r="F51" s="9704"/>
      <c r="G51" s="9704"/>
      <c r="H51" s="9704"/>
      <c r="I51" s="9705"/>
      <c r="J51" s="9706" t="str">
        <f t="shared" si="3"/>
        <v/>
      </c>
      <c r="K51" s="9707"/>
      <c r="L51" s="9707"/>
      <c r="M51" s="9706" t="str">
        <f t="shared" si="4"/>
        <v/>
      </c>
      <c r="N51" s="9707"/>
      <c r="O51" s="9707"/>
      <c r="P51" s="9708"/>
      <c r="Q51" s="6969" t="str">
        <f t="shared" si="5"/>
        <v/>
      </c>
      <c r="R51" s="9688"/>
      <c r="S51" s="9688"/>
      <c r="T51" s="9689"/>
      <c r="U51" s="6969" t="str">
        <f t="shared" si="6"/>
        <v/>
      </c>
      <c r="V51" s="9688"/>
      <c r="W51" s="9688"/>
      <c r="X51" s="9689"/>
      <c r="Y51" s="9670" t="str">
        <f t="shared" si="18"/>
        <v/>
      </c>
      <c r="Z51" s="6222"/>
      <c r="AA51" s="9670" t="str">
        <f t="shared" si="19"/>
        <v/>
      </c>
      <c r="AB51" s="6222"/>
      <c r="AC51" s="9671" t="str">
        <f t="shared" si="7"/>
        <v/>
      </c>
      <c r="AD51" s="9672"/>
      <c r="AE51" s="9672"/>
      <c r="AF51" s="9672"/>
      <c r="AG51" s="1297">
        <f t="shared" si="8"/>
        <v>0</v>
      </c>
      <c r="AH51" s="1090"/>
      <c r="AI51" s="1090" t="e">
        <f t="shared" si="0"/>
        <v>#VALUE!</v>
      </c>
      <c r="AJ51" s="1237"/>
      <c r="AK51" s="1241"/>
      <c r="AL51" s="1241"/>
      <c r="AM51" s="1239"/>
      <c r="AN51" s="1239"/>
      <c r="AO51" s="1240"/>
      <c r="AP51" s="1239"/>
      <c r="AQ51" s="1238"/>
      <c r="AS51" s="42" t="e">
        <f t="shared" si="9"/>
        <v>#VALUE!</v>
      </c>
      <c r="AT51" s="42" t="e">
        <f t="shared" si="10"/>
        <v>#VALUE!</v>
      </c>
      <c r="AU51" s="42" t="e">
        <f t="shared" si="11"/>
        <v>#VALUE!</v>
      </c>
      <c r="AW51" s="42" t="e">
        <f t="shared" si="12"/>
        <v>#VALUE!</v>
      </c>
      <c r="AX51" s="42" t="e">
        <f t="shared" si="13"/>
        <v>#VALUE!</v>
      </c>
      <c r="AY51" s="42" t="e">
        <f t="shared" si="14"/>
        <v>#VALUE!</v>
      </c>
      <c r="BA51" s="42" t="e">
        <f t="shared" si="15"/>
        <v>#VALUE!</v>
      </c>
      <c r="BB51" s="42" t="e">
        <f t="shared" si="16"/>
        <v>#VALUE!</v>
      </c>
      <c r="BC51" s="42" t="e">
        <f t="shared" si="17"/>
        <v>#VALUE!</v>
      </c>
    </row>
    <row r="52" spans="1:55" ht="19.5" customHeight="1">
      <c r="A52" s="1127">
        <f t="shared" si="1"/>
        <v>0</v>
      </c>
      <c r="B52" s="9703" t="str">
        <f t="shared" si="2"/>
        <v/>
      </c>
      <c r="C52" s="9704"/>
      <c r="D52" s="9704"/>
      <c r="E52" s="9704"/>
      <c r="F52" s="9704"/>
      <c r="G52" s="9704"/>
      <c r="H52" s="9704"/>
      <c r="I52" s="9705"/>
      <c r="J52" s="9706" t="str">
        <f t="shared" si="3"/>
        <v/>
      </c>
      <c r="K52" s="9707"/>
      <c r="L52" s="9707"/>
      <c r="M52" s="9706" t="str">
        <f t="shared" si="4"/>
        <v/>
      </c>
      <c r="N52" s="9707"/>
      <c r="O52" s="9707"/>
      <c r="P52" s="9708"/>
      <c r="Q52" s="6969" t="str">
        <f t="shared" si="5"/>
        <v/>
      </c>
      <c r="R52" s="9688"/>
      <c r="S52" s="9688"/>
      <c r="T52" s="9689"/>
      <c r="U52" s="6969" t="str">
        <f t="shared" si="6"/>
        <v/>
      </c>
      <c r="V52" s="9688"/>
      <c r="W52" s="9688"/>
      <c r="X52" s="9689"/>
      <c r="Y52" s="9670" t="str">
        <f t="shared" si="18"/>
        <v/>
      </c>
      <c r="Z52" s="6222"/>
      <c r="AA52" s="9670" t="str">
        <f t="shared" si="19"/>
        <v/>
      </c>
      <c r="AB52" s="6222"/>
      <c r="AC52" s="9671" t="str">
        <f t="shared" si="7"/>
        <v/>
      </c>
      <c r="AD52" s="9672"/>
      <c r="AE52" s="9672"/>
      <c r="AF52" s="9672"/>
      <c r="AG52" s="1297">
        <f t="shared" si="8"/>
        <v>0</v>
      </c>
      <c r="AH52" s="1090"/>
      <c r="AI52" s="1090" t="e">
        <f t="shared" si="0"/>
        <v>#VALUE!</v>
      </c>
      <c r="AJ52" s="1237"/>
      <c r="AK52" s="1241"/>
      <c r="AL52" s="1241"/>
      <c r="AM52" s="1239"/>
      <c r="AN52" s="1239"/>
      <c r="AO52" s="1240"/>
      <c r="AP52" s="1239"/>
      <c r="AQ52" s="1238"/>
      <c r="AS52" s="42" t="e">
        <f t="shared" si="9"/>
        <v>#VALUE!</v>
      </c>
      <c r="AT52" s="42" t="e">
        <f t="shared" si="10"/>
        <v>#VALUE!</v>
      </c>
      <c r="AU52" s="42" t="e">
        <f t="shared" si="11"/>
        <v>#VALUE!</v>
      </c>
      <c r="AW52" s="42" t="e">
        <f t="shared" si="12"/>
        <v>#VALUE!</v>
      </c>
      <c r="AX52" s="42" t="e">
        <f t="shared" si="13"/>
        <v>#VALUE!</v>
      </c>
      <c r="AY52" s="42" t="e">
        <f t="shared" si="14"/>
        <v>#VALUE!</v>
      </c>
      <c r="BA52" s="42" t="e">
        <f t="shared" si="15"/>
        <v>#VALUE!</v>
      </c>
      <c r="BB52" s="42" t="e">
        <f t="shared" si="16"/>
        <v>#VALUE!</v>
      </c>
      <c r="BC52" s="42" t="e">
        <f t="shared" si="17"/>
        <v>#VALUE!</v>
      </c>
    </row>
    <row r="53" spans="1:55" ht="19.5" customHeight="1">
      <c r="A53" s="1127">
        <f t="shared" si="1"/>
        <v>0</v>
      </c>
      <c r="B53" s="9703" t="str">
        <f t="shared" si="2"/>
        <v/>
      </c>
      <c r="C53" s="9704"/>
      <c r="D53" s="9704"/>
      <c r="E53" s="9704"/>
      <c r="F53" s="9704"/>
      <c r="G53" s="9704"/>
      <c r="H53" s="9704"/>
      <c r="I53" s="9705"/>
      <c r="J53" s="9706" t="str">
        <f t="shared" si="3"/>
        <v/>
      </c>
      <c r="K53" s="9707"/>
      <c r="L53" s="9707"/>
      <c r="M53" s="9706" t="str">
        <f t="shared" si="4"/>
        <v/>
      </c>
      <c r="N53" s="9707"/>
      <c r="O53" s="9707"/>
      <c r="P53" s="9708"/>
      <c r="Q53" s="6969" t="str">
        <f t="shared" si="5"/>
        <v/>
      </c>
      <c r="R53" s="9688"/>
      <c r="S53" s="9688"/>
      <c r="T53" s="9689"/>
      <c r="U53" s="6969" t="str">
        <f t="shared" si="6"/>
        <v/>
      </c>
      <c r="V53" s="9688"/>
      <c r="W53" s="9688"/>
      <c r="X53" s="9689"/>
      <c r="Y53" s="9670" t="str">
        <f t="shared" si="18"/>
        <v/>
      </c>
      <c r="Z53" s="6222"/>
      <c r="AA53" s="9670" t="str">
        <f t="shared" si="19"/>
        <v/>
      </c>
      <c r="AB53" s="6222"/>
      <c r="AC53" s="9671" t="str">
        <f t="shared" si="7"/>
        <v/>
      </c>
      <c r="AD53" s="9672"/>
      <c r="AE53" s="9672"/>
      <c r="AF53" s="9672"/>
      <c r="AG53" s="1297">
        <f t="shared" si="8"/>
        <v>0</v>
      </c>
      <c r="AH53" s="1090"/>
      <c r="AI53" s="1090" t="e">
        <f t="shared" si="0"/>
        <v>#VALUE!</v>
      </c>
      <c r="AJ53" s="1237"/>
      <c r="AK53" s="1241"/>
      <c r="AL53" s="1241"/>
      <c r="AM53" s="1239"/>
      <c r="AN53" s="1239"/>
      <c r="AO53" s="1240"/>
      <c r="AP53" s="1239"/>
      <c r="AQ53" s="1238"/>
      <c r="AS53" s="42" t="e">
        <f t="shared" si="9"/>
        <v>#VALUE!</v>
      </c>
      <c r="AT53" s="42" t="e">
        <f t="shared" si="10"/>
        <v>#VALUE!</v>
      </c>
      <c r="AU53" s="42" t="e">
        <f t="shared" si="11"/>
        <v>#VALUE!</v>
      </c>
      <c r="AW53" s="42" t="e">
        <f t="shared" si="12"/>
        <v>#VALUE!</v>
      </c>
      <c r="AX53" s="42" t="e">
        <f t="shared" si="13"/>
        <v>#VALUE!</v>
      </c>
      <c r="AY53" s="42" t="e">
        <f t="shared" si="14"/>
        <v>#VALUE!</v>
      </c>
      <c r="BA53" s="42" t="e">
        <f t="shared" si="15"/>
        <v>#VALUE!</v>
      </c>
      <c r="BB53" s="42" t="e">
        <f t="shared" si="16"/>
        <v>#VALUE!</v>
      </c>
      <c r="BC53" s="42" t="e">
        <f t="shared" si="17"/>
        <v>#VALUE!</v>
      </c>
    </row>
    <row r="54" spans="1:55" ht="19.5" customHeight="1">
      <c r="A54" s="1127">
        <f t="shared" si="1"/>
        <v>0</v>
      </c>
      <c r="B54" s="9703" t="str">
        <f t="shared" si="2"/>
        <v/>
      </c>
      <c r="C54" s="9704"/>
      <c r="D54" s="9704"/>
      <c r="E54" s="9704"/>
      <c r="F54" s="9704"/>
      <c r="G54" s="9704"/>
      <c r="H54" s="9704"/>
      <c r="I54" s="9705"/>
      <c r="J54" s="9706" t="str">
        <f t="shared" si="3"/>
        <v/>
      </c>
      <c r="K54" s="9707"/>
      <c r="L54" s="9707"/>
      <c r="M54" s="9706" t="str">
        <f t="shared" si="4"/>
        <v/>
      </c>
      <c r="N54" s="9707"/>
      <c r="O54" s="9707"/>
      <c r="P54" s="9708"/>
      <c r="Q54" s="6969" t="str">
        <f t="shared" si="5"/>
        <v/>
      </c>
      <c r="R54" s="9688"/>
      <c r="S54" s="9688"/>
      <c r="T54" s="9689"/>
      <c r="U54" s="6969" t="str">
        <f t="shared" si="6"/>
        <v/>
      </c>
      <c r="V54" s="9688"/>
      <c r="W54" s="9688"/>
      <c r="X54" s="9689"/>
      <c r="Y54" s="9670" t="str">
        <f t="shared" si="18"/>
        <v/>
      </c>
      <c r="Z54" s="6222"/>
      <c r="AA54" s="9670" t="str">
        <f t="shared" si="19"/>
        <v/>
      </c>
      <c r="AB54" s="6222"/>
      <c r="AC54" s="9671" t="str">
        <f t="shared" si="7"/>
        <v/>
      </c>
      <c r="AD54" s="9672"/>
      <c r="AE54" s="9672"/>
      <c r="AF54" s="9672"/>
      <c r="AG54" s="1297">
        <f t="shared" si="8"/>
        <v>0</v>
      </c>
      <c r="AH54" s="1090"/>
      <c r="AI54" s="1090" t="e">
        <f t="shared" si="0"/>
        <v>#VALUE!</v>
      </c>
      <c r="AJ54" s="1237"/>
      <c r="AK54" s="1241"/>
      <c r="AL54" s="1241"/>
      <c r="AM54" s="1239"/>
      <c r="AN54" s="1239"/>
      <c r="AO54" s="1240"/>
      <c r="AP54" s="1239"/>
      <c r="AQ54" s="1238"/>
      <c r="AS54" s="42" t="e">
        <f t="shared" si="9"/>
        <v>#VALUE!</v>
      </c>
      <c r="AT54" s="42" t="e">
        <f t="shared" si="10"/>
        <v>#VALUE!</v>
      </c>
      <c r="AU54" s="42" t="e">
        <f t="shared" si="11"/>
        <v>#VALUE!</v>
      </c>
      <c r="AW54" s="42" t="e">
        <f t="shared" si="12"/>
        <v>#VALUE!</v>
      </c>
      <c r="AX54" s="42" t="e">
        <f t="shared" si="13"/>
        <v>#VALUE!</v>
      </c>
      <c r="AY54" s="42" t="e">
        <f t="shared" si="14"/>
        <v>#VALUE!</v>
      </c>
      <c r="BA54" s="42" t="e">
        <f t="shared" si="15"/>
        <v>#VALUE!</v>
      </c>
      <c r="BB54" s="42" t="e">
        <f t="shared" si="16"/>
        <v>#VALUE!</v>
      </c>
      <c r="BC54" s="42" t="e">
        <f t="shared" si="17"/>
        <v>#VALUE!</v>
      </c>
    </row>
    <row r="55" spans="1:55" ht="11.25" customHeight="1">
      <c r="A55" s="1127">
        <f>SUM(A35:A54)</f>
        <v>0</v>
      </c>
      <c r="B55" s="9793">
        <v>2</v>
      </c>
      <c r="C55" s="9780" t="s">
        <v>2059</v>
      </c>
      <c r="D55" s="9781"/>
      <c r="E55" s="9781"/>
      <c r="F55" s="9781"/>
      <c r="G55" s="9781"/>
      <c r="H55" s="9781"/>
      <c r="I55" s="9781"/>
      <c r="J55" s="9781"/>
      <c r="K55" s="9781"/>
      <c r="L55" s="9781"/>
      <c r="M55" s="9781"/>
      <c r="N55" s="9781"/>
      <c r="O55" s="9781"/>
      <c r="P55" s="9781"/>
      <c r="Q55" s="9680" t="str">
        <f>IF(A55=0,"",ROUND(SUM(Q35:Q54),0))</f>
        <v/>
      </c>
      <c r="R55" s="9783"/>
      <c r="S55" s="9783"/>
      <c r="T55" s="9681"/>
      <c r="U55" s="9680" t="str">
        <f>IF(A55=0,"",ROUND(SUM(U35:U54),0))</f>
        <v/>
      </c>
      <c r="V55" s="9761"/>
      <c r="W55" s="9761"/>
      <c r="X55" s="9762"/>
      <c r="Y55" s="9769"/>
      <c r="Z55" s="9770"/>
      <c r="AA55" s="9680" t="str">
        <f>IF(A55=0,"",ROUND(SUM(AA35:AA54),0))</f>
        <v/>
      </c>
      <c r="AB55" s="9681"/>
      <c r="AC55" s="9680" t="str">
        <f>IF(A55=0,"",ROUND(SUM(AC35:AC54),0))</f>
        <v/>
      </c>
      <c r="AD55" s="9761"/>
      <c r="AE55" s="9761"/>
      <c r="AF55" s="9761"/>
      <c r="AG55" s="1127"/>
    </row>
    <row r="56" spans="1:55" ht="11.25" customHeight="1">
      <c r="A56" s="1127"/>
      <c r="B56" s="9794"/>
      <c r="C56" s="9782"/>
      <c r="D56" s="9782"/>
      <c r="E56" s="9782"/>
      <c r="F56" s="9782"/>
      <c r="G56" s="9782"/>
      <c r="H56" s="9782"/>
      <c r="I56" s="9782"/>
      <c r="J56" s="9782"/>
      <c r="K56" s="9782"/>
      <c r="L56" s="9782"/>
      <c r="M56" s="9782"/>
      <c r="N56" s="9782"/>
      <c r="O56" s="9782"/>
      <c r="P56" s="9782"/>
      <c r="Q56" s="9682"/>
      <c r="R56" s="9784"/>
      <c r="S56" s="9784"/>
      <c r="T56" s="9683"/>
      <c r="U56" s="9763"/>
      <c r="V56" s="9764"/>
      <c r="W56" s="9764"/>
      <c r="X56" s="9765"/>
      <c r="Y56" s="9771"/>
      <c r="Z56" s="9772"/>
      <c r="AA56" s="9682"/>
      <c r="AB56" s="9683"/>
      <c r="AC56" s="9763"/>
      <c r="AD56" s="9764"/>
      <c r="AE56" s="9764"/>
      <c r="AF56" s="9764"/>
      <c r="AG56" s="1127"/>
    </row>
    <row r="57" spans="1:55" ht="11.25" customHeight="1">
      <c r="A57" s="1127"/>
      <c r="B57" s="9794"/>
      <c r="C57" s="9782"/>
      <c r="D57" s="9782"/>
      <c r="E57" s="9782"/>
      <c r="F57" s="9782"/>
      <c r="G57" s="9782"/>
      <c r="H57" s="9782"/>
      <c r="I57" s="9782"/>
      <c r="J57" s="9782"/>
      <c r="K57" s="9782"/>
      <c r="L57" s="9782"/>
      <c r="M57" s="9782"/>
      <c r="N57" s="9782"/>
      <c r="O57" s="9782"/>
      <c r="P57" s="9782"/>
      <c r="Q57" s="9682"/>
      <c r="R57" s="9784"/>
      <c r="S57" s="9784"/>
      <c r="T57" s="9683"/>
      <c r="U57" s="9763"/>
      <c r="V57" s="9764"/>
      <c r="W57" s="9764"/>
      <c r="X57" s="9765"/>
      <c r="Y57" s="9771"/>
      <c r="Z57" s="9772"/>
      <c r="AA57" s="9682"/>
      <c r="AB57" s="9683"/>
      <c r="AC57" s="9763"/>
      <c r="AD57" s="9764"/>
      <c r="AE57" s="9764"/>
      <c r="AF57" s="9764"/>
      <c r="AG57" s="1127"/>
    </row>
    <row r="58" spans="1:55" ht="11.25" customHeight="1">
      <c r="A58" s="1127"/>
      <c r="B58" s="9794"/>
      <c r="C58" s="9782"/>
      <c r="D58" s="9782"/>
      <c r="E58" s="9782"/>
      <c r="F58" s="9782"/>
      <c r="G58" s="9782"/>
      <c r="H58" s="9782"/>
      <c r="I58" s="9782"/>
      <c r="J58" s="9782"/>
      <c r="K58" s="9782"/>
      <c r="L58" s="9782"/>
      <c r="M58" s="9782"/>
      <c r="N58" s="9782"/>
      <c r="O58" s="9782"/>
      <c r="P58" s="9782"/>
      <c r="Q58" s="9682"/>
      <c r="R58" s="9784"/>
      <c r="S58" s="9784"/>
      <c r="T58" s="9683"/>
      <c r="U58" s="9763"/>
      <c r="V58" s="9764"/>
      <c r="W58" s="9764"/>
      <c r="X58" s="9765"/>
      <c r="Y58" s="9771"/>
      <c r="Z58" s="9772"/>
      <c r="AA58" s="9682"/>
      <c r="AB58" s="9683"/>
      <c r="AC58" s="9763"/>
      <c r="AD58" s="9764"/>
      <c r="AE58" s="9764"/>
      <c r="AF58" s="9764"/>
      <c r="AG58" s="1127"/>
    </row>
    <row r="59" spans="1:55" ht="9" customHeight="1">
      <c r="A59" s="1127"/>
      <c r="B59" s="9794"/>
      <c r="C59" s="9782"/>
      <c r="D59" s="9782"/>
      <c r="E59" s="9782"/>
      <c r="F59" s="9782"/>
      <c r="G59" s="9782"/>
      <c r="H59" s="9782"/>
      <c r="I59" s="9782"/>
      <c r="J59" s="9782"/>
      <c r="K59" s="9782"/>
      <c r="L59" s="9782"/>
      <c r="M59" s="9782"/>
      <c r="N59" s="9782"/>
      <c r="O59" s="9782"/>
      <c r="P59" s="9782"/>
      <c r="Q59" s="9682"/>
      <c r="R59" s="9784"/>
      <c r="S59" s="9784"/>
      <c r="T59" s="9683"/>
      <c r="U59" s="9790"/>
      <c r="V59" s="9791"/>
      <c r="W59" s="9791"/>
      <c r="X59" s="9792"/>
      <c r="Y59" s="9773"/>
      <c r="Z59" s="9774"/>
      <c r="AA59" s="9684"/>
      <c r="AB59" s="9685"/>
      <c r="AC59" s="9763"/>
      <c r="AD59" s="9764"/>
      <c r="AE59" s="9764"/>
      <c r="AF59" s="9764"/>
      <c r="AG59" s="1127"/>
    </row>
    <row r="60" spans="1:55" ht="25.5" customHeight="1" thickBot="1">
      <c r="A60" s="1127"/>
      <c r="B60" s="9785" t="s">
        <v>2812</v>
      </c>
      <c r="C60" s="9786"/>
      <c r="D60" s="9786"/>
      <c r="E60" s="9786"/>
      <c r="F60" s="9786"/>
      <c r="G60" s="9786"/>
      <c r="H60" s="9786"/>
      <c r="I60" s="9786"/>
      <c r="J60" s="9786"/>
      <c r="K60" s="9786"/>
      <c r="L60" s="9786"/>
      <c r="M60" s="9786"/>
      <c r="N60" s="9786"/>
      <c r="O60" s="9786"/>
      <c r="P60" s="9786"/>
      <c r="Q60" s="9786"/>
      <c r="R60" s="9786"/>
      <c r="S60" s="9786"/>
      <c r="T60" s="9786"/>
      <c r="U60" s="9787"/>
      <c r="V60" s="9787"/>
      <c r="W60" s="9787"/>
      <c r="X60" s="9787"/>
      <c r="Y60" s="9786"/>
      <c r="Z60" s="9786"/>
      <c r="AA60" s="9786"/>
      <c r="AB60" s="9786"/>
      <c r="AC60" s="9786"/>
      <c r="AD60" s="9786"/>
      <c r="AE60" s="9786"/>
      <c r="AF60" s="9786"/>
      <c r="AG60" s="1127"/>
      <c r="AJ60" s="989"/>
    </row>
    <row r="61" spans="1:55" ht="16.5" thickTop="1">
      <c r="A61" s="1127"/>
      <c r="B61" s="4759" t="s">
        <v>484</v>
      </c>
      <c r="C61" s="23"/>
      <c r="D61" s="23"/>
      <c r="E61" s="23"/>
      <c r="F61" s="23"/>
      <c r="G61" s="23"/>
      <c r="H61" s="23"/>
      <c r="I61" s="23"/>
      <c r="J61" s="23"/>
      <c r="K61" s="23"/>
      <c r="L61" s="23"/>
      <c r="M61" s="23"/>
      <c r="N61" s="23"/>
      <c r="O61" s="23"/>
      <c r="P61" s="23"/>
      <c r="Q61" s="23"/>
      <c r="R61" s="23"/>
      <c r="S61" s="23"/>
      <c r="T61" s="23"/>
      <c r="U61" s="501" t="s">
        <v>621</v>
      </c>
      <c r="V61" s="23"/>
      <c r="W61" s="23"/>
      <c r="X61" s="23"/>
      <c r="Y61" s="23"/>
      <c r="Z61" s="23"/>
      <c r="AA61" s="23"/>
      <c r="AB61" s="23"/>
      <c r="AC61" s="23"/>
      <c r="AD61" s="1035" t="s">
        <v>632</v>
      </c>
      <c r="AE61" s="23"/>
      <c r="AF61" s="3559" t="str">
        <f>"("&amp;TaxYear&amp;")"</f>
        <v>(2021)</v>
      </c>
      <c r="AG61" s="1127"/>
    </row>
    <row r="62" spans="1:55" ht="15.75">
      <c r="A62" s="1127"/>
      <c r="B62" s="32" t="str">
        <f>"Form 8949 ("&amp;TaxYear&amp;")"</f>
        <v>Form 8949 (2021)</v>
      </c>
      <c r="C62" s="41"/>
      <c r="D62" s="41"/>
      <c r="E62" s="41"/>
      <c r="F62" s="41"/>
      <c r="G62" s="41"/>
      <c r="H62" s="41"/>
      <c r="I62" s="41"/>
      <c r="J62" s="41"/>
      <c r="K62" s="41"/>
      <c r="L62" s="41"/>
      <c r="M62" s="41"/>
      <c r="N62" s="41"/>
      <c r="O62" s="41"/>
      <c r="P62" s="41"/>
      <c r="Q62" s="41"/>
      <c r="R62" s="41"/>
      <c r="S62" s="41"/>
      <c r="T62" s="41"/>
      <c r="U62" s="41"/>
      <c r="V62" s="32" t="s">
        <v>623</v>
      </c>
      <c r="W62" s="41"/>
      <c r="X62" s="41"/>
      <c r="Y62" s="41"/>
      <c r="Z62" s="41"/>
      <c r="AA62" s="41"/>
      <c r="AB62" s="41"/>
      <c r="AC62" s="41"/>
      <c r="AD62" s="41"/>
      <c r="AE62" s="41"/>
      <c r="AF62" s="1093" t="s">
        <v>160</v>
      </c>
      <c r="AG62" s="1127"/>
    </row>
    <row r="63" spans="1:55">
      <c r="A63" s="1127"/>
      <c r="B63" s="30" t="s">
        <v>3572</v>
      </c>
      <c r="C63" s="23"/>
      <c r="D63" s="23"/>
      <c r="E63" s="23"/>
      <c r="F63" s="23"/>
      <c r="G63" s="23"/>
      <c r="H63" s="23"/>
      <c r="I63" s="23"/>
      <c r="J63" s="23"/>
      <c r="K63" s="23"/>
      <c r="L63" s="23"/>
      <c r="M63" s="23"/>
      <c r="N63" s="23"/>
      <c r="O63" s="23"/>
      <c r="P63" s="23"/>
      <c r="Q63" s="23"/>
      <c r="R63" s="23"/>
      <c r="S63" s="23"/>
      <c r="T63" s="23"/>
      <c r="U63" s="23"/>
      <c r="V63" s="1236" t="s">
        <v>735</v>
      </c>
      <c r="W63" s="23"/>
      <c r="X63" s="23"/>
      <c r="Y63" s="23"/>
      <c r="Z63" s="34"/>
      <c r="AA63" s="23"/>
      <c r="AB63" s="23"/>
      <c r="AC63" s="23"/>
      <c r="AD63" s="23"/>
      <c r="AE63" s="23"/>
      <c r="AF63" s="23"/>
      <c r="AG63" s="1127"/>
    </row>
    <row r="64" spans="1:55" ht="16.5" thickBot="1">
      <c r="A64" s="1127"/>
      <c r="B64" s="9716" t="str">
        <f>Names</f>
        <v/>
      </c>
      <c r="C64" s="9717"/>
      <c r="D64" s="9717"/>
      <c r="E64" s="9717"/>
      <c r="F64" s="9717"/>
      <c r="G64" s="9717"/>
      <c r="H64" s="9717"/>
      <c r="I64" s="9717"/>
      <c r="J64" s="9717"/>
      <c r="K64" s="9717"/>
      <c r="L64" s="9717"/>
      <c r="M64" s="9717"/>
      <c r="N64" s="9717"/>
      <c r="O64" s="9717"/>
      <c r="P64" s="9717"/>
      <c r="Q64" s="9717"/>
      <c r="R64" s="9717"/>
      <c r="S64" s="9717"/>
      <c r="T64" s="9717"/>
      <c r="U64" s="9718"/>
      <c r="V64" s="9714">
        <f>IF(NoSSN,"",SS_Yours)</f>
        <v>1010001</v>
      </c>
      <c r="W64" s="9715"/>
      <c r="X64" s="9715"/>
      <c r="Y64" s="9715"/>
      <c r="Z64" s="9715"/>
      <c r="AA64" s="9715"/>
      <c r="AB64" s="9715"/>
      <c r="AC64" s="9715"/>
      <c r="AD64" s="9715"/>
      <c r="AE64" s="9715"/>
      <c r="AF64" s="9715"/>
      <c r="AG64" s="1127"/>
    </row>
    <row r="65" spans="1:55" ht="12.75" customHeight="1">
      <c r="A65" s="1127"/>
      <c r="B65" s="9775" t="s">
        <v>2064</v>
      </c>
      <c r="C65" s="9776"/>
      <c r="D65" s="9776"/>
      <c r="E65" s="9776"/>
      <c r="F65" s="9776"/>
      <c r="G65" s="9776"/>
      <c r="H65" s="9776"/>
      <c r="I65" s="9776"/>
      <c r="J65" s="9776"/>
      <c r="K65" s="9776"/>
      <c r="L65" s="9776"/>
      <c r="M65" s="9776"/>
      <c r="N65" s="9776"/>
      <c r="O65" s="9776"/>
      <c r="P65" s="9776"/>
      <c r="Q65" s="9776"/>
      <c r="R65" s="9776"/>
      <c r="S65" s="9776"/>
      <c r="T65" s="9776"/>
      <c r="U65" s="9776"/>
      <c r="V65" s="9776"/>
      <c r="W65" s="9776"/>
      <c r="X65" s="9776"/>
      <c r="Y65" s="9776"/>
      <c r="Z65" s="9776"/>
      <c r="AA65" s="9776"/>
      <c r="AB65" s="9776"/>
      <c r="AC65" s="9776"/>
      <c r="AD65" s="9776"/>
      <c r="AE65" s="9776"/>
      <c r="AF65" s="9776"/>
      <c r="AG65" s="1127"/>
    </row>
    <row r="66" spans="1:55" ht="12.75" customHeight="1">
      <c r="A66" s="1127"/>
      <c r="B66" s="7093"/>
      <c r="C66" s="7093"/>
      <c r="D66" s="7093"/>
      <c r="E66" s="7093"/>
      <c r="F66" s="7093"/>
      <c r="G66" s="7093"/>
      <c r="H66" s="7093"/>
      <c r="I66" s="7093"/>
      <c r="J66" s="7093"/>
      <c r="K66" s="7093"/>
      <c r="L66" s="7093"/>
      <c r="M66" s="7093"/>
      <c r="N66" s="7093"/>
      <c r="O66" s="7093"/>
      <c r="P66" s="7093"/>
      <c r="Q66" s="7093"/>
      <c r="R66" s="7093"/>
      <c r="S66" s="7093"/>
      <c r="T66" s="7093"/>
      <c r="U66" s="7093"/>
      <c r="V66" s="7093"/>
      <c r="W66" s="7093"/>
      <c r="X66" s="7093"/>
      <c r="Y66" s="7093"/>
      <c r="Z66" s="7093"/>
      <c r="AA66" s="7093"/>
      <c r="AB66" s="7093"/>
      <c r="AC66" s="7093"/>
      <c r="AD66" s="7093"/>
      <c r="AE66" s="7093"/>
      <c r="AF66" s="7093"/>
      <c r="AG66" s="1127"/>
    </row>
    <row r="67" spans="1:55" ht="12.75" customHeight="1">
      <c r="A67" s="1127"/>
      <c r="B67" s="7776"/>
      <c r="C67" s="7776"/>
      <c r="D67" s="7776"/>
      <c r="E67" s="7776"/>
      <c r="F67" s="7776"/>
      <c r="G67" s="7776"/>
      <c r="H67" s="7776"/>
      <c r="I67" s="7776"/>
      <c r="J67" s="7776"/>
      <c r="K67" s="7776"/>
      <c r="L67" s="7776"/>
      <c r="M67" s="7776"/>
      <c r="N67" s="7776"/>
      <c r="O67" s="7776"/>
      <c r="P67" s="7776"/>
      <c r="Q67" s="7776"/>
      <c r="R67" s="7776"/>
      <c r="S67" s="7776"/>
      <c r="T67" s="7776"/>
      <c r="U67" s="7776"/>
      <c r="V67" s="7776"/>
      <c r="W67" s="7776"/>
      <c r="X67" s="7776"/>
      <c r="Y67" s="7776"/>
      <c r="Z67" s="7776"/>
      <c r="AA67" s="7776"/>
      <c r="AB67" s="7776"/>
      <c r="AC67" s="7776"/>
      <c r="AD67" s="7776"/>
      <c r="AE67" s="7776"/>
      <c r="AF67" s="7776"/>
      <c r="AG67" s="1127"/>
    </row>
    <row r="68" spans="1:55" ht="3.75" customHeight="1">
      <c r="A68" s="1127"/>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1127"/>
    </row>
    <row r="69" spans="1:55" ht="15">
      <c r="A69" s="1127"/>
      <c r="B69" s="9788" t="s">
        <v>118</v>
      </c>
      <c r="C69" s="9789"/>
      <c r="D69" s="23"/>
      <c r="E69" s="343" t="s">
        <v>2057</v>
      </c>
      <c r="F69" s="412"/>
      <c r="G69" s="412"/>
      <c r="H69" s="412"/>
      <c r="I69" s="412"/>
      <c r="J69" s="412"/>
      <c r="K69" s="412"/>
      <c r="L69" s="412"/>
      <c r="M69" s="412"/>
      <c r="N69" s="412"/>
      <c r="O69" s="412"/>
      <c r="P69" s="343"/>
      <c r="Q69" s="412"/>
      <c r="R69" s="412"/>
      <c r="S69" s="412"/>
      <c r="T69" s="412" t="s">
        <v>2056</v>
      </c>
      <c r="U69" s="412"/>
      <c r="V69" s="412"/>
      <c r="W69" s="412"/>
      <c r="X69" s="412"/>
      <c r="Y69" s="412" t="s">
        <v>2814</v>
      </c>
      <c r="Z69" s="412"/>
      <c r="AA69" s="412"/>
      <c r="AB69" s="412"/>
      <c r="AC69" s="412"/>
      <c r="AD69" s="412"/>
      <c r="AE69" s="412"/>
      <c r="AF69" s="412"/>
      <c r="AG69" s="1127" t="b">
        <f>IF(SUM(AG88:AG115)&gt;0,TRUE,FALSE)</f>
        <v>0</v>
      </c>
    </row>
    <row r="70" spans="1:55" ht="11.25" customHeight="1">
      <c r="A70" s="1127"/>
      <c r="B70" s="23"/>
      <c r="C70" s="23"/>
      <c r="D70" s="23"/>
      <c r="E70" s="412" t="s">
        <v>2815</v>
      </c>
      <c r="F70" s="412"/>
      <c r="G70" s="412"/>
      <c r="H70" s="412"/>
      <c r="I70" s="412"/>
      <c r="J70" s="412"/>
      <c r="K70" s="412"/>
      <c r="L70" s="412"/>
      <c r="M70" s="412"/>
      <c r="N70" s="412"/>
      <c r="O70" s="412"/>
      <c r="P70" s="412"/>
      <c r="Q70" s="412"/>
      <c r="R70" s="412"/>
      <c r="S70" s="412"/>
      <c r="T70" s="412"/>
      <c r="U70" s="412"/>
      <c r="V70" s="412"/>
      <c r="W70" s="412"/>
      <c r="X70" s="412"/>
      <c r="Y70" s="412"/>
      <c r="Z70" s="412"/>
      <c r="AA70" s="412"/>
      <c r="AB70" s="412"/>
      <c r="AC70" s="412"/>
      <c r="AD70" s="412"/>
      <c r="AE70" s="412"/>
      <c r="AF70" s="412"/>
      <c r="AG70" s="1127"/>
    </row>
    <row r="71" spans="1:55" s="262" customFormat="1" ht="13.5" customHeight="1">
      <c r="A71" s="2667"/>
      <c r="B71" s="412"/>
      <c r="C71" s="412"/>
      <c r="D71" s="412"/>
      <c r="E71" s="2668" t="s">
        <v>2058</v>
      </c>
      <c r="F71" s="412"/>
      <c r="G71" s="412"/>
      <c r="H71" s="412"/>
      <c r="I71" s="412"/>
      <c r="J71" s="412"/>
      <c r="K71" s="412"/>
      <c r="L71" s="412"/>
      <c r="M71" s="412"/>
      <c r="N71" s="412"/>
      <c r="O71" s="412"/>
      <c r="P71" s="412"/>
      <c r="Q71" s="412"/>
      <c r="R71" s="412"/>
      <c r="S71" s="412"/>
      <c r="T71" s="412"/>
      <c r="U71" s="412"/>
      <c r="V71" s="412"/>
      <c r="W71" s="412"/>
      <c r="X71" s="412"/>
      <c r="Y71" s="412"/>
      <c r="Z71" s="412"/>
      <c r="AA71" s="412"/>
      <c r="AB71" s="412"/>
      <c r="AC71" s="412"/>
      <c r="AD71" s="412"/>
      <c r="AE71" s="412"/>
      <c r="AF71" s="412"/>
      <c r="AG71" s="2667"/>
      <c r="AH71" s="982"/>
      <c r="AI71" s="982"/>
    </row>
    <row r="72" spans="1:55" s="262" customFormat="1" ht="13.5" customHeight="1">
      <c r="A72" s="2667"/>
      <c r="B72" s="412"/>
      <c r="C72" s="412"/>
      <c r="D72" s="412"/>
      <c r="E72" s="412" t="s">
        <v>817</v>
      </c>
      <c r="F72" s="412"/>
      <c r="G72" s="412"/>
      <c r="H72" s="412"/>
      <c r="I72" s="412"/>
      <c r="J72" s="412"/>
      <c r="K72" s="412"/>
      <c r="L72" s="412"/>
      <c r="M72" s="412"/>
      <c r="N72" s="412"/>
      <c r="O72" s="412"/>
      <c r="P72" s="412"/>
      <c r="Q72" s="412"/>
      <c r="R72" s="412"/>
      <c r="S72" s="412"/>
      <c r="T72" s="412"/>
      <c r="U72" s="412"/>
      <c r="V72" s="412"/>
      <c r="W72" s="412"/>
      <c r="X72" s="412"/>
      <c r="Y72" s="412"/>
      <c r="Z72" s="412"/>
      <c r="AA72" s="412"/>
      <c r="AB72" s="412"/>
      <c r="AC72" s="412"/>
      <c r="AD72" s="412"/>
      <c r="AE72" s="412"/>
      <c r="AF72" s="412"/>
      <c r="AG72" s="2667"/>
      <c r="AH72" s="982"/>
      <c r="AI72" s="982"/>
    </row>
    <row r="73" spans="1:55" s="262" customFormat="1" ht="13.5" customHeight="1">
      <c r="A73" s="2667"/>
      <c r="B73" s="2669"/>
      <c r="C73" s="2669"/>
      <c r="D73" s="2669"/>
      <c r="E73" s="2669" t="s">
        <v>2816</v>
      </c>
      <c r="F73" s="2669"/>
      <c r="G73" s="2669"/>
      <c r="H73" s="2669"/>
      <c r="I73" s="2669"/>
      <c r="J73" s="2669"/>
      <c r="K73" s="2669"/>
      <c r="L73" s="2669"/>
      <c r="M73" s="2669"/>
      <c r="N73" s="2669"/>
      <c r="O73" s="2669"/>
      <c r="P73" s="2669"/>
      <c r="Q73" s="2669"/>
      <c r="R73" s="2669"/>
      <c r="S73" s="2669"/>
      <c r="T73" s="2669"/>
      <c r="U73" s="2669"/>
      <c r="V73" s="2669"/>
      <c r="W73" s="2669"/>
      <c r="X73" s="2669"/>
      <c r="Y73" s="2669"/>
      <c r="Z73" s="2669"/>
      <c r="AA73" s="2669"/>
      <c r="AB73" s="2669"/>
      <c r="AC73" s="2669"/>
      <c r="AD73" s="2669"/>
      <c r="AE73" s="2669"/>
      <c r="AF73" s="2669"/>
      <c r="AG73" s="2667"/>
      <c r="AH73" s="982"/>
      <c r="AI73" s="982"/>
    </row>
    <row r="74" spans="1:55">
      <c r="A74" s="1127"/>
      <c r="B74" s="278" t="s">
        <v>818</v>
      </c>
      <c r="C74" s="56"/>
      <c r="D74" s="56"/>
      <c r="E74" s="56"/>
      <c r="F74" s="56"/>
      <c r="G74" s="56"/>
      <c r="H74" s="56"/>
      <c r="I74" s="56"/>
      <c r="J74" s="56"/>
      <c r="K74" s="278" t="s">
        <v>724</v>
      </c>
      <c r="L74" s="56"/>
      <c r="M74" s="56"/>
      <c r="N74" s="56"/>
      <c r="O74" s="56"/>
      <c r="P74" s="70" t="s">
        <v>726</v>
      </c>
      <c r="Q74" s="56"/>
      <c r="R74" s="56"/>
      <c r="S74" s="56"/>
      <c r="T74" s="56"/>
      <c r="U74" s="56"/>
      <c r="V74" s="56"/>
      <c r="W74" s="56"/>
      <c r="X74" s="56"/>
      <c r="Y74" s="56"/>
      <c r="Z74" s="56"/>
      <c r="AA74" s="56"/>
      <c r="AB74" s="56"/>
      <c r="AC74" s="56"/>
      <c r="AD74" s="56"/>
      <c r="AE74" s="56"/>
      <c r="AF74" s="56"/>
      <c r="AG74" s="1127"/>
    </row>
    <row r="75" spans="1:55">
      <c r="A75" s="1127"/>
      <c r="B75" s="70" t="s">
        <v>727</v>
      </c>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1127"/>
      <c r="BA75" s="9699" t="s">
        <v>780</v>
      </c>
      <c r="BB75" s="6206"/>
      <c r="BC75" s="7198"/>
    </row>
    <row r="76" spans="1:55">
      <c r="A76" s="1127"/>
      <c r="B76" s="70" t="s">
        <v>728</v>
      </c>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1127"/>
      <c r="BA76" s="9700" t="s">
        <v>779</v>
      </c>
      <c r="BB76" s="9700" t="s">
        <v>770</v>
      </c>
      <c r="BC76" s="9700" t="s">
        <v>771</v>
      </c>
    </row>
    <row r="77" spans="1:55" ht="4.5" customHeight="1" thickBot="1">
      <c r="A77" s="1127"/>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1127"/>
      <c r="BA77" s="9701"/>
      <c r="BB77" s="9701"/>
      <c r="BC77" s="9701"/>
    </row>
    <row r="78" spans="1:55" ht="12" customHeight="1" thickBot="1">
      <c r="A78" s="1127"/>
      <c r="B78" s="1258">
        <f>IF(C78&lt;&gt;"",1,0)</f>
        <v>0</v>
      </c>
      <c r="C78" s="1257"/>
      <c r="D78" s="999" t="s">
        <v>2817</v>
      </c>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1127"/>
      <c r="AJ78" s="9694"/>
      <c r="AK78" s="9695"/>
      <c r="AL78" s="9695"/>
      <c r="AM78" s="9695"/>
      <c r="AN78" s="9695"/>
      <c r="AO78" s="9695"/>
      <c r="AP78" s="9695"/>
      <c r="AQ78" s="9695"/>
      <c r="BA78" s="9701"/>
      <c r="BB78" s="9701"/>
      <c r="BC78" s="9701"/>
    </row>
    <row r="79" spans="1:55" ht="4.5" customHeight="1" thickBot="1">
      <c r="A79" s="1127"/>
      <c r="B79" s="1235"/>
      <c r="C79" s="56"/>
      <c r="D79" s="70"/>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1127"/>
      <c r="BA79" s="9701"/>
      <c r="BB79" s="9701"/>
      <c r="BC79" s="9701"/>
    </row>
    <row r="80" spans="1:55" ht="11.25" customHeight="1" thickBot="1">
      <c r="A80" s="1127"/>
      <c r="B80" s="1258">
        <f>IF(C80&lt;&gt;"",1,0)</f>
        <v>0</v>
      </c>
      <c r="C80" s="1257"/>
      <c r="D80" s="999" t="s">
        <v>2818</v>
      </c>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1127"/>
      <c r="AJ80" s="9694"/>
      <c r="AK80" s="9695"/>
      <c r="AL80" s="9695"/>
      <c r="AM80" s="9695"/>
      <c r="AN80" s="9695"/>
      <c r="AO80" s="9695"/>
      <c r="AP80" s="9695"/>
      <c r="AQ80" s="9695"/>
      <c r="BA80" s="9701"/>
      <c r="BB80" s="9701"/>
      <c r="BC80" s="9701"/>
    </row>
    <row r="81" spans="1:55" ht="4.5" customHeight="1" thickBot="1">
      <c r="A81" s="1127"/>
      <c r="B81" s="1235"/>
      <c r="C81" s="56"/>
      <c r="D81" s="70"/>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1127"/>
      <c r="BA81" s="9701"/>
      <c r="BB81" s="9701"/>
      <c r="BC81" s="9701"/>
    </row>
    <row r="82" spans="1:55" ht="12" customHeight="1" thickBot="1">
      <c r="A82" s="1127">
        <f>SUM(B78:B82)</f>
        <v>0</v>
      </c>
      <c r="B82" s="1258">
        <f>IF(C82&lt;&gt;"",1,0)</f>
        <v>0</v>
      </c>
      <c r="C82" s="1257"/>
      <c r="D82" s="999" t="s">
        <v>2819</v>
      </c>
      <c r="E82" s="56"/>
      <c r="F82" s="56"/>
      <c r="G82" s="56"/>
      <c r="H82" s="56"/>
      <c r="I82" s="56"/>
      <c r="J82" s="56"/>
      <c r="K82" s="56"/>
      <c r="L82" s="56"/>
      <c r="M82" s="56"/>
      <c r="N82" s="56"/>
      <c r="O82" s="56"/>
      <c r="P82" s="56"/>
      <c r="Q82" s="56"/>
      <c r="R82" s="9740" t="str">
        <f>IF(SpaceUsed_8949D_LT,"ERROR: DO NOT use the space bar to uncheck a box. Use the 'Delete' key.",IF(A82&gt;1,"Check only ONE box.",IF(A82&gt;0,"",IF(A82&lt;1,"Check ONE box.",""))))</f>
        <v>Check ONE box.</v>
      </c>
      <c r="S82" s="9741"/>
      <c r="T82" s="9741"/>
      <c r="U82" s="9741"/>
      <c r="V82" s="9741"/>
      <c r="W82" s="9741"/>
      <c r="X82" s="9741"/>
      <c r="Y82" s="9741"/>
      <c r="Z82" s="9741"/>
      <c r="AA82" s="9741"/>
      <c r="AB82" s="9741"/>
      <c r="AC82" s="9741"/>
      <c r="AD82" s="9741"/>
      <c r="AE82" s="9741"/>
      <c r="AF82" s="56"/>
      <c r="AG82" s="1127"/>
      <c r="AH82" s="1430" t="b">
        <f>IF(OR(F8949DLBOXA=CHAR(32),F8949DLBOXB=CHAR(32),F8949DLBOXC=CHAR(32)),TRUE,FALSE)</f>
        <v>0</v>
      </c>
      <c r="AJ82" s="9702" t="s">
        <v>2467</v>
      </c>
      <c r="AK82" s="9695"/>
      <c r="AL82" s="9695"/>
      <c r="AM82" s="9695"/>
      <c r="AN82" s="9695"/>
      <c r="AO82" s="9695"/>
      <c r="AP82" s="9695"/>
      <c r="AQ82" s="9695"/>
      <c r="BA82" s="9701"/>
      <c r="BB82" s="9701"/>
      <c r="BC82" s="9701"/>
    </row>
    <row r="83" spans="1:55" ht="3.75" customHeight="1">
      <c r="A83" s="1127"/>
      <c r="B83" s="279"/>
      <c r="C83" s="1092"/>
      <c r="D83" s="279"/>
      <c r="E83" s="279"/>
      <c r="F83" s="279"/>
      <c r="G83" s="279"/>
      <c r="H83" s="279"/>
      <c r="I83" s="279"/>
      <c r="J83" s="279"/>
      <c r="K83" s="279"/>
      <c r="L83" s="279"/>
      <c r="M83" s="279"/>
      <c r="N83" s="1092"/>
      <c r="O83" s="279"/>
      <c r="P83" s="279"/>
      <c r="Q83" s="279"/>
      <c r="R83" s="279"/>
      <c r="S83" s="279"/>
      <c r="T83" s="279"/>
      <c r="U83" s="279"/>
      <c r="V83" s="279"/>
      <c r="W83" s="279"/>
      <c r="X83" s="279"/>
      <c r="Y83" s="1092"/>
      <c r="Z83" s="279"/>
      <c r="AA83" s="279"/>
      <c r="AB83" s="279"/>
      <c r="AC83" s="279"/>
      <c r="AD83" s="279"/>
      <c r="AE83" s="279"/>
      <c r="AF83" s="279"/>
      <c r="AG83" s="1127"/>
      <c r="BA83" s="9701"/>
      <c r="BB83" s="9701"/>
      <c r="BC83" s="9701"/>
    </row>
    <row r="84" spans="1:55" ht="21" customHeight="1">
      <c r="A84" s="1127"/>
      <c r="B84" s="9725">
        <v>1</v>
      </c>
      <c r="C84" s="9732" t="s">
        <v>620</v>
      </c>
      <c r="D84" s="9733"/>
      <c r="E84" s="9733"/>
      <c r="F84" s="9733"/>
      <c r="G84" s="9733"/>
      <c r="H84" s="9733"/>
      <c r="I84" s="9734"/>
      <c r="J84" s="6448" t="s">
        <v>2821</v>
      </c>
      <c r="K84" s="7379"/>
      <c r="L84" s="7155"/>
      <c r="M84" s="6448" t="s">
        <v>5477</v>
      </c>
      <c r="N84" s="7379"/>
      <c r="O84" s="7379"/>
      <c r="P84" s="7155"/>
      <c r="Q84" s="6448" t="s">
        <v>730</v>
      </c>
      <c r="R84" s="7379"/>
      <c r="S84" s="7379"/>
      <c r="T84" s="7155"/>
      <c r="U84" s="9673" t="s">
        <v>734</v>
      </c>
      <c r="V84" s="9674"/>
      <c r="W84" s="9674"/>
      <c r="X84" s="9748"/>
      <c r="Y84" s="9742" t="s">
        <v>2820</v>
      </c>
      <c r="Z84" s="9743"/>
      <c r="AA84" s="9743"/>
      <c r="AB84" s="9744"/>
      <c r="AC84" s="9673" t="s">
        <v>733</v>
      </c>
      <c r="AD84" s="9674"/>
      <c r="AE84" s="9674"/>
      <c r="AF84" s="9674"/>
      <c r="AG84" s="1127"/>
      <c r="AJ84" s="9692" t="s">
        <v>711</v>
      </c>
      <c r="AK84" s="9692" t="s">
        <v>736</v>
      </c>
      <c r="AL84" s="9692" t="s">
        <v>737</v>
      </c>
      <c r="AM84" s="9692" t="s">
        <v>738</v>
      </c>
      <c r="AN84" s="9690" t="s">
        <v>739</v>
      </c>
      <c r="AO84" s="9696" t="s">
        <v>731</v>
      </c>
      <c r="AP84" s="7127"/>
      <c r="AQ84" s="9692" t="s">
        <v>741</v>
      </c>
      <c r="BA84" s="9701"/>
      <c r="BB84" s="9701"/>
      <c r="BC84" s="9701"/>
    </row>
    <row r="85" spans="1:55" ht="21" customHeight="1">
      <c r="A85" s="1127"/>
      <c r="B85" s="9726"/>
      <c r="C85" s="9735"/>
      <c r="D85" s="9736"/>
      <c r="E85" s="9736"/>
      <c r="F85" s="9736"/>
      <c r="G85" s="9736"/>
      <c r="H85" s="9736"/>
      <c r="I85" s="9737"/>
      <c r="J85" s="6450"/>
      <c r="K85" s="8199"/>
      <c r="L85" s="7157"/>
      <c r="M85" s="6450"/>
      <c r="N85" s="8199"/>
      <c r="O85" s="8199"/>
      <c r="P85" s="7157"/>
      <c r="Q85" s="6450"/>
      <c r="R85" s="8199"/>
      <c r="S85" s="8199"/>
      <c r="T85" s="7157"/>
      <c r="U85" s="9675"/>
      <c r="V85" s="9676"/>
      <c r="W85" s="9676"/>
      <c r="X85" s="9749"/>
      <c r="Y85" s="9745"/>
      <c r="Z85" s="9746"/>
      <c r="AA85" s="9746"/>
      <c r="AB85" s="9747"/>
      <c r="AC85" s="9675"/>
      <c r="AD85" s="9676"/>
      <c r="AE85" s="9676"/>
      <c r="AF85" s="9676"/>
      <c r="AG85" s="1127"/>
      <c r="AJ85" s="9692"/>
      <c r="AK85" s="9692"/>
      <c r="AL85" s="9692"/>
      <c r="AM85" s="9692"/>
      <c r="AN85" s="9690"/>
      <c r="AO85" s="7264"/>
      <c r="AP85" s="7133"/>
      <c r="AQ85" s="9692"/>
      <c r="BA85" s="9701"/>
      <c r="BB85" s="9701"/>
      <c r="BC85" s="9701"/>
    </row>
    <row r="86" spans="1:55" ht="18" customHeight="1">
      <c r="A86" s="1127"/>
      <c r="B86" s="9727"/>
      <c r="C86" s="9736"/>
      <c r="D86" s="9736"/>
      <c r="E86" s="9736"/>
      <c r="F86" s="9736"/>
      <c r="G86" s="9736"/>
      <c r="H86" s="9736"/>
      <c r="I86" s="9737"/>
      <c r="J86" s="7156"/>
      <c r="K86" s="8199"/>
      <c r="L86" s="7157"/>
      <c r="M86" s="7156"/>
      <c r="N86" s="8199"/>
      <c r="O86" s="8199"/>
      <c r="P86" s="7157"/>
      <c r="Q86" s="7156"/>
      <c r="R86" s="8199"/>
      <c r="S86" s="8199"/>
      <c r="T86" s="7157"/>
      <c r="U86" s="9677"/>
      <c r="V86" s="9676"/>
      <c r="W86" s="9676"/>
      <c r="X86" s="9749"/>
      <c r="Y86" s="7324" t="s">
        <v>2822</v>
      </c>
      <c r="Z86" s="7155"/>
      <c r="AA86" s="7324" t="s">
        <v>732</v>
      </c>
      <c r="AB86" s="7258"/>
      <c r="AC86" s="9677"/>
      <c r="AD86" s="9676"/>
      <c r="AE86" s="9676"/>
      <c r="AF86" s="9676"/>
      <c r="AG86" s="1127"/>
      <c r="AJ86" s="9693"/>
      <c r="AK86" s="9693"/>
      <c r="AL86" s="9693"/>
      <c r="AM86" s="9693"/>
      <c r="AN86" s="9691"/>
      <c r="AO86" s="9698" t="s">
        <v>740</v>
      </c>
      <c r="AP86" s="7237" t="s">
        <v>732</v>
      </c>
      <c r="AQ86" s="9693"/>
      <c r="BA86" s="9701"/>
      <c r="BB86" s="9701"/>
      <c r="BC86" s="9701"/>
    </row>
    <row r="87" spans="1:55" ht="18" customHeight="1">
      <c r="A87" s="1127"/>
      <c r="B87" s="9728"/>
      <c r="C87" s="9738"/>
      <c r="D87" s="9738"/>
      <c r="E87" s="9738"/>
      <c r="F87" s="9738"/>
      <c r="G87" s="9738"/>
      <c r="H87" s="9738"/>
      <c r="I87" s="9739"/>
      <c r="J87" s="7158"/>
      <c r="K87" s="9751"/>
      <c r="L87" s="7159"/>
      <c r="M87" s="7158"/>
      <c r="N87" s="9751"/>
      <c r="O87" s="9751"/>
      <c r="P87" s="7159"/>
      <c r="Q87" s="7158"/>
      <c r="R87" s="9751"/>
      <c r="S87" s="9751"/>
      <c r="T87" s="7159"/>
      <c r="U87" s="9678"/>
      <c r="V87" s="9679"/>
      <c r="W87" s="9679"/>
      <c r="X87" s="9750"/>
      <c r="Y87" s="7158"/>
      <c r="Z87" s="7159"/>
      <c r="AA87" s="6619"/>
      <c r="AB87" s="7260"/>
      <c r="AC87" s="9678"/>
      <c r="AD87" s="9679"/>
      <c r="AE87" s="9679"/>
      <c r="AF87" s="9679"/>
      <c r="AG87" s="1127"/>
      <c r="AJ87" s="9693"/>
      <c r="AK87" s="9693"/>
      <c r="AL87" s="9693"/>
      <c r="AM87" s="9693"/>
      <c r="AN87" s="9691"/>
      <c r="AO87" s="9697"/>
      <c r="AP87" s="9697"/>
      <c r="AQ87" s="9693"/>
      <c r="BA87" s="9701"/>
      <c r="BB87" s="9701"/>
      <c r="BC87" s="9701"/>
    </row>
    <row r="88" spans="1:55" ht="19.5" customHeight="1">
      <c r="A88" s="1127">
        <f>IF(OR(U88&lt;&gt;"",Y88&lt;&gt;"",AC88&lt;&gt;""),1,0)</f>
        <v>0</v>
      </c>
      <c r="B88" s="9703" t="str">
        <f t="shared" ref="B88:B115" si="20">IF(AJ88="","",AJ88)</f>
        <v/>
      </c>
      <c r="C88" s="9704"/>
      <c r="D88" s="9704"/>
      <c r="E88" s="9704"/>
      <c r="F88" s="9704"/>
      <c r="G88" s="9704"/>
      <c r="H88" s="9704"/>
      <c r="I88" s="9705"/>
      <c r="J88" s="9706" t="str">
        <f t="shared" ref="J88:J115" si="21">IF(AK88="","",AK88)</f>
        <v/>
      </c>
      <c r="K88" s="9707"/>
      <c r="L88" s="9707"/>
      <c r="M88" s="9706" t="str">
        <f t="shared" ref="M88:M115" si="22">IF(AL88="","",AL88)</f>
        <v/>
      </c>
      <c r="N88" s="9707"/>
      <c r="O88" s="9707"/>
      <c r="P88" s="9708"/>
      <c r="Q88" s="6969" t="str">
        <f t="shared" ref="Q88:Q115" si="23">IF(AM88="","",AM88)</f>
        <v/>
      </c>
      <c r="R88" s="9688"/>
      <c r="S88" s="9688"/>
      <c r="T88" s="9689"/>
      <c r="U88" s="6969" t="str">
        <f t="shared" ref="U88:U115" si="24">IF(AN88="","",AN88)</f>
        <v/>
      </c>
      <c r="V88" s="9688"/>
      <c r="W88" s="9688"/>
      <c r="X88" s="9689"/>
      <c r="Y88" s="9670" t="str">
        <f>IF(AO88&lt;&gt;"",AO88,"")</f>
        <v/>
      </c>
      <c r="Z88" s="6222"/>
      <c r="AA88" s="9670" t="str">
        <f>IF(AP88="","",AP88)</f>
        <v/>
      </c>
      <c r="AB88" s="6222"/>
      <c r="AC88" s="9671" t="str">
        <f>IF(AQ88&lt;&gt;"",AQ88,IF(AND(Q88="",U88=""),"",IF(AND(Q88&lt;&gt;"",U88=""),SUM(Q88,AA88),SUM(Q88,-U88,AA88))))</f>
        <v/>
      </c>
      <c r="AD88" s="9672"/>
      <c r="AE88" s="9672"/>
      <c r="AF88" s="9672"/>
      <c r="AG88" s="1297">
        <f>IF(OR(J88="",M88=""),0,IF(OR(BA88,BB88,BC88),1,0))</f>
        <v>0</v>
      </c>
      <c r="AH88" s="1090"/>
      <c r="AI88" s="1090" t="e">
        <f>M88-J88</f>
        <v>#VALUE!</v>
      </c>
      <c r="AJ88" s="1237"/>
      <c r="AK88" s="1241"/>
      <c r="AL88" s="1241"/>
      <c r="AM88" s="1239"/>
      <c r="AN88" s="1239"/>
      <c r="AO88" s="1240"/>
      <c r="AP88" s="1239"/>
      <c r="AQ88" s="1238"/>
      <c r="AS88" s="42" t="e">
        <f>YEAR(J88)</f>
        <v>#VALUE!</v>
      </c>
      <c r="AT88" s="42" t="e">
        <f>MONTH(J88)</f>
        <v>#VALUE!</v>
      </c>
      <c r="AU88" s="42" t="e">
        <f>DAY(J88)</f>
        <v>#VALUE!</v>
      </c>
      <c r="AW88" s="42" t="e">
        <f>YEAR(M88)</f>
        <v>#VALUE!</v>
      </c>
      <c r="AX88" s="42" t="e">
        <f>MONTH(M88)</f>
        <v>#VALUE!</v>
      </c>
      <c r="AY88" s="42" t="e">
        <f>DAY(M88)</f>
        <v>#VALUE!</v>
      </c>
      <c r="BA88" s="42" t="e">
        <f>IF(AW88=AS88,TRUE,FALSE)</f>
        <v>#VALUE!</v>
      </c>
      <c r="BB88" s="42" t="e">
        <f>IF(AND(AW88=AS88+1,AX88&lt;AT88),TRUE,FALSE)</f>
        <v>#VALUE!</v>
      </c>
      <c r="BC88" s="42" t="e">
        <f>IF(AND(AW88=AS88+1,AX88=AT88,AY88&lt;=AU88),TRUE,FALSE)</f>
        <v>#VALUE!</v>
      </c>
    </row>
    <row r="89" spans="1:55" ht="19.5" customHeight="1">
      <c r="A89" s="1127">
        <f t="shared" ref="A89:A115" si="25">IF(OR(U89&lt;&gt;"",Y89&lt;&gt;"",AC89&lt;&gt;""),1,0)</f>
        <v>0</v>
      </c>
      <c r="B89" s="9703" t="str">
        <f t="shared" si="20"/>
        <v/>
      </c>
      <c r="C89" s="9704"/>
      <c r="D89" s="9704"/>
      <c r="E89" s="9704"/>
      <c r="F89" s="9704"/>
      <c r="G89" s="9704"/>
      <c r="H89" s="9704"/>
      <c r="I89" s="9705"/>
      <c r="J89" s="9706" t="str">
        <f t="shared" si="21"/>
        <v/>
      </c>
      <c r="K89" s="9707"/>
      <c r="L89" s="9707"/>
      <c r="M89" s="9706" t="str">
        <f t="shared" si="22"/>
        <v/>
      </c>
      <c r="N89" s="9707"/>
      <c r="O89" s="9707"/>
      <c r="P89" s="9708"/>
      <c r="Q89" s="6969" t="str">
        <f t="shared" si="23"/>
        <v/>
      </c>
      <c r="R89" s="9688"/>
      <c r="S89" s="9688"/>
      <c r="T89" s="9689"/>
      <c r="U89" s="6969" t="str">
        <f t="shared" si="24"/>
        <v/>
      </c>
      <c r="V89" s="9688"/>
      <c r="W89" s="9688"/>
      <c r="X89" s="9689"/>
      <c r="Y89" s="9670" t="str">
        <f t="shared" ref="Y89:Y115" si="26">IF(AO89&lt;&gt;"",AO89,"")</f>
        <v/>
      </c>
      <c r="Z89" s="6222"/>
      <c r="AA89" s="9670" t="str">
        <f t="shared" ref="AA89:AA115" si="27">IF(AP89="","",AP89)</f>
        <v/>
      </c>
      <c r="AB89" s="6222"/>
      <c r="AC89" s="9671" t="str">
        <f t="shared" ref="AC89:AC115" si="28">IF(AQ89&lt;&gt;"",AQ89,IF(AND(Q89="",U89=""),"",IF(AND(Q89&lt;&gt;"",U89=""),SUM(Q89,AA89),SUM(Q89,-U89,AA89))))</f>
        <v/>
      </c>
      <c r="AD89" s="9672"/>
      <c r="AE89" s="9672"/>
      <c r="AF89" s="9672"/>
      <c r="AG89" s="1297">
        <f t="shared" ref="AG89:AG115" si="29">IF(OR(J89="",M89=""),0,IF(OR(BA89,BB89,BC89),1,0))</f>
        <v>0</v>
      </c>
      <c r="AH89" s="1090"/>
      <c r="AI89" s="1090" t="e">
        <f t="shared" ref="AI89:AI115" si="30">M89-J89</f>
        <v>#VALUE!</v>
      </c>
      <c r="AJ89" s="1237"/>
      <c r="AK89" s="1241"/>
      <c r="AL89" s="1241"/>
      <c r="AM89" s="1239"/>
      <c r="AN89" s="1239"/>
      <c r="AO89" s="1240"/>
      <c r="AP89" s="1239"/>
      <c r="AQ89" s="1238"/>
      <c r="AS89" s="42" t="e">
        <f t="shared" ref="AS89:AS115" si="31">YEAR(J89)</f>
        <v>#VALUE!</v>
      </c>
      <c r="AT89" s="42" t="e">
        <f t="shared" ref="AT89:AT115" si="32">MONTH(J89)</f>
        <v>#VALUE!</v>
      </c>
      <c r="AU89" s="42" t="e">
        <f t="shared" ref="AU89:AU115" si="33">DAY(J89)</f>
        <v>#VALUE!</v>
      </c>
      <c r="AW89" s="42" t="e">
        <f t="shared" ref="AW89:AW115" si="34">YEAR(M89)</f>
        <v>#VALUE!</v>
      </c>
      <c r="AX89" s="42" t="e">
        <f t="shared" ref="AX89:AX115" si="35">MONTH(M89)</f>
        <v>#VALUE!</v>
      </c>
      <c r="AY89" s="42" t="e">
        <f t="shared" ref="AY89:AY115" si="36">DAY(M89)</f>
        <v>#VALUE!</v>
      </c>
      <c r="BA89" s="42" t="e">
        <f t="shared" ref="BA89:BA115" si="37">IF(AW89=AS89,TRUE,FALSE)</f>
        <v>#VALUE!</v>
      </c>
      <c r="BB89" s="42" t="e">
        <f t="shared" ref="BB89:BB115" si="38">IF(AND(AW89=AS89+1,AX89&lt;AT89),TRUE,FALSE)</f>
        <v>#VALUE!</v>
      </c>
      <c r="BC89" s="42" t="e">
        <f t="shared" ref="BC89:BC115" si="39">IF(AND(AW89=AS89+1,AX89=AT89,AY89&lt;=AU89),TRUE,FALSE)</f>
        <v>#VALUE!</v>
      </c>
    </row>
    <row r="90" spans="1:55" ht="19.5" customHeight="1">
      <c r="A90" s="1127">
        <f t="shared" si="25"/>
        <v>0</v>
      </c>
      <c r="B90" s="9703" t="str">
        <f t="shared" si="20"/>
        <v/>
      </c>
      <c r="C90" s="9704"/>
      <c r="D90" s="9704"/>
      <c r="E90" s="9704"/>
      <c r="F90" s="9704"/>
      <c r="G90" s="9704"/>
      <c r="H90" s="9704"/>
      <c r="I90" s="9705"/>
      <c r="J90" s="9706" t="str">
        <f t="shared" si="21"/>
        <v/>
      </c>
      <c r="K90" s="9707"/>
      <c r="L90" s="9707"/>
      <c r="M90" s="9706" t="str">
        <f t="shared" si="22"/>
        <v/>
      </c>
      <c r="N90" s="9707"/>
      <c r="O90" s="9707"/>
      <c r="P90" s="9708"/>
      <c r="Q90" s="6969" t="str">
        <f t="shared" si="23"/>
        <v/>
      </c>
      <c r="R90" s="9688"/>
      <c r="S90" s="9688"/>
      <c r="T90" s="9689"/>
      <c r="U90" s="6969" t="str">
        <f t="shared" si="24"/>
        <v/>
      </c>
      <c r="V90" s="9688"/>
      <c r="W90" s="9688"/>
      <c r="X90" s="9689"/>
      <c r="Y90" s="9670" t="str">
        <f t="shared" si="26"/>
        <v/>
      </c>
      <c r="Z90" s="6222"/>
      <c r="AA90" s="9670" t="str">
        <f t="shared" si="27"/>
        <v/>
      </c>
      <c r="AB90" s="6222"/>
      <c r="AC90" s="9671" t="str">
        <f t="shared" si="28"/>
        <v/>
      </c>
      <c r="AD90" s="9672"/>
      <c r="AE90" s="9672"/>
      <c r="AF90" s="9672"/>
      <c r="AG90" s="1297">
        <f t="shared" si="29"/>
        <v>0</v>
      </c>
      <c r="AH90" s="1090"/>
      <c r="AI90" s="1090" t="e">
        <f t="shared" si="30"/>
        <v>#VALUE!</v>
      </c>
      <c r="AJ90" s="1237"/>
      <c r="AK90" s="1241"/>
      <c r="AL90" s="1241"/>
      <c r="AM90" s="1239"/>
      <c r="AN90" s="1239"/>
      <c r="AO90" s="1240"/>
      <c r="AP90" s="1239"/>
      <c r="AQ90" s="1238"/>
      <c r="AS90" s="42" t="e">
        <f t="shared" si="31"/>
        <v>#VALUE!</v>
      </c>
      <c r="AT90" s="42" t="e">
        <f t="shared" si="32"/>
        <v>#VALUE!</v>
      </c>
      <c r="AU90" s="42" t="e">
        <f t="shared" si="33"/>
        <v>#VALUE!</v>
      </c>
      <c r="AW90" s="42" t="e">
        <f t="shared" si="34"/>
        <v>#VALUE!</v>
      </c>
      <c r="AX90" s="42" t="e">
        <f t="shared" si="35"/>
        <v>#VALUE!</v>
      </c>
      <c r="AY90" s="42" t="e">
        <f t="shared" si="36"/>
        <v>#VALUE!</v>
      </c>
      <c r="BA90" s="42" t="e">
        <f t="shared" si="37"/>
        <v>#VALUE!</v>
      </c>
      <c r="BB90" s="42" t="e">
        <f t="shared" si="38"/>
        <v>#VALUE!</v>
      </c>
      <c r="BC90" s="42" t="e">
        <f t="shared" si="39"/>
        <v>#VALUE!</v>
      </c>
    </row>
    <row r="91" spans="1:55" ht="19.5" customHeight="1">
      <c r="A91" s="1127">
        <f t="shared" si="25"/>
        <v>0</v>
      </c>
      <c r="B91" s="9703" t="str">
        <f t="shared" si="20"/>
        <v/>
      </c>
      <c r="C91" s="9704"/>
      <c r="D91" s="9704"/>
      <c r="E91" s="9704"/>
      <c r="F91" s="9704"/>
      <c r="G91" s="9704"/>
      <c r="H91" s="9704"/>
      <c r="I91" s="9705"/>
      <c r="J91" s="9706" t="str">
        <f t="shared" si="21"/>
        <v/>
      </c>
      <c r="K91" s="9707"/>
      <c r="L91" s="9707"/>
      <c r="M91" s="9706" t="str">
        <f t="shared" si="22"/>
        <v/>
      </c>
      <c r="N91" s="9707"/>
      <c r="O91" s="9707"/>
      <c r="P91" s="9708"/>
      <c r="Q91" s="6969" t="str">
        <f t="shared" si="23"/>
        <v/>
      </c>
      <c r="R91" s="9688"/>
      <c r="S91" s="9688"/>
      <c r="T91" s="9689"/>
      <c r="U91" s="6969" t="str">
        <f t="shared" si="24"/>
        <v/>
      </c>
      <c r="V91" s="9688"/>
      <c r="W91" s="9688"/>
      <c r="X91" s="9689"/>
      <c r="Y91" s="9670" t="str">
        <f t="shared" si="26"/>
        <v/>
      </c>
      <c r="Z91" s="6222"/>
      <c r="AA91" s="9670" t="str">
        <f t="shared" si="27"/>
        <v/>
      </c>
      <c r="AB91" s="6222"/>
      <c r="AC91" s="9671" t="str">
        <f t="shared" si="28"/>
        <v/>
      </c>
      <c r="AD91" s="9672"/>
      <c r="AE91" s="9672"/>
      <c r="AF91" s="9672"/>
      <c r="AG91" s="1297">
        <f t="shared" si="29"/>
        <v>0</v>
      </c>
      <c r="AH91" s="1090"/>
      <c r="AI91" s="1090" t="e">
        <f t="shared" si="30"/>
        <v>#VALUE!</v>
      </c>
      <c r="AJ91" s="1237"/>
      <c r="AK91" s="1241"/>
      <c r="AL91" s="1241"/>
      <c r="AM91" s="1239"/>
      <c r="AN91" s="1239"/>
      <c r="AO91" s="1240"/>
      <c r="AP91" s="1239"/>
      <c r="AQ91" s="1238"/>
      <c r="AS91" s="42" t="e">
        <f t="shared" si="31"/>
        <v>#VALUE!</v>
      </c>
      <c r="AT91" s="42" t="e">
        <f t="shared" si="32"/>
        <v>#VALUE!</v>
      </c>
      <c r="AU91" s="42" t="e">
        <f t="shared" si="33"/>
        <v>#VALUE!</v>
      </c>
      <c r="AW91" s="42" t="e">
        <f t="shared" si="34"/>
        <v>#VALUE!</v>
      </c>
      <c r="AX91" s="42" t="e">
        <f t="shared" si="35"/>
        <v>#VALUE!</v>
      </c>
      <c r="AY91" s="42" t="e">
        <f t="shared" si="36"/>
        <v>#VALUE!</v>
      </c>
      <c r="BA91" s="42" t="e">
        <f t="shared" si="37"/>
        <v>#VALUE!</v>
      </c>
      <c r="BB91" s="42" t="e">
        <f t="shared" si="38"/>
        <v>#VALUE!</v>
      </c>
      <c r="BC91" s="42" t="e">
        <f t="shared" si="39"/>
        <v>#VALUE!</v>
      </c>
    </row>
    <row r="92" spans="1:55" ht="19.5" customHeight="1">
      <c r="A92" s="1127">
        <f t="shared" si="25"/>
        <v>0</v>
      </c>
      <c r="B92" s="9703" t="str">
        <f t="shared" si="20"/>
        <v/>
      </c>
      <c r="C92" s="9704"/>
      <c r="D92" s="9704"/>
      <c r="E92" s="9704"/>
      <c r="F92" s="9704"/>
      <c r="G92" s="9704"/>
      <c r="H92" s="9704"/>
      <c r="I92" s="9705"/>
      <c r="J92" s="9706" t="str">
        <f t="shared" si="21"/>
        <v/>
      </c>
      <c r="K92" s="9707"/>
      <c r="L92" s="9707"/>
      <c r="M92" s="9706" t="str">
        <f t="shared" si="22"/>
        <v/>
      </c>
      <c r="N92" s="9707"/>
      <c r="O92" s="9707"/>
      <c r="P92" s="9708"/>
      <c r="Q92" s="6969" t="str">
        <f t="shared" si="23"/>
        <v/>
      </c>
      <c r="R92" s="9688"/>
      <c r="S92" s="9688"/>
      <c r="T92" s="9689"/>
      <c r="U92" s="6969" t="str">
        <f t="shared" si="24"/>
        <v/>
      </c>
      <c r="V92" s="9688"/>
      <c r="W92" s="9688"/>
      <c r="X92" s="9689"/>
      <c r="Y92" s="9670" t="str">
        <f t="shared" si="26"/>
        <v/>
      </c>
      <c r="Z92" s="6222"/>
      <c r="AA92" s="9670" t="str">
        <f t="shared" si="27"/>
        <v/>
      </c>
      <c r="AB92" s="6222"/>
      <c r="AC92" s="9671" t="str">
        <f t="shared" si="28"/>
        <v/>
      </c>
      <c r="AD92" s="9672"/>
      <c r="AE92" s="9672"/>
      <c r="AF92" s="9672"/>
      <c r="AG92" s="1297">
        <f t="shared" si="29"/>
        <v>0</v>
      </c>
      <c r="AH92" s="1090"/>
      <c r="AI92" s="1090" t="e">
        <f t="shared" si="30"/>
        <v>#VALUE!</v>
      </c>
      <c r="AJ92" s="1237"/>
      <c r="AK92" s="1241"/>
      <c r="AL92" s="1241"/>
      <c r="AM92" s="1239"/>
      <c r="AN92" s="1239"/>
      <c r="AO92" s="1240"/>
      <c r="AP92" s="1239"/>
      <c r="AQ92" s="1238"/>
      <c r="AS92" s="42" t="e">
        <f t="shared" si="31"/>
        <v>#VALUE!</v>
      </c>
      <c r="AT92" s="42" t="e">
        <f t="shared" si="32"/>
        <v>#VALUE!</v>
      </c>
      <c r="AU92" s="42" t="e">
        <f t="shared" si="33"/>
        <v>#VALUE!</v>
      </c>
      <c r="AW92" s="42" t="e">
        <f t="shared" si="34"/>
        <v>#VALUE!</v>
      </c>
      <c r="AX92" s="42" t="e">
        <f t="shared" si="35"/>
        <v>#VALUE!</v>
      </c>
      <c r="AY92" s="42" t="e">
        <f t="shared" si="36"/>
        <v>#VALUE!</v>
      </c>
      <c r="BA92" s="42" t="e">
        <f t="shared" si="37"/>
        <v>#VALUE!</v>
      </c>
      <c r="BB92" s="42" t="e">
        <f t="shared" si="38"/>
        <v>#VALUE!</v>
      </c>
      <c r="BC92" s="42" t="e">
        <f t="shared" si="39"/>
        <v>#VALUE!</v>
      </c>
    </row>
    <row r="93" spans="1:55" ht="19.5" customHeight="1">
      <c r="A93" s="1127">
        <f t="shared" si="25"/>
        <v>0</v>
      </c>
      <c r="B93" s="9703" t="str">
        <f t="shared" si="20"/>
        <v/>
      </c>
      <c r="C93" s="9704"/>
      <c r="D93" s="9704"/>
      <c r="E93" s="9704"/>
      <c r="F93" s="9704"/>
      <c r="G93" s="9704"/>
      <c r="H93" s="9704"/>
      <c r="I93" s="9705"/>
      <c r="J93" s="9706" t="str">
        <f t="shared" si="21"/>
        <v/>
      </c>
      <c r="K93" s="9707"/>
      <c r="L93" s="9707"/>
      <c r="M93" s="9706" t="str">
        <f t="shared" si="22"/>
        <v/>
      </c>
      <c r="N93" s="9707"/>
      <c r="O93" s="9707"/>
      <c r="P93" s="9708"/>
      <c r="Q93" s="6969" t="str">
        <f t="shared" si="23"/>
        <v/>
      </c>
      <c r="R93" s="9688"/>
      <c r="S93" s="9688"/>
      <c r="T93" s="9689"/>
      <c r="U93" s="6969" t="str">
        <f t="shared" si="24"/>
        <v/>
      </c>
      <c r="V93" s="9688"/>
      <c r="W93" s="9688"/>
      <c r="X93" s="9689"/>
      <c r="Y93" s="9670" t="str">
        <f t="shared" si="26"/>
        <v/>
      </c>
      <c r="Z93" s="6222"/>
      <c r="AA93" s="9670" t="str">
        <f t="shared" si="27"/>
        <v/>
      </c>
      <c r="AB93" s="6222"/>
      <c r="AC93" s="9671" t="str">
        <f t="shared" si="28"/>
        <v/>
      </c>
      <c r="AD93" s="9672"/>
      <c r="AE93" s="9672"/>
      <c r="AF93" s="9672"/>
      <c r="AG93" s="1297">
        <f t="shared" si="29"/>
        <v>0</v>
      </c>
      <c r="AH93" s="1090"/>
      <c r="AI93" s="1090" t="e">
        <f t="shared" si="30"/>
        <v>#VALUE!</v>
      </c>
      <c r="AJ93" s="1237"/>
      <c r="AK93" s="1241"/>
      <c r="AL93" s="1241"/>
      <c r="AM93" s="1239"/>
      <c r="AN93" s="1239"/>
      <c r="AO93" s="1240"/>
      <c r="AP93" s="1239"/>
      <c r="AQ93" s="1238"/>
      <c r="AS93" s="42" t="e">
        <f t="shared" si="31"/>
        <v>#VALUE!</v>
      </c>
      <c r="AT93" s="42" t="e">
        <f t="shared" si="32"/>
        <v>#VALUE!</v>
      </c>
      <c r="AU93" s="42" t="e">
        <f t="shared" si="33"/>
        <v>#VALUE!</v>
      </c>
      <c r="AW93" s="42" t="e">
        <f t="shared" si="34"/>
        <v>#VALUE!</v>
      </c>
      <c r="AX93" s="42" t="e">
        <f t="shared" si="35"/>
        <v>#VALUE!</v>
      </c>
      <c r="AY93" s="42" t="e">
        <f t="shared" si="36"/>
        <v>#VALUE!</v>
      </c>
      <c r="BA93" s="42" t="e">
        <f t="shared" si="37"/>
        <v>#VALUE!</v>
      </c>
      <c r="BB93" s="42" t="e">
        <f t="shared" si="38"/>
        <v>#VALUE!</v>
      </c>
      <c r="BC93" s="42" t="e">
        <f t="shared" si="39"/>
        <v>#VALUE!</v>
      </c>
    </row>
    <row r="94" spans="1:55" ht="19.5" customHeight="1">
      <c r="A94" s="1127">
        <f t="shared" si="25"/>
        <v>0</v>
      </c>
      <c r="B94" s="9703" t="str">
        <f t="shared" si="20"/>
        <v/>
      </c>
      <c r="C94" s="9704"/>
      <c r="D94" s="9704"/>
      <c r="E94" s="9704"/>
      <c r="F94" s="9704"/>
      <c r="G94" s="9704"/>
      <c r="H94" s="9704"/>
      <c r="I94" s="9705"/>
      <c r="J94" s="9706" t="str">
        <f t="shared" si="21"/>
        <v/>
      </c>
      <c r="K94" s="9707"/>
      <c r="L94" s="9707"/>
      <c r="M94" s="9706" t="str">
        <f t="shared" si="22"/>
        <v/>
      </c>
      <c r="N94" s="9707"/>
      <c r="O94" s="9707"/>
      <c r="P94" s="9708"/>
      <c r="Q94" s="6969" t="str">
        <f t="shared" si="23"/>
        <v/>
      </c>
      <c r="R94" s="9688"/>
      <c r="S94" s="9688"/>
      <c r="T94" s="9689"/>
      <c r="U94" s="6969" t="str">
        <f t="shared" si="24"/>
        <v/>
      </c>
      <c r="V94" s="9688"/>
      <c r="W94" s="9688"/>
      <c r="X94" s="9689"/>
      <c r="Y94" s="9670" t="str">
        <f t="shared" si="26"/>
        <v/>
      </c>
      <c r="Z94" s="6222"/>
      <c r="AA94" s="9670" t="str">
        <f t="shared" si="27"/>
        <v/>
      </c>
      <c r="AB94" s="6222"/>
      <c r="AC94" s="9671" t="str">
        <f t="shared" si="28"/>
        <v/>
      </c>
      <c r="AD94" s="9672"/>
      <c r="AE94" s="9672"/>
      <c r="AF94" s="9672"/>
      <c r="AG94" s="1297">
        <f t="shared" si="29"/>
        <v>0</v>
      </c>
      <c r="AH94" s="1090"/>
      <c r="AI94" s="1090" t="e">
        <f t="shared" si="30"/>
        <v>#VALUE!</v>
      </c>
      <c r="AJ94" s="1237"/>
      <c r="AK94" s="1241"/>
      <c r="AL94" s="1241"/>
      <c r="AM94" s="1239"/>
      <c r="AN94" s="1239"/>
      <c r="AO94" s="1240"/>
      <c r="AP94" s="1239"/>
      <c r="AQ94" s="1238"/>
      <c r="AS94" s="42" t="e">
        <f t="shared" si="31"/>
        <v>#VALUE!</v>
      </c>
      <c r="AT94" s="42" t="e">
        <f t="shared" si="32"/>
        <v>#VALUE!</v>
      </c>
      <c r="AU94" s="42" t="e">
        <f t="shared" si="33"/>
        <v>#VALUE!</v>
      </c>
      <c r="AW94" s="42" t="e">
        <f t="shared" si="34"/>
        <v>#VALUE!</v>
      </c>
      <c r="AX94" s="42" t="e">
        <f t="shared" si="35"/>
        <v>#VALUE!</v>
      </c>
      <c r="AY94" s="42" t="e">
        <f t="shared" si="36"/>
        <v>#VALUE!</v>
      </c>
      <c r="BA94" s="42" t="e">
        <f t="shared" si="37"/>
        <v>#VALUE!</v>
      </c>
      <c r="BB94" s="42" t="e">
        <f t="shared" si="38"/>
        <v>#VALUE!</v>
      </c>
      <c r="BC94" s="42" t="e">
        <f t="shared" si="39"/>
        <v>#VALUE!</v>
      </c>
    </row>
    <row r="95" spans="1:55" ht="19.5" customHeight="1">
      <c r="A95" s="1127">
        <f t="shared" si="25"/>
        <v>0</v>
      </c>
      <c r="B95" s="9703" t="str">
        <f t="shared" si="20"/>
        <v/>
      </c>
      <c r="C95" s="9704"/>
      <c r="D95" s="9704"/>
      <c r="E95" s="9704"/>
      <c r="F95" s="9704"/>
      <c r="G95" s="9704"/>
      <c r="H95" s="9704"/>
      <c r="I95" s="9705"/>
      <c r="J95" s="9706" t="str">
        <f t="shared" si="21"/>
        <v/>
      </c>
      <c r="K95" s="9707"/>
      <c r="L95" s="9707"/>
      <c r="M95" s="9706" t="str">
        <f t="shared" si="22"/>
        <v/>
      </c>
      <c r="N95" s="9707"/>
      <c r="O95" s="9707"/>
      <c r="P95" s="9708"/>
      <c r="Q95" s="6969" t="str">
        <f t="shared" si="23"/>
        <v/>
      </c>
      <c r="R95" s="9688"/>
      <c r="S95" s="9688"/>
      <c r="T95" s="9689"/>
      <c r="U95" s="6969" t="str">
        <f t="shared" si="24"/>
        <v/>
      </c>
      <c r="V95" s="9688"/>
      <c r="W95" s="9688"/>
      <c r="X95" s="9689"/>
      <c r="Y95" s="9670" t="str">
        <f t="shared" si="26"/>
        <v/>
      </c>
      <c r="Z95" s="6222"/>
      <c r="AA95" s="9670" t="str">
        <f t="shared" si="27"/>
        <v/>
      </c>
      <c r="AB95" s="6222"/>
      <c r="AC95" s="9671" t="str">
        <f t="shared" si="28"/>
        <v/>
      </c>
      <c r="AD95" s="9672"/>
      <c r="AE95" s="9672"/>
      <c r="AF95" s="9672"/>
      <c r="AG95" s="1297">
        <f t="shared" si="29"/>
        <v>0</v>
      </c>
      <c r="AH95" s="1090"/>
      <c r="AI95" s="1090" t="e">
        <f t="shared" si="30"/>
        <v>#VALUE!</v>
      </c>
      <c r="AJ95" s="1237"/>
      <c r="AK95" s="1241"/>
      <c r="AL95" s="1241"/>
      <c r="AM95" s="1239"/>
      <c r="AN95" s="1239"/>
      <c r="AO95" s="1240"/>
      <c r="AP95" s="1239"/>
      <c r="AQ95" s="1238"/>
      <c r="AS95" s="42" t="e">
        <f t="shared" si="31"/>
        <v>#VALUE!</v>
      </c>
      <c r="AT95" s="42" t="e">
        <f t="shared" si="32"/>
        <v>#VALUE!</v>
      </c>
      <c r="AU95" s="42" t="e">
        <f t="shared" si="33"/>
        <v>#VALUE!</v>
      </c>
      <c r="AW95" s="42" t="e">
        <f t="shared" si="34"/>
        <v>#VALUE!</v>
      </c>
      <c r="AX95" s="42" t="e">
        <f t="shared" si="35"/>
        <v>#VALUE!</v>
      </c>
      <c r="AY95" s="42" t="e">
        <f t="shared" si="36"/>
        <v>#VALUE!</v>
      </c>
      <c r="BA95" s="42" t="e">
        <f t="shared" si="37"/>
        <v>#VALUE!</v>
      </c>
      <c r="BB95" s="42" t="e">
        <f t="shared" si="38"/>
        <v>#VALUE!</v>
      </c>
      <c r="BC95" s="42" t="e">
        <f t="shared" si="39"/>
        <v>#VALUE!</v>
      </c>
    </row>
    <row r="96" spans="1:55" ht="19.5" customHeight="1">
      <c r="A96" s="1127">
        <f t="shared" si="25"/>
        <v>0</v>
      </c>
      <c r="B96" s="9703" t="str">
        <f t="shared" si="20"/>
        <v/>
      </c>
      <c r="C96" s="9704"/>
      <c r="D96" s="9704"/>
      <c r="E96" s="9704"/>
      <c r="F96" s="9704"/>
      <c r="G96" s="9704"/>
      <c r="H96" s="9704"/>
      <c r="I96" s="9705"/>
      <c r="J96" s="9706" t="str">
        <f t="shared" si="21"/>
        <v/>
      </c>
      <c r="K96" s="9707"/>
      <c r="L96" s="9707"/>
      <c r="M96" s="9706" t="str">
        <f t="shared" si="22"/>
        <v/>
      </c>
      <c r="N96" s="9707"/>
      <c r="O96" s="9707"/>
      <c r="P96" s="9708"/>
      <c r="Q96" s="6969" t="str">
        <f t="shared" si="23"/>
        <v/>
      </c>
      <c r="R96" s="9688"/>
      <c r="S96" s="9688"/>
      <c r="T96" s="9689"/>
      <c r="U96" s="6969" t="str">
        <f t="shared" si="24"/>
        <v/>
      </c>
      <c r="V96" s="9688"/>
      <c r="W96" s="9688"/>
      <c r="X96" s="9689"/>
      <c r="Y96" s="9670" t="str">
        <f t="shared" si="26"/>
        <v/>
      </c>
      <c r="Z96" s="6222"/>
      <c r="AA96" s="9670" t="str">
        <f t="shared" si="27"/>
        <v/>
      </c>
      <c r="AB96" s="6222"/>
      <c r="AC96" s="9671" t="str">
        <f t="shared" si="28"/>
        <v/>
      </c>
      <c r="AD96" s="9672"/>
      <c r="AE96" s="9672"/>
      <c r="AF96" s="9672"/>
      <c r="AG96" s="1297">
        <f t="shared" si="29"/>
        <v>0</v>
      </c>
      <c r="AH96" s="1090"/>
      <c r="AI96" s="1090" t="e">
        <f t="shared" si="30"/>
        <v>#VALUE!</v>
      </c>
      <c r="AJ96" s="1237"/>
      <c r="AK96" s="1241"/>
      <c r="AL96" s="1241"/>
      <c r="AM96" s="1239"/>
      <c r="AN96" s="1239"/>
      <c r="AO96" s="1240"/>
      <c r="AP96" s="1239"/>
      <c r="AQ96" s="1238"/>
      <c r="AS96" s="42" t="e">
        <f t="shared" si="31"/>
        <v>#VALUE!</v>
      </c>
      <c r="AT96" s="42" t="e">
        <f t="shared" si="32"/>
        <v>#VALUE!</v>
      </c>
      <c r="AU96" s="42" t="e">
        <f t="shared" si="33"/>
        <v>#VALUE!</v>
      </c>
      <c r="AW96" s="42" t="e">
        <f t="shared" si="34"/>
        <v>#VALUE!</v>
      </c>
      <c r="AX96" s="42" t="e">
        <f t="shared" si="35"/>
        <v>#VALUE!</v>
      </c>
      <c r="AY96" s="42" t="e">
        <f t="shared" si="36"/>
        <v>#VALUE!</v>
      </c>
      <c r="BA96" s="42" t="e">
        <f t="shared" si="37"/>
        <v>#VALUE!</v>
      </c>
      <c r="BB96" s="42" t="e">
        <f t="shared" si="38"/>
        <v>#VALUE!</v>
      </c>
      <c r="BC96" s="42" t="e">
        <f t="shared" si="39"/>
        <v>#VALUE!</v>
      </c>
    </row>
    <row r="97" spans="1:55" ht="19.5" customHeight="1">
      <c r="A97" s="1127">
        <f t="shared" si="25"/>
        <v>0</v>
      </c>
      <c r="B97" s="9703" t="str">
        <f t="shared" si="20"/>
        <v/>
      </c>
      <c r="C97" s="9704"/>
      <c r="D97" s="9704"/>
      <c r="E97" s="9704"/>
      <c r="F97" s="9704"/>
      <c r="G97" s="9704"/>
      <c r="H97" s="9704"/>
      <c r="I97" s="9705"/>
      <c r="J97" s="9706" t="str">
        <f t="shared" si="21"/>
        <v/>
      </c>
      <c r="K97" s="9707"/>
      <c r="L97" s="9707"/>
      <c r="M97" s="9706" t="str">
        <f t="shared" si="22"/>
        <v/>
      </c>
      <c r="N97" s="9707"/>
      <c r="O97" s="9707"/>
      <c r="P97" s="9708"/>
      <c r="Q97" s="6969" t="str">
        <f t="shared" si="23"/>
        <v/>
      </c>
      <c r="R97" s="9688"/>
      <c r="S97" s="9688"/>
      <c r="T97" s="9689"/>
      <c r="U97" s="6969" t="str">
        <f t="shared" si="24"/>
        <v/>
      </c>
      <c r="V97" s="9688"/>
      <c r="W97" s="9688"/>
      <c r="X97" s="9689"/>
      <c r="Y97" s="9670" t="str">
        <f t="shared" si="26"/>
        <v/>
      </c>
      <c r="Z97" s="6222"/>
      <c r="AA97" s="9670" t="str">
        <f t="shared" si="27"/>
        <v/>
      </c>
      <c r="AB97" s="6222"/>
      <c r="AC97" s="9671" t="str">
        <f t="shared" si="28"/>
        <v/>
      </c>
      <c r="AD97" s="9672"/>
      <c r="AE97" s="9672"/>
      <c r="AF97" s="9672"/>
      <c r="AG97" s="1297">
        <f t="shared" si="29"/>
        <v>0</v>
      </c>
      <c r="AH97" s="1090"/>
      <c r="AI97" s="1090" t="e">
        <f t="shared" si="30"/>
        <v>#VALUE!</v>
      </c>
      <c r="AJ97" s="1237"/>
      <c r="AK97" s="1241"/>
      <c r="AL97" s="1241"/>
      <c r="AM97" s="1239"/>
      <c r="AN97" s="1239"/>
      <c r="AO97" s="1240"/>
      <c r="AP97" s="1239"/>
      <c r="AQ97" s="1238"/>
      <c r="AS97" s="42" t="e">
        <f t="shared" si="31"/>
        <v>#VALUE!</v>
      </c>
      <c r="AT97" s="42" t="e">
        <f t="shared" si="32"/>
        <v>#VALUE!</v>
      </c>
      <c r="AU97" s="42" t="e">
        <f t="shared" si="33"/>
        <v>#VALUE!</v>
      </c>
      <c r="AW97" s="42" t="e">
        <f t="shared" si="34"/>
        <v>#VALUE!</v>
      </c>
      <c r="AX97" s="42" t="e">
        <f t="shared" si="35"/>
        <v>#VALUE!</v>
      </c>
      <c r="AY97" s="42" t="e">
        <f t="shared" si="36"/>
        <v>#VALUE!</v>
      </c>
      <c r="BA97" s="42" t="e">
        <f t="shared" si="37"/>
        <v>#VALUE!</v>
      </c>
      <c r="BB97" s="42" t="e">
        <f t="shared" si="38"/>
        <v>#VALUE!</v>
      </c>
      <c r="BC97" s="42" t="e">
        <f t="shared" si="39"/>
        <v>#VALUE!</v>
      </c>
    </row>
    <row r="98" spans="1:55" ht="19.5" customHeight="1">
      <c r="A98" s="1127">
        <f t="shared" si="25"/>
        <v>0</v>
      </c>
      <c r="B98" s="9703" t="str">
        <f t="shared" si="20"/>
        <v/>
      </c>
      <c r="C98" s="9704"/>
      <c r="D98" s="9704"/>
      <c r="E98" s="9704"/>
      <c r="F98" s="9704"/>
      <c r="G98" s="9704"/>
      <c r="H98" s="9704"/>
      <c r="I98" s="9705"/>
      <c r="J98" s="9706" t="str">
        <f t="shared" si="21"/>
        <v/>
      </c>
      <c r="K98" s="9707"/>
      <c r="L98" s="9707"/>
      <c r="M98" s="9706" t="str">
        <f t="shared" si="22"/>
        <v/>
      </c>
      <c r="N98" s="9707"/>
      <c r="O98" s="9707"/>
      <c r="P98" s="9708"/>
      <c r="Q98" s="6969" t="str">
        <f t="shared" si="23"/>
        <v/>
      </c>
      <c r="R98" s="9688"/>
      <c r="S98" s="9688"/>
      <c r="T98" s="9689"/>
      <c r="U98" s="6969" t="str">
        <f t="shared" si="24"/>
        <v/>
      </c>
      <c r="V98" s="9688"/>
      <c r="W98" s="9688"/>
      <c r="X98" s="9689"/>
      <c r="Y98" s="9670" t="str">
        <f t="shared" si="26"/>
        <v/>
      </c>
      <c r="Z98" s="6222"/>
      <c r="AA98" s="9670" t="str">
        <f t="shared" si="27"/>
        <v/>
      </c>
      <c r="AB98" s="6222"/>
      <c r="AC98" s="9671" t="str">
        <f t="shared" si="28"/>
        <v/>
      </c>
      <c r="AD98" s="9672"/>
      <c r="AE98" s="9672"/>
      <c r="AF98" s="9672"/>
      <c r="AG98" s="1297">
        <f t="shared" si="29"/>
        <v>0</v>
      </c>
      <c r="AH98" s="1090"/>
      <c r="AI98" s="1090" t="e">
        <f t="shared" si="30"/>
        <v>#VALUE!</v>
      </c>
      <c r="AJ98" s="1237"/>
      <c r="AK98" s="1241"/>
      <c r="AL98" s="1241"/>
      <c r="AM98" s="1239"/>
      <c r="AN98" s="1239"/>
      <c r="AO98" s="1240"/>
      <c r="AP98" s="1239"/>
      <c r="AQ98" s="1238"/>
      <c r="AS98" s="42" t="e">
        <f t="shared" si="31"/>
        <v>#VALUE!</v>
      </c>
      <c r="AT98" s="42" t="e">
        <f t="shared" si="32"/>
        <v>#VALUE!</v>
      </c>
      <c r="AU98" s="42" t="e">
        <f t="shared" si="33"/>
        <v>#VALUE!</v>
      </c>
      <c r="AW98" s="42" t="e">
        <f t="shared" si="34"/>
        <v>#VALUE!</v>
      </c>
      <c r="AX98" s="42" t="e">
        <f t="shared" si="35"/>
        <v>#VALUE!</v>
      </c>
      <c r="AY98" s="42" t="e">
        <f t="shared" si="36"/>
        <v>#VALUE!</v>
      </c>
      <c r="BA98" s="42" t="e">
        <f t="shared" si="37"/>
        <v>#VALUE!</v>
      </c>
      <c r="BB98" s="42" t="e">
        <f t="shared" si="38"/>
        <v>#VALUE!</v>
      </c>
      <c r="BC98" s="42" t="e">
        <f t="shared" si="39"/>
        <v>#VALUE!</v>
      </c>
    </row>
    <row r="99" spans="1:55" ht="19.5" customHeight="1">
      <c r="A99" s="1127">
        <f t="shared" si="25"/>
        <v>0</v>
      </c>
      <c r="B99" s="9703" t="str">
        <f t="shared" si="20"/>
        <v/>
      </c>
      <c r="C99" s="9704"/>
      <c r="D99" s="9704"/>
      <c r="E99" s="9704"/>
      <c r="F99" s="9704"/>
      <c r="G99" s="9704"/>
      <c r="H99" s="9704"/>
      <c r="I99" s="9705"/>
      <c r="J99" s="9706" t="str">
        <f t="shared" si="21"/>
        <v/>
      </c>
      <c r="K99" s="9707"/>
      <c r="L99" s="9707"/>
      <c r="M99" s="9706" t="str">
        <f t="shared" si="22"/>
        <v/>
      </c>
      <c r="N99" s="9707"/>
      <c r="O99" s="9707"/>
      <c r="P99" s="9708"/>
      <c r="Q99" s="6969" t="str">
        <f t="shared" si="23"/>
        <v/>
      </c>
      <c r="R99" s="9688"/>
      <c r="S99" s="9688"/>
      <c r="T99" s="9689"/>
      <c r="U99" s="6969" t="str">
        <f t="shared" si="24"/>
        <v/>
      </c>
      <c r="V99" s="9688"/>
      <c r="W99" s="9688"/>
      <c r="X99" s="9689"/>
      <c r="Y99" s="9670" t="str">
        <f t="shared" si="26"/>
        <v/>
      </c>
      <c r="Z99" s="6222"/>
      <c r="AA99" s="9670" t="str">
        <f t="shared" si="27"/>
        <v/>
      </c>
      <c r="AB99" s="6222"/>
      <c r="AC99" s="9671" t="str">
        <f t="shared" si="28"/>
        <v/>
      </c>
      <c r="AD99" s="9672"/>
      <c r="AE99" s="9672"/>
      <c r="AF99" s="9672"/>
      <c r="AG99" s="1297">
        <f t="shared" si="29"/>
        <v>0</v>
      </c>
      <c r="AH99" s="1090"/>
      <c r="AI99" s="1090" t="e">
        <f t="shared" si="30"/>
        <v>#VALUE!</v>
      </c>
      <c r="AJ99" s="1237"/>
      <c r="AK99" s="1241"/>
      <c r="AL99" s="1241"/>
      <c r="AM99" s="1239"/>
      <c r="AN99" s="1239"/>
      <c r="AO99" s="1240"/>
      <c r="AP99" s="1239"/>
      <c r="AQ99" s="1238"/>
      <c r="AS99" s="42" t="e">
        <f t="shared" si="31"/>
        <v>#VALUE!</v>
      </c>
      <c r="AT99" s="42" t="e">
        <f t="shared" si="32"/>
        <v>#VALUE!</v>
      </c>
      <c r="AU99" s="42" t="e">
        <f t="shared" si="33"/>
        <v>#VALUE!</v>
      </c>
      <c r="AW99" s="42" t="e">
        <f t="shared" si="34"/>
        <v>#VALUE!</v>
      </c>
      <c r="AX99" s="42" t="e">
        <f t="shared" si="35"/>
        <v>#VALUE!</v>
      </c>
      <c r="AY99" s="42" t="e">
        <f t="shared" si="36"/>
        <v>#VALUE!</v>
      </c>
      <c r="BA99" s="42" t="e">
        <f t="shared" si="37"/>
        <v>#VALUE!</v>
      </c>
      <c r="BB99" s="42" t="e">
        <f t="shared" si="38"/>
        <v>#VALUE!</v>
      </c>
      <c r="BC99" s="42" t="e">
        <f t="shared" si="39"/>
        <v>#VALUE!</v>
      </c>
    </row>
    <row r="100" spans="1:55" ht="19.5" customHeight="1">
      <c r="A100" s="1127">
        <f t="shared" si="25"/>
        <v>0</v>
      </c>
      <c r="B100" s="9703" t="str">
        <f t="shared" si="20"/>
        <v/>
      </c>
      <c r="C100" s="9704"/>
      <c r="D100" s="9704"/>
      <c r="E100" s="9704"/>
      <c r="F100" s="9704"/>
      <c r="G100" s="9704"/>
      <c r="H100" s="9704"/>
      <c r="I100" s="9705"/>
      <c r="J100" s="9706" t="str">
        <f t="shared" si="21"/>
        <v/>
      </c>
      <c r="K100" s="9707"/>
      <c r="L100" s="9707"/>
      <c r="M100" s="9706" t="str">
        <f t="shared" si="22"/>
        <v/>
      </c>
      <c r="N100" s="9707"/>
      <c r="O100" s="9707"/>
      <c r="P100" s="9708"/>
      <c r="Q100" s="6969" t="str">
        <f t="shared" si="23"/>
        <v/>
      </c>
      <c r="R100" s="9688"/>
      <c r="S100" s="9688"/>
      <c r="T100" s="9689"/>
      <c r="U100" s="6969" t="str">
        <f t="shared" si="24"/>
        <v/>
      </c>
      <c r="V100" s="9688"/>
      <c r="W100" s="9688"/>
      <c r="X100" s="9689"/>
      <c r="Y100" s="9670" t="str">
        <f t="shared" si="26"/>
        <v/>
      </c>
      <c r="Z100" s="6222"/>
      <c r="AA100" s="9670" t="str">
        <f t="shared" si="27"/>
        <v/>
      </c>
      <c r="AB100" s="6222"/>
      <c r="AC100" s="9671" t="str">
        <f t="shared" si="28"/>
        <v/>
      </c>
      <c r="AD100" s="9672"/>
      <c r="AE100" s="9672"/>
      <c r="AF100" s="9672"/>
      <c r="AG100" s="1297">
        <f t="shared" si="29"/>
        <v>0</v>
      </c>
      <c r="AH100" s="1090"/>
      <c r="AI100" s="1090" t="e">
        <f t="shared" si="30"/>
        <v>#VALUE!</v>
      </c>
      <c r="AJ100" s="1237"/>
      <c r="AK100" s="1241"/>
      <c r="AL100" s="1241"/>
      <c r="AM100" s="1239"/>
      <c r="AN100" s="1239"/>
      <c r="AO100" s="1240"/>
      <c r="AP100" s="1239"/>
      <c r="AQ100" s="1238"/>
      <c r="AS100" s="42" t="e">
        <f t="shared" si="31"/>
        <v>#VALUE!</v>
      </c>
      <c r="AT100" s="42" t="e">
        <f t="shared" si="32"/>
        <v>#VALUE!</v>
      </c>
      <c r="AU100" s="42" t="e">
        <f t="shared" si="33"/>
        <v>#VALUE!</v>
      </c>
      <c r="AW100" s="42" t="e">
        <f t="shared" si="34"/>
        <v>#VALUE!</v>
      </c>
      <c r="AX100" s="42" t="e">
        <f t="shared" si="35"/>
        <v>#VALUE!</v>
      </c>
      <c r="AY100" s="42" t="e">
        <f t="shared" si="36"/>
        <v>#VALUE!</v>
      </c>
      <c r="BA100" s="42" t="e">
        <f t="shared" si="37"/>
        <v>#VALUE!</v>
      </c>
      <c r="BB100" s="42" t="e">
        <f t="shared" si="38"/>
        <v>#VALUE!</v>
      </c>
      <c r="BC100" s="42" t="e">
        <f t="shared" si="39"/>
        <v>#VALUE!</v>
      </c>
    </row>
    <row r="101" spans="1:55" ht="19.5" customHeight="1">
      <c r="A101" s="1127">
        <f t="shared" si="25"/>
        <v>0</v>
      </c>
      <c r="B101" s="9703" t="str">
        <f t="shared" si="20"/>
        <v/>
      </c>
      <c r="C101" s="9704"/>
      <c r="D101" s="9704"/>
      <c r="E101" s="9704"/>
      <c r="F101" s="9704"/>
      <c r="G101" s="9704"/>
      <c r="H101" s="9704"/>
      <c r="I101" s="9705"/>
      <c r="J101" s="9706" t="str">
        <f t="shared" si="21"/>
        <v/>
      </c>
      <c r="K101" s="9707"/>
      <c r="L101" s="9707"/>
      <c r="M101" s="9706" t="str">
        <f t="shared" si="22"/>
        <v/>
      </c>
      <c r="N101" s="9707"/>
      <c r="O101" s="9707"/>
      <c r="P101" s="9708"/>
      <c r="Q101" s="6969" t="str">
        <f t="shared" si="23"/>
        <v/>
      </c>
      <c r="R101" s="9688"/>
      <c r="S101" s="9688"/>
      <c r="T101" s="9689"/>
      <c r="U101" s="6969" t="str">
        <f t="shared" si="24"/>
        <v/>
      </c>
      <c r="V101" s="9688"/>
      <c r="W101" s="9688"/>
      <c r="X101" s="9689"/>
      <c r="Y101" s="9670" t="str">
        <f t="shared" si="26"/>
        <v/>
      </c>
      <c r="Z101" s="6222"/>
      <c r="AA101" s="9670" t="str">
        <f t="shared" si="27"/>
        <v/>
      </c>
      <c r="AB101" s="6222"/>
      <c r="AC101" s="9671" t="str">
        <f t="shared" si="28"/>
        <v/>
      </c>
      <c r="AD101" s="9672"/>
      <c r="AE101" s="9672"/>
      <c r="AF101" s="9672"/>
      <c r="AG101" s="1297">
        <f t="shared" si="29"/>
        <v>0</v>
      </c>
      <c r="AH101" s="1090"/>
      <c r="AI101" s="1090" t="e">
        <f t="shared" si="30"/>
        <v>#VALUE!</v>
      </c>
      <c r="AJ101" s="1237"/>
      <c r="AK101" s="1241"/>
      <c r="AL101" s="1241"/>
      <c r="AM101" s="1239"/>
      <c r="AN101" s="1239"/>
      <c r="AO101" s="1240"/>
      <c r="AP101" s="1239"/>
      <c r="AQ101" s="1238"/>
      <c r="AS101" s="42" t="e">
        <f t="shared" si="31"/>
        <v>#VALUE!</v>
      </c>
      <c r="AT101" s="42" t="e">
        <f t="shared" si="32"/>
        <v>#VALUE!</v>
      </c>
      <c r="AU101" s="42" t="e">
        <f t="shared" si="33"/>
        <v>#VALUE!</v>
      </c>
      <c r="AW101" s="42" t="e">
        <f t="shared" si="34"/>
        <v>#VALUE!</v>
      </c>
      <c r="AX101" s="42" t="e">
        <f t="shared" si="35"/>
        <v>#VALUE!</v>
      </c>
      <c r="AY101" s="42" t="e">
        <f t="shared" si="36"/>
        <v>#VALUE!</v>
      </c>
      <c r="BA101" s="42" t="e">
        <f t="shared" si="37"/>
        <v>#VALUE!</v>
      </c>
      <c r="BB101" s="42" t="e">
        <f t="shared" si="38"/>
        <v>#VALUE!</v>
      </c>
      <c r="BC101" s="42" t="e">
        <f t="shared" si="39"/>
        <v>#VALUE!</v>
      </c>
    </row>
    <row r="102" spans="1:55" ht="19.5" customHeight="1">
      <c r="A102" s="1127">
        <f t="shared" si="25"/>
        <v>0</v>
      </c>
      <c r="B102" s="9703" t="str">
        <f t="shared" si="20"/>
        <v/>
      </c>
      <c r="C102" s="9704"/>
      <c r="D102" s="9704"/>
      <c r="E102" s="9704"/>
      <c r="F102" s="9704"/>
      <c r="G102" s="9704"/>
      <c r="H102" s="9704"/>
      <c r="I102" s="9705"/>
      <c r="J102" s="9706" t="str">
        <f t="shared" si="21"/>
        <v/>
      </c>
      <c r="K102" s="9707"/>
      <c r="L102" s="9707"/>
      <c r="M102" s="9706" t="str">
        <f t="shared" si="22"/>
        <v/>
      </c>
      <c r="N102" s="9707"/>
      <c r="O102" s="9707"/>
      <c r="P102" s="9708"/>
      <c r="Q102" s="6969" t="str">
        <f t="shared" si="23"/>
        <v/>
      </c>
      <c r="R102" s="9688"/>
      <c r="S102" s="9688"/>
      <c r="T102" s="9689"/>
      <c r="U102" s="6969" t="str">
        <f t="shared" si="24"/>
        <v/>
      </c>
      <c r="V102" s="9688"/>
      <c r="W102" s="9688"/>
      <c r="X102" s="9689"/>
      <c r="Y102" s="9670" t="str">
        <f t="shared" si="26"/>
        <v/>
      </c>
      <c r="Z102" s="6222"/>
      <c r="AA102" s="9670" t="str">
        <f t="shared" si="27"/>
        <v/>
      </c>
      <c r="AB102" s="6222"/>
      <c r="AC102" s="9671" t="str">
        <f t="shared" si="28"/>
        <v/>
      </c>
      <c r="AD102" s="9672"/>
      <c r="AE102" s="9672"/>
      <c r="AF102" s="9672"/>
      <c r="AG102" s="1297">
        <f t="shared" si="29"/>
        <v>0</v>
      </c>
      <c r="AH102" s="1090"/>
      <c r="AI102" s="1090" t="e">
        <f t="shared" si="30"/>
        <v>#VALUE!</v>
      </c>
      <c r="AJ102" s="1237"/>
      <c r="AK102" s="1241"/>
      <c r="AL102" s="1241"/>
      <c r="AM102" s="1239"/>
      <c r="AN102" s="1239"/>
      <c r="AO102" s="1240"/>
      <c r="AP102" s="1239"/>
      <c r="AQ102" s="1238"/>
      <c r="AS102" s="42" t="e">
        <f t="shared" si="31"/>
        <v>#VALUE!</v>
      </c>
      <c r="AT102" s="42" t="e">
        <f t="shared" si="32"/>
        <v>#VALUE!</v>
      </c>
      <c r="AU102" s="42" t="e">
        <f t="shared" si="33"/>
        <v>#VALUE!</v>
      </c>
      <c r="AW102" s="42" t="e">
        <f t="shared" si="34"/>
        <v>#VALUE!</v>
      </c>
      <c r="AX102" s="42" t="e">
        <f t="shared" si="35"/>
        <v>#VALUE!</v>
      </c>
      <c r="AY102" s="42" t="e">
        <f t="shared" si="36"/>
        <v>#VALUE!</v>
      </c>
      <c r="BA102" s="42" t="e">
        <f t="shared" si="37"/>
        <v>#VALUE!</v>
      </c>
      <c r="BB102" s="42" t="e">
        <f t="shared" si="38"/>
        <v>#VALUE!</v>
      </c>
      <c r="BC102" s="42" t="e">
        <f t="shared" si="39"/>
        <v>#VALUE!</v>
      </c>
    </row>
    <row r="103" spans="1:55" ht="19.5" customHeight="1">
      <c r="A103" s="1127">
        <f t="shared" si="25"/>
        <v>0</v>
      </c>
      <c r="B103" s="9703" t="str">
        <f t="shared" si="20"/>
        <v/>
      </c>
      <c r="C103" s="9704"/>
      <c r="D103" s="9704"/>
      <c r="E103" s="9704"/>
      <c r="F103" s="9704"/>
      <c r="G103" s="9704"/>
      <c r="H103" s="9704"/>
      <c r="I103" s="9705"/>
      <c r="J103" s="9706" t="str">
        <f t="shared" si="21"/>
        <v/>
      </c>
      <c r="K103" s="9707"/>
      <c r="L103" s="9707"/>
      <c r="M103" s="9706" t="str">
        <f t="shared" si="22"/>
        <v/>
      </c>
      <c r="N103" s="9707"/>
      <c r="O103" s="9707"/>
      <c r="P103" s="9708"/>
      <c r="Q103" s="6969" t="str">
        <f t="shared" si="23"/>
        <v/>
      </c>
      <c r="R103" s="9688"/>
      <c r="S103" s="9688"/>
      <c r="T103" s="9689"/>
      <c r="U103" s="6969" t="str">
        <f t="shared" si="24"/>
        <v/>
      </c>
      <c r="V103" s="9688"/>
      <c r="W103" s="9688"/>
      <c r="X103" s="9689"/>
      <c r="Y103" s="9670" t="str">
        <f t="shared" si="26"/>
        <v/>
      </c>
      <c r="Z103" s="6222"/>
      <c r="AA103" s="9670" t="str">
        <f t="shared" si="27"/>
        <v/>
      </c>
      <c r="AB103" s="6222"/>
      <c r="AC103" s="9671" t="str">
        <f t="shared" si="28"/>
        <v/>
      </c>
      <c r="AD103" s="9672"/>
      <c r="AE103" s="9672"/>
      <c r="AF103" s="9672"/>
      <c r="AG103" s="1297">
        <f t="shared" si="29"/>
        <v>0</v>
      </c>
      <c r="AH103" s="1090"/>
      <c r="AI103" s="1090" t="e">
        <f t="shared" si="30"/>
        <v>#VALUE!</v>
      </c>
      <c r="AJ103" s="1237"/>
      <c r="AK103" s="1241"/>
      <c r="AL103" s="1241"/>
      <c r="AM103" s="1239"/>
      <c r="AN103" s="1239"/>
      <c r="AO103" s="1240"/>
      <c r="AP103" s="1239"/>
      <c r="AQ103" s="1238"/>
      <c r="AS103" s="42" t="e">
        <f t="shared" si="31"/>
        <v>#VALUE!</v>
      </c>
      <c r="AT103" s="42" t="e">
        <f t="shared" si="32"/>
        <v>#VALUE!</v>
      </c>
      <c r="AU103" s="42" t="e">
        <f t="shared" si="33"/>
        <v>#VALUE!</v>
      </c>
      <c r="AW103" s="42" t="e">
        <f t="shared" si="34"/>
        <v>#VALUE!</v>
      </c>
      <c r="AX103" s="42" t="e">
        <f t="shared" si="35"/>
        <v>#VALUE!</v>
      </c>
      <c r="AY103" s="42" t="e">
        <f t="shared" si="36"/>
        <v>#VALUE!</v>
      </c>
      <c r="BA103" s="42" t="e">
        <f t="shared" si="37"/>
        <v>#VALUE!</v>
      </c>
      <c r="BB103" s="42" t="e">
        <f t="shared" si="38"/>
        <v>#VALUE!</v>
      </c>
      <c r="BC103" s="42" t="e">
        <f t="shared" si="39"/>
        <v>#VALUE!</v>
      </c>
    </row>
    <row r="104" spans="1:55" ht="19.5" customHeight="1">
      <c r="A104" s="1127">
        <f t="shared" si="25"/>
        <v>0</v>
      </c>
      <c r="B104" s="9703" t="str">
        <f t="shared" si="20"/>
        <v/>
      </c>
      <c r="C104" s="9704"/>
      <c r="D104" s="9704"/>
      <c r="E104" s="9704"/>
      <c r="F104" s="9704"/>
      <c r="G104" s="9704"/>
      <c r="H104" s="9704"/>
      <c r="I104" s="9705"/>
      <c r="J104" s="9706" t="str">
        <f t="shared" si="21"/>
        <v/>
      </c>
      <c r="K104" s="9707"/>
      <c r="L104" s="9707"/>
      <c r="M104" s="9706" t="str">
        <f t="shared" si="22"/>
        <v/>
      </c>
      <c r="N104" s="9707"/>
      <c r="O104" s="9707"/>
      <c r="P104" s="9708"/>
      <c r="Q104" s="6969" t="str">
        <f t="shared" si="23"/>
        <v/>
      </c>
      <c r="R104" s="9688"/>
      <c r="S104" s="9688"/>
      <c r="T104" s="9689"/>
      <c r="U104" s="6969" t="str">
        <f t="shared" si="24"/>
        <v/>
      </c>
      <c r="V104" s="9688"/>
      <c r="W104" s="9688"/>
      <c r="X104" s="9689"/>
      <c r="Y104" s="9670" t="str">
        <f t="shared" si="26"/>
        <v/>
      </c>
      <c r="Z104" s="6222"/>
      <c r="AA104" s="9670" t="str">
        <f t="shared" si="27"/>
        <v/>
      </c>
      <c r="AB104" s="6222"/>
      <c r="AC104" s="9671" t="str">
        <f t="shared" si="28"/>
        <v/>
      </c>
      <c r="AD104" s="9672"/>
      <c r="AE104" s="9672"/>
      <c r="AF104" s="9672"/>
      <c r="AG104" s="1297">
        <f t="shared" si="29"/>
        <v>0</v>
      </c>
      <c r="AH104" s="1090"/>
      <c r="AI104" s="1090" t="e">
        <f t="shared" si="30"/>
        <v>#VALUE!</v>
      </c>
      <c r="AJ104" s="1237"/>
      <c r="AK104" s="1241"/>
      <c r="AL104" s="1241"/>
      <c r="AM104" s="1239"/>
      <c r="AN104" s="1239"/>
      <c r="AO104" s="1240"/>
      <c r="AP104" s="1239"/>
      <c r="AQ104" s="1238"/>
      <c r="AS104" s="42" t="e">
        <f t="shared" si="31"/>
        <v>#VALUE!</v>
      </c>
      <c r="AT104" s="42" t="e">
        <f t="shared" si="32"/>
        <v>#VALUE!</v>
      </c>
      <c r="AU104" s="42" t="e">
        <f t="shared" si="33"/>
        <v>#VALUE!</v>
      </c>
      <c r="AW104" s="42" t="e">
        <f t="shared" si="34"/>
        <v>#VALUE!</v>
      </c>
      <c r="AX104" s="42" t="e">
        <f t="shared" si="35"/>
        <v>#VALUE!</v>
      </c>
      <c r="AY104" s="42" t="e">
        <f t="shared" si="36"/>
        <v>#VALUE!</v>
      </c>
      <c r="BA104" s="42" t="e">
        <f t="shared" si="37"/>
        <v>#VALUE!</v>
      </c>
      <c r="BB104" s="42" t="e">
        <f t="shared" si="38"/>
        <v>#VALUE!</v>
      </c>
      <c r="BC104" s="42" t="e">
        <f t="shared" si="39"/>
        <v>#VALUE!</v>
      </c>
    </row>
    <row r="105" spans="1:55" ht="19.5" customHeight="1">
      <c r="A105" s="1127">
        <f t="shared" si="25"/>
        <v>0</v>
      </c>
      <c r="B105" s="9703" t="str">
        <f t="shared" si="20"/>
        <v/>
      </c>
      <c r="C105" s="9704"/>
      <c r="D105" s="9704"/>
      <c r="E105" s="9704"/>
      <c r="F105" s="9704"/>
      <c r="G105" s="9704"/>
      <c r="H105" s="9704"/>
      <c r="I105" s="9705"/>
      <c r="J105" s="9706" t="str">
        <f t="shared" si="21"/>
        <v/>
      </c>
      <c r="K105" s="9707"/>
      <c r="L105" s="9707"/>
      <c r="M105" s="9706" t="str">
        <f t="shared" si="22"/>
        <v/>
      </c>
      <c r="N105" s="9707"/>
      <c r="O105" s="9707"/>
      <c r="P105" s="9708"/>
      <c r="Q105" s="6969" t="str">
        <f t="shared" si="23"/>
        <v/>
      </c>
      <c r="R105" s="9688"/>
      <c r="S105" s="9688"/>
      <c r="T105" s="9689"/>
      <c r="U105" s="6969" t="str">
        <f t="shared" si="24"/>
        <v/>
      </c>
      <c r="V105" s="9688"/>
      <c r="W105" s="9688"/>
      <c r="X105" s="9689"/>
      <c r="Y105" s="9670" t="str">
        <f t="shared" si="26"/>
        <v/>
      </c>
      <c r="Z105" s="6222"/>
      <c r="AA105" s="9670" t="str">
        <f t="shared" si="27"/>
        <v/>
      </c>
      <c r="AB105" s="6222"/>
      <c r="AC105" s="9671" t="str">
        <f t="shared" si="28"/>
        <v/>
      </c>
      <c r="AD105" s="9672"/>
      <c r="AE105" s="9672"/>
      <c r="AF105" s="9672"/>
      <c r="AG105" s="1297">
        <f t="shared" si="29"/>
        <v>0</v>
      </c>
      <c r="AH105" s="1090"/>
      <c r="AI105" s="1090" t="e">
        <f t="shared" si="30"/>
        <v>#VALUE!</v>
      </c>
      <c r="AJ105" s="1237"/>
      <c r="AK105" s="1241"/>
      <c r="AL105" s="1241"/>
      <c r="AM105" s="1239"/>
      <c r="AN105" s="1239"/>
      <c r="AO105" s="1240"/>
      <c r="AP105" s="1239"/>
      <c r="AQ105" s="1238"/>
      <c r="AS105" s="42" t="e">
        <f t="shared" si="31"/>
        <v>#VALUE!</v>
      </c>
      <c r="AT105" s="42" t="e">
        <f t="shared" si="32"/>
        <v>#VALUE!</v>
      </c>
      <c r="AU105" s="42" t="e">
        <f t="shared" si="33"/>
        <v>#VALUE!</v>
      </c>
      <c r="AW105" s="42" t="e">
        <f t="shared" si="34"/>
        <v>#VALUE!</v>
      </c>
      <c r="AX105" s="42" t="e">
        <f t="shared" si="35"/>
        <v>#VALUE!</v>
      </c>
      <c r="AY105" s="42" t="e">
        <f t="shared" si="36"/>
        <v>#VALUE!</v>
      </c>
      <c r="BA105" s="42" t="e">
        <f t="shared" si="37"/>
        <v>#VALUE!</v>
      </c>
      <c r="BB105" s="42" t="e">
        <f t="shared" si="38"/>
        <v>#VALUE!</v>
      </c>
      <c r="BC105" s="42" t="e">
        <f t="shared" si="39"/>
        <v>#VALUE!</v>
      </c>
    </row>
    <row r="106" spans="1:55" ht="19.5" customHeight="1">
      <c r="A106" s="1127">
        <f t="shared" si="25"/>
        <v>0</v>
      </c>
      <c r="B106" s="9703" t="str">
        <f t="shared" si="20"/>
        <v/>
      </c>
      <c r="C106" s="9704"/>
      <c r="D106" s="9704"/>
      <c r="E106" s="9704"/>
      <c r="F106" s="9704"/>
      <c r="G106" s="9704"/>
      <c r="H106" s="9704"/>
      <c r="I106" s="9705"/>
      <c r="J106" s="9706" t="str">
        <f t="shared" si="21"/>
        <v/>
      </c>
      <c r="K106" s="9707"/>
      <c r="L106" s="9707"/>
      <c r="M106" s="9706" t="str">
        <f t="shared" si="22"/>
        <v/>
      </c>
      <c r="N106" s="9707"/>
      <c r="O106" s="9707"/>
      <c r="P106" s="9708"/>
      <c r="Q106" s="6969" t="str">
        <f t="shared" si="23"/>
        <v/>
      </c>
      <c r="R106" s="9688"/>
      <c r="S106" s="9688"/>
      <c r="T106" s="9689"/>
      <c r="U106" s="6969" t="str">
        <f t="shared" si="24"/>
        <v/>
      </c>
      <c r="V106" s="9688"/>
      <c r="W106" s="9688"/>
      <c r="X106" s="9689"/>
      <c r="Y106" s="9670" t="str">
        <f t="shared" si="26"/>
        <v/>
      </c>
      <c r="Z106" s="6222"/>
      <c r="AA106" s="9670" t="str">
        <f t="shared" si="27"/>
        <v/>
      </c>
      <c r="AB106" s="6222"/>
      <c r="AC106" s="9671" t="str">
        <f t="shared" si="28"/>
        <v/>
      </c>
      <c r="AD106" s="9672"/>
      <c r="AE106" s="9672"/>
      <c r="AF106" s="9672"/>
      <c r="AG106" s="1297">
        <f t="shared" si="29"/>
        <v>0</v>
      </c>
      <c r="AH106" s="1090"/>
      <c r="AI106" s="1090" t="e">
        <f t="shared" si="30"/>
        <v>#VALUE!</v>
      </c>
      <c r="AJ106" s="1237"/>
      <c r="AK106" s="1241"/>
      <c r="AL106" s="1241"/>
      <c r="AM106" s="1239"/>
      <c r="AN106" s="1239"/>
      <c r="AO106" s="1240"/>
      <c r="AP106" s="1239"/>
      <c r="AQ106" s="1238"/>
      <c r="AS106" s="42" t="e">
        <f t="shared" si="31"/>
        <v>#VALUE!</v>
      </c>
      <c r="AT106" s="42" t="e">
        <f t="shared" si="32"/>
        <v>#VALUE!</v>
      </c>
      <c r="AU106" s="42" t="e">
        <f t="shared" si="33"/>
        <v>#VALUE!</v>
      </c>
      <c r="AW106" s="42" t="e">
        <f t="shared" si="34"/>
        <v>#VALUE!</v>
      </c>
      <c r="AX106" s="42" t="e">
        <f t="shared" si="35"/>
        <v>#VALUE!</v>
      </c>
      <c r="AY106" s="42" t="e">
        <f t="shared" si="36"/>
        <v>#VALUE!</v>
      </c>
      <c r="BA106" s="42" t="e">
        <f t="shared" si="37"/>
        <v>#VALUE!</v>
      </c>
      <c r="BB106" s="42" t="e">
        <f t="shared" si="38"/>
        <v>#VALUE!</v>
      </c>
      <c r="BC106" s="42" t="e">
        <f t="shared" si="39"/>
        <v>#VALUE!</v>
      </c>
    </row>
    <row r="107" spans="1:55" ht="19.5" customHeight="1">
      <c r="A107" s="1127">
        <f t="shared" si="25"/>
        <v>0</v>
      </c>
      <c r="B107" s="9703" t="str">
        <f t="shared" si="20"/>
        <v/>
      </c>
      <c r="C107" s="9704"/>
      <c r="D107" s="9704"/>
      <c r="E107" s="9704"/>
      <c r="F107" s="9704"/>
      <c r="G107" s="9704"/>
      <c r="H107" s="9704"/>
      <c r="I107" s="9705"/>
      <c r="J107" s="9706" t="str">
        <f t="shared" si="21"/>
        <v/>
      </c>
      <c r="K107" s="9707"/>
      <c r="L107" s="9707"/>
      <c r="M107" s="9706" t="str">
        <f t="shared" si="22"/>
        <v/>
      </c>
      <c r="N107" s="9707"/>
      <c r="O107" s="9707"/>
      <c r="P107" s="9708"/>
      <c r="Q107" s="6969" t="str">
        <f t="shared" si="23"/>
        <v/>
      </c>
      <c r="R107" s="9688"/>
      <c r="S107" s="9688"/>
      <c r="T107" s="9689"/>
      <c r="U107" s="6969" t="str">
        <f t="shared" si="24"/>
        <v/>
      </c>
      <c r="V107" s="9688"/>
      <c r="W107" s="9688"/>
      <c r="X107" s="9689"/>
      <c r="Y107" s="9670" t="str">
        <f t="shared" si="26"/>
        <v/>
      </c>
      <c r="Z107" s="6222"/>
      <c r="AA107" s="9670" t="str">
        <f t="shared" si="27"/>
        <v/>
      </c>
      <c r="AB107" s="6222"/>
      <c r="AC107" s="9671" t="str">
        <f t="shared" si="28"/>
        <v/>
      </c>
      <c r="AD107" s="9672"/>
      <c r="AE107" s="9672"/>
      <c r="AF107" s="9672"/>
      <c r="AG107" s="1297">
        <f t="shared" si="29"/>
        <v>0</v>
      </c>
      <c r="AH107" s="1090"/>
      <c r="AI107" s="1090" t="e">
        <f t="shared" si="30"/>
        <v>#VALUE!</v>
      </c>
      <c r="AJ107" s="1237"/>
      <c r="AK107" s="1241"/>
      <c r="AL107" s="1241"/>
      <c r="AM107" s="1239"/>
      <c r="AN107" s="1239"/>
      <c r="AO107" s="1240"/>
      <c r="AP107" s="1239"/>
      <c r="AQ107" s="1238"/>
      <c r="AS107" s="42" t="e">
        <f t="shared" si="31"/>
        <v>#VALUE!</v>
      </c>
      <c r="AT107" s="42" t="e">
        <f t="shared" si="32"/>
        <v>#VALUE!</v>
      </c>
      <c r="AU107" s="42" t="e">
        <f t="shared" si="33"/>
        <v>#VALUE!</v>
      </c>
      <c r="AW107" s="42" t="e">
        <f t="shared" si="34"/>
        <v>#VALUE!</v>
      </c>
      <c r="AX107" s="42" t="e">
        <f t="shared" si="35"/>
        <v>#VALUE!</v>
      </c>
      <c r="AY107" s="42" t="e">
        <f t="shared" si="36"/>
        <v>#VALUE!</v>
      </c>
      <c r="BA107" s="42" t="e">
        <f t="shared" si="37"/>
        <v>#VALUE!</v>
      </c>
      <c r="BB107" s="42" t="e">
        <f t="shared" si="38"/>
        <v>#VALUE!</v>
      </c>
      <c r="BC107" s="42" t="e">
        <f t="shared" si="39"/>
        <v>#VALUE!</v>
      </c>
    </row>
    <row r="108" spans="1:55" ht="19.5" customHeight="1">
      <c r="A108" s="1127">
        <f t="shared" si="25"/>
        <v>0</v>
      </c>
      <c r="B108" s="9703" t="str">
        <f t="shared" si="20"/>
        <v/>
      </c>
      <c r="C108" s="9704"/>
      <c r="D108" s="9704"/>
      <c r="E108" s="9704"/>
      <c r="F108" s="9704"/>
      <c r="G108" s="9704"/>
      <c r="H108" s="9704"/>
      <c r="I108" s="9705"/>
      <c r="J108" s="9706" t="str">
        <f t="shared" si="21"/>
        <v/>
      </c>
      <c r="K108" s="9707"/>
      <c r="L108" s="9707"/>
      <c r="M108" s="9706" t="str">
        <f t="shared" si="22"/>
        <v/>
      </c>
      <c r="N108" s="9707"/>
      <c r="O108" s="9707"/>
      <c r="P108" s="9708"/>
      <c r="Q108" s="6969" t="str">
        <f t="shared" si="23"/>
        <v/>
      </c>
      <c r="R108" s="9688"/>
      <c r="S108" s="9688"/>
      <c r="T108" s="9689"/>
      <c r="U108" s="6969" t="str">
        <f t="shared" si="24"/>
        <v/>
      </c>
      <c r="V108" s="9688"/>
      <c r="W108" s="9688"/>
      <c r="X108" s="9689"/>
      <c r="Y108" s="9670" t="str">
        <f t="shared" si="26"/>
        <v/>
      </c>
      <c r="Z108" s="6222"/>
      <c r="AA108" s="9670" t="str">
        <f t="shared" si="27"/>
        <v/>
      </c>
      <c r="AB108" s="6222"/>
      <c r="AC108" s="9671" t="str">
        <f t="shared" si="28"/>
        <v/>
      </c>
      <c r="AD108" s="9672"/>
      <c r="AE108" s="9672"/>
      <c r="AF108" s="9672"/>
      <c r="AG108" s="1297">
        <f t="shared" si="29"/>
        <v>0</v>
      </c>
      <c r="AH108" s="1090"/>
      <c r="AI108" s="1090" t="e">
        <f t="shared" si="30"/>
        <v>#VALUE!</v>
      </c>
      <c r="AJ108" s="1237"/>
      <c r="AK108" s="1241"/>
      <c r="AL108" s="1241"/>
      <c r="AM108" s="1239"/>
      <c r="AN108" s="1239"/>
      <c r="AO108" s="1240"/>
      <c r="AP108" s="1239"/>
      <c r="AQ108" s="1238"/>
      <c r="AS108" s="42" t="e">
        <f t="shared" si="31"/>
        <v>#VALUE!</v>
      </c>
      <c r="AT108" s="42" t="e">
        <f t="shared" si="32"/>
        <v>#VALUE!</v>
      </c>
      <c r="AU108" s="42" t="e">
        <f t="shared" si="33"/>
        <v>#VALUE!</v>
      </c>
      <c r="AW108" s="42" t="e">
        <f t="shared" si="34"/>
        <v>#VALUE!</v>
      </c>
      <c r="AX108" s="42" t="e">
        <f t="shared" si="35"/>
        <v>#VALUE!</v>
      </c>
      <c r="AY108" s="42" t="e">
        <f t="shared" si="36"/>
        <v>#VALUE!</v>
      </c>
      <c r="BA108" s="42" t="e">
        <f t="shared" si="37"/>
        <v>#VALUE!</v>
      </c>
      <c r="BB108" s="42" t="e">
        <f t="shared" si="38"/>
        <v>#VALUE!</v>
      </c>
      <c r="BC108" s="42" t="e">
        <f t="shared" si="39"/>
        <v>#VALUE!</v>
      </c>
    </row>
    <row r="109" spans="1:55" ht="19.5" customHeight="1">
      <c r="A109" s="1127">
        <f t="shared" si="25"/>
        <v>0</v>
      </c>
      <c r="B109" s="9703" t="str">
        <f t="shared" si="20"/>
        <v/>
      </c>
      <c r="C109" s="9704"/>
      <c r="D109" s="9704"/>
      <c r="E109" s="9704"/>
      <c r="F109" s="9704"/>
      <c r="G109" s="9704"/>
      <c r="H109" s="9704"/>
      <c r="I109" s="9705"/>
      <c r="J109" s="9706" t="str">
        <f t="shared" si="21"/>
        <v/>
      </c>
      <c r="K109" s="9707"/>
      <c r="L109" s="9707"/>
      <c r="M109" s="9706" t="str">
        <f t="shared" si="22"/>
        <v/>
      </c>
      <c r="N109" s="9707"/>
      <c r="O109" s="9707"/>
      <c r="P109" s="9708"/>
      <c r="Q109" s="6969" t="str">
        <f t="shared" si="23"/>
        <v/>
      </c>
      <c r="R109" s="9688"/>
      <c r="S109" s="9688"/>
      <c r="T109" s="9689"/>
      <c r="U109" s="6969" t="str">
        <f t="shared" si="24"/>
        <v/>
      </c>
      <c r="V109" s="9688"/>
      <c r="W109" s="9688"/>
      <c r="X109" s="9689"/>
      <c r="Y109" s="9670" t="str">
        <f t="shared" si="26"/>
        <v/>
      </c>
      <c r="Z109" s="6222"/>
      <c r="AA109" s="9670" t="str">
        <f t="shared" si="27"/>
        <v/>
      </c>
      <c r="AB109" s="6222"/>
      <c r="AC109" s="9671" t="str">
        <f t="shared" si="28"/>
        <v/>
      </c>
      <c r="AD109" s="9672"/>
      <c r="AE109" s="9672"/>
      <c r="AF109" s="9672"/>
      <c r="AG109" s="1297">
        <f t="shared" si="29"/>
        <v>0</v>
      </c>
      <c r="AH109" s="1090"/>
      <c r="AI109" s="1090" t="e">
        <f t="shared" si="30"/>
        <v>#VALUE!</v>
      </c>
      <c r="AJ109" s="1237"/>
      <c r="AK109" s="1241"/>
      <c r="AL109" s="1241"/>
      <c r="AM109" s="1239"/>
      <c r="AN109" s="1239"/>
      <c r="AO109" s="1240"/>
      <c r="AP109" s="1239"/>
      <c r="AQ109" s="1238"/>
      <c r="AS109" s="42" t="e">
        <f t="shared" si="31"/>
        <v>#VALUE!</v>
      </c>
      <c r="AT109" s="42" t="e">
        <f t="shared" si="32"/>
        <v>#VALUE!</v>
      </c>
      <c r="AU109" s="42" t="e">
        <f t="shared" si="33"/>
        <v>#VALUE!</v>
      </c>
      <c r="AW109" s="42" t="e">
        <f t="shared" si="34"/>
        <v>#VALUE!</v>
      </c>
      <c r="AX109" s="42" t="e">
        <f t="shared" si="35"/>
        <v>#VALUE!</v>
      </c>
      <c r="AY109" s="42" t="e">
        <f t="shared" si="36"/>
        <v>#VALUE!</v>
      </c>
      <c r="BA109" s="42" t="e">
        <f t="shared" si="37"/>
        <v>#VALUE!</v>
      </c>
      <c r="BB109" s="42" t="e">
        <f t="shared" si="38"/>
        <v>#VALUE!</v>
      </c>
      <c r="BC109" s="42" t="e">
        <f t="shared" si="39"/>
        <v>#VALUE!</v>
      </c>
    </row>
    <row r="110" spans="1:55" ht="19.5" customHeight="1">
      <c r="A110" s="1127">
        <f t="shared" si="25"/>
        <v>0</v>
      </c>
      <c r="B110" s="9703" t="str">
        <f t="shared" si="20"/>
        <v/>
      </c>
      <c r="C110" s="9704"/>
      <c r="D110" s="9704"/>
      <c r="E110" s="9704"/>
      <c r="F110" s="9704"/>
      <c r="G110" s="9704"/>
      <c r="H110" s="9704"/>
      <c r="I110" s="9705"/>
      <c r="J110" s="9706" t="str">
        <f t="shared" si="21"/>
        <v/>
      </c>
      <c r="K110" s="9707"/>
      <c r="L110" s="9707"/>
      <c r="M110" s="9706" t="str">
        <f t="shared" si="22"/>
        <v/>
      </c>
      <c r="N110" s="9707"/>
      <c r="O110" s="9707"/>
      <c r="P110" s="9708"/>
      <c r="Q110" s="6969" t="str">
        <f t="shared" si="23"/>
        <v/>
      </c>
      <c r="R110" s="9688"/>
      <c r="S110" s="9688"/>
      <c r="T110" s="9689"/>
      <c r="U110" s="6969" t="str">
        <f t="shared" si="24"/>
        <v/>
      </c>
      <c r="V110" s="9688"/>
      <c r="W110" s="9688"/>
      <c r="X110" s="9689"/>
      <c r="Y110" s="9670" t="str">
        <f t="shared" si="26"/>
        <v/>
      </c>
      <c r="Z110" s="6222"/>
      <c r="AA110" s="9670" t="str">
        <f t="shared" si="27"/>
        <v/>
      </c>
      <c r="AB110" s="6222"/>
      <c r="AC110" s="9671" t="str">
        <f t="shared" si="28"/>
        <v/>
      </c>
      <c r="AD110" s="9672"/>
      <c r="AE110" s="9672"/>
      <c r="AF110" s="9672"/>
      <c r="AG110" s="1297">
        <f t="shared" si="29"/>
        <v>0</v>
      </c>
      <c r="AH110" s="1090"/>
      <c r="AI110" s="1090" t="e">
        <f t="shared" si="30"/>
        <v>#VALUE!</v>
      </c>
      <c r="AJ110" s="1237"/>
      <c r="AK110" s="1241"/>
      <c r="AL110" s="1241"/>
      <c r="AM110" s="1239"/>
      <c r="AN110" s="1239"/>
      <c r="AO110" s="1240"/>
      <c r="AP110" s="1239"/>
      <c r="AQ110" s="1238"/>
      <c r="AS110" s="42" t="e">
        <f t="shared" si="31"/>
        <v>#VALUE!</v>
      </c>
      <c r="AT110" s="42" t="e">
        <f t="shared" si="32"/>
        <v>#VALUE!</v>
      </c>
      <c r="AU110" s="42" t="e">
        <f t="shared" si="33"/>
        <v>#VALUE!</v>
      </c>
      <c r="AW110" s="42" t="e">
        <f t="shared" si="34"/>
        <v>#VALUE!</v>
      </c>
      <c r="AX110" s="42" t="e">
        <f t="shared" si="35"/>
        <v>#VALUE!</v>
      </c>
      <c r="AY110" s="42" t="e">
        <f t="shared" si="36"/>
        <v>#VALUE!</v>
      </c>
      <c r="BA110" s="42" t="e">
        <f t="shared" si="37"/>
        <v>#VALUE!</v>
      </c>
      <c r="BB110" s="42" t="e">
        <f t="shared" si="38"/>
        <v>#VALUE!</v>
      </c>
      <c r="BC110" s="42" t="e">
        <f t="shared" si="39"/>
        <v>#VALUE!</v>
      </c>
    </row>
    <row r="111" spans="1:55" ht="19.5" customHeight="1">
      <c r="A111" s="1127">
        <f t="shared" si="25"/>
        <v>0</v>
      </c>
      <c r="B111" s="9703" t="str">
        <f t="shared" si="20"/>
        <v/>
      </c>
      <c r="C111" s="9704"/>
      <c r="D111" s="9704"/>
      <c r="E111" s="9704"/>
      <c r="F111" s="9704"/>
      <c r="G111" s="9704"/>
      <c r="H111" s="9704"/>
      <c r="I111" s="9705"/>
      <c r="J111" s="9706" t="str">
        <f t="shared" si="21"/>
        <v/>
      </c>
      <c r="K111" s="9707"/>
      <c r="L111" s="9707"/>
      <c r="M111" s="9706" t="str">
        <f t="shared" si="22"/>
        <v/>
      </c>
      <c r="N111" s="9707"/>
      <c r="O111" s="9707"/>
      <c r="P111" s="9708"/>
      <c r="Q111" s="6969" t="str">
        <f t="shared" si="23"/>
        <v/>
      </c>
      <c r="R111" s="9688"/>
      <c r="S111" s="9688"/>
      <c r="T111" s="9689"/>
      <c r="U111" s="6969" t="str">
        <f t="shared" si="24"/>
        <v/>
      </c>
      <c r="V111" s="9688"/>
      <c r="W111" s="9688"/>
      <c r="X111" s="9689"/>
      <c r="Y111" s="9670" t="str">
        <f t="shared" si="26"/>
        <v/>
      </c>
      <c r="Z111" s="6222"/>
      <c r="AA111" s="9670" t="str">
        <f t="shared" si="27"/>
        <v/>
      </c>
      <c r="AB111" s="6222"/>
      <c r="AC111" s="9671" t="str">
        <f t="shared" si="28"/>
        <v/>
      </c>
      <c r="AD111" s="9672"/>
      <c r="AE111" s="9672"/>
      <c r="AF111" s="9672"/>
      <c r="AG111" s="1297">
        <f t="shared" si="29"/>
        <v>0</v>
      </c>
      <c r="AH111" s="1090"/>
      <c r="AI111" s="1090" t="e">
        <f t="shared" si="30"/>
        <v>#VALUE!</v>
      </c>
      <c r="AJ111" s="1237"/>
      <c r="AK111" s="1241"/>
      <c r="AL111" s="1241"/>
      <c r="AM111" s="1239"/>
      <c r="AN111" s="1239"/>
      <c r="AO111" s="1240"/>
      <c r="AP111" s="1239"/>
      <c r="AQ111" s="1238"/>
      <c r="AS111" s="42" t="e">
        <f t="shared" si="31"/>
        <v>#VALUE!</v>
      </c>
      <c r="AT111" s="42" t="e">
        <f t="shared" si="32"/>
        <v>#VALUE!</v>
      </c>
      <c r="AU111" s="42" t="e">
        <f t="shared" si="33"/>
        <v>#VALUE!</v>
      </c>
      <c r="AW111" s="42" t="e">
        <f t="shared" si="34"/>
        <v>#VALUE!</v>
      </c>
      <c r="AX111" s="42" t="e">
        <f t="shared" si="35"/>
        <v>#VALUE!</v>
      </c>
      <c r="AY111" s="42" t="e">
        <f t="shared" si="36"/>
        <v>#VALUE!</v>
      </c>
      <c r="BA111" s="42" t="e">
        <f t="shared" si="37"/>
        <v>#VALUE!</v>
      </c>
      <c r="BB111" s="42" t="e">
        <f t="shared" si="38"/>
        <v>#VALUE!</v>
      </c>
      <c r="BC111" s="42" t="e">
        <f t="shared" si="39"/>
        <v>#VALUE!</v>
      </c>
    </row>
    <row r="112" spans="1:55" ht="19.5" customHeight="1">
      <c r="A112" s="1127">
        <f t="shared" si="25"/>
        <v>0</v>
      </c>
      <c r="B112" s="9703" t="str">
        <f t="shared" si="20"/>
        <v/>
      </c>
      <c r="C112" s="9704"/>
      <c r="D112" s="9704"/>
      <c r="E112" s="9704"/>
      <c r="F112" s="9704"/>
      <c r="G112" s="9704"/>
      <c r="H112" s="9704"/>
      <c r="I112" s="9705"/>
      <c r="J112" s="9706" t="str">
        <f t="shared" si="21"/>
        <v/>
      </c>
      <c r="K112" s="9707"/>
      <c r="L112" s="9707"/>
      <c r="M112" s="9706" t="str">
        <f t="shared" si="22"/>
        <v/>
      </c>
      <c r="N112" s="9707"/>
      <c r="O112" s="9707"/>
      <c r="P112" s="9708"/>
      <c r="Q112" s="6969" t="str">
        <f t="shared" si="23"/>
        <v/>
      </c>
      <c r="R112" s="9688"/>
      <c r="S112" s="9688"/>
      <c r="T112" s="9689"/>
      <c r="U112" s="6969" t="str">
        <f t="shared" si="24"/>
        <v/>
      </c>
      <c r="V112" s="9688"/>
      <c r="W112" s="9688"/>
      <c r="X112" s="9689"/>
      <c r="Y112" s="9670" t="str">
        <f t="shared" si="26"/>
        <v/>
      </c>
      <c r="Z112" s="6222"/>
      <c r="AA112" s="9670" t="str">
        <f t="shared" si="27"/>
        <v/>
      </c>
      <c r="AB112" s="6222"/>
      <c r="AC112" s="9671" t="str">
        <f t="shared" si="28"/>
        <v/>
      </c>
      <c r="AD112" s="9672"/>
      <c r="AE112" s="9672"/>
      <c r="AF112" s="9672"/>
      <c r="AG112" s="1297">
        <f t="shared" si="29"/>
        <v>0</v>
      </c>
      <c r="AH112" s="1090"/>
      <c r="AI112" s="1090" t="e">
        <f t="shared" si="30"/>
        <v>#VALUE!</v>
      </c>
      <c r="AJ112" s="1237"/>
      <c r="AK112" s="1241"/>
      <c r="AL112" s="1241"/>
      <c r="AM112" s="1239"/>
      <c r="AN112" s="1239"/>
      <c r="AO112" s="1240"/>
      <c r="AP112" s="1239"/>
      <c r="AQ112" s="1238"/>
      <c r="AS112" s="42" t="e">
        <f t="shared" si="31"/>
        <v>#VALUE!</v>
      </c>
      <c r="AT112" s="42" t="e">
        <f t="shared" si="32"/>
        <v>#VALUE!</v>
      </c>
      <c r="AU112" s="42" t="e">
        <f t="shared" si="33"/>
        <v>#VALUE!</v>
      </c>
      <c r="AW112" s="42" t="e">
        <f t="shared" si="34"/>
        <v>#VALUE!</v>
      </c>
      <c r="AX112" s="42" t="e">
        <f t="shared" si="35"/>
        <v>#VALUE!</v>
      </c>
      <c r="AY112" s="42" t="e">
        <f t="shared" si="36"/>
        <v>#VALUE!</v>
      </c>
      <c r="BA112" s="42" t="e">
        <f t="shared" si="37"/>
        <v>#VALUE!</v>
      </c>
      <c r="BB112" s="42" t="e">
        <f t="shared" si="38"/>
        <v>#VALUE!</v>
      </c>
      <c r="BC112" s="42" t="e">
        <f t="shared" si="39"/>
        <v>#VALUE!</v>
      </c>
    </row>
    <row r="113" spans="1:55" ht="19.5" customHeight="1">
      <c r="A113" s="1127">
        <f t="shared" si="25"/>
        <v>0</v>
      </c>
      <c r="B113" s="9703" t="str">
        <f t="shared" si="20"/>
        <v/>
      </c>
      <c r="C113" s="9704"/>
      <c r="D113" s="9704"/>
      <c r="E113" s="9704"/>
      <c r="F113" s="9704"/>
      <c r="G113" s="9704"/>
      <c r="H113" s="9704"/>
      <c r="I113" s="9705"/>
      <c r="J113" s="9706" t="str">
        <f t="shared" si="21"/>
        <v/>
      </c>
      <c r="K113" s="9707"/>
      <c r="L113" s="9707"/>
      <c r="M113" s="9706" t="str">
        <f t="shared" si="22"/>
        <v/>
      </c>
      <c r="N113" s="9707"/>
      <c r="O113" s="9707"/>
      <c r="P113" s="9708"/>
      <c r="Q113" s="6969" t="str">
        <f t="shared" si="23"/>
        <v/>
      </c>
      <c r="R113" s="9688"/>
      <c r="S113" s="9688"/>
      <c r="T113" s="9689"/>
      <c r="U113" s="6969" t="str">
        <f t="shared" si="24"/>
        <v/>
      </c>
      <c r="V113" s="9688"/>
      <c r="W113" s="9688"/>
      <c r="X113" s="9689"/>
      <c r="Y113" s="9670" t="str">
        <f t="shared" si="26"/>
        <v/>
      </c>
      <c r="Z113" s="6222"/>
      <c r="AA113" s="9670" t="str">
        <f t="shared" si="27"/>
        <v/>
      </c>
      <c r="AB113" s="6222"/>
      <c r="AC113" s="9671" t="str">
        <f t="shared" si="28"/>
        <v/>
      </c>
      <c r="AD113" s="9672"/>
      <c r="AE113" s="9672"/>
      <c r="AF113" s="9672"/>
      <c r="AG113" s="1297">
        <f t="shared" si="29"/>
        <v>0</v>
      </c>
      <c r="AH113" s="1090"/>
      <c r="AI113" s="1090" t="e">
        <f t="shared" si="30"/>
        <v>#VALUE!</v>
      </c>
      <c r="AJ113" s="1237"/>
      <c r="AK113" s="1241"/>
      <c r="AL113" s="1241"/>
      <c r="AM113" s="1239"/>
      <c r="AN113" s="1239"/>
      <c r="AO113" s="1240"/>
      <c r="AP113" s="1239"/>
      <c r="AQ113" s="1238"/>
      <c r="AS113" s="42" t="e">
        <f t="shared" si="31"/>
        <v>#VALUE!</v>
      </c>
      <c r="AT113" s="42" t="e">
        <f t="shared" si="32"/>
        <v>#VALUE!</v>
      </c>
      <c r="AU113" s="42" t="e">
        <f t="shared" si="33"/>
        <v>#VALUE!</v>
      </c>
      <c r="AW113" s="42" t="e">
        <f t="shared" si="34"/>
        <v>#VALUE!</v>
      </c>
      <c r="AX113" s="42" t="e">
        <f t="shared" si="35"/>
        <v>#VALUE!</v>
      </c>
      <c r="AY113" s="42" t="e">
        <f t="shared" si="36"/>
        <v>#VALUE!</v>
      </c>
      <c r="BA113" s="42" t="e">
        <f t="shared" si="37"/>
        <v>#VALUE!</v>
      </c>
      <c r="BB113" s="42" t="e">
        <f t="shared" si="38"/>
        <v>#VALUE!</v>
      </c>
      <c r="BC113" s="42" t="e">
        <f t="shared" si="39"/>
        <v>#VALUE!</v>
      </c>
    </row>
    <row r="114" spans="1:55" ht="19.5" customHeight="1">
      <c r="A114" s="1127">
        <f t="shared" si="25"/>
        <v>0</v>
      </c>
      <c r="B114" s="9703" t="str">
        <f t="shared" si="20"/>
        <v/>
      </c>
      <c r="C114" s="9704"/>
      <c r="D114" s="9704"/>
      <c r="E114" s="9704"/>
      <c r="F114" s="9704"/>
      <c r="G114" s="9704"/>
      <c r="H114" s="9704"/>
      <c r="I114" s="9705"/>
      <c r="J114" s="9706" t="str">
        <f t="shared" si="21"/>
        <v/>
      </c>
      <c r="K114" s="9707"/>
      <c r="L114" s="9707"/>
      <c r="M114" s="9706" t="str">
        <f t="shared" si="22"/>
        <v/>
      </c>
      <c r="N114" s="9707"/>
      <c r="O114" s="9707"/>
      <c r="P114" s="9708"/>
      <c r="Q114" s="6969" t="str">
        <f t="shared" si="23"/>
        <v/>
      </c>
      <c r="R114" s="9688"/>
      <c r="S114" s="9688"/>
      <c r="T114" s="9689"/>
      <c r="U114" s="6969" t="str">
        <f t="shared" si="24"/>
        <v/>
      </c>
      <c r="V114" s="9688"/>
      <c r="W114" s="9688"/>
      <c r="X114" s="9689"/>
      <c r="Y114" s="9670" t="str">
        <f t="shared" si="26"/>
        <v/>
      </c>
      <c r="Z114" s="6222"/>
      <c r="AA114" s="9670" t="str">
        <f t="shared" si="27"/>
        <v/>
      </c>
      <c r="AB114" s="6222"/>
      <c r="AC114" s="9671" t="str">
        <f t="shared" si="28"/>
        <v/>
      </c>
      <c r="AD114" s="9672"/>
      <c r="AE114" s="9672"/>
      <c r="AF114" s="9672"/>
      <c r="AG114" s="1297">
        <f t="shared" si="29"/>
        <v>0</v>
      </c>
      <c r="AH114" s="1090"/>
      <c r="AI114" s="1090" t="e">
        <f t="shared" si="30"/>
        <v>#VALUE!</v>
      </c>
      <c r="AJ114" s="1237"/>
      <c r="AK114" s="1241"/>
      <c r="AL114" s="1241"/>
      <c r="AM114" s="1239"/>
      <c r="AN114" s="1239"/>
      <c r="AO114" s="1240"/>
      <c r="AP114" s="1239"/>
      <c r="AQ114" s="1238"/>
      <c r="AS114" s="42" t="e">
        <f t="shared" si="31"/>
        <v>#VALUE!</v>
      </c>
      <c r="AT114" s="42" t="e">
        <f t="shared" si="32"/>
        <v>#VALUE!</v>
      </c>
      <c r="AU114" s="42" t="e">
        <f t="shared" si="33"/>
        <v>#VALUE!</v>
      </c>
      <c r="AW114" s="42" t="e">
        <f t="shared" si="34"/>
        <v>#VALUE!</v>
      </c>
      <c r="AX114" s="42" t="e">
        <f t="shared" si="35"/>
        <v>#VALUE!</v>
      </c>
      <c r="AY114" s="42" t="e">
        <f t="shared" si="36"/>
        <v>#VALUE!</v>
      </c>
      <c r="BA114" s="42" t="e">
        <f t="shared" si="37"/>
        <v>#VALUE!</v>
      </c>
      <c r="BB114" s="42" t="e">
        <f t="shared" si="38"/>
        <v>#VALUE!</v>
      </c>
      <c r="BC114" s="42" t="e">
        <f t="shared" si="39"/>
        <v>#VALUE!</v>
      </c>
    </row>
    <row r="115" spans="1:55" ht="19.5" customHeight="1">
      <c r="A115" s="1127">
        <f t="shared" si="25"/>
        <v>0</v>
      </c>
      <c r="B115" s="9703" t="str">
        <f t="shared" si="20"/>
        <v/>
      </c>
      <c r="C115" s="9704"/>
      <c r="D115" s="9704"/>
      <c r="E115" s="9704"/>
      <c r="F115" s="9704"/>
      <c r="G115" s="9704"/>
      <c r="H115" s="9704"/>
      <c r="I115" s="9705"/>
      <c r="J115" s="9706" t="str">
        <f t="shared" si="21"/>
        <v/>
      </c>
      <c r="K115" s="9707"/>
      <c r="L115" s="9707"/>
      <c r="M115" s="9706" t="str">
        <f t="shared" si="22"/>
        <v/>
      </c>
      <c r="N115" s="9707"/>
      <c r="O115" s="9707"/>
      <c r="P115" s="9708"/>
      <c r="Q115" s="6969" t="str">
        <f t="shared" si="23"/>
        <v/>
      </c>
      <c r="R115" s="9688"/>
      <c r="S115" s="9688"/>
      <c r="T115" s="9689"/>
      <c r="U115" s="6969" t="str">
        <f t="shared" si="24"/>
        <v/>
      </c>
      <c r="V115" s="9688"/>
      <c r="W115" s="9688"/>
      <c r="X115" s="9689"/>
      <c r="Y115" s="9670" t="str">
        <f t="shared" si="26"/>
        <v/>
      </c>
      <c r="Z115" s="6222"/>
      <c r="AA115" s="9670" t="str">
        <f t="shared" si="27"/>
        <v/>
      </c>
      <c r="AB115" s="6222"/>
      <c r="AC115" s="9671" t="str">
        <f t="shared" si="28"/>
        <v/>
      </c>
      <c r="AD115" s="9672"/>
      <c r="AE115" s="9672"/>
      <c r="AF115" s="9672"/>
      <c r="AG115" s="1297">
        <f t="shared" si="29"/>
        <v>0</v>
      </c>
      <c r="AH115" s="1090"/>
      <c r="AI115" s="1090" t="e">
        <f t="shared" si="30"/>
        <v>#VALUE!</v>
      </c>
      <c r="AJ115" s="1237"/>
      <c r="AK115" s="1241"/>
      <c r="AL115" s="1241"/>
      <c r="AM115" s="1239"/>
      <c r="AN115" s="1239"/>
      <c r="AO115" s="1240"/>
      <c r="AP115" s="1239"/>
      <c r="AQ115" s="1238"/>
      <c r="AS115" s="42" t="e">
        <f t="shared" si="31"/>
        <v>#VALUE!</v>
      </c>
      <c r="AT115" s="42" t="e">
        <f t="shared" si="32"/>
        <v>#VALUE!</v>
      </c>
      <c r="AU115" s="42" t="e">
        <f t="shared" si="33"/>
        <v>#VALUE!</v>
      </c>
      <c r="AW115" s="42" t="e">
        <f t="shared" si="34"/>
        <v>#VALUE!</v>
      </c>
      <c r="AX115" s="42" t="e">
        <f t="shared" si="35"/>
        <v>#VALUE!</v>
      </c>
      <c r="AY115" s="42" t="e">
        <f t="shared" si="36"/>
        <v>#VALUE!</v>
      </c>
      <c r="BA115" s="42" t="e">
        <f t="shared" si="37"/>
        <v>#VALUE!</v>
      </c>
      <c r="BB115" s="42" t="e">
        <f t="shared" si="38"/>
        <v>#VALUE!</v>
      </c>
      <c r="BC115" s="42" t="e">
        <f t="shared" si="39"/>
        <v>#VALUE!</v>
      </c>
    </row>
    <row r="116" spans="1:55" ht="11.25" customHeight="1">
      <c r="A116" s="1127">
        <f>SUM(A88:A115)</f>
        <v>0</v>
      </c>
      <c r="B116" s="9759">
        <v>2</v>
      </c>
      <c r="C116" s="9780" t="s">
        <v>920</v>
      </c>
      <c r="D116" s="9781"/>
      <c r="E116" s="9781"/>
      <c r="F116" s="9781"/>
      <c r="G116" s="9781"/>
      <c r="H116" s="9781"/>
      <c r="I116" s="9781"/>
      <c r="J116" s="9781"/>
      <c r="K116" s="9781"/>
      <c r="L116" s="9781"/>
      <c r="M116" s="9781"/>
      <c r="N116" s="9781"/>
      <c r="O116" s="9781"/>
      <c r="P116" s="9781"/>
      <c r="Q116" s="9680" t="str">
        <f>IF(A116=0,"",ROUND(SUM(Q88:Q115),0))</f>
        <v/>
      </c>
      <c r="R116" s="9783"/>
      <c r="S116" s="9783"/>
      <c r="T116" s="9681"/>
      <c r="U116" s="9680" t="str">
        <f>IF(A116=0,"",ROUND(SUM(U88:U115),0))</f>
        <v/>
      </c>
      <c r="V116" s="9761"/>
      <c r="W116" s="9761"/>
      <c r="X116" s="9762"/>
      <c r="Y116" s="9769"/>
      <c r="Z116" s="9770"/>
      <c r="AA116" s="9680" t="str">
        <f>IF(A116=0,"",ROUND(SUM(AA88:AA115),0))</f>
        <v/>
      </c>
      <c r="AB116" s="9681"/>
      <c r="AC116" s="9680" t="str">
        <f>IF(A116=0,"",ROUND(SUM(AC88:AC115),0))</f>
        <v/>
      </c>
      <c r="AD116" s="9761"/>
      <c r="AE116" s="9761"/>
      <c r="AF116" s="9761"/>
      <c r="AG116" s="1127"/>
    </row>
    <row r="117" spans="1:55" ht="11.25" customHeight="1">
      <c r="A117" s="1127"/>
      <c r="B117" s="9760"/>
      <c r="C117" s="9782"/>
      <c r="D117" s="9782"/>
      <c r="E117" s="9782"/>
      <c r="F117" s="9782"/>
      <c r="G117" s="9782"/>
      <c r="H117" s="9782"/>
      <c r="I117" s="9782"/>
      <c r="J117" s="9782"/>
      <c r="K117" s="9782"/>
      <c r="L117" s="9782"/>
      <c r="M117" s="9782"/>
      <c r="N117" s="9782"/>
      <c r="O117" s="9782"/>
      <c r="P117" s="9782"/>
      <c r="Q117" s="9682"/>
      <c r="R117" s="9784"/>
      <c r="S117" s="9784"/>
      <c r="T117" s="9683"/>
      <c r="U117" s="9763"/>
      <c r="V117" s="9764"/>
      <c r="W117" s="9764"/>
      <c r="X117" s="9765"/>
      <c r="Y117" s="9771"/>
      <c r="Z117" s="9772"/>
      <c r="AA117" s="9682"/>
      <c r="AB117" s="9683"/>
      <c r="AC117" s="9763"/>
      <c r="AD117" s="9764"/>
      <c r="AE117" s="9764"/>
      <c r="AF117" s="9764"/>
      <c r="AG117" s="1127"/>
    </row>
    <row r="118" spans="1:55" ht="11.25" customHeight="1">
      <c r="A118" s="1127"/>
      <c r="B118" s="9760"/>
      <c r="C118" s="9782"/>
      <c r="D118" s="9782"/>
      <c r="E118" s="9782"/>
      <c r="F118" s="9782"/>
      <c r="G118" s="9782"/>
      <c r="H118" s="9782"/>
      <c r="I118" s="9782"/>
      <c r="J118" s="9782"/>
      <c r="K118" s="9782"/>
      <c r="L118" s="9782"/>
      <c r="M118" s="9782"/>
      <c r="N118" s="9782"/>
      <c r="O118" s="9782"/>
      <c r="P118" s="9782"/>
      <c r="Q118" s="9682"/>
      <c r="R118" s="9784"/>
      <c r="S118" s="9784"/>
      <c r="T118" s="9683"/>
      <c r="U118" s="9763"/>
      <c r="V118" s="9764"/>
      <c r="W118" s="9764"/>
      <c r="X118" s="9765"/>
      <c r="Y118" s="9771"/>
      <c r="Z118" s="9772"/>
      <c r="AA118" s="9682"/>
      <c r="AB118" s="9683"/>
      <c r="AC118" s="9763"/>
      <c r="AD118" s="9764"/>
      <c r="AE118" s="9764"/>
      <c r="AF118" s="9764"/>
      <c r="AG118" s="1127"/>
    </row>
    <row r="119" spans="1:55" ht="11.25" customHeight="1">
      <c r="A119" s="1127"/>
      <c r="B119" s="9760"/>
      <c r="C119" s="9782"/>
      <c r="D119" s="9782"/>
      <c r="E119" s="9782"/>
      <c r="F119" s="9782"/>
      <c r="G119" s="9782"/>
      <c r="H119" s="9782"/>
      <c r="I119" s="9782"/>
      <c r="J119" s="9782"/>
      <c r="K119" s="9782"/>
      <c r="L119" s="9782"/>
      <c r="M119" s="9782"/>
      <c r="N119" s="9782"/>
      <c r="O119" s="9782"/>
      <c r="P119" s="9782"/>
      <c r="Q119" s="9682"/>
      <c r="R119" s="9784"/>
      <c r="S119" s="9784"/>
      <c r="T119" s="9683"/>
      <c r="U119" s="9763"/>
      <c r="V119" s="9764"/>
      <c r="W119" s="9764"/>
      <c r="X119" s="9765"/>
      <c r="Y119" s="9771"/>
      <c r="Z119" s="9772"/>
      <c r="AA119" s="9682"/>
      <c r="AB119" s="9683"/>
      <c r="AC119" s="9763"/>
      <c r="AD119" s="9764"/>
      <c r="AE119" s="9764"/>
      <c r="AF119" s="9764"/>
      <c r="AG119" s="1127"/>
    </row>
    <row r="120" spans="1:55" ht="6" customHeight="1">
      <c r="A120" s="1127"/>
      <c r="B120" s="9760"/>
      <c r="C120" s="9782"/>
      <c r="D120" s="9782"/>
      <c r="E120" s="9782"/>
      <c r="F120" s="9782"/>
      <c r="G120" s="9782"/>
      <c r="H120" s="9782"/>
      <c r="I120" s="9782"/>
      <c r="J120" s="9782"/>
      <c r="K120" s="9782"/>
      <c r="L120" s="9782"/>
      <c r="M120" s="9782"/>
      <c r="N120" s="9782"/>
      <c r="O120" s="9782"/>
      <c r="P120" s="9782"/>
      <c r="Q120" s="9682"/>
      <c r="R120" s="9784"/>
      <c r="S120" s="9784"/>
      <c r="T120" s="9683"/>
      <c r="U120" s="9790"/>
      <c r="V120" s="9791"/>
      <c r="W120" s="9791"/>
      <c r="X120" s="9792"/>
      <c r="Y120" s="9773"/>
      <c r="Z120" s="9774"/>
      <c r="AA120" s="9684"/>
      <c r="AB120" s="9685"/>
      <c r="AC120" s="9763"/>
      <c r="AD120" s="9764"/>
      <c r="AE120" s="9764"/>
      <c r="AF120" s="9764"/>
      <c r="AG120" s="1127"/>
    </row>
    <row r="121" spans="1:55" ht="25.5" customHeight="1" thickBot="1">
      <c r="A121" s="1127"/>
      <c r="B121" s="9777" t="s">
        <v>1591</v>
      </c>
      <c r="C121" s="9778"/>
      <c r="D121" s="9778"/>
      <c r="E121" s="9778"/>
      <c r="F121" s="9778"/>
      <c r="G121" s="9778"/>
      <c r="H121" s="9778"/>
      <c r="I121" s="9778"/>
      <c r="J121" s="9778"/>
      <c r="K121" s="9778"/>
      <c r="L121" s="9778"/>
      <c r="M121" s="9778"/>
      <c r="N121" s="9778"/>
      <c r="O121" s="9778"/>
      <c r="P121" s="9778"/>
      <c r="Q121" s="9778"/>
      <c r="R121" s="9778"/>
      <c r="S121" s="9778"/>
      <c r="T121" s="9778"/>
      <c r="U121" s="9779"/>
      <c r="V121" s="9779"/>
      <c r="W121" s="9779"/>
      <c r="X121" s="9779"/>
      <c r="Y121" s="9778"/>
      <c r="Z121" s="9778"/>
      <c r="AA121" s="9778"/>
      <c r="AB121" s="9778"/>
      <c r="AC121" s="9778"/>
      <c r="AD121" s="9778"/>
      <c r="AE121" s="9778"/>
      <c r="AF121" s="9778"/>
      <c r="AG121" s="1127"/>
    </row>
    <row r="122" spans="1:55" ht="14.25" customHeight="1" thickTop="1">
      <c r="A122" s="1127"/>
      <c r="B122" s="4759" t="s">
        <v>484</v>
      </c>
      <c r="C122" s="23"/>
      <c r="D122" s="23"/>
      <c r="E122" s="23"/>
      <c r="F122" s="23"/>
      <c r="G122" s="23"/>
      <c r="H122" s="23"/>
      <c r="I122" s="23"/>
      <c r="J122" s="23"/>
      <c r="K122" s="23"/>
      <c r="L122" s="23"/>
      <c r="M122" s="23"/>
      <c r="N122" s="23"/>
      <c r="O122" s="23"/>
      <c r="P122" s="23"/>
      <c r="Q122" s="23"/>
      <c r="R122" s="23"/>
      <c r="S122" s="23"/>
      <c r="T122" s="23"/>
      <c r="U122" s="501" t="s">
        <v>621</v>
      </c>
      <c r="V122" s="23"/>
      <c r="W122" s="23"/>
      <c r="X122" s="23"/>
      <c r="Y122" s="23"/>
      <c r="Z122" s="23"/>
      <c r="AA122" s="23"/>
      <c r="AB122" s="23"/>
      <c r="AC122" s="23"/>
      <c r="AD122" s="1035" t="s">
        <v>632</v>
      </c>
      <c r="AE122" s="23"/>
      <c r="AF122" s="3559" t="str">
        <f>"("&amp;TaxYear&amp;")"</f>
        <v>(2021)</v>
      </c>
      <c r="AG122" s="1127"/>
    </row>
    <row r="123" spans="1:55">
      <c r="A123" s="1127"/>
      <c r="B123" s="1127"/>
      <c r="C123" s="1127"/>
      <c r="D123" s="1127"/>
      <c r="E123" s="1127"/>
      <c r="F123" s="1127"/>
      <c r="G123" s="1127"/>
      <c r="H123" s="1127"/>
      <c r="I123" s="1127"/>
      <c r="J123" s="1127"/>
      <c r="K123" s="1127"/>
      <c r="L123" s="1127"/>
      <c r="M123" s="1127"/>
      <c r="N123" s="1127"/>
      <c r="O123" s="1127"/>
      <c r="P123" s="1127"/>
      <c r="Q123" s="1127"/>
      <c r="R123" s="1127"/>
      <c r="S123" s="1127"/>
      <c r="T123" s="1127"/>
      <c r="U123" s="1127"/>
      <c r="V123" s="1127"/>
      <c r="W123" s="1127"/>
      <c r="X123" s="1127"/>
      <c r="Y123" s="1127"/>
      <c r="Z123" s="1127"/>
      <c r="AA123" s="1127"/>
      <c r="AB123" s="1127"/>
      <c r="AC123" s="1127"/>
      <c r="AD123" s="1127"/>
      <c r="AE123" s="1127"/>
      <c r="AF123" s="1127"/>
      <c r="AG123" s="1127"/>
    </row>
  </sheetData>
  <sheetProtection algorithmName="SHA-512" hashValue="gO1qUoDWhFJM+T2bPmnv8Doy1KjeoSHLJn3mGEdt3hHJthxvYWhhvThaJKq1/rfYGn2rcdGrtlXY7hHvhuGsDg==" saltValue="I48YMWeiSAJZJKpj2Y4BEQ==" spinCount="100000" sheet="1" objects="1" scenarios="1"/>
  <mergeCells count="471">
    <mergeCell ref="AC116:AF120"/>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 ref="AA112:AB112"/>
    <mergeCell ref="AC112:AF112"/>
    <mergeCell ref="B113:I113"/>
    <mergeCell ref="J113:L113"/>
    <mergeCell ref="M113:P113"/>
    <mergeCell ref="Q113:T113"/>
    <mergeCell ref="U113:X113"/>
    <mergeCell ref="Y113:Z113"/>
    <mergeCell ref="AA113:AB113"/>
    <mergeCell ref="AC113:AF113"/>
    <mergeCell ref="B112:I112"/>
    <mergeCell ref="J112:L112"/>
    <mergeCell ref="M112:P112"/>
    <mergeCell ref="Q112:T112"/>
    <mergeCell ref="U112:X112"/>
    <mergeCell ref="Y112:Z112"/>
    <mergeCell ref="AA110:AB110"/>
    <mergeCell ref="AC110:AF110"/>
    <mergeCell ref="B111:I111"/>
    <mergeCell ref="J111:L111"/>
    <mergeCell ref="M111:P111"/>
    <mergeCell ref="Q111:T111"/>
    <mergeCell ref="U111:X111"/>
    <mergeCell ref="Y111:Z111"/>
    <mergeCell ref="AA111:AB111"/>
    <mergeCell ref="AC111:AF111"/>
    <mergeCell ref="B110:I110"/>
    <mergeCell ref="J110:L110"/>
    <mergeCell ref="M110:P110"/>
    <mergeCell ref="Q110:T110"/>
    <mergeCell ref="U110:X110"/>
    <mergeCell ref="Y110:Z110"/>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B84:B87"/>
    <mergeCell ref="C84:I87"/>
    <mergeCell ref="J84:L87"/>
    <mergeCell ref="M84:P87"/>
    <mergeCell ref="Q84:T87"/>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U84:X87"/>
    <mergeCell ref="Y84:AB85"/>
    <mergeCell ref="AC84:AF87"/>
    <mergeCell ref="BA75:BC75"/>
    <mergeCell ref="BA76:BA87"/>
    <mergeCell ref="BB76:BB87"/>
    <mergeCell ref="BC76:BC87"/>
    <mergeCell ref="AJ78:AQ78"/>
    <mergeCell ref="AJ80:AQ80"/>
    <mergeCell ref="AJ84:AJ87"/>
    <mergeCell ref="AK84:AK87"/>
    <mergeCell ref="AL84:AL87"/>
    <mergeCell ref="AM84:AM87"/>
    <mergeCell ref="AN84:AN87"/>
    <mergeCell ref="AO84:AP85"/>
    <mergeCell ref="AQ84:AQ87"/>
    <mergeCell ref="Y86:Z87"/>
    <mergeCell ref="AA86:AB87"/>
    <mergeCell ref="AO86:AO87"/>
    <mergeCell ref="AP86:AP87"/>
    <mergeCell ref="R82:AE82"/>
    <mergeCell ref="AJ82:AQ82"/>
    <mergeCell ref="AC55:AF59"/>
    <mergeCell ref="B60:AF60"/>
    <mergeCell ref="B64:U64"/>
    <mergeCell ref="V64:AF64"/>
    <mergeCell ref="B65:AF67"/>
    <mergeCell ref="B69:C69"/>
    <mergeCell ref="B55:B59"/>
    <mergeCell ref="C55:P59"/>
    <mergeCell ref="Q55:T59"/>
    <mergeCell ref="U55:X59"/>
    <mergeCell ref="Y55:Z59"/>
    <mergeCell ref="AA55:AB59"/>
    <mergeCell ref="AA53:AB53"/>
    <mergeCell ref="AC53:AF53"/>
    <mergeCell ref="B54:I54"/>
    <mergeCell ref="J54:L54"/>
    <mergeCell ref="M54:P54"/>
    <mergeCell ref="Q54:T54"/>
    <mergeCell ref="U54:X54"/>
    <mergeCell ref="Y54:Z54"/>
    <mergeCell ref="AA54:AB54"/>
    <mergeCell ref="AC54:AF54"/>
    <mergeCell ref="B53:I53"/>
    <mergeCell ref="J53:L53"/>
    <mergeCell ref="M53:P53"/>
    <mergeCell ref="Q53:T53"/>
    <mergeCell ref="U53:X53"/>
    <mergeCell ref="Y53:Z53"/>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C31:I34"/>
    <mergeCell ref="J31:L34"/>
    <mergeCell ref="M31:P34"/>
    <mergeCell ref="Q31:T34"/>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 ref="U35:X35"/>
    <mergeCell ref="Y35:Z35"/>
    <mergeCell ref="U31:X34"/>
    <mergeCell ref="Y31:AB32"/>
    <mergeCell ref="B16:C16"/>
    <mergeCell ref="BA22:BC22"/>
    <mergeCell ref="BA23:BA34"/>
    <mergeCell ref="BB23:BB34"/>
    <mergeCell ref="BC23:BC34"/>
    <mergeCell ref="AJ25:AQ25"/>
    <mergeCell ref="AJ27:AQ27"/>
    <mergeCell ref="R29:AE29"/>
    <mergeCell ref="AJ29:AQ29"/>
    <mergeCell ref="B31:B34"/>
    <mergeCell ref="AO31:AP32"/>
    <mergeCell ref="AQ31:AQ34"/>
    <mergeCell ref="Y33:Z34"/>
    <mergeCell ref="AA33:AB34"/>
    <mergeCell ref="AO33:AO34"/>
    <mergeCell ref="AP33:AP34"/>
    <mergeCell ref="AC31:AF34"/>
    <mergeCell ref="AJ31:AJ34"/>
    <mergeCell ref="AK31:AK34"/>
    <mergeCell ref="AL31:AL34"/>
    <mergeCell ref="AM31:AM34"/>
    <mergeCell ref="AN31:AN34"/>
    <mergeCell ref="H8:AA9"/>
    <mergeCell ref="AB8:AD9"/>
    <mergeCell ref="AE8:AF9"/>
    <mergeCell ref="B11:U11"/>
    <mergeCell ref="V11:AF11"/>
    <mergeCell ref="B12:AF14"/>
    <mergeCell ref="B2:K2"/>
    <mergeCell ref="B4:F6"/>
    <mergeCell ref="H4:AA6"/>
    <mergeCell ref="AB4:AF4"/>
    <mergeCell ref="AB5:AF7"/>
    <mergeCell ref="H7:AA7"/>
  </mergeCells>
  <conditionalFormatting sqref="B2">
    <cfRule type="expression" dxfId="200" priority="34" stopIfTrue="1">
      <formula>IF(OR($AG$16,$AG$69),1,0)</formula>
    </cfRule>
  </conditionalFormatting>
  <conditionalFormatting sqref="B21">
    <cfRule type="expression" dxfId="199" priority="8">
      <formula>(A29=0)</formula>
    </cfRule>
  </conditionalFormatting>
  <conditionalFormatting sqref="B74">
    <cfRule type="expression" dxfId="198" priority="9">
      <formula>IF(A82=0,1,0)</formula>
    </cfRule>
  </conditionalFormatting>
  <conditionalFormatting sqref="B11:AF11">
    <cfRule type="expression" dxfId="197" priority="32">
      <formula>IF(NoColor,1,0)</formula>
    </cfRule>
  </conditionalFormatting>
  <conditionalFormatting sqref="B35:AF54">
    <cfRule type="expression" dxfId="196" priority="17">
      <formula>IF(NoColor,1,0)</formula>
    </cfRule>
  </conditionalFormatting>
  <conditionalFormatting sqref="B64:AF64">
    <cfRule type="expression" dxfId="195" priority="28">
      <formula>IF(NoColor,1,0)</formula>
    </cfRule>
  </conditionalFormatting>
  <conditionalFormatting sqref="B88:AF115">
    <cfRule type="expression" dxfId="194" priority="1">
      <formula>IF(NoColor,1,0)</formula>
    </cfRule>
  </conditionalFormatting>
  <conditionalFormatting sqref="C25">
    <cfRule type="expression" dxfId="193" priority="19">
      <formula>IF(NoColor,1,0)</formula>
    </cfRule>
  </conditionalFormatting>
  <conditionalFormatting sqref="C27">
    <cfRule type="expression" dxfId="192" priority="14">
      <formula>IF(NoColor,1,0)</formula>
    </cfRule>
  </conditionalFormatting>
  <conditionalFormatting sqref="C29">
    <cfRule type="expression" dxfId="191" priority="13">
      <formula>IF(NoColor,1,0)</formula>
    </cfRule>
  </conditionalFormatting>
  <conditionalFormatting sqref="C78">
    <cfRule type="expression" dxfId="190" priority="24">
      <formula>IF(NoColor,1,0)</formula>
    </cfRule>
  </conditionalFormatting>
  <conditionalFormatting sqref="C80">
    <cfRule type="expression" dxfId="189" priority="16">
      <formula>IF(NoColor,1,0)</formula>
    </cfRule>
  </conditionalFormatting>
  <conditionalFormatting sqref="C82">
    <cfRule type="expression" dxfId="188" priority="15">
      <formula>IF(NoColor,1,0)</formula>
    </cfRule>
  </conditionalFormatting>
  <conditionalFormatting sqref="J35:J54">
    <cfRule type="expression" dxfId="187" priority="31" stopIfTrue="1">
      <formula>IF(AND($L$2="",AG35&lt;&gt;0),TRUE,FALSE)</formula>
    </cfRule>
  </conditionalFormatting>
  <conditionalFormatting sqref="J88:J115">
    <cfRule type="expression" dxfId="186" priority="27" stopIfTrue="1">
      <formula>IF(AND($L$2="",AG88&lt;&gt;0),TRUE,FALSE)</formula>
    </cfRule>
  </conditionalFormatting>
  <conditionalFormatting sqref="K74">
    <cfRule type="expression" dxfId="185" priority="10">
      <formula>(A$82&gt;1)</formula>
    </cfRule>
  </conditionalFormatting>
  <conditionalFormatting sqref="L2">
    <cfRule type="expression" dxfId="184" priority="33" stopIfTrue="1">
      <formula>IF(OR($AG$16,$AG$69),1,0)</formula>
    </cfRule>
  </conditionalFormatting>
  <conditionalFormatting sqref="L21">
    <cfRule type="expression" dxfId="183" priority="7">
      <formula>(A29&gt;1)</formula>
    </cfRule>
  </conditionalFormatting>
  <conditionalFormatting sqref="M35:M54">
    <cfRule type="expression" dxfId="182" priority="30" stopIfTrue="1">
      <formula>IF(AND($L$2="",AG35&gt;0),TRUE,FALSE)</formula>
    </cfRule>
  </conditionalFormatting>
  <conditionalFormatting sqref="M88:M115">
    <cfRule type="expression" dxfId="181" priority="26" stopIfTrue="1">
      <formula>IF(AND($L$2="",AG88&gt;0),TRUE,FALSE)</formula>
    </cfRule>
  </conditionalFormatting>
  <conditionalFormatting sqref="P69">
    <cfRule type="expression" dxfId="180" priority="5" stopIfTrue="1">
      <formula>IF(AND($L$2="",$AG$69),TRUE,FALSE)</formula>
    </cfRule>
  </conditionalFormatting>
  <conditionalFormatting sqref="Q55:X59">
    <cfRule type="expression" dxfId="179" priority="2">
      <formula>IF(NoColor,1,0)</formula>
    </cfRule>
  </conditionalFormatting>
  <conditionalFormatting sqref="Q116:X120">
    <cfRule type="expression" dxfId="178" priority="21">
      <formula>IF(NoColor,1,0)</formula>
    </cfRule>
  </conditionalFormatting>
  <conditionalFormatting sqref="T16">
    <cfRule type="expression" dxfId="177" priority="6" stopIfTrue="1">
      <formula>IF(AND($L$2="",$AG$16),TRUE,FALSE)</formula>
    </cfRule>
  </conditionalFormatting>
  <conditionalFormatting sqref="T69">
    <cfRule type="expression" dxfId="175" priority="4" stopIfTrue="1">
      <formula>IF(AND($L$2="",$AG$69),TRUE,FALSE)</formula>
    </cfRule>
  </conditionalFormatting>
  <conditionalFormatting sqref="T70">
    <cfRule type="expression" dxfId="174" priority="3" stopIfTrue="1">
      <formula>IF(AND($L$2="",$AG$16),TRUE,FALSE)</formula>
    </cfRule>
  </conditionalFormatting>
  <conditionalFormatting sqref="AA55:AF59">
    <cfRule type="expression" dxfId="172" priority="22">
      <formula>IF(NoColor,1,0)</formula>
    </cfRule>
  </conditionalFormatting>
  <conditionalFormatting sqref="AA116:AF120">
    <cfRule type="expression" dxfId="171" priority="20">
      <formula>IF(NoColor,1,0)</formula>
    </cfRule>
  </conditionalFormatting>
  <printOptions horizontalCentered="1"/>
  <pageMargins left="0.2" right="0.2" top="0.5" bottom="0.5" header="0.3" footer="0.3"/>
  <pageSetup scale="77" fitToHeight="2" orientation="portrait" r:id="rId1"/>
  <rowBreaks count="1" manualBreakCount="1">
    <brk id="61" min="1" max="31" man="1"/>
  </rowBreaks>
  <drawing r:id="rId2"/>
  <extLst>
    <ext xmlns:x14="http://schemas.microsoft.com/office/spreadsheetml/2009/9/main" uri="{78C0D931-6437-407d-A8EE-F0AAD7539E65}">
      <x14:conditionalFormattings>
        <x14:conditionalFormatting xmlns:xm="http://schemas.microsoft.com/office/excel/2006/main">
          <x14:cfRule type="expression" priority="12" stopIfTrue="1" id="{2C7E6E93-F8F4-4C5B-BE37-CABBD0B1A946}">
            <xm:f>IF(AND('8949A'!$L$2="",'8949A'!$AG$16),TRUE,FALSE)</xm:f>
            <x14:dxf>
              <font>
                <b val="0"/>
                <i val="0"/>
                <color rgb="FFFF0000"/>
              </font>
            </x14:dxf>
          </x14:cfRule>
          <xm:sqref>T18:T19</xm:sqref>
        </x14:conditionalFormatting>
        <x14:conditionalFormatting xmlns:xm="http://schemas.microsoft.com/office/excel/2006/main">
          <x14:cfRule type="expression" priority="11" stopIfTrue="1" id="{3B333ACD-C9FB-451E-B696-2571ABE29A99}">
            <xm:f>IF(AND('8949A'!$L$2="",'8949A'!$AG$16),TRUE,FALSE)</xm:f>
            <x14:dxf>
              <font>
                <b val="0"/>
                <i val="0"/>
                <color rgb="FFFF0000"/>
              </font>
            </x14:dxf>
          </x14:cfRule>
          <xm:sqref>T71:T72</xm:sqref>
        </x14:conditionalFormatting>
      </x14:conditionalFormatting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Z85"/>
  <sheetViews>
    <sheetView zoomScaleNormal="100" zoomScaleSheetLayoutView="100" workbookViewId="0"/>
  </sheetViews>
  <sheetFormatPr defaultRowHeight="12.75"/>
  <cols>
    <col min="1" max="1" width="2.42578125" style="42" customWidth="1"/>
    <col min="2" max="2" width="7.85546875" customWidth="1"/>
    <col min="3" max="3" width="3.140625" customWidth="1"/>
    <col min="4" max="4" width="9.7109375" customWidth="1"/>
    <col min="5" max="5" width="9.42578125" customWidth="1"/>
    <col min="6" max="6" width="20.85546875" customWidth="1"/>
    <col min="7" max="7" width="8.140625" customWidth="1"/>
    <col min="8" max="8" width="3.5703125" customWidth="1"/>
    <col min="9" max="9" width="5.7109375" customWidth="1"/>
    <col min="10" max="10" width="6.140625" customWidth="1"/>
    <col min="11" max="11" width="14.140625" customWidth="1"/>
    <col min="12" max="12" width="3.7109375" customWidth="1"/>
    <col min="13" max="13" width="14.140625" customWidth="1"/>
    <col min="14" max="14" width="2.5703125" customWidth="1"/>
    <col min="15" max="15" width="3.85546875" customWidth="1"/>
    <col min="16" max="16" width="14.5703125" customWidth="1"/>
    <col min="17" max="17" width="2.28515625" customWidth="1"/>
    <col min="18" max="18" width="12.140625" style="3960" customWidth="1"/>
    <col min="19" max="26" width="10.7109375" style="2595" customWidth="1"/>
  </cols>
  <sheetData>
    <row r="1" spans="1:26" ht="12.75" customHeight="1" thickBot="1">
      <c r="A1" s="2519"/>
      <c r="B1" s="78"/>
      <c r="C1" s="78"/>
      <c r="D1" s="78"/>
      <c r="E1" s="78"/>
      <c r="F1" s="78"/>
      <c r="G1" s="78"/>
      <c r="H1" s="78"/>
      <c r="I1" s="78"/>
      <c r="J1" s="78"/>
      <c r="K1" s="78"/>
      <c r="L1" s="656"/>
      <c r="M1" s="78"/>
      <c r="N1" s="78"/>
      <c r="O1" s="1284"/>
      <c r="P1" s="2523" t="b">
        <f>IF($O$2&lt;&gt;"",TRUE,FALSE)</f>
        <v>0</v>
      </c>
      <c r="Q1" s="1284"/>
      <c r="S1" s="2594" t="s">
        <v>2033</v>
      </c>
    </row>
    <row r="2" spans="1:26" ht="17.25" customHeight="1" thickBot="1">
      <c r="A2" s="2519"/>
      <c r="B2" s="1283" t="s">
        <v>2018</v>
      </c>
      <c r="C2" s="1179"/>
      <c r="D2" s="1179"/>
      <c r="E2" s="1179"/>
      <c r="F2" s="1179"/>
      <c r="G2" s="1179"/>
      <c r="H2" s="1179"/>
      <c r="I2" s="1179"/>
      <c r="J2" s="1179"/>
      <c r="K2" s="1179"/>
      <c r="L2" s="2521"/>
      <c r="M2" s="1179"/>
      <c r="N2" s="78"/>
      <c r="O2" s="1181"/>
      <c r="P2" s="1283" t="s">
        <v>2244</v>
      </c>
      <c r="Q2" s="1284"/>
    </row>
    <row r="3" spans="1:26" ht="12.75" customHeight="1">
      <c r="A3" s="2519"/>
      <c r="B3" s="2522" t="str">
        <f>IF(P3,"Yes","No")</f>
        <v>No</v>
      </c>
      <c r="C3" s="1276" t="str">
        <f>"Your Medicare wages and tips on any single Form W-2 (box 5) are greater than "&amp;TEXT(H24,"$0,000")&amp;"."</f>
        <v>Your Medicare wages and tips on any single Form W-2 (box 5) are greater than $200,000.</v>
      </c>
      <c r="D3" s="1179"/>
      <c r="E3" s="1179"/>
      <c r="F3" s="1179"/>
      <c r="G3" s="1179"/>
      <c r="H3" s="1179"/>
      <c r="I3" s="1179"/>
      <c r="J3" s="1179"/>
      <c r="K3" s="1179"/>
      <c r="L3" s="2521"/>
      <c r="M3" s="1179"/>
      <c r="N3" s="78"/>
      <c r="O3" s="1284"/>
      <c r="P3" s="2523" t="b">
        <f>IF('W-2s'!I55,TRUE,FALSE)</f>
        <v>0</v>
      </c>
      <c r="Q3" s="1284"/>
    </row>
    <row r="4" spans="1:26" ht="12.75" customHeight="1">
      <c r="A4" s="2519"/>
      <c r="B4" s="2522" t="str">
        <f>IF(P4,"Yes","No")</f>
        <v>No</v>
      </c>
      <c r="C4" s="1276" t="str">
        <f>"Your railroad retirement (RRTA) compensation on any single Form W-2 (box 14) is greater than "&amp;TEXT(H24,"$0,000")&amp;"."</f>
        <v>Your railroad retirement (RRTA) compensation on any single Form W-2 (box 14) is greater than $200,000.</v>
      </c>
      <c r="D4" s="1179"/>
      <c r="E4" s="1179"/>
      <c r="F4" s="1179"/>
      <c r="G4" s="1179"/>
      <c r="H4" s="1179"/>
      <c r="I4" s="1179"/>
      <c r="J4" s="1179"/>
      <c r="K4" s="1179"/>
      <c r="L4" s="2521"/>
      <c r="M4" s="1179"/>
      <c r="N4" s="78"/>
      <c r="O4" s="1284"/>
      <c r="P4" s="2523" t="b">
        <f>IF(ROUND(RRTA_Compensation,0)&gt;$H$24,TRUE,FALSE)</f>
        <v>0</v>
      </c>
      <c r="Q4" s="1284"/>
    </row>
    <row r="5" spans="1:26" ht="12.75" customHeight="1">
      <c r="A5" s="2519"/>
      <c r="B5" s="2522" t="str">
        <f>IF(P5,"Yes","No")</f>
        <v>No</v>
      </c>
      <c r="C5" s="1276" t="str">
        <f>"Your total Medicare wages and tips plus your self-employment income are &gt; filing status threshold ("&amp;TEXT($M$24,"$0,000")&amp;")."</f>
        <v>Your total Medicare wages and tips plus your self-employment income are &gt; filing status threshold (---).</v>
      </c>
      <c r="D5" s="1179"/>
      <c r="E5" s="1179"/>
      <c r="F5" s="1179"/>
      <c r="G5" s="1179"/>
      <c r="H5" s="1179"/>
      <c r="I5" s="1179"/>
      <c r="J5" s="1179"/>
      <c r="K5" s="1179"/>
      <c r="L5" s="2521"/>
      <c r="M5" s="1179"/>
      <c r="N5" s="78"/>
      <c r="O5" s="1284"/>
      <c r="P5" s="2523" t="b">
        <f>(P8&gt;$M$24)</f>
        <v>0</v>
      </c>
      <c r="Q5" s="1284"/>
    </row>
    <row r="6" spans="1:26" ht="12.75" customHeight="1">
      <c r="A6" s="2519"/>
      <c r="B6" s="2522" t="str">
        <f>IF(P6,"Yes","No")</f>
        <v>No</v>
      </c>
      <c r="C6" s="1276" t="str">
        <f>"Your total railroad retirement (RRTA) compensation and tips (Part III, Line 14) are &gt; filing status threshold ("&amp;TEXT($M$46,"$0,000")&amp;")."</f>
        <v>Your total railroad retirement (RRTA) compensation and tips (Part III, Line 14) are &gt; filing status threshold (---).</v>
      </c>
      <c r="D6" s="1179"/>
      <c r="E6" s="1179"/>
      <c r="F6" s="1179"/>
      <c r="G6" s="1179"/>
      <c r="H6" s="1179"/>
      <c r="I6" s="1179"/>
      <c r="J6" s="1179"/>
      <c r="K6" s="1179"/>
      <c r="L6" s="2521"/>
      <c r="M6" s="1179"/>
      <c r="N6" s="78"/>
      <c r="O6" s="1284"/>
      <c r="P6" s="2523" t="b">
        <f>IF(RRTA_Compensation="",FALSE,IF(ROUND(RRTA_Compensation,0)&gt;$M$46,TRUE,FALSE))</f>
        <v>0</v>
      </c>
      <c r="Q6" s="1284"/>
    </row>
    <row r="7" spans="1:26" ht="10.5" customHeight="1">
      <c r="A7" s="656"/>
      <c r="B7" s="656"/>
      <c r="C7" s="78"/>
      <c r="D7" s="78"/>
      <c r="E7" s="78"/>
      <c r="F7" s="78"/>
      <c r="G7" s="656"/>
      <c r="H7" s="78"/>
      <c r="I7" s="78"/>
      <c r="J7" s="78"/>
      <c r="K7" s="78"/>
      <c r="L7" s="78"/>
      <c r="M7" s="78"/>
      <c r="N7" s="78"/>
      <c r="O7" s="1284"/>
      <c r="P7" s="2523" t="b">
        <f>OR(P1,P3:P6)</f>
        <v>0</v>
      </c>
      <c r="Q7" s="1284"/>
    </row>
    <row r="8" spans="1:26">
      <c r="A8" s="78"/>
      <c r="B8" s="23"/>
      <c r="C8" s="23"/>
      <c r="D8" s="97"/>
      <c r="E8" s="23"/>
      <c r="F8" s="23"/>
      <c r="G8" s="23"/>
      <c r="H8" s="23"/>
      <c r="I8" s="23"/>
      <c r="J8" s="23"/>
      <c r="K8" s="23"/>
      <c r="L8" s="8932" t="s">
        <v>85</v>
      </c>
      <c r="M8" s="8628"/>
      <c r="N8" s="588"/>
      <c r="O8" s="2243"/>
      <c r="P8" s="3975">
        <f>IF(AND(P17&lt;&gt;"",P30&lt;&gt;""),SUM(ROUND(P17,0),ROUND(P30,0)),IF(P17&lt;&gt;"",SUM(ROUND(P17,0),K29),IF(P30&lt;&gt;"",SUM(MedCare_wages,ROUND(P30,0)),SUM(MedCare_wages,K29))))</f>
        <v>0</v>
      </c>
      <c r="Q8" s="2243"/>
      <c r="R8" s="3994"/>
    </row>
    <row r="9" spans="1:26" ht="20.25" customHeight="1">
      <c r="A9" s="78"/>
      <c r="B9" s="9651" t="s">
        <v>291</v>
      </c>
      <c r="C9" s="9652">
        <v>8959</v>
      </c>
      <c r="D9" s="9653"/>
      <c r="E9" s="8946" t="s">
        <v>830</v>
      </c>
      <c r="F9" s="6788"/>
      <c r="G9" s="6788"/>
      <c r="H9" s="6788"/>
      <c r="I9" s="6788"/>
      <c r="J9" s="6788"/>
      <c r="K9" s="6789"/>
      <c r="L9" s="7033">
        <f>TaxYear</f>
        <v>2021</v>
      </c>
      <c r="M9" s="8933"/>
      <c r="N9" s="662"/>
      <c r="O9" s="253"/>
      <c r="P9" s="24" t="s">
        <v>90</v>
      </c>
      <c r="Q9" s="268"/>
      <c r="R9" s="3961"/>
    </row>
    <row r="10" spans="1:26" ht="14.25" customHeight="1">
      <c r="A10" s="78"/>
      <c r="B10" s="7060"/>
      <c r="C10" s="9654"/>
      <c r="D10" s="9655"/>
      <c r="E10" s="8943" t="s">
        <v>1680</v>
      </c>
      <c r="F10" s="9805"/>
      <c r="G10" s="9805"/>
      <c r="H10" s="9805"/>
      <c r="I10" s="9805"/>
      <c r="J10" s="9805"/>
      <c r="K10" s="9806"/>
      <c r="L10" s="8934"/>
      <c r="M10" s="8935"/>
      <c r="N10" s="663"/>
      <c r="O10" s="254"/>
      <c r="P10" s="24" t="s">
        <v>411</v>
      </c>
      <c r="Q10" s="56"/>
      <c r="R10" s="3962"/>
    </row>
    <row r="11" spans="1:26" ht="12.75" customHeight="1">
      <c r="A11" s="78"/>
      <c r="B11" s="8464" t="s">
        <v>176</v>
      </c>
      <c r="C11" s="6665"/>
      <c r="D11" s="9648"/>
      <c r="E11" s="9804" t="s">
        <v>3354</v>
      </c>
      <c r="F11" s="8944"/>
      <c r="G11" s="8944"/>
      <c r="H11" s="8944"/>
      <c r="I11" s="8944"/>
      <c r="J11" s="8944"/>
      <c r="K11" s="8945"/>
      <c r="L11" s="8463" t="s">
        <v>301</v>
      </c>
      <c r="M11" s="7460"/>
      <c r="N11" s="662"/>
      <c r="O11" s="253"/>
      <c r="P11" s="681"/>
      <c r="Q11" s="56"/>
      <c r="R11" s="3963"/>
    </row>
    <row r="12" spans="1:26" ht="12.75" customHeight="1" thickBot="1">
      <c r="A12" s="78"/>
      <c r="B12" s="9625" t="s">
        <v>395</v>
      </c>
      <c r="C12" s="9626"/>
      <c r="D12" s="9627"/>
      <c r="E12" s="8940" t="s">
        <v>3893</v>
      </c>
      <c r="F12" s="8941"/>
      <c r="G12" s="8941"/>
      <c r="H12" s="8941"/>
      <c r="I12" s="8941"/>
      <c r="J12" s="8941"/>
      <c r="K12" s="8942"/>
      <c r="L12" s="9631" t="s">
        <v>2786</v>
      </c>
      <c r="M12" s="9632"/>
      <c r="N12" s="663"/>
      <c r="O12" s="254"/>
      <c r="P12" s="681"/>
      <c r="Q12" s="268"/>
      <c r="R12" s="3963"/>
    </row>
    <row r="13" spans="1:26" ht="11.25" customHeight="1">
      <c r="A13" s="78"/>
      <c r="B13" s="21" t="s">
        <v>55</v>
      </c>
      <c r="C13" s="161"/>
      <c r="D13" s="161"/>
      <c r="E13" s="134"/>
      <c r="F13" s="135"/>
      <c r="G13" s="144"/>
      <c r="H13" s="135"/>
      <c r="I13" s="135"/>
      <c r="J13" s="135"/>
      <c r="K13" s="8954" t="s">
        <v>89</v>
      </c>
      <c r="L13" s="8955"/>
      <c r="M13" s="8955"/>
      <c r="N13" s="662"/>
      <c r="O13" s="253"/>
      <c r="P13" s="681"/>
      <c r="Q13" s="268"/>
      <c r="R13" s="3962"/>
    </row>
    <row r="14" spans="1:26" ht="14.25" customHeight="1">
      <c r="A14" s="78"/>
      <c r="B14" s="8906" t="str">
        <f>Names</f>
        <v/>
      </c>
      <c r="C14" s="8907"/>
      <c r="D14" s="8907"/>
      <c r="E14" s="8907"/>
      <c r="F14" s="8907"/>
      <c r="G14" s="8907"/>
      <c r="H14" s="8907"/>
      <c r="I14" s="8907"/>
      <c r="J14" s="8908"/>
      <c r="K14" s="7120">
        <f>IF(NoSSN,"",SS_Yours)</f>
        <v>1010001</v>
      </c>
      <c r="L14" s="8950"/>
      <c r="M14" s="8950"/>
      <c r="N14" s="663"/>
      <c r="O14" s="254"/>
      <c r="P14" s="681"/>
      <c r="Q14" s="268"/>
      <c r="R14" s="3962"/>
    </row>
    <row r="15" spans="1:26" ht="15.75">
      <c r="A15" s="78"/>
      <c r="B15" s="4114" t="s">
        <v>324</v>
      </c>
      <c r="C15" s="8936" t="s">
        <v>831</v>
      </c>
      <c r="D15" s="9803"/>
      <c r="E15" s="8937"/>
      <c r="F15" s="8937"/>
      <c r="G15" s="8937"/>
      <c r="H15" s="8937"/>
      <c r="I15" s="8937"/>
      <c r="J15" s="8937"/>
      <c r="K15" s="8937"/>
      <c r="L15" s="8937"/>
      <c r="M15" s="8937"/>
      <c r="N15" s="664"/>
      <c r="O15" s="570"/>
      <c r="P15" s="681"/>
      <c r="Q15" s="268"/>
      <c r="R15" s="3964"/>
    </row>
    <row r="16" spans="1:26" s="983" customFormat="1" ht="12" customHeight="1">
      <c r="A16" s="78"/>
      <c r="B16" s="154">
        <v>1</v>
      </c>
      <c r="C16" s="392" t="s">
        <v>3356</v>
      </c>
      <c r="D16" s="273"/>
      <c r="E16" s="230"/>
      <c r="F16" s="230"/>
      <c r="G16" s="231"/>
      <c r="H16" s="231"/>
      <c r="I16" s="231"/>
      <c r="J16" s="1393"/>
      <c r="K16" s="155"/>
      <c r="L16" s="684"/>
      <c r="M16" s="514"/>
      <c r="N16" s="665"/>
      <c r="O16" s="1348"/>
      <c r="P16" s="582"/>
      <c r="Q16" s="434"/>
      <c r="R16" s="3965"/>
      <c r="S16" s="2595"/>
      <c r="T16" s="2595"/>
      <c r="U16" s="2595"/>
      <c r="V16" s="2595"/>
      <c r="W16" s="2595"/>
      <c r="X16" s="2595"/>
      <c r="Y16" s="2595"/>
      <c r="Z16" s="2595"/>
    </row>
    <row r="17" spans="1:26" ht="12" customHeight="1">
      <c r="A17" s="78"/>
      <c r="B17" s="155"/>
      <c r="C17" s="392" t="s">
        <v>3355</v>
      </c>
      <c r="D17" s="178"/>
      <c r="E17" s="230"/>
      <c r="F17" s="230"/>
      <c r="G17" s="231"/>
      <c r="H17" s="155"/>
      <c r="I17" s="154" t="s">
        <v>535</v>
      </c>
      <c r="J17" s="2374">
        <f>B16</f>
        <v>1</v>
      </c>
      <c r="K17" s="1373" t="str">
        <f>IF(P17&lt;&gt;"",ROUND(P17,0),IF(NOT(P7),"",IF(MedCare_wages=0,"",MedCare_wages)))</f>
        <v/>
      </c>
      <c r="L17" s="684"/>
      <c r="M17" s="515"/>
      <c r="N17" s="666"/>
      <c r="O17" s="258"/>
      <c r="P17" s="444"/>
      <c r="Q17" s="30"/>
      <c r="R17" s="3965"/>
    </row>
    <row r="18" spans="1:26" ht="12" customHeight="1">
      <c r="A18" s="78"/>
      <c r="B18" s="155">
        <v>2</v>
      </c>
      <c r="C18" s="273" t="s">
        <v>832</v>
      </c>
      <c r="D18" s="178"/>
      <c r="E18" s="230"/>
      <c r="F18" s="230"/>
      <c r="G18" s="231"/>
      <c r="H18" s="155"/>
      <c r="I18" s="154" t="s">
        <v>571</v>
      </c>
      <c r="J18" s="2374">
        <f>B18</f>
        <v>2</v>
      </c>
      <c r="K18" s="1374"/>
      <c r="L18" s="684"/>
      <c r="M18" s="515"/>
      <c r="N18" s="666"/>
      <c r="O18" s="258"/>
      <c r="P18" s="582"/>
      <c r="Q18" s="30"/>
      <c r="R18" s="3965"/>
    </row>
    <row r="19" spans="1:26" ht="12" customHeight="1">
      <c r="A19" s="78"/>
      <c r="B19" s="155">
        <v>3</v>
      </c>
      <c r="C19" s="273" t="s">
        <v>834</v>
      </c>
      <c r="D19" s="178"/>
      <c r="E19" s="230"/>
      <c r="F19" s="230"/>
      <c r="G19" s="231"/>
      <c r="H19" s="155"/>
      <c r="I19" s="154" t="s">
        <v>802</v>
      </c>
      <c r="J19" s="2374">
        <f>B19</f>
        <v>3</v>
      </c>
      <c r="K19" s="1374"/>
      <c r="L19" s="684"/>
      <c r="M19" s="515"/>
      <c r="N19" s="666"/>
      <c r="O19" s="258"/>
      <c r="P19" s="558"/>
      <c r="Q19" s="30"/>
      <c r="R19" s="3965"/>
    </row>
    <row r="20" spans="1:26" ht="12" customHeight="1">
      <c r="A20" s="78"/>
      <c r="B20" s="155">
        <v>4</v>
      </c>
      <c r="C20" s="273" t="s">
        <v>835</v>
      </c>
      <c r="D20" s="178"/>
      <c r="E20" s="230"/>
      <c r="F20" s="230"/>
      <c r="G20" s="231"/>
      <c r="H20" s="155"/>
      <c r="I20" s="154" t="s">
        <v>453</v>
      </c>
      <c r="J20" s="2374">
        <f>B20</f>
        <v>4</v>
      </c>
      <c r="K20" s="1373" t="str">
        <f>IF($K$17="","",SUM(K17:K19))</f>
        <v/>
      </c>
      <c r="L20" s="684"/>
      <c r="M20" s="515"/>
      <c r="N20" s="666"/>
      <c r="O20" s="258"/>
      <c r="P20" s="558"/>
      <c r="Q20" s="30"/>
      <c r="R20" s="3965"/>
    </row>
    <row r="21" spans="1:26" s="983" customFormat="1" ht="12" customHeight="1">
      <c r="A21" s="78"/>
      <c r="B21" s="154">
        <v>5</v>
      </c>
      <c r="C21" s="273" t="s">
        <v>836</v>
      </c>
      <c r="D21" s="273"/>
      <c r="E21" s="230"/>
      <c r="F21" s="230"/>
      <c r="G21" s="231"/>
      <c r="H21" s="231"/>
      <c r="I21" s="231"/>
      <c r="J21" s="4112"/>
      <c r="K21" s="155"/>
      <c r="L21" s="684"/>
      <c r="M21" s="515"/>
      <c r="N21" s="665"/>
      <c r="O21" s="1348"/>
      <c r="P21" s="558"/>
      <c r="Q21" s="434"/>
      <c r="R21" s="3965"/>
      <c r="S21" s="2595"/>
      <c r="T21" s="2595"/>
      <c r="U21" s="2595"/>
      <c r="V21" s="2595"/>
      <c r="W21" s="2595"/>
      <c r="X21" s="2595"/>
      <c r="Y21" s="2595"/>
      <c r="Z21" s="2595"/>
    </row>
    <row r="22" spans="1:26" s="983" customFormat="1" ht="12" customHeight="1">
      <c r="A22" s="78"/>
      <c r="B22" s="154"/>
      <c r="C22" s="273" t="s">
        <v>464</v>
      </c>
      <c r="D22" s="273"/>
      <c r="E22" s="231"/>
      <c r="F22" s="230"/>
      <c r="G22" s="154" t="s">
        <v>802</v>
      </c>
      <c r="H22" s="9801">
        <v>250000</v>
      </c>
      <c r="I22" s="9802"/>
      <c r="J22" s="3840"/>
      <c r="K22" s="155"/>
      <c r="L22" s="684"/>
      <c r="M22" s="515"/>
      <c r="N22" s="665"/>
      <c r="O22" s="1348"/>
      <c r="P22" s="558"/>
      <c r="Q22" s="434"/>
      <c r="R22" s="3965"/>
      <c r="S22" s="2595"/>
      <c r="T22" s="2595"/>
      <c r="U22" s="2595"/>
      <c r="V22" s="2595"/>
      <c r="W22" s="2595"/>
      <c r="X22" s="2595"/>
      <c r="Y22" s="2595"/>
      <c r="Z22" s="2595"/>
    </row>
    <row r="23" spans="1:26" s="983" customFormat="1" ht="12" customHeight="1">
      <c r="A23" s="78"/>
      <c r="B23" s="154"/>
      <c r="C23" s="273" t="s">
        <v>273</v>
      </c>
      <c r="D23" s="273"/>
      <c r="E23" s="231"/>
      <c r="F23" s="230"/>
      <c r="G23" s="154" t="s">
        <v>276</v>
      </c>
      <c r="H23" s="9801">
        <v>125000</v>
      </c>
      <c r="I23" s="9802"/>
      <c r="J23" s="3840"/>
      <c r="K23" s="155"/>
      <c r="L23" s="684"/>
      <c r="M23" s="559"/>
      <c r="N23" s="665"/>
      <c r="O23" s="1348"/>
      <c r="P23" s="558"/>
      <c r="Q23" s="434"/>
      <c r="R23" s="3965"/>
      <c r="S23" s="2595"/>
      <c r="T23" s="2595"/>
      <c r="U23" s="2595"/>
      <c r="V23" s="2595"/>
      <c r="W23" s="2595"/>
      <c r="X23" s="2595"/>
      <c r="Y23" s="2595"/>
      <c r="Z23" s="2595"/>
    </row>
    <row r="24" spans="1:26" ht="12" customHeight="1">
      <c r="A24" s="78"/>
      <c r="B24" s="155"/>
      <c r="C24" s="273" t="s">
        <v>837</v>
      </c>
      <c r="D24" s="178"/>
      <c r="E24" s="155"/>
      <c r="F24" s="230"/>
      <c r="G24" s="154" t="s">
        <v>717</v>
      </c>
      <c r="H24" s="9801">
        <v>200000</v>
      </c>
      <c r="I24" s="9802"/>
      <c r="J24" s="2374">
        <f>B21</f>
        <v>5</v>
      </c>
      <c r="K24" s="1373" t="str">
        <f>IF($K$17="","",IF(M24="---","Filing Status?",M24))</f>
        <v/>
      </c>
      <c r="L24" s="684"/>
      <c r="M24" s="2377" t="str">
        <f>IF(File_Marr_Joint&lt;&gt;"",H22,IF(File_Marr_Sep&lt;&gt;"",H23,IF(OR(File_Single&lt;&gt;"",File_Head&lt;&gt;"",File_Qual_Widow&lt;&gt;""),H24,"---")))</f>
        <v>---</v>
      </c>
      <c r="N24" s="666"/>
      <c r="O24" s="258"/>
      <c r="P24" s="558"/>
      <c r="Q24" s="30"/>
      <c r="R24" s="3965"/>
    </row>
    <row r="25" spans="1:26" ht="12.75" customHeight="1">
      <c r="A25" s="78"/>
      <c r="B25" s="154">
        <v>6</v>
      </c>
      <c r="C25" s="273" t="s">
        <v>838</v>
      </c>
      <c r="D25" s="273"/>
      <c r="E25" s="230"/>
      <c r="F25" s="230"/>
      <c r="G25" s="231"/>
      <c r="H25" s="231"/>
      <c r="I25" s="231"/>
      <c r="J25" s="231"/>
      <c r="K25" s="1243" t="s">
        <v>3064</v>
      </c>
      <c r="L25" s="333">
        <f>B25</f>
        <v>6</v>
      </c>
      <c r="M25" s="1373" t="str">
        <f>IF(OR($K$17="",M24="---"),"",IF(K24&gt;=K20,0,SUM(K20,-K24)))</f>
        <v/>
      </c>
      <c r="N25" s="666"/>
      <c r="O25" s="258"/>
      <c r="P25" s="558"/>
      <c r="Q25" s="434"/>
      <c r="R25" s="3965"/>
    </row>
    <row r="26" spans="1:26" s="983" customFormat="1" ht="12" customHeight="1">
      <c r="A26" s="78"/>
      <c r="B26" s="154">
        <v>7</v>
      </c>
      <c r="C26" s="392" t="str">
        <f>"Additional Medicare Tax on Medicare wages. Multiply line 6 by "&amp;TEXT(M26,"0.0%")&amp;" ("&amp;TEXT(M26,"0.000")&amp;"). Enter here and"</f>
        <v>Additional Medicare Tax on Medicare wages. Multiply line 6 by 0.9% (0.009). Enter here and</v>
      </c>
      <c r="D26" s="273"/>
      <c r="E26" s="230"/>
      <c r="F26" s="230"/>
      <c r="G26" s="231"/>
      <c r="H26" s="231"/>
      <c r="I26" s="231"/>
      <c r="J26" s="231"/>
      <c r="K26" s="155"/>
      <c r="L26" s="590"/>
      <c r="M26" s="1392">
        <v>8.9999999999999993E-3</v>
      </c>
      <c r="N26" s="665"/>
      <c r="O26" s="1348"/>
      <c r="P26" s="558"/>
      <c r="Q26" s="434"/>
      <c r="R26" s="3965"/>
      <c r="S26" s="2595"/>
      <c r="T26" s="2595"/>
      <c r="U26" s="2595"/>
      <c r="V26" s="2595"/>
      <c r="W26" s="2595"/>
      <c r="X26" s="2595"/>
      <c r="Y26" s="2595"/>
      <c r="Z26" s="2595"/>
    </row>
    <row r="27" spans="1:26" ht="11.25" customHeight="1">
      <c r="A27" s="78"/>
      <c r="B27" s="154"/>
      <c r="C27" s="392" t="s">
        <v>839</v>
      </c>
      <c r="D27" s="178"/>
      <c r="E27" s="230"/>
      <c r="F27" s="230"/>
      <c r="G27" s="231"/>
      <c r="H27" s="231"/>
      <c r="I27" s="231"/>
      <c r="J27" s="231"/>
      <c r="K27" s="1243" t="s">
        <v>1587</v>
      </c>
      <c r="L27" s="590">
        <f>B26</f>
        <v>7</v>
      </c>
      <c r="M27" s="1373" t="str">
        <f>IF(P27&lt;&gt;"",ROUND(P27,0),IF(OR(K17="",K20="",M24="---"),"",ROUND(M25*M26,0)))</f>
        <v/>
      </c>
      <c r="N27" s="666"/>
      <c r="O27" s="259"/>
      <c r="P27" s="444"/>
      <c r="Q27" s="434"/>
      <c r="R27" s="3962"/>
    </row>
    <row r="28" spans="1:26" s="983" customFormat="1" ht="15.75" customHeight="1">
      <c r="A28" s="78"/>
      <c r="B28" s="4553" t="s">
        <v>118</v>
      </c>
      <c r="C28" s="8951" t="s">
        <v>840</v>
      </c>
      <c r="D28" s="8952"/>
      <c r="E28" s="8953"/>
      <c r="F28" s="8953"/>
      <c r="G28" s="8953"/>
      <c r="H28" s="8953"/>
      <c r="I28" s="8953"/>
      <c r="J28" s="8953"/>
      <c r="K28" s="8953"/>
      <c r="L28" s="8953"/>
      <c r="M28" s="8953"/>
      <c r="N28" s="667"/>
      <c r="O28" s="573"/>
      <c r="P28" s="558"/>
      <c r="Q28" s="410"/>
      <c r="R28" s="4821" t="s">
        <v>4377</v>
      </c>
      <c r="S28" s="2595"/>
      <c r="T28" s="2595"/>
      <c r="U28" s="2595"/>
      <c r="V28" s="2595"/>
      <c r="W28" s="2595"/>
      <c r="X28" s="2595"/>
      <c r="Y28" s="2595"/>
      <c r="Z28" s="2595"/>
    </row>
    <row r="29" spans="1:26" s="983" customFormat="1" ht="12" customHeight="1">
      <c r="A29" s="78"/>
      <c r="B29" s="154">
        <v>8</v>
      </c>
      <c r="C29" s="273" t="s">
        <v>4375</v>
      </c>
      <c r="D29" s="273"/>
      <c r="E29" s="230"/>
      <c r="F29" s="230"/>
      <c r="G29" s="231"/>
      <c r="H29" s="231"/>
      <c r="I29" s="231"/>
      <c r="J29" s="1393"/>
      <c r="K29" s="4820">
        <f>SUM(R29,R30,R32,R33)</f>
        <v>0</v>
      </c>
      <c r="L29" s="684"/>
      <c r="M29" s="514"/>
      <c r="N29" s="665"/>
      <c r="O29" s="1348"/>
      <c r="P29" s="558"/>
      <c r="Q29" s="434"/>
      <c r="R29" s="3965">
        <f>IF(AND('Sch. SE'!X29&lt;&gt;"",'Sch. SE'!X29&gt;100),'Sch. SE'!X29,0)</f>
        <v>0</v>
      </c>
      <c r="S29" s="2595"/>
      <c r="T29" s="2595"/>
      <c r="U29" s="2595"/>
      <c r="V29" s="2595"/>
      <c r="W29" s="2595"/>
      <c r="X29" s="2595"/>
      <c r="Y29" s="2595"/>
      <c r="Z29" s="2595"/>
    </row>
    <row r="30" spans="1:26" ht="12" customHeight="1">
      <c r="A30" s="78"/>
      <c r="B30" s="155"/>
      <c r="C30" s="1394" t="s">
        <v>4376</v>
      </c>
      <c r="D30" s="178"/>
      <c r="E30" s="230"/>
      <c r="F30" s="230"/>
      <c r="G30" s="231"/>
      <c r="H30" s="155"/>
      <c r="I30" s="154" t="s">
        <v>1037</v>
      </c>
      <c r="J30" s="2374">
        <f>B29</f>
        <v>8</v>
      </c>
      <c r="K30" s="1373" t="str">
        <f>IF(P30&lt;&gt;"",ROUND(P30,2),IF(NOT(P7),"",IF(K29&lt;=400,0,K29)))</f>
        <v/>
      </c>
      <c r="L30" s="684"/>
      <c r="M30" s="515"/>
      <c r="N30" s="666"/>
      <c r="O30" s="258"/>
      <c r="P30" s="444"/>
      <c r="Q30" s="30"/>
      <c r="R30" s="3965">
        <f>IF(AND('Sch. SE'!X88&lt;&gt;"",'Sch. SE'!X88&gt;100),'Sch. SE'!X88,0)</f>
        <v>0</v>
      </c>
    </row>
    <row r="31" spans="1:26" s="983" customFormat="1" ht="12" customHeight="1">
      <c r="A31" s="78"/>
      <c r="B31" s="154">
        <v>9</v>
      </c>
      <c r="C31" s="273" t="s">
        <v>836</v>
      </c>
      <c r="D31" s="273"/>
      <c r="E31" s="230"/>
      <c r="F31" s="230"/>
      <c r="G31" s="231"/>
      <c r="H31" s="231"/>
      <c r="I31" s="231"/>
      <c r="J31" s="4112"/>
      <c r="K31" s="155"/>
      <c r="L31" s="684"/>
      <c r="M31" s="515"/>
      <c r="N31" s="665"/>
      <c r="O31" s="1348"/>
      <c r="P31" s="558"/>
      <c r="Q31" s="434"/>
      <c r="R31" s="4821" t="s">
        <v>4378</v>
      </c>
      <c r="S31" s="2595"/>
      <c r="T31" s="2595"/>
      <c r="U31" s="2595"/>
      <c r="V31" s="2595"/>
      <c r="W31" s="2595"/>
      <c r="X31" s="2595"/>
      <c r="Y31" s="2595"/>
      <c r="Z31" s="2595"/>
    </row>
    <row r="32" spans="1:26" s="983" customFormat="1" ht="12" customHeight="1">
      <c r="A32" s="78"/>
      <c r="B32" s="154"/>
      <c r="C32" s="273" t="s">
        <v>464</v>
      </c>
      <c r="D32" s="273"/>
      <c r="E32" s="230"/>
      <c r="F32" s="154"/>
      <c r="G32" s="154" t="s">
        <v>802</v>
      </c>
      <c r="H32" s="9801">
        <v>250000</v>
      </c>
      <c r="I32" s="9802"/>
      <c r="J32" s="3840"/>
      <c r="K32" s="155"/>
      <c r="L32" s="684"/>
      <c r="M32" s="515"/>
      <c r="N32" s="665"/>
      <c r="O32" s="1348"/>
      <c r="P32" s="558"/>
      <c r="Q32" s="434"/>
      <c r="R32" s="3965">
        <f>IF(AND('Sch. SE'!X30&lt;&gt;"",'Sch. SE'!X30&gt;=400),'Sch. SE'!X30,0)</f>
        <v>0</v>
      </c>
      <c r="S32" s="2595"/>
      <c r="T32" s="2595"/>
      <c r="U32" s="2595"/>
      <c r="V32" s="2595"/>
      <c r="W32" s="2595"/>
      <c r="X32" s="2595"/>
      <c r="Y32" s="2595"/>
      <c r="Z32" s="2595"/>
    </row>
    <row r="33" spans="1:26" s="983" customFormat="1" ht="12" customHeight="1">
      <c r="A33" s="78"/>
      <c r="B33" s="154"/>
      <c r="C33" s="273" t="s">
        <v>273</v>
      </c>
      <c r="D33" s="273"/>
      <c r="E33" s="230"/>
      <c r="F33" s="154"/>
      <c r="G33" s="154" t="s">
        <v>276</v>
      </c>
      <c r="H33" s="9801">
        <v>125000</v>
      </c>
      <c r="I33" s="9802"/>
      <c r="J33" s="3840"/>
      <c r="K33" s="155"/>
      <c r="L33" s="684"/>
      <c r="M33" s="559"/>
      <c r="N33" s="665"/>
      <c r="O33" s="1348"/>
      <c r="P33" s="558"/>
      <c r="Q33" s="434"/>
      <c r="R33" s="3965">
        <f>IF(AND('Sch. SE'!X89&lt;&gt;"",'Sch. SE'!X89&gt;=400),'Sch. SE'!X89,0)</f>
        <v>0</v>
      </c>
      <c r="S33" s="2595"/>
      <c r="T33" s="2595"/>
      <c r="U33" s="2595"/>
      <c r="V33" s="2595"/>
      <c r="W33" s="2595"/>
      <c r="X33" s="2595"/>
      <c r="Y33" s="2595"/>
      <c r="Z33" s="2595"/>
    </row>
    <row r="34" spans="1:26" ht="12" customHeight="1">
      <c r="A34" s="78"/>
      <c r="B34" s="155"/>
      <c r="C34" s="273" t="s">
        <v>837</v>
      </c>
      <c r="D34" s="178"/>
      <c r="E34" s="230"/>
      <c r="F34" s="1059"/>
      <c r="G34" s="154" t="s">
        <v>717</v>
      </c>
      <c r="H34" s="9801">
        <v>200000</v>
      </c>
      <c r="I34" s="9802"/>
      <c r="J34" s="2374">
        <f>B31</f>
        <v>9</v>
      </c>
      <c r="K34" s="1373" t="str">
        <f>IF(OR($K$30="",NOT(P7)),"",IF(M34="---","Filing Status?",M34))</f>
        <v/>
      </c>
      <c r="L34" s="684"/>
      <c r="M34" s="1429" t="str">
        <f>IF(File_Marr_Joint&lt;&gt;"",H32,IF(File_Marr_Sep&lt;&gt;"",H33,IF(OR(File_Single&lt;&gt;"",File_Head&lt;&gt;"",File_Qual_Widow&lt;&gt;""),H34,"---")))</f>
        <v>---</v>
      </c>
      <c r="N34" s="666"/>
      <c r="O34" s="258"/>
      <c r="P34" s="558"/>
      <c r="Q34" s="30"/>
      <c r="R34" s="3965"/>
    </row>
    <row r="35" spans="1:26" ht="12" customHeight="1">
      <c r="A35" s="78"/>
      <c r="B35" s="155">
        <v>10</v>
      </c>
      <c r="C35" s="273" t="s">
        <v>841</v>
      </c>
      <c r="D35" s="178"/>
      <c r="E35" s="230"/>
      <c r="F35" s="230"/>
      <c r="G35" s="231"/>
      <c r="H35" s="155"/>
      <c r="I35" s="154" t="s">
        <v>568</v>
      </c>
      <c r="J35" s="2374">
        <f>B35</f>
        <v>10</v>
      </c>
      <c r="K35" s="1373" t="str">
        <f>IF(OR($K$30="",NOT(P7),M34="---"),"",IF(K20="",0,K20))</f>
        <v/>
      </c>
      <c r="L35" s="684"/>
      <c r="M35" s="515"/>
      <c r="N35" s="666"/>
      <c r="O35" s="258"/>
      <c r="P35" s="558"/>
      <c r="Q35" s="30"/>
      <c r="R35" s="3965"/>
    </row>
    <row r="36" spans="1:26" ht="12" customHeight="1">
      <c r="A36" s="78"/>
      <c r="B36" s="155">
        <v>11</v>
      </c>
      <c r="C36" s="273" t="s">
        <v>842</v>
      </c>
      <c r="D36" s="178"/>
      <c r="E36" s="230"/>
      <c r="F36" s="230"/>
      <c r="G36" s="231"/>
      <c r="H36" s="155"/>
      <c r="I36" s="154" t="s">
        <v>629</v>
      </c>
      <c r="J36" s="2374">
        <f>B36</f>
        <v>11</v>
      </c>
      <c r="K36" s="1373" t="str">
        <f>IF(OR($K$30="",NOT(P7),M34="---"),"",IF(K35&gt;=K34,0,SUM(K34,-K35)))</f>
        <v/>
      </c>
      <c r="L36" s="684"/>
      <c r="M36" s="1429">
        <f>SUM(K20,K30)</f>
        <v>0</v>
      </c>
      <c r="N36" s="666"/>
      <c r="O36" s="258"/>
      <c r="P36" s="558"/>
      <c r="Q36" s="30"/>
      <c r="R36" s="3965"/>
    </row>
    <row r="37" spans="1:26" ht="12.75" customHeight="1">
      <c r="A37" s="78"/>
      <c r="B37" s="154">
        <v>12</v>
      </c>
      <c r="C37" s="273" t="s">
        <v>843</v>
      </c>
      <c r="D37" s="273"/>
      <c r="E37" s="230"/>
      <c r="F37" s="230"/>
      <c r="G37" s="231"/>
      <c r="H37" s="231"/>
      <c r="I37" s="231"/>
      <c r="J37" s="231"/>
      <c r="K37" s="154" t="s">
        <v>570</v>
      </c>
      <c r="L37" s="333">
        <f>B37</f>
        <v>12</v>
      </c>
      <c r="M37" s="1373" t="str">
        <f>IF(OR($K$30="",NOT(P7),M34="---"),"",IF(K36&gt;=K30,0,SUM(K30,-K36)))</f>
        <v/>
      </c>
      <c r="N37" s="666"/>
      <c r="O37" s="258"/>
      <c r="P37" s="558"/>
      <c r="Q37" s="434"/>
      <c r="R37" s="3965"/>
    </row>
    <row r="38" spans="1:26" s="983" customFormat="1" ht="12" customHeight="1">
      <c r="A38" s="78"/>
      <c r="B38" s="154">
        <v>13</v>
      </c>
      <c r="C38" s="273" t="str">
        <f>"Additional Medicare Tax on self-employment income. Multiply line 12 by "&amp;TEXT(M38,"0.0%")&amp;" ("&amp;TEXT(M38,"0.000")&amp;").   Enter here and"</f>
        <v>Additional Medicare Tax on self-employment income. Multiply line 12 by 0.9% (0.009).   Enter here and</v>
      </c>
      <c r="D38" s="273"/>
      <c r="E38" s="230"/>
      <c r="F38" s="230"/>
      <c r="G38" s="231"/>
      <c r="H38" s="231"/>
      <c r="I38" s="231"/>
      <c r="J38" s="231"/>
      <c r="K38" s="155"/>
      <c r="L38" s="590"/>
      <c r="M38" s="1392">
        <v>8.9999999999999993E-3</v>
      </c>
      <c r="N38" s="665"/>
      <c r="O38" s="1348"/>
      <c r="P38" s="558"/>
      <c r="Q38" s="434"/>
      <c r="R38" s="3965"/>
      <c r="S38" s="2595"/>
      <c r="T38" s="2595"/>
      <c r="U38" s="2595"/>
      <c r="V38" s="2595"/>
      <c r="W38" s="2595"/>
      <c r="X38" s="2595"/>
      <c r="Y38" s="2595"/>
      <c r="Z38" s="2595"/>
    </row>
    <row r="39" spans="1:26" ht="12.75" customHeight="1">
      <c r="A39" s="78"/>
      <c r="B39" s="154"/>
      <c r="C39" s="273" t="s">
        <v>3357</v>
      </c>
      <c r="D39" s="178"/>
      <c r="E39" s="230"/>
      <c r="F39" s="230"/>
      <c r="G39" s="231"/>
      <c r="H39" s="231"/>
      <c r="I39" s="231"/>
      <c r="J39" s="231"/>
      <c r="K39" s="1243" t="s">
        <v>2969</v>
      </c>
      <c r="L39" s="590">
        <f>B38</f>
        <v>13</v>
      </c>
      <c r="M39" s="1373" t="str">
        <f>IF(OR($K$30="",NOT(P7),M34="---"),"",IF(P39&lt;&gt;"",P39,ROUND(M37*M38,0)))</f>
        <v/>
      </c>
      <c r="N39" s="666"/>
      <c r="O39" s="259"/>
      <c r="P39" s="444"/>
      <c r="Q39" s="434"/>
      <c r="R39" s="3962"/>
    </row>
    <row r="40" spans="1:26" s="983" customFormat="1" ht="15.75" customHeight="1">
      <c r="A40" s="78"/>
      <c r="B40" s="4553" t="s">
        <v>319</v>
      </c>
      <c r="C40" s="8951" t="s">
        <v>844</v>
      </c>
      <c r="D40" s="8952"/>
      <c r="E40" s="8953"/>
      <c r="F40" s="8953"/>
      <c r="G40" s="8953"/>
      <c r="H40" s="8953"/>
      <c r="I40" s="8953"/>
      <c r="J40" s="8953"/>
      <c r="K40" s="8953"/>
      <c r="L40" s="8953"/>
      <c r="M40" s="8953"/>
      <c r="N40" s="667"/>
      <c r="O40" s="573"/>
      <c r="P40" s="558"/>
      <c r="Q40" s="410"/>
      <c r="R40" s="3965"/>
      <c r="S40" s="2595"/>
      <c r="T40" s="2595"/>
      <c r="U40" s="2595"/>
      <c r="V40" s="2595"/>
      <c r="W40" s="2595"/>
      <c r="X40" s="2595"/>
      <c r="Y40" s="2595"/>
      <c r="Z40" s="2595"/>
    </row>
    <row r="41" spans="1:26" s="983" customFormat="1" ht="12" customHeight="1">
      <c r="A41" s="78"/>
      <c r="B41" s="154">
        <v>14</v>
      </c>
      <c r="C41" s="392" t="s">
        <v>3359</v>
      </c>
      <c r="D41" s="273"/>
      <c r="E41" s="230"/>
      <c r="F41" s="230"/>
      <c r="G41" s="231"/>
      <c r="H41" s="231"/>
      <c r="I41" s="231"/>
      <c r="J41" s="1393"/>
      <c r="K41" s="155"/>
      <c r="L41" s="684"/>
      <c r="M41" s="514"/>
      <c r="N41" s="665"/>
      <c r="O41" s="1348"/>
      <c r="P41" s="558"/>
      <c r="Q41" s="434"/>
      <c r="R41" s="3965"/>
      <c r="S41" s="2595"/>
      <c r="T41" s="2595"/>
      <c r="U41" s="2595"/>
      <c r="V41" s="2595"/>
      <c r="W41" s="2595"/>
      <c r="X41" s="2595"/>
      <c r="Y41" s="2595"/>
      <c r="Z41" s="2595"/>
    </row>
    <row r="42" spans="1:26" ht="12" customHeight="1">
      <c r="A42" s="78"/>
      <c r="B42" s="155"/>
      <c r="C42" s="3546" t="s">
        <v>3358</v>
      </c>
      <c r="D42" s="178"/>
      <c r="E42" s="230"/>
      <c r="F42" s="230"/>
      <c r="G42" s="231"/>
      <c r="H42" s="155"/>
      <c r="I42" s="154" t="s">
        <v>568</v>
      </c>
      <c r="J42" s="2374">
        <f>B41</f>
        <v>14</v>
      </c>
      <c r="K42" s="2511" t="str">
        <f>IF(P42&lt;&gt;"",ROUND(P42,0),IF(OR(NOT(P7),RRTA_Compensation=0),"",ROUND(RRTA_Compensation,0)))</f>
        <v/>
      </c>
      <c r="L42" s="684"/>
      <c r="M42" s="515"/>
      <c r="N42" s="666"/>
      <c r="O42" s="258"/>
      <c r="P42" s="444"/>
      <c r="Q42" s="30"/>
      <c r="R42" s="3965"/>
    </row>
    <row r="43" spans="1:26" s="983" customFormat="1" ht="12" customHeight="1">
      <c r="A43" s="78"/>
      <c r="B43" s="154">
        <v>15</v>
      </c>
      <c r="C43" s="392" t="s">
        <v>836</v>
      </c>
      <c r="D43" s="273"/>
      <c r="E43" s="230"/>
      <c r="F43" s="230"/>
      <c r="G43" s="231"/>
      <c r="H43" s="231"/>
      <c r="I43" s="231"/>
      <c r="J43" s="4112"/>
      <c r="K43" s="155"/>
      <c r="L43" s="684"/>
      <c r="M43" s="515"/>
      <c r="N43" s="665"/>
      <c r="O43" s="1348"/>
      <c r="P43" s="558"/>
      <c r="Q43" s="434"/>
      <c r="R43" s="3965"/>
      <c r="S43" s="2595"/>
      <c r="T43" s="2595"/>
      <c r="U43" s="2595"/>
      <c r="V43" s="2595"/>
      <c r="W43" s="2595"/>
      <c r="X43" s="2595"/>
      <c r="Y43" s="2595"/>
      <c r="Z43" s="2595"/>
    </row>
    <row r="44" spans="1:26" s="983" customFormat="1" ht="12" customHeight="1">
      <c r="A44" s="78"/>
      <c r="B44" s="154"/>
      <c r="C44" s="273" t="s">
        <v>464</v>
      </c>
      <c r="D44" s="273"/>
      <c r="E44" s="230"/>
      <c r="F44" s="154"/>
      <c r="G44" s="154" t="s">
        <v>802</v>
      </c>
      <c r="H44" s="9801">
        <v>250000</v>
      </c>
      <c r="I44" s="9802"/>
      <c r="J44" s="3840"/>
      <c r="K44" s="155"/>
      <c r="L44" s="684"/>
      <c r="M44" s="515"/>
      <c r="N44" s="665"/>
      <c r="O44" s="1348"/>
      <c r="P44" s="558"/>
      <c r="Q44" s="434"/>
      <c r="R44" s="3965"/>
      <c r="S44" s="2595"/>
      <c r="T44" s="2595"/>
      <c r="U44" s="2595"/>
      <c r="V44" s="2595"/>
      <c r="W44" s="2595"/>
      <c r="X44" s="2595"/>
      <c r="Y44" s="2595"/>
      <c r="Z44" s="2595"/>
    </row>
    <row r="45" spans="1:26" s="983" customFormat="1" ht="12" customHeight="1">
      <c r="A45" s="78"/>
      <c r="B45" s="154"/>
      <c r="C45" s="273" t="s">
        <v>273</v>
      </c>
      <c r="D45" s="273"/>
      <c r="E45" s="230"/>
      <c r="F45" s="154"/>
      <c r="G45" s="154" t="s">
        <v>570</v>
      </c>
      <c r="H45" s="9801">
        <v>125000</v>
      </c>
      <c r="I45" s="9802"/>
      <c r="J45" s="3840"/>
      <c r="K45" s="155"/>
      <c r="L45" s="684"/>
      <c r="M45" s="559"/>
      <c r="N45" s="665"/>
      <c r="O45" s="1348"/>
      <c r="P45" s="558"/>
      <c r="Q45" s="434"/>
      <c r="R45" s="3965"/>
      <c r="S45" s="2595"/>
      <c r="T45" s="2595"/>
      <c r="U45" s="2595"/>
      <c r="V45" s="2595"/>
      <c r="W45" s="2595"/>
      <c r="X45" s="2595"/>
      <c r="Y45" s="2595"/>
      <c r="Z45" s="2595"/>
    </row>
    <row r="46" spans="1:26" ht="12" customHeight="1">
      <c r="A46" s="78"/>
      <c r="B46" s="155"/>
      <c r="C46" s="273" t="s">
        <v>837</v>
      </c>
      <c r="D46" s="178"/>
      <c r="E46" s="230"/>
      <c r="F46" s="230"/>
      <c r="G46" s="154" t="s">
        <v>717</v>
      </c>
      <c r="H46" s="9801">
        <v>200000</v>
      </c>
      <c r="I46" s="9802"/>
      <c r="J46" s="2374">
        <f>B43</f>
        <v>15</v>
      </c>
      <c r="K46" s="1373" t="str">
        <f>IF(OR($K$42="",NOT(P7)),"",IF(M46="---","Filing Status?",M46))</f>
        <v/>
      </c>
      <c r="L46" s="684"/>
      <c r="M46" s="1429" t="str">
        <f>IF(File_Marr_Joint&lt;&gt;"",H44,IF(File_Marr_Sep&lt;&gt;"",H45,IF(OR(File_Single&lt;&gt;"",File_Head&lt;&gt;"",File_Qual_Widow&lt;&gt;""),H46,"---")))</f>
        <v>---</v>
      </c>
      <c r="N46" s="666"/>
      <c r="O46" s="258"/>
      <c r="P46" s="558"/>
      <c r="Q46" s="30"/>
      <c r="R46" s="3965"/>
    </row>
    <row r="47" spans="1:26" ht="12.75" customHeight="1">
      <c r="A47" s="78"/>
      <c r="B47" s="154">
        <v>16</v>
      </c>
      <c r="C47" s="273" t="s">
        <v>845</v>
      </c>
      <c r="D47" s="273"/>
      <c r="E47" s="230"/>
      <c r="F47" s="230"/>
      <c r="G47" s="231"/>
      <c r="H47" s="231"/>
      <c r="I47" s="231"/>
      <c r="J47" s="231"/>
      <c r="K47" s="1243" t="s">
        <v>570</v>
      </c>
      <c r="L47" s="333">
        <f>B47</f>
        <v>16</v>
      </c>
      <c r="M47" s="1373" t="str">
        <f>IF(OR($K$42="",NOT(P7),M46="---"),"",IF(OR(K42="",K46&gt;=K42),0,SUM(K42,-K46)))</f>
        <v/>
      </c>
      <c r="N47" s="666"/>
      <c r="O47" s="258"/>
      <c r="P47" s="558"/>
      <c r="Q47" s="434"/>
      <c r="R47" s="3965"/>
    </row>
    <row r="48" spans="1:26" s="983" customFormat="1" ht="12" customHeight="1">
      <c r="A48" s="78"/>
      <c r="B48" s="154">
        <v>17</v>
      </c>
      <c r="C48" s="273" t="str">
        <f>"Additional Medicare Tax on railroad retirement (RRTA) compensation. Multiply line 16 by "&amp;TEXT(M48,"0.0%")&amp;" ("&amp;TEXT(M48,"0.000")&amp;")."</f>
        <v>Additional Medicare Tax on railroad retirement (RRTA) compensation. Multiply line 16 by 0.9% (0.009).</v>
      </c>
      <c r="D48" s="273"/>
      <c r="E48" s="230"/>
      <c r="F48" s="230"/>
      <c r="G48" s="231"/>
      <c r="H48" s="231"/>
      <c r="I48" s="231"/>
      <c r="J48" s="231"/>
      <c r="K48" s="4525"/>
      <c r="L48" s="590"/>
      <c r="M48" s="1392">
        <v>8.9999999999999993E-3</v>
      </c>
      <c r="N48" s="665"/>
      <c r="O48" s="1348"/>
      <c r="P48" s="558"/>
      <c r="Q48" s="434"/>
      <c r="R48" s="3965"/>
      <c r="S48" s="2595"/>
      <c r="T48" s="2595"/>
      <c r="U48" s="2595"/>
      <c r="V48" s="2595"/>
      <c r="W48" s="2595"/>
      <c r="X48" s="2595"/>
      <c r="Y48" s="2595"/>
      <c r="Z48" s="2595"/>
    </row>
    <row r="49" spans="1:26" ht="12.75" customHeight="1">
      <c r="A49" s="78"/>
      <c r="B49" s="154"/>
      <c r="C49" s="273" t="s">
        <v>3895</v>
      </c>
      <c r="D49" s="178"/>
      <c r="E49" s="230"/>
      <c r="F49" s="230"/>
      <c r="G49" s="231"/>
      <c r="H49" s="231"/>
      <c r="I49" s="231"/>
      <c r="J49" s="231"/>
      <c r="K49" s="1243" t="s">
        <v>299</v>
      </c>
      <c r="L49" s="590">
        <f>B48</f>
        <v>17</v>
      </c>
      <c r="M49" s="1373" t="str">
        <f>IF(OR($K$42="",NOT(P7),M46="---"),"",IF(P49&lt;&gt;"",P49,ROUND(M47*M48,0)))</f>
        <v/>
      </c>
      <c r="N49" s="666"/>
      <c r="O49" s="259"/>
      <c r="P49" s="444"/>
      <c r="Q49" s="434"/>
      <c r="R49" s="3962"/>
    </row>
    <row r="50" spans="1:26" s="983" customFormat="1" ht="15.75" customHeight="1">
      <c r="A50" s="78"/>
      <c r="B50" s="4113" t="s">
        <v>470</v>
      </c>
      <c r="C50" s="8951" t="s">
        <v>846</v>
      </c>
      <c r="D50" s="8952"/>
      <c r="E50" s="8953"/>
      <c r="F50" s="8953"/>
      <c r="G50" s="8953"/>
      <c r="H50" s="8953"/>
      <c r="I50" s="8953"/>
      <c r="J50" s="8953"/>
      <c r="K50" s="8953"/>
      <c r="L50" s="8953"/>
      <c r="M50" s="8953"/>
      <c r="N50" s="667"/>
      <c r="O50" s="573"/>
      <c r="P50" s="558"/>
      <c r="Q50" s="410"/>
      <c r="R50" s="3965"/>
      <c r="S50" s="2595"/>
      <c r="T50" s="2595"/>
      <c r="U50" s="2595"/>
      <c r="V50" s="2595"/>
      <c r="W50" s="2595"/>
      <c r="X50" s="2595"/>
      <c r="Y50" s="2595"/>
      <c r="Z50" s="2595"/>
    </row>
    <row r="51" spans="1:26" s="983" customFormat="1" ht="12" customHeight="1">
      <c r="A51" s="78"/>
      <c r="B51" s="154">
        <v>18</v>
      </c>
      <c r="C51" s="273" t="s">
        <v>4962</v>
      </c>
      <c r="D51" s="273"/>
      <c r="E51" s="230"/>
      <c r="F51" s="273"/>
      <c r="G51" s="231"/>
      <c r="H51" s="231"/>
      <c r="I51" s="231"/>
      <c r="J51" s="231"/>
      <c r="K51" s="155"/>
      <c r="L51" s="225"/>
      <c r="M51" s="1392">
        <v>8.9999999999999993E-3</v>
      </c>
      <c r="N51" s="665"/>
      <c r="O51" s="1348"/>
      <c r="P51" s="558"/>
      <c r="Q51" s="434"/>
      <c r="R51" s="3965"/>
      <c r="S51" s="2595"/>
      <c r="T51" s="2595"/>
      <c r="U51" s="2595"/>
      <c r="V51" s="2595"/>
      <c r="W51" s="2595"/>
      <c r="X51" s="2595"/>
      <c r="Y51" s="2595"/>
      <c r="Z51" s="2595"/>
    </row>
    <row r="52" spans="1:26" ht="12.75" customHeight="1">
      <c r="A52" s="78"/>
      <c r="B52" s="154"/>
      <c r="C52" s="273" t="s">
        <v>4963</v>
      </c>
      <c r="D52" s="178"/>
      <c r="E52" s="230"/>
      <c r="F52" s="230"/>
      <c r="G52" s="231"/>
      <c r="H52" s="231"/>
      <c r="I52" s="231"/>
      <c r="J52" s="231"/>
      <c r="K52" s="1243" t="s">
        <v>374</v>
      </c>
      <c r="L52" s="590">
        <f>B51</f>
        <v>18</v>
      </c>
      <c r="M52" s="1373" t="str">
        <f>IF(P52&lt;&gt;"",ROUND(P52,0),IF(OR(NOT(P7),AND(M27="",M39="",M49="")),"",SUM(M27,M39,M49)))</f>
        <v/>
      </c>
      <c r="N52" s="666"/>
      <c r="O52" s="259"/>
      <c r="P52" s="444"/>
      <c r="Q52" s="434"/>
      <c r="R52" s="3962"/>
    </row>
    <row r="53" spans="1:26" s="983" customFormat="1" ht="15.75" customHeight="1">
      <c r="A53" s="78"/>
      <c r="B53" s="4113" t="s">
        <v>123</v>
      </c>
      <c r="C53" s="8951" t="s">
        <v>847</v>
      </c>
      <c r="D53" s="8952"/>
      <c r="E53" s="8953"/>
      <c r="F53" s="8953"/>
      <c r="G53" s="8953"/>
      <c r="H53" s="8953"/>
      <c r="I53" s="8953"/>
      <c r="J53" s="8953"/>
      <c r="K53" s="8953"/>
      <c r="L53" s="8953"/>
      <c r="M53" s="8953"/>
      <c r="N53" s="667"/>
      <c r="O53" s="573"/>
      <c r="P53" s="558"/>
      <c r="Q53" s="410"/>
      <c r="R53" s="3965"/>
      <c r="S53" s="2595"/>
      <c r="T53" s="2595"/>
      <c r="U53" s="2595"/>
      <c r="V53" s="2595"/>
      <c r="W53" s="2595"/>
      <c r="X53" s="2595"/>
      <c r="Y53" s="2595"/>
      <c r="Z53" s="2595"/>
    </row>
    <row r="54" spans="1:26" s="983" customFormat="1" ht="12" customHeight="1">
      <c r="A54" s="78"/>
      <c r="B54" s="154">
        <v>19</v>
      </c>
      <c r="C54" s="392" t="s">
        <v>3360</v>
      </c>
      <c r="D54" s="273"/>
      <c r="E54" s="230"/>
      <c r="F54" s="230"/>
      <c r="G54" s="231"/>
      <c r="H54" s="231"/>
      <c r="I54" s="231"/>
      <c r="J54" s="1393"/>
      <c r="K54" s="155"/>
      <c r="L54" s="684"/>
      <c r="M54" s="514"/>
      <c r="N54" s="665"/>
      <c r="O54" s="1348"/>
      <c r="P54" s="558"/>
      <c r="Q54" s="434"/>
      <c r="R54" s="3965"/>
      <c r="S54" s="2595"/>
      <c r="T54" s="2595"/>
      <c r="U54" s="2595"/>
      <c r="V54" s="2595"/>
      <c r="W54" s="2595"/>
      <c r="X54" s="2595"/>
      <c r="Y54" s="2595"/>
      <c r="Z54" s="2595"/>
    </row>
    <row r="55" spans="1:26" ht="12" customHeight="1">
      <c r="A55" s="78"/>
      <c r="B55" s="155"/>
      <c r="C55" s="392" t="s">
        <v>3361</v>
      </c>
      <c r="D55" s="178"/>
      <c r="E55" s="230"/>
      <c r="F55" s="230"/>
      <c r="G55" s="231"/>
      <c r="H55" s="155"/>
      <c r="I55" s="1243" t="s">
        <v>573</v>
      </c>
      <c r="J55" s="2374">
        <f>B54</f>
        <v>19</v>
      </c>
      <c r="K55" s="1373" t="str">
        <f>IF(P55&lt;&gt;"",ROUND(P55,0),IF(OR(NOT(P7),MedCare_Tax_Withheld=0),"",MedCare_Tax_Withheld))</f>
        <v/>
      </c>
      <c r="L55" s="684"/>
      <c r="M55" s="515"/>
      <c r="N55" s="666"/>
      <c r="O55" s="258"/>
      <c r="P55" s="444"/>
      <c r="Q55" s="30"/>
      <c r="R55" s="3965"/>
    </row>
    <row r="56" spans="1:26" ht="12" customHeight="1">
      <c r="A56" s="78"/>
      <c r="B56" s="155">
        <v>20</v>
      </c>
      <c r="C56" s="392" t="s">
        <v>848</v>
      </c>
      <c r="D56" s="178"/>
      <c r="E56" s="230"/>
      <c r="F56" s="230"/>
      <c r="G56" s="231"/>
      <c r="H56" s="155"/>
      <c r="I56" s="154" t="s">
        <v>802</v>
      </c>
      <c r="J56" s="2374">
        <f>B56</f>
        <v>20</v>
      </c>
      <c r="K56" s="1373" t="str">
        <f>K17</f>
        <v/>
      </c>
      <c r="L56" s="684"/>
      <c r="M56" s="515"/>
      <c r="N56" s="666"/>
      <c r="O56" s="258"/>
      <c r="P56" s="558"/>
      <c r="Q56" s="30"/>
      <c r="R56" s="3965"/>
    </row>
    <row r="57" spans="1:26" s="983" customFormat="1" ht="12" customHeight="1">
      <c r="A57" s="78"/>
      <c r="B57" s="154">
        <v>21</v>
      </c>
      <c r="C57" s="392" t="str">
        <f>"Multiply line 20 by "&amp;TEXT(K57,"0.00%")&amp;" ("&amp;TEXT(K57,"0.0000")&amp;"). This is your regular Medicare tax"</f>
        <v>Multiply line 20 by 1.45% (0.0145). This is your regular Medicare tax</v>
      </c>
      <c r="D57" s="273"/>
      <c r="E57" s="230"/>
      <c r="F57" s="230"/>
      <c r="G57" s="231"/>
      <c r="H57" s="231"/>
      <c r="I57" s="231"/>
      <c r="J57" s="4112"/>
      <c r="K57" s="1395">
        <v>1.4500000000000001E-2</v>
      </c>
      <c r="L57" s="684"/>
      <c r="M57" s="559"/>
      <c r="N57" s="665"/>
      <c r="O57" s="1348"/>
      <c r="P57" s="558"/>
      <c r="Q57" s="434"/>
      <c r="R57" s="3965"/>
      <c r="S57" s="2595"/>
      <c r="T57" s="2595"/>
      <c r="U57" s="2595"/>
      <c r="V57" s="2595"/>
      <c r="W57" s="2595"/>
      <c r="X57" s="2595"/>
      <c r="Y57" s="2595"/>
      <c r="Z57" s="2595"/>
    </row>
    <row r="58" spans="1:26" ht="12" customHeight="1">
      <c r="A58" s="78"/>
      <c r="B58" s="155"/>
      <c r="C58" s="3546" t="s">
        <v>2788</v>
      </c>
      <c r="D58" s="178"/>
      <c r="E58" s="230"/>
      <c r="F58" s="230"/>
      <c r="G58" s="231"/>
      <c r="H58" s="155"/>
      <c r="I58" s="154" t="s">
        <v>276</v>
      </c>
      <c r="J58" s="2374">
        <f>B57</f>
        <v>21</v>
      </c>
      <c r="K58" s="1373" t="str">
        <f>IF(OR(K56="",NOT(P7)),"",ROUND(K56*K57,0))</f>
        <v/>
      </c>
      <c r="L58" s="684"/>
      <c r="M58" s="515"/>
      <c r="N58" s="666"/>
      <c r="O58" s="258"/>
      <c r="P58" s="558"/>
      <c r="Q58" s="30"/>
      <c r="R58" s="3965"/>
    </row>
    <row r="59" spans="1:26" s="983" customFormat="1" ht="12" customHeight="1">
      <c r="A59" s="78"/>
      <c r="B59" s="154">
        <v>22</v>
      </c>
      <c r="C59" s="392" t="s">
        <v>2787</v>
      </c>
      <c r="D59" s="273"/>
      <c r="E59" s="230"/>
      <c r="F59" s="230"/>
      <c r="G59" s="231"/>
      <c r="H59" s="231"/>
      <c r="I59" s="231"/>
      <c r="J59" s="231"/>
      <c r="K59" s="155"/>
      <c r="L59" s="684"/>
      <c r="M59" s="1392">
        <v>8.9999999999999993E-3</v>
      </c>
      <c r="N59" s="665"/>
      <c r="O59" s="1348"/>
      <c r="P59" s="558"/>
      <c r="Q59" s="434"/>
      <c r="R59" s="3965"/>
      <c r="S59" s="2595"/>
      <c r="T59" s="2595"/>
      <c r="U59" s="2595"/>
      <c r="V59" s="2595"/>
      <c r="W59" s="2595"/>
      <c r="X59" s="2595"/>
      <c r="Y59" s="2595"/>
      <c r="Z59" s="2595"/>
    </row>
    <row r="60" spans="1:26" ht="12.75" customHeight="1">
      <c r="A60" s="78"/>
      <c r="B60" s="154"/>
      <c r="C60" s="392" t="s">
        <v>2788</v>
      </c>
      <c r="D60" s="178"/>
      <c r="E60" s="230"/>
      <c r="F60" s="230"/>
      <c r="G60" s="231"/>
      <c r="H60" s="231"/>
      <c r="I60" s="231"/>
      <c r="J60" s="231"/>
      <c r="K60" s="1243" t="s">
        <v>428</v>
      </c>
      <c r="L60" s="590">
        <f>B59</f>
        <v>22</v>
      </c>
      <c r="M60" s="1373" t="str">
        <f>IF(OR(NOT(P7),K55="",K58=""),"",MAX(0,SUM(K55,-K58)))</f>
        <v/>
      </c>
      <c r="N60" s="666"/>
      <c r="O60" s="259"/>
      <c r="P60" s="558"/>
      <c r="Q60" s="434"/>
      <c r="R60" s="3962"/>
    </row>
    <row r="61" spans="1:26" s="983" customFormat="1" ht="12" customHeight="1">
      <c r="A61" s="78"/>
      <c r="B61" s="154">
        <v>23</v>
      </c>
      <c r="C61" s="392" t="s">
        <v>849</v>
      </c>
      <c r="D61" s="273"/>
      <c r="E61" s="230"/>
      <c r="F61" s="230"/>
      <c r="G61" s="231"/>
      <c r="H61" s="231"/>
      <c r="I61" s="231"/>
      <c r="J61" s="231"/>
      <c r="K61" s="155"/>
      <c r="L61" s="590"/>
      <c r="M61" s="1392">
        <v>8.9999999999999993E-3</v>
      </c>
      <c r="N61" s="665"/>
      <c r="O61" s="1348"/>
      <c r="P61" s="558"/>
      <c r="Q61" s="434"/>
      <c r="R61" s="3965"/>
      <c r="S61" s="2595"/>
      <c r="T61" s="2595"/>
      <c r="U61" s="2595"/>
      <c r="V61" s="2595"/>
      <c r="W61" s="2595"/>
      <c r="X61" s="2595"/>
      <c r="Y61" s="2595"/>
      <c r="Z61" s="2595"/>
    </row>
    <row r="62" spans="1:26" ht="12.75" customHeight="1">
      <c r="A62" s="78"/>
      <c r="B62" s="154"/>
      <c r="C62" s="392" t="s">
        <v>850</v>
      </c>
      <c r="D62" s="178"/>
      <c r="E62" s="230"/>
      <c r="F62" s="230"/>
      <c r="G62" s="231"/>
      <c r="H62" s="231"/>
      <c r="I62" s="231"/>
      <c r="J62" s="231"/>
      <c r="K62" s="1243" t="s">
        <v>428</v>
      </c>
      <c r="L62" s="590">
        <f>B61</f>
        <v>23</v>
      </c>
      <c r="M62" s="2511" t="str">
        <f>IF(P62&lt;&gt;"",ROUND(P62,0),IF(OR(NOT(P7),RRTA_TaxWH=0),"",ROUND(RRTA_TaxWH,0)))</f>
        <v/>
      </c>
      <c r="N62" s="666"/>
      <c r="O62" s="259"/>
      <c r="P62" s="444"/>
      <c r="Q62" s="434"/>
      <c r="R62" s="3962"/>
    </row>
    <row r="63" spans="1:26" s="983" customFormat="1" ht="12" customHeight="1">
      <c r="A63" s="78"/>
      <c r="B63" s="154">
        <v>24</v>
      </c>
      <c r="C63" s="392" t="s">
        <v>2789</v>
      </c>
      <c r="D63" s="273"/>
      <c r="E63" s="230"/>
      <c r="F63" s="230"/>
      <c r="G63" s="231"/>
      <c r="H63" s="231"/>
      <c r="I63" s="231"/>
      <c r="J63" s="231"/>
      <c r="K63" s="155"/>
      <c r="L63" s="590"/>
      <c r="M63" s="1392">
        <v>8.9999999999999993E-3</v>
      </c>
      <c r="N63" s="665"/>
      <c r="O63" s="1348"/>
      <c r="P63" s="558"/>
      <c r="Q63" s="434"/>
      <c r="R63" s="3965"/>
      <c r="S63" s="2595"/>
      <c r="T63" s="2595"/>
      <c r="U63" s="2595"/>
      <c r="V63" s="2595"/>
      <c r="W63" s="2595"/>
      <c r="X63" s="2595"/>
      <c r="Y63" s="2595"/>
      <c r="Z63" s="2595"/>
    </row>
    <row r="64" spans="1:26" s="983" customFormat="1" ht="12" customHeight="1">
      <c r="A64" s="78"/>
      <c r="B64" s="154"/>
      <c r="C64" s="392" t="s">
        <v>4379</v>
      </c>
      <c r="D64" s="273"/>
      <c r="E64" s="230"/>
      <c r="F64" s="230"/>
      <c r="G64" s="231"/>
      <c r="H64" s="231"/>
      <c r="I64" s="231"/>
      <c r="J64" s="231"/>
      <c r="K64" s="155"/>
      <c r="L64" s="590"/>
      <c r="M64" s="1392"/>
      <c r="N64" s="665"/>
      <c r="O64" s="1348"/>
      <c r="P64" s="558"/>
      <c r="Q64" s="434"/>
      <c r="R64" s="3965"/>
      <c r="S64" s="2595"/>
      <c r="T64" s="2595"/>
      <c r="U64" s="2595"/>
      <c r="V64" s="2595"/>
      <c r="W64" s="2595"/>
      <c r="X64" s="2595"/>
      <c r="Y64" s="2595"/>
      <c r="Z64" s="2595"/>
    </row>
    <row r="65" spans="1:26" ht="12.75" customHeight="1" thickBot="1">
      <c r="A65" s="78"/>
      <c r="B65" s="154"/>
      <c r="C65" s="392" t="s">
        <v>4380</v>
      </c>
      <c r="D65" s="178"/>
      <c r="E65" s="230"/>
      <c r="F65" s="230"/>
      <c r="G65" s="231"/>
      <c r="H65" s="231"/>
      <c r="I65" s="231"/>
      <c r="J65" s="231"/>
      <c r="K65" s="1243" t="s">
        <v>568</v>
      </c>
      <c r="L65" s="590">
        <f>B63</f>
        <v>24</v>
      </c>
      <c r="M65" s="1373">
        <f>IF(P65&lt;&gt;"",ROUND(P65,0),IF(OR(NOT(P7),F8959_Tax=""),0,ROUND(SUM(M60,M62),0)))</f>
        <v>0</v>
      </c>
      <c r="N65" s="666"/>
      <c r="O65" s="1348"/>
      <c r="P65" s="444"/>
      <c r="Q65" s="434"/>
      <c r="R65" s="3962"/>
    </row>
    <row r="66" spans="1:26" s="237" customFormat="1" ht="17.25" customHeight="1">
      <c r="A66" s="78"/>
      <c r="B66" s="4554" t="s">
        <v>484</v>
      </c>
      <c r="C66" s="265"/>
      <c r="D66" s="265"/>
      <c r="E66" s="265"/>
      <c r="F66" s="265"/>
      <c r="G66" s="560"/>
      <c r="H66" s="561"/>
      <c r="I66" s="560"/>
      <c r="J66" s="4555" t="s">
        <v>851</v>
      </c>
      <c r="K66" s="560"/>
      <c r="L66" s="4556" t="s">
        <v>3362</v>
      </c>
      <c r="M66" s="4557" t="str">
        <f>"  ("&amp;TaxYear&amp;")"</f>
        <v xml:space="preserve">  (2021)</v>
      </c>
      <c r="N66" s="672"/>
      <c r="O66" s="1348"/>
      <c r="P66" s="558"/>
      <c r="Q66" s="30"/>
      <c r="R66" s="3965"/>
      <c r="S66" s="2595"/>
      <c r="T66" s="2595"/>
      <c r="U66" s="2595"/>
      <c r="V66" s="2595"/>
      <c r="W66" s="2595"/>
      <c r="X66" s="2595"/>
      <c r="Y66" s="2595"/>
      <c r="Z66" s="2595"/>
    </row>
    <row r="67" spans="1:26" s="237" customFormat="1" ht="15" customHeight="1">
      <c r="A67" s="78"/>
      <c r="B67" s="675"/>
      <c r="C67" s="567"/>
      <c r="D67" s="567"/>
      <c r="E67" s="78"/>
      <c r="F67" s="78"/>
      <c r="G67" s="78"/>
      <c r="H67" s="78"/>
      <c r="I67" s="78"/>
      <c r="J67" s="676"/>
      <c r="K67" s="676"/>
      <c r="L67" s="676"/>
      <c r="M67" s="676"/>
      <c r="N67" s="673"/>
      <c r="O67" s="1348"/>
      <c r="P67" s="558"/>
      <c r="Q67" s="235"/>
      <c r="R67" s="3965"/>
      <c r="S67" s="2595"/>
      <c r="T67" s="2595"/>
      <c r="U67" s="2595"/>
      <c r="V67" s="2595"/>
      <c r="W67" s="2595"/>
      <c r="X67" s="2595"/>
      <c r="Y67" s="2595"/>
      <c r="Z67" s="2595"/>
    </row>
    <row r="68" spans="1:26" s="237" customFormat="1" ht="23.25" customHeight="1">
      <c r="A68" s="42"/>
      <c r="B68" s="147"/>
      <c r="C68" s="261"/>
      <c r="D68" s="261"/>
      <c r="E68" s="42"/>
      <c r="F68" s="42"/>
      <c r="G68" s="42"/>
      <c r="H68" s="42"/>
      <c r="I68" s="42"/>
      <c r="J68" s="266"/>
      <c r="K68" s="266"/>
      <c r="L68" s="266"/>
      <c r="M68" s="266"/>
      <c r="N68" s="565"/>
      <c r="O68"/>
      <c r="P68" s="566"/>
      <c r="Q68" s="235"/>
      <c r="R68" s="3965"/>
      <c r="S68" s="2595"/>
      <c r="T68" s="2595"/>
      <c r="U68" s="2595"/>
      <c r="V68" s="2595"/>
      <c r="W68" s="2595"/>
      <c r="X68" s="2595"/>
      <c r="Y68" s="2595"/>
      <c r="Z68" s="2595"/>
    </row>
    <row r="69" spans="1:26" s="237" customFormat="1" ht="24" customHeight="1" thickBot="1">
      <c r="A69" s="42"/>
      <c r="B69" s="147"/>
      <c r="C69" s="261"/>
      <c r="D69" s="261"/>
      <c r="E69" s="42"/>
      <c r="F69" s="42"/>
      <c r="G69" s="42"/>
      <c r="H69" s="42"/>
      <c r="I69" s="42"/>
      <c r="J69" s="266"/>
      <c r="K69" s="266"/>
      <c r="L69" s="266"/>
      <c r="M69" s="266"/>
      <c r="N69" s="565"/>
      <c r="O69"/>
      <c r="P69" s="566"/>
      <c r="Q69" s="5"/>
      <c r="R69" s="3964"/>
      <c r="S69" s="2595"/>
      <c r="T69" s="2595"/>
      <c r="U69" s="2595"/>
      <c r="V69" s="2595"/>
      <c r="W69" s="2595"/>
      <c r="X69" s="2595"/>
      <c r="Y69" s="2595"/>
      <c r="Z69" s="2595"/>
    </row>
    <row r="70" spans="1:26" s="237" customFormat="1" ht="15" customHeight="1" thickTop="1" thickBot="1">
      <c r="A70" s="42"/>
      <c r="B70" s="147"/>
      <c r="C70" s="8927" t="s">
        <v>852</v>
      </c>
      <c r="D70" s="8928"/>
      <c r="E70" s="8928"/>
      <c r="F70" s="8928"/>
      <c r="G70" s="8929"/>
      <c r="H70" s="266"/>
      <c r="I70" s="266"/>
      <c r="J70"/>
      <c r="K70"/>
      <c r="L70" s="266"/>
      <c r="M70" s="266"/>
      <c r="N70" s="266"/>
      <c r="O70"/>
      <c r="P70" s="5"/>
      <c r="Q70" s="5"/>
      <c r="R70" s="3964"/>
      <c r="S70" s="2595"/>
      <c r="T70" s="2595"/>
      <c r="U70" s="2595"/>
      <c r="V70" s="2595"/>
      <c r="W70" s="2595"/>
      <c r="X70" s="2595"/>
      <c r="Y70" s="2595"/>
      <c r="Z70" s="2595"/>
    </row>
    <row r="71" spans="1:26" s="237" customFormat="1" ht="8.25" customHeight="1" thickTop="1" thickBot="1">
      <c r="A71" s="42"/>
      <c r="B71" s="147"/>
      <c r="C71" s="261"/>
      <c r="D71" s="261"/>
      <c r="E71" s="42"/>
      <c r="F71" s="42"/>
      <c r="G71" s="266"/>
      <c r="H71" s="266"/>
      <c r="I71" s="266"/>
      <c r="J71"/>
      <c r="K71"/>
      <c r="L71" s="266"/>
      <c r="M71" s="266"/>
      <c r="N71" s="266"/>
      <c r="O71"/>
      <c r="P71" s="5"/>
      <c r="Q71" s="5"/>
      <c r="R71" s="3964"/>
      <c r="S71" s="2595"/>
      <c r="T71" s="2595"/>
      <c r="U71" s="2595"/>
      <c r="V71" s="2595"/>
      <c r="W71" s="2595"/>
      <c r="X71" s="2595"/>
      <c r="Y71" s="2595"/>
      <c r="Z71" s="2595"/>
    </row>
    <row r="72" spans="1:26" s="237" customFormat="1" ht="17.25" customHeight="1" thickTop="1" thickBot="1">
      <c r="A72" s="42"/>
      <c r="B72" s="147"/>
      <c r="C72" s="8927" t="s">
        <v>853</v>
      </c>
      <c r="D72" s="8928"/>
      <c r="E72" s="8928"/>
      <c r="F72" s="8928"/>
      <c r="G72" s="8929"/>
      <c r="H72" s="266"/>
      <c r="I72" s="266"/>
      <c r="J72"/>
      <c r="K72"/>
      <c r="L72" s="266"/>
      <c r="M72" s="266"/>
      <c r="N72" s="266"/>
      <c r="O72"/>
      <c r="P72" s="5"/>
      <c r="Q72"/>
      <c r="R72" s="3960"/>
      <c r="S72" s="2595"/>
      <c r="T72" s="2595"/>
      <c r="U72" s="2595"/>
      <c r="V72" s="2595"/>
      <c r="W72" s="2595"/>
      <c r="X72" s="2595"/>
      <c r="Y72" s="2595"/>
      <c r="Z72" s="2595"/>
    </row>
    <row r="73" spans="1:26" s="237" customFormat="1" ht="12.75" customHeight="1" thickTop="1">
      <c r="A73" s="42"/>
      <c r="B73"/>
      <c r="C73"/>
      <c r="D73"/>
      <c r="E73"/>
      <c r="F73"/>
      <c r="G73"/>
      <c r="H73"/>
      <c r="I73"/>
      <c r="J73"/>
      <c r="K73"/>
      <c r="L73"/>
      <c r="M73"/>
      <c r="N73"/>
      <c r="O73"/>
      <c r="P73"/>
      <c r="Q73"/>
      <c r="R73" s="3960"/>
      <c r="S73" s="2595"/>
      <c r="T73" s="2595"/>
      <c r="U73" s="2595"/>
      <c r="V73" s="2595"/>
      <c r="W73" s="2595"/>
      <c r="X73" s="2595"/>
      <c r="Y73" s="2595"/>
      <c r="Z73" s="2595"/>
    </row>
    <row r="74" spans="1:26" s="237" customFormat="1" ht="21.75" customHeight="1">
      <c r="A74" s="42"/>
      <c r="B74"/>
      <c r="C74"/>
      <c r="D74"/>
      <c r="E74"/>
      <c r="F74"/>
      <c r="G74"/>
      <c r="H74"/>
      <c r="I74"/>
      <c r="J74"/>
      <c r="K74"/>
      <c r="L74"/>
      <c r="M74"/>
      <c r="N74"/>
      <c r="O74"/>
      <c r="P74"/>
      <c r="Q74"/>
      <c r="R74" s="3960"/>
      <c r="S74" s="2595"/>
      <c r="T74" s="2595"/>
      <c r="U74" s="2595"/>
      <c r="V74" s="2595"/>
      <c r="W74" s="2595"/>
      <c r="X74" s="2595"/>
      <c r="Y74" s="2595"/>
      <c r="Z74" s="2595"/>
    </row>
    <row r="75" spans="1:26" s="237" customFormat="1" ht="22.5" customHeight="1">
      <c r="A75" s="42"/>
      <c r="B75"/>
      <c r="C75"/>
      <c r="D75"/>
      <c r="E75"/>
      <c r="F75"/>
      <c r="G75"/>
      <c r="H75"/>
      <c r="I75"/>
      <c r="J75"/>
      <c r="K75"/>
      <c r="L75"/>
      <c r="M75"/>
      <c r="N75"/>
      <c r="O75"/>
      <c r="P75"/>
      <c r="Q75"/>
      <c r="R75" s="3960"/>
      <c r="S75" s="2595"/>
      <c r="T75" s="2595"/>
      <c r="U75" s="2595"/>
      <c r="V75" s="2595"/>
      <c r="W75" s="2595"/>
      <c r="X75" s="2595"/>
      <c r="Y75" s="2595"/>
      <c r="Z75" s="2595"/>
    </row>
    <row r="76" spans="1:26" s="237" customFormat="1" ht="12.75" customHeight="1">
      <c r="A76" s="42"/>
      <c r="B76"/>
      <c r="C76"/>
      <c r="D76"/>
      <c r="E76"/>
      <c r="F76"/>
      <c r="G76"/>
      <c r="H76"/>
      <c r="I76"/>
      <c r="J76"/>
      <c r="K76"/>
      <c r="L76"/>
      <c r="M76"/>
      <c r="N76"/>
      <c r="O76"/>
      <c r="P76"/>
      <c r="Q76"/>
      <c r="R76" s="3960"/>
      <c r="S76" s="2595"/>
      <c r="T76" s="2595"/>
      <c r="U76" s="2595"/>
      <c r="V76" s="2595"/>
      <c r="W76" s="2595"/>
      <c r="X76" s="2595"/>
      <c r="Y76" s="2595"/>
      <c r="Z76" s="2595"/>
    </row>
    <row r="77" spans="1:26" s="237" customFormat="1" ht="12.75" customHeight="1">
      <c r="A77" s="42"/>
      <c r="B77"/>
      <c r="C77"/>
      <c r="D77"/>
      <c r="E77"/>
      <c r="F77"/>
      <c r="G77"/>
      <c r="H77"/>
      <c r="I77"/>
      <c r="J77"/>
      <c r="K77"/>
      <c r="L77"/>
      <c r="M77"/>
      <c r="N77"/>
      <c r="O77"/>
      <c r="P77"/>
      <c r="Q77"/>
      <c r="R77" s="3960"/>
      <c r="S77" s="2595"/>
      <c r="T77" s="2595"/>
      <c r="U77" s="2595"/>
      <c r="V77" s="2595"/>
      <c r="W77" s="2595"/>
      <c r="X77" s="2595"/>
      <c r="Y77" s="2595"/>
      <c r="Z77" s="2595"/>
    </row>
    <row r="78" spans="1:26" s="237" customFormat="1" ht="17.25" customHeight="1">
      <c r="A78" s="42"/>
      <c r="B78"/>
      <c r="C78"/>
      <c r="D78"/>
      <c r="E78"/>
      <c r="F78"/>
      <c r="G78"/>
      <c r="H78"/>
      <c r="I78"/>
      <c r="J78"/>
      <c r="K78"/>
      <c r="L78"/>
      <c r="M78"/>
      <c r="N78"/>
      <c r="O78"/>
      <c r="P78"/>
      <c r="Q78"/>
      <c r="R78" s="3960"/>
      <c r="S78" s="2595"/>
      <c r="T78" s="2595"/>
      <c r="U78" s="2595"/>
      <c r="V78" s="2595"/>
      <c r="W78" s="2595"/>
      <c r="X78" s="2595"/>
      <c r="Y78" s="2595"/>
      <c r="Z78" s="2595"/>
    </row>
    <row r="79" spans="1:26" s="237" customFormat="1" ht="14.25" customHeight="1">
      <c r="A79" s="42"/>
      <c r="B79"/>
      <c r="C79"/>
      <c r="D79"/>
      <c r="E79"/>
      <c r="F79"/>
      <c r="G79"/>
      <c r="H79"/>
      <c r="I79"/>
      <c r="J79"/>
      <c r="K79"/>
      <c r="L79"/>
      <c r="M79"/>
      <c r="N79"/>
      <c r="O79"/>
      <c r="P79"/>
      <c r="Q79"/>
      <c r="R79" s="3960"/>
      <c r="S79" s="2595"/>
      <c r="T79" s="2595"/>
      <c r="U79" s="2595"/>
      <c r="V79" s="2595"/>
      <c r="W79" s="2595"/>
      <c r="X79" s="2595"/>
      <c r="Y79" s="2595"/>
      <c r="Z79" s="2595"/>
    </row>
    <row r="80" spans="1:26" s="237" customFormat="1">
      <c r="A80" s="42"/>
      <c r="B80"/>
      <c r="C80"/>
      <c r="D80"/>
      <c r="E80"/>
      <c r="F80"/>
      <c r="G80"/>
      <c r="H80"/>
      <c r="I80"/>
      <c r="J80"/>
      <c r="K80"/>
      <c r="L80"/>
      <c r="M80"/>
      <c r="N80"/>
      <c r="O80"/>
      <c r="P80"/>
      <c r="Q80"/>
      <c r="R80" s="3960"/>
      <c r="S80" s="2595"/>
      <c r="T80" s="2595"/>
      <c r="U80" s="2595"/>
      <c r="V80" s="2595"/>
      <c r="W80" s="2595"/>
      <c r="X80" s="2595"/>
      <c r="Y80" s="2595"/>
      <c r="Z80" s="2595"/>
    </row>
    <row r="81" spans="1:26" s="237" customFormat="1">
      <c r="A81" s="42"/>
      <c r="B81"/>
      <c r="C81"/>
      <c r="D81"/>
      <c r="E81"/>
      <c r="F81"/>
      <c r="G81"/>
      <c r="H81"/>
      <c r="I81"/>
      <c r="J81"/>
      <c r="K81"/>
      <c r="L81"/>
      <c r="M81"/>
      <c r="N81"/>
      <c r="O81"/>
      <c r="P81"/>
      <c r="Q81"/>
      <c r="R81" s="3960"/>
      <c r="S81" s="2595"/>
      <c r="T81" s="2595"/>
      <c r="U81" s="2595"/>
      <c r="V81" s="2595"/>
      <c r="W81" s="2595"/>
      <c r="X81" s="2595"/>
      <c r="Y81" s="2595"/>
      <c r="Z81" s="2595"/>
    </row>
    <row r="82" spans="1:26" s="237" customFormat="1">
      <c r="A82" s="42"/>
      <c r="B82"/>
      <c r="C82"/>
      <c r="D82"/>
      <c r="E82"/>
      <c r="F82"/>
      <c r="G82"/>
      <c r="H82"/>
      <c r="I82"/>
      <c r="J82"/>
      <c r="K82"/>
      <c r="L82"/>
      <c r="M82"/>
      <c r="N82"/>
      <c r="O82"/>
      <c r="P82"/>
      <c r="Q82"/>
      <c r="R82" s="3960"/>
      <c r="S82" s="2595"/>
      <c r="T82" s="2595"/>
      <c r="U82" s="2595"/>
      <c r="V82" s="2595"/>
      <c r="W82" s="2595"/>
      <c r="X82" s="2595"/>
      <c r="Y82" s="2595"/>
      <c r="Z82" s="2595"/>
    </row>
    <row r="83" spans="1:26" s="237" customFormat="1">
      <c r="A83" s="42"/>
      <c r="B83"/>
      <c r="C83"/>
      <c r="D83"/>
      <c r="E83"/>
      <c r="F83"/>
      <c r="G83"/>
      <c r="H83"/>
      <c r="I83"/>
      <c r="J83"/>
      <c r="K83"/>
      <c r="L83"/>
      <c r="M83"/>
      <c r="N83"/>
      <c r="O83"/>
      <c r="P83"/>
      <c r="Q83"/>
      <c r="R83" s="3960"/>
      <c r="S83" s="2595"/>
      <c r="T83" s="2595"/>
      <c r="U83" s="2595"/>
      <c r="V83" s="2595"/>
      <c r="W83" s="2595"/>
      <c r="X83" s="2595"/>
      <c r="Y83" s="2595"/>
      <c r="Z83" s="2595"/>
    </row>
    <row r="84" spans="1:26" s="237" customFormat="1">
      <c r="A84" s="42"/>
      <c r="B84"/>
      <c r="C84"/>
      <c r="D84"/>
      <c r="E84"/>
      <c r="F84"/>
      <c r="G84"/>
      <c r="H84"/>
      <c r="I84"/>
      <c r="J84"/>
      <c r="K84"/>
      <c r="L84"/>
      <c r="M84"/>
      <c r="N84"/>
      <c r="O84"/>
      <c r="P84"/>
      <c r="Q84"/>
      <c r="R84" s="3960"/>
      <c r="S84" s="2595"/>
      <c r="T84" s="2595"/>
      <c r="U84" s="2595"/>
      <c r="V84" s="2595"/>
      <c r="W84" s="2595"/>
      <c r="X84" s="2595"/>
      <c r="Y84" s="2595"/>
      <c r="Z84" s="2595"/>
    </row>
    <row r="85" spans="1:26" s="237" customFormat="1">
      <c r="A85" s="42"/>
      <c r="B85"/>
      <c r="C85"/>
      <c r="D85"/>
      <c r="E85"/>
      <c r="F85"/>
      <c r="G85"/>
      <c r="H85"/>
      <c r="I85"/>
      <c r="J85"/>
      <c r="K85"/>
      <c r="L85"/>
      <c r="M85"/>
      <c r="N85"/>
      <c r="O85"/>
      <c r="P85"/>
      <c r="Q85"/>
      <c r="R85" s="3960"/>
      <c r="S85" s="2595"/>
      <c r="T85" s="2595"/>
      <c r="U85" s="2595"/>
      <c r="V85" s="2595"/>
      <c r="W85" s="2595"/>
      <c r="X85" s="2595"/>
      <c r="Y85" s="2595"/>
      <c r="Z85" s="2595"/>
    </row>
  </sheetData>
  <sheetProtection algorithmName="SHA-512" hashValue="936eLUQDdJVsH1jy4pXkdrAUPX4+KBU9XEafbQtrweYcm3VyeZMeIyqaK4IpZzV+z6EU7Mg4RAY8eJyqpjfWKQ==" saltValue="wk3qSBMVu3A22jgYQjkdQQ==" spinCount="100000" sheet="1" objects="1" scenarios="1"/>
  <mergeCells count="31">
    <mergeCell ref="L8:M8"/>
    <mergeCell ref="B9:B10"/>
    <mergeCell ref="C9:D10"/>
    <mergeCell ref="E9:K9"/>
    <mergeCell ref="L9:M10"/>
    <mergeCell ref="E10:K10"/>
    <mergeCell ref="K13:M13"/>
    <mergeCell ref="B14:J14"/>
    <mergeCell ref="K14:M14"/>
    <mergeCell ref="C15:M15"/>
    <mergeCell ref="B11:D11"/>
    <mergeCell ref="E11:K11"/>
    <mergeCell ref="L11:M11"/>
    <mergeCell ref="B12:D12"/>
    <mergeCell ref="E12:K12"/>
    <mergeCell ref="L12:M12"/>
    <mergeCell ref="C70:G70"/>
    <mergeCell ref="C72:G72"/>
    <mergeCell ref="C28:M28"/>
    <mergeCell ref="C40:M40"/>
    <mergeCell ref="C50:M50"/>
    <mergeCell ref="C53:M53"/>
    <mergeCell ref="H32:I32"/>
    <mergeCell ref="H33:I33"/>
    <mergeCell ref="H34:I34"/>
    <mergeCell ref="H46:I46"/>
    <mergeCell ref="H22:I22"/>
    <mergeCell ref="H23:I23"/>
    <mergeCell ref="H24:I24"/>
    <mergeCell ref="H44:I44"/>
    <mergeCell ref="H45:I45"/>
  </mergeCells>
  <conditionalFormatting sqref="B3:B6">
    <cfRule type="expression" dxfId="170" priority="2">
      <formula>IF(P3,1,0)</formula>
    </cfRule>
  </conditionalFormatting>
  <conditionalFormatting sqref="B14:M14">
    <cfRule type="expression" dxfId="169" priority="99">
      <formula>IF(NoColor,1,0)</formula>
    </cfRule>
  </conditionalFormatting>
  <conditionalFormatting sqref="K17:K20">
    <cfRule type="expression" dxfId="168" priority="15">
      <formula>IF(NoColor,1,0)</formula>
    </cfRule>
  </conditionalFormatting>
  <conditionalFormatting sqref="K24">
    <cfRule type="expression" dxfId="167" priority="6">
      <formula>IF(NoColor,1,0)</formula>
    </cfRule>
  </conditionalFormatting>
  <conditionalFormatting sqref="K30">
    <cfRule type="expression" dxfId="166" priority="41">
      <formula>IF(NoColor,1,0)</formula>
    </cfRule>
  </conditionalFormatting>
  <conditionalFormatting sqref="K34:K36">
    <cfRule type="expression" dxfId="165" priority="14">
      <formula>IF(NoColor,1,0)</formula>
    </cfRule>
  </conditionalFormatting>
  <conditionalFormatting sqref="K42">
    <cfRule type="expression" dxfId="164" priority="9">
      <formula>IF(NoColor,1,0)</formula>
    </cfRule>
  </conditionalFormatting>
  <conditionalFormatting sqref="K46">
    <cfRule type="expression" dxfId="163" priority="5">
      <formula>IF(NoColor,1,0)</formula>
    </cfRule>
  </conditionalFormatting>
  <conditionalFormatting sqref="K55:K56">
    <cfRule type="expression" dxfId="162" priority="22">
      <formula>IF(NoColor,1,0)</formula>
    </cfRule>
  </conditionalFormatting>
  <conditionalFormatting sqref="K58">
    <cfRule type="expression" dxfId="161" priority="20">
      <formula>IF(NoColor,1,0)</formula>
    </cfRule>
  </conditionalFormatting>
  <conditionalFormatting sqref="M25">
    <cfRule type="expression" dxfId="160" priority="12">
      <formula>IF(NoColor,1,0)</formula>
    </cfRule>
  </conditionalFormatting>
  <conditionalFormatting sqref="M27">
    <cfRule type="expression" dxfId="159" priority="43">
      <formula>IF(NoColor,1,0)</formula>
    </cfRule>
  </conditionalFormatting>
  <conditionalFormatting sqref="M37">
    <cfRule type="expression" dxfId="158" priority="10">
      <formula>IF(NoColor,1,0)</formula>
    </cfRule>
  </conditionalFormatting>
  <conditionalFormatting sqref="M39">
    <cfRule type="expression" dxfId="157" priority="11">
      <formula>IF(NoColor,1,0)</formula>
    </cfRule>
  </conditionalFormatting>
  <conditionalFormatting sqref="M47">
    <cfRule type="expression" dxfId="156" priority="7">
      <formula>IF(NoColor,1,0)</formula>
    </cfRule>
  </conditionalFormatting>
  <conditionalFormatting sqref="M49">
    <cfRule type="expression" dxfId="155" priority="8">
      <formula>IF(NoColor,1,0)</formula>
    </cfRule>
  </conditionalFormatting>
  <conditionalFormatting sqref="M52">
    <cfRule type="expression" dxfId="154" priority="26">
      <formula>IF(NoColor,1,0)</formula>
    </cfRule>
  </conditionalFormatting>
  <conditionalFormatting sqref="M60">
    <cfRule type="expression" dxfId="153" priority="19">
      <formula>IF(NoColor,1,0)</formula>
    </cfRule>
  </conditionalFormatting>
  <conditionalFormatting sqref="M62">
    <cfRule type="expression" dxfId="152" priority="18">
      <formula>IF(NoColor,1,0)</formula>
    </cfRule>
  </conditionalFormatting>
  <conditionalFormatting sqref="M65">
    <cfRule type="expression" dxfId="151" priority="17">
      <formula>IF(NoColor,1,0)</formula>
    </cfRule>
  </conditionalFormatting>
  <hyperlinks>
    <hyperlink ref="C70:G70" r:id="rId1" display="Download Form 8959" xr:uid="{00000000-0004-0000-3400-000000000000}"/>
    <hyperlink ref="C72:G72" r:id="rId2" display="Download Form 8959 Instructions" xr:uid="{00000000-0004-0000-3400-000001000000}"/>
  </hyperlinks>
  <printOptions horizontalCentered="1"/>
  <pageMargins left="0.44" right="0.25" top="0.22" bottom="0.25" header="0.27" footer="0.25"/>
  <pageSetup scale="95" fitToHeight="0" orientation="portrait" r:id="rId3"/>
  <headerFooter alignWithMargins="0"/>
  <rowBreaks count="1" manualBreakCount="1">
    <brk id="66" min="1" max="12"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N93"/>
  <sheetViews>
    <sheetView zoomScaleNormal="100" zoomScaleSheetLayoutView="100" workbookViewId="0"/>
  </sheetViews>
  <sheetFormatPr defaultRowHeight="12.75"/>
  <cols>
    <col min="1" max="1" width="2.42578125" style="42" customWidth="1"/>
    <col min="2" max="2" width="7.85546875" customWidth="1"/>
    <col min="3" max="3" width="3.140625" customWidth="1"/>
    <col min="4" max="4" width="10.7109375" customWidth="1"/>
    <col min="5" max="5" width="9.5703125" customWidth="1"/>
    <col min="6" max="6" width="2.7109375" customWidth="1"/>
    <col min="7" max="7" width="18.85546875" customWidth="1"/>
    <col min="8" max="8" width="9.28515625" customWidth="1"/>
    <col min="9" max="9" width="4" customWidth="1"/>
    <col min="10" max="10" width="6.7109375" customWidth="1"/>
    <col min="11" max="11" width="4.5703125" style="270" customWidth="1"/>
    <col min="12" max="12" width="14.140625" customWidth="1"/>
    <col min="13" max="13" width="3.7109375" customWidth="1"/>
    <col min="14" max="14" width="14.140625" customWidth="1"/>
    <col min="15" max="15" width="2.5703125" customWidth="1"/>
    <col min="16" max="16" width="3.85546875" customWidth="1"/>
    <col min="17" max="17" width="18.140625" customWidth="1"/>
    <col min="18" max="18" width="2.28515625" customWidth="1"/>
    <col min="19" max="19" width="13.5703125" style="237" customWidth="1"/>
    <col min="20" max="20" width="2.7109375" style="237" customWidth="1"/>
    <col min="21" max="21" width="5.85546875" customWidth="1"/>
    <col min="22" max="22" width="5" customWidth="1"/>
    <col min="23" max="23" width="4.28515625" customWidth="1"/>
    <col min="24" max="24" width="27" customWidth="1"/>
    <col min="25" max="25" width="12.85546875" customWidth="1"/>
    <col min="26" max="26" width="12.42578125" customWidth="1"/>
    <col min="27" max="27" width="13.7109375" customWidth="1"/>
    <col min="28" max="28" width="9.85546875" customWidth="1"/>
    <col min="29" max="29" width="15.28515625" customWidth="1"/>
    <col min="30" max="30" width="3.85546875" customWidth="1"/>
    <col min="31" max="31" width="4" customWidth="1"/>
    <col min="32" max="40" width="10.7109375" style="2595" customWidth="1"/>
  </cols>
  <sheetData>
    <row r="1" spans="1:32" ht="17.25" customHeight="1" thickBot="1">
      <c r="A1" s="3844"/>
      <c r="B1" s="657"/>
      <c r="C1" s="657"/>
      <c r="D1" s="657"/>
      <c r="E1" s="657"/>
      <c r="F1" s="657"/>
      <c r="G1" s="657"/>
      <c r="H1" s="657"/>
      <c r="I1" s="657"/>
      <c r="J1" s="657"/>
      <c r="K1" s="657"/>
      <c r="L1" s="657"/>
      <c r="M1" s="3845"/>
      <c r="N1" s="657"/>
      <c r="O1" s="657"/>
      <c r="P1" s="1145"/>
      <c r="Q1" s="1145"/>
      <c r="R1" s="1145"/>
      <c r="S1" s="2654"/>
      <c r="T1" s="2654"/>
      <c r="U1" s="1145"/>
      <c r="V1" s="1145"/>
      <c r="W1" s="1145"/>
      <c r="X1" s="1145"/>
      <c r="Y1" s="1145"/>
      <c r="Z1" s="1145"/>
      <c r="AA1" s="1145"/>
      <c r="AB1" s="1145"/>
      <c r="AC1" s="1145"/>
      <c r="AD1" s="1145"/>
      <c r="AF1" s="2594" t="s">
        <v>2033</v>
      </c>
    </row>
    <row r="2" spans="1:32" ht="17.25" customHeight="1">
      <c r="A2" s="3844"/>
      <c r="B2" s="3847" t="s">
        <v>3066</v>
      </c>
      <c r="C2" s="657"/>
      <c r="D2" s="657"/>
      <c r="E2" s="657"/>
      <c r="F2" s="657"/>
      <c r="G2" s="657"/>
      <c r="H2" s="657"/>
      <c r="I2" s="657"/>
      <c r="J2" s="657"/>
      <c r="K2" s="657"/>
      <c r="L2" s="657"/>
      <c r="M2" s="3845"/>
      <c r="N2" s="657"/>
      <c r="O2" s="657"/>
      <c r="P2" s="1145"/>
      <c r="Q2" s="2243" t="b">
        <f>ModAdjGrossInc&gt;Form8960_Threshhold</f>
        <v>0</v>
      </c>
      <c r="R2" s="1145"/>
      <c r="S2" s="2654"/>
      <c r="T2" s="2654"/>
      <c r="U2" s="3897" t="s">
        <v>3118</v>
      </c>
      <c r="V2" s="3895"/>
      <c r="W2" s="3895"/>
      <c r="X2" s="3895"/>
      <c r="Y2" s="3895"/>
      <c r="Z2" s="3895"/>
      <c r="AA2" s="3895"/>
      <c r="AB2" s="3895"/>
      <c r="AC2" s="3895"/>
      <c r="AD2" s="3896"/>
      <c r="AF2" s="2594"/>
    </row>
    <row r="3" spans="1:32" ht="17.25" customHeight="1">
      <c r="A3" s="2519"/>
      <c r="B3" s="567"/>
      <c r="C3" s="78"/>
      <c r="D3" s="78" t="str">
        <f>"Your MAGI is: "&amp;TEXT(ModAdjGrossInc,"$0,000")&amp;"."</f>
        <v>Your MAGI is: $0,000.</v>
      </c>
      <c r="E3" s="78"/>
      <c r="F3" s="78"/>
      <c r="G3" s="78" t="str">
        <f>"Threshold amount = "&amp;TEXT(Form8960_Threshhold,"$0,000")&amp;"."</f>
        <v>Threshold amount = ---.</v>
      </c>
      <c r="H3" s="78"/>
      <c r="I3" s="78"/>
      <c r="J3" s="78"/>
      <c r="K3" s="78"/>
      <c r="L3" s="3846" t="str">
        <f>IF(NOT(F8960_Applicable),"Check to file Form 8960 anyway.","")</f>
        <v>Check to file Form 8960 anyway.</v>
      </c>
      <c r="M3" s="3953"/>
      <c r="N3" s="78"/>
      <c r="O3" s="78"/>
      <c r="P3" s="1145"/>
      <c r="Q3" s="2243" t="b">
        <f>OR(F8960_Applicable,M3&lt;&gt;"")</f>
        <v>0</v>
      </c>
      <c r="R3" s="1145"/>
      <c r="S3" s="2654"/>
      <c r="T3" s="2654"/>
      <c r="U3" s="3904" t="s">
        <v>3580</v>
      </c>
      <c r="V3" s="3898"/>
      <c r="W3" s="3898"/>
      <c r="X3" s="3898"/>
      <c r="Y3" s="3898"/>
      <c r="Z3" s="3898"/>
      <c r="AA3" s="3898"/>
      <c r="AB3" s="3898"/>
      <c r="AC3" s="3898"/>
      <c r="AD3" s="3899"/>
      <c r="AF3" s="2594"/>
    </row>
    <row r="4" spans="1:32">
      <c r="A4" s="3845"/>
      <c r="B4" s="3845"/>
      <c r="C4" s="657"/>
      <c r="D4" s="657"/>
      <c r="E4" s="657"/>
      <c r="F4" s="657"/>
      <c r="G4" s="657"/>
      <c r="H4" s="3845"/>
      <c r="I4" s="657"/>
      <c r="J4" s="657"/>
      <c r="K4" s="657"/>
      <c r="L4" s="657"/>
      <c r="M4" s="657"/>
      <c r="N4" s="657"/>
      <c r="O4" s="657"/>
      <c r="P4" s="1145"/>
      <c r="Q4" s="1145"/>
      <c r="R4" s="1145"/>
      <c r="S4" s="2654"/>
      <c r="T4" s="2654"/>
      <c r="U4" s="3330"/>
      <c r="V4" s="3898" t="s">
        <v>3119</v>
      </c>
      <c r="W4" s="3898"/>
      <c r="X4" s="3898"/>
      <c r="Y4" s="3898"/>
      <c r="Z4" s="3898"/>
      <c r="AA4" s="3898"/>
      <c r="AB4" s="3898"/>
      <c r="AC4" s="3898"/>
      <c r="AD4" s="3899"/>
    </row>
    <row r="5" spans="1:32" ht="15">
      <c r="A5" s="78"/>
      <c r="B5" s="23"/>
      <c r="C5" s="23"/>
      <c r="D5" s="97"/>
      <c r="E5" s="4283"/>
      <c r="F5" s="1179"/>
      <c r="G5" s="4282"/>
      <c r="H5" s="2783"/>
      <c r="I5" s="3311"/>
      <c r="J5" s="1179"/>
      <c r="K5" s="1927"/>
      <c r="L5" s="3833"/>
      <c r="M5" s="8932" t="s">
        <v>2023</v>
      </c>
      <c r="N5" s="8628"/>
      <c r="O5" s="588"/>
      <c r="P5" s="1145"/>
      <c r="Q5" s="1145"/>
      <c r="R5" s="1145"/>
      <c r="S5" s="2654"/>
      <c r="T5" s="2654"/>
      <c r="U5" s="3330"/>
      <c r="V5" s="3898" t="s">
        <v>3120</v>
      </c>
      <c r="W5" s="3898"/>
      <c r="X5" s="3898"/>
      <c r="Y5" s="3898"/>
      <c r="Z5" s="3898"/>
      <c r="AA5" s="3898"/>
      <c r="AB5" s="3898"/>
      <c r="AC5" s="3898"/>
      <c r="AD5" s="3899"/>
    </row>
    <row r="6" spans="1:32" ht="20.25" customHeight="1">
      <c r="A6" s="78"/>
      <c r="B6" s="9651" t="s">
        <v>291</v>
      </c>
      <c r="C6" s="9652">
        <v>8960</v>
      </c>
      <c r="D6" s="9653"/>
      <c r="E6" s="3308"/>
      <c r="F6" s="3309"/>
      <c r="G6" s="1179"/>
      <c r="H6" s="3310" t="s">
        <v>854</v>
      </c>
      <c r="I6" s="1179"/>
      <c r="J6" s="1179"/>
      <c r="K6" s="1927"/>
      <c r="L6" s="1244"/>
      <c r="M6" s="7033">
        <f>TaxYear</f>
        <v>2021</v>
      </c>
      <c r="N6" s="8933"/>
      <c r="O6" s="662"/>
      <c r="P6" s="253"/>
      <c r="Q6" s="24" t="s">
        <v>90</v>
      </c>
      <c r="R6" s="1503"/>
      <c r="S6" s="2657"/>
      <c r="T6" s="2657"/>
      <c r="U6" s="3905" t="str">
        <f>" must pay "&amp;TEXT(N59,"0.0%")&amp;" of the smaller of (a) or (b) as their NIIT."</f>
        <v xml:space="preserve"> must pay 3.8% of the smaller of (a) or (b) as their NIIT.</v>
      </c>
      <c r="V6" s="3898"/>
      <c r="W6" s="3898"/>
      <c r="X6" s="3898"/>
      <c r="Y6" s="3898"/>
      <c r="Z6" s="3898"/>
      <c r="AA6" s="3898"/>
      <c r="AB6" s="3898"/>
      <c r="AC6" s="3898"/>
      <c r="AD6" s="3899"/>
    </row>
    <row r="7" spans="1:32" ht="14.25" customHeight="1">
      <c r="A7" s="78"/>
      <c r="B7" s="7060"/>
      <c r="C7" s="9654"/>
      <c r="D7" s="9655"/>
      <c r="E7" s="9807" t="s">
        <v>855</v>
      </c>
      <c r="F7" s="9807"/>
      <c r="G7" s="6751"/>
      <c r="H7" s="6751"/>
      <c r="I7" s="6751"/>
      <c r="J7" s="6751"/>
      <c r="K7" s="6751"/>
      <c r="L7" s="9808"/>
      <c r="M7" s="8934"/>
      <c r="N7" s="8935"/>
      <c r="O7" s="663"/>
      <c r="P7" s="254"/>
      <c r="Q7" s="24" t="s">
        <v>411</v>
      </c>
      <c r="R7" s="1262"/>
      <c r="S7" s="1262"/>
      <c r="T7" s="1262"/>
      <c r="U7" s="3904" t="s">
        <v>3121</v>
      </c>
      <c r="V7" s="3898"/>
      <c r="W7" s="3898"/>
      <c r="X7" s="3898"/>
      <c r="Y7" s="3898"/>
      <c r="Z7" s="3898"/>
      <c r="AA7" s="3898"/>
      <c r="AB7" s="3898"/>
      <c r="AC7" s="3898"/>
      <c r="AD7" s="3899"/>
    </row>
    <row r="8" spans="1:32" ht="12.75" customHeight="1">
      <c r="A8" s="78"/>
      <c r="B8" s="8464" t="s">
        <v>176</v>
      </c>
      <c r="C8" s="6665"/>
      <c r="D8" s="9648"/>
      <c r="E8" s="9809" t="s">
        <v>2021</v>
      </c>
      <c r="F8" s="9810"/>
      <c r="G8" s="9811"/>
      <c r="H8" s="9811"/>
      <c r="I8" s="9811"/>
      <c r="J8" s="9811"/>
      <c r="K8" s="9811"/>
      <c r="L8" s="9812"/>
      <c r="M8" s="8463" t="s">
        <v>301</v>
      </c>
      <c r="N8" s="7460"/>
      <c r="O8" s="662"/>
      <c r="P8" s="253"/>
      <c r="Q8" s="681"/>
      <c r="R8" s="1262"/>
      <c r="S8" s="2658"/>
      <c r="T8" s="2658"/>
      <c r="U8" s="3903" t="str">
        <f>IF(AND(OR(File_Marr_Joint&lt;&gt;"",File_Qual_Widow&lt;&gt;""),F8960_Applicable),"→","• ")</f>
        <v xml:space="preserve">• </v>
      </c>
      <c r="V8" s="3898" t="str">
        <f>"Married Filing Jointly or Qualifying Widow(er) is "&amp;TEXT(N42,"$0,000")&amp;"."</f>
        <v>Married Filing Jointly or Qualifying Widow(er) is $250,000.</v>
      </c>
      <c r="W8" s="3898"/>
      <c r="X8" s="3898"/>
      <c r="Y8" s="3898"/>
      <c r="Z8" s="3898"/>
      <c r="AA8" s="3898"/>
      <c r="AB8" s="3898"/>
      <c r="AC8" s="3898"/>
      <c r="AD8" s="3899"/>
    </row>
    <row r="9" spans="1:32" ht="14.25" customHeight="1" thickBot="1">
      <c r="A9" s="78"/>
      <c r="B9" s="9625" t="s">
        <v>229</v>
      </c>
      <c r="C9" s="9626"/>
      <c r="D9" s="9627"/>
      <c r="E9" s="9813" t="s">
        <v>2022</v>
      </c>
      <c r="F9" s="9814"/>
      <c r="G9" s="9815"/>
      <c r="H9" s="9815"/>
      <c r="I9" s="9815"/>
      <c r="J9" s="9815"/>
      <c r="K9" s="9815"/>
      <c r="L9" s="9816"/>
      <c r="M9" s="9631" t="s">
        <v>3579</v>
      </c>
      <c r="N9" s="9632"/>
      <c r="O9" s="663"/>
      <c r="P9" s="254"/>
      <c r="Q9" s="681"/>
      <c r="R9" s="1503"/>
      <c r="S9" s="2658"/>
      <c r="T9" s="2658"/>
      <c r="U9" s="3903" t="str">
        <f>IF(AND(File_Marr_Sep&lt;&gt;"",F8960_Applicable),"→","• ")</f>
        <v xml:space="preserve">• </v>
      </c>
      <c r="V9" s="3898" t="str">
        <f>"Married Filing Separately is "&amp;TEXT(N43,"$0,000")&amp;"."</f>
        <v>Married Filing Separately is $125,000.</v>
      </c>
      <c r="W9" s="3898"/>
      <c r="X9" s="3898"/>
      <c r="Y9" s="3898"/>
      <c r="Z9" s="3898"/>
      <c r="AA9" s="3898"/>
      <c r="AB9" s="3898"/>
      <c r="AC9" s="3898"/>
      <c r="AD9" s="3899"/>
    </row>
    <row r="10" spans="1:32" ht="11.25" customHeight="1">
      <c r="A10" s="78"/>
      <c r="B10" s="21" t="s">
        <v>1071</v>
      </c>
      <c r="C10" s="161"/>
      <c r="D10" s="161"/>
      <c r="E10" s="134"/>
      <c r="F10" s="134"/>
      <c r="G10" s="135"/>
      <c r="H10" s="144"/>
      <c r="I10" s="135"/>
      <c r="J10" s="135"/>
      <c r="K10" s="3836"/>
      <c r="L10" s="8954" t="s">
        <v>4260</v>
      </c>
      <c r="M10" s="8955"/>
      <c r="N10" s="8955"/>
      <c r="O10" s="662"/>
      <c r="P10" s="253"/>
      <c r="Q10" s="681"/>
      <c r="R10" s="1503"/>
      <c r="S10" s="2659"/>
      <c r="T10" s="2659"/>
      <c r="U10" s="3903" t="str">
        <f>IF(AND(OR(File_Single&lt;&gt;"",File_Head&lt;&gt;""),F8960_Applicable),"→","• ")</f>
        <v xml:space="preserve">• </v>
      </c>
      <c r="V10" s="2256" t="str">
        <f>"Single or Head of Household is "&amp;TEXT(N44,"$0,000")&amp;"."</f>
        <v>Single or Head of Household is $200,000.</v>
      </c>
      <c r="W10" s="3898"/>
      <c r="X10" s="3898"/>
      <c r="Y10" s="3898"/>
      <c r="Z10" s="3898"/>
      <c r="AA10" s="3898"/>
      <c r="AB10" s="3898"/>
      <c r="AC10" s="3898"/>
      <c r="AD10" s="3899"/>
    </row>
    <row r="11" spans="1:32" ht="14.25" customHeight="1">
      <c r="A11" s="78"/>
      <c r="B11" s="8906" t="str">
        <f>Names</f>
        <v/>
      </c>
      <c r="C11" s="8907"/>
      <c r="D11" s="8907"/>
      <c r="E11" s="8907"/>
      <c r="F11" s="8907"/>
      <c r="G11" s="8907"/>
      <c r="H11" s="8907"/>
      <c r="I11" s="8907"/>
      <c r="J11" s="8907"/>
      <c r="K11" s="8908"/>
      <c r="L11" s="7120">
        <f>IF(NoSSN,"",SS_Yours)</f>
        <v>1010001</v>
      </c>
      <c r="M11" s="8950"/>
      <c r="N11" s="8950"/>
      <c r="O11" s="663"/>
      <c r="P11" s="254"/>
      <c r="Q11" s="681"/>
      <c r="R11" s="1503"/>
      <c r="S11" s="2659"/>
      <c r="T11" s="2659"/>
      <c r="U11" s="3903"/>
      <c r="V11" s="3898"/>
      <c r="W11" s="3898"/>
      <c r="X11" s="3898"/>
      <c r="Y11" s="3898"/>
      <c r="Z11" s="3898"/>
      <c r="AA11" s="3898"/>
      <c r="AB11" s="3898"/>
      <c r="AC11" s="3898"/>
      <c r="AD11" s="3899"/>
    </row>
    <row r="12" spans="1:32" ht="12" customHeight="1">
      <c r="A12" s="78"/>
      <c r="B12" s="4760" t="s">
        <v>324</v>
      </c>
      <c r="C12" s="9817" t="s">
        <v>856</v>
      </c>
      <c r="D12" s="9818"/>
      <c r="E12" s="9819"/>
      <c r="F12" s="1892"/>
      <c r="G12" s="3021" t="s">
        <v>857</v>
      </c>
      <c r="H12" s="1396"/>
      <c r="I12" s="1396"/>
      <c r="J12" s="1396"/>
      <c r="K12" s="3837"/>
      <c r="L12" s="1396"/>
      <c r="M12" s="1396"/>
      <c r="N12" s="1396"/>
      <c r="O12" s="664"/>
      <c r="P12" s="570"/>
      <c r="Q12" s="681"/>
      <c r="R12" s="1503"/>
      <c r="S12" s="1503"/>
      <c r="T12" s="1503"/>
      <c r="U12" s="3904" t="s">
        <v>3123</v>
      </c>
      <c r="V12" s="3898"/>
      <c r="W12" s="3898"/>
      <c r="X12" s="3898"/>
      <c r="Y12" s="3898"/>
      <c r="Z12" s="3898"/>
      <c r="AA12" s="3898"/>
      <c r="AB12" s="3898"/>
      <c r="AC12" s="3898"/>
      <c r="AD12" s="3899"/>
    </row>
    <row r="13" spans="1:32" ht="12" customHeight="1">
      <c r="A13" s="78"/>
      <c r="B13" s="270"/>
      <c r="C13" s="8441"/>
      <c r="D13" s="8441"/>
      <c r="E13" s="8442"/>
      <c r="F13" s="1892"/>
      <c r="G13" s="3834" t="s">
        <v>1070</v>
      </c>
      <c r="H13" s="1540"/>
      <c r="I13" s="1540"/>
      <c r="J13" s="1540"/>
      <c r="K13" s="3838"/>
      <c r="L13" s="1540"/>
      <c r="M13" s="1540"/>
      <c r="N13" s="1540"/>
      <c r="O13" s="664"/>
      <c r="P13" s="570"/>
      <c r="Q13" s="681"/>
      <c r="R13" s="1503"/>
      <c r="S13" s="1503"/>
      <c r="T13" s="1503"/>
      <c r="U13" s="3904" t="s">
        <v>3122</v>
      </c>
      <c r="V13" s="3898"/>
      <c r="W13" s="3898"/>
      <c r="X13" s="3898"/>
      <c r="Y13" s="3898"/>
      <c r="Z13" s="3898"/>
      <c r="AA13" s="3898"/>
      <c r="AB13" s="3898"/>
      <c r="AC13" s="3898"/>
      <c r="AD13" s="3899"/>
    </row>
    <row r="14" spans="1:32" ht="12" customHeight="1">
      <c r="A14" s="78"/>
      <c r="B14" s="1466"/>
      <c r="C14" s="1541"/>
      <c r="D14" s="1541"/>
      <c r="E14" s="1542"/>
      <c r="F14" s="1892"/>
      <c r="G14" s="3835" t="s">
        <v>858</v>
      </c>
      <c r="H14" s="1397"/>
      <c r="I14" s="1397"/>
      <c r="J14" s="1397"/>
      <c r="K14" s="3839"/>
      <c r="L14" s="1397"/>
      <c r="M14" s="1397"/>
      <c r="N14" s="1397"/>
      <c r="O14" s="664"/>
      <c r="P14" s="570"/>
      <c r="Q14" s="681"/>
      <c r="R14" s="1503"/>
      <c r="S14" s="1503"/>
      <c r="T14" s="1503"/>
      <c r="U14" s="3904" t="s">
        <v>4261</v>
      </c>
      <c r="V14" s="3898"/>
      <c r="W14" s="3898"/>
      <c r="X14" s="3898"/>
      <c r="Y14" s="3898"/>
      <c r="Z14" s="3898"/>
      <c r="AA14" s="3898"/>
      <c r="AB14" s="3898"/>
      <c r="AC14" s="3898"/>
      <c r="AD14" s="3899"/>
    </row>
    <row r="15" spans="1:32" ht="13.5" customHeight="1" thickBot="1">
      <c r="A15" s="78"/>
      <c r="B15" s="154">
        <v>1</v>
      </c>
      <c r="C15" s="392" t="s">
        <v>1072</v>
      </c>
      <c r="D15" s="273"/>
      <c r="E15" s="230"/>
      <c r="F15" s="230"/>
      <c r="G15" s="230"/>
      <c r="H15" s="231"/>
      <c r="I15" s="231"/>
      <c r="J15" s="231"/>
      <c r="K15" s="440"/>
      <c r="L15" s="1243" t="s">
        <v>428</v>
      </c>
      <c r="M15" s="333">
        <f>B15</f>
        <v>1</v>
      </c>
      <c r="N15" s="1373" t="str">
        <f>IF(Q15&lt;&gt;"",ROUND(Q15,0),IF(File8960,TaxableInterest,""))</f>
        <v/>
      </c>
      <c r="O15" s="666"/>
      <c r="P15" s="258"/>
      <c r="Q15" s="444"/>
      <c r="R15" s="2086"/>
      <c r="S15" s="2086"/>
      <c r="T15" s="2086"/>
      <c r="U15" s="3900"/>
      <c r="V15" s="3901"/>
      <c r="W15" s="3901"/>
      <c r="X15" s="3901"/>
      <c r="Y15" s="3901"/>
      <c r="Z15" s="3901"/>
      <c r="AA15" s="3901"/>
      <c r="AB15" s="3901"/>
      <c r="AC15" s="3901"/>
      <c r="AD15" s="3902"/>
    </row>
    <row r="16" spans="1:32" ht="13.5" customHeight="1" thickBot="1">
      <c r="A16" s="78"/>
      <c r="B16" s="154">
        <v>2</v>
      </c>
      <c r="C16" s="392" t="s">
        <v>1073</v>
      </c>
      <c r="D16" s="273"/>
      <c r="E16" s="230"/>
      <c r="F16" s="230"/>
      <c r="G16" s="230"/>
      <c r="H16" s="231"/>
      <c r="I16" s="231"/>
      <c r="J16" s="231"/>
      <c r="K16" s="440"/>
      <c r="L16" s="1243" t="s">
        <v>94</v>
      </c>
      <c r="M16" s="333">
        <f>B16</f>
        <v>2</v>
      </c>
      <c r="N16" s="1373" t="str">
        <f>IF(Q16&lt;&gt;"",ROUND(Q16,0),IF(File8960,OrdinaryDividends,""))</f>
        <v/>
      </c>
      <c r="O16" s="666"/>
      <c r="P16" s="258"/>
      <c r="Q16" s="444"/>
      <c r="R16" s="2086"/>
      <c r="S16" s="2086"/>
      <c r="T16" s="2086"/>
      <c r="U16" s="1145"/>
      <c r="V16" s="1145"/>
      <c r="W16" s="1145"/>
      <c r="X16" s="1145"/>
      <c r="Y16" s="1145"/>
      <c r="Z16" s="1145"/>
      <c r="AA16" s="1145"/>
      <c r="AB16" s="1145"/>
      <c r="AC16" s="1145"/>
      <c r="AD16" s="1145"/>
    </row>
    <row r="17" spans="1:40" ht="13.5" customHeight="1">
      <c r="A17" s="78"/>
      <c r="B17" s="154">
        <v>3</v>
      </c>
      <c r="C17" s="392" t="s">
        <v>1074</v>
      </c>
      <c r="D17" s="273"/>
      <c r="E17" s="230"/>
      <c r="F17" s="230"/>
      <c r="G17" s="230"/>
      <c r="H17" s="231"/>
      <c r="I17" s="231"/>
      <c r="J17" s="231"/>
      <c r="K17" s="440"/>
      <c r="L17" s="1243" t="s">
        <v>633</v>
      </c>
      <c r="M17" s="333">
        <f>B17</f>
        <v>3</v>
      </c>
      <c r="N17" s="1373" t="str">
        <f>IF(Q17&lt;&gt;"",ROUND(Q17,0),IF(File8960,ROUND(NonQualAnnuity,0),""))</f>
        <v/>
      </c>
      <c r="O17" s="666"/>
      <c r="P17" s="258"/>
      <c r="Q17" s="444"/>
      <c r="R17" s="2086"/>
      <c r="S17" s="2086"/>
      <c r="T17" s="2086"/>
      <c r="U17" s="1402"/>
      <c r="V17" s="2125"/>
      <c r="W17" s="2125"/>
      <c r="X17" s="2125"/>
      <c r="Y17" s="2125"/>
      <c r="Z17" s="2125"/>
      <c r="AA17" s="2125"/>
      <c r="AB17" s="2125"/>
      <c r="AC17" s="2125"/>
      <c r="AD17" s="2126"/>
    </row>
    <row r="18" spans="1:40" s="983" customFormat="1" ht="13.5" customHeight="1">
      <c r="A18" s="78"/>
      <c r="B18" s="154" t="s">
        <v>116</v>
      </c>
      <c r="C18" s="392" t="s">
        <v>4458</v>
      </c>
      <c r="D18" s="273"/>
      <c r="E18" s="230"/>
      <c r="F18" s="230"/>
      <c r="G18" s="230"/>
      <c r="H18" s="231"/>
      <c r="I18" s="231"/>
      <c r="J18" s="231"/>
      <c r="K18" s="3840"/>
      <c r="L18" s="1243"/>
      <c r="M18" s="684"/>
      <c r="N18" s="2893" t="str">
        <f>IF($P$21,"For Line 4b, enter","")</f>
        <v/>
      </c>
      <c r="O18" s="665"/>
      <c r="P18" s="1348"/>
      <c r="Q18" s="582"/>
      <c r="R18" s="2086"/>
      <c r="S18" s="2086"/>
      <c r="T18" s="2086"/>
      <c r="U18" s="1405"/>
      <c r="V18" s="6166" t="s">
        <v>3193</v>
      </c>
      <c r="W18" s="6166"/>
      <c r="X18" s="6166"/>
      <c r="Y18" s="6166"/>
      <c r="Z18" s="6166"/>
      <c r="AA18" s="6166"/>
      <c r="AB18" s="6166"/>
      <c r="AC18" s="6166"/>
      <c r="AD18" s="1504"/>
      <c r="AF18" s="2595"/>
      <c r="AG18" s="2595"/>
      <c r="AH18" s="2595"/>
      <c r="AI18" s="2595"/>
      <c r="AJ18" s="2595"/>
      <c r="AK18" s="2595"/>
      <c r="AL18" s="2595"/>
      <c r="AM18" s="2595"/>
      <c r="AN18" s="2595"/>
    </row>
    <row r="19" spans="1:40" ht="13.5" customHeight="1">
      <c r="A19" s="78"/>
      <c r="B19" s="155"/>
      <c r="C19" s="392" t="s">
        <v>891</v>
      </c>
      <c r="D19" s="178"/>
      <c r="E19" s="230"/>
      <c r="F19" s="230"/>
      <c r="G19" s="230"/>
      <c r="H19" s="231"/>
      <c r="I19" s="155"/>
      <c r="J19" s="154" t="s">
        <v>299</v>
      </c>
      <c r="K19" s="2374" t="str">
        <f>B18</f>
        <v>4a</v>
      </c>
      <c r="L19" s="1373" t="str">
        <f>IF(Q19&lt;&gt;"",ROUND(Q19,0),IF(File8960,SchE_IncomeLoss,""))</f>
        <v/>
      </c>
      <c r="M19" s="684"/>
      <c r="N19" s="2894" t="str">
        <f>IF($P$21,"net pos. amounts","")</f>
        <v/>
      </c>
      <c r="O19" s="666"/>
      <c r="P19" s="258"/>
      <c r="Q19" s="444"/>
      <c r="R19" s="1185"/>
      <c r="S19" s="1185"/>
      <c r="T19" s="1185"/>
      <c r="U19" s="1405"/>
      <c r="V19" s="6166"/>
      <c r="W19" s="6166"/>
      <c r="X19" s="6166"/>
      <c r="Y19" s="6166"/>
      <c r="Z19" s="6166"/>
      <c r="AA19" s="6166"/>
      <c r="AB19" s="6166"/>
      <c r="AC19" s="6166"/>
      <c r="AD19" s="2127"/>
    </row>
    <row r="20" spans="1:40" s="983" customFormat="1" ht="13.5" customHeight="1">
      <c r="A20" s="78"/>
      <c r="B20" s="154" t="s">
        <v>47</v>
      </c>
      <c r="C20" s="392" t="s">
        <v>3673</v>
      </c>
      <c r="D20" s="273"/>
      <c r="E20" s="230"/>
      <c r="F20" s="230"/>
      <c r="G20" s="230"/>
      <c r="H20" s="231"/>
      <c r="I20" s="231"/>
      <c r="J20" s="231"/>
      <c r="K20" s="3840"/>
      <c r="L20" s="155"/>
      <c r="M20" s="684"/>
      <c r="N20" s="2893" t="str">
        <f>IF($P$21,"as neg. adjustments","")</f>
        <v/>
      </c>
      <c r="O20" s="665"/>
      <c r="P20" s="1348"/>
      <c r="Q20" s="582"/>
      <c r="R20" s="2086"/>
      <c r="S20" s="2086"/>
      <c r="T20" s="2086"/>
      <c r="U20" s="1405"/>
      <c r="V20" s="6166"/>
      <c r="W20" s="6166"/>
      <c r="X20" s="6166"/>
      <c r="Y20" s="6166"/>
      <c r="Z20" s="6166"/>
      <c r="AA20" s="6166"/>
      <c r="AB20" s="6166"/>
      <c r="AC20" s="6166"/>
      <c r="AD20" s="1504"/>
      <c r="AF20" s="2595"/>
      <c r="AG20" s="2595"/>
      <c r="AH20" s="2595"/>
      <c r="AI20" s="2595"/>
      <c r="AJ20" s="2595"/>
      <c r="AK20" s="2595"/>
      <c r="AL20" s="2595"/>
      <c r="AM20" s="2595"/>
      <c r="AN20" s="2595"/>
    </row>
    <row r="21" spans="1:40" ht="13.5" customHeight="1">
      <c r="A21" s="78"/>
      <c r="B21" s="155"/>
      <c r="C21" s="392" t="s">
        <v>3674</v>
      </c>
      <c r="D21" s="178"/>
      <c r="E21" s="230"/>
      <c r="F21" s="230"/>
      <c r="G21" s="230"/>
      <c r="H21" s="231"/>
      <c r="I21" s="155"/>
      <c r="J21" s="154" t="s">
        <v>698</v>
      </c>
      <c r="K21" s="2374" t="str">
        <f>B20</f>
        <v>b</v>
      </c>
      <c r="L21" s="1374"/>
      <c r="M21" s="684"/>
      <c r="N21" s="2894" t="str">
        <f>IF($P$21,"and vice versa.","")</f>
        <v/>
      </c>
      <c r="O21" s="2897"/>
      <c r="P21" s="2896" t="b">
        <f>IF(AND(L21&lt;&gt;"",O21=""),TRUE,FALSE)</f>
        <v>0</v>
      </c>
      <c r="Q21" s="2895" t="str">
        <f>IF(L21&lt;&gt;"","Hide note.","")</f>
        <v/>
      </c>
      <c r="R21" s="1185"/>
      <c r="S21" s="1185"/>
      <c r="T21" s="1185"/>
      <c r="U21" s="1405"/>
      <c r="V21" s="6166"/>
      <c r="W21" s="6166"/>
      <c r="X21" s="6166"/>
      <c r="Y21" s="6166"/>
      <c r="Z21" s="6166"/>
      <c r="AA21" s="6166"/>
      <c r="AB21" s="6166"/>
      <c r="AC21" s="6166"/>
      <c r="AD21" s="1504"/>
    </row>
    <row r="22" spans="1:40" ht="13.5" customHeight="1">
      <c r="A22" s="78"/>
      <c r="B22" s="154" t="s">
        <v>48</v>
      </c>
      <c r="C22" s="392" t="s">
        <v>859</v>
      </c>
      <c r="D22" s="273"/>
      <c r="E22" s="230"/>
      <c r="F22" s="230"/>
      <c r="G22" s="230"/>
      <c r="H22" s="231"/>
      <c r="I22" s="231"/>
      <c r="J22" s="231"/>
      <c r="K22" s="440"/>
      <c r="L22" s="1243" t="s">
        <v>299</v>
      </c>
      <c r="M22" s="333" t="s">
        <v>98</v>
      </c>
      <c r="N22" s="1373" t="str">
        <f>IF(Q22&lt;&gt;"",Q22,IF(File8960,SUM(L19,L21),""))</f>
        <v/>
      </c>
      <c r="O22" s="666"/>
      <c r="P22" s="258"/>
      <c r="Q22" s="444"/>
      <c r="R22" s="2086"/>
      <c r="S22" s="2086"/>
      <c r="T22" s="2086"/>
      <c r="U22" s="1405"/>
      <c r="V22" s="6166"/>
      <c r="W22" s="6166"/>
      <c r="X22" s="6166"/>
      <c r="Y22" s="6166"/>
      <c r="Z22" s="6166"/>
      <c r="AA22" s="6166"/>
      <c r="AB22" s="6166"/>
      <c r="AC22" s="6166"/>
      <c r="AD22" s="1504"/>
    </row>
    <row r="23" spans="1:40" ht="13.5" customHeight="1">
      <c r="A23" s="78"/>
      <c r="B23" s="154" t="s">
        <v>369</v>
      </c>
      <c r="C23" s="392" t="s">
        <v>1076</v>
      </c>
      <c r="D23" s="178"/>
      <c r="E23" s="230"/>
      <c r="F23" s="230"/>
      <c r="G23" s="230"/>
      <c r="H23" s="231"/>
      <c r="I23" s="155"/>
      <c r="J23" s="154" t="s">
        <v>535</v>
      </c>
      <c r="K23" s="333" t="s">
        <v>369</v>
      </c>
      <c r="L23" s="1373" t="str">
        <f>IF(Q23&lt;&gt;"",ROUND(Q23,0),IF(File8960,SUM(CapitalGains,OtherGainsLosses),""))</f>
        <v/>
      </c>
      <c r="M23" s="684"/>
      <c r="N23" s="515"/>
      <c r="O23" s="666"/>
      <c r="P23" s="258"/>
      <c r="Q23" s="444"/>
      <c r="R23" s="1185"/>
      <c r="S23" s="1185"/>
      <c r="T23" s="1185"/>
      <c r="U23" s="1405"/>
      <c r="V23" s="6166"/>
      <c r="W23" s="6166"/>
      <c r="X23" s="6166"/>
      <c r="Y23" s="6166"/>
      <c r="Z23" s="6166"/>
      <c r="AA23" s="6166"/>
      <c r="AB23" s="6166"/>
      <c r="AC23" s="6166"/>
      <c r="AD23" s="1504"/>
    </row>
    <row r="24" spans="1:40" s="983" customFormat="1" ht="13.5" customHeight="1">
      <c r="A24" s="78"/>
      <c r="B24" s="154" t="s">
        <v>47</v>
      </c>
      <c r="C24" s="392" t="s">
        <v>860</v>
      </c>
      <c r="D24" s="273"/>
      <c r="E24" s="230"/>
      <c r="F24" s="230"/>
      <c r="G24" s="230"/>
      <c r="H24" s="231"/>
      <c r="I24" s="231"/>
      <c r="J24" s="231"/>
      <c r="K24" s="3840"/>
      <c r="L24" s="155"/>
      <c r="M24" s="684"/>
      <c r="N24" s="559"/>
      <c r="O24" s="665"/>
      <c r="P24" s="1348"/>
      <c r="Q24" s="558"/>
      <c r="R24" s="2086"/>
      <c r="S24" s="2086"/>
      <c r="T24" s="2086"/>
      <c r="U24" s="1405"/>
      <c r="V24" s="6166"/>
      <c r="W24" s="6166"/>
      <c r="X24" s="6166"/>
      <c r="Y24" s="6166"/>
      <c r="Z24" s="6166"/>
      <c r="AA24" s="6166"/>
      <c r="AB24" s="6166"/>
      <c r="AC24" s="6166"/>
      <c r="AD24" s="1504"/>
      <c r="AF24" s="2595"/>
      <c r="AG24" s="2595"/>
      <c r="AH24" s="2595"/>
      <c r="AI24" s="2595"/>
      <c r="AJ24" s="2595"/>
      <c r="AK24" s="2595"/>
      <c r="AL24" s="2595"/>
      <c r="AM24" s="2595"/>
      <c r="AN24" s="2595"/>
    </row>
    <row r="25" spans="1:40" ht="13.5" customHeight="1">
      <c r="A25" s="78"/>
      <c r="B25" s="155"/>
      <c r="C25" s="392" t="s">
        <v>861</v>
      </c>
      <c r="D25" s="178"/>
      <c r="E25" s="230"/>
      <c r="F25" s="230"/>
      <c r="G25" s="230"/>
      <c r="H25" s="231"/>
      <c r="I25" s="155"/>
      <c r="J25" s="154" t="s">
        <v>3062</v>
      </c>
      <c r="K25" s="333" t="s">
        <v>370</v>
      </c>
      <c r="L25" s="1374"/>
      <c r="M25" s="684"/>
      <c r="N25" s="515"/>
      <c r="O25" s="666"/>
      <c r="P25" s="258"/>
      <c r="Q25" s="558"/>
      <c r="R25" s="1185"/>
      <c r="S25" s="1185"/>
      <c r="T25" s="1185"/>
      <c r="U25" s="1405"/>
      <c r="V25" s="6166"/>
      <c r="W25" s="6166"/>
      <c r="X25" s="6166"/>
      <c r="Y25" s="6166"/>
      <c r="Z25" s="6166"/>
      <c r="AA25" s="6166"/>
      <c r="AB25" s="6166"/>
      <c r="AC25" s="6166"/>
      <c r="AD25" s="2127"/>
    </row>
    <row r="26" spans="1:40" s="983" customFormat="1" ht="13.5" customHeight="1">
      <c r="A26" s="78"/>
      <c r="B26" s="154" t="s">
        <v>48</v>
      </c>
      <c r="C26" s="392" t="s">
        <v>862</v>
      </c>
      <c r="D26" s="273"/>
      <c r="E26" s="230"/>
      <c r="F26" s="230"/>
      <c r="G26" s="230"/>
      <c r="H26" s="231"/>
      <c r="I26" s="231"/>
      <c r="J26" s="231"/>
      <c r="K26" s="3840"/>
      <c r="L26" s="155"/>
      <c r="M26" s="684"/>
      <c r="N26" s="559"/>
      <c r="O26" s="665"/>
      <c r="P26" s="1348"/>
      <c r="Q26" s="558"/>
      <c r="R26" s="2086"/>
      <c r="S26" s="2086"/>
      <c r="T26" s="2086"/>
      <c r="U26" s="1405"/>
      <c r="V26" s="6166"/>
      <c r="W26" s="6166"/>
      <c r="X26" s="6166"/>
      <c r="Y26" s="6166"/>
      <c r="Z26" s="6166"/>
      <c r="AA26" s="6166"/>
      <c r="AB26" s="6166"/>
      <c r="AC26" s="6166"/>
      <c r="AD26" s="1504"/>
      <c r="AF26" s="2595"/>
      <c r="AG26" s="2595"/>
      <c r="AH26" s="2595"/>
      <c r="AI26" s="2595"/>
      <c r="AJ26" s="2595"/>
      <c r="AK26" s="2595"/>
      <c r="AL26" s="2595"/>
      <c r="AM26" s="2595"/>
      <c r="AN26" s="2595"/>
    </row>
    <row r="27" spans="1:40" ht="13.5" customHeight="1">
      <c r="A27" s="78"/>
      <c r="B27" s="155"/>
      <c r="C27" s="392" t="s">
        <v>1077</v>
      </c>
      <c r="D27" s="178"/>
      <c r="E27" s="230"/>
      <c r="F27" s="230"/>
      <c r="G27" s="230"/>
      <c r="H27" s="231"/>
      <c r="I27" s="155"/>
      <c r="J27" s="154" t="s">
        <v>3065</v>
      </c>
      <c r="K27" s="333" t="s">
        <v>943</v>
      </c>
      <c r="L27" s="1374"/>
      <c r="M27" s="684"/>
      <c r="N27" s="515"/>
      <c r="O27" s="666"/>
      <c r="P27" s="258"/>
      <c r="Q27" s="558"/>
      <c r="R27" s="1185"/>
      <c r="S27" s="1185"/>
      <c r="T27" s="1185"/>
      <c r="U27" s="1405"/>
      <c r="V27" s="6166"/>
      <c r="W27" s="6166"/>
      <c r="X27" s="6166"/>
      <c r="Y27" s="6166"/>
      <c r="Z27" s="6166"/>
      <c r="AA27" s="6166"/>
      <c r="AB27" s="6166"/>
      <c r="AC27" s="6166"/>
      <c r="AD27" s="1504"/>
    </row>
    <row r="28" spans="1:40" ht="13.5" customHeight="1">
      <c r="A28" s="78"/>
      <c r="B28" s="154" t="s">
        <v>92</v>
      </c>
      <c r="C28" s="392" t="s">
        <v>863</v>
      </c>
      <c r="D28" s="273"/>
      <c r="E28" s="230"/>
      <c r="F28" s="230"/>
      <c r="G28" s="230"/>
      <c r="H28" s="231"/>
      <c r="I28" s="231"/>
      <c r="J28" s="231"/>
      <c r="K28" s="440"/>
      <c r="L28" s="1243" t="s">
        <v>633</v>
      </c>
      <c r="M28" s="333" t="s">
        <v>867</v>
      </c>
      <c r="N28" s="1373" t="str">
        <f>IF(Q28&lt;&gt;"",Q28,IF(File8960,SUM(L23,L25,L27),""))</f>
        <v/>
      </c>
      <c r="O28" s="666"/>
      <c r="P28" s="258"/>
      <c r="Q28" s="444"/>
      <c r="R28" s="2086"/>
      <c r="S28" s="2086"/>
      <c r="T28" s="2086"/>
      <c r="U28" s="1405"/>
      <c r="V28" s="6166"/>
      <c r="W28" s="6166"/>
      <c r="X28" s="6166"/>
      <c r="Y28" s="6166"/>
      <c r="Z28" s="6166"/>
      <c r="AA28" s="6166"/>
      <c r="AB28" s="6166"/>
      <c r="AC28" s="6166"/>
      <c r="AD28" s="1504"/>
    </row>
    <row r="29" spans="1:40" ht="13.5" customHeight="1">
      <c r="A29" s="78"/>
      <c r="B29" s="154">
        <v>6</v>
      </c>
      <c r="C29" s="392" t="s">
        <v>864</v>
      </c>
      <c r="D29" s="273"/>
      <c r="E29" s="230"/>
      <c r="F29" s="230"/>
      <c r="G29" s="230"/>
      <c r="H29" s="231"/>
      <c r="I29" s="231"/>
      <c r="J29" s="231"/>
      <c r="K29" s="440"/>
      <c r="L29" s="1243" t="s">
        <v>629</v>
      </c>
      <c r="M29" s="333">
        <f>B29</f>
        <v>6</v>
      </c>
      <c r="N29" s="1374"/>
      <c r="O29" s="666"/>
      <c r="P29" s="258"/>
      <c r="Q29" s="558"/>
      <c r="R29" s="2086"/>
      <c r="S29" s="2086"/>
      <c r="T29" s="2086"/>
      <c r="U29" s="1405"/>
      <c r="V29" s="6166"/>
      <c r="W29" s="6166"/>
      <c r="X29" s="6166"/>
      <c r="Y29" s="6166"/>
      <c r="Z29" s="6166"/>
      <c r="AA29" s="6166"/>
      <c r="AB29" s="6166"/>
      <c r="AC29" s="6166"/>
      <c r="AD29" s="1504"/>
    </row>
    <row r="30" spans="1:40" ht="13.5" customHeight="1">
      <c r="A30" s="78"/>
      <c r="B30" s="154">
        <v>7</v>
      </c>
      <c r="C30" s="392" t="s">
        <v>865</v>
      </c>
      <c r="D30" s="273"/>
      <c r="E30" s="230"/>
      <c r="F30" s="230"/>
      <c r="G30" s="230"/>
      <c r="H30" s="231"/>
      <c r="I30" s="231"/>
      <c r="J30" s="231"/>
      <c r="K30" s="440"/>
      <c r="L30" s="1243" t="s">
        <v>276</v>
      </c>
      <c r="M30" s="333">
        <f>B30</f>
        <v>7</v>
      </c>
      <c r="N30" s="1374"/>
      <c r="O30" s="666"/>
      <c r="P30" s="258"/>
      <c r="Q30" s="558"/>
      <c r="R30" s="2086"/>
      <c r="S30" s="2086"/>
      <c r="T30" s="2086"/>
      <c r="U30" s="1405"/>
      <c r="V30" s="3512"/>
      <c r="W30" s="3512"/>
      <c r="X30" s="3944" t="s">
        <v>768</v>
      </c>
      <c r="Y30" s="3512"/>
      <c r="Z30" s="3993" t="str">
        <f>IF(SchA_Filed,"","Line 9b used only when Sch. A is used.")</f>
        <v>Line 9b used only when Sch. A is used.</v>
      </c>
      <c r="AA30" s="3512"/>
      <c r="AB30" s="3992" t="s">
        <v>1715</v>
      </c>
      <c r="AC30" s="3512"/>
      <c r="AD30" s="1504"/>
    </row>
    <row r="31" spans="1:40" ht="13.5" customHeight="1">
      <c r="A31" s="78"/>
      <c r="B31" s="154">
        <v>8</v>
      </c>
      <c r="C31" s="392" t="s">
        <v>866</v>
      </c>
      <c r="D31" s="273"/>
      <c r="E31" s="230"/>
      <c r="F31" s="230"/>
      <c r="G31" s="230"/>
      <c r="H31" s="231"/>
      <c r="I31" s="231"/>
      <c r="J31" s="231"/>
      <c r="K31" s="440"/>
      <c r="L31" s="1243" t="s">
        <v>571</v>
      </c>
      <c r="M31" s="333">
        <f>B31</f>
        <v>8</v>
      </c>
      <c r="N31" s="1373" t="str">
        <f>IF(Q31&lt;&gt;"",Q31,IF(File8960,SUM(N15,N16,N17,N22,N28,N29,N30),""))</f>
        <v/>
      </c>
      <c r="O31" s="666"/>
      <c r="P31" s="258"/>
      <c r="Q31" s="444"/>
      <c r="R31" s="2086"/>
      <c r="S31" s="2086"/>
      <c r="T31" s="2086"/>
      <c r="U31" s="1405"/>
      <c r="V31" s="3512"/>
      <c r="W31" s="3512"/>
      <c r="X31" s="3943" t="s">
        <v>3171</v>
      </c>
      <c r="Y31" s="3512"/>
      <c r="Z31" s="3951" t="str">
        <f>IF(SchA_Filed,Wages,"")</f>
        <v/>
      </c>
      <c r="AA31" s="3512"/>
      <c r="AB31" s="6166" t="s">
        <v>4701</v>
      </c>
      <c r="AC31" s="6167"/>
      <c r="AD31" s="1504"/>
    </row>
    <row r="32" spans="1:40" s="983" customFormat="1" ht="15.75" customHeight="1">
      <c r="A32" s="78"/>
      <c r="B32" s="4553" t="s">
        <v>118</v>
      </c>
      <c r="C32" s="8951" t="s">
        <v>868</v>
      </c>
      <c r="D32" s="8952"/>
      <c r="E32" s="8953"/>
      <c r="F32" s="8953"/>
      <c r="G32" s="8953"/>
      <c r="H32" s="8953"/>
      <c r="I32" s="8953"/>
      <c r="J32" s="8953"/>
      <c r="K32" s="8953"/>
      <c r="L32" s="8953"/>
      <c r="M32" s="8953"/>
      <c r="N32" s="8953"/>
      <c r="O32" s="667"/>
      <c r="P32" s="573"/>
      <c r="Q32" s="558"/>
      <c r="R32" s="3893"/>
      <c r="S32" s="3894"/>
      <c r="T32" s="3894"/>
      <c r="U32" s="1405"/>
      <c r="V32" s="3512"/>
      <c r="W32" s="3512"/>
      <c r="X32" s="3943" t="s">
        <v>3172</v>
      </c>
      <c r="Y32" s="3512"/>
      <c r="Z32" s="3951" t="str">
        <f>IF(SchA_Filed,TaxableInterest,"")</f>
        <v/>
      </c>
      <c r="AA32" s="3512"/>
      <c r="AB32" s="6167"/>
      <c r="AC32" s="6167"/>
      <c r="AD32" s="1504"/>
      <c r="AF32" s="2595"/>
      <c r="AG32" s="2595"/>
      <c r="AH32" s="2595"/>
      <c r="AI32" s="2595"/>
      <c r="AJ32" s="2595"/>
      <c r="AK32" s="2595"/>
      <c r="AL32" s="2595"/>
      <c r="AM32" s="2595"/>
      <c r="AN32" s="2595"/>
    </row>
    <row r="33" spans="1:40" ht="13.5" customHeight="1">
      <c r="A33" s="78"/>
      <c r="B33" s="154" t="s">
        <v>285</v>
      </c>
      <c r="C33" s="392" t="s">
        <v>869</v>
      </c>
      <c r="D33" s="178"/>
      <c r="E33" s="230"/>
      <c r="F33" s="230"/>
      <c r="G33" s="230"/>
      <c r="H33" s="231"/>
      <c r="I33" s="155"/>
      <c r="J33" s="154" t="s">
        <v>560</v>
      </c>
      <c r="K33" s="2374" t="str">
        <f>B33</f>
        <v>9a</v>
      </c>
      <c r="L33" s="1374"/>
      <c r="M33" s="684"/>
      <c r="N33" s="1398"/>
      <c r="O33" s="666"/>
      <c r="P33" s="258"/>
      <c r="Q33" s="558"/>
      <c r="R33" s="1185"/>
      <c r="S33" s="1185"/>
      <c r="T33" s="1185"/>
      <c r="U33" s="1405"/>
      <c r="V33" s="3512"/>
      <c r="W33" s="3512"/>
      <c r="X33" s="3943" t="s">
        <v>3173</v>
      </c>
      <c r="Y33" s="3512"/>
      <c r="Z33" s="3951" t="str">
        <f>IF(SchA_Filed,OrdinaryDividends,"")</f>
        <v/>
      </c>
      <c r="AA33" s="3512"/>
      <c r="AB33" s="6167"/>
      <c r="AC33" s="6167"/>
      <c r="AD33" s="1504"/>
    </row>
    <row r="34" spans="1:40" ht="13.5" customHeight="1">
      <c r="A34" s="78"/>
      <c r="B34" s="154" t="s">
        <v>47</v>
      </c>
      <c r="C34" s="392" t="s">
        <v>2024</v>
      </c>
      <c r="D34" s="178"/>
      <c r="E34" s="230"/>
      <c r="F34" s="230"/>
      <c r="G34" s="230"/>
      <c r="H34" s="231"/>
      <c r="I34" s="155"/>
      <c r="J34" s="154" t="s">
        <v>529</v>
      </c>
      <c r="K34" s="333" t="s">
        <v>286</v>
      </c>
      <c r="L34" s="1373" t="str">
        <f>IF(Q34&lt;&gt;"",ROUND(Q34,0),IF(AND(SchA_Filed,File8960),Z45,""))</f>
        <v/>
      </c>
      <c r="M34" s="684"/>
      <c r="N34" s="515"/>
      <c r="O34" s="666"/>
      <c r="P34" s="258"/>
      <c r="Q34" s="444"/>
      <c r="R34" s="1185"/>
      <c r="S34" s="1185"/>
      <c r="T34" s="1185"/>
      <c r="U34" s="1405"/>
      <c r="V34" s="3512"/>
      <c r="W34" s="3512"/>
      <c r="X34" s="3943" t="s">
        <v>4262</v>
      </c>
      <c r="Y34" s="3512"/>
      <c r="Z34" s="3951" t="str">
        <f>IF(SchA_Filed,CapitalGains,"")</f>
        <v/>
      </c>
      <c r="AA34" s="3512"/>
      <c r="AB34" s="6167"/>
      <c r="AC34" s="6167"/>
      <c r="AD34" s="1504"/>
    </row>
    <row r="35" spans="1:40" ht="13.5" customHeight="1">
      <c r="A35" s="78"/>
      <c r="B35" s="154" t="s">
        <v>48</v>
      </c>
      <c r="C35" s="392" t="s">
        <v>871</v>
      </c>
      <c r="D35" s="178"/>
      <c r="E35" s="230"/>
      <c r="F35" s="230"/>
      <c r="G35" s="230"/>
      <c r="H35" s="231"/>
      <c r="I35" s="155"/>
      <c r="J35" s="154" t="s">
        <v>529</v>
      </c>
      <c r="K35" s="333" t="s">
        <v>873</v>
      </c>
      <c r="L35" s="1374"/>
      <c r="M35" s="684"/>
      <c r="N35" s="515"/>
      <c r="O35" s="666"/>
      <c r="P35" s="258"/>
      <c r="Q35" s="558"/>
      <c r="R35" s="1185"/>
      <c r="S35" s="1185"/>
      <c r="T35" s="1185"/>
      <c r="U35" s="1405"/>
      <c r="V35" s="3512"/>
      <c r="W35" s="3512"/>
      <c r="X35" s="3943" t="s">
        <v>3179</v>
      </c>
      <c r="Y35" s="3512"/>
      <c r="Z35" s="3951" t="str">
        <f>IF(SchA_Filed,NonQualAnnuity,"")</f>
        <v/>
      </c>
      <c r="AA35" s="3512"/>
      <c r="AB35" s="6167"/>
      <c r="AC35" s="6167"/>
      <c r="AD35" s="1504"/>
    </row>
    <row r="36" spans="1:40" ht="13.5" customHeight="1">
      <c r="A36" s="78"/>
      <c r="B36" s="154" t="s">
        <v>92</v>
      </c>
      <c r="C36" s="392" t="s">
        <v>874</v>
      </c>
      <c r="D36" s="273"/>
      <c r="E36" s="230"/>
      <c r="F36" s="230"/>
      <c r="G36" s="230"/>
      <c r="H36" s="231"/>
      <c r="I36" s="231"/>
      <c r="J36" s="231"/>
      <c r="K36" s="440"/>
      <c r="L36" s="1243" t="s">
        <v>299</v>
      </c>
      <c r="M36" s="333" t="s">
        <v>872</v>
      </c>
      <c r="N36" s="1373" t="str">
        <f>IF(Q36&lt;&gt;"",Q36,IF(File8960,SUM(L33,L34,L35),""))</f>
        <v/>
      </c>
      <c r="O36" s="666"/>
      <c r="P36" s="258"/>
      <c r="Q36" s="444"/>
      <c r="R36" s="2086"/>
      <c r="S36" s="2086"/>
      <c r="T36" s="2086"/>
      <c r="U36" s="1405"/>
      <c r="V36" s="3512"/>
      <c r="W36" s="3512"/>
      <c r="X36" s="3943" t="s">
        <v>4263</v>
      </c>
      <c r="Y36" s="3512"/>
      <c r="Z36" s="3951" t="str">
        <f>IF(SchA_Filed,Adj_Gross_Inc,"")</f>
        <v/>
      </c>
      <c r="AA36" s="3945" t="s">
        <v>143</v>
      </c>
      <c r="AB36" s="6167"/>
      <c r="AC36" s="6167"/>
      <c r="AD36" s="1504"/>
      <c r="AE36" s="1357"/>
    </row>
    <row r="37" spans="1:40" ht="13.5" customHeight="1">
      <c r="A37" s="78"/>
      <c r="B37" s="154">
        <v>10</v>
      </c>
      <c r="C37" s="392" t="s">
        <v>875</v>
      </c>
      <c r="D37" s="273"/>
      <c r="E37" s="230"/>
      <c r="F37" s="230"/>
      <c r="G37" s="230"/>
      <c r="H37" s="231"/>
      <c r="I37" s="231"/>
      <c r="J37" s="231"/>
      <c r="K37" s="440"/>
      <c r="L37" s="1243" t="s">
        <v>2126</v>
      </c>
      <c r="M37" s="333">
        <f>B37</f>
        <v>10</v>
      </c>
      <c r="N37" s="1374"/>
      <c r="O37" s="666"/>
      <c r="P37" s="258"/>
      <c r="Q37" s="558"/>
      <c r="R37" s="2086"/>
      <c r="S37" s="2086"/>
      <c r="T37" s="2086"/>
      <c r="U37" s="1405"/>
      <c r="V37" s="3512"/>
      <c r="W37" s="3512"/>
      <c r="X37" s="3943"/>
      <c r="Y37" s="3512"/>
      <c r="Z37" s="3946"/>
      <c r="AA37" s="3512"/>
      <c r="AB37" s="6167"/>
      <c r="AC37" s="6167"/>
      <c r="AD37" s="1504"/>
      <c r="AE37" s="1357"/>
    </row>
    <row r="38" spans="1:40" ht="13.5" customHeight="1">
      <c r="A38" s="78"/>
      <c r="B38" s="154">
        <v>11</v>
      </c>
      <c r="C38" s="392" t="s">
        <v>876</v>
      </c>
      <c r="D38" s="273"/>
      <c r="E38" s="230"/>
      <c r="F38" s="230"/>
      <c r="G38" s="230"/>
      <c r="H38" s="231"/>
      <c r="I38" s="231"/>
      <c r="J38" s="231"/>
      <c r="K38" s="440"/>
      <c r="L38" s="1243" t="s">
        <v>802</v>
      </c>
      <c r="M38" s="333">
        <f>B38</f>
        <v>11</v>
      </c>
      <c r="N38" s="1373" t="str">
        <f>IF(Q38&lt;&gt;"",Q38,IF(File8960,SUM(N36,N37),""))</f>
        <v/>
      </c>
      <c r="O38" s="666"/>
      <c r="P38" s="258"/>
      <c r="Q38" s="444"/>
      <c r="R38" s="2086"/>
      <c r="S38" s="2086"/>
      <c r="T38" s="2086"/>
      <c r="U38" s="1405"/>
      <c r="V38" s="3512"/>
      <c r="W38" s="3512"/>
      <c r="X38" s="3944" t="s">
        <v>3174</v>
      </c>
      <c r="Y38" s="3512"/>
      <c r="Z38" s="3946"/>
      <c r="AA38" s="3512"/>
      <c r="AB38" s="6167"/>
      <c r="AC38" s="6167"/>
      <c r="AD38" s="1504"/>
      <c r="AE38" s="1357"/>
    </row>
    <row r="39" spans="1:40" s="983" customFormat="1" ht="15.75" customHeight="1">
      <c r="A39" s="78"/>
      <c r="B39" s="4553" t="s">
        <v>319</v>
      </c>
      <c r="C39" s="8951" t="s">
        <v>877</v>
      </c>
      <c r="D39" s="8952"/>
      <c r="E39" s="8953"/>
      <c r="F39" s="8953"/>
      <c r="G39" s="8953"/>
      <c r="H39" s="8953"/>
      <c r="I39" s="8953"/>
      <c r="J39" s="8953"/>
      <c r="K39" s="8953"/>
      <c r="L39" s="8953"/>
      <c r="M39" s="8953"/>
      <c r="N39" s="8953"/>
      <c r="O39" s="667"/>
      <c r="P39" s="573"/>
      <c r="Q39" s="558"/>
      <c r="R39" s="3893"/>
      <c r="S39" s="3894"/>
      <c r="T39" s="3894"/>
      <c r="U39" s="1405"/>
      <c r="V39" s="3512"/>
      <c r="W39" s="3512"/>
      <c r="X39" s="3947" t="s">
        <v>3175</v>
      </c>
      <c r="Y39" s="3512"/>
      <c r="Z39" s="3951" t="str">
        <f>IF(SchA_Filed,StateLocalTaxesPaid,"")</f>
        <v/>
      </c>
      <c r="AA39" s="3945" t="s">
        <v>288</v>
      </c>
      <c r="AB39" s="6167"/>
      <c r="AC39" s="6167"/>
      <c r="AD39" s="1504"/>
      <c r="AE39" s="3"/>
      <c r="AF39" s="2595"/>
      <c r="AG39" s="2595"/>
      <c r="AH39" s="2595"/>
      <c r="AI39" s="2595"/>
      <c r="AJ39" s="2595"/>
      <c r="AK39" s="2595"/>
      <c r="AL39" s="2595"/>
      <c r="AM39" s="2595"/>
      <c r="AN39" s="2595"/>
    </row>
    <row r="40" spans="1:40" s="983" customFormat="1" ht="13.5" customHeight="1">
      <c r="A40" s="78"/>
      <c r="B40" s="154">
        <v>12</v>
      </c>
      <c r="C40" s="392" t="s">
        <v>899</v>
      </c>
      <c r="D40" s="273"/>
      <c r="E40" s="230"/>
      <c r="F40" s="230"/>
      <c r="G40" s="230"/>
      <c r="H40" s="231"/>
      <c r="I40" s="231"/>
      <c r="J40" s="231"/>
      <c r="K40" s="440"/>
      <c r="L40" s="155"/>
      <c r="M40" s="225"/>
      <c r="N40" s="1392"/>
      <c r="O40" s="665"/>
      <c r="P40" s="1348"/>
      <c r="Q40" s="558"/>
      <c r="R40" s="2086"/>
      <c r="S40" s="2086"/>
      <c r="T40" s="2086"/>
      <c r="U40" s="1405"/>
      <c r="V40" s="3512"/>
      <c r="W40" s="3512"/>
      <c r="X40" s="3943"/>
      <c r="Y40" s="3512"/>
      <c r="Z40" s="3946"/>
      <c r="AA40" s="3512"/>
      <c r="AB40" s="6167"/>
      <c r="AC40" s="6167"/>
      <c r="AD40" s="1504"/>
      <c r="AE40" s="3"/>
      <c r="AF40" s="2595"/>
      <c r="AG40" s="2595"/>
      <c r="AH40" s="2595"/>
      <c r="AI40" s="2595"/>
      <c r="AJ40" s="2595"/>
      <c r="AK40" s="2595"/>
      <c r="AL40" s="2595"/>
      <c r="AM40" s="2595"/>
      <c r="AN40" s="2595"/>
    </row>
    <row r="41" spans="1:40" ht="13.5" customHeight="1">
      <c r="A41" s="78"/>
      <c r="B41" s="154"/>
      <c r="C41" s="392" t="s">
        <v>900</v>
      </c>
      <c r="D41" s="178"/>
      <c r="E41" s="230"/>
      <c r="F41" s="230"/>
      <c r="G41" s="230"/>
      <c r="H41" s="231"/>
      <c r="I41" s="231"/>
      <c r="J41" s="231"/>
      <c r="K41" s="440"/>
      <c r="L41" s="1243" t="s">
        <v>157</v>
      </c>
      <c r="M41" s="590">
        <f>B40</f>
        <v>12</v>
      </c>
      <c r="N41" s="1373" t="str">
        <f>IF(Q41&lt;&gt;"",ROUND(Q41,0),IF(File8960,MAX(0,SUM(N31,-N38)),""))</f>
        <v/>
      </c>
      <c r="O41" s="666"/>
      <c r="P41" s="259"/>
      <c r="Q41" s="444"/>
      <c r="R41" s="2086"/>
      <c r="S41" s="2660"/>
      <c r="T41" s="2660"/>
      <c r="U41" s="1405"/>
      <c r="V41" s="3512"/>
      <c r="W41" s="3512"/>
      <c r="X41" s="3944" t="s">
        <v>2912</v>
      </c>
      <c r="Y41" s="3512"/>
      <c r="Z41" s="3946"/>
      <c r="AA41" s="3512"/>
      <c r="AB41" s="6167"/>
      <c r="AC41" s="6167"/>
      <c r="AD41" s="1504"/>
      <c r="AE41" s="1357"/>
    </row>
    <row r="42" spans="1:40" ht="13.5" customHeight="1">
      <c r="A42" s="78"/>
      <c r="B42" s="154"/>
      <c r="C42" s="3843" t="s">
        <v>878</v>
      </c>
      <c r="D42" s="178"/>
      <c r="E42" s="230"/>
      <c r="F42" s="230"/>
      <c r="G42" s="230"/>
      <c r="H42" s="231"/>
      <c r="I42" s="231"/>
      <c r="J42" s="231"/>
      <c r="K42" s="440"/>
      <c r="L42" s="1349"/>
      <c r="M42" s="684"/>
      <c r="N42" s="1427">
        <v>250000</v>
      </c>
      <c r="O42" s="666"/>
      <c r="P42" s="259"/>
      <c r="Q42" s="558"/>
      <c r="R42" s="2086"/>
      <c r="S42" s="2660"/>
      <c r="T42" s="2660"/>
      <c r="U42" s="1405"/>
      <c r="V42" s="3512"/>
      <c r="W42" s="3512"/>
      <c r="X42" s="3947" t="s">
        <v>3176</v>
      </c>
      <c r="Y42" s="3512"/>
      <c r="Z42" s="3951" t="str">
        <f>IF(SchA_Filed,N31,"")</f>
        <v/>
      </c>
      <c r="AA42" s="3945" t="s">
        <v>144</v>
      </c>
      <c r="AB42" s="6167"/>
      <c r="AC42" s="6167"/>
      <c r="AD42" s="1504"/>
      <c r="AE42" s="1357"/>
    </row>
    <row r="43" spans="1:40" ht="13.5" customHeight="1">
      <c r="A43" s="78"/>
      <c r="B43" s="154">
        <v>13</v>
      </c>
      <c r="C43" s="392" t="s">
        <v>879</v>
      </c>
      <c r="D43" s="178"/>
      <c r="E43" s="230"/>
      <c r="F43" s="230"/>
      <c r="G43" s="230"/>
      <c r="H43" s="231"/>
      <c r="I43" s="155"/>
      <c r="J43" s="154" t="s">
        <v>560</v>
      </c>
      <c r="K43" s="2374">
        <f>B43</f>
        <v>13</v>
      </c>
      <c r="L43" s="1373" t="str">
        <f>IF(Q43&lt;&gt;"",ROUND(Q43,0),IF(File8960,ModAdjGrossInc,""))</f>
        <v/>
      </c>
      <c r="M43" s="684"/>
      <c r="N43" s="1428">
        <v>125000</v>
      </c>
      <c r="O43" s="666"/>
      <c r="P43" s="258"/>
      <c r="Q43" s="444"/>
      <c r="R43" s="1185"/>
      <c r="S43" s="1185"/>
      <c r="T43" s="1185"/>
      <c r="U43" s="1405"/>
      <c r="V43" s="3512"/>
      <c r="W43" s="3512"/>
      <c r="X43" s="3512"/>
      <c r="Y43" s="3512"/>
      <c r="Z43" s="3512"/>
      <c r="AA43" s="3512"/>
      <c r="AB43" s="6167"/>
      <c r="AC43" s="6167"/>
      <c r="AD43" s="1504"/>
      <c r="AE43" s="1357"/>
    </row>
    <row r="44" spans="1:40" ht="13.5" customHeight="1">
      <c r="A44" s="78"/>
      <c r="B44" s="154">
        <v>14</v>
      </c>
      <c r="C44" s="392" t="s">
        <v>880</v>
      </c>
      <c r="D44" s="178"/>
      <c r="E44" s="230"/>
      <c r="F44" s="230"/>
      <c r="G44" s="230"/>
      <c r="H44" s="231"/>
      <c r="I44" s="155"/>
      <c r="J44" s="154" t="s">
        <v>560</v>
      </c>
      <c r="K44" s="2374">
        <f>B44</f>
        <v>14</v>
      </c>
      <c r="L44" s="1373" t="str">
        <f>IF(N45="---","Filing status?",IF(File8960,N45,""))</f>
        <v>Filing status?</v>
      </c>
      <c r="M44" s="684"/>
      <c r="N44" s="1428">
        <v>200000</v>
      </c>
      <c r="O44" s="666"/>
      <c r="P44" s="258"/>
      <c r="Q44" s="558"/>
      <c r="R44" s="1185"/>
      <c r="S44" s="1185"/>
      <c r="T44" s="1185"/>
      <c r="U44" s="1405"/>
      <c r="V44" s="3512"/>
      <c r="W44" s="3512"/>
      <c r="X44" s="3944" t="s">
        <v>2912</v>
      </c>
      <c r="Y44" s="3512"/>
      <c r="Z44" s="3512"/>
      <c r="AA44" s="3512"/>
      <c r="AB44" s="6167"/>
      <c r="AC44" s="6167"/>
      <c r="AD44" s="1504"/>
      <c r="AE44" s="1357"/>
    </row>
    <row r="45" spans="1:40" ht="13.5" customHeight="1">
      <c r="A45" s="78"/>
      <c r="B45" s="154">
        <v>15</v>
      </c>
      <c r="C45" s="392" t="s">
        <v>881</v>
      </c>
      <c r="D45" s="178"/>
      <c r="E45" s="230"/>
      <c r="F45" s="230"/>
      <c r="G45" s="230"/>
      <c r="H45" s="231"/>
      <c r="I45" s="155"/>
      <c r="J45" s="154" t="s">
        <v>629</v>
      </c>
      <c r="K45" s="2374">
        <f>B45</f>
        <v>15</v>
      </c>
      <c r="L45" s="1373" t="str">
        <f>IF(N45="---","",IF(File8960,MAX(0,SUM(L43,-L44)),""))</f>
        <v/>
      </c>
      <c r="M45" s="684"/>
      <c r="N45" s="1428" t="str">
        <f>IF(OR(File_Marr_Joint&lt;&gt;"",File_Qual_Widow&lt;&gt;""),N42,IF(File_Marr_Sep&lt;&gt;"",N43,IF(OR(File_Single&lt;&gt;"",File_Head&lt;&gt;""),N44,"---")))</f>
        <v>---</v>
      </c>
      <c r="O45" s="666"/>
      <c r="P45" s="258"/>
      <c r="Q45" s="558"/>
      <c r="R45" s="1185"/>
      <c r="S45" s="1185"/>
      <c r="T45" s="1185"/>
      <c r="U45" s="1405"/>
      <c r="V45" s="3512"/>
      <c r="W45" s="3512"/>
      <c r="X45" s="3943" t="s">
        <v>3177</v>
      </c>
      <c r="Y45" s="3512"/>
      <c r="Z45" s="3952" t="str">
        <f>IF(NOT(SchA_Filed),"",IF(ISERROR(Z39*(Z42/Z36)),"---",ROUND(Z39*(Z42/Z36),0)))</f>
        <v/>
      </c>
      <c r="AA45" s="3945" t="s">
        <v>3178</v>
      </c>
      <c r="AB45" s="3512"/>
      <c r="AC45" s="3512"/>
      <c r="AD45" s="1504"/>
      <c r="AE45" s="1357"/>
    </row>
    <row r="46" spans="1:40" ht="13.5" customHeight="1">
      <c r="A46" s="78"/>
      <c r="B46" s="154">
        <v>16</v>
      </c>
      <c r="C46" s="392" t="s">
        <v>882</v>
      </c>
      <c r="D46" s="273"/>
      <c r="E46" s="230"/>
      <c r="F46" s="230"/>
      <c r="G46" s="230"/>
      <c r="H46" s="231"/>
      <c r="I46" s="231"/>
      <c r="J46" s="231"/>
      <c r="K46" s="440"/>
      <c r="L46" s="1243" t="s">
        <v>428</v>
      </c>
      <c r="M46" s="333">
        <f>B46</f>
        <v>16</v>
      </c>
      <c r="N46" s="1373" t="str">
        <f>IF(N45="---","",IF(Q46&lt;&gt;"",ROUND(Q46,0),IF(File8960,MIN(N41,L45),"")))</f>
        <v/>
      </c>
      <c r="O46" s="666"/>
      <c r="P46" s="258"/>
      <c r="Q46" s="444"/>
      <c r="R46" s="2086"/>
      <c r="S46" s="4285" t="str">
        <f>IF(AND(F8960_Tax&lt;&gt;"",F8960_Tax&gt;0),"NOTE:","")</f>
        <v/>
      </c>
      <c r="T46" s="2086"/>
      <c r="U46" s="1405"/>
      <c r="V46" s="3512"/>
      <c r="W46" s="3512"/>
      <c r="X46" s="3512"/>
      <c r="Y46" s="3512"/>
      <c r="Z46" s="3512"/>
      <c r="AA46" s="3512"/>
      <c r="AB46" s="3512"/>
      <c r="AC46" s="3512"/>
      <c r="AD46" s="1504"/>
      <c r="AE46" s="1357"/>
    </row>
    <row r="47" spans="1:40" s="983" customFormat="1" ht="13.5" customHeight="1" thickBot="1">
      <c r="A47" s="78"/>
      <c r="B47" s="154">
        <v>17</v>
      </c>
      <c r="C47" s="392" t="str">
        <f>"Net investment income tax for individuals. Multiply line 16 by "&amp;TEXT(N47,"0.0%")&amp;" ("&amp;TEXT(N47,"0.000")&amp;")."</f>
        <v>Net investment income tax for individuals. Multiply line 16 by 3.8% (0.038).</v>
      </c>
      <c r="D47" s="273"/>
      <c r="E47" s="230"/>
      <c r="F47" s="230"/>
      <c r="G47" s="230"/>
      <c r="H47" s="231"/>
      <c r="I47" s="231"/>
      <c r="J47" s="231"/>
      <c r="K47" s="440"/>
      <c r="L47" s="155"/>
      <c r="M47" s="590"/>
      <c r="N47" s="1392">
        <v>3.7999999999999999E-2</v>
      </c>
      <c r="O47" s="665"/>
      <c r="P47" s="1348"/>
      <c r="Q47" s="558"/>
      <c r="R47" s="2086"/>
      <c r="S47" s="4285" t="str">
        <f>IF(AND(F8960_Tax&lt;&gt;"",F8960_Tax&gt;0),"The amount on","")</f>
        <v/>
      </c>
      <c r="T47" s="2086"/>
      <c r="U47" s="1413"/>
      <c r="V47" s="2128"/>
      <c r="W47" s="2128"/>
      <c r="X47" s="2128"/>
      <c r="Y47" s="2128"/>
      <c r="Z47" s="2128"/>
      <c r="AA47" s="2128"/>
      <c r="AB47" s="2128"/>
      <c r="AC47" s="2128"/>
      <c r="AD47" s="2129"/>
      <c r="AE47" s="3"/>
      <c r="AF47" s="2595"/>
      <c r="AG47" s="2595"/>
      <c r="AH47" s="2595"/>
      <c r="AI47" s="2595"/>
      <c r="AJ47" s="2595"/>
      <c r="AK47" s="2595"/>
      <c r="AL47" s="2595"/>
      <c r="AM47" s="2595"/>
      <c r="AN47" s="2595"/>
    </row>
    <row r="48" spans="1:40" ht="13.5" customHeight="1" thickBot="1">
      <c r="A48" s="78"/>
      <c r="B48" s="154"/>
      <c r="C48" s="4116" t="s">
        <v>5478</v>
      </c>
      <c r="D48" s="178"/>
      <c r="E48" s="230"/>
      <c r="F48" s="230"/>
      <c r="G48" s="230"/>
      <c r="H48" s="5741" t="str">
        <f>IF(O48="","(For Form 1040 filers, Schedule 2, line 12.)","")</f>
        <v>(For Form 1040 filers, Schedule 2, line 12.)</v>
      </c>
      <c r="I48" s="231"/>
      <c r="J48" s="231"/>
      <c r="K48" s="440"/>
      <c r="L48" s="1243"/>
      <c r="M48" s="590">
        <f>B47</f>
        <v>17</v>
      </c>
      <c r="N48" s="1373" t="str">
        <f>IF(N45="---","",IF(Q48&lt;&gt;"",ROUND(Q48,0),IF(File8960,ROUND(N46*N47,0),"")))</f>
        <v/>
      </c>
      <c r="O48" s="5742"/>
      <c r="P48" s="9820" t="s">
        <v>5479</v>
      </c>
      <c r="Q48" s="444"/>
      <c r="R48" s="2086"/>
      <c r="S48" s="4286" t="str">
        <f>IF(AND(F8960_Tax&lt;&gt;"",F8960_Tax&gt;0),"Line 17 is entered","")</f>
        <v/>
      </c>
      <c r="T48" s="2660"/>
      <c r="U48" s="1145"/>
      <c r="V48" s="1410"/>
      <c r="W48" s="1410"/>
      <c r="X48" s="1410"/>
      <c r="Y48" s="1410"/>
      <c r="Z48" s="1410"/>
      <c r="AA48" s="1410"/>
      <c r="AB48" s="1410"/>
      <c r="AC48" s="1410"/>
      <c r="AD48" s="1410"/>
      <c r="AE48" s="1357"/>
    </row>
    <row r="49" spans="1:40" ht="16.5" customHeight="1">
      <c r="A49" s="78"/>
      <c r="B49" s="154"/>
      <c r="C49" s="1935" t="s">
        <v>883</v>
      </c>
      <c r="D49" s="178"/>
      <c r="E49" s="230"/>
      <c r="F49" s="230"/>
      <c r="G49" s="230"/>
      <c r="H49" s="231"/>
      <c r="I49" s="231"/>
      <c r="J49" s="231"/>
      <c r="K49" s="440"/>
      <c r="L49" s="1349"/>
      <c r="M49" s="684"/>
      <c r="N49" s="1399"/>
      <c r="O49" s="666"/>
      <c r="P49" s="9820"/>
      <c r="Q49" s="558"/>
      <c r="R49" s="2086"/>
      <c r="S49" s="4286" t="str">
        <f>IF(AND(F8960_Tax&lt;&gt;"",F8960_Tax&gt;0),"on Schedule 2,","")</f>
        <v/>
      </c>
      <c r="T49" s="2660"/>
      <c r="U49" s="1402"/>
      <c r="V49" s="1403"/>
      <c r="W49" s="1403"/>
      <c r="X49" s="1403"/>
      <c r="Y49" s="1403"/>
      <c r="Z49" s="1403"/>
      <c r="AA49" s="1403"/>
      <c r="AB49" s="1403"/>
      <c r="AC49" s="1403"/>
      <c r="AD49" s="1404"/>
      <c r="AE49" s="1357"/>
    </row>
    <row r="50" spans="1:40" ht="13.5" customHeight="1">
      <c r="A50" s="78"/>
      <c r="B50" s="154" t="s">
        <v>884</v>
      </c>
      <c r="C50" s="392" t="s">
        <v>885</v>
      </c>
      <c r="D50" s="178"/>
      <c r="E50" s="230"/>
      <c r="F50" s="230"/>
      <c r="G50" s="230"/>
      <c r="H50" s="231"/>
      <c r="I50" s="155"/>
      <c r="J50" s="154" t="s">
        <v>3064</v>
      </c>
      <c r="K50" s="2374" t="str">
        <f>B50</f>
        <v>18a</v>
      </c>
      <c r="L50" s="2511" t="str">
        <f>IF(Q50&lt;&gt;"",ROUND(Q50,0),N41)</f>
        <v/>
      </c>
      <c r="M50" s="684"/>
      <c r="N50" s="1400"/>
      <c r="O50" s="666"/>
      <c r="P50" s="258"/>
      <c r="Q50" s="444"/>
      <c r="R50" s="1185"/>
      <c r="S50" s="4287" t="str">
        <f>IF(AND(F8960_Tax&lt;&gt;"",F8960_Tax&gt;0),"Line 12.","")</f>
        <v/>
      </c>
      <c r="T50" s="1185"/>
      <c r="U50" s="1405"/>
      <c r="V50" s="1406" t="s">
        <v>901</v>
      </c>
      <c r="W50" s="1410"/>
      <c r="X50" s="1410"/>
      <c r="Y50" s="1410"/>
      <c r="Z50" s="1410"/>
      <c r="AA50" s="1410"/>
      <c r="AB50" s="1425" t="s">
        <v>175</v>
      </c>
      <c r="AC50" s="1410"/>
      <c r="AD50" s="1412"/>
      <c r="AE50" s="1357"/>
    </row>
    <row r="51" spans="1:40" s="983" customFormat="1" ht="13.5" customHeight="1">
      <c r="A51" s="78"/>
      <c r="B51" s="154" t="s">
        <v>47</v>
      </c>
      <c r="C51" s="392" t="s">
        <v>886</v>
      </c>
      <c r="D51" s="273"/>
      <c r="E51" s="230"/>
      <c r="F51" s="230"/>
      <c r="G51" s="230"/>
      <c r="H51" s="231"/>
      <c r="I51" s="231"/>
      <c r="J51" s="231"/>
      <c r="K51" s="3840"/>
      <c r="L51" s="155"/>
      <c r="M51" s="684"/>
      <c r="N51" s="559"/>
      <c r="O51" s="665"/>
      <c r="P51" s="1348"/>
      <c r="Q51" s="558"/>
      <c r="R51" s="2086"/>
      <c r="S51" s="2086"/>
      <c r="T51" s="2086"/>
      <c r="U51" s="1405"/>
      <c r="V51" s="1406"/>
      <c r="W51" s="1407"/>
      <c r="X51" s="1407"/>
      <c r="Y51" s="1407"/>
      <c r="Z51" s="1407"/>
      <c r="AA51" s="1407"/>
      <c r="AB51" s="1417"/>
      <c r="AC51" s="1408"/>
      <c r="AD51" s="1409"/>
      <c r="AE51" s="3"/>
      <c r="AF51" s="2595"/>
      <c r="AG51" s="2595"/>
      <c r="AH51" s="2595"/>
      <c r="AI51" s="2595"/>
      <c r="AJ51" s="2595"/>
      <c r="AK51" s="2595"/>
      <c r="AL51" s="2595"/>
      <c r="AM51" s="2595"/>
      <c r="AN51" s="2595"/>
    </row>
    <row r="52" spans="1:40" ht="13.5" customHeight="1">
      <c r="A52" s="78"/>
      <c r="B52" s="155"/>
      <c r="C52" s="392" t="s">
        <v>887</v>
      </c>
      <c r="D52" s="178"/>
      <c r="E52" s="230"/>
      <c r="F52" s="230"/>
      <c r="G52" s="230"/>
      <c r="H52" s="231"/>
      <c r="I52" s="155"/>
      <c r="J52" s="154" t="s">
        <v>560</v>
      </c>
      <c r="K52" s="333" t="s">
        <v>888</v>
      </c>
      <c r="L52" s="1374"/>
      <c r="M52" s="684"/>
      <c r="N52" s="515"/>
      <c r="O52" s="666"/>
      <c r="P52" s="258"/>
      <c r="Q52" s="558"/>
      <c r="R52" s="1185"/>
      <c r="S52" s="1185"/>
      <c r="T52" s="1185"/>
      <c r="U52" s="1422"/>
      <c r="V52" s="1423"/>
      <c r="W52" s="1423"/>
      <c r="X52" s="1423"/>
      <c r="Y52" s="1423"/>
      <c r="Z52" s="1423"/>
      <c r="AA52" s="1423"/>
      <c r="AB52" s="1423"/>
      <c r="AC52" s="1423"/>
      <c r="AD52" s="1424"/>
      <c r="AE52" s="1357"/>
    </row>
    <row r="53" spans="1:40" s="983" customFormat="1" ht="13.5" customHeight="1">
      <c r="A53" s="78"/>
      <c r="B53" s="154" t="s">
        <v>48</v>
      </c>
      <c r="C53" s="392" t="s">
        <v>890</v>
      </c>
      <c r="D53" s="273"/>
      <c r="E53" s="230"/>
      <c r="F53" s="230"/>
      <c r="G53" s="230"/>
      <c r="H53" s="231"/>
      <c r="I53" s="231"/>
      <c r="J53" s="231"/>
      <c r="K53" s="3840"/>
      <c r="L53" s="155"/>
      <c r="M53" s="684"/>
      <c r="N53" s="559"/>
      <c r="O53" s="665"/>
      <c r="P53" s="1348"/>
      <c r="Q53" s="558"/>
      <c r="R53" s="2086"/>
      <c r="S53" s="2086"/>
      <c r="T53" s="2086"/>
      <c r="U53" s="1405"/>
      <c r="V53" s="1416" t="s">
        <v>902</v>
      </c>
      <c r="W53" s="1410"/>
      <c r="X53" s="1410"/>
      <c r="Y53" s="1410"/>
      <c r="Z53" s="1410"/>
      <c r="AA53" s="1411"/>
      <c r="AB53" s="1411" t="s">
        <v>294</v>
      </c>
      <c r="AC53" s="1421">
        <f>Adj_Gross_Inc</f>
        <v>0</v>
      </c>
      <c r="AD53" s="1412"/>
      <c r="AE53" s="3"/>
      <c r="AF53" s="2595"/>
      <c r="AG53" s="2595"/>
      <c r="AH53" s="2595"/>
      <c r="AI53" s="2595"/>
      <c r="AJ53" s="2595"/>
      <c r="AK53" s="2595"/>
      <c r="AL53" s="2595"/>
      <c r="AM53" s="2595"/>
      <c r="AN53" s="2595"/>
    </row>
    <row r="54" spans="1:40" ht="13.5" customHeight="1">
      <c r="A54" s="78"/>
      <c r="B54" s="155"/>
      <c r="C54" s="392" t="s">
        <v>2525</v>
      </c>
      <c r="D54" s="178"/>
      <c r="E54" s="273" t="s">
        <v>2526</v>
      </c>
      <c r="F54" s="230"/>
      <c r="G54" s="230"/>
      <c r="H54" s="231"/>
      <c r="I54" s="155"/>
      <c r="J54" s="154" t="s">
        <v>570</v>
      </c>
      <c r="K54" s="333" t="s">
        <v>889</v>
      </c>
      <c r="L54" s="1374"/>
      <c r="M54" s="684"/>
      <c r="N54" s="515"/>
      <c r="O54" s="666"/>
      <c r="P54" s="258"/>
      <c r="Q54" s="558"/>
      <c r="R54" s="1185"/>
      <c r="S54" s="1185"/>
      <c r="T54" s="1185"/>
      <c r="U54" s="1405"/>
      <c r="V54" s="1410"/>
      <c r="W54" s="1410"/>
      <c r="X54" s="1410"/>
      <c r="Y54" s="1410"/>
      <c r="Z54" s="1410"/>
      <c r="AA54" s="1410"/>
      <c r="AB54" s="1410"/>
      <c r="AC54" s="1410"/>
      <c r="AD54" s="1412"/>
      <c r="AE54" s="1357"/>
    </row>
    <row r="55" spans="1:40" ht="13.5" customHeight="1">
      <c r="A55" s="78"/>
      <c r="B55" s="154" t="s">
        <v>892</v>
      </c>
      <c r="C55" s="392" t="s">
        <v>895</v>
      </c>
      <c r="D55" s="178"/>
      <c r="E55" s="230"/>
      <c r="F55" s="230"/>
      <c r="G55" s="230"/>
      <c r="H55" s="231"/>
      <c r="I55" s="155"/>
      <c r="J55" s="154" t="s">
        <v>571</v>
      </c>
      <c r="K55" s="2374" t="str">
        <f>B55</f>
        <v>19a</v>
      </c>
      <c r="L55" s="1374"/>
      <c r="M55" s="684"/>
      <c r="N55" s="1400"/>
      <c r="O55" s="666"/>
      <c r="P55" s="258"/>
      <c r="Q55" s="558"/>
      <c r="R55" s="1185"/>
      <c r="S55" s="1185"/>
      <c r="T55" s="1185"/>
      <c r="U55" s="1405"/>
      <c r="V55" s="1416" t="s">
        <v>903</v>
      </c>
      <c r="W55" s="1410"/>
      <c r="X55" s="1410"/>
      <c r="Y55" s="1410"/>
      <c r="Z55" s="1410"/>
      <c r="AA55" s="1410"/>
      <c r="AB55" s="1410"/>
      <c r="AC55" s="1410"/>
      <c r="AD55" s="1412"/>
      <c r="AE55" s="1357"/>
    </row>
    <row r="56" spans="1:40" s="983" customFormat="1" ht="13.5" customHeight="1">
      <c r="A56" s="78"/>
      <c r="B56" s="154" t="s">
        <v>47</v>
      </c>
      <c r="C56" s="392" t="s">
        <v>3581</v>
      </c>
      <c r="D56" s="178"/>
      <c r="E56" s="230"/>
      <c r="F56" s="230"/>
      <c r="G56" s="230"/>
      <c r="H56" s="231"/>
      <c r="I56" s="155"/>
      <c r="J56" s="154"/>
      <c r="K56" s="333" t="s">
        <v>893</v>
      </c>
      <c r="L56" s="1374"/>
      <c r="M56" s="684"/>
      <c r="N56" s="515"/>
      <c r="O56" s="666"/>
      <c r="P56" s="258"/>
      <c r="Q56" s="558"/>
      <c r="R56" s="2086"/>
      <c r="S56" s="2086"/>
      <c r="T56" s="2086"/>
      <c r="U56" s="1405"/>
      <c r="V56" s="1410"/>
      <c r="W56" s="1410" t="s">
        <v>906</v>
      </c>
      <c r="X56" s="1410" t="s">
        <v>907</v>
      </c>
      <c r="Y56" s="1410"/>
      <c r="Z56" s="1410"/>
      <c r="AA56" s="1410"/>
      <c r="AB56" s="1410"/>
      <c r="AC56" s="1410"/>
      <c r="AD56" s="1412"/>
      <c r="AE56" s="3"/>
      <c r="AF56" s="2595"/>
      <c r="AG56" s="2595"/>
      <c r="AH56" s="2595"/>
      <c r="AI56" s="2595"/>
      <c r="AJ56" s="2595"/>
      <c r="AK56" s="2595"/>
      <c r="AL56" s="2595"/>
      <c r="AM56" s="2595"/>
      <c r="AN56" s="2595"/>
    </row>
    <row r="57" spans="1:40" ht="13.5" customHeight="1">
      <c r="A57" s="78"/>
      <c r="B57" s="154" t="s">
        <v>48</v>
      </c>
      <c r="C57" s="392" t="s">
        <v>2527</v>
      </c>
      <c r="D57" s="178"/>
      <c r="E57" s="230"/>
      <c r="F57" s="230"/>
      <c r="G57" s="273" t="s">
        <v>2526</v>
      </c>
      <c r="H57" s="231"/>
      <c r="I57" s="155"/>
      <c r="J57" s="154" t="s">
        <v>629</v>
      </c>
      <c r="K57" s="333" t="s">
        <v>894</v>
      </c>
      <c r="L57" s="1373" t="str">
        <f>IF(N45="---","",IF(File8960,MAX(0,SUM(L55,-L56)),""))</f>
        <v/>
      </c>
      <c r="M57" s="684"/>
      <c r="N57" s="515"/>
      <c r="O57" s="666"/>
      <c r="P57" s="258"/>
      <c r="Q57" s="558"/>
      <c r="R57" s="1185"/>
      <c r="S57" s="1185"/>
      <c r="T57" s="1185"/>
      <c r="U57" s="1405"/>
      <c r="V57" s="1410"/>
      <c r="W57" s="1410"/>
      <c r="X57" s="1410" t="s">
        <v>904</v>
      </c>
      <c r="Y57" s="1410"/>
      <c r="Z57" s="1410"/>
      <c r="AA57" s="1331">
        <f>'2555'!AE168</f>
        <v>0</v>
      </c>
      <c r="AB57" s="1410"/>
      <c r="AC57" s="1410"/>
      <c r="AD57" s="1412"/>
      <c r="AE57" s="1357"/>
    </row>
    <row r="58" spans="1:40" ht="13.5" customHeight="1">
      <c r="A58" s="78"/>
      <c r="B58" s="154">
        <v>20</v>
      </c>
      <c r="C58" s="392" t="s">
        <v>896</v>
      </c>
      <c r="D58" s="273"/>
      <c r="E58" s="230"/>
      <c r="F58" s="230"/>
      <c r="G58" s="230"/>
      <c r="H58" s="231"/>
      <c r="I58" s="231"/>
      <c r="J58" s="231"/>
      <c r="K58" s="440"/>
      <c r="L58" s="1243" t="s">
        <v>919</v>
      </c>
      <c r="M58" s="333">
        <f>B58</f>
        <v>20</v>
      </c>
      <c r="N58" s="1373" t="str">
        <f>IF(Q58&lt;&gt;"",ROUND(Q58,0),IF(N45="---","",IF(File8960,MIN(L54,L57),"")))</f>
        <v/>
      </c>
      <c r="O58" s="666"/>
      <c r="P58" s="258"/>
      <c r="Q58" s="444"/>
      <c r="R58" s="1185"/>
      <c r="S58" s="1185"/>
      <c r="T58" s="1185"/>
      <c r="U58" s="1405"/>
      <c r="V58" s="1410"/>
      <c r="W58" s="1410" t="s">
        <v>908</v>
      </c>
      <c r="X58" s="1410" t="s">
        <v>909</v>
      </c>
      <c r="Y58" s="1410"/>
      <c r="Z58" s="1410"/>
      <c r="AA58" s="1410"/>
      <c r="AB58" s="1410"/>
      <c r="AC58" s="1410"/>
      <c r="AD58" s="1412"/>
      <c r="AE58" s="1357"/>
    </row>
    <row r="59" spans="1:40" ht="13.5" customHeight="1">
      <c r="A59" s="78"/>
      <c r="B59" s="154">
        <v>21</v>
      </c>
      <c r="C59" s="392" t="str">
        <f>"Net investment income tax for estates and trusts. Multiply line 20 by "&amp;TEXT(N59,"0.0%")&amp;" ("&amp;TEXT(N59,"0.038")&amp;")."</f>
        <v>Net investment income tax for estates and trusts. Multiply line 20 by 3.8% (0.038).</v>
      </c>
      <c r="D59" s="273"/>
      <c r="E59" s="230"/>
      <c r="F59" s="230"/>
      <c r="G59" s="230"/>
      <c r="H59" s="231"/>
      <c r="I59" s="231"/>
      <c r="J59" s="231"/>
      <c r="K59" s="440"/>
      <c r="L59" s="155"/>
      <c r="M59" s="590"/>
      <c r="N59" s="1392">
        <v>3.7999999999999999E-2</v>
      </c>
      <c r="O59" s="665"/>
      <c r="P59" s="1348"/>
      <c r="Q59" s="558"/>
      <c r="R59" s="2086"/>
      <c r="S59" s="2086"/>
      <c r="T59" s="2086"/>
      <c r="U59" s="1405"/>
      <c r="V59" s="1407"/>
      <c r="W59" s="1407"/>
      <c r="X59" s="1410" t="s">
        <v>905</v>
      </c>
      <c r="Y59" s="1407"/>
      <c r="Z59" s="1407"/>
      <c r="AA59" s="1407"/>
      <c r="AB59" s="1407"/>
      <c r="AC59" s="1407"/>
      <c r="AD59" s="1409"/>
      <c r="AE59" s="1357"/>
    </row>
    <row r="60" spans="1:40" s="983" customFormat="1" ht="13.5" customHeight="1" thickBot="1">
      <c r="A60" s="78"/>
      <c r="B60" s="154"/>
      <c r="C60" s="218" t="s">
        <v>3063</v>
      </c>
      <c r="D60" s="178"/>
      <c r="E60" s="230"/>
      <c r="F60" s="230"/>
      <c r="G60" s="230"/>
      <c r="H60" s="231"/>
      <c r="I60" s="231"/>
      <c r="J60" s="231"/>
      <c r="K60" s="440"/>
      <c r="L60" s="1243" t="s">
        <v>571</v>
      </c>
      <c r="M60" s="590">
        <f>B59</f>
        <v>21</v>
      </c>
      <c r="N60" s="1373" t="str">
        <f>IF(Q60&lt;&gt;"",ROUND(Q60,0),IF(N45="---","",IF(File8960,ROUND(N58*N59,0),"")))</f>
        <v/>
      </c>
      <c r="O60" s="666"/>
      <c r="P60" s="1348"/>
      <c r="Q60" s="444"/>
      <c r="R60" s="2086"/>
      <c r="S60" s="2086"/>
      <c r="T60" s="2086"/>
      <c r="U60" s="1405"/>
      <c r="V60" s="1410"/>
      <c r="W60" s="1410"/>
      <c r="X60" s="1410" t="s">
        <v>910</v>
      </c>
      <c r="Y60" s="1419"/>
      <c r="Z60" s="1419" t="s">
        <v>916</v>
      </c>
      <c r="AA60" s="1331">
        <f>'2555'!AE172</f>
        <v>0</v>
      </c>
      <c r="AB60" s="1418" t="s">
        <v>917</v>
      </c>
      <c r="AC60" s="1410"/>
      <c r="AD60" s="1412"/>
      <c r="AE60" s="3"/>
      <c r="AF60" s="2595"/>
      <c r="AG60" s="2595"/>
      <c r="AH60" s="2595"/>
      <c r="AI60" s="2595"/>
      <c r="AJ60" s="2595"/>
      <c r="AK60" s="2595"/>
      <c r="AL60" s="2595"/>
      <c r="AM60" s="2595"/>
      <c r="AN60" s="2595"/>
    </row>
    <row r="61" spans="1:40" ht="13.5" customHeight="1">
      <c r="A61" s="78"/>
      <c r="B61" s="159" t="s">
        <v>484</v>
      </c>
      <c r="C61" s="265"/>
      <c r="D61" s="265"/>
      <c r="E61" s="265"/>
      <c r="F61" s="265"/>
      <c r="G61" s="265"/>
      <c r="H61" s="560"/>
      <c r="I61" s="561"/>
      <c r="J61" s="560"/>
      <c r="K61" s="3841" t="s">
        <v>898</v>
      </c>
      <c r="L61" s="560"/>
      <c r="M61" s="562" t="s">
        <v>897</v>
      </c>
      <c r="N61" s="1010" t="str">
        <f>"  ("&amp;TaxYear&amp;")"</f>
        <v xml:space="preserve">  (2021)</v>
      </c>
      <c r="O61" s="672"/>
      <c r="P61" s="1348"/>
      <c r="Q61" s="558"/>
      <c r="R61" s="2086"/>
      <c r="S61" s="2660"/>
      <c r="T61" s="2660"/>
      <c r="U61" s="1405"/>
      <c r="V61" s="1410"/>
      <c r="W61" s="1410" t="s">
        <v>911</v>
      </c>
      <c r="X61" s="1410" t="s">
        <v>913</v>
      </c>
      <c r="Y61" s="1410"/>
      <c r="Z61" s="1410"/>
      <c r="AA61" s="1411"/>
      <c r="AB61" s="1411" t="s">
        <v>0</v>
      </c>
      <c r="AC61" s="1421">
        <f>SUM(AA57,-AA60)</f>
        <v>0</v>
      </c>
      <c r="AD61" s="1412"/>
      <c r="AE61" s="1357"/>
    </row>
    <row r="62" spans="1:40" s="237" customFormat="1" ht="15" customHeight="1">
      <c r="A62" s="78"/>
      <c r="B62" s="675"/>
      <c r="C62" s="567"/>
      <c r="D62" s="567"/>
      <c r="E62" s="78"/>
      <c r="F62" s="78"/>
      <c r="G62" s="78"/>
      <c r="H62" s="78"/>
      <c r="I62" s="78"/>
      <c r="J62" s="78"/>
      <c r="K62" s="846"/>
      <c r="L62" s="676"/>
      <c r="M62" s="676"/>
      <c r="N62" s="676"/>
      <c r="O62" s="673"/>
      <c r="P62" s="1348"/>
      <c r="Q62" s="558"/>
      <c r="R62" s="1185"/>
      <c r="S62" s="1185"/>
      <c r="T62" s="1185"/>
      <c r="U62" s="1405"/>
      <c r="V62" s="1410"/>
      <c r="W62" s="1410"/>
      <c r="X62" s="1410"/>
      <c r="Y62" s="1410"/>
      <c r="Z62" s="1410"/>
      <c r="AA62" s="1410"/>
      <c r="AB62" s="1410"/>
      <c r="AC62" s="1410"/>
      <c r="AD62" s="1412"/>
      <c r="AE62" s="1357"/>
      <c r="AF62" s="2595"/>
      <c r="AG62" s="2595"/>
      <c r="AH62" s="2595"/>
      <c r="AI62" s="2595"/>
      <c r="AJ62" s="2595"/>
      <c r="AK62" s="2595"/>
      <c r="AL62" s="2595"/>
      <c r="AM62" s="2595"/>
      <c r="AN62" s="2595"/>
    </row>
    <row r="63" spans="1:40" s="237" customFormat="1" ht="15" customHeight="1">
      <c r="A63" s="42"/>
      <c r="B63" s="147"/>
      <c r="C63" s="261"/>
      <c r="D63" s="261"/>
      <c r="E63" s="42"/>
      <c r="F63" s="42"/>
      <c r="G63" s="42"/>
      <c r="H63" s="42"/>
      <c r="I63" s="42"/>
      <c r="J63" s="42"/>
      <c r="K63" s="3842"/>
      <c r="L63" s="266"/>
      <c r="M63" s="266"/>
      <c r="N63" s="266"/>
      <c r="O63" s="565"/>
      <c r="P63"/>
      <c r="Q63" s="566"/>
      <c r="R63" s="1185"/>
      <c r="S63" s="1185"/>
      <c r="T63" s="1185"/>
      <c r="U63" s="1405"/>
      <c r="V63" s="1416" t="s">
        <v>912</v>
      </c>
      <c r="W63" s="1407"/>
      <c r="X63" s="1407"/>
      <c r="Y63" s="1407"/>
      <c r="Z63" s="1407"/>
      <c r="AA63" s="1407"/>
      <c r="AB63" s="1411" t="s">
        <v>1</v>
      </c>
      <c r="AC63" s="1420"/>
      <c r="AD63" s="1409"/>
      <c r="AF63" s="2595"/>
      <c r="AG63" s="2595"/>
      <c r="AH63" s="2595"/>
      <c r="AI63" s="2595"/>
      <c r="AJ63" s="2595"/>
      <c r="AK63" s="2595"/>
      <c r="AL63" s="2595"/>
      <c r="AM63" s="2595"/>
      <c r="AN63" s="2595"/>
    </row>
    <row r="64" spans="1:40" s="237" customFormat="1" ht="15" customHeight="1" thickBot="1">
      <c r="A64" s="42"/>
      <c r="B64" s="147"/>
      <c r="C64" s="261"/>
      <c r="D64" s="261"/>
      <c r="E64" s="42"/>
      <c r="F64" s="42"/>
      <c r="G64" s="42"/>
      <c r="H64" s="42"/>
      <c r="I64" s="42"/>
      <c r="J64" s="42"/>
      <c r="K64" s="3842"/>
      <c r="L64" s="266"/>
      <c r="M64" s="266"/>
      <c r="N64" s="266"/>
      <c r="O64" s="565"/>
      <c r="P64"/>
      <c r="Q64" s="566"/>
      <c r="R64" s="1185"/>
      <c r="S64" s="1185"/>
      <c r="T64" s="1185"/>
      <c r="U64" s="1405"/>
      <c r="V64" s="1410"/>
      <c r="W64" s="1410"/>
      <c r="X64" s="1410"/>
      <c r="Y64" s="1410"/>
      <c r="Z64" s="1410"/>
      <c r="AA64" s="1410"/>
      <c r="AB64" s="1410"/>
      <c r="AC64" s="1410"/>
      <c r="AD64" s="1412"/>
      <c r="AF64" s="2595"/>
      <c r="AG64" s="2595"/>
      <c r="AH64" s="2595"/>
      <c r="AI64" s="2595"/>
      <c r="AJ64" s="2595"/>
      <c r="AK64" s="2595"/>
      <c r="AL64" s="2595"/>
      <c r="AM64" s="2595"/>
      <c r="AN64" s="2595"/>
    </row>
    <row r="65" spans="1:40" s="237" customFormat="1" ht="15" customHeight="1" thickTop="1" thickBot="1">
      <c r="A65" s="42"/>
      <c r="B65" s="147"/>
      <c r="C65" s="8927" t="s">
        <v>918</v>
      </c>
      <c r="D65" s="8928"/>
      <c r="E65" s="8928"/>
      <c r="F65" s="8928"/>
      <c r="G65" s="8928"/>
      <c r="H65" s="8929"/>
      <c r="I65" s="266"/>
      <c r="J65" s="266"/>
      <c r="K65" s="270"/>
      <c r="L65"/>
      <c r="M65" s="266"/>
      <c r="N65" s="266"/>
      <c r="O65" s="266"/>
      <c r="P65"/>
      <c r="Q65" s="5"/>
      <c r="R65" s="1503"/>
      <c r="S65" s="1503"/>
      <c r="T65" s="1503"/>
      <c r="U65" s="1405"/>
      <c r="V65" s="1416" t="s">
        <v>914</v>
      </c>
      <c r="W65" s="1407"/>
      <c r="X65" s="1407"/>
      <c r="Y65" s="1407"/>
      <c r="Z65" s="1407"/>
      <c r="AA65" s="1407"/>
      <c r="AB65" s="1407"/>
      <c r="AC65" s="1407"/>
      <c r="AD65" s="1409"/>
      <c r="AF65" s="2595"/>
      <c r="AG65" s="2595"/>
      <c r="AH65" s="2595"/>
      <c r="AI65" s="2595"/>
      <c r="AJ65" s="2595"/>
      <c r="AK65" s="2595"/>
      <c r="AL65" s="2595"/>
      <c r="AM65" s="2595"/>
      <c r="AN65" s="2595"/>
    </row>
    <row r="66" spans="1:40" s="237" customFormat="1" ht="15" customHeight="1" thickTop="1" thickBot="1">
      <c r="A66" s="42"/>
      <c r="B66" s="147"/>
      <c r="C66" s="261"/>
      <c r="D66" s="261"/>
      <c r="E66" s="42"/>
      <c r="F66" s="42"/>
      <c r="G66" s="42"/>
      <c r="H66" s="266"/>
      <c r="I66" s="266"/>
      <c r="J66" s="266"/>
      <c r="K66" s="270"/>
      <c r="L66"/>
      <c r="M66" s="266"/>
      <c r="N66" s="266"/>
      <c r="O66" s="266"/>
      <c r="P66"/>
      <c r="Q66" s="5"/>
      <c r="R66" s="1503"/>
      <c r="S66" s="1503"/>
      <c r="T66" s="1503"/>
      <c r="U66" s="1405"/>
      <c r="V66" s="1416" t="s">
        <v>915</v>
      </c>
      <c r="W66" s="1410"/>
      <c r="X66" s="1410"/>
      <c r="Y66" s="1410"/>
      <c r="Z66" s="1410"/>
      <c r="AA66" s="1410"/>
      <c r="AB66" s="1411" t="s">
        <v>399</v>
      </c>
      <c r="AC66" s="1421">
        <f>SUM(AC53,AC61,AC63)</f>
        <v>0</v>
      </c>
      <c r="AD66" s="1412"/>
      <c r="AF66" s="2595"/>
      <c r="AG66" s="2595"/>
      <c r="AH66" s="2595"/>
      <c r="AI66" s="2595"/>
      <c r="AJ66" s="2595"/>
      <c r="AK66" s="2595"/>
      <c r="AL66" s="2595"/>
      <c r="AM66" s="2595"/>
      <c r="AN66" s="2595"/>
    </row>
    <row r="67" spans="1:40" s="237" customFormat="1" ht="14.25" thickTop="1" thickBot="1">
      <c r="A67" s="42"/>
      <c r="B67" s="147"/>
      <c r="C67" s="8927" t="s">
        <v>2283</v>
      </c>
      <c r="D67" s="8928"/>
      <c r="E67" s="8928"/>
      <c r="F67" s="8928"/>
      <c r="G67" s="8928"/>
      <c r="H67" s="8929"/>
      <c r="I67" s="266"/>
      <c r="J67" s="266"/>
      <c r="K67" s="270"/>
      <c r="L67"/>
      <c r="M67" s="266"/>
      <c r="N67" s="266"/>
      <c r="O67" s="266"/>
      <c r="P67"/>
      <c r="Q67" s="5"/>
      <c r="R67" s="1503"/>
      <c r="S67" s="1503"/>
      <c r="T67" s="1503"/>
      <c r="U67" s="1413"/>
      <c r="V67" s="1414"/>
      <c r="W67" s="1414"/>
      <c r="X67" s="1414"/>
      <c r="Y67" s="1414"/>
      <c r="Z67" s="1414"/>
      <c r="AA67" s="1414"/>
      <c r="AB67" s="1414"/>
      <c r="AC67" s="1414"/>
      <c r="AD67" s="1415"/>
      <c r="AF67" s="2595"/>
      <c r="AG67" s="2595"/>
      <c r="AH67" s="2595"/>
      <c r="AI67" s="2595"/>
      <c r="AJ67" s="2595"/>
      <c r="AK67" s="2595"/>
      <c r="AL67" s="2595"/>
      <c r="AM67" s="2595"/>
      <c r="AN67" s="2595"/>
    </row>
    <row r="68" spans="1:40" s="237" customFormat="1" ht="17.25" customHeight="1" thickTop="1" thickBot="1">
      <c r="A68" s="42"/>
      <c r="B68"/>
      <c r="C68"/>
      <c r="D68"/>
      <c r="E68"/>
      <c r="F68"/>
      <c r="G68"/>
      <c r="H68"/>
      <c r="I68"/>
      <c r="J68"/>
      <c r="K68" s="270"/>
      <c r="L68"/>
      <c r="M68"/>
      <c r="N68"/>
      <c r="O68"/>
      <c r="P68"/>
      <c r="Q68"/>
      <c r="R68" s="1145"/>
      <c r="S68" s="2654"/>
      <c r="T68" s="2654"/>
      <c r="U68" s="1145"/>
      <c r="V68" s="1410"/>
      <c r="W68" s="1410"/>
      <c r="X68" s="1410"/>
      <c r="Y68" s="1410"/>
      <c r="Z68" s="1410"/>
      <c r="AA68" s="1410"/>
      <c r="AB68" s="1410"/>
      <c r="AC68" s="1410"/>
      <c r="AD68" s="1410"/>
      <c r="AF68" s="2595"/>
      <c r="AG68" s="2595"/>
      <c r="AH68" s="2595"/>
      <c r="AI68" s="2595"/>
      <c r="AJ68" s="2595"/>
      <c r="AK68" s="2595"/>
      <c r="AL68" s="2595"/>
      <c r="AM68" s="2595"/>
      <c r="AN68" s="2595"/>
    </row>
    <row r="69" spans="1:40" s="237" customFormat="1" ht="12.75" customHeight="1">
      <c r="A69" s="42"/>
      <c r="B69"/>
      <c r="C69"/>
      <c r="D69"/>
      <c r="E69"/>
      <c r="F69"/>
      <c r="G69"/>
      <c r="H69"/>
      <c r="I69"/>
      <c r="J69"/>
      <c r="K69" s="270"/>
      <c r="L69"/>
      <c r="M69"/>
      <c r="N69"/>
      <c r="O69"/>
      <c r="P69"/>
      <c r="Q69"/>
      <c r="R69" s="1145"/>
      <c r="S69" s="2654"/>
      <c r="T69" s="2654"/>
      <c r="U69" s="1402"/>
      <c r="V69" s="1403"/>
      <c r="W69" s="1403"/>
      <c r="X69" s="1404"/>
      <c r="Y69" s="2654"/>
      <c r="Z69" s="2654"/>
      <c r="AA69" s="1410"/>
      <c r="AB69" s="1410"/>
      <c r="AC69" s="1410"/>
      <c r="AD69" s="1410"/>
      <c r="AF69" s="2595"/>
      <c r="AG69" s="2595"/>
      <c r="AH69" s="2595"/>
      <c r="AI69" s="2595"/>
      <c r="AJ69" s="2595"/>
      <c r="AK69" s="2595"/>
      <c r="AL69" s="2595"/>
      <c r="AM69" s="2595"/>
      <c r="AN69" s="2595"/>
    </row>
    <row r="70" spans="1:40" s="237" customFormat="1" ht="21.75" customHeight="1">
      <c r="A70" s="42"/>
      <c r="B70"/>
      <c r="C70"/>
      <c r="D70"/>
      <c r="E70"/>
      <c r="F70"/>
      <c r="G70"/>
      <c r="H70"/>
      <c r="I70"/>
      <c r="J70"/>
      <c r="K70" s="270"/>
      <c r="L70"/>
      <c r="M70"/>
      <c r="N70"/>
      <c r="O70"/>
      <c r="P70"/>
      <c r="Q70"/>
      <c r="R70" s="1145"/>
      <c r="S70" s="2654"/>
      <c r="T70" s="2654"/>
      <c r="U70" s="1405"/>
      <c r="V70" s="3312" t="s">
        <v>2528</v>
      </c>
      <c r="W70" s="1410"/>
      <c r="X70" s="1412"/>
      <c r="Y70" s="2654"/>
      <c r="Z70" s="2654"/>
      <c r="AA70" s="1410"/>
      <c r="AB70" s="1410"/>
      <c r="AC70" s="1410"/>
      <c r="AD70" s="1410"/>
      <c r="AF70" s="2595"/>
      <c r="AG70" s="2595"/>
      <c r="AH70" s="2595"/>
      <c r="AI70" s="2595"/>
      <c r="AJ70" s="2595"/>
      <c r="AK70" s="2595"/>
      <c r="AL70" s="2595"/>
      <c r="AM70" s="2595"/>
      <c r="AN70" s="2595"/>
    </row>
    <row r="71" spans="1:40" s="237" customFormat="1" ht="22.5" customHeight="1">
      <c r="A71" s="42"/>
      <c r="B71"/>
      <c r="C71"/>
      <c r="D71"/>
      <c r="E71"/>
      <c r="F71"/>
      <c r="G71"/>
      <c r="H71"/>
      <c r="I71"/>
      <c r="J71"/>
      <c r="K71" s="270"/>
      <c r="L71"/>
      <c r="M71"/>
      <c r="N71"/>
      <c r="O71"/>
      <c r="P71"/>
      <c r="Q71"/>
      <c r="R71" s="1145"/>
      <c r="S71" s="2654"/>
      <c r="T71" s="2654"/>
      <c r="U71" s="1405"/>
      <c r="V71" s="3312" t="s">
        <v>2529</v>
      </c>
      <c r="W71" s="1410"/>
      <c r="X71" s="1412"/>
      <c r="Y71" s="2654"/>
      <c r="Z71" s="2654"/>
      <c r="AA71" s="1407"/>
      <c r="AB71" s="1407"/>
      <c r="AC71" s="1407"/>
      <c r="AD71" s="1407"/>
      <c r="AF71" s="2595"/>
      <c r="AG71" s="2595"/>
      <c r="AH71" s="2595"/>
      <c r="AI71" s="2595"/>
      <c r="AJ71" s="2595"/>
      <c r="AK71" s="2595"/>
      <c r="AL71" s="2595"/>
      <c r="AM71" s="2595"/>
      <c r="AN71" s="2595"/>
    </row>
    <row r="72" spans="1:40" s="237" customFormat="1" ht="12.75" customHeight="1">
      <c r="A72" s="42"/>
      <c r="B72"/>
      <c r="C72"/>
      <c r="D72"/>
      <c r="E72"/>
      <c r="F72"/>
      <c r="G72"/>
      <c r="H72"/>
      <c r="I72"/>
      <c r="J72"/>
      <c r="K72" s="270"/>
      <c r="L72"/>
      <c r="M72"/>
      <c r="N72"/>
      <c r="O72"/>
      <c r="P72"/>
      <c r="Q72"/>
      <c r="R72" s="1145"/>
      <c r="S72" s="2654"/>
      <c r="T72" s="2654"/>
      <c r="U72" s="3316"/>
      <c r="V72" s="3317" t="s">
        <v>2532</v>
      </c>
      <c r="W72" s="1407"/>
      <c r="X72" s="1409"/>
      <c r="Y72" s="2654"/>
      <c r="Z72" s="2654"/>
      <c r="AA72" s="1410"/>
      <c r="AB72" s="1410"/>
      <c r="AC72" s="1410"/>
      <c r="AD72" s="1410"/>
      <c r="AF72" s="2595"/>
      <c r="AG72" s="2595"/>
      <c r="AH72" s="2595"/>
      <c r="AI72" s="2595"/>
      <c r="AJ72" s="2595"/>
      <c r="AK72" s="2595"/>
      <c r="AL72" s="2595"/>
      <c r="AM72" s="2595"/>
      <c r="AN72" s="2595"/>
    </row>
    <row r="73" spans="1:40" s="237" customFormat="1" ht="12.75" customHeight="1">
      <c r="A73" s="42"/>
      <c r="B73"/>
      <c r="C73"/>
      <c r="D73"/>
      <c r="E73"/>
      <c r="F73"/>
      <c r="G73"/>
      <c r="H73"/>
      <c r="I73"/>
      <c r="J73"/>
      <c r="K73" s="270"/>
      <c r="L73"/>
      <c r="M73"/>
      <c r="N73"/>
      <c r="O73"/>
      <c r="P73"/>
      <c r="Q73"/>
      <c r="R73" s="1145"/>
      <c r="S73" s="2654"/>
      <c r="T73" s="2654"/>
      <c r="U73" s="1405"/>
      <c r="V73" s="1410" t="s">
        <v>2530</v>
      </c>
      <c r="W73" s="1410"/>
      <c r="X73" s="1412"/>
      <c r="Y73" s="2654"/>
      <c r="Z73" s="2654"/>
      <c r="AA73" s="1410"/>
      <c r="AB73" s="1410"/>
      <c r="AC73" s="1410"/>
      <c r="AD73" s="1410"/>
      <c r="AF73" s="2595"/>
      <c r="AG73" s="2595"/>
      <c r="AH73" s="2595"/>
      <c r="AI73" s="2595"/>
      <c r="AJ73" s="2595"/>
      <c r="AK73" s="2595"/>
      <c r="AL73" s="2595"/>
      <c r="AM73" s="2595"/>
      <c r="AN73" s="2595"/>
    </row>
    <row r="74" spans="1:40" s="237" customFormat="1" ht="17.25" customHeight="1">
      <c r="A74" s="42"/>
      <c r="B74"/>
      <c r="C74"/>
      <c r="D74"/>
      <c r="E74"/>
      <c r="F74"/>
      <c r="G74"/>
      <c r="H74"/>
      <c r="I74"/>
      <c r="J74"/>
      <c r="K74" s="270"/>
      <c r="L74"/>
      <c r="M74"/>
      <c r="N74"/>
      <c r="O74"/>
      <c r="P74"/>
      <c r="Q74"/>
      <c r="R74" s="1145"/>
      <c r="S74" s="2654"/>
      <c r="T74" s="2654"/>
      <c r="U74" s="1405"/>
      <c r="V74" s="1410" t="s">
        <v>2531</v>
      </c>
      <c r="W74" s="1410"/>
      <c r="X74" s="3948"/>
      <c r="Y74" s="2654"/>
      <c r="Z74" s="2654"/>
      <c r="AA74" s="2654"/>
      <c r="AB74" s="2654"/>
      <c r="AC74" s="2654"/>
      <c r="AD74" s="2654"/>
      <c r="AF74" s="2595"/>
      <c r="AG74" s="2595"/>
      <c r="AH74" s="2595"/>
      <c r="AI74" s="2595"/>
      <c r="AJ74" s="2595"/>
      <c r="AK74" s="2595"/>
      <c r="AL74" s="2595"/>
      <c r="AM74" s="2595"/>
      <c r="AN74" s="2595"/>
    </row>
    <row r="75" spans="1:40" s="237" customFormat="1" ht="14.25" customHeight="1">
      <c r="A75" s="42"/>
      <c r="B75"/>
      <c r="C75"/>
      <c r="D75"/>
      <c r="E75"/>
      <c r="F75"/>
      <c r="G75"/>
      <c r="H75"/>
      <c r="I75"/>
      <c r="J75"/>
      <c r="K75" s="270"/>
      <c r="L75"/>
      <c r="M75"/>
      <c r="N75"/>
      <c r="O75"/>
      <c r="P75"/>
      <c r="Q75"/>
      <c r="R75" s="1145"/>
      <c r="S75" s="2654"/>
      <c r="T75" s="2654"/>
      <c r="U75" s="3316"/>
      <c r="V75" s="3317" t="s">
        <v>2533</v>
      </c>
      <c r="W75" s="2654"/>
      <c r="X75" s="3313"/>
      <c r="Y75" s="2654"/>
      <c r="Z75" s="2654"/>
      <c r="AA75" s="2654"/>
      <c r="AB75" s="2654"/>
      <c r="AC75" s="2654"/>
      <c r="AD75" s="2654"/>
      <c r="AF75" s="2595"/>
      <c r="AG75" s="2595"/>
      <c r="AH75" s="2595"/>
      <c r="AI75" s="2595"/>
      <c r="AJ75" s="2595"/>
      <c r="AK75" s="2595"/>
      <c r="AL75" s="2595"/>
      <c r="AM75" s="2595"/>
      <c r="AN75" s="2595"/>
    </row>
    <row r="76" spans="1:40" s="237" customFormat="1">
      <c r="A76" s="42"/>
      <c r="B76"/>
      <c r="C76"/>
      <c r="D76"/>
      <c r="E76"/>
      <c r="F76"/>
      <c r="G76"/>
      <c r="H76"/>
      <c r="I76"/>
      <c r="J76"/>
      <c r="K76" s="270"/>
      <c r="L76"/>
      <c r="M76"/>
      <c r="N76"/>
      <c r="O76"/>
      <c r="P76"/>
      <c r="Q76"/>
      <c r="R76" s="1145"/>
      <c r="S76" s="2654"/>
      <c r="T76" s="2654"/>
      <c r="U76" s="1405"/>
      <c r="V76" s="1410" t="s">
        <v>4264</v>
      </c>
      <c r="W76" s="2654"/>
      <c r="X76" s="3313"/>
      <c r="Y76" s="2654"/>
      <c r="Z76" s="2654"/>
      <c r="AA76" s="2654"/>
      <c r="AB76" s="2654"/>
      <c r="AC76" s="2654"/>
      <c r="AD76" s="2654"/>
      <c r="AF76" s="2595"/>
      <c r="AG76" s="2595"/>
      <c r="AH76" s="2595"/>
      <c r="AI76" s="2595"/>
      <c r="AJ76" s="2595"/>
      <c r="AK76" s="2595"/>
      <c r="AL76" s="2595"/>
      <c r="AM76" s="2595"/>
      <c r="AN76" s="2595"/>
    </row>
    <row r="77" spans="1:40" s="237" customFormat="1">
      <c r="A77" s="42"/>
      <c r="B77"/>
      <c r="C77"/>
      <c r="D77"/>
      <c r="E77"/>
      <c r="F77"/>
      <c r="G77"/>
      <c r="H77"/>
      <c r="I77"/>
      <c r="J77"/>
      <c r="K77" s="270"/>
      <c r="L77"/>
      <c r="M77"/>
      <c r="N77"/>
      <c r="O77"/>
      <c r="P77"/>
      <c r="Q77"/>
      <c r="R77" s="1145"/>
      <c r="S77" s="2654"/>
      <c r="T77" s="2654"/>
      <c r="U77" s="1405"/>
      <c r="V77" s="2654" t="s">
        <v>2531</v>
      </c>
      <c r="W77" s="2654"/>
      <c r="X77" s="3949"/>
      <c r="Y77" s="2654"/>
      <c r="Z77" s="2654"/>
      <c r="AA77" s="2654"/>
      <c r="AB77" s="2654"/>
      <c r="AC77" s="2654"/>
      <c r="AD77" s="2654"/>
      <c r="AF77" s="2595"/>
      <c r="AG77" s="2595"/>
      <c r="AH77" s="2595"/>
      <c r="AI77" s="2595"/>
      <c r="AJ77" s="2595"/>
      <c r="AK77" s="2595"/>
      <c r="AL77" s="2595"/>
      <c r="AM77" s="2595"/>
      <c r="AN77" s="2595"/>
    </row>
    <row r="78" spans="1:40" s="237" customFormat="1" ht="13.5" thickBot="1">
      <c r="A78" s="42"/>
      <c r="B78"/>
      <c r="C78"/>
      <c r="D78"/>
      <c r="E78"/>
      <c r="F78"/>
      <c r="G78"/>
      <c r="H78"/>
      <c r="I78"/>
      <c r="J78"/>
      <c r="K78" s="270"/>
      <c r="L78"/>
      <c r="M78"/>
      <c r="N78"/>
      <c r="O78"/>
      <c r="P78"/>
      <c r="Q78"/>
      <c r="R78" s="1145"/>
      <c r="S78" s="2654"/>
      <c r="T78" s="2654"/>
      <c r="U78" s="1413"/>
      <c r="V78" s="3314"/>
      <c r="W78" s="3314"/>
      <c r="X78" s="3315"/>
      <c r="Y78" s="2654"/>
      <c r="Z78" s="2654"/>
      <c r="AA78" s="2654"/>
      <c r="AB78" s="2654"/>
      <c r="AC78" s="2654"/>
      <c r="AD78" s="2654"/>
      <c r="AF78" s="2595"/>
      <c r="AG78" s="2595"/>
      <c r="AH78" s="2595"/>
      <c r="AI78" s="2595"/>
      <c r="AJ78" s="2595"/>
      <c r="AK78" s="2595"/>
      <c r="AL78" s="2595"/>
      <c r="AM78" s="2595"/>
      <c r="AN78" s="2595"/>
    </row>
    <row r="79" spans="1:40" s="237" customFormat="1">
      <c r="A79" s="42"/>
      <c r="B79"/>
      <c r="C79"/>
      <c r="D79"/>
      <c r="E79"/>
      <c r="F79"/>
      <c r="G79"/>
      <c r="H79"/>
      <c r="I79"/>
      <c r="J79"/>
      <c r="K79" s="270"/>
      <c r="L79"/>
      <c r="M79"/>
      <c r="N79"/>
      <c r="O79"/>
      <c r="P79"/>
      <c r="Q79"/>
      <c r="R79" s="1145"/>
      <c r="S79" s="2654"/>
      <c r="T79" s="2654"/>
      <c r="U79" s="1145"/>
      <c r="V79" s="2654"/>
      <c r="W79" s="2654"/>
      <c r="X79" s="2654"/>
      <c r="Y79" s="2654"/>
      <c r="Z79" s="2654"/>
      <c r="AA79" s="2654"/>
      <c r="AB79" s="2654"/>
      <c r="AC79" s="2654"/>
      <c r="AD79" s="2654"/>
      <c r="AF79" s="2595"/>
      <c r="AG79" s="2595"/>
      <c r="AH79" s="2595"/>
      <c r="AI79" s="2595"/>
      <c r="AJ79" s="2595"/>
      <c r="AK79" s="2595"/>
      <c r="AL79" s="2595"/>
      <c r="AM79" s="2595"/>
      <c r="AN79" s="2595"/>
    </row>
    <row r="80" spans="1:40" s="237" customFormat="1">
      <c r="A80" s="42"/>
      <c r="B80"/>
      <c r="C80"/>
      <c r="D80"/>
      <c r="E80"/>
      <c r="F80"/>
      <c r="G80"/>
      <c r="H80"/>
      <c r="I80"/>
      <c r="J80"/>
      <c r="K80" s="270"/>
      <c r="L80"/>
      <c r="M80"/>
      <c r="N80"/>
      <c r="O80"/>
      <c r="P80"/>
      <c r="Q80"/>
      <c r="R80"/>
      <c r="U80"/>
      <c r="X80" s="1426"/>
      <c r="AF80" s="2595"/>
      <c r="AG80" s="2595"/>
      <c r="AH80" s="2595"/>
      <c r="AI80" s="2595"/>
      <c r="AJ80" s="2595"/>
      <c r="AK80" s="2595"/>
      <c r="AL80" s="2595"/>
      <c r="AM80" s="2595"/>
      <c r="AN80" s="2595"/>
    </row>
    <row r="81" spans="1:40" s="237" customFormat="1">
      <c r="A81" s="42"/>
      <c r="B81"/>
      <c r="C81"/>
      <c r="D81"/>
      <c r="E81"/>
      <c r="F81"/>
      <c r="G81"/>
      <c r="H81"/>
      <c r="I81"/>
      <c r="J81"/>
      <c r="K81" s="270"/>
      <c r="L81"/>
      <c r="M81"/>
      <c r="N81"/>
      <c r="O81"/>
      <c r="P81"/>
      <c r="Q81"/>
      <c r="R81"/>
      <c r="U81"/>
      <c r="AF81" s="2595"/>
      <c r="AG81" s="2595"/>
      <c r="AH81" s="2595"/>
      <c r="AI81" s="2595"/>
      <c r="AJ81" s="2595"/>
      <c r="AK81" s="2595"/>
      <c r="AL81" s="2595"/>
      <c r="AM81" s="2595"/>
      <c r="AN81" s="2595"/>
    </row>
    <row r="82" spans="1:40">
      <c r="V82" s="237"/>
      <c r="W82" s="237"/>
      <c r="X82" s="237"/>
      <c r="Y82" s="237"/>
      <c r="Z82" s="237"/>
      <c r="AA82" s="237"/>
      <c r="AB82" s="237"/>
      <c r="AC82" s="237"/>
      <c r="AD82" s="237"/>
    </row>
    <row r="83" spans="1:40">
      <c r="V83" s="237"/>
      <c r="W83" s="237"/>
      <c r="X83" s="237"/>
      <c r="Y83" s="237"/>
      <c r="Z83" s="237"/>
      <c r="AA83" s="237"/>
      <c r="AB83" s="237"/>
      <c r="AC83" s="237"/>
      <c r="AD83" s="237"/>
    </row>
    <row r="84" spans="1:40">
      <c r="V84" s="237"/>
      <c r="W84" s="237"/>
      <c r="X84" s="237"/>
      <c r="Y84" s="237"/>
      <c r="Z84" s="237"/>
      <c r="AA84" s="237"/>
      <c r="AB84" s="237"/>
      <c r="AC84" s="237"/>
      <c r="AD84" s="237"/>
    </row>
    <row r="85" spans="1:40">
      <c r="V85" s="237"/>
      <c r="W85" s="237"/>
      <c r="X85" s="237"/>
      <c r="Y85" s="237"/>
      <c r="Z85" s="237"/>
      <c r="AA85" s="237"/>
      <c r="AB85" s="237"/>
      <c r="AC85" s="237"/>
      <c r="AD85" s="237"/>
    </row>
    <row r="86" spans="1:40">
      <c r="V86" s="237"/>
      <c r="W86" s="237"/>
      <c r="X86" s="237"/>
      <c r="Y86" s="237"/>
      <c r="Z86" s="237"/>
      <c r="AA86" s="237"/>
      <c r="AB86" s="237"/>
      <c r="AC86" s="237"/>
      <c r="AD86" s="237"/>
    </row>
    <row r="87" spans="1:40">
      <c r="V87" s="237"/>
      <c r="W87" s="237"/>
      <c r="X87" s="237"/>
      <c r="Y87" s="237"/>
      <c r="Z87" s="237"/>
      <c r="AA87" s="237"/>
      <c r="AB87" s="237"/>
      <c r="AC87" s="237"/>
      <c r="AD87" s="237"/>
    </row>
    <row r="88" spans="1:40">
      <c r="V88" s="237"/>
      <c r="W88" s="237"/>
      <c r="X88" s="237"/>
      <c r="Y88" s="237"/>
      <c r="Z88" s="237"/>
      <c r="AA88" s="237"/>
      <c r="AB88" s="237"/>
      <c r="AC88" s="237"/>
      <c r="AD88" s="237"/>
    </row>
    <row r="89" spans="1:40">
      <c r="V89" s="237"/>
      <c r="W89" s="237"/>
      <c r="X89" s="237"/>
      <c r="Y89" s="237"/>
      <c r="Z89" s="237"/>
      <c r="AA89" s="237"/>
      <c r="AB89" s="237"/>
      <c r="AC89" s="237"/>
      <c r="AD89" s="237"/>
    </row>
    <row r="90" spans="1:40">
      <c r="V90" s="237"/>
      <c r="W90" s="237"/>
      <c r="X90" s="237"/>
      <c r="Y90" s="237"/>
      <c r="Z90" s="237"/>
      <c r="AA90" s="237"/>
      <c r="AB90" s="237"/>
      <c r="AC90" s="237"/>
      <c r="AD90" s="237"/>
    </row>
    <row r="91" spans="1:40">
      <c r="V91" s="237"/>
      <c r="W91" s="237"/>
      <c r="X91" s="237"/>
      <c r="Y91" s="237"/>
      <c r="Z91" s="237"/>
      <c r="AA91" s="237"/>
      <c r="AB91" s="237"/>
      <c r="AC91" s="237"/>
      <c r="AD91" s="237"/>
    </row>
    <row r="92" spans="1:40">
      <c r="V92" s="237"/>
      <c r="W92" s="237"/>
      <c r="X92" s="237"/>
      <c r="Y92" s="237"/>
      <c r="Z92" s="237"/>
      <c r="AA92" s="237"/>
      <c r="AB92" s="237"/>
      <c r="AC92" s="237"/>
      <c r="AD92" s="237"/>
    </row>
    <row r="93" spans="1:40">
      <c r="V93" s="237"/>
      <c r="W93" s="237"/>
      <c r="X93" s="237"/>
    </row>
  </sheetData>
  <sheetProtection algorithmName="SHA-512" hashValue="vR9qkskhWaGXI5sloOVuhOdgBZ3zuuupUnj6YW7izG6Wdy8mSQd6njmdOx9CLDrYydnq1PorPBjYn1DMad6MfQ==" saltValue="QFHyNiZ29UYrnIILo3MYmw==" spinCount="100000" sheet="1" objects="1" scenarios="1"/>
  <mergeCells count="22">
    <mergeCell ref="AB31:AC44"/>
    <mergeCell ref="C65:H65"/>
    <mergeCell ref="C67:H67"/>
    <mergeCell ref="C12:E13"/>
    <mergeCell ref="L10:N10"/>
    <mergeCell ref="B11:K11"/>
    <mergeCell ref="L11:N11"/>
    <mergeCell ref="C32:N32"/>
    <mergeCell ref="C39:N39"/>
    <mergeCell ref="V18:AC29"/>
    <mergeCell ref="P48:P49"/>
    <mergeCell ref="B8:D8"/>
    <mergeCell ref="E8:L8"/>
    <mergeCell ref="M8:N8"/>
    <mergeCell ref="B9:D9"/>
    <mergeCell ref="E9:L9"/>
    <mergeCell ref="M9:N9"/>
    <mergeCell ref="M5:N5"/>
    <mergeCell ref="B6:B7"/>
    <mergeCell ref="C6:D7"/>
    <mergeCell ref="M6:N7"/>
    <mergeCell ref="E7:L7"/>
  </mergeCells>
  <conditionalFormatting sqref="B2:B3">
    <cfRule type="expression" dxfId="150" priority="14">
      <formula>AND(N45&lt;&gt;"---",$Q$2)</formula>
    </cfRule>
  </conditionalFormatting>
  <conditionalFormatting sqref="B11:N11">
    <cfRule type="expression" dxfId="149" priority="115">
      <formula>IF(NoColor,1,0)</formula>
    </cfRule>
  </conditionalFormatting>
  <conditionalFormatting sqref="E54">
    <cfRule type="expression" dxfId="148" priority="21">
      <formula>($L$54&lt;0)</formula>
    </cfRule>
  </conditionalFormatting>
  <conditionalFormatting sqref="F12:F14">
    <cfRule type="expression" dxfId="147" priority="26">
      <formula>IF(NoColor,1,0)</formula>
    </cfRule>
  </conditionalFormatting>
  <conditionalFormatting sqref="L19">
    <cfRule type="expression" dxfId="146" priority="114">
      <formula>IF(NoColor,1,0)</formula>
    </cfRule>
  </conditionalFormatting>
  <conditionalFormatting sqref="L21">
    <cfRule type="expression" dxfId="145" priority="87">
      <formula>IF(NoColor,1,0)</formula>
    </cfRule>
  </conditionalFormatting>
  <conditionalFormatting sqref="L23">
    <cfRule type="expression" dxfId="144" priority="29">
      <formula>IF(NoColor,1,0)</formula>
    </cfRule>
  </conditionalFormatting>
  <conditionalFormatting sqref="L25">
    <cfRule type="expression" dxfId="143" priority="58">
      <formula>IF(NoColor,1,0)</formula>
    </cfRule>
  </conditionalFormatting>
  <conditionalFormatting sqref="L27">
    <cfRule type="expression" dxfId="142" priority="57">
      <formula>IF(NoColor,1,0)</formula>
    </cfRule>
  </conditionalFormatting>
  <conditionalFormatting sqref="L33:L35">
    <cfRule type="expression" dxfId="141" priority="15">
      <formula>IF(NoColor,1,0)</formula>
    </cfRule>
  </conditionalFormatting>
  <conditionalFormatting sqref="L43:L45">
    <cfRule type="expression" dxfId="140" priority="33">
      <formula>IF(NoColor,1,0)</formula>
    </cfRule>
  </conditionalFormatting>
  <conditionalFormatting sqref="L50">
    <cfRule type="expression" dxfId="139" priority="50">
      <formula>IF(NoColor,1,0)</formula>
    </cfRule>
  </conditionalFormatting>
  <conditionalFormatting sqref="L52">
    <cfRule type="expression" dxfId="138" priority="49">
      <formula>IF(NoColor,1,0)</formula>
    </cfRule>
  </conditionalFormatting>
  <conditionalFormatting sqref="L54:L57">
    <cfRule type="expression" dxfId="137" priority="46">
      <formula>IF(NoColor,1,0)</formula>
    </cfRule>
  </conditionalFormatting>
  <conditionalFormatting sqref="M3">
    <cfRule type="expression" dxfId="136" priority="13">
      <formula>NOT(F8960_Applicable)</formula>
    </cfRule>
  </conditionalFormatting>
  <conditionalFormatting sqref="N15:N17">
    <cfRule type="expression" dxfId="135" priority="24">
      <formula>IF(NoColor,1,0)</formula>
    </cfRule>
  </conditionalFormatting>
  <conditionalFormatting sqref="N22">
    <cfRule type="expression" dxfId="134" priority="86">
      <formula>IF(NoColor,1,0)</formula>
    </cfRule>
  </conditionalFormatting>
  <conditionalFormatting sqref="N28:N31">
    <cfRule type="expression" dxfId="133" priority="55">
      <formula>IF(NoColor,1,0)</formula>
    </cfRule>
  </conditionalFormatting>
  <conditionalFormatting sqref="N36:N38">
    <cfRule type="expression" dxfId="132" priority="51">
      <formula>IF(NoColor,1,0)</formula>
    </cfRule>
  </conditionalFormatting>
  <conditionalFormatting sqref="N41:N46">
    <cfRule type="expression" dxfId="131" priority="35">
      <formula>IF(NoColor,1,0)</formula>
    </cfRule>
  </conditionalFormatting>
  <conditionalFormatting sqref="N48:N49">
    <cfRule type="expression" dxfId="130" priority="66">
      <formula>IF(NoColor,1,0)</formula>
    </cfRule>
  </conditionalFormatting>
  <conditionalFormatting sqref="N58">
    <cfRule type="expression" dxfId="129" priority="91">
      <formula>IF(NoColor,1,0)</formula>
    </cfRule>
  </conditionalFormatting>
  <conditionalFormatting sqref="N60">
    <cfRule type="expression" dxfId="128" priority="92">
      <formula>IF(NoColor,1,0)</formula>
    </cfRule>
  </conditionalFormatting>
  <conditionalFormatting sqref="O21">
    <cfRule type="expression" dxfId="127" priority="23">
      <formula>IF($L$21&lt;&gt;"",TRUE,FALSE)</formula>
    </cfRule>
  </conditionalFormatting>
  <conditionalFormatting sqref="Q21">
    <cfRule type="expression" dxfId="126" priority="22">
      <formula>IF($L$21&lt;&gt;"",TRUE,FALSE)</formula>
    </cfRule>
  </conditionalFormatting>
  <conditionalFormatting sqref="S46:S50">
    <cfRule type="expression" dxfId="125" priority="2">
      <formula>AND(F8960_Tax&lt;&gt;"",F8960_Tax&gt;0)</formula>
    </cfRule>
  </conditionalFormatting>
  <conditionalFormatting sqref="U9:V9">
    <cfRule type="expression" dxfId="124" priority="8">
      <formula>AND(File_Marr_Sep&lt;&gt;"",F8960_Applicable)</formula>
    </cfRule>
  </conditionalFormatting>
  <conditionalFormatting sqref="U10:V10">
    <cfRule type="expression" dxfId="123" priority="7">
      <formula>AND(OR(File_Single&lt;&gt;"",File_Head&lt;&gt;""),F8960_Applicable)</formula>
    </cfRule>
  </conditionalFormatting>
  <conditionalFormatting sqref="U72:V72">
    <cfRule type="expression" dxfId="122" priority="17">
      <formula>IF(NoColor,1,0)</formula>
    </cfRule>
  </conditionalFormatting>
  <conditionalFormatting sqref="U75:V75">
    <cfRule type="expression" dxfId="121" priority="16">
      <formula>IF(NoColor,1,0)</formula>
    </cfRule>
  </conditionalFormatting>
  <conditionalFormatting sqref="U8:W8">
    <cfRule type="expression" dxfId="120" priority="9">
      <formula>AND(OR(File_Marr_Joint&lt;&gt;"",File_Qual_Widow&lt;&gt;""),F8960_Applicable)</formula>
    </cfRule>
  </conditionalFormatting>
  <conditionalFormatting sqref="AA57">
    <cfRule type="expression" dxfId="119" priority="41">
      <formula>IF(NoColor,1,0)</formula>
    </cfRule>
  </conditionalFormatting>
  <conditionalFormatting sqref="AA60">
    <cfRule type="expression" dxfId="118" priority="30">
      <formula>IF(NoColor,1,0)</formula>
    </cfRule>
  </conditionalFormatting>
  <conditionalFormatting sqref="AC53">
    <cfRule type="expression" dxfId="117" priority="37">
      <formula>IF(NoColor,1,0)</formula>
    </cfRule>
  </conditionalFormatting>
  <conditionalFormatting sqref="AC61">
    <cfRule type="expression" dxfId="116" priority="43">
      <formula>IF(NoColor,1,0)</formula>
    </cfRule>
  </conditionalFormatting>
  <conditionalFormatting sqref="AC63">
    <cfRule type="expression" dxfId="115" priority="36">
      <formula>IF(NoColor,1,0)</formula>
    </cfRule>
  </conditionalFormatting>
  <conditionalFormatting sqref="AC66">
    <cfRule type="expression" dxfId="114" priority="38">
      <formula>IF(NoColor,1,0)</formula>
    </cfRule>
  </conditionalFormatting>
  <hyperlinks>
    <hyperlink ref="C65:H65" r:id="rId1" display="Download Form 8960" xr:uid="{00000000-0004-0000-3500-000000000000}"/>
    <hyperlink ref="C67:H67" r:id="rId2" display="Download Form 8960 Instructions" xr:uid="{00000000-0004-0000-3500-000001000000}"/>
  </hyperlinks>
  <printOptions horizontalCentered="1"/>
  <pageMargins left="0.44" right="0.25" top="0.47" bottom="0.25" header="0.27" footer="0.25"/>
  <pageSetup scale="92" fitToHeight="0" orientation="portrait" r:id="rId3"/>
  <headerFooter alignWithMargins="0"/>
  <rowBreaks count="1" manualBreakCount="1">
    <brk id="61" min="1" max="12" man="1"/>
  </rowBreaks>
  <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BW326"/>
  <sheetViews>
    <sheetView zoomScaleNormal="100" zoomScaleSheetLayoutView="100" workbookViewId="0">
      <selection activeCell="AI14" sqref="AI14"/>
    </sheetView>
  </sheetViews>
  <sheetFormatPr defaultColWidth="9.140625" defaultRowHeight="12.75"/>
  <cols>
    <col min="1" max="1" width="3.7109375" style="42" customWidth="1"/>
    <col min="2" max="2" width="4.7109375" style="42" customWidth="1"/>
    <col min="3" max="3" width="4.5703125" style="42" customWidth="1"/>
    <col min="4" max="8" width="3.7109375" style="42" customWidth="1"/>
    <col min="9" max="9" width="4.7109375" style="42" customWidth="1"/>
    <col min="10" max="10" width="3.7109375" style="42" customWidth="1"/>
    <col min="11" max="11" width="4.85546875" style="42" customWidth="1"/>
    <col min="12" max="12" width="3.7109375" style="42" customWidth="1"/>
    <col min="13" max="13" width="4.7109375" style="42" customWidth="1"/>
    <col min="14" max="14" width="4.42578125" style="42" customWidth="1"/>
    <col min="15" max="17" width="3.7109375" style="42" customWidth="1"/>
    <col min="18" max="18" width="4.7109375" style="42" customWidth="1"/>
    <col min="19" max="19" width="3.7109375" style="42" customWidth="1"/>
    <col min="20" max="20" width="4.42578125" style="42" customWidth="1"/>
    <col min="21" max="23" width="3.7109375" style="42" customWidth="1"/>
    <col min="24" max="24" width="4.7109375" style="42" customWidth="1"/>
    <col min="25" max="27" width="3.7109375" style="42" customWidth="1"/>
    <col min="28" max="28" width="4.42578125" style="42" customWidth="1"/>
    <col min="29" max="29" width="4.7109375" style="42" customWidth="1"/>
    <col min="30" max="32" width="3.7109375" style="42" customWidth="1"/>
    <col min="33" max="33" width="4.42578125" style="42" customWidth="1"/>
    <col min="34" max="36" width="3.7109375" style="42" customWidth="1"/>
    <col min="37" max="37" width="9.140625" style="42"/>
    <col min="38" max="38" width="4.42578125" style="42" customWidth="1"/>
    <col min="39" max="39" width="12.5703125" style="42" customWidth="1"/>
    <col min="40" max="40" width="2" style="42" customWidth="1"/>
    <col min="41" max="44" width="9.140625" style="42"/>
    <col min="45" max="45" width="13" style="42" customWidth="1"/>
    <col min="46" max="46" width="8.28515625" style="42" customWidth="1"/>
    <col min="47" max="48" width="9.85546875" style="42" customWidth="1"/>
    <col min="49" max="49" width="3.28515625" style="42" customWidth="1"/>
    <col min="50" max="50" width="9.140625" style="42" customWidth="1"/>
    <col min="51" max="51" width="2.85546875" style="42" customWidth="1"/>
    <col min="52" max="52" width="3.7109375" style="42" customWidth="1"/>
    <col min="53" max="54" width="9.140625" style="42"/>
    <col min="55" max="55" width="12.85546875" style="42" customWidth="1"/>
    <col min="56" max="56" width="10" style="42" bestFit="1" customWidth="1"/>
    <col min="57" max="57" width="13" style="42" customWidth="1"/>
    <col min="58" max="58" width="5.140625" style="42" customWidth="1"/>
    <col min="59" max="60" width="9.85546875" style="42" customWidth="1"/>
    <col min="61" max="61" width="3.42578125" style="42" customWidth="1"/>
    <col min="62" max="63" width="9.140625" style="42"/>
    <col min="64" max="64" width="5.140625" style="42" customWidth="1"/>
    <col min="65" max="73" width="10.7109375" style="2595" customWidth="1"/>
    <col min="74" max="16384" width="9.140625" style="42"/>
  </cols>
  <sheetData>
    <row r="1" spans="1:65" ht="24" customHeight="1">
      <c r="A1" s="1127"/>
      <c r="B1" s="1588" t="s">
        <v>1149</v>
      </c>
      <c r="C1" s="1127"/>
      <c r="D1" s="1127"/>
      <c r="E1" s="1127"/>
      <c r="F1" s="1127"/>
      <c r="G1" s="1127"/>
      <c r="H1" s="1127"/>
      <c r="I1" s="1127"/>
      <c r="J1" s="1127"/>
      <c r="K1" s="1127"/>
      <c r="L1" s="1127"/>
      <c r="M1" s="1127"/>
      <c r="N1" s="1127"/>
      <c r="O1" s="1127"/>
      <c r="P1" s="1127"/>
      <c r="Q1" s="1127"/>
      <c r="R1" s="1589"/>
      <c r="S1" s="1127"/>
      <c r="T1" s="1127"/>
      <c r="U1" s="1127"/>
      <c r="V1" s="1127"/>
      <c r="W1" s="1127"/>
      <c r="X1" s="1127"/>
      <c r="Y1" s="1127"/>
      <c r="Z1" s="1127"/>
      <c r="AA1" s="1127"/>
      <c r="AB1" s="1127"/>
      <c r="AC1" s="1127"/>
      <c r="AD1" s="1127"/>
      <c r="AE1" s="1127"/>
      <c r="AF1" s="1127"/>
      <c r="AG1" s="1127"/>
      <c r="AH1" s="1127"/>
      <c r="AI1" s="1127"/>
      <c r="AJ1" s="1127"/>
      <c r="AK1" s="1127"/>
      <c r="AL1" s="1179"/>
      <c r="AM1" s="1179"/>
      <c r="AN1" s="1179"/>
      <c r="AO1" s="1179"/>
      <c r="AP1" s="1179"/>
      <c r="AQ1" s="1179"/>
      <c r="AR1" s="1179"/>
      <c r="AS1" s="1179"/>
      <c r="AT1" s="1179"/>
      <c r="AU1" s="1179"/>
      <c r="AV1" s="1179"/>
      <c r="AW1" s="1179"/>
      <c r="AX1" s="1179"/>
      <c r="AY1" s="1179"/>
      <c r="AZ1" s="1179"/>
      <c r="BA1" s="1179"/>
      <c r="BB1" s="1179"/>
      <c r="BC1" s="1678"/>
      <c r="BD1" s="1179"/>
      <c r="BE1" s="1179"/>
      <c r="BF1" s="1179"/>
      <c r="BG1" s="1179"/>
      <c r="BH1" s="1179"/>
      <c r="BI1" s="1179"/>
      <c r="BJ1" s="1179"/>
      <c r="BK1" s="1179"/>
      <c r="BL1" s="1179"/>
      <c r="BM1" s="2594" t="s">
        <v>2033</v>
      </c>
    </row>
    <row r="2" spans="1:65" ht="13.5" customHeight="1">
      <c r="A2" s="1127"/>
      <c r="B2" s="1887" t="str">
        <f>IF(AND(NOT(Alaska),NOT(Hawaii)),"X","")</f>
        <v>X</v>
      </c>
      <c r="C2" s="1587" t="s">
        <v>1150</v>
      </c>
      <c r="D2" s="1127"/>
      <c r="E2" s="1127"/>
      <c r="F2" s="1127"/>
      <c r="G2" s="1127"/>
      <c r="H2" s="1127"/>
      <c r="I2" s="1127"/>
      <c r="J2" s="1127"/>
      <c r="K2" s="1127"/>
      <c r="L2" s="1887" t="str">
        <f>IF(Alaska,"X","")</f>
        <v/>
      </c>
      <c r="M2" s="1587" t="s">
        <v>1093</v>
      </c>
      <c r="N2" s="1127"/>
      <c r="O2" s="1127"/>
      <c r="P2" s="1127"/>
      <c r="Q2" s="1127"/>
      <c r="R2" s="1589" t="str">
        <f>IF(AL2&lt;1,"Check one.",IF(AL2&gt;1,"Check ONLY ONE.",""))</f>
        <v/>
      </c>
      <c r="S2" s="1127"/>
      <c r="T2" s="1127"/>
      <c r="U2" s="1127"/>
      <c r="V2" s="1887" t="str">
        <f>IF(Hawaii,"X","")</f>
        <v/>
      </c>
      <c r="W2" s="1587" t="s">
        <v>1094</v>
      </c>
      <c r="X2" s="1127"/>
      <c r="Y2" s="1127"/>
      <c r="Z2" s="1127"/>
      <c r="AA2" s="1127"/>
      <c r="AB2" s="1127"/>
      <c r="AC2" s="1127"/>
      <c r="AD2" s="1127"/>
      <c r="AE2" s="1127"/>
      <c r="AF2" s="1127"/>
      <c r="AG2" s="1127"/>
      <c r="AH2" s="1127"/>
      <c r="AI2" s="1127"/>
      <c r="AJ2" s="1127"/>
      <c r="AK2" s="1127"/>
      <c r="AL2" s="4281">
        <f>SUM(AM2,AO2,AP2)</f>
        <v>1</v>
      </c>
      <c r="AM2" s="1284">
        <f>IF(B2&lt;&gt;"",1,0)</f>
        <v>1</v>
      </c>
      <c r="AN2" s="1284"/>
      <c r="AO2" s="1284">
        <f>IF(L2&lt;&gt;"",1,0)</f>
        <v>0</v>
      </c>
      <c r="AP2" s="1284">
        <f>IF(V2&lt;&gt;"",1,0)</f>
        <v>0</v>
      </c>
      <c r="AQ2" s="1179"/>
      <c r="AR2" s="1179"/>
      <c r="AS2" s="9900" t="s">
        <v>1146</v>
      </c>
      <c r="AT2" s="9901"/>
      <c r="AU2" s="9901"/>
      <c r="AV2" s="9901"/>
      <c r="AW2" s="9901"/>
      <c r="AX2" s="9901"/>
      <c r="AY2" s="1680"/>
      <c r="AZ2" s="1179"/>
      <c r="BA2" s="1179"/>
      <c r="BB2" s="1276"/>
      <c r="BC2" s="1678"/>
      <c r="BD2" s="1678"/>
      <c r="BE2" s="1678"/>
      <c r="BF2" s="1179"/>
      <c r="BG2" s="1179"/>
      <c r="BH2" s="1179"/>
      <c r="BI2" s="1179"/>
      <c r="BJ2" s="1179"/>
      <c r="BK2" s="1179"/>
      <c r="BL2" s="1179"/>
    </row>
    <row r="3" spans="1:65" ht="24" customHeight="1">
      <c r="A3" s="1127"/>
      <c r="B3" s="1127"/>
      <c r="C3" s="1127"/>
      <c r="D3" s="1127"/>
      <c r="E3" s="1127"/>
      <c r="F3" s="1127"/>
      <c r="G3" s="1127"/>
      <c r="H3" s="1127"/>
      <c r="I3" s="1127"/>
      <c r="J3" s="1127"/>
      <c r="K3" s="1127"/>
      <c r="L3" s="1127"/>
      <c r="M3" s="1127"/>
      <c r="N3" s="1127"/>
      <c r="O3" s="1127"/>
      <c r="P3" s="1127"/>
      <c r="Q3" s="1127"/>
      <c r="R3" s="1127"/>
      <c r="S3" s="1127"/>
      <c r="T3" s="1127"/>
      <c r="U3" s="1127"/>
      <c r="V3" s="1127"/>
      <c r="W3" s="1127"/>
      <c r="X3" s="1127"/>
      <c r="Y3" s="1127"/>
      <c r="Z3" s="1127"/>
      <c r="AA3" s="1127"/>
      <c r="AB3" s="1127"/>
      <c r="AC3" s="1127"/>
      <c r="AD3" s="1127"/>
      <c r="AE3" s="1127"/>
      <c r="AF3" s="1127"/>
      <c r="AG3" s="1127"/>
      <c r="AH3" s="1127"/>
      <c r="AI3" s="1127"/>
      <c r="AJ3" s="1127"/>
      <c r="AK3" s="1127"/>
      <c r="AL3" s="1179"/>
      <c r="AM3" s="1179"/>
      <c r="AN3" s="1179"/>
      <c r="AO3" s="1179"/>
      <c r="AP3" s="1179"/>
      <c r="AQ3" s="1179"/>
      <c r="AR3" s="1179"/>
      <c r="AS3" s="9901"/>
      <c r="AT3" s="9901"/>
      <c r="AU3" s="9901"/>
      <c r="AV3" s="9901"/>
      <c r="AW3" s="9901"/>
      <c r="AX3" s="9901"/>
      <c r="AY3" s="1680"/>
      <c r="AZ3" s="1179"/>
      <c r="BA3" s="1179"/>
      <c r="BB3" s="1179"/>
      <c r="BC3" s="1179"/>
      <c r="BD3" s="1179"/>
      <c r="BE3" s="1179"/>
      <c r="BF3" s="1179"/>
      <c r="BG3" s="1179"/>
      <c r="BH3" s="1179"/>
      <c r="BI3" s="1179"/>
      <c r="BJ3" s="1276"/>
      <c r="BK3" s="1276"/>
      <c r="BL3" s="1179"/>
    </row>
    <row r="4" spans="1:65" ht="18" customHeight="1">
      <c r="A4" s="1127"/>
      <c r="B4" s="1179"/>
      <c r="C4" s="1179"/>
      <c r="D4" s="8623" t="s">
        <v>1090</v>
      </c>
      <c r="E4" s="8624"/>
      <c r="F4" s="8624"/>
      <c r="G4" s="8624"/>
      <c r="H4" s="1244"/>
      <c r="I4" s="3311"/>
      <c r="J4" s="1179"/>
      <c r="K4" s="1179"/>
      <c r="L4" s="1179"/>
      <c r="M4" s="1179"/>
      <c r="N4" s="1179"/>
      <c r="O4" s="1179"/>
      <c r="P4" s="1179"/>
      <c r="Q4" s="1179"/>
      <c r="R4" s="1179"/>
      <c r="S4" s="1179"/>
      <c r="T4" s="1179"/>
      <c r="U4" s="1179"/>
      <c r="V4" s="1179"/>
      <c r="W4" s="1179"/>
      <c r="X4" s="1179"/>
      <c r="Y4" s="1179"/>
      <c r="Z4" s="1179"/>
      <c r="AA4" s="1179"/>
      <c r="AB4" s="3245"/>
      <c r="AC4" s="9436" t="s">
        <v>152</v>
      </c>
      <c r="AD4" s="8628"/>
      <c r="AE4" s="8628"/>
      <c r="AF4" s="8628"/>
      <c r="AG4" s="8628"/>
      <c r="AH4" s="8628"/>
      <c r="AI4" s="8628"/>
      <c r="AJ4" s="8628"/>
      <c r="AK4" s="1127"/>
      <c r="AL4" s="1179"/>
      <c r="AM4" s="1179"/>
      <c r="AN4" s="1179"/>
      <c r="AO4" s="1179"/>
      <c r="AP4" s="1179"/>
      <c r="AQ4" s="1179"/>
      <c r="AR4" s="1179"/>
      <c r="AS4" s="9901"/>
      <c r="AT4" s="9901"/>
      <c r="AU4" s="9901"/>
      <c r="AV4" s="9901"/>
      <c r="AW4" s="9901"/>
      <c r="AX4" s="9901"/>
      <c r="AY4" s="1680"/>
      <c r="AZ4" s="1179"/>
      <c r="BA4" s="1179"/>
      <c r="BB4" s="1179"/>
      <c r="BC4" s="1179"/>
      <c r="BD4" s="1179"/>
      <c r="BE4" s="1179"/>
      <c r="BF4" s="1179"/>
      <c r="BG4" s="1179"/>
      <c r="BH4" s="1179"/>
      <c r="BI4" s="1179"/>
      <c r="BJ4" s="1276"/>
      <c r="BK4" s="1276"/>
      <c r="BL4" s="1179"/>
    </row>
    <row r="5" spans="1:65" ht="24" customHeight="1">
      <c r="A5" s="1127"/>
      <c r="B5" s="8629" t="s">
        <v>291</v>
      </c>
      <c r="C5" s="6406"/>
      <c r="D5" s="8624"/>
      <c r="E5" s="8624"/>
      <c r="F5" s="8624"/>
      <c r="G5" s="8624"/>
      <c r="H5" s="1244"/>
      <c r="I5" s="8625" t="s">
        <v>1091</v>
      </c>
      <c r="J5" s="9444"/>
      <c r="K5" s="9444"/>
      <c r="L5" s="9444"/>
      <c r="M5" s="9444"/>
      <c r="N5" s="9444"/>
      <c r="O5" s="9444"/>
      <c r="P5" s="9444"/>
      <c r="Q5" s="9444"/>
      <c r="R5" s="9444"/>
      <c r="S5" s="9444"/>
      <c r="T5" s="9444"/>
      <c r="U5" s="9444"/>
      <c r="V5" s="9444"/>
      <c r="W5" s="9444"/>
      <c r="X5" s="9444"/>
      <c r="Y5" s="9444"/>
      <c r="Z5" s="9444"/>
      <c r="AA5" s="9444"/>
      <c r="AB5" s="9445"/>
      <c r="AC5" s="8630">
        <f>TaxYear</f>
        <v>2021</v>
      </c>
      <c r="AD5" s="8631"/>
      <c r="AE5" s="8631"/>
      <c r="AF5" s="8631"/>
      <c r="AG5" s="8631"/>
      <c r="AH5" s="8631"/>
      <c r="AI5" s="8631"/>
      <c r="AJ5" s="8631"/>
      <c r="AK5" s="1127"/>
      <c r="AL5" s="1179"/>
      <c r="AM5" s="9874" t="s">
        <v>2128</v>
      </c>
      <c r="AN5" s="9874"/>
      <c r="AO5" s="9875"/>
      <c r="AP5" s="9875"/>
      <c r="AQ5" s="9875"/>
      <c r="AR5" s="9875"/>
      <c r="AS5" s="9901"/>
      <c r="AT5" s="9901"/>
      <c r="AU5" s="9901"/>
      <c r="AV5" s="9901"/>
      <c r="AW5" s="9901"/>
      <c r="AX5" s="9901"/>
      <c r="AY5" s="1680"/>
      <c r="AZ5" s="1179"/>
      <c r="BA5" s="1179"/>
      <c r="BB5" s="1179"/>
      <c r="BC5" s="1179"/>
      <c r="BD5" s="1179"/>
      <c r="BE5" s="1179"/>
      <c r="BF5" s="1179"/>
      <c r="BG5" s="1179"/>
      <c r="BH5" s="1179"/>
      <c r="BI5" s="1179"/>
      <c r="BJ5" s="1276"/>
      <c r="BK5" s="1276"/>
      <c r="BL5" s="1179"/>
    </row>
    <row r="6" spans="1:65" ht="6.75" customHeight="1">
      <c r="A6" s="1127"/>
      <c r="B6" s="1179"/>
      <c r="C6" s="1179"/>
      <c r="D6" s="1179"/>
      <c r="E6" s="1179"/>
      <c r="F6" s="1179"/>
      <c r="G6" s="1179"/>
      <c r="H6" s="1244"/>
      <c r="I6" s="1547"/>
      <c r="J6" s="1548"/>
      <c r="K6" s="1548"/>
      <c r="L6" s="1548"/>
      <c r="M6" s="1548"/>
      <c r="N6" s="1548"/>
      <c r="O6" s="1548"/>
      <c r="P6" s="1548"/>
      <c r="Q6" s="1548"/>
      <c r="R6" s="1548"/>
      <c r="S6" s="1548"/>
      <c r="T6" s="1548"/>
      <c r="U6" s="1548"/>
      <c r="V6" s="1548"/>
      <c r="W6" s="1548"/>
      <c r="X6" s="1548"/>
      <c r="Y6" s="1548"/>
      <c r="Z6" s="1548"/>
      <c r="AA6" s="1548"/>
      <c r="AB6" s="1549"/>
      <c r="AC6" s="8632"/>
      <c r="AD6" s="8633"/>
      <c r="AE6" s="8633"/>
      <c r="AF6" s="8633"/>
      <c r="AG6" s="8633"/>
      <c r="AH6" s="8633"/>
      <c r="AI6" s="8633"/>
      <c r="AJ6" s="8633"/>
      <c r="AK6" s="1127"/>
      <c r="AL6" s="1179"/>
      <c r="AM6" s="9875"/>
      <c r="AN6" s="9875"/>
      <c r="AO6" s="9875"/>
      <c r="AP6" s="9875"/>
      <c r="AQ6" s="9875"/>
      <c r="AR6" s="9875"/>
      <c r="AS6" s="9901"/>
      <c r="AT6" s="9901"/>
      <c r="AU6" s="9901"/>
      <c r="AV6" s="9901"/>
      <c r="AW6" s="9901"/>
      <c r="AX6" s="9901"/>
      <c r="AY6" s="1680"/>
      <c r="AZ6" s="1179"/>
      <c r="BA6" s="1179"/>
      <c r="BB6" s="1179"/>
      <c r="BC6" s="1179"/>
      <c r="BD6" s="1179"/>
      <c r="BE6" s="1179"/>
      <c r="BF6" s="1179"/>
      <c r="BG6" s="1179"/>
      <c r="BH6" s="1179"/>
      <c r="BI6" s="1179"/>
      <c r="BJ6" s="1276"/>
      <c r="BK6" s="1276"/>
      <c r="BL6" s="1179"/>
    </row>
    <row r="7" spans="1:65" ht="12.75" customHeight="1">
      <c r="A7" s="1127"/>
      <c r="B7" s="1179" t="s">
        <v>176</v>
      </c>
      <c r="C7" s="1179"/>
      <c r="D7" s="1179"/>
      <c r="E7" s="1179"/>
      <c r="F7" s="1179"/>
      <c r="G7" s="1179"/>
      <c r="H7" s="1244"/>
      <c r="I7" s="9431" t="s">
        <v>3286</v>
      </c>
      <c r="J7" s="9432"/>
      <c r="K7" s="9432"/>
      <c r="L7" s="9432"/>
      <c r="M7" s="9432"/>
      <c r="N7" s="9432"/>
      <c r="O7" s="9432"/>
      <c r="P7" s="9432"/>
      <c r="Q7" s="9432"/>
      <c r="R7" s="9432"/>
      <c r="S7" s="9432"/>
      <c r="T7" s="9432"/>
      <c r="U7" s="9432"/>
      <c r="V7" s="9432"/>
      <c r="W7" s="9432"/>
      <c r="X7" s="9432"/>
      <c r="Y7" s="9432"/>
      <c r="Z7" s="9432"/>
      <c r="AA7" s="9432"/>
      <c r="AB7" s="9433"/>
      <c r="AC7" s="1278"/>
      <c r="AD7" s="8894" t="s">
        <v>781</v>
      </c>
      <c r="AE7" s="6665"/>
      <c r="AF7" s="6665"/>
      <c r="AG7" s="6665"/>
      <c r="AH7" s="7744">
        <v>73</v>
      </c>
      <c r="AI7" s="7744"/>
      <c r="AJ7" s="1179"/>
      <c r="AK7" s="1127"/>
      <c r="AL7" s="1179"/>
      <c r="AM7" s="9875"/>
      <c r="AN7" s="9875"/>
      <c r="AO7" s="9875"/>
      <c r="AP7" s="9875"/>
      <c r="AQ7" s="9875"/>
      <c r="AR7" s="9875"/>
      <c r="AS7" s="9901"/>
      <c r="AT7" s="9901"/>
      <c r="AU7" s="9901"/>
      <c r="AV7" s="9901"/>
      <c r="AW7" s="9901"/>
      <c r="AX7" s="9901"/>
      <c r="AY7" s="1680"/>
      <c r="AZ7" s="1179"/>
      <c r="BA7" s="1179"/>
      <c r="BB7" s="1179"/>
      <c r="BC7" s="1179"/>
      <c r="BD7" s="1179"/>
      <c r="BE7" s="1179"/>
      <c r="BF7" s="1179"/>
      <c r="BG7" s="1179"/>
      <c r="BH7" s="1179"/>
      <c r="BI7" s="1179"/>
      <c r="BJ7" s="1276"/>
      <c r="BK7" s="1276"/>
      <c r="BL7" s="1179"/>
    </row>
    <row r="8" spans="1:65" ht="13.5" customHeight="1" thickBot="1">
      <c r="A8" s="1127"/>
      <c r="B8" s="1280" t="s">
        <v>395</v>
      </c>
      <c r="C8" s="1280"/>
      <c r="D8" s="1280"/>
      <c r="E8" s="1280"/>
      <c r="F8" s="1280"/>
      <c r="G8" s="1280"/>
      <c r="H8" s="1281"/>
      <c r="I8" s="9448" t="s">
        <v>2987</v>
      </c>
      <c r="J8" s="9449"/>
      <c r="K8" s="9449"/>
      <c r="L8" s="9449"/>
      <c r="M8" s="9449"/>
      <c r="N8" s="9449"/>
      <c r="O8" s="9449"/>
      <c r="P8" s="9449"/>
      <c r="Q8" s="9449"/>
      <c r="R8" s="9449"/>
      <c r="S8" s="9449"/>
      <c r="T8" s="9449"/>
      <c r="U8" s="9449"/>
      <c r="V8" s="9449"/>
      <c r="W8" s="9449"/>
      <c r="X8" s="9449"/>
      <c r="Y8" s="9449"/>
      <c r="Z8" s="9449"/>
      <c r="AA8" s="9449"/>
      <c r="AB8" s="9450"/>
      <c r="AC8" s="1550"/>
      <c r="AD8" s="8876" t="s">
        <v>1128</v>
      </c>
      <c r="AE8" s="8877"/>
      <c r="AF8" s="8877"/>
      <c r="AG8" s="8877"/>
      <c r="AH8" s="8895"/>
      <c r="AI8" s="8895"/>
      <c r="AJ8" s="1280"/>
      <c r="AK8" s="1127"/>
      <c r="AL8" s="1179"/>
      <c r="AM8" s="9875"/>
      <c r="AN8" s="9875"/>
      <c r="AO8" s="9875"/>
      <c r="AP8" s="9875"/>
      <c r="AQ8" s="9875"/>
      <c r="AR8" s="9875"/>
      <c r="AS8" s="9901"/>
      <c r="AT8" s="9901"/>
      <c r="AU8" s="9901"/>
      <c r="AV8" s="9901"/>
      <c r="AW8" s="9901"/>
      <c r="AX8" s="9901"/>
      <c r="AY8" s="1680"/>
      <c r="AZ8" s="1179"/>
      <c r="BA8" s="1179"/>
      <c r="BB8" s="1179"/>
      <c r="BC8" s="1179"/>
      <c r="BD8" s="1179"/>
      <c r="BE8" s="1179"/>
      <c r="BF8" s="1179"/>
      <c r="BG8" s="1179"/>
      <c r="BH8" s="1179"/>
      <c r="BI8" s="1179"/>
      <c r="BJ8" s="1276"/>
      <c r="BK8" s="1276"/>
      <c r="BL8" s="1179"/>
    </row>
    <row r="9" spans="1:65">
      <c r="A9" s="1127"/>
      <c r="B9" s="1551" t="s">
        <v>1092</v>
      </c>
      <c r="C9" s="1551"/>
      <c r="D9" s="1551"/>
      <c r="E9" s="1551"/>
      <c r="F9" s="1551"/>
      <c r="G9" s="1551"/>
      <c r="H9" s="1551"/>
      <c r="I9" s="1551"/>
      <c r="J9" s="1551"/>
      <c r="K9" s="1551"/>
      <c r="L9" s="1551"/>
      <c r="M9" s="1551"/>
      <c r="N9" s="1551"/>
      <c r="O9" s="1551"/>
      <c r="P9" s="1551"/>
      <c r="Q9" s="1551"/>
      <c r="R9" s="1551"/>
      <c r="S9" s="1551"/>
      <c r="T9" s="1551"/>
      <c r="U9" s="1551"/>
      <c r="V9" s="1551"/>
      <c r="W9" s="1551"/>
      <c r="X9" s="1551"/>
      <c r="Y9" s="1552" t="s">
        <v>89</v>
      </c>
      <c r="Z9" s="1274"/>
      <c r="AA9" s="1274"/>
      <c r="AB9" s="1274"/>
      <c r="AC9" s="1582"/>
      <c r="AD9" s="1702"/>
      <c r="AE9" s="1702"/>
      <c r="AF9" s="1702"/>
      <c r="AG9" s="1702"/>
      <c r="AH9" s="1702"/>
      <c r="AI9" s="1702"/>
      <c r="AJ9" s="1702"/>
      <c r="AK9" s="1127"/>
      <c r="AL9" s="1179"/>
      <c r="AM9" s="9875"/>
      <c r="AN9" s="9875"/>
      <c r="AO9" s="9875"/>
      <c r="AP9" s="9875"/>
      <c r="AQ9" s="9875"/>
      <c r="AR9" s="9875"/>
      <c r="AS9" s="9901"/>
      <c r="AT9" s="9901"/>
      <c r="AU9" s="9901"/>
      <c r="AV9" s="9901"/>
      <c r="AW9" s="9901"/>
      <c r="AX9" s="9901"/>
      <c r="AY9" s="1680"/>
      <c r="AZ9" s="1179"/>
      <c r="BA9" s="1179"/>
      <c r="BB9" s="1179"/>
      <c r="BC9" s="1179"/>
      <c r="BD9" s="1179"/>
      <c r="BE9" s="1179"/>
      <c r="BF9" s="1179"/>
      <c r="BG9" s="1179"/>
      <c r="BH9" s="1179"/>
      <c r="BI9" s="1179"/>
      <c r="BJ9" s="1276"/>
      <c r="BK9" s="1276"/>
      <c r="BL9" s="1179"/>
    </row>
    <row r="10" spans="1:65" ht="13.5" customHeight="1">
      <c r="A10" s="1127"/>
      <c r="B10" s="8657" t="str">
        <f>IF(Names="","",Names)</f>
        <v/>
      </c>
      <c r="C10" s="8658"/>
      <c r="D10" s="8658"/>
      <c r="E10" s="8658"/>
      <c r="F10" s="8658"/>
      <c r="G10" s="8658"/>
      <c r="H10" s="8658"/>
      <c r="I10" s="8658"/>
      <c r="J10" s="8658"/>
      <c r="K10" s="8658"/>
      <c r="L10" s="6939"/>
      <c r="M10" s="6939"/>
      <c r="N10" s="6939"/>
      <c r="O10" s="6939"/>
      <c r="P10" s="6939"/>
      <c r="Q10" s="6939"/>
      <c r="R10" s="6939"/>
      <c r="S10" s="6939"/>
      <c r="T10" s="7060"/>
      <c r="U10" s="7060"/>
      <c r="V10" s="7060"/>
      <c r="W10" s="7060"/>
      <c r="X10" s="8659"/>
      <c r="Y10" s="8662">
        <f>IF(OR(NoSSN,SS_Yours=""),"",SS_Yours)</f>
        <v>1010001</v>
      </c>
      <c r="Z10" s="6618"/>
      <c r="AA10" s="6618"/>
      <c r="AB10" s="6618"/>
      <c r="AC10" s="6618"/>
      <c r="AD10" s="6618"/>
      <c r="AE10" s="6618"/>
      <c r="AF10" s="6618"/>
      <c r="AG10" s="6618"/>
      <c r="AH10" s="6618"/>
      <c r="AI10" s="6618"/>
      <c r="AJ10" s="6618"/>
      <c r="AK10" s="1127"/>
      <c r="AL10" s="1179"/>
      <c r="AM10" s="9875"/>
      <c r="AN10" s="9875"/>
      <c r="AO10" s="9875"/>
      <c r="AP10" s="9875"/>
      <c r="AQ10" s="9875"/>
      <c r="AR10" s="9875"/>
      <c r="AS10" s="9901"/>
      <c r="AT10" s="9901"/>
      <c r="AU10" s="9901"/>
      <c r="AV10" s="9901"/>
      <c r="AW10" s="9901"/>
      <c r="AX10" s="9901"/>
      <c r="AY10" s="1680"/>
      <c r="AZ10" s="1179"/>
      <c r="BA10" s="1179"/>
      <c r="BB10" s="1179"/>
      <c r="BC10" s="1179"/>
      <c r="BD10" s="1179"/>
      <c r="BE10" s="1179"/>
      <c r="BF10" s="1179"/>
      <c r="BG10" s="1179"/>
      <c r="BH10" s="1179"/>
      <c r="BI10" s="1179"/>
      <c r="BJ10" s="1276"/>
      <c r="BK10" s="1276"/>
      <c r="BL10" s="1179"/>
    </row>
    <row r="11" spans="1:65" ht="5.25" customHeight="1">
      <c r="A11" s="1127"/>
      <c r="B11" s="8660"/>
      <c r="C11" s="8660"/>
      <c r="D11" s="8660"/>
      <c r="E11" s="8660"/>
      <c r="F11" s="8660"/>
      <c r="G11" s="8660"/>
      <c r="H11" s="8660"/>
      <c r="I11" s="8660"/>
      <c r="J11" s="8660"/>
      <c r="K11" s="8660"/>
      <c r="L11" s="8660"/>
      <c r="M11" s="8660"/>
      <c r="N11" s="8660"/>
      <c r="O11" s="8660"/>
      <c r="P11" s="8660"/>
      <c r="Q11" s="8660"/>
      <c r="R11" s="8660"/>
      <c r="S11" s="8660"/>
      <c r="T11" s="8208"/>
      <c r="U11" s="8208"/>
      <c r="V11" s="8208"/>
      <c r="W11" s="8208"/>
      <c r="X11" s="8661"/>
      <c r="Y11" s="6619"/>
      <c r="Z11" s="6616"/>
      <c r="AA11" s="6616"/>
      <c r="AB11" s="6616"/>
      <c r="AC11" s="6616"/>
      <c r="AD11" s="6616"/>
      <c r="AE11" s="6616"/>
      <c r="AF11" s="6616"/>
      <c r="AG11" s="6616"/>
      <c r="AH11" s="6616"/>
      <c r="AI11" s="6616"/>
      <c r="AJ11" s="6616"/>
      <c r="AK11" s="1127"/>
      <c r="AL11" s="1179"/>
      <c r="AM11" s="9875"/>
      <c r="AN11" s="9875"/>
      <c r="AO11" s="9875"/>
      <c r="AP11" s="9875"/>
      <c r="AQ11" s="9875"/>
      <c r="AR11" s="9875"/>
      <c r="AS11" s="9901"/>
      <c r="AT11" s="9901"/>
      <c r="AU11" s="9901"/>
      <c r="AV11" s="9901"/>
      <c r="AW11" s="9901"/>
      <c r="AX11" s="9901"/>
      <c r="AY11" s="1680"/>
      <c r="AZ11" s="1179"/>
      <c r="BA11" s="1179"/>
      <c r="BB11" s="1179"/>
      <c r="BC11" s="1179"/>
      <c r="BD11" s="1179"/>
      <c r="BE11" s="1179"/>
      <c r="BF11" s="1179"/>
      <c r="BG11" s="1179"/>
      <c r="BH11" s="1179"/>
      <c r="BI11" s="1179"/>
      <c r="BJ11" s="1276"/>
      <c r="BK11" s="1276"/>
      <c r="BL11" s="1179"/>
    </row>
    <row r="12" spans="1:65" ht="5.25" customHeight="1">
      <c r="A12" s="1127"/>
      <c r="B12" s="5743"/>
      <c r="C12" s="5744"/>
      <c r="D12" s="5744"/>
      <c r="E12" s="5744"/>
      <c r="F12" s="5744"/>
      <c r="G12" s="5744"/>
      <c r="H12" s="5744"/>
      <c r="I12" s="5744"/>
      <c r="J12" s="5744"/>
      <c r="K12" s="5744"/>
      <c r="L12" s="5744"/>
      <c r="M12" s="5744"/>
      <c r="N12" s="5744"/>
      <c r="O12" s="5744"/>
      <c r="P12" s="5744"/>
      <c r="Q12" s="5744"/>
      <c r="R12" s="5744"/>
      <c r="S12" s="5744"/>
      <c r="T12" s="5744"/>
      <c r="U12" s="5744"/>
      <c r="V12" s="5744"/>
      <c r="W12" s="5744"/>
      <c r="X12" s="5744"/>
      <c r="Y12" s="5744"/>
      <c r="Z12" s="5744"/>
      <c r="AA12" s="5744"/>
      <c r="AB12" s="5744"/>
      <c r="AC12" s="5744"/>
      <c r="AD12" s="5744"/>
      <c r="AE12" s="5744"/>
      <c r="AF12" s="5744"/>
      <c r="AG12" s="5744"/>
      <c r="AH12" s="5744"/>
      <c r="AI12" s="1179"/>
      <c r="AJ12" s="1179"/>
      <c r="AK12" s="1127"/>
      <c r="AL12" s="1179"/>
      <c r="AM12" s="1179"/>
      <c r="AN12" s="1179"/>
      <c r="AO12" s="1179"/>
      <c r="AP12" s="1179"/>
      <c r="AQ12" s="1179"/>
      <c r="AR12" s="1179"/>
      <c r="AS12" s="1179"/>
      <c r="AT12" s="1179"/>
      <c r="AU12" s="1179"/>
      <c r="AV12" s="1179"/>
      <c r="AW12" s="1179"/>
      <c r="AX12" s="1179"/>
      <c r="AY12" s="1179"/>
      <c r="AZ12" s="1179"/>
      <c r="BA12" s="1179"/>
      <c r="BB12" s="1179"/>
      <c r="BC12" s="1179"/>
      <c r="BD12" s="1179"/>
      <c r="BE12" s="1179"/>
      <c r="BF12" s="1179"/>
      <c r="BG12" s="1179"/>
      <c r="BH12" s="1179"/>
      <c r="BI12" s="1179"/>
      <c r="BJ12" s="1276"/>
      <c r="BK12" s="1276"/>
      <c r="BL12" s="1179"/>
    </row>
    <row r="13" spans="1:65" ht="15" customHeight="1" thickBot="1">
      <c r="A13" s="1127"/>
      <c r="B13" s="5745" t="s">
        <v>5481</v>
      </c>
      <c r="C13" s="4197" t="s">
        <v>5482</v>
      </c>
      <c r="D13" s="4197"/>
      <c r="E13" s="4197"/>
      <c r="F13" s="4197"/>
      <c r="G13" s="4197"/>
      <c r="H13" s="4197"/>
      <c r="I13" s="4197"/>
      <c r="J13" s="4197"/>
      <c r="K13" s="4197"/>
      <c r="L13" s="4197"/>
      <c r="M13" s="4197"/>
      <c r="N13" s="4197"/>
      <c r="O13" s="4197"/>
      <c r="P13" s="4197"/>
      <c r="Q13" s="4197"/>
      <c r="R13" s="4197"/>
      <c r="S13" s="4197"/>
      <c r="T13" s="4197"/>
      <c r="U13" s="4197"/>
      <c r="V13" s="4197"/>
      <c r="W13" s="4197"/>
      <c r="X13" s="4197"/>
      <c r="Y13" s="4197"/>
      <c r="Z13" s="4197"/>
      <c r="AA13" s="4197"/>
      <c r="AB13" s="4197"/>
      <c r="AC13" s="4197"/>
      <c r="AD13" s="4197"/>
      <c r="AE13" s="4197"/>
      <c r="AF13" s="4197"/>
      <c r="AG13" s="4197"/>
      <c r="AH13" s="4197"/>
      <c r="AI13" s="5666"/>
      <c r="AJ13" s="1179"/>
      <c r="AK13" s="1127"/>
      <c r="AL13" s="1179"/>
      <c r="AM13" s="1276"/>
      <c r="AN13" s="1179"/>
      <c r="AO13" s="1179"/>
      <c r="AP13" s="1179"/>
      <c r="AQ13" s="1179"/>
      <c r="AR13" s="1179"/>
      <c r="AS13" s="1179"/>
      <c r="AT13" s="1179"/>
      <c r="AU13" s="1179"/>
      <c r="AV13" s="1179"/>
      <c r="AW13" s="1179"/>
      <c r="AX13" s="1179"/>
      <c r="AY13" s="1179"/>
      <c r="AZ13" s="1179"/>
      <c r="BA13" s="1179"/>
      <c r="BB13" s="1179"/>
      <c r="BC13" s="1179"/>
      <c r="BD13" s="1179"/>
      <c r="BE13" s="1179"/>
      <c r="BF13" s="1179"/>
      <c r="BG13" s="1179"/>
      <c r="BH13" s="1179"/>
      <c r="BI13" s="1179"/>
      <c r="BJ13" s="1276"/>
      <c r="BK13" s="1276"/>
      <c r="BL13" s="1179"/>
    </row>
    <row r="14" spans="1:65" ht="15" customHeight="1" thickBot="1">
      <c r="A14" s="1127"/>
      <c r="B14" s="5745"/>
      <c r="C14" s="5746" t="s">
        <v>5483</v>
      </c>
      <c r="D14" s="4197"/>
      <c r="E14" s="4197"/>
      <c r="F14" s="4197"/>
      <c r="G14" s="4197"/>
      <c r="H14" s="4197"/>
      <c r="I14" s="4197"/>
      <c r="J14" s="4197"/>
      <c r="K14" s="4197"/>
      <c r="L14" s="4197"/>
      <c r="M14" s="4197"/>
      <c r="N14" s="4197"/>
      <c r="O14" s="4197"/>
      <c r="P14" s="4197"/>
      <c r="Q14" s="4197"/>
      <c r="R14" s="4197"/>
      <c r="S14" s="4197"/>
      <c r="T14" s="4197"/>
      <c r="U14" s="4197"/>
      <c r="V14" s="4197"/>
      <c r="W14" s="4197"/>
      <c r="X14" s="4197"/>
      <c r="Y14" s="4197"/>
      <c r="Z14" s="4197"/>
      <c r="AA14" s="4197"/>
      <c r="AB14" s="4197"/>
      <c r="AC14" s="4197"/>
      <c r="AD14" s="4197"/>
      <c r="AE14" s="4197"/>
      <c r="AF14" s="4197"/>
      <c r="AG14" s="4197"/>
      <c r="AH14" s="1560" t="s">
        <v>4269</v>
      </c>
      <c r="AI14" s="1257"/>
      <c r="AJ14" s="1179"/>
      <c r="AK14" s="1127"/>
      <c r="AL14" s="2771"/>
      <c r="AM14" s="1284"/>
      <c r="AN14" s="1179"/>
      <c r="AO14" s="1179"/>
      <c r="AP14" s="1179"/>
      <c r="AQ14" s="1179"/>
      <c r="AR14" s="1179"/>
      <c r="AS14" s="1179"/>
      <c r="AT14" s="1179"/>
      <c r="AU14" s="1179"/>
      <c r="AV14" s="1179"/>
      <c r="AW14" s="1179"/>
      <c r="AX14" s="1179"/>
      <c r="AY14" s="1179"/>
      <c r="AZ14" s="1179"/>
      <c r="BA14" s="1179"/>
      <c r="BB14" s="1179"/>
      <c r="BC14" s="1179"/>
      <c r="BD14" s="1179"/>
      <c r="BE14" s="1179"/>
      <c r="BF14" s="1179"/>
      <c r="BG14" s="1179"/>
      <c r="BH14" s="1179"/>
      <c r="BI14" s="1179"/>
      <c r="BJ14" s="1276"/>
      <c r="BK14" s="1276"/>
      <c r="BL14" s="1179"/>
    </row>
    <row r="15" spans="1:65" ht="5.25" customHeight="1" thickBot="1">
      <c r="A15" s="1127"/>
      <c r="B15" s="4197"/>
      <c r="C15" s="4197"/>
      <c r="D15" s="4197"/>
      <c r="E15" s="4197"/>
      <c r="F15" s="4197"/>
      <c r="G15" s="4197"/>
      <c r="H15" s="4197"/>
      <c r="I15" s="4197"/>
      <c r="J15" s="4197"/>
      <c r="K15" s="4197"/>
      <c r="L15" s="4197"/>
      <c r="M15" s="4197"/>
      <c r="N15" s="4197"/>
      <c r="O15" s="4197"/>
      <c r="P15" s="4197"/>
      <c r="Q15" s="4197"/>
      <c r="R15" s="4197"/>
      <c r="S15" s="4197"/>
      <c r="T15" s="4197"/>
      <c r="U15" s="4197"/>
      <c r="V15" s="4197"/>
      <c r="W15" s="4197"/>
      <c r="X15" s="4197"/>
      <c r="Y15" s="4197"/>
      <c r="Z15" s="4197"/>
      <c r="AA15" s="4197"/>
      <c r="AB15" s="4197"/>
      <c r="AC15" s="4197"/>
      <c r="AD15" s="4197"/>
      <c r="AE15" s="4197"/>
      <c r="AF15" s="4197"/>
      <c r="AG15" s="4197"/>
      <c r="AH15" s="4197"/>
      <c r="AI15" s="1179"/>
      <c r="AJ15" s="1179"/>
      <c r="AK15" s="1127"/>
      <c r="AL15" s="1179"/>
      <c r="AM15" s="1179"/>
      <c r="AN15" s="1179"/>
      <c r="AO15" s="1179"/>
      <c r="AP15" s="1179"/>
      <c r="AQ15" s="1179"/>
      <c r="AR15" s="1179"/>
      <c r="AS15" s="1179"/>
      <c r="AT15" s="1179"/>
      <c r="AU15" s="1179"/>
      <c r="AV15" s="1179"/>
      <c r="AW15" s="1179"/>
      <c r="AX15" s="1179"/>
      <c r="AY15" s="1179"/>
      <c r="AZ15" s="1179"/>
      <c r="BA15" s="1179"/>
      <c r="BB15" s="1179"/>
      <c r="BC15" s="1179"/>
      <c r="BD15" s="1179"/>
      <c r="BE15" s="1179"/>
      <c r="BF15" s="1179"/>
      <c r="BG15" s="1179"/>
      <c r="BH15" s="1179"/>
      <c r="BI15" s="1179"/>
      <c r="BJ15" s="1276"/>
      <c r="BK15" s="1276"/>
      <c r="BL15" s="1179"/>
    </row>
    <row r="16" spans="1:65" ht="15" customHeight="1" thickBot="1">
      <c r="A16" s="1127"/>
      <c r="B16" s="5745" t="s">
        <v>5480</v>
      </c>
      <c r="C16" s="4065" t="s">
        <v>5484</v>
      </c>
      <c r="D16" s="4197"/>
      <c r="E16" s="4197"/>
      <c r="F16" s="4197"/>
      <c r="G16" s="4197"/>
      <c r="H16" s="4197"/>
      <c r="I16" s="4197"/>
      <c r="J16" s="4197"/>
      <c r="K16" s="4197"/>
      <c r="L16" s="4197"/>
      <c r="M16" s="4197"/>
      <c r="N16" s="4197"/>
      <c r="O16" s="4197"/>
      <c r="P16" s="4197"/>
      <c r="Q16" s="4197"/>
      <c r="R16" s="4197"/>
      <c r="S16" s="4197"/>
      <c r="T16" s="4197"/>
      <c r="U16" s="4197"/>
      <c r="V16" s="4197"/>
      <c r="W16" s="4197"/>
      <c r="X16" s="4197"/>
      <c r="Y16" s="4197"/>
      <c r="Z16" s="4197"/>
      <c r="AA16" s="4197"/>
      <c r="AB16" s="4197"/>
      <c r="AC16" s="4197"/>
      <c r="AD16" s="4197"/>
      <c r="AE16" s="4197"/>
      <c r="AF16" s="4197"/>
      <c r="AG16" s="4197"/>
      <c r="AH16" s="5747" t="s">
        <v>4113</v>
      </c>
      <c r="AI16" s="1257"/>
      <c r="AJ16" s="1179"/>
      <c r="AK16" s="1127"/>
      <c r="AL16" s="2771" t="s">
        <v>2127</v>
      </c>
      <c r="AM16" s="1284" t="b">
        <f>AND(AL18="",$AI$16&lt;&gt;"",OR(File_Head&lt;&gt;"",File_Marr_Joint&lt;&gt;"",File_Qual_Widow&lt;&gt;"",File_Single&lt;&gt;""))</f>
        <v>0</v>
      </c>
      <c r="AN16" s="1179"/>
      <c r="AO16" s="1179"/>
      <c r="AP16" s="1179"/>
      <c r="AQ16" s="1179"/>
      <c r="AR16" s="1179"/>
      <c r="AS16" s="1179"/>
      <c r="AT16" s="1179"/>
      <c r="AU16" s="1179"/>
      <c r="AV16" s="1179"/>
      <c r="AW16" s="1179"/>
      <c r="AX16" s="1179"/>
      <c r="AY16" s="1179"/>
      <c r="AZ16" s="1179"/>
      <c r="BA16" s="1179"/>
      <c r="BB16" s="1179"/>
      <c r="BC16" s="1179"/>
      <c r="BD16" s="1179"/>
      <c r="BE16" s="1179"/>
      <c r="BF16" s="1179"/>
      <c r="BG16" s="1179"/>
      <c r="BH16" s="1179"/>
      <c r="BI16" s="1179"/>
      <c r="BJ16" s="1276"/>
      <c r="BK16" s="1276"/>
      <c r="BL16" s="1179"/>
    </row>
    <row r="17" spans="1:64" ht="6" customHeight="1">
      <c r="A17" s="1127"/>
      <c r="B17" s="4214"/>
      <c r="C17" s="4214"/>
      <c r="D17" s="4214"/>
      <c r="E17" s="4214"/>
      <c r="F17" s="4214"/>
      <c r="G17" s="4214"/>
      <c r="H17" s="4214"/>
      <c r="I17" s="4214"/>
      <c r="J17" s="4214"/>
      <c r="K17" s="4214"/>
      <c r="L17" s="4214"/>
      <c r="M17" s="4214"/>
      <c r="N17" s="4214"/>
      <c r="O17" s="4214"/>
      <c r="P17" s="4214"/>
      <c r="Q17" s="4214"/>
      <c r="R17" s="4214"/>
      <c r="S17" s="4214"/>
      <c r="T17" s="4214"/>
      <c r="U17" s="4214"/>
      <c r="V17" s="4214"/>
      <c r="W17" s="4214"/>
      <c r="X17" s="4214"/>
      <c r="Y17" s="4214"/>
      <c r="Z17" s="4214"/>
      <c r="AA17" s="4214"/>
      <c r="AB17" s="4214"/>
      <c r="AC17" s="4214"/>
      <c r="AD17" s="4214"/>
      <c r="AE17" s="4214"/>
      <c r="AF17" s="4214"/>
      <c r="AG17" s="4214"/>
      <c r="AH17" s="4214"/>
      <c r="AI17" s="1553"/>
      <c r="AJ17" s="1553"/>
      <c r="AK17" s="1127"/>
      <c r="AL17" s="1179"/>
      <c r="AM17" s="1179"/>
      <c r="AN17" s="1179"/>
      <c r="AO17" s="1179"/>
      <c r="AP17" s="1179"/>
      <c r="AQ17" s="1179"/>
      <c r="AR17" s="1179"/>
      <c r="AS17" s="1179"/>
      <c r="AT17" s="1179"/>
      <c r="AU17" s="1179"/>
      <c r="AV17" s="1179"/>
      <c r="AW17" s="1179"/>
      <c r="AX17" s="1179"/>
      <c r="AY17" s="1179"/>
      <c r="AZ17" s="1179"/>
      <c r="BA17" s="1179"/>
      <c r="BB17" s="1179"/>
      <c r="BC17" s="1179"/>
      <c r="BD17" s="1179"/>
      <c r="BE17" s="1179"/>
      <c r="BF17" s="1179"/>
      <c r="BG17" s="1179"/>
      <c r="BH17" s="1179"/>
      <c r="BI17" s="1179"/>
      <c r="BJ17" s="1276"/>
      <c r="BK17" s="1276"/>
      <c r="BL17" s="1179"/>
    </row>
    <row r="18" spans="1:64" ht="18" customHeight="1">
      <c r="A18" s="1127"/>
      <c r="B18" s="6769" t="s">
        <v>51</v>
      </c>
      <c r="C18" s="6769"/>
      <c r="D18" s="1705"/>
      <c r="E18" s="4609" t="s">
        <v>1244</v>
      </c>
      <c r="F18" s="1554"/>
      <c r="G18" s="1554"/>
      <c r="H18" s="1554"/>
      <c r="I18" s="1554"/>
      <c r="J18" s="1554"/>
      <c r="K18" s="1554"/>
      <c r="L18" s="1554"/>
      <c r="M18" s="1554"/>
      <c r="N18" s="1554"/>
      <c r="O18" s="1554"/>
      <c r="P18" s="1554"/>
      <c r="Q18" s="1554"/>
      <c r="R18" s="1554"/>
      <c r="S18" s="1554"/>
      <c r="T18" s="1554"/>
      <c r="U18" s="1554"/>
      <c r="V18" s="1554"/>
      <c r="W18" s="1554"/>
      <c r="X18" s="1554"/>
      <c r="Y18" s="1554"/>
      <c r="Z18" s="1554"/>
      <c r="AA18" s="1554"/>
      <c r="AB18" s="1554"/>
      <c r="AC18" s="1554"/>
      <c r="AD18" s="1554"/>
      <c r="AE18" s="1554"/>
      <c r="AF18" s="1554"/>
      <c r="AG18" s="1554"/>
      <c r="AH18" s="1554"/>
      <c r="AI18" s="1580"/>
      <c r="AJ18" s="1703" t="str">
        <f>IF($AM$16,"Checkbox is only for 'Married Filing Separately' filers. See instructions.","")</f>
        <v/>
      </c>
      <c r="AK18" s="1127"/>
      <c r="AL18" s="2770"/>
      <c r="AM18" s="1684" t="str">
        <f>IF(OR(AM16,AL18&lt;&gt;""),"Check this box to remove message.","")</f>
        <v/>
      </c>
      <c r="AN18" s="1684"/>
      <c r="AO18" s="1179"/>
      <c r="AP18" s="1179"/>
      <c r="AQ18" s="1179"/>
      <c r="AR18" s="1179"/>
      <c r="AS18" s="1179"/>
      <c r="AT18" s="1179"/>
      <c r="AU18" s="1179"/>
      <c r="AV18" s="1179"/>
      <c r="AW18" s="1179"/>
      <c r="AX18" s="1179"/>
      <c r="AY18" s="1179"/>
      <c r="AZ18" s="1179"/>
      <c r="BA18" s="1179"/>
      <c r="BB18" s="1179"/>
      <c r="BC18" s="1179"/>
      <c r="BD18" s="1179"/>
      <c r="BE18" s="1179"/>
      <c r="BF18" s="1179"/>
      <c r="BG18" s="1179"/>
      <c r="BH18" s="1179"/>
      <c r="BI18" s="1179"/>
      <c r="BJ18" s="1276"/>
      <c r="BK18" s="1276"/>
      <c r="BL18" s="1179"/>
    </row>
    <row r="19" spans="1:64" ht="13.5" thickBot="1">
      <c r="A19" s="1127"/>
      <c r="B19" s="1179"/>
      <c r="C19" s="1179"/>
      <c r="D19" s="1179"/>
      <c r="E19" s="1179"/>
      <c r="F19" s="1179"/>
      <c r="G19" s="1179"/>
      <c r="H19" s="1179"/>
      <c r="I19" s="1179"/>
      <c r="J19" s="1179"/>
      <c r="K19" s="1179"/>
      <c r="L19" s="1179"/>
      <c r="M19" s="1179"/>
      <c r="N19" s="1179"/>
      <c r="O19" s="1179"/>
      <c r="P19" s="1179"/>
      <c r="Q19" s="1179"/>
      <c r="R19" s="1179"/>
      <c r="S19" s="1179"/>
      <c r="T19" s="1179"/>
      <c r="U19" s="1179"/>
      <c r="V19" s="1179"/>
      <c r="W19" s="1179"/>
      <c r="X19" s="1179"/>
      <c r="Y19" s="1179"/>
      <c r="Z19" s="1179"/>
      <c r="AA19" s="1179"/>
      <c r="AB19" s="1179"/>
      <c r="AC19" s="1179"/>
      <c r="AD19" s="1555"/>
      <c r="AE19" s="1179"/>
      <c r="AF19" s="1179"/>
      <c r="AG19" s="1179"/>
      <c r="AH19" s="1179"/>
      <c r="AI19" s="1179"/>
      <c r="AJ19" s="1179"/>
      <c r="AK19" s="1127"/>
      <c r="AL19" s="1179"/>
      <c r="AM19" s="2410" t="s">
        <v>91</v>
      </c>
      <c r="AN19" s="1179"/>
      <c r="AO19" s="1179"/>
      <c r="AP19" s="1179"/>
      <c r="AQ19" s="1179"/>
      <c r="AR19" s="1179"/>
      <c r="AS19" s="1680"/>
      <c r="AT19" s="1680"/>
      <c r="AU19" s="1680"/>
      <c r="AV19" s="1680"/>
      <c r="AW19" s="1680"/>
      <c r="AX19" s="1680"/>
      <c r="AY19" s="1680"/>
      <c r="AZ19" s="1179"/>
      <c r="BA19" s="1276"/>
      <c r="BB19" s="1276"/>
      <c r="BC19" s="1679"/>
      <c r="BD19" s="1679"/>
      <c r="BE19" s="1679"/>
      <c r="BF19" s="1276"/>
      <c r="BG19" s="1276"/>
      <c r="BH19" s="1276"/>
      <c r="BI19" s="1276"/>
      <c r="BJ19" s="1276"/>
      <c r="BK19" s="1276"/>
      <c r="BL19" s="1179"/>
    </row>
    <row r="20" spans="1:64" ht="15" customHeight="1" thickBot="1">
      <c r="A20" s="1127"/>
      <c r="B20" s="1179"/>
      <c r="C20" s="1556" t="s">
        <v>148</v>
      </c>
      <c r="D20" s="2686" t="s">
        <v>2610</v>
      </c>
      <c r="E20" s="1179"/>
      <c r="F20" s="1179"/>
      <c r="G20" s="1179"/>
      <c r="H20" s="1179"/>
      <c r="I20" s="1179"/>
      <c r="J20" s="1179"/>
      <c r="K20" s="1179"/>
      <c r="L20" s="1179"/>
      <c r="M20" s="1179"/>
      <c r="N20" s="1179"/>
      <c r="O20" s="1179"/>
      <c r="P20" s="1179"/>
      <c r="Q20" s="1179"/>
      <c r="R20" s="1179"/>
      <c r="S20" s="1179"/>
      <c r="T20" s="1179"/>
      <c r="U20" s="1179"/>
      <c r="V20" s="1179"/>
      <c r="W20" s="1179"/>
      <c r="X20" s="1179"/>
      <c r="Y20" s="1179"/>
      <c r="Z20" s="1179"/>
      <c r="AA20" s="1179"/>
      <c r="AB20" s="1179"/>
      <c r="AC20" s="1179"/>
      <c r="AD20" s="1557">
        <v>1</v>
      </c>
      <c r="AE20" s="6982">
        <f>IF(AM20&lt;&gt;"",ROUND(AM20,0),IF(AND(File_Marr_Sep&lt;&gt;"",AI16=""),"",TaxFamilySize))</f>
        <v>0</v>
      </c>
      <c r="AF20" s="9904"/>
      <c r="AG20" s="9904"/>
      <c r="AH20" s="9904"/>
      <c r="AI20" s="9904"/>
      <c r="AJ20" s="9904"/>
      <c r="AK20" s="1127"/>
      <c r="AL20" s="1824">
        <v>1</v>
      </c>
      <c r="AM20" s="4350"/>
      <c r="AN20" s="1179"/>
      <c r="AO20" s="9878" t="s">
        <v>1203</v>
      </c>
      <c r="AP20" s="8335"/>
      <c r="AQ20" s="8335"/>
      <c r="AR20" s="8335"/>
      <c r="AS20" s="8335"/>
      <c r="AT20" s="8335"/>
      <c r="AU20" s="8335"/>
      <c r="AV20" s="8335"/>
      <c r="AW20" s="8335"/>
      <c r="AX20" s="8335"/>
      <c r="AY20" s="1713"/>
      <c r="AZ20" s="1179"/>
      <c r="BA20" s="9878" t="s">
        <v>2992</v>
      </c>
      <c r="BB20" s="8335"/>
      <c r="BC20" s="8335"/>
      <c r="BD20" s="8335"/>
      <c r="BE20" s="8335"/>
      <c r="BF20" s="8335"/>
      <c r="BG20" s="8335"/>
      <c r="BH20" s="8335"/>
      <c r="BI20" s="8335"/>
      <c r="BJ20" s="8335"/>
      <c r="BK20" s="8245"/>
      <c r="BL20" s="1179"/>
    </row>
    <row r="21" spans="1:64" ht="6.75" customHeight="1" thickBot="1">
      <c r="A21" s="1127"/>
      <c r="B21" s="1179"/>
      <c r="C21" s="1179"/>
      <c r="D21" s="2686"/>
      <c r="E21" s="1179"/>
      <c r="F21" s="1179"/>
      <c r="G21" s="1179"/>
      <c r="H21" s="1179"/>
      <c r="I21" s="1179"/>
      <c r="J21" s="1179"/>
      <c r="K21" s="1179"/>
      <c r="L21" s="1179"/>
      <c r="M21" s="1179"/>
      <c r="N21" s="1179"/>
      <c r="O21" s="1179"/>
      <c r="P21" s="1179"/>
      <c r="Q21" s="1179"/>
      <c r="R21" s="1179"/>
      <c r="S21" s="1179"/>
      <c r="T21" s="1179"/>
      <c r="U21" s="1179"/>
      <c r="V21" s="1179"/>
      <c r="W21" s="1179"/>
      <c r="X21" s="1179"/>
      <c r="Y21" s="1179"/>
      <c r="Z21" s="1179"/>
      <c r="AA21" s="1179"/>
      <c r="AB21" s="1179"/>
      <c r="AC21" s="1179"/>
      <c r="AD21" s="1561"/>
      <c r="AE21" s="1562"/>
      <c r="AF21" s="1562"/>
      <c r="AG21" s="1562"/>
      <c r="AH21" s="1562"/>
      <c r="AI21" s="1562"/>
      <c r="AJ21" s="1562"/>
      <c r="AK21" s="1127"/>
      <c r="AL21" s="1179"/>
      <c r="AM21" s="1179"/>
      <c r="AN21" s="1179"/>
      <c r="AO21" s="9879"/>
      <c r="AP21" s="6764"/>
      <c r="AQ21" s="6764"/>
      <c r="AR21" s="6764"/>
      <c r="AS21" s="6764"/>
      <c r="AT21" s="6764"/>
      <c r="AU21" s="6764"/>
      <c r="AV21" s="6764"/>
      <c r="AW21" s="6764"/>
      <c r="AX21" s="6764"/>
      <c r="AY21" s="1712"/>
      <c r="AZ21" s="1179"/>
      <c r="BA21" s="9879"/>
      <c r="BB21" s="6764"/>
      <c r="BC21" s="6764"/>
      <c r="BD21" s="6764"/>
      <c r="BE21" s="6764"/>
      <c r="BF21" s="6764"/>
      <c r="BG21" s="6764"/>
      <c r="BH21" s="6764"/>
      <c r="BI21" s="6764"/>
      <c r="BJ21" s="6764"/>
      <c r="BK21" s="9886"/>
      <c r="BL21" s="1179"/>
    </row>
    <row r="22" spans="1:64" ht="15.75" thickBot="1">
      <c r="A22" s="1127"/>
      <c r="B22" s="1179"/>
      <c r="C22" s="1556" t="s">
        <v>341</v>
      </c>
      <c r="D22" s="2686" t="s">
        <v>2296</v>
      </c>
      <c r="E22" s="1179"/>
      <c r="F22" s="1179"/>
      <c r="G22" s="1179"/>
      <c r="H22" s="1179"/>
      <c r="I22" s="1179"/>
      <c r="J22" s="1179"/>
      <c r="K22" s="1179"/>
      <c r="L22" s="1179"/>
      <c r="M22" s="1179"/>
      <c r="N22" s="1179"/>
      <c r="O22" s="1179"/>
      <c r="P22" s="1179"/>
      <c r="Q22" s="1179"/>
      <c r="R22" s="1179"/>
      <c r="S22" s="1556"/>
      <c r="T22" s="1179"/>
      <c r="U22" s="1179"/>
      <c r="V22" s="1179"/>
      <c r="W22" s="1557" t="s">
        <v>341</v>
      </c>
      <c r="X22" s="7453">
        <f>IF(AM22&lt;&gt;"",ROUND(AM22,0),AV46)</f>
        <v>0</v>
      </c>
      <c r="Y22" s="9908"/>
      <c r="Z22" s="9908"/>
      <c r="AA22" s="9908"/>
      <c r="AB22" s="9908"/>
      <c r="AC22" s="9908"/>
      <c r="AD22" s="1561"/>
      <c r="AE22" s="1562"/>
      <c r="AF22" s="1562"/>
      <c r="AG22" s="1562"/>
      <c r="AH22" s="1562"/>
      <c r="AI22" s="1562"/>
      <c r="AJ22" s="1562"/>
      <c r="AK22" s="1127"/>
      <c r="AL22" s="1824" t="s">
        <v>341</v>
      </c>
      <c r="AM22" s="1661"/>
      <c r="AN22" s="1179"/>
      <c r="AO22" s="9879"/>
      <c r="AP22" s="6764"/>
      <c r="AQ22" s="6764"/>
      <c r="AR22" s="6764"/>
      <c r="AS22" s="6764"/>
      <c r="AT22" s="6764"/>
      <c r="AU22" s="6764"/>
      <c r="AV22" s="6764"/>
      <c r="AW22" s="6764"/>
      <c r="AX22" s="6764"/>
      <c r="AY22" s="1712"/>
      <c r="AZ22" s="1179"/>
      <c r="BA22" s="9879"/>
      <c r="BB22" s="6764"/>
      <c r="BC22" s="6764"/>
      <c r="BD22" s="6764"/>
      <c r="BE22" s="6764"/>
      <c r="BF22" s="6764"/>
      <c r="BG22" s="6764"/>
      <c r="BH22" s="6764"/>
      <c r="BI22" s="6764"/>
      <c r="BJ22" s="6764"/>
      <c r="BK22" s="9886"/>
      <c r="BL22" s="1179"/>
    </row>
    <row r="23" spans="1:64" ht="15.75" thickBot="1">
      <c r="A23" s="1127"/>
      <c r="B23" s="1179"/>
      <c r="C23" s="1559" t="s">
        <v>47</v>
      </c>
      <c r="D23" s="2686" t="s">
        <v>2060</v>
      </c>
      <c r="E23" s="1179"/>
      <c r="F23" s="1179"/>
      <c r="G23" s="1179"/>
      <c r="H23" s="1179"/>
      <c r="I23" s="1179"/>
      <c r="J23" s="1179"/>
      <c r="K23" s="1560"/>
      <c r="L23" s="2671"/>
      <c r="M23" s="2672"/>
      <c r="N23" s="1560"/>
      <c r="O23" s="1560"/>
      <c r="P23" s="1560"/>
      <c r="Q23" s="1560"/>
      <c r="R23" s="1560"/>
      <c r="S23" s="1179"/>
      <c r="T23" s="1179"/>
      <c r="U23" s="1179"/>
      <c r="V23" s="1179"/>
      <c r="W23" s="2673" t="s">
        <v>342</v>
      </c>
      <c r="X23" s="9897">
        <f>IF(AM23&lt;&gt;"",ROUND(AM23,0),BH45)</f>
        <v>0</v>
      </c>
      <c r="Y23" s="9898"/>
      <c r="Z23" s="9898"/>
      <c r="AA23" s="9898"/>
      <c r="AB23" s="9898"/>
      <c r="AC23" s="9899"/>
      <c r="AD23" s="1561"/>
      <c r="AE23" s="1562"/>
      <c r="AF23" s="1562"/>
      <c r="AG23" s="1562"/>
      <c r="AH23" s="1562"/>
      <c r="AI23" s="1562"/>
      <c r="AJ23" s="1562"/>
      <c r="AK23" s="1127"/>
      <c r="AL23" s="1824" t="s">
        <v>342</v>
      </c>
      <c r="AM23" s="1661"/>
      <c r="AN23" s="1179"/>
      <c r="AO23" s="9880"/>
      <c r="AP23" s="7073"/>
      <c r="AQ23" s="7073"/>
      <c r="AR23" s="7073"/>
      <c r="AS23" s="7073"/>
      <c r="AT23" s="7073"/>
      <c r="AU23" s="7073"/>
      <c r="AV23" s="7073"/>
      <c r="AW23" s="7073"/>
      <c r="AX23" s="7073"/>
      <c r="AY23" s="1712"/>
      <c r="AZ23" s="1179"/>
      <c r="BA23" s="9880"/>
      <c r="BB23" s="7073"/>
      <c r="BC23" s="7073"/>
      <c r="BD23" s="7073"/>
      <c r="BE23" s="7073"/>
      <c r="BF23" s="7073"/>
      <c r="BG23" s="7073"/>
      <c r="BH23" s="7073"/>
      <c r="BI23" s="7073"/>
      <c r="BJ23" s="7073"/>
      <c r="BK23" s="7074"/>
      <c r="BL23" s="1179"/>
    </row>
    <row r="24" spans="1:64" ht="7.5" customHeight="1" thickBot="1">
      <c r="A24" s="1127"/>
      <c r="B24" s="1179"/>
      <c r="C24" s="1179"/>
      <c r="D24" s="1179"/>
      <c r="E24" s="1179"/>
      <c r="F24" s="1179"/>
      <c r="G24" s="1179"/>
      <c r="H24" s="1179"/>
      <c r="I24" s="1179"/>
      <c r="J24" s="1179"/>
      <c r="K24" s="1179"/>
      <c r="L24" s="1179"/>
      <c r="M24" s="1179"/>
      <c r="N24" s="1179"/>
      <c r="O24" s="1179"/>
      <c r="P24" s="1179"/>
      <c r="Q24" s="1179"/>
      <c r="R24" s="1179"/>
      <c r="S24" s="1179"/>
      <c r="T24" s="1179"/>
      <c r="U24" s="1179"/>
      <c r="V24" s="1179"/>
      <c r="W24" s="1179"/>
      <c r="X24" s="1179"/>
      <c r="Y24" s="1179"/>
      <c r="Z24" s="1179"/>
      <c r="AA24" s="1179"/>
      <c r="AB24" s="1179"/>
      <c r="AC24" s="1179"/>
      <c r="AD24" s="1555"/>
      <c r="AE24" s="1574"/>
      <c r="AF24" s="1574"/>
      <c r="AG24" s="1574"/>
      <c r="AH24" s="1574"/>
      <c r="AI24" s="1574"/>
      <c r="AJ24" s="1574"/>
      <c r="AK24" s="1127"/>
      <c r="AL24" s="1179"/>
      <c r="AM24" s="1179"/>
      <c r="AN24" s="1179"/>
      <c r="AO24" s="1581"/>
      <c r="AP24" s="1574"/>
      <c r="AQ24" s="1574"/>
      <c r="AR24" s="1574"/>
      <c r="AS24" s="1574"/>
      <c r="AT24" s="1574"/>
      <c r="AU24" s="1574"/>
      <c r="AV24" s="1574"/>
      <c r="AW24" s="1574"/>
      <c r="AX24" s="1574"/>
      <c r="AY24" s="1575"/>
      <c r="AZ24" s="1179"/>
      <c r="BA24" s="1581"/>
      <c r="BB24" s="1574"/>
      <c r="BC24" s="1574"/>
      <c r="BD24" s="1574"/>
      <c r="BE24" s="1574"/>
      <c r="BF24" s="1574"/>
      <c r="BG24" s="1574"/>
      <c r="BH24" s="1574"/>
      <c r="BI24" s="1574"/>
      <c r="BJ24" s="1574"/>
      <c r="BK24" s="1575"/>
      <c r="BL24" s="1179"/>
    </row>
    <row r="25" spans="1:64" ht="16.5" thickBot="1">
      <c r="A25" s="1127"/>
      <c r="B25" s="1559"/>
      <c r="C25" s="1556" t="s">
        <v>150</v>
      </c>
      <c r="D25" s="2686" t="s">
        <v>1681</v>
      </c>
      <c r="E25" s="1179"/>
      <c r="F25" s="1179"/>
      <c r="G25" s="1179"/>
      <c r="H25" s="1179"/>
      <c r="I25" s="1179"/>
      <c r="J25" s="1179"/>
      <c r="K25" s="1179"/>
      <c r="L25" s="1179"/>
      <c r="M25" s="1179"/>
      <c r="N25" s="1179"/>
      <c r="O25" s="1179"/>
      <c r="P25" s="1179"/>
      <c r="Q25" s="1179"/>
      <c r="R25" s="1179"/>
      <c r="S25" s="1179"/>
      <c r="T25" s="1179"/>
      <c r="U25" s="1179"/>
      <c r="V25" s="1179"/>
      <c r="W25" s="1179"/>
      <c r="X25" s="1179"/>
      <c r="Y25" s="1179"/>
      <c r="Z25" s="1179"/>
      <c r="AA25" s="1179"/>
      <c r="AB25" s="1179"/>
      <c r="AC25" s="1560" t="s">
        <v>276</v>
      </c>
      <c r="AD25" s="1557">
        <v>3</v>
      </c>
      <c r="AE25" s="6982">
        <f>IF(AM25&lt;&gt;"",ROUND(AM25,0),SUM(X22,X23))</f>
        <v>0</v>
      </c>
      <c r="AF25" s="9905"/>
      <c r="AG25" s="9905"/>
      <c r="AH25" s="9905"/>
      <c r="AI25" s="9905"/>
      <c r="AJ25" s="9905"/>
      <c r="AK25" s="1127"/>
      <c r="AL25" s="1824">
        <v>3</v>
      </c>
      <c r="AM25" s="1661"/>
      <c r="AN25" s="1179"/>
      <c r="AO25" s="1582"/>
      <c r="AP25" s="1540" t="s">
        <v>3296</v>
      </c>
      <c r="AQ25" s="1179"/>
      <c r="AR25" s="1179"/>
      <c r="AS25" s="1179"/>
      <c r="AT25" s="1179"/>
      <c r="AU25" s="1179"/>
      <c r="AV25" s="1179"/>
      <c r="AW25" s="1179"/>
      <c r="AX25" s="1179"/>
      <c r="AY25" s="1583"/>
      <c r="AZ25" s="1179"/>
      <c r="BA25" s="1582"/>
      <c r="BB25" s="1540" t="s">
        <v>3295</v>
      </c>
      <c r="BC25" s="1179"/>
      <c r="BD25" s="1179"/>
      <c r="BE25" s="1179"/>
      <c r="BF25" s="1179"/>
      <c r="BG25" s="1179"/>
      <c r="BH25" s="1179"/>
      <c r="BI25" s="1179"/>
      <c r="BJ25" s="1179"/>
      <c r="BK25" s="1583"/>
      <c r="BL25" s="1179"/>
    </row>
    <row r="26" spans="1:64" ht="6" customHeight="1">
      <c r="A26" s="1127"/>
      <c r="B26" s="1179"/>
      <c r="C26" s="1179"/>
      <c r="D26" s="1179"/>
      <c r="E26" s="1179"/>
      <c r="F26" s="1179"/>
      <c r="G26" s="1179"/>
      <c r="H26" s="1179"/>
      <c r="I26" s="1179"/>
      <c r="J26" s="1179"/>
      <c r="K26" s="1179"/>
      <c r="L26" s="1179"/>
      <c r="M26" s="1179"/>
      <c r="N26" s="1179"/>
      <c r="O26" s="1179"/>
      <c r="P26" s="1179"/>
      <c r="Q26" s="1179"/>
      <c r="R26" s="1179"/>
      <c r="S26" s="1179"/>
      <c r="T26" s="1179"/>
      <c r="U26" s="1179"/>
      <c r="V26" s="1179"/>
      <c r="W26" s="1179"/>
      <c r="X26" s="1179"/>
      <c r="Y26" s="1179"/>
      <c r="Z26" s="1179"/>
      <c r="AA26" s="1179"/>
      <c r="AB26" s="1179"/>
      <c r="AC26" s="1179"/>
      <c r="AD26" s="1558"/>
      <c r="AE26" s="1179"/>
      <c r="AF26" s="1179"/>
      <c r="AG26" s="1179"/>
      <c r="AH26" s="1179"/>
      <c r="AI26" s="1179"/>
      <c r="AJ26" s="1179"/>
      <c r="AK26" s="1127"/>
      <c r="AL26" s="1179"/>
      <c r="AM26" s="1179"/>
      <c r="AN26" s="1179"/>
      <c r="AO26" s="1582"/>
      <c r="AP26" s="1179"/>
      <c r="AQ26" s="1179"/>
      <c r="AR26" s="1179"/>
      <c r="AS26" s="1179"/>
      <c r="AT26" s="1179"/>
      <c r="AU26" s="1179"/>
      <c r="AV26" s="1179"/>
      <c r="AW26" s="1179"/>
      <c r="AX26" s="1179"/>
      <c r="AY26" s="1583"/>
      <c r="AZ26" s="1179"/>
      <c r="BA26" s="1582"/>
      <c r="BB26" s="1179"/>
      <c r="BC26" s="1179"/>
      <c r="BD26" s="1179"/>
      <c r="BE26" s="1179"/>
      <c r="BF26" s="1179"/>
      <c r="BG26" s="1179"/>
      <c r="BH26" s="1179"/>
      <c r="BI26" s="1179"/>
      <c r="BJ26" s="1179"/>
      <c r="BK26" s="1583"/>
      <c r="BL26" s="1179"/>
    </row>
    <row r="27" spans="1:64" ht="15">
      <c r="A27" s="1127"/>
      <c r="B27" s="1179"/>
      <c r="C27" s="1556" t="s">
        <v>151</v>
      </c>
      <c r="D27" s="1276" t="s">
        <v>1622</v>
      </c>
      <c r="E27" s="1179"/>
      <c r="F27" s="1179"/>
      <c r="G27" s="1179"/>
      <c r="H27" s="1179"/>
      <c r="I27" s="1179"/>
      <c r="J27" s="1179"/>
      <c r="K27" s="1179"/>
      <c r="L27" s="1179"/>
      <c r="M27" s="1179"/>
      <c r="N27" s="1179"/>
      <c r="O27" s="1179"/>
      <c r="P27" s="1179"/>
      <c r="Q27" s="1179"/>
      <c r="R27" s="1179"/>
      <c r="S27" s="1179"/>
      <c r="T27" s="1179"/>
      <c r="U27" s="1179"/>
      <c r="V27" s="1179"/>
      <c r="W27" s="1179"/>
      <c r="X27" s="1179"/>
      <c r="Y27" s="1179"/>
      <c r="Z27" s="1179"/>
      <c r="AA27" s="1179"/>
      <c r="AB27" s="1179"/>
      <c r="AC27" s="1179"/>
      <c r="AD27" s="1558"/>
      <c r="AE27" s="1179"/>
      <c r="AF27" s="1179"/>
      <c r="AG27" s="1179"/>
      <c r="AH27" s="1179"/>
      <c r="AI27" s="1179"/>
      <c r="AJ27" s="1179"/>
      <c r="AK27" s="1127"/>
      <c r="AL27" s="1179"/>
      <c r="AM27" s="1681">
        <f>IF($AE$20&gt;8,LOOKUP($AE$20,$AP$78:$AP$86,$AQ$78:$AQ$86)+(($AE$20-8)*AQ87),LOOKUP($AE$20,$AP$78:$AP$86,$AQ$78:$AQ$86))</f>
        <v>0</v>
      </c>
      <c r="AN27" s="1681"/>
      <c r="AO27" s="1584" t="s">
        <v>294</v>
      </c>
      <c r="AP27" s="1262" t="s">
        <v>4271</v>
      </c>
      <c r="AQ27" s="1179"/>
      <c r="AR27" s="1179"/>
      <c r="AS27" s="1179"/>
      <c r="AT27" s="1179"/>
      <c r="AU27" s="1179"/>
      <c r="AV27" s="1179"/>
      <c r="AW27" s="1179"/>
      <c r="AX27" s="2057" t="s">
        <v>91</v>
      </c>
      <c r="AY27" s="1583"/>
      <c r="AZ27" s="1179"/>
      <c r="BA27" s="1584" t="s">
        <v>294</v>
      </c>
      <c r="BB27" s="1262" t="s">
        <v>4277</v>
      </c>
      <c r="BC27" s="1179"/>
      <c r="BD27" s="1179"/>
      <c r="BE27" s="1179"/>
      <c r="BF27" s="1179"/>
      <c r="BG27" s="1585"/>
      <c r="BH27" s="1179"/>
      <c r="BI27" s="1179"/>
      <c r="BJ27" s="1179"/>
      <c r="BK27" s="1583"/>
      <c r="BL27" s="1179"/>
    </row>
    <row r="28" spans="1:64" ht="14.25" customHeight="1">
      <c r="A28" s="1127"/>
      <c r="B28" s="1179"/>
      <c r="C28" s="1179"/>
      <c r="D28" s="1276" t="s">
        <v>1623</v>
      </c>
      <c r="E28" s="1179"/>
      <c r="F28" s="1179"/>
      <c r="G28" s="1179"/>
      <c r="H28" s="1179"/>
      <c r="I28" s="1179"/>
      <c r="J28" s="1179"/>
      <c r="K28" s="1179"/>
      <c r="L28" s="1179"/>
      <c r="M28" s="1179"/>
      <c r="N28" s="1560" t="s">
        <v>33</v>
      </c>
      <c r="O28" s="1590" t="str">
        <f>IF(AND($AL$2=1,L2&lt;&gt;""),"X","")</f>
        <v/>
      </c>
      <c r="P28" s="1276" t="s">
        <v>1093</v>
      </c>
      <c r="Q28" s="1276"/>
      <c r="R28" s="1560" t="s">
        <v>47</v>
      </c>
      <c r="S28" s="1590" t="str">
        <f>IF(AND($AL$2=1,V2&lt;&gt;""),"X","")</f>
        <v/>
      </c>
      <c r="T28" s="1276" t="s">
        <v>1094</v>
      </c>
      <c r="U28" s="1179"/>
      <c r="V28" s="1560" t="s">
        <v>48</v>
      </c>
      <c r="W28" s="1590" t="str">
        <f>IF(AND($AL$2=1,B2&lt;&gt;""),"X","")</f>
        <v>X</v>
      </c>
      <c r="X28" s="1179" t="s">
        <v>1095</v>
      </c>
      <c r="Y28" s="1179"/>
      <c r="Z28" s="1179"/>
      <c r="AA28" s="1179"/>
      <c r="AB28" s="1179"/>
      <c r="AC28" s="1179"/>
      <c r="AD28" s="1557">
        <v>4</v>
      </c>
      <c r="AE28" s="6982">
        <f>IF(AND(File_Marr_Sep&lt;&gt;"",AI16=""),"",IF(W28&lt;&gt;"",AM27,IF(O28&lt;&gt;"",AM28,IF(S28&lt;&gt;"",AM29,""))))</f>
        <v>0</v>
      </c>
      <c r="AF28" s="9905"/>
      <c r="AG28" s="9905"/>
      <c r="AH28" s="9905"/>
      <c r="AI28" s="9905"/>
      <c r="AJ28" s="9905"/>
      <c r="AK28" s="1127"/>
      <c r="AL28" s="1179"/>
      <c r="AM28" s="1681">
        <f>IF($AE$20&gt;8,LOOKUP($AE$20,$AP$78:$AP$86,$AR$78:$AR$86)+(($AE$20-8)*AR87),LOOKUP($AE$20,$AP$78:$AP$86,$AR$78:$AR$86))</f>
        <v>0</v>
      </c>
      <c r="AN28" s="1681"/>
      <c r="AO28" s="1582"/>
      <c r="AP28" s="1262" t="s">
        <v>4272</v>
      </c>
      <c r="AQ28" s="1179"/>
      <c r="AR28" s="1179"/>
      <c r="AS28" s="1179"/>
      <c r="AT28" s="1179"/>
      <c r="AU28" s="1585" t="s">
        <v>294</v>
      </c>
      <c r="AV28" s="1601">
        <f>IF(AX28&lt;&gt;"",ROUND(AX28,0),Adj_Gross_Inc)</f>
        <v>0</v>
      </c>
      <c r="AW28" s="1179"/>
      <c r="AX28" s="5713"/>
      <c r="AY28" s="1583"/>
      <c r="AZ28" s="1179"/>
      <c r="BA28" s="1582"/>
      <c r="BB28" s="1262" t="s">
        <v>4278</v>
      </c>
      <c r="BC28" s="1179"/>
      <c r="BD28" s="1179"/>
      <c r="BE28" s="1179"/>
      <c r="BF28" s="1179"/>
      <c r="BG28" s="1585" t="s">
        <v>294</v>
      </c>
      <c r="BH28" s="1600"/>
      <c r="BI28" s="1179"/>
      <c r="BJ28" s="1179"/>
      <c r="BK28" s="1583"/>
      <c r="BL28" s="1179"/>
    </row>
    <row r="29" spans="1:64" ht="12.75" customHeight="1" thickBot="1">
      <c r="A29" s="1127"/>
      <c r="B29" s="1179"/>
      <c r="C29" s="1179"/>
      <c r="D29" s="1179"/>
      <c r="E29" s="1179"/>
      <c r="F29" s="1179"/>
      <c r="G29" s="1179"/>
      <c r="H29" s="1179"/>
      <c r="I29" s="1179"/>
      <c r="J29" s="1179"/>
      <c r="K29" s="1179"/>
      <c r="L29" s="1179"/>
      <c r="M29" s="1179"/>
      <c r="N29" s="1179"/>
      <c r="O29" s="1179"/>
      <c r="P29" s="1179"/>
      <c r="Q29" s="1179"/>
      <c r="R29" s="1179"/>
      <c r="S29" s="1179"/>
      <c r="T29" s="1179"/>
      <c r="U29" s="1179"/>
      <c r="V29" s="1179"/>
      <c r="W29" s="1179"/>
      <c r="X29" s="1179"/>
      <c r="Y29" s="1179"/>
      <c r="Z29" s="1179"/>
      <c r="AA29" s="1179"/>
      <c r="AB29" s="1179"/>
      <c r="AC29" s="1179"/>
      <c r="AD29" s="1558"/>
      <c r="AE29" s="1179"/>
      <c r="AF29" s="1179"/>
      <c r="AG29" s="1179"/>
      <c r="AH29" s="1179"/>
      <c r="AI29" s="1179"/>
      <c r="AJ29" s="1574"/>
      <c r="AK29" s="1127"/>
      <c r="AL29" s="1179"/>
      <c r="AM29" s="1681">
        <f>IF($AE$20&gt;8,LOOKUP($AE$20,$AP$78:$AP$86,$AS$78:$AS$86)+(($AE$20-8)*AS87),LOOKUP($AE$20,$AP$78:$AP$86,$AS$78:$AS$86))</f>
        <v>0</v>
      </c>
      <c r="AN29" s="1681"/>
      <c r="AO29" s="1582"/>
      <c r="AP29" s="1262"/>
      <c r="AQ29" s="1179"/>
      <c r="AR29" s="1179"/>
      <c r="AS29" s="1179"/>
      <c r="AT29" s="1179"/>
      <c r="AU29" s="1179"/>
      <c r="AV29" s="1179"/>
      <c r="AW29" s="1179"/>
      <c r="AX29" s="1179"/>
      <c r="AY29" s="1583"/>
      <c r="AZ29" s="1179"/>
      <c r="BA29" s="1582"/>
      <c r="BB29" s="1262"/>
      <c r="BC29" s="1179"/>
      <c r="BD29" s="1179"/>
      <c r="BE29" s="1179"/>
      <c r="BF29" s="1179"/>
      <c r="BG29" s="1179"/>
      <c r="BH29" s="1179"/>
      <c r="BI29" s="1179"/>
      <c r="BJ29" s="1179"/>
      <c r="BK29" s="1583"/>
      <c r="BL29" s="1179"/>
    </row>
    <row r="30" spans="1:64" ht="15.75" customHeight="1" thickBot="1">
      <c r="A30" s="1127"/>
      <c r="B30" s="1179"/>
      <c r="C30" s="1556" t="s">
        <v>200</v>
      </c>
      <c r="D30" s="1276" t="s">
        <v>1624</v>
      </c>
      <c r="E30" s="1179"/>
      <c r="F30" s="1179"/>
      <c r="G30" s="1179"/>
      <c r="H30" s="1179"/>
      <c r="I30" s="1179"/>
      <c r="J30" s="1179"/>
      <c r="K30" s="1179"/>
      <c r="L30" s="1179"/>
      <c r="M30" s="1179"/>
      <c r="N30" s="1179"/>
      <c r="O30" s="1179"/>
      <c r="P30" s="1179"/>
      <c r="Q30" s="1179"/>
      <c r="R30" s="1179"/>
      <c r="S30" s="1179"/>
      <c r="T30" s="1179"/>
      <c r="U30" s="1179"/>
      <c r="V30" s="1179"/>
      <c r="W30" s="1179"/>
      <c r="X30" s="1179"/>
      <c r="Y30" s="1179"/>
      <c r="Z30" s="1179"/>
      <c r="AA30" s="1179"/>
      <c r="AB30" s="1179"/>
      <c r="AC30" s="1560" t="s">
        <v>1625</v>
      </c>
      <c r="AD30" s="1557">
        <v>5</v>
      </c>
      <c r="AE30" s="9887" t="str">
        <f>IF(AM30&lt;&gt;"",ROUND(AM30,0),IF(AI14&lt;&gt;"",133,IF(OR(AE28="",AE28=0),"",AU63)))</f>
        <v/>
      </c>
      <c r="AF30" s="7142"/>
      <c r="AG30" s="7142"/>
      <c r="AH30" s="7142"/>
      <c r="AI30" s="7142"/>
      <c r="AJ30" s="2178" t="str">
        <f>"%"</f>
        <v>%</v>
      </c>
      <c r="AK30" s="1127"/>
      <c r="AL30" s="1824">
        <v>5</v>
      </c>
      <c r="AM30" s="1661"/>
      <c r="AN30" s="1716"/>
      <c r="AO30" s="1582"/>
      <c r="AP30" s="1262"/>
      <c r="AQ30" s="1179"/>
      <c r="AR30" s="1179"/>
      <c r="AS30" s="1179"/>
      <c r="AT30" s="1179"/>
      <c r="AU30" s="1179"/>
      <c r="AV30" s="1179"/>
      <c r="AW30" s="1179"/>
      <c r="AX30" s="1179"/>
      <c r="AY30" s="1583"/>
      <c r="AZ30" s="1179"/>
      <c r="BA30" s="1582"/>
      <c r="BB30" s="1262"/>
      <c r="BC30" s="1179"/>
      <c r="BD30" s="1179"/>
      <c r="BE30" s="1179"/>
      <c r="BF30" s="1179"/>
      <c r="BG30" s="1179"/>
      <c r="BH30" s="1179"/>
      <c r="BI30" s="1179"/>
      <c r="BJ30" s="1179"/>
      <c r="BK30" s="1583"/>
      <c r="BL30" s="1179"/>
    </row>
    <row r="31" spans="1:64" ht="15" customHeight="1">
      <c r="A31" s="1127"/>
      <c r="B31" s="1179"/>
      <c r="C31" s="1556" t="s">
        <v>102</v>
      </c>
      <c r="D31" s="1179" t="s">
        <v>1096</v>
      </c>
      <c r="E31" s="1179"/>
      <c r="F31" s="1179"/>
      <c r="G31" s="1179"/>
      <c r="H31" s="1179"/>
      <c r="I31" s="1179"/>
      <c r="J31" s="1179"/>
      <c r="K31" s="1179"/>
      <c r="L31" s="1179"/>
      <c r="M31" s="1179"/>
      <c r="N31" s="1179"/>
      <c r="O31" s="1179"/>
      <c r="P31" s="1179"/>
      <c r="Q31" s="1179"/>
      <c r="R31" s="1179"/>
      <c r="S31" s="1179"/>
      <c r="T31" s="1179"/>
      <c r="U31" s="1179"/>
      <c r="V31" s="1179"/>
      <c r="W31" s="1179"/>
      <c r="X31" s="1179"/>
      <c r="Y31" s="1179"/>
      <c r="Z31" s="1179"/>
      <c r="AA31" s="1179"/>
      <c r="AB31" s="1179"/>
      <c r="AC31" s="1179"/>
      <c r="AD31" s="1557">
        <v>7</v>
      </c>
      <c r="AE31" s="9902" t="str">
        <f>IF(AND(File_Marr_Sep&lt;&gt;"",AI16=""),"",IF(OR(AL2&lt;&gt;1,AE30=0,AE20=0),"",BB56))</f>
        <v/>
      </c>
      <c r="AF31" s="9903"/>
      <c r="AG31" s="9903"/>
      <c r="AH31" s="9903"/>
      <c r="AI31" s="9903"/>
      <c r="AJ31" s="9903"/>
      <c r="AK31" s="1127"/>
      <c r="AL31" s="9909" t="str">
        <f>IF(AI14&lt;&gt;"","If Box A is checked, "&amp;CHAR(10)&amp;"line 5 is 133%.","")</f>
        <v/>
      </c>
      <c r="AM31" s="9909"/>
      <c r="AN31" s="9910"/>
      <c r="AO31" s="1584" t="s">
        <v>0</v>
      </c>
      <c r="AP31" s="1262" t="s">
        <v>4273</v>
      </c>
      <c r="AQ31" s="1179"/>
      <c r="AR31" s="1179"/>
      <c r="AS31" s="1179"/>
      <c r="AT31" s="1179"/>
      <c r="AU31" s="1179"/>
      <c r="AV31" s="1179"/>
      <c r="AW31" s="1179"/>
      <c r="AX31" s="1179"/>
      <c r="AY31" s="1583"/>
      <c r="AZ31" s="1179"/>
      <c r="BA31" s="1584" t="s">
        <v>0</v>
      </c>
      <c r="BB31" s="1262" t="s">
        <v>1147</v>
      </c>
      <c r="BC31" s="1179"/>
      <c r="BD31" s="1179"/>
      <c r="BE31" s="1179"/>
      <c r="BF31" s="1179"/>
      <c r="BG31" s="1179"/>
      <c r="BH31" s="1179"/>
      <c r="BI31" s="1179"/>
      <c r="BJ31" s="1179"/>
      <c r="BK31" s="1583"/>
      <c r="BL31" s="1179"/>
    </row>
    <row r="32" spans="1:64" ht="13.5" thickBot="1">
      <c r="A32" s="1127"/>
      <c r="B32" s="1179"/>
      <c r="C32" s="1179"/>
      <c r="D32" s="1179"/>
      <c r="E32" s="1179"/>
      <c r="F32" s="1179"/>
      <c r="G32" s="1179"/>
      <c r="H32" s="1179"/>
      <c r="I32" s="1179"/>
      <c r="J32" s="1179"/>
      <c r="K32" s="1179"/>
      <c r="L32" s="1179"/>
      <c r="M32" s="1179"/>
      <c r="N32" s="1179"/>
      <c r="O32" s="1179"/>
      <c r="P32" s="1179"/>
      <c r="Q32" s="1179"/>
      <c r="R32" s="1179"/>
      <c r="S32" s="1179"/>
      <c r="T32" s="1179"/>
      <c r="U32" s="1179"/>
      <c r="V32" s="1179"/>
      <c r="W32" s="1179"/>
      <c r="X32" s="1179"/>
      <c r="Y32" s="1179"/>
      <c r="Z32" s="1179"/>
      <c r="AA32" s="1179"/>
      <c r="AB32" s="1179"/>
      <c r="AC32" s="1179"/>
      <c r="AD32" s="1558"/>
      <c r="AE32" s="1179"/>
      <c r="AF32" s="1179"/>
      <c r="AG32" s="1179"/>
      <c r="AH32" s="1179"/>
      <c r="AI32" s="1179"/>
      <c r="AJ32" s="1179"/>
      <c r="AK32" s="1127"/>
      <c r="AL32" s="9909"/>
      <c r="AM32" s="9909"/>
      <c r="AN32" s="9910"/>
      <c r="AO32" s="1582"/>
      <c r="AP32" s="1262" t="s">
        <v>4274</v>
      </c>
      <c r="AQ32" s="1179"/>
      <c r="AR32" s="1179"/>
      <c r="AS32" s="1179"/>
      <c r="AT32" s="1585" t="s">
        <v>0</v>
      </c>
      <c r="AU32" s="3755">
        <f>IF(AX32&lt;&gt;"",ROUND(AX32,0),'1040'!N38)</f>
        <v>0</v>
      </c>
      <c r="AV32" s="1179"/>
      <c r="AW32" s="1179"/>
      <c r="AX32" s="5713"/>
      <c r="AY32" s="1583"/>
      <c r="AZ32" s="1179"/>
      <c r="BA32" s="1584"/>
      <c r="BB32" s="1262" t="s">
        <v>4279</v>
      </c>
      <c r="BC32" s="1179"/>
      <c r="BD32" s="1179"/>
      <c r="BE32" s="1179"/>
      <c r="BF32" s="1179"/>
      <c r="BG32" s="1179"/>
      <c r="BH32" s="1179"/>
      <c r="BI32" s="1179"/>
      <c r="BJ32" s="1179"/>
      <c r="BK32" s="1583"/>
      <c r="BL32" s="1179"/>
    </row>
    <row r="33" spans="1:64" ht="14.25" customHeight="1" thickBot="1">
      <c r="A33" s="1127"/>
      <c r="B33" s="1179"/>
      <c r="C33" s="1556" t="s">
        <v>34</v>
      </c>
      <c r="D33" s="1262" t="s">
        <v>4435</v>
      </c>
      <c r="E33" s="1179"/>
      <c r="F33" s="1179"/>
      <c r="G33" s="1179"/>
      <c r="H33" s="1179"/>
      <c r="I33" s="1179"/>
      <c r="J33" s="1179"/>
      <c r="K33" s="1179"/>
      <c r="L33" s="1582"/>
      <c r="M33" s="6208"/>
      <c r="N33" s="6208"/>
      <c r="O33" s="6208"/>
      <c r="P33" s="6208"/>
      <c r="Q33" s="6208"/>
      <c r="R33" s="6208"/>
      <c r="S33" s="1556" t="s">
        <v>47</v>
      </c>
      <c r="T33" s="1276" t="s">
        <v>1242</v>
      </c>
      <c r="U33" s="1179"/>
      <c r="V33" s="1179"/>
      <c r="W33" s="1179"/>
      <c r="X33" s="1179"/>
      <c r="Y33" s="1179"/>
      <c r="Z33" s="1179"/>
      <c r="AA33" s="1179"/>
      <c r="AB33" s="1179"/>
      <c r="AC33" s="1179"/>
      <c r="AD33" s="1558"/>
      <c r="AE33" s="1179"/>
      <c r="AF33" s="1179"/>
      <c r="AG33" s="1179"/>
      <c r="AH33" s="1179"/>
      <c r="AI33" s="1179"/>
      <c r="AJ33" s="1179"/>
      <c r="AK33" s="1127"/>
      <c r="AL33" s="1824" t="s">
        <v>34</v>
      </c>
      <c r="AM33" s="1661"/>
      <c r="AN33" s="1716"/>
      <c r="AO33" s="1582"/>
      <c r="AP33" s="1262"/>
      <c r="AQ33" s="1179"/>
      <c r="AR33" s="1179"/>
      <c r="AS33" s="1179"/>
      <c r="AT33" s="1585"/>
      <c r="AU33" s="1179"/>
      <c r="AV33" s="1179"/>
      <c r="AW33" s="1179"/>
      <c r="AX33" s="1179"/>
      <c r="AY33" s="1583"/>
      <c r="AZ33" s="1179"/>
      <c r="BA33" s="1582"/>
      <c r="BB33" s="1262" t="s">
        <v>4280</v>
      </c>
      <c r="BC33" s="1179"/>
      <c r="BD33" s="1179"/>
      <c r="BE33" s="1179"/>
      <c r="BF33" s="1585" t="s">
        <v>0</v>
      </c>
      <c r="BG33" s="1600"/>
      <c r="BH33" s="1179"/>
      <c r="BI33" s="1179"/>
      <c r="BJ33" s="1179"/>
      <c r="BK33" s="1583"/>
      <c r="BL33" s="1179"/>
    </row>
    <row r="34" spans="1:64" ht="12.75" customHeight="1" thickBot="1">
      <c r="A34" s="1127"/>
      <c r="B34" s="1280"/>
      <c r="C34" s="1280"/>
      <c r="D34" s="1929" t="s">
        <v>1682</v>
      </c>
      <c r="E34" s="1280"/>
      <c r="F34" s="1280"/>
      <c r="G34" s="1280"/>
      <c r="H34" s="1280"/>
      <c r="I34" s="1280"/>
      <c r="J34" s="1280"/>
      <c r="K34" s="1280"/>
      <c r="L34" s="1563" t="s">
        <v>34</v>
      </c>
      <c r="M34" s="7007" t="str">
        <f>IF(AND(File_Marr_Sep&lt;&gt;"",AI16=""),"",IF(AM33&lt;&gt;"",ROUND(AM33,0),IF(OR(AL2&lt;&gt;1,AE30=0,AE20=0),"",ROUND(AE25*AE31,0))))</f>
        <v/>
      </c>
      <c r="N34" s="9864"/>
      <c r="O34" s="9864"/>
      <c r="P34" s="9864"/>
      <c r="Q34" s="9864"/>
      <c r="R34" s="9864"/>
      <c r="S34" s="1280"/>
      <c r="T34" s="1704" t="s">
        <v>1243</v>
      </c>
      <c r="U34" s="1280"/>
      <c r="V34" s="1280"/>
      <c r="W34" s="1280"/>
      <c r="X34" s="1280"/>
      <c r="Y34" s="1280"/>
      <c r="Z34" s="1280"/>
      <c r="AA34" s="1280"/>
      <c r="AB34" s="1280"/>
      <c r="AC34" s="1280"/>
      <c r="AD34" s="1564" t="s">
        <v>35</v>
      </c>
      <c r="AE34" s="7151" t="str">
        <f>IF(AND(File_Marr_Sep&lt;&gt;"",AI16=""),"",IF(AM34&lt;&gt;"",ROUND(AM34,0),IF(OR(AL2&lt;&gt;1,AE30=0,AE20=0),"",ROUND(M34/12,0))))</f>
        <v/>
      </c>
      <c r="AF34" s="9911"/>
      <c r="AG34" s="9911"/>
      <c r="AH34" s="9911"/>
      <c r="AI34" s="9911"/>
      <c r="AJ34" s="9911"/>
      <c r="AK34" s="1127"/>
      <c r="AL34" s="1824" t="s">
        <v>35</v>
      </c>
      <c r="AM34" s="3496"/>
      <c r="AN34" s="1716"/>
      <c r="AO34" s="1582"/>
      <c r="AP34" s="1262"/>
      <c r="AQ34" s="1179"/>
      <c r="AR34" s="1179"/>
      <c r="AS34" s="1179"/>
      <c r="AT34" s="1179"/>
      <c r="AU34" s="1179"/>
      <c r="AV34" s="1179"/>
      <c r="AW34" s="1179"/>
      <c r="AX34" s="1179"/>
      <c r="AY34" s="1583"/>
      <c r="AZ34" s="1179"/>
      <c r="BA34" s="1582"/>
      <c r="BB34" s="1262"/>
      <c r="BC34" s="1179"/>
      <c r="BD34" s="1179"/>
      <c r="BE34" s="1179"/>
      <c r="BF34" s="1179"/>
      <c r="BG34" s="1179"/>
      <c r="BH34" s="1179"/>
      <c r="BI34" s="1179"/>
      <c r="BJ34" s="1179"/>
      <c r="BK34" s="1583"/>
      <c r="BL34" s="1179"/>
    </row>
    <row r="35" spans="1:64" ht="13.5" customHeight="1">
      <c r="A35" s="1127"/>
      <c r="B35" s="9472" t="s">
        <v>118</v>
      </c>
      <c r="C35" s="9472"/>
      <c r="D35" s="1705"/>
      <c r="E35" s="4609" t="s">
        <v>1245</v>
      </c>
      <c r="F35" s="1554"/>
      <c r="G35" s="1554"/>
      <c r="H35" s="1554"/>
      <c r="I35" s="1554"/>
      <c r="J35" s="1554"/>
      <c r="K35" s="1554"/>
      <c r="L35" s="1554"/>
      <c r="M35" s="1553"/>
      <c r="N35" s="1553"/>
      <c r="O35" s="1553"/>
      <c r="P35" s="1553"/>
      <c r="Q35" s="1553"/>
      <c r="R35" s="1553"/>
      <c r="S35" s="1554"/>
      <c r="T35" s="1554"/>
      <c r="U35" s="1554"/>
      <c r="V35" s="1554"/>
      <c r="W35" s="1554"/>
      <c r="X35" s="1554"/>
      <c r="Y35" s="1554"/>
      <c r="Z35" s="1554"/>
      <c r="AA35" s="1554"/>
      <c r="AB35" s="1554"/>
      <c r="AC35" s="1554"/>
      <c r="AD35" s="1554"/>
      <c r="AE35" s="1554"/>
      <c r="AF35" s="1554"/>
      <c r="AG35" s="1554"/>
      <c r="AH35" s="1554"/>
      <c r="AI35" s="1554"/>
      <c r="AJ35" s="1554"/>
      <c r="AK35" s="1127"/>
      <c r="AL35" s="1179"/>
      <c r="AM35" s="1682"/>
      <c r="AN35" s="1682"/>
      <c r="AO35" s="1584" t="s">
        <v>1</v>
      </c>
      <c r="AP35" s="1262" t="s">
        <v>3289</v>
      </c>
      <c r="AQ35" s="1179"/>
      <c r="AR35" s="1179"/>
      <c r="AS35" s="1179"/>
      <c r="AT35" s="1179"/>
      <c r="AU35" s="1179"/>
      <c r="AV35" s="1179"/>
      <c r="AW35" s="1179"/>
      <c r="AX35" s="1179"/>
      <c r="AY35" s="1583"/>
      <c r="AZ35" s="1179"/>
      <c r="BA35" s="1582"/>
      <c r="BB35" s="1262"/>
      <c r="BC35" s="1179"/>
      <c r="BD35" s="1179"/>
      <c r="BE35" s="1179"/>
      <c r="BF35" s="1179"/>
      <c r="BG35" s="1179"/>
      <c r="BH35" s="1179"/>
      <c r="BI35" s="1179"/>
      <c r="BJ35" s="1179"/>
      <c r="BK35" s="1583"/>
      <c r="BL35" s="1179"/>
    </row>
    <row r="36" spans="1:64" ht="15">
      <c r="A36" s="1127"/>
      <c r="B36" s="1179"/>
      <c r="C36" s="1556" t="s">
        <v>104</v>
      </c>
      <c r="D36" s="1276" t="s">
        <v>5497</v>
      </c>
      <c r="E36" s="1179"/>
      <c r="F36" s="1179"/>
      <c r="G36" s="1179"/>
      <c r="H36" s="1179"/>
      <c r="I36" s="1179"/>
      <c r="J36" s="1179"/>
      <c r="K36" s="1179"/>
      <c r="L36" s="1179"/>
      <c r="M36" s="1179"/>
      <c r="N36" s="1179"/>
      <c r="O36" s="1179"/>
      <c r="P36" s="1179"/>
      <c r="Q36" s="1179"/>
      <c r="R36" s="1179"/>
      <c r="S36" s="1179"/>
      <c r="T36" s="1179"/>
      <c r="U36" s="1179"/>
      <c r="V36" s="1179"/>
      <c r="W36" s="1179"/>
      <c r="X36" s="1179"/>
      <c r="Y36" s="1179"/>
      <c r="Z36" s="1179"/>
      <c r="AA36" s="1179"/>
      <c r="AB36" s="1179"/>
      <c r="AC36" s="1179"/>
      <c r="AD36" s="1179"/>
      <c r="AE36" s="1179"/>
      <c r="AF36" s="1179"/>
      <c r="AG36" s="1179"/>
      <c r="AH36" s="1179"/>
      <c r="AI36" s="1179"/>
      <c r="AJ36" s="1179"/>
      <c r="AK36" s="1127"/>
      <c r="AL36" s="1179"/>
      <c r="AM36" s="1179"/>
      <c r="AN36" s="1179"/>
      <c r="AO36" s="1582"/>
      <c r="AP36" s="1262" t="s">
        <v>3288</v>
      </c>
      <c r="AQ36" s="1179"/>
      <c r="AR36" s="1179"/>
      <c r="AS36" s="1179"/>
      <c r="AT36" s="1585" t="s">
        <v>1</v>
      </c>
      <c r="AU36" s="3755">
        <f>IF(AX36&lt;&gt;"",ROUND(AX36,0),IF(ISERROR(SUM(F2555_Line45,-ForeignHousingDeduction)),"",SUM(F2555_Line45,-ForeignHousingDeduction)))</f>
        <v>0</v>
      </c>
      <c r="AV36" s="1179"/>
      <c r="AW36" s="1179"/>
      <c r="AX36" s="5713"/>
      <c r="AY36" s="1583"/>
      <c r="AZ36" s="1179"/>
      <c r="BA36" s="1584" t="s">
        <v>1</v>
      </c>
      <c r="BB36" s="1262" t="s">
        <v>1148</v>
      </c>
      <c r="BC36" s="1179"/>
      <c r="BD36" s="1179"/>
      <c r="BE36" s="1179"/>
      <c r="BF36" s="1179"/>
      <c r="BG36" s="1179"/>
      <c r="BH36" s="1179"/>
      <c r="BI36" s="1179"/>
      <c r="BJ36" s="1179"/>
      <c r="BK36" s="1583"/>
      <c r="BL36" s="1179"/>
    </row>
    <row r="37" spans="1:64" ht="13.5" customHeight="1">
      <c r="A37" s="1127"/>
      <c r="B37" s="1179"/>
      <c r="C37" s="1556"/>
      <c r="D37" s="1546"/>
      <c r="E37" s="1283" t="s">
        <v>416</v>
      </c>
      <c r="F37" s="1179"/>
      <c r="G37" s="1276" t="s">
        <v>1684</v>
      </c>
      <c r="H37" s="1179"/>
      <c r="I37" s="1276" t="s">
        <v>1685</v>
      </c>
      <c r="J37" s="1179"/>
      <c r="K37" s="1179"/>
      <c r="L37" s="1179"/>
      <c r="M37" s="1179"/>
      <c r="N37" s="1179"/>
      <c r="O37" s="1179"/>
      <c r="P37" s="1179"/>
      <c r="Q37" s="1179"/>
      <c r="R37" s="1179"/>
      <c r="S37" s="1179"/>
      <c r="T37" s="1179"/>
      <c r="U37" s="1179"/>
      <c r="V37" s="1179"/>
      <c r="W37" s="1179"/>
      <c r="X37" s="1179"/>
      <c r="Y37" s="1179"/>
      <c r="Z37" s="1590" t="str">
        <f>IF(OR(AL2&lt;&gt;1,D37&lt;&gt;""),"","X")</f>
        <v>X</v>
      </c>
      <c r="AA37" s="2786" t="s">
        <v>1627</v>
      </c>
      <c r="AB37" s="1179"/>
      <c r="AC37" s="1179"/>
      <c r="AD37" s="1179"/>
      <c r="AE37" s="1179"/>
      <c r="AF37" s="1179"/>
      <c r="AG37" s="1179"/>
      <c r="AH37" s="1179"/>
      <c r="AI37" s="1179"/>
      <c r="AJ37" s="1179"/>
      <c r="AK37" s="1127"/>
      <c r="AL37" s="1179"/>
      <c r="AM37" s="1179"/>
      <c r="AN37" s="1179"/>
      <c r="AO37" s="1582"/>
      <c r="AP37" s="1262"/>
      <c r="AQ37" s="1179"/>
      <c r="AR37" s="1179"/>
      <c r="AS37" s="1179"/>
      <c r="AT37" s="1179"/>
      <c r="AU37" s="1179"/>
      <c r="AV37" s="1179"/>
      <c r="AW37" s="1179"/>
      <c r="AX37" s="1179"/>
      <c r="AY37" s="1583"/>
      <c r="AZ37" s="1179"/>
      <c r="BA37" s="1582"/>
      <c r="BB37" s="1262" t="s">
        <v>3294</v>
      </c>
      <c r="BC37" s="1179"/>
      <c r="BD37" s="1179"/>
      <c r="BE37" s="1179"/>
      <c r="BF37" s="1585" t="s">
        <v>1</v>
      </c>
      <c r="BG37" s="1600"/>
      <c r="BH37" s="1179"/>
      <c r="BI37" s="1179"/>
      <c r="BJ37" s="1179"/>
      <c r="BK37" s="1583"/>
      <c r="BL37" s="1179"/>
    </row>
    <row r="38" spans="1:64">
      <c r="A38" s="1127"/>
      <c r="B38" s="1179"/>
      <c r="C38" s="1179"/>
      <c r="D38" s="1179"/>
      <c r="E38" s="1179"/>
      <c r="F38" s="1179"/>
      <c r="G38" s="1179"/>
      <c r="H38" s="1179"/>
      <c r="I38" s="1179" t="s">
        <v>1683</v>
      </c>
      <c r="J38" s="1179"/>
      <c r="K38" s="1179"/>
      <c r="L38" s="1179"/>
      <c r="M38" s="1179"/>
      <c r="N38" s="1179"/>
      <c r="O38" s="1179"/>
      <c r="P38" s="1179"/>
      <c r="Q38" s="1179"/>
      <c r="R38" s="1179"/>
      <c r="S38" s="1179"/>
      <c r="T38" s="1179"/>
      <c r="U38" s="1179"/>
      <c r="V38" s="1179"/>
      <c r="W38" s="1179"/>
      <c r="X38" s="1179"/>
      <c r="Y38" s="1179"/>
      <c r="Z38" s="1179"/>
      <c r="AA38" s="1179"/>
      <c r="AB38" s="1179"/>
      <c r="AC38" s="1179"/>
      <c r="AD38" s="1179"/>
      <c r="AE38" s="1179"/>
      <c r="AF38" s="1179"/>
      <c r="AG38" s="1179"/>
      <c r="AH38" s="1179"/>
      <c r="AI38" s="1179"/>
      <c r="AJ38" s="1179"/>
      <c r="AK38" s="1127"/>
      <c r="AL38" s="1179"/>
      <c r="AM38" s="1179"/>
      <c r="AN38" s="1179"/>
      <c r="AO38" s="1582"/>
      <c r="AP38" s="1262"/>
      <c r="AQ38" s="1179"/>
      <c r="AR38" s="1179"/>
      <c r="AS38" s="1179"/>
      <c r="AT38" s="1179"/>
      <c r="AU38" s="1179"/>
      <c r="AV38" s="1179"/>
      <c r="AW38" s="1179"/>
      <c r="AX38" s="1179"/>
      <c r="AY38" s="1583"/>
      <c r="AZ38" s="1179"/>
      <c r="BA38" s="1582"/>
      <c r="BB38" s="1262"/>
      <c r="BC38" s="1179"/>
      <c r="BD38" s="1179"/>
      <c r="BE38" s="1179"/>
      <c r="BF38" s="1179"/>
      <c r="BG38" s="1179"/>
      <c r="BH38" s="1179"/>
      <c r="BI38" s="1179"/>
      <c r="BJ38" s="1179"/>
      <c r="BK38" s="1583"/>
      <c r="BL38" s="1179"/>
    </row>
    <row r="39" spans="1:64" ht="14.25" customHeight="1">
      <c r="A39" s="1127"/>
      <c r="B39" s="1179"/>
      <c r="C39" s="1556" t="s">
        <v>105</v>
      </c>
      <c r="D39" s="1276" t="s">
        <v>1246</v>
      </c>
      <c r="E39" s="1179"/>
      <c r="F39" s="1179"/>
      <c r="G39" s="1179"/>
      <c r="H39" s="1179"/>
      <c r="I39" s="1179"/>
      <c r="J39" s="1179"/>
      <c r="K39" s="1179"/>
      <c r="L39" s="1179"/>
      <c r="M39" s="1179"/>
      <c r="N39" s="1179"/>
      <c r="O39" s="1179"/>
      <c r="P39" s="1179"/>
      <c r="Q39" s="1179"/>
      <c r="R39" s="1179"/>
      <c r="S39" s="1179"/>
      <c r="T39" s="1179"/>
      <c r="U39" s="1179"/>
      <c r="V39" s="1179"/>
      <c r="W39" s="1179"/>
      <c r="X39" s="1179"/>
      <c r="Y39" s="1179"/>
      <c r="Z39" s="1179"/>
      <c r="AA39" s="1179"/>
      <c r="AB39" s="1179"/>
      <c r="AC39" s="1179"/>
      <c r="AD39" s="1179"/>
      <c r="AE39" s="1179"/>
      <c r="AF39" s="1179"/>
      <c r="AG39" s="1179"/>
      <c r="AH39" s="1179"/>
      <c r="AI39" s="1179"/>
      <c r="AJ39" s="1179"/>
      <c r="AK39" s="1127"/>
      <c r="AL39" s="1179"/>
      <c r="AM39" s="1179"/>
      <c r="AN39" s="1179"/>
      <c r="AO39" s="1582"/>
      <c r="AP39" s="1262"/>
      <c r="AQ39" s="1179"/>
      <c r="AR39" s="1179"/>
      <c r="AS39" s="1179"/>
      <c r="AT39" s="1179"/>
      <c r="AU39" s="1179"/>
      <c r="AV39" s="1179"/>
      <c r="AW39" s="1179"/>
      <c r="AX39" s="1179"/>
      <c r="AY39" s="1583"/>
      <c r="AZ39" s="1179"/>
      <c r="BA39" s="1582"/>
      <c r="BB39" s="1262"/>
      <c r="BC39" s="1179"/>
      <c r="BD39" s="1179"/>
      <c r="BE39" s="1179"/>
      <c r="BF39" s="1179"/>
      <c r="BG39" s="1179"/>
      <c r="BH39" s="1179"/>
      <c r="BI39" s="1179"/>
      <c r="BJ39" s="1179"/>
      <c r="BK39" s="1583"/>
      <c r="BL39" s="1179"/>
    </row>
    <row r="40" spans="1:64" ht="15.75">
      <c r="A40" s="1127"/>
      <c r="B40" s="1179"/>
      <c r="C40" s="1556"/>
      <c r="D40" s="1546"/>
      <c r="E40" s="1276" t="s">
        <v>1626</v>
      </c>
      <c r="F40" s="1179"/>
      <c r="G40" s="1179"/>
      <c r="H40" s="1179"/>
      <c r="I40" s="1179"/>
      <c r="J40" s="1179"/>
      <c r="K40" s="1179"/>
      <c r="L40" s="1179"/>
      <c r="M40" s="1179"/>
      <c r="N40" s="1179"/>
      <c r="O40" s="1179"/>
      <c r="P40" s="1179"/>
      <c r="Q40" s="1179"/>
      <c r="R40" s="1179"/>
      <c r="S40" s="1179"/>
      <c r="T40" s="1179"/>
      <c r="U40" s="1179"/>
      <c r="V40" s="1179"/>
      <c r="W40" s="1179"/>
      <c r="X40" s="1179"/>
      <c r="Y40" s="1179"/>
      <c r="Z40" s="1590" t="str">
        <f>IF(OR(AL2&lt;&gt;1,D40&lt;&gt;""),"","X")</f>
        <v>X</v>
      </c>
      <c r="AA40" s="1276" t="s">
        <v>1247</v>
      </c>
      <c r="AB40" s="1179"/>
      <c r="AC40" s="1179"/>
      <c r="AD40" s="1179"/>
      <c r="AE40" s="1179"/>
      <c r="AF40" s="1179"/>
      <c r="AG40" s="1179"/>
      <c r="AH40" s="1179"/>
      <c r="AI40" s="1179"/>
      <c r="AJ40" s="1179"/>
      <c r="AK40" s="1127"/>
      <c r="AL40" s="1179"/>
      <c r="AM40" s="1179"/>
      <c r="AN40" s="1179"/>
      <c r="AO40" s="1584" t="s">
        <v>399</v>
      </c>
      <c r="AP40" s="1262" t="s">
        <v>4275</v>
      </c>
      <c r="AQ40" s="1179"/>
      <c r="AR40" s="1179"/>
      <c r="AS40" s="1179"/>
      <c r="AT40" s="1179"/>
      <c r="AU40" s="1179"/>
      <c r="AV40" s="1179"/>
      <c r="AW40" s="1179"/>
      <c r="AX40" s="1179"/>
      <c r="AY40" s="1583"/>
      <c r="AZ40" s="1179"/>
      <c r="BA40" s="1584" t="s">
        <v>399</v>
      </c>
      <c r="BB40" s="2808" t="s">
        <v>3293</v>
      </c>
      <c r="BC40" s="1179"/>
      <c r="BD40" s="1179"/>
      <c r="BE40" s="1179"/>
      <c r="BF40" s="1179"/>
      <c r="BG40" s="1179"/>
      <c r="BH40" s="1179"/>
      <c r="BI40" s="1179"/>
      <c r="BJ40" s="1179"/>
      <c r="BK40" s="1583"/>
      <c r="BL40" s="1179"/>
    </row>
    <row r="41" spans="1:64">
      <c r="A41" s="1127"/>
      <c r="B41" s="1179"/>
      <c r="C41" s="1179"/>
      <c r="D41" s="1179"/>
      <c r="E41" s="1179" t="s">
        <v>1097</v>
      </c>
      <c r="F41" s="1179"/>
      <c r="G41" s="1179"/>
      <c r="H41" s="1179"/>
      <c r="I41" s="1179"/>
      <c r="J41" s="1179"/>
      <c r="K41" s="1179"/>
      <c r="L41" s="1179"/>
      <c r="M41" s="1179"/>
      <c r="N41" s="1179"/>
      <c r="O41" s="1179"/>
      <c r="P41" s="1179"/>
      <c r="Q41" s="1179"/>
      <c r="R41" s="1179"/>
      <c r="S41" s="1179"/>
      <c r="T41" s="1179"/>
      <c r="U41" s="1179"/>
      <c r="V41" s="1179"/>
      <c r="W41" s="1179"/>
      <c r="X41" s="1179"/>
      <c r="Y41" s="1179"/>
      <c r="Z41" s="1179"/>
      <c r="AA41" s="1179" t="s">
        <v>1098</v>
      </c>
      <c r="AB41" s="1179"/>
      <c r="AC41" s="1179"/>
      <c r="AD41" s="1179"/>
      <c r="AE41" s="1179"/>
      <c r="AF41" s="1179"/>
      <c r="AG41" s="1179"/>
      <c r="AH41" s="1179"/>
      <c r="AI41" s="1179"/>
      <c r="AJ41" s="1179"/>
      <c r="AK41" s="1127"/>
      <c r="AL41" s="1179"/>
      <c r="AM41" s="1179"/>
      <c r="AN41" s="1179"/>
      <c r="AO41" s="1582"/>
      <c r="AP41" s="4065" t="s">
        <v>4276</v>
      </c>
      <c r="AQ41" s="1179"/>
      <c r="AR41" s="1179"/>
      <c r="AS41" s="1179"/>
      <c r="AT41" s="1179"/>
      <c r="AU41" s="1179"/>
      <c r="AV41" s="1179"/>
      <c r="AW41" s="1179"/>
      <c r="AX41" s="1179"/>
      <c r="AY41" s="1583"/>
      <c r="AZ41" s="1179"/>
      <c r="BA41" s="1582"/>
      <c r="BB41" s="4065" t="s">
        <v>4281</v>
      </c>
      <c r="BC41" s="1179"/>
      <c r="BD41" s="1179"/>
      <c r="BE41" s="1179"/>
      <c r="BF41" s="1179"/>
      <c r="BG41" s="1179"/>
      <c r="BH41" s="1179"/>
      <c r="BI41" s="1179"/>
      <c r="BJ41" s="1179"/>
      <c r="BK41" s="1583"/>
      <c r="BL41" s="1179"/>
    </row>
    <row r="42" spans="1:64" ht="18" customHeight="1">
      <c r="A42" s="1127"/>
      <c r="B42" s="1553"/>
      <c r="C42" s="1553"/>
      <c r="D42" s="1553"/>
      <c r="E42" s="1553"/>
      <c r="F42" s="1553"/>
      <c r="G42" s="1553"/>
      <c r="H42" s="1553"/>
      <c r="I42" s="1553"/>
      <c r="J42" s="1553"/>
      <c r="K42" s="1553"/>
      <c r="L42" s="1553"/>
      <c r="M42" s="1553"/>
      <c r="N42" s="1553"/>
      <c r="O42" s="1553"/>
      <c r="P42" s="1553"/>
      <c r="Q42" s="1553"/>
      <c r="R42" s="1553"/>
      <c r="S42" s="1553"/>
      <c r="T42" s="1553"/>
      <c r="U42" s="1553"/>
      <c r="V42" s="1553"/>
      <c r="W42" s="1553"/>
      <c r="X42" s="1553"/>
      <c r="Y42" s="1553"/>
      <c r="Z42" s="1553"/>
      <c r="AA42" s="1553"/>
      <c r="AB42" s="1553"/>
      <c r="AC42" s="1553"/>
      <c r="AD42" s="1553"/>
      <c r="AE42" s="1553"/>
      <c r="AF42" s="1553"/>
      <c r="AG42" s="1553"/>
      <c r="AH42" s="1553"/>
      <c r="AI42" s="1553"/>
      <c r="AJ42" s="1553"/>
      <c r="AK42" s="1127"/>
      <c r="AL42" s="1179"/>
      <c r="AM42" s="1179"/>
      <c r="AN42" s="1179"/>
      <c r="AO42" s="1582"/>
      <c r="AP42" s="3362" t="s">
        <v>3290</v>
      </c>
      <c r="AQ42" s="1179"/>
      <c r="AR42" s="1179"/>
      <c r="AS42" s="1179"/>
      <c r="AT42" s="3754" t="s">
        <v>399</v>
      </c>
      <c r="AU42" s="3755">
        <f>IF(AX42&lt;&gt;"",ROUND(AX42,0),IF(SocSecBenefits&gt;SocSecBenefits_Taxable,SUM(SocSecBenefits,-SocSecBenefits_Taxable),0))</f>
        <v>0</v>
      </c>
      <c r="AV42" s="1179"/>
      <c r="AW42" s="1179"/>
      <c r="AX42" s="5713"/>
      <c r="AY42" s="1583"/>
      <c r="AZ42" s="1179"/>
      <c r="BA42" s="1582"/>
      <c r="BB42" s="3362" t="s">
        <v>4282</v>
      </c>
      <c r="BC42" s="1179"/>
      <c r="BD42" s="1179"/>
      <c r="BE42" s="1179"/>
      <c r="BF42" s="1585" t="s">
        <v>399</v>
      </c>
      <c r="BG42" s="1600"/>
      <c r="BH42" s="1179"/>
      <c r="BI42" s="1179"/>
      <c r="BJ42" s="1179"/>
      <c r="BK42" s="1583"/>
      <c r="BL42" s="1179"/>
    </row>
    <row r="43" spans="1:64">
      <c r="A43" s="1127"/>
      <c r="B43" s="9822" t="s">
        <v>1099</v>
      </c>
      <c r="C43" s="9823"/>
      <c r="D43" s="9823"/>
      <c r="E43" s="9823"/>
      <c r="F43" s="9823"/>
      <c r="G43" s="9847" t="s">
        <v>2988</v>
      </c>
      <c r="H43" s="9848"/>
      <c r="I43" s="9848"/>
      <c r="J43" s="9848"/>
      <c r="K43" s="9848"/>
      <c r="L43" s="9847" t="s">
        <v>1249</v>
      </c>
      <c r="M43" s="9848"/>
      <c r="N43" s="9848"/>
      <c r="O43" s="9848"/>
      <c r="P43" s="9848"/>
      <c r="Q43" s="9847" t="s">
        <v>1248</v>
      </c>
      <c r="R43" s="9848"/>
      <c r="S43" s="9848"/>
      <c r="T43" s="9848"/>
      <c r="U43" s="9848"/>
      <c r="V43" s="9847" t="s">
        <v>1268</v>
      </c>
      <c r="W43" s="9848"/>
      <c r="X43" s="9848"/>
      <c r="Y43" s="9848"/>
      <c r="Z43" s="9848"/>
      <c r="AA43" s="9847" t="s">
        <v>1270</v>
      </c>
      <c r="AB43" s="9848"/>
      <c r="AC43" s="9848"/>
      <c r="AD43" s="9848"/>
      <c r="AE43" s="9848"/>
      <c r="AF43" s="9847" t="s">
        <v>1272</v>
      </c>
      <c r="AG43" s="9848"/>
      <c r="AH43" s="9848"/>
      <c r="AI43" s="9848"/>
      <c r="AJ43" s="9906"/>
      <c r="AK43" s="1127"/>
      <c r="AL43" s="1179"/>
      <c r="AM43" s="1179"/>
      <c r="AN43" s="1179"/>
      <c r="AO43" s="1582"/>
      <c r="AP43" s="1262"/>
      <c r="AQ43" s="1179"/>
      <c r="AR43" s="1179"/>
      <c r="AS43" s="1179"/>
      <c r="AT43" s="1179"/>
      <c r="AU43" s="1179"/>
      <c r="AV43" s="1179"/>
      <c r="AW43" s="1179"/>
      <c r="AX43" s="1179"/>
      <c r="AY43" s="1583"/>
      <c r="AZ43" s="1179"/>
      <c r="BA43" s="1582"/>
      <c r="BB43" s="1262"/>
      <c r="BC43" s="1179"/>
      <c r="BD43" s="1179"/>
      <c r="BE43" s="1179"/>
      <c r="BF43" s="1179"/>
      <c r="BG43" s="1179"/>
      <c r="BH43" s="1179"/>
      <c r="BI43" s="1179"/>
      <c r="BJ43" s="1179"/>
      <c r="BK43" s="1583"/>
      <c r="BL43" s="1179"/>
    </row>
    <row r="44" spans="1:64">
      <c r="A44" s="1127"/>
      <c r="B44" s="9824"/>
      <c r="C44" s="9824"/>
      <c r="D44" s="9824"/>
      <c r="E44" s="9824"/>
      <c r="F44" s="9824"/>
      <c r="G44" s="9849"/>
      <c r="H44" s="9849"/>
      <c r="I44" s="9849"/>
      <c r="J44" s="9849"/>
      <c r="K44" s="9849"/>
      <c r="L44" s="9849"/>
      <c r="M44" s="9849"/>
      <c r="N44" s="9849"/>
      <c r="O44" s="9849"/>
      <c r="P44" s="9849"/>
      <c r="Q44" s="9849"/>
      <c r="R44" s="9849"/>
      <c r="S44" s="9849"/>
      <c r="T44" s="9849"/>
      <c r="U44" s="9849"/>
      <c r="V44" s="9849"/>
      <c r="W44" s="9849"/>
      <c r="X44" s="9849"/>
      <c r="Y44" s="9849"/>
      <c r="Z44" s="9849"/>
      <c r="AA44" s="9849"/>
      <c r="AB44" s="9849"/>
      <c r="AC44" s="9849"/>
      <c r="AD44" s="9849"/>
      <c r="AE44" s="9849"/>
      <c r="AF44" s="9849"/>
      <c r="AG44" s="9849"/>
      <c r="AH44" s="9849"/>
      <c r="AI44" s="9849"/>
      <c r="AJ44" s="9907"/>
      <c r="AK44" s="1127"/>
      <c r="AL44" s="1179"/>
      <c r="AM44" s="1258"/>
      <c r="AN44" s="1258"/>
      <c r="AO44" s="1582"/>
      <c r="AP44" s="1262"/>
      <c r="AQ44" s="1179"/>
      <c r="AR44" s="1179"/>
      <c r="AS44" s="1179"/>
      <c r="AT44" s="1179"/>
      <c r="AU44" s="1179"/>
      <c r="AV44" s="1179"/>
      <c r="AW44" s="1179"/>
      <c r="AX44" s="1276"/>
      <c r="AY44" s="1583"/>
      <c r="AZ44" s="1179"/>
      <c r="BA44" s="1582"/>
      <c r="BB44" s="1262"/>
      <c r="BC44" s="1179"/>
      <c r="BD44" s="1179"/>
      <c r="BE44" s="1179"/>
      <c r="BF44" s="1179"/>
      <c r="BG44" s="1179"/>
      <c r="BH44" s="1179"/>
      <c r="BI44" s="1179"/>
      <c r="BJ44" s="1276" t="s">
        <v>91</v>
      </c>
      <c r="BK44" s="1583"/>
      <c r="BL44" s="1179"/>
    </row>
    <row r="45" spans="1:64" ht="14.25" customHeight="1">
      <c r="A45" s="1127"/>
      <c r="B45" s="9824"/>
      <c r="C45" s="9824"/>
      <c r="D45" s="9824"/>
      <c r="E45" s="9824"/>
      <c r="F45" s="9824"/>
      <c r="G45" s="9849"/>
      <c r="H45" s="9849"/>
      <c r="I45" s="9849"/>
      <c r="J45" s="9849"/>
      <c r="K45" s="9849"/>
      <c r="L45" s="9849"/>
      <c r="M45" s="9849"/>
      <c r="N45" s="9849"/>
      <c r="O45" s="9849"/>
      <c r="P45" s="9849"/>
      <c r="Q45" s="9849"/>
      <c r="R45" s="9849"/>
      <c r="S45" s="9849"/>
      <c r="T45" s="9849"/>
      <c r="U45" s="9849"/>
      <c r="V45" s="9849"/>
      <c r="W45" s="9849"/>
      <c r="X45" s="9849"/>
      <c r="Y45" s="9849"/>
      <c r="Z45" s="9849"/>
      <c r="AA45" s="9849"/>
      <c r="AB45" s="9849"/>
      <c r="AC45" s="9849"/>
      <c r="AD45" s="9849"/>
      <c r="AE45" s="9849"/>
      <c r="AF45" s="9849"/>
      <c r="AG45" s="9849"/>
      <c r="AH45" s="9849"/>
      <c r="AI45" s="9849"/>
      <c r="AJ45" s="9907"/>
      <c r="AK45" s="1127"/>
      <c r="AL45" s="1179"/>
      <c r="AM45" s="1258"/>
      <c r="AN45" s="1258"/>
      <c r="AO45" s="1584" t="s">
        <v>31</v>
      </c>
      <c r="AP45" s="1262" t="s">
        <v>1717</v>
      </c>
      <c r="AQ45" s="1179"/>
      <c r="AR45" s="1179"/>
      <c r="AS45" s="1179"/>
      <c r="AT45" s="1179"/>
      <c r="AU45" s="1585"/>
      <c r="AV45" s="1585"/>
      <c r="AW45" s="1179"/>
      <c r="AX45" s="2057" t="s">
        <v>91</v>
      </c>
      <c r="AY45" s="1714"/>
      <c r="AZ45" s="1179"/>
      <c r="BA45" s="1584" t="s">
        <v>31</v>
      </c>
      <c r="BB45" s="1262" t="s">
        <v>1717</v>
      </c>
      <c r="BC45" s="1179"/>
      <c r="BD45" s="1179"/>
      <c r="BE45" s="1179"/>
      <c r="BF45" s="1179"/>
      <c r="BG45" s="1585" t="s">
        <v>31</v>
      </c>
      <c r="BH45" s="1599">
        <f>IF(BJ45&lt;&gt;"",ROUND(BJ45,0),ROUND(SUM(BH28,BG33,BG37,BG42),0))</f>
        <v>0</v>
      </c>
      <c r="BI45" s="1179"/>
      <c r="BJ45" s="1711"/>
      <c r="BK45" s="1714"/>
      <c r="BL45" s="1179"/>
    </row>
    <row r="46" spans="1:64" ht="13.5" thickBot="1">
      <c r="A46" s="1127"/>
      <c r="B46" s="9824"/>
      <c r="C46" s="9824"/>
      <c r="D46" s="9824"/>
      <c r="E46" s="9824"/>
      <c r="F46" s="9824"/>
      <c r="G46" s="9849"/>
      <c r="H46" s="9849"/>
      <c r="I46" s="9849"/>
      <c r="J46" s="9849"/>
      <c r="K46" s="9849"/>
      <c r="L46" s="9849"/>
      <c r="M46" s="9849"/>
      <c r="N46" s="9849"/>
      <c r="O46" s="9849"/>
      <c r="P46" s="9849"/>
      <c r="Q46" s="9849"/>
      <c r="R46" s="9849"/>
      <c r="S46" s="9849"/>
      <c r="T46" s="9849"/>
      <c r="U46" s="9849"/>
      <c r="V46" s="9849"/>
      <c r="W46" s="9849"/>
      <c r="X46" s="9849"/>
      <c r="Y46" s="9849"/>
      <c r="Z46" s="9849"/>
      <c r="AA46" s="9849"/>
      <c r="AB46" s="9849"/>
      <c r="AC46" s="9849"/>
      <c r="AD46" s="9849"/>
      <c r="AE46" s="9849"/>
      <c r="AF46" s="9849"/>
      <c r="AG46" s="9849"/>
      <c r="AH46" s="9849"/>
      <c r="AI46" s="9849"/>
      <c r="AJ46" s="9907"/>
      <c r="AK46" s="1127"/>
      <c r="AL46" s="1179"/>
      <c r="AM46" s="1258"/>
      <c r="AN46" s="1258"/>
      <c r="AO46" s="1584"/>
      <c r="AP46" s="1262" t="s">
        <v>3291</v>
      </c>
      <c r="AQ46" s="1179"/>
      <c r="AR46" s="1179"/>
      <c r="AS46" s="1179"/>
      <c r="AT46" s="1179"/>
      <c r="AU46" s="1585" t="s">
        <v>31</v>
      </c>
      <c r="AV46" s="3755">
        <f>IF(AX46&lt;&gt;"",ROUND(AX46,0),ROUND(SUM(AV28,AU32,AU36,AU42),0))</f>
        <v>0</v>
      </c>
      <c r="AW46" s="1179"/>
      <c r="AX46" s="5713"/>
      <c r="AY46" s="1714"/>
      <c r="AZ46" s="1179"/>
      <c r="BA46" s="1584"/>
      <c r="BB46" s="1262" t="s">
        <v>1718</v>
      </c>
      <c r="BC46" s="1179"/>
      <c r="BD46" s="1179"/>
      <c r="BE46" s="1179"/>
      <c r="BF46" s="1179"/>
      <c r="BG46" s="1179"/>
      <c r="BH46" s="1179"/>
      <c r="BI46" s="1179"/>
      <c r="BJ46" s="1179"/>
      <c r="BK46" s="1714"/>
      <c r="BL46" s="1179"/>
    </row>
    <row r="47" spans="1:64" ht="15.75" thickBot="1">
      <c r="A47" s="1127"/>
      <c r="B47" s="1565" t="s">
        <v>657</v>
      </c>
      <c r="C47" s="9865" t="s">
        <v>5498</v>
      </c>
      <c r="D47" s="9865"/>
      <c r="E47" s="9865"/>
      <c r="F47" s="9866"/>
      <c r="G47" s="9826"/>
      <c r="H47" s="9826"/>
      <c r="I47" s="9826"/>
      <c r="J47" s="9826"/>
      <c r="K47" s="9826"/>
      <c r="L47" s="9826"/>
      <c r="M47" s="9826"/>
      <c r="N47" s="9826"/>
      <c r="O47" s="9826"/>
      <c r="P47" s="9826"/>
      <c r="Q47" s="9834" t="str">
        <f>IF(AM47&lt;&gt;"",ROUND(AM47,2),IF(OR(D37&lt;&gt;"",D40=""),"",IF(M34&lt;&gt;"",M34,"")))</f>
        <v/>
      </c>
      <c r="R47" s="9834"/>
      <c r="S47" s="9834"/>
      <c r="T47" s="9834"/>
      <c r="U47" s="9834"/>
      <c r="V47" s="9834" t="str">
        <f>IF(OR(D37&lt;&gt;"",D40="",G47="",L47=""),"",IF(Q47="",L47,IF(SUM(L47,-Q47)&lt;0,0,SUM(L47,-Q47))))</f>
        <v/>
      </c>
      <c r="W47" s="9834"/>
      <c r="X47" s="9834"/>
      <c r="Y47" s="9834"/>
      <c r="Z47" s="9834"/>
      <c r="AA47" s="9834" t="str">
        <f>IF(OR(D37&lt;&gt;"",D40=""),"",IF(AND(G47&lt;&gt;"",L47&lt;&gt;""),MIN(G47,V47),""))</f>
        <v/>
      </c>
      <c r="AB47" s="9834"/>
      <c r="AC47" s="9834"/>
      <c r="AD47" s="9834"/>
      <c r="AE47" s="9834"/>
      <c r="AF47" s="9826"/>
      <c r="AG47" s="9826"/>
      <c r="AH47" s="9826"/>
      <c r="AI47" s="9826"/>
      <c r="AJ47" s="9888"/>
      <c r="AK47" s="1127"/>
      <c r="AL47" s="1824" t="s">
        <v>3281</v>
      </c>
      <c r="AM47" s="4063"/>
      <c r="AN47" s="1258"/>
      <c r="AO47" s="1586"/>
      <c r="AP47" s="1570"/>
      <c r="AQ47" s="1553"/>
      <c r="AR47" s="1553"/>
      <c r="AS47" s="1553"/>
      <c r="AT47" s="1553"/>
      <c r="AU47" s="1553"/>
      <c r="AV47" s="1553"/>
      <c r="AW47" s="1179"/>
      <c r="AX47" s="1553"/>
      <c r="AY47" s="1583"/>
      <c r="AZ47" s="1179"/>
      <c r="BA47" s="1586"/>
      <c r="BB47" s="1570"/>
      <c r="BC47" s="1553"/>
      <c r="BD47" s="1553"/>
      <c r="BE47" s="1553"/>
      <c r="BF47" s="1553"/>
      <c r="BG47" s="1553"/>
      <c r="BH47" s="1553"/>
      <c r="BI47" s="1553"/>
      <c r="BJ47" s="1553"/>
      <c r="BK47" s="1583"/>
      <c r="BL47" s="1179"/>
    </row>
    <row r="48" spans="1:64" ht="12.75" customHeight="1">
      <c r="A48" s="1127"/>
      <c r="B48" s="9822" t="s">
        <v>1100</v>
      </c>
      <c r="C48" s="9823"/>
      <c r="D48" s="9823"/>
      <c r="E48" s="9823"/>
      <c r="F48" s="9823"/>
      <c r="G48" s="9847" t="s">
        <v>1266</v>
      </c>
      <c r="H48" s="9848"/>
      <c r="I48" s="9848"/>
      <c r="J48" s="9848"/>
      <c r="K48" s="9848"/>
      <c r="L48" s="9847" t="s">
        <v>1267</v>
      </c>
      <c r="M48" s="9848"/>
      <c r="N48" s="9848"/>
      <c r="O48" s="9848"/>
      <c r="P48" s="9848"/>
      <c r="Q48" s="9847" t="s">
        <v>1686</v>
      </c>
      <c r="R48" s="9848"/>
      <c r="S48" s="9848"/>
      <c r="T48" s="9848"/>
      <c r="U48" s="9848"/>
      <c r="V48" s="9847" t="s">
        <v>1269</v>
      </c>
      <c r="W48" s="9848"/>
      <c r="X48" s="9848"/>
      <c r="Y48" s="9848"/>
      <c r="Z48" s="9848"/>
      <c r="AA48" s="9847" t="s">
        <v>1271</v>
      </c>
      <c r="AB48" s="9848"/>
      <c r="AC48" s="9848"/>
      <c r="AD48" s="9848"/>
      <c r="AE48" s="9848"/>
      <c r="AF48" s="9847" t="s">
        <v>1273</v>
      </c>
      <c r="AG48" s="9848"/>
      <c r="AH48" s="9848"/>
      <c r="AI48" s="9848"/>
      <c r="AJ48" s="9906"/>
      <c r="AK48" s="1127"/>
      <c r="AL48" s="1276"/>
      <c r="AM48" s="2759"/>
      <c r="AN48" s="2759"/>
      <c r="AO48" s="9885" t="s">
        <v>3292</v>
      </c>
      <c r="AP48" s="9889"/>
      <c r="AQ48" s="9889"/>
      <c r="AR48" s="9889"/>
      <c r="AS48" s="9889"/>
      <c r="AT48" s="9889"/>
      <c r="AU48" s="9889"/>
      <c r="AV48" s="9889"/>
      <c r="AW48" s="9889"/>
      <c r="AX48" s="9889"/>
      <c r="AY48" s="9890"/>
      <c r="AZ48" s="1179"/>
      <c r="BA48" s="9885" t="s">
        <v>1265</v>
      </c>
      <c r="BB48" s="8335"/>
      <c r="BC48" s="8335"/>
      <c r="BD48" s="8335"/>
      <c r="BE48" s="8335"/>
      <c r="BF48" s="8335"/>
      <c r="BG48" s="8335"/>
      <c r="BH48" s="8335"/>
      <c r="BI48" s="8335"/>
      <c r="BJ48" s="8335"/>
      <c r="BK48" s="8245"/>
      <c r="BL48" s="1179"/>
    </row>
    <row r="49" spans="1:75" ht="5.25" customHeight="1">
      <c r="A49" s="1127"/>
      <c r="B49" s="9824"/>
      <c r="C49" s="9824"/>
      <c r="D49" s="9824"/>
      <c r="E49" s="9824"/>
      <c r="F49" s="9824"/>
      <c r="G49" s="9849"/>
      <c r="H49" s="9849"/>
      <c r="I49" s="9849"/>
      <c r="J49" s="9849"/>
      <c r="K49" s="9849"/>
      <c r="L49" s="9849"/>
      <c r="M49" s="9849"/>
      <c r="N49" s="9849"/>
      <c r="O49" s="9849"/>
      <c r="P49" s="9849"/>
      <c r="Q49" s="9849"/>
      <c r="R49" s="9849"/>
      <c r="S49" s="9849"/>
      <c r="T49" s="9849"/>
      <c r="U49" s="9849"/>
      <c r="V49" s="9849"/>
      <c r="W49" s="9849"/>
      <c r="X49" s="9849"/>
      <c r="Y49" s="9849"/>
      <c r="Z49" s="9849"/>
      <c r="AA49" s="9849"/>
      <c r="AB49" s="9849"/>
      <c r="AC49" s="9849"/>
      <c r="AD49" s="9849"/>
      <c r="AE49" s="9849"/>
      <c r="AF49" s="9849"/>
      <c r="AG49" s="9849"/>
      <c r="AH49" s="9849"/>
      <c r="AI49" s="9849"/>
      <c r="AJ49" s="9907"/>
      <c r="AK49" s="1127"/>
      <c r="AL49" s="1276"/>
      <c r="AM49" s="2759"/>
      <c r="AN49" s="2759"/>
      <c r="AO49" s="9891"/>
      <c r="AP49" s="9892"/>
      <c r="AQ49" s="9892"/>
      <c r="AR49" s="9892"/>
      <c r="AS49" s="9892"/>
      <c r="AT49" s="9892"/>
      <c r="AU49" s="9892"/>
      <c r="AV49" s="9892"/>
      <c r="AW49" s="9892"/>
      <c r="AX49" s="9892"/>
      <c r="AY49" s="9893"/>
      <c r="AZ49" s="1179"/>
      <c r="BA49" s="9879"/>
      <c r="BB49" s="6764"/>
      <c r="BC49" s="6764"/>
      <c r="BD49" s="6764"/>
      <c r="BE49" s="6764"/>
      <c r="BF49" s="6764"/>
      <c r="BG49" s="6764"/>
      <c r="BH49" s="6764"/>
      <c r="BI49" s="6764"/>
      <c r="BJ49" s="6764"/>
      <c r="BK49" s="9886"/>
      <c r="BL49" s="1179"/>
    </row>
    <row r="50" spans="1:75">
      <c r="A50" s="1127"/>
      <c r="B50" s="9824"/>
      <c r="C50" s="9824"/>
      <c r="D50" s="9824"/>
      <c r="E50" s="9824"/>
      <c r="F50" s="9824"/>
      <c r="G50" s="9849"/>
      <c r="H50" s="9849"/>
      <c r="I50" s="9849"/>
      <c r="J50" s="9849"/>
      <c r="K50" s="9849"/>
      <c r="L50" s="9849"/>
      <c r="M50" s="9849"/>
      <c r="N50" s="9849"/>
      <c r="O50" s="9849"/>
      <c r="P50" s="9849"/>
      <c r="Q50" s="9849"/>
      <c r="R50" s="9849"/>
      <c r="S50" s="9849"/>
      <c r="T50" s="9849"/>
      <c r="U50" s="9849"/>
      <c r="V50" s="9849"/>
      <c r="W50" s="9849"/>
      <c r="X50" s="9849"/>
      <c r="Y50" s="9849"/>
      <c r="Z50" s="9849"/>
      <c r="AA50" s="9849"/>
      <c r="AB50" s="9849"/>
      <c r="AC50" s="9849"/>
      <c r="AD50" s="9849"/>
      <c r="AE50" s="9849"/>
      <c r="AF50" s="9849"/>
      <c r="AG50" s="9849"/>
      <c r="AH50" s="9849"/>
      <c r="AI50" s="9849"/>
      <c r="AJ50" s="9907"/>
      <c r="AK50" s="1127"/>
      <c r="AL50" s="1179"/>
      <c r="AM50" s="2759"/>
      <c r="AN50" s="2759"/>
      <c r="AO50" s="9891"/>
      <c r="AP50" s="9892"/>
      <c r="AQ50" s="9892"/>
      <c r="AR50" s="9892"/>
      <c r="AS50" s="9892"/>
      <c r="AT50" s="9892"/>
      <c r="AU50" s="9892"/>
      <c r="AV50" s="9892"/>
      <c r="AW50" s="9892"/>
      <c r="AX50" s="9892"/>
      <c r="AY50" s="9893"/>
      <c r="AZ50" s="1179"/>
      <c r="BA50" s="9879"/>
      <c r="BB50" s="6764"/>
      <c r="BC50" s="6764"/>
      <c r="BD50" s="6764"/>
      <c r="BE50" s="6764"/>
      <c r="BF50" s="6764"/>
      <c r="BG50" s="6764"/>
      <c r="BH50" s="6764"/>
      <c r="BI50" s="6764"/>
      <c r="BJ50" s="6764"/>
      <c r="BK50" s="9886"/>
      <c r="BL50" s="1179"/>
    </row>
    <row r="51" spans="1:75" ht="14.25" customHeight="1" thickBot="1">
      <c r="A51" s="1127"/>
      <c r="B51" s="9824"/>
      <c r="C51" s="9824"/>
      <c r="D51" s="9824"/>
      <c r="E51" s="9824"/>
      <c r="F51" s="9824"/>
      <c r="G51" s="9849"/>
      <c r="H51" s="9849"/>
      <c r="I51" s="9849"/>
      <c r="J51" s="9849"/>
      <c r="K51" s="9849"/>
      <c r="L51" s="9849"/>
      <c r="M51" s="9849"/>
      <c r="N51" s="9849"/>
      <c r="O51" s="9849"/>
      <c r="P51" s="9849"/>
      <c r="Q51" s="9849"/>
      <c r="R51" s="9849"/>
      <c r="S51" s="9849"/>
      <c r="T51" s="9849"/>
      <c r="U51" s="9849"/>
      <c r="V51" s="9849"/>
      <c r="W51" s="9849"/>
      <c r="X51" s="9849"/>
      <c r="Y51" s="9849"/>
      <c r="Z51" s="9849"/>
      <c r="AA51" s="9849"/>
      <c r="AB51" s="9849"/>
      <c r="AC51" s="9849"/>
      <c r="AD51" s="9849"/>
      <c r="AE51" s="9849"/>
      <c r="AF51" s="9849"/>
      <c r="AG51" s="9849"/>
      <c r="AH51" s="9849"/>
      <c r="AI51" s="9849"/>
      <c r="AJ51" s="9907"/>
      <c r="AK51" s="1127"/>
      <c r="AL51" s="1179"/>
      <c r="AM51" s="1179"/>
      <c r="AN51" s="1179"/>
      <c r="AO51" s="9894"/>
      <c r="AP51" s="9895"/>
      <c r="AQ51" s="9895"/>
      <c r="AR51" s="9895"/>
      <c r="AS51" s="9895"/>
      <c r="AT51" s="9895"/>
      <c r="AU51" s="9895"/>
      <c r="AV51" s="9895"/>
      <c r="AW51" s="9895"/>
      <c r="AX51" s="9895"/>
      <c r="AY51" s="9896"/>
      <c r="AZ51" s="1179"/>
      <c r="BA51" s="9880"/>
      <c r="BB51" s="7073"/>
      <c r="BC51" s="7073"/>
      <c r="BD51" s="7073"/>
      <c r="BE51" s="7073"/>
      <c r="BF51" s="7073"/>
      <c r="BG51" s="7073"/>
      <c r="BH51" s="7073"/>
      <c r="BI51" s="7073"/>
      <c r="BJ51" s="7073"/>
      <c r="BK51" s="7074"/>
      <c r="BL51" s="1179"/>
    </row>
    <row r="52" spans="1:75" ht="15.75" thickBot="1">
      <c r="A52" s="1127"/>
      <c r="B52" s="1565" t="s">
        <v>220</v>
      </c>
      <c r="C52" s="1566"/>
      <c r="D52" s="9825" t="s">
        <v>1101</v>
      </c>
      <c r="E52" s="9825"/>
      <c r="F52" s="9825"/>
      <c r="G52" s="9826"/>
      <c r="H52" s="9826"/>
      <c r="I52" s="9826"/>
      <c r="J52" s="9826"/>
      <c r="K52" s="9826"/>
      <c r="L52" s="9826"/>
      <c r="M52" s="9826"/>
      <c r="N52" s="9826"/>
      <c r="O52" s="9826"/>
      <c r="P52" s="9826"/>
      <c r="Q52" s="9834" t="str">
        <f t="shared" ref="Q52:Q63" si="0">IF(AM52&lt;&gt;"",ROUND(AM52,2),IF(OR(G52="",L52="",$D$40&lt;&gt;""),"",$AE$34))</f>
        <v/>
      </c>
      <c r="R52" s="9834"/>
      <c r="S52" s="9834"/>
      <c r="T52" s="9834"/>
      <c r="U52" s="9834"/>
      <c r="V52" s="9834" t="str">
        <f t="shared" ref="V52:V63" si="1">IF(OR(G52="",L52="",$D$40&lt;&gt;""),"",IF(Q52="",L52,IF(SUM(L52,-Q52)&lt;0,0,SUM(L52,-Q52))))</f>
        <v/>
      </c>
      <c r="W52" s="9834"/>
      <c r="X52" s="9834"/>
      <c r="Y52" s="9834"/>
      <c r="Z52" s="9834"/>
      <c r="AA52" s="9834" t="str">
        <f t="shared" ref="AA52:AA63" si="2">IF(OR(G52="",L52="",$D$40&lt;&gt;""),"",MIN(G52,V52))</f>
        <v/>
      </c>
      <c r="AB52" s="9834"/>
      <c r="AC52" s="9834"/>
      <c r="AD52" s="9834"/>
      <c r="AE52" s="9834"/>
      <c r="AF52" s="9876"/>
      <c r="AG52" s="9876"/>
      <c r="AH52" s="9876"/>
      <c r="AI52" s="9876"/>
      <c r="AJ52" s="9877"/>
      <c r="AK52" s="1127"/>
      <c r="AL52" s="1824" t="s">
        <v>506</v>
      </c>
      <c r="AM52" s="4063"/>
      <c r="AN52" s="1179"/>
      <c r="AO52" s="1179"/>
      <c r="AP52" s="1179"/>
      <c r="AQ52" s="1179"/>
      <c r="AR52" s="1179"/>
      <c r="AS52" s="1179"/>
      <c r="AT52" s="1179"/>
      <c r="AU52" s="1179"/>
      <c r="AV52" s="1179"/>
      <c r="AW52" s="1179"/>
      <c r="AX52" s="1179"/>
      <c r="AY52" s="1179"/>
      <c r="AZ52" s="1179"/>
      <c r="BA52" s="1179"/>
      <c r="BB52" s="1179"/>
      <c r="BC52" s="1179"/>
      <c r="BD52" s="1179"/>
      <c r="BE52" s="1179"/>
      <c r="BF52" s="1179"/>
      <c r="BG52" s="1179"/>
      <c r="BH52" s="1179"/>
      <c r="BI52" s="1179"/>
      <c r="BJ52" s="1179"/>
      <c r="BK52" s="1179"/>
      <c r="BL52" s="1179"/>
      <c r="BV52" s="1731"/>
      <c r="BW52" s="1731"/>
    </row>
    <row r="53" spans="1:75" ht="15.75" thickBot="1">
      <c r="A53" s="1127"/>
      <c r="B53" s="1565" t="s">
        <v>658</v>
      </c>
      <c r="C53" s="1566"/>
      <c r="D53" s="9825" t="s">
        <v>1102</v>
      </c>
      <c r="E53" s="9825"/>
      <c r="F53" s="9825"/>
      <c r="G53" s="9826"/>
      <c r="H53" s="9826"/>
      <c r="I53" s="9826"/>
      <c r="J53" s="9826"/>
      <c r="K53" s="9826"/>
      <c r="L53" s="9826"/>
      <c r="M53" s="9826"/>
      <c r="N53" s="9826"/>
      <c r="O53" s="9826"/>
      <c r="P53" s="9826"/>
      <c r="Q53" s="9834" t="str">
        <f t="shared" si="0"/>
        <v/>
      </c>
      <c r="R53" s="9834"/>
      <c r="S53" s="9834"/>
      <c r="T53" s="9834"/>
      <c r="U53" s="9834"/>
      <c r="V53" s="9834" t="str">
        <f t="shared" si="1"/>
        <v/>
      </c>
      <c r="W53" s="9834"/>
      <c r="X53" s="9834"/>
      <c r="Y53" s="9834"/>
      <c r="Z53" s="9834"/>
      <c r="AA53" s="9834" t="str">
        <f t="shared" si="2"/>
        <v/>
      </c>
      <c r="AB53" s="9834"/>
      <c r="AC53" s="9834"/>
      <c r="AD53" s="9834"/>
      <c r="AE53" s="9834"/>
      <c r="AF53" s="9876"/>
      <c r="AG53" s="9876"/>
      <c r="AH53" s="9876"/>
      <c r="AI53" s="9876"/>
      <c r="AJ53" s="9877"/>
      <c r="AK53" s="1127"/>
      <c r="AL53" s="1824" t="s">
        <v>2891</v>
      </c>
      <c r="AM53" s="4063"/>
      <c r="AN53" s="1179"/>
      <c r="AO53" s="1284"/>
      <c r="AP53" s="1724" t="s">
        <v>1264</v>
      </c>
      <c r="AQ53" s="1725"/>
      <c r="AR53" s="1726"/>
      <c r="AS53" s="1726"/>
      <c r="AT53" s="1727"/>
      <c r="AU53" s="1728"/>
      <c r="AV53" s="1729"/>
      <c r="AW53" s="1179"/>
      <c r="AX53" s="1179"/>
      <c r="AY53" s="1179"/>
      <c r="AZ53" s="1179"/>
      <c r="BA53" s="1179"/>
      <c r="BB53" s="1179"/>
      <c r="BC53" s="1179"/>
      <c r="BD53" s="1179"/>
      <c r="BE53" s="1179"/>
      <c r="BF53" s="1179"/>
      <c r="BG53" s="1179"/>
      <c r="BH53" s="1179"/>
      <c r="BI53" s="1179"/>
      <c r="BJ53" s="1179"/>
      <c r="BK53" s="1179"/>
      <c r="BL53" s="1179"/>
      <c r="BV53" s="1731"/>
      <c r="BW53" s="1731"/>
    </row>
    <row r="54" spans="1:75" ht="15.75" customHeight="1" thickBot="1">
      <c r="A54" s="1127"/>
      <c r="B54" s="1565" t="s">
        <v>661</v>
      </c>
      <c r="C54" s="1566"/>
      <c r="D54" s="9825" t="s">
        <v>1103</v>
      </c>
      <c r="E54" s="9825"/>
      <c r="F54" s="9825"/>
      <c r="G54" s="9826"/>
      <c r="H54" s="9826"/>
      <c r="I54" s="9826"/>
      <c r="J54" s="9826"/>
      <c r="K54" s="9826"/>
      <c r="L54" s="9826"/>
      <c r="M54" s="9826"/>
      <c r="N54" s="9826"/>
      <c r="O54" s="9826"/>
      <c r="P54" s="9826"/>
      <c r="Q54" s="9834" t="str">
        <f t="shared" si="0"/>
        <v/>
      </c>
      <c r="R54" s="9834"/>
      <c r="S54" s="9834"/>
      <c r="T54" s="9834"/>
      <c r="U54" s="9834"/>
      <c r="V54" s="9834" t="str">
        <f t="shared" si="1"/>
        <v/>
      </c>
      <c r="W54" s="9834"/>
      <c r="X54" s="9834"/>
      <c r="Y54" s="9834"/>
      <c r="Z54" s="9834"/>
      <c r="AA54" s="9834" t="str">
        <f t="shared" si="2"/>
        <v/>
      </c>
      <c r="AB54" s="9834"/>
      <c r="AC54" s="9834"/>
      <c r="AD54" s="9834"/>
      <c r="AE54" s="9834"/>
      <c r="AF54" s="9876"/>
      <c r="AG54" s="9876"/>
      <c r="AH54" s="9876"/>
      <c r="AI54" s="9876"/>
      <c r="AJ54" s="9877"/>
      <c r="AK54" s="1127"/>
      <c r="AL54" s="1824" t="s">
        <v>1912</v>
      </c>
      <c r="AM54" s="4063"/>
      <c r="AN54" s="1179"/>
      <c r="AO54" s="1284"/>
      <c r="AP54" s="5758" t="s">
        <v>294</v>
      </c>
      <c r="AQ54" s="1718" t="s">
        <v>1719</v>
      </c>
      <c r="AR54" s="1719"/>
      <c r="AS54" s="1179"/>
      <c r="AT54" s="5757"/>
      <c r="AU54" s="5756">
        <f>IF(AI14&lt;&gt;"","",AE25)</f>
        <v>0</v>
      </c>
      <c r="AV54" s="2675"/>
      <c r="AW54" s="1179"/>
      <c r="AX54" s="1179"/>
      <c r="AY54" s="1179"/>
      <c r="AZ54" s="1179"/>
      <c r="BA54" s="9867" t="s">
        <v>2061</v>
      </c>
      <c r="BB54" s="9867"/>
      <c r="BC54" s="1179"/>
      <c r="BD54" s="1179"/>
      <c r="BE54" s="1179"/>
      <c r="BF54" s="1179"/>
      <c r="BG54" s="1179"/>
      <c r="BH54" s="1179"/>
      <c r="BI54" s="1179"/>
      <c r="BJ54" s="1179"/>
      <c r="BK54" s="1179"/>
      <c r="BL54" s="1179"/>
      <c r="BV54" s="1731"/>
      <c r="BW54" s="1731"/>
    </row>
    <row r="55" spans="1:75" ht="16.5" customHeight="1" thickBot="1">
      <c r="A55" s="1127"/>
      <c r="B55" s="1565" t="s">
        <v>662</v>
      </c>
      <c r="C55" s="1566"/>
      <c r="D55" s="9825" t="s">
        <v>1104</v>
      </c>
      <c r="E55" s="9825"/>
      <c r="F55" s="9825"/>
      <c r="G55" s="9826"/>
      <c r="H55" s="9826"/>
      <c r="I55" s="9826"/>
      <c r="J55" s="9826"/>
      <c r="K55" s="9826"/>
      <c r="L55" s="9826"/>
      <c r="M55" s="9826"/>
      <c r="N55" s="9826"/>
      <c r="O55" s="9826"/>
      <c r="P55" s="9826"/>
      <c r="Q55" s="9834" t="str">
        <f t="shared" si="0"/>
        <v/>
      </c>
      <c r="R55" s="9834"/>
      <c r="S55" s="9834"/>
      <c r="T55" s="9834"/>
      <c r="U55" s="9834"/>
      <c r="V55" s="9834" t="str">
        <f t="shared" si="1"/>
        <v/>
      </c>
      <c r="W55" s="9834"/>
      <c r="X55" s="9834"/>
      <c r="Y55" s="9834"/>
      <c r="Z55" s="9834"/>
      <c r="AA55" s="9834" t="str">
        <f t="shared" si="2"/>
        <v/>
      </c>
      <c r="AB55" s="9834"/>
      <c r="AC55" s="9834"/>
      <c r="AD55" s="9834"/>
      <c r="AE55" s="9834"/>
      <c r="AF55" s="9876"/>
      <c r="AG55" s="9876"/>
      <c r="AH55" s="9876"/>
      <c r="AI55" s="9876"/>
      <c r="AJ55" s="9877"/>
      <c r="AK55" s="1127"/>
      <c r="AL55" s="1824" t="s">
        <v>3282</v>
      </c>
      <c r="AM55" s="4063"/>
      <c r="AN55" s="1179"/>
      <c r="AO55" s="1284"/>
      <c r="AP55" s="5758" t="s">
        <v>0</v>
      </c>
      <c r="AQ55" s="1718" t="s">
        <v>5485</v>
      </c>
      <c r="AR55" s="1719"/>
      <c r="AS55" s="5757"/>
      <c r="AT55" s="5756">
        <f>IF(AI14&lt;&gt;"","",AE28)</f>
        <v>0</v>
      </c>
      <c r="AU55" s="1720"/>
      <c r="AV55" s="1583"/>
      <c r="AW55" s="1179"/>
      <c r="AX55" s="1179"/>
      <c r="AY55" s="1179"/>
      <c r="AZ55" s="1179"/>
      <c r="BA55" s="9868"/>
      <c r="BB55" s="9868"/>
      <c r="BC55" s="1179"/>
      <c r="BD55" s="1179"/>
      <c r="BE55" s="1179"/>
      <c r="BF55" s="1179"/>
      <c r="BG55" s="1179"/>
      <c r="BH55" s="1179"/>
      <c r="BI55" s="2768"/>
      <c r="BJ55" s="2768"/>
      <c r="BK55" s="2768"/>
      <c r="BL55" s="1179"/>
      <c r="BV55" s="1731"/>
      <c r="BW55" s="1731"/>
    </row>
    <row r="56" spans="1:75" ht="16.5" customHeight="1" thickBot="1">
      <c r="A56" s="1127"/>
      <c r="B56" s="1565" t="s">
        <v>1105</v>
      </c>
      <c r="C56" s="1566"/>
      <c r="D56" s="9825" t="s">
        <v>1106</v>
      </c>
      <c r="E56" s="9825"/>
      <c r="F56" s="9825"/>
      <c r="G56" s="9826"/>
      <c r="H56" s="9826"/>
      <c r="I56" s="9826"/>
      <c r="J56" s="9826"/>
      <c r="K56" s="9826"/>
      <c r="L56" s="9826"/>
      <c r="M56" s="9826"/>
      <c r="N56" s="9826"/>
      <c r="O56" s="9826"/>
      <c r="P56" s="9826"/>
      <c r="Q56" s="9834" t="str">
        <f t="shared" si="0"/>
        <v/>
      </c>
      <c r="R56" s="9834"/>
      <c r="S56" s="9834"/>
      <c r="T56" s="9834"/>
      <c r="U56" s="9834"/>
      <c r="V56" s="9834" t="str">
        <f t="shared" si="1"/>
        <v/>
      </c>
      <c r="W56" s="9834"/>
      <c r="X56" s="9834"/>
      <c r="Y56" s="9834"/>
      <c r="Z56" s="9834"/>
      <c r="AA56" s="9834" t="str">
        <f t="shared" si="2"/>
        <v/>
      </c>
      <c r="AB56" s="9834"/>
      <c r="AC56" s="9834"/>
      <c r="AD56" s="9834"/>
      <c r="AE56" s="9834"/>
      <c r="AF56" s="9876"/>
      <c r="AG56" s="9876"/>
      <c r="AH56" s="9876"/>
      <c r="AI56" s="9876"/>
      <c r="AJ56" s="9877"/>
      <c r="AK56" s="1127"/>
      <c r="AL56" s="1824" t="s">
        <v>3283</v>
      </c>
      <c r="AM56" s="4063"/>
      <c r="AN56" s="1179"/>
      <c r="AO56" s="1284"/>
      <c r="AP56" s="5758" t="s">
        <v>1</v>
      </c>
      <c r="AQ56" s="1718" t="s">
        <v>5486</v>
      </c>
      <c r="AR56" s="1719"/>
      <c r="AS56" s="1179"/>
      <c r="AT56" s="1179"/>
      <c r="AU56" s="1179"/>
      <c r="AV56" s="1722"/>
      <c r="AW56" s="1179"/>
      <c r="AX56" s="1179"/>
      <c r="AY56" s="1179"/>
      <c r="AZ56" s="1798"/>
      <c r="BA56" s="5767" t="str">
        <f>AE30</f>
        <v/>
      </c>
      <c r="BB56" s="5768">
        <f>IF(BA56&lt;150,0,IF(BA56&lt;300,ROUND(0.0004*(BA56-150),4),IF(BA56&lt;400,ROUND(0.06+0.00025*(BA56-300),4),0.085)))</f>
        <v>8.5000000000000006E-2</v>
      </c>
      <c r="BC56" s="1179"/>
      <c r="BD56" s="1179"/>
      <c r="BE56" s="1179"/>
      <c r="BF56" s="2769"/>
      <c r="BG56" s="2768"/>
      <c r="BH56" s="2768"/>
      <c r="BI56" s="2768"/>
      <c r="BJ56" s="2768"/>
      <c r="BK56" s="2768"/>
      <c r="BL56" s="1179"/>
    </row>
    <row r="57" spans="1:75" ht="16.5" customHeight="1" thickBot="1">
      <c r="A57" s="1127"/>
      <c r="B57" s="1565" t="s">
        <v>1107</v>
      </c>
      <c r="C57" s="1566"/>
      <c r="D57" s="9825" t="s">
        <v>1108</v>
      </c>
      <c r="E57" s="9825"/>
      <c r="F57" s="9825"/>
      <c r="G57" s="9826"/>
      <c r="H57" s="9826"/>
      <c r="I57" s="9826"/>
      <c r="J57" s="9826"/>
      <c r="K57" s="9826"/>
      <c r="L57" s="9826"/>
      <c r="M57" s="9826"/>
      <c r="N57" s="9826"/>
      <c r="O57" s="9826"/>
      <c r="P57" s="9826"/>
      <c r="Q57" s="9834" t="str">
        <f t="shared" si="0"/>
        <v/>
      </c>
      <c r="R57" s="9834"/>
      <c r="S57" s="9834"/>
      <c r="T57" s="9834"/>
      <c r="U57" s="9834"/>
      <c r="V57" s="9834" t="str">
        <f t="shared" si="1"/>
        <v/>
      </c>
      <c r="W57" s="9834"/>
      <c r="X57" s="9834"/>
      <c r="Y57" s="9834"/>
      <c r="Z57" s="9834"/>
      <c r="AA57" s="9834" t="str">
        <f t="shared" si="2"/>
        <v/>
      </c>
      <c r="AB57" s="9834"/>
      <c r="AC57" s="9834"/>
      <c r="AD57" s="9834"/>
      <c r="AE57" s="9834"/>
      <c r="AF57" s="9876"/>
      <c r="AG57" s="9876"/>
      <c r="AH57" s="9876"/>
      <c r="AI57" s="9876"/>
      <c r="AJ57" s="9877"/>
      <c r="AK57" s="1127"/>
      <c r="AL57" s="1824" t="s">
        <v>3284</v>
      </c>
      <c r="AM57" s="4063"/>
      <c r="AN57" s="1179"/>
      <c r="AO57" s="1179"/>
      <c r="AP57" s="1717"/>
      <c r="AQ57" s="1718" t="s">
        <v>5487</v>
      </c>
      <c r="AR57" s="1719"/>
      <c r="AS57" s="1179"/>
      <c r="AT57" s="1179"/>
      <c r="AU57" s="1179"/>
      <c r="AV57" s="1583"/>
      <c r="AW57" s="1179"/>
      <c r="AX57" s="1179"/>
      <c r="AY57" s="1179"/>
      <c r="AZ57" s="1779"/>
      <c r="BA57" s="1179"/>
      <c r="BB57" s="1179"/>
      <c r="BC57" s="2987"/>
      <c r="BD57" s="1179"/>
      <c r="BE57" s="1179"/>
      <c r="BF57" s="2769"/>
      <c r="BG57" s="2768"/>
      <c r="BH57" s="2768"/>
      <c r="BI57" s="2768"/>
      <c r="BJ57" s="2768"/>
      <c r="BK57" s="2768"/>
      <c r="BL57" s="1179"/>
      <c r="BM57" s="2595" t="s">
        <v>388</v>
      </c>
    </row>
    <row r="58" spans="1:75" ht="16.5" customHeight="1" thickBot="1">
      <c r="A58" s="1127"/>
      <c r="B58" s="1565" t="s">
        <v>1109</v>
      </c>
      <c r="C58" s="1566"/>
      <c r="D58" s="9825" t="s">
        <v>1110</v>
      </c>
      <c r="E58" s="9825"/>
      <c r="F58" s="9825"/>
      <c r="G58" s="9826"/>
      <c r="H58" s="9826"/>
      <c r="I58" s="9826"/>
      <c r="J58" s="9826"/>
      <c r="K58" s="9826"/>
      <c r="L58" s="9826"/>
      <c r="M58" s="9826"/>
      <c r="N58" s="9826"/>
      <c r="O58" s="9826"/>
      <c r="P58" s="9826"/>
      <c r="Q58" s="9834" t="str">
        <f t="shared" si="0"/>
        <v/>
      </c>
      <c r="R58" s="9834"/>
      <c r="S58" s="9834"/>
      <c r="T58" s="9834"/>
      <c r="U58" s="9834"/>
      <c r="V58" s="9834" t="str">
        <f t="shared" si="1"/>
        <v/>
      </c>
      <c r="W58" s="9834"/>
      <c r="X58" s="9834"/>
      <c r="Y58" s="9834"/>
      <c r="Z58" s="9834"/>
      <c r="AA58" s="9834" t="str">
        <f t="shared" si="2"/>
        <v/>
      </c>
      <c r="AB58" s="9834"/>
      <c r="AC58" s="9834"/>
      <c r="AD58" s="9834"/>
      <c r="AE58" s="9834"/>
      <c r="AF58" s="9876"/>
      <c r="AG58" s="9876"/>
      <c r="AH58" s="9876"/>
      <c r="AI58" s="9876"/>
      <c r="AJ58" s="9877"/>
      <c r="AK58" s="1127"/>
      <c r="AL58" s="1824" t="s">
        <v>889</v>
      </c>
      <c r="AM58" s="4063"/>
      <c r="AN58" s="1179"/>
      <c r="AO58" s="1179"/>
      <c r="AP58" s="1723"/>
      <c r="AQ58" s="1718" t="s">
        <v>5488</v>
      </c>
      <c r="AR58" s="1730"/>
      <c r="AS58" s="1179"/>
      <c r="AT58" s="1179"/>
      <c r="AU58" s="5749"/>
      <c r="AV58" s="1583"/>
      <c r="AW58" s="1179"/>
      <c r="AX58" s="1179"/>
      <c r="AY58" s="1179"/>
      <c r="AZ58" s="1788" t="s">
        <v>5501</v>
      </c>
      <c r="BA58" s="5769">
        <v>344</v>
      </c>
      <c r="BB58" s="5768">
        <f>IF(BA58&lt;150,0,IF(BA58&lt;300,ROUND(0.0004*(BA58-150),4),IF(BA58&lt;400,ROUND(0.06+0.00025*(BA58-300),4),0.085)))</f>
        <v>7.0999999999999994E-2</v>
      </c>
      <c r="BC58" s="2987"/>
      <c r="BD58" s="2767"/>
      <c r="BE58" s="2768"/>
      <c r="BF58" s="2769"/>
      <c r="BG58" s="2768"/>
      <c r="BH58" s="2768"/>
      <c r="BI58" s="2768"/>
      <c r="BJ58" s="2768"/>
      <c r="BK58" s="2768"/>
      <c r="BL58" s="1179"/>
    </row>
    <row r="59" spans="1:75" ht="14.25" customHeight="1" thickBot="1">
      <c r="A59" s="1127"/>
      <c r="B59" s="1565" t="s">
        <v>1111</v>
      </c>
      <c r="C59" s="1566"/>
      <c r="D59" s="9825" t="s">
        <v>1112</v>
      </c>
      <c r="E59" s="9825"/>
      <c r="F59" s="9825"/>
      <c r="G59" s="9826"/>
      <c r="H59" s="9826"/>
      <c r="I59" s="9826"/>
      <c r="J59" s="9826"/>
      <c r="K59" s="9826"/>
      <c r="L59" s="9826"/>
      <c r="M59" s="9826"/>
      <c r="N59" s="9826"/>
      <c r="O59" s="9826"/>
      <c r="P59" s="9826"/>
      <c r="Q59" s="9834" t="str">
        <f t="shared" si="0"/>
        <v/>
      </c>
      <c r="R59" s="9834"/>
      <c r="S59" s="9834"/>
      <c r="T59" s="9834"/>
      <c r="U59" s="9834"/>
      <c r="V59" s="9834" t="str">
        <f t="shared" si="1"/>
        <v/>
      </c>
      <c r="W59" s="9834"/>
      <c r="X59" s="9834"/>
      <c r="Y59" s="9834"/>
      <c r="Z59" s="9834"/>
      <c r="AA59" s="9834" t="str">
        <f t="shared" si="2"/>
        <v/>
      </c>
      <c r="AB59" s="9834"/>
      <c r="AC59" s="9834"/>
      <c r="AD59" s="9834"/>
      <c r="AE59" s="9834"/>
      <c r="AF59" s="9876"/>
      <c r="AG59" s="9876"/>
      <c r="AH59" s="9876"/>
      <c r="AI59" s="9876"/>
      <c r="AJ59" s="9877"/>
      <c r="AK59" s="1127"/>
      <c r="AL59" s="1824" t="s">
        <v>894</v>
      </c>
      <c r="AM59" s="4063"/>
      <c r="AN59" s="1179"/>
      <c r="AO59" s="1179"/>
      <c r="AP59" s="5748"/>
      <c r="AQ59" s="1718" t="s">
        <v>5489</v>
      </c>
      <c r="AR59" s="5749"/>
      <c r="AS59" s="1179"/>
      <c r="AT59" s="5749"/>
      <c r="AU59" s="5752"/>
      <c r="AV59" s="5750"/>
      <c r="AW59" s="1179"/>
      <c r="AX59" s="1179"/>
      <c r="AY59" s="1179"/>
      <c r="AZ59" s="1779"/>
      <c r="BA59" s="2057" t="s">
        <v>3518</v>
      </c>
      <c r="BB59" s="2057" t="s">
        <v>2626</v>
      </c>
      <c r="BC59" s="2987"/>
      <c r="BD59" s="2767"/>
      <c r="BE59" s="2768"/>
      <c r="BF59" s="2769"/>
      <c r="BG59" s="2768"/>
      <c r="BH59" s="2768"/>
      <c r="BI59" s="2768"/>
      <c r="BJ59" s="2768"/>
      <c r="BK59" s="2768"/>
      <c r="BL59" s="1179"/>
    </row>
    <row r="60" spans="1:75" ht="14.25" customHeight="1" thickBot="1">
      <c r="A60" s="1127"/>
      <c r="B60" s="1565" t="s">
        <v>1113</v>
      </c>
      <c r="C60" s="1566"/>
      <c r="D60" s="9825" t="s">
        <v>1114</v>
      </c>
      <c r="E60" s="9825"/>
      <c r="F60" s="9825"/>
      <c r="G60" s="9826"/>
      <c r="H60" s="9826"/>
      <c r="I60" s="9826"/>
      <c r="J60" s="9826"/>
      <c r="K60" s="9826"/>
      <c r="L60" s="9826"/>
      <c r="M60" s="9826"/>
      <c r="N60" s="9826"/>
      <c r="O60" s="9826"/>
      <c r="P60" s="9826"/>
      <c r="Q60" s="9834" t="str">
        <f t="shared" si="0"/>
        <v/>
      </c>
      <c r="R60" s="9834"/>
      <c r="S60" s="9834"/>
      <c r="T60" s="9834"/>
      <c r="U60" s="9834"/>
      <c r="V60" s="9834" t="str">
        <f t="shared" si="1"/>
        <v/>
      </c>
      <c r="W60" s="9834"/>
      <c r="X60" s="9834"/>
      <c r="Y60" s="9834"/>
      <c r="Z60" s="9834"/>
      <c r="AA60" s="9834" t="str">
        <f t="shared" si="2"/>
        <v/>
      </c>
      <c r="AB60" s="9834"/>
      <c r="AC60" s="9834"/>
      <c r="AD60" s="9834"/>
      <c r="AE60" s="9834"/>
      <c r="AF60" s="9876"/>
      <c r="AG60" s="9876"/>
      <c r="AH60" s="9876"/>
      <c r="AI60" s="9876"/>
      <c r="AJ60" s="9877"/>
      <c r="AK60" s="1127"/>
      <c r="AL60" s="1824" t="s">
        <v>3285</v>
      </c>
      <c r="AM60" s="4063"/>
      <c r="AN60" s="1179"/>
      <c r="AO60" s="1179"/>
      <c r="AP60" s="5751"/>
      <c r="AQ60" s="1718" t="s">
        <v>5490</v>
      </c>
      <c r="AR60" s="5752"/>
      <c r="AS60" s="1179"/>
      <c r="AT60" s="5752"/>
      <c r="AU60" s="5756" t="str">
        <f>IF(OR(AI14&lt;&gt;"",AND(File_Marr_Sep&lt;&gt;"",AI16="")),"",IF(AT55=0,"",TRUNC(100*AU54/AT55)))</f>
        <v/>
      </c>
      <c r="AV60" s="5753"/>
      <c r="AW60" s="1179"/>
      <c r="AX60" s="1179"/>
      <c r="AY60" s="1179"/>
      <c r="AZ60" s="1779"/>
      <c r="BA60" s="1179"/>
      <c r="BB60" s="1179"/>
      <c r="BC60" s="2987"/>
      <c r="BD60" s="2767"/>
      <c r="BE60" s="2768"/>
      <c r="BF60" s="2769"/>
      <c r="BG60" s="2768"/>
      <c r="BH60" s="2768"/>
      <c r="BI60" s="2768"/>
      <c r="BJ60" s="2768"/>
      <c r="BK60" s="2768"/>
      <c r="BL60" s="1179"/>
    </row>
    <row r="61" spans="1:75" ht="14.25" customHeight="1" thickBot="1">
      <c r="A61" s="1127"/>
      <c r="B61" s="1565" t="s">
        <v>1115</v>
      </c>
      <c r="C61" s="1566"/>
      <c r="D61" s="9825" t="s">
        <v>1116</v>
      </c>
      <c r="E61" s="9825"/>
      <c r="F61" s="9825"/>
      <c r="G61" s="9826"/>
      <c r="H61" s="9826"/>
      <c r="I61" s="9826"/>
      <c r="J61" s="9826"/>
      <c r="K61" s="9826"/>
      <c r="L61" s="9826"/>
      <c r="M61" s="9826"/>
      <c r="N61" s="9826"/>
      <c r="O61" s="9826"/>
      <c r="P61" s="9826"/>
      <c r="Q61" s="9834" t="str">
        <f t="shared" si="0"/>
        <v/>
      </c>
      <c r="R61" s="9834"/>
      <c r="S61" s="9834"/>
      <c r="T61" s="9834"/>
      <c r="U61" s="9834"/>
      <c r="V61" s="9834" t="str">
        <f t="shared" si="1"/>
        <v/>
      </c>
      <c r="W61" s="9834"/>
      <c r="X61" s="9834"/>
      <c r="Y61" s="9834"/>
      <c r="Z61" s="9834"/>
      <c r="AA61" s="9834" t="str">
        <f t="shared" si="2"/>
        <v/>
      </c>
      <c r="AB61" s="9834"/>
      <c r="AC61" s="9834"/>
      <c r="AD61" s="9834"/>
      <c r="AE61" s="9834"/>
      <c r="AF61" s="9876"/>
      <c r="AG61" s="9876"/>
      <c r="AH61" s="9876"/>
      <c r="AI61" s="9876"/>
      <c r="AJ61" s="9877"/>
      <c r="AK61" s="1127"/>
      <c r="AL61" s="1824" t="s">
        <v>1511</v>
      </c>
      <c r="AM61" s="4063"/>
      <c r="AN61" s="1179"/>
      <c r="AO61" s="1179"/>
      <c r="AP61" s="5758" t="s">
        <v>399</v>
      </c>
      <c r="AQ61" s="1718" t="str">
        <f>"Is the result more than "&amp;TEXT(AV61,"0")&amp;"?"</f>
        <v>Is the result more than 401?</v>
      </c>
      <c r="AR61" s="1179"/>
      <c r="AS61" s="1179"/>
      <c r="AT61" s="1179"/>
      <c r="AU61" s="1179"/>
      <c r="AV61" s="5760">
        <v>401</v>
      </c>
      <c r="AW61" s="1179"/>
      <c r="AX61" s="1179"/>
      <c r="AY61" s="1179"/>
      <c r="AZ61" s="1779"/>
      <c r="BA61" s="1179"/>
      <c r="BB61" s="1179"/>
      <c r="BC61" s="2987"/>
      <c r="BD61" s="2767"/>
      <c r="BE61" s="2768"/>
      <c r="BF61" s="2769"/>
      <c r="BG61" s="2768"/>
      <c r="BH61" s="2768"/>
      <c r="BI61" s="2768"/>
      <c r="BJ61" s="2768"/>
      <c r="BK61" s="2768"/>
      <c r="BL61" s="1179"/>
    </row>
    <row r="62" spans="1:75" ht="14.25" customHeight="1" thickBot="1">
      <c r="A62" s="1127"/>
      <c r="B62" s="1565" t="s">
        <v>1117</v>
      </c>
      <c r="C62" s="1566"/>
      <c r="D62" s="9825" t="s">
        <v>1118</v>
      </c>
      <c r="E62" s="9825"/>
      <c r="F62" s="9825"/>
      <c r="G62" s="9826"/>
      <c r="H62" s="9826"/>
      <c r="I62" s="9826"/>
      <c r="J62" s="9826"/>
      <c r="K62" s="9826"/>
      <c r="L62" s="9826"/>
      <c r="M62" s="9826"/>
      <c r="N62" s="9826"/>
      <c r="O62" s="9826"/>
      <c r="P62" s="9826"/>
      <c r="Q62" s="9834" t="str">
        <f t="shared" si="0"/>
        <v/>
      </c>
      <c r="R62" s="9834"/>
      <c r="S62" s="9834"/>
      <c r="T62" s="9834"/>
      <c r="U62" s="9834"/>
      <c r="V62" s="9834" t="str">
        <f t="shared" si="1"/>
        <v/>
      </c>
      <c r="W62" s="9834"/>
      <c r="X62" s="9834"/>
      <c r="Y62" s="9834"/>
      <c r="Z62" s="9834"/>
      <c r="AA62" s="9834" t="str">
        <f t="shared" si="2"/>
        <v/>
      </c>
      <c r="AB62" s="9834"/>
      <c r="AC62" s="9834"/>
      <c r="AD62" s="9834"/>
      <c r="AE62" s="9834"/>
      <c r="AF62" s="9876"/>
      <c r="AG62" s="9876"/>
      <c r="AH62" s="9876"/>
      <c r="AI62" s="9876"/>
      <c r="AJ62" s="9877"/>
      <c r="AK62" s="1127"/>
      <c r="AL62" s="1824" t="s">
        <v>1516</v>
      </c>
      <c r="AM62" s="4063"/>
      <c r="AN62" s="1179"/>
      <c r="AO62" s="1179"/>
      <c r="AP62" s="5759" t="s">
        <v>5491</v>
      </c>
      <c r="AQ62" s="1718" t="s">
        <v>5492</v>
      </c>
      <c r="AR62" s="1179"/>
      <c r="AS62" s="1179"/>
      <c r="AT62" s="1179"/>
      <c r="AU62" s="1179"/>
      <c r="AV62" s="1583"/>
      <c r="AW62" s="1179"/>
      <c r="AX62" s="1179"/>
      <c r="AY62" s="1179"/>
      <c r="AZ62" s="1779"/>
      <c r="BA62" s="1179"/>
      <c r="BB62" s="1179"/>
      <c r="BC62" s="2987"/>
      <c r="BD62" s="2767"/>
      <c r="BE62" s="2768"/>
      <c r="BF62" s="2769"/>
      <c r="BG62" s="2768"/>
      <c r="BH62" s="2768"/>
      <c r="BI62" s="2768"/>
      <c r="BJ62" s="2768"/>
      <c r="BK62" s="2768"/>
      <c r="BL62" s="1179"/>
    </row>
    <row r="63" spans="1:75" ht="14.25" customHeight="1" thickBot="1">
      <c r="A63" s="1127"/>
      <c r="B63" s="1567" t="s">
        <v>1119</v>
      </c>
      <c r="C63" s="1568"/>
      <c r="D63" s="9912" t="s">
        <v>1120</v>
      </c>
      <c r="E63" s="9912"/>
      <c r="F63" s="9912"/>
      <c r="G63" s="9913"/>
      <c r="H63" s="9913"/>
      <c r="I63" s="9913"/>
      <c r="J63" s="9913"/>
      <c r="K63" s="9913"/>
      <c r="L63" s="9913"/>
      <c r="M63" s="9913"/>
      <c r="N63" s="9913"/>
      <c r="O63" s="9913"/>
      <c r="P63" s="9913"/>
      <c r="Q63" s="9914" t="str">
        <f t="shared" si="0"/>
        <v/>
      </c>
      <c r="R63" s="9914"/>
      <c r="S63" s="9914"/>
      <c r="T63" s="9914"/>
      <c r="U63" s="9914"/>
      <c r="V63" s="9914" t="str">
        <f t="shared" si="1"/>
        <v/>
      </c>
      <c r="W63" s="9914"/>
      <c r="X63" s="9914"/>
      <c r="Y63" s="9914"/>
      <c r="Z63" s="9914"/>
      <c r="AA63" s="9914" t="str">
        <f t="shared" si="2"/>
        <v/>
      </c>
      <c r="AB63" s="9914"/>
      <c r="AC63" s="9914"/>
      <c r="AD63" s="9914"/>
      <c r="AE63" s="9914"/>
      <c r="AF63" s="9915"/>
      <c r="AG63" s="9915"/>
      <c r="AH63" s="9915"/>
      <c r="AI63" s="9915"/>
      <c r="AJ63" s="9916"/>
      <c r="AK63" s="1127"/>
      <c r="AL63" s="1824" t="s">
        <v>694</v>
      </c>
      <c r="AM63" s="4063"/>
      <c r="AN63" s="1276"/>
      <c r="AO63" s="1179"/>
      <c r="AP63" s="5759" t="s">
        <v>5493</v>
      </c>
      <c r="AQ63" s="1718" t="s">
        <v>5494</v>
      </c>
      <c r="AR63" s="1719"/>
      <c r="AS63" s="1179"/>
      <c r="AT63" s="1283"/>
      <c r="AU63" s="4278" t="str">
        <f>IF(ISERROR(AU54/AT55),"---",IF(OR(AI14&lt;&gt;"",AND(File_Marr_Sep&lt;&gt;"",AI16="")),"",IF(AV63,AV61,AU60)))</f>
        <v>---</v>
      </c>
      <c r="AV63" s="1722" t="b">
        <f>(AU60&gt;AV61)</f>
        <v>1</v>
      </c>
      <c r="AW63" s="1179"/>
      <c r="AX63" s="1179"/>
      <c r="AY63" s="1179"/>
      <c r="AZ63" s="1779"/>
      <c r="BA63" s="1179"/>
      <c r="BB63" s="1179"/>
      <c r="BC63" s="2987"/>
      <c r="BD63" s="2767"/>
      <c r="BE63" s="2768"/>
      <c r="BF63" s="2769"/>
      <c r="BG63" s="2768"/>
      <c r="BH63" s="2768"/>
      <c r="BI63" s="2768"/>
      <c r="BJ63" s="2768"/>
      <c r="BK63" s="2768"/>
      <c r="BL63" s="1179"/>
    </row>
    <row r="64" spans="1:75" ht="14.25" customHeight="1" thickBot="1">
      <c r="A64" s="1127"/>
      <c r="B64" s="1569" t="s">
        <v>1121</v>
      </c>
      <c r="C64" s="1274"/>
      <c r="D64" s="1276" t="s">
        <v>1250</v>
      </c>
      <c r="E64" s="1179"/>
      <c r="F64" s="1179"/>
      <c r="G64" s="1179"/>
      <c r="H64" s="1179"/>
      <c r="I64" s="1179"/>
      <c r="J64" s="1179"/>
      <c r="K64" s="1179"/>
      <c r="L64" s="1179"/>
      <c r="M64" s="1179"/>
      <c r="N64" s="1179"/>
      <c r="O64" s="1179"/>
      <c r="P64" s="1179"/>
      <c r="Q64" s="1179"/>
      <c r="R64" s="1179"/>
      <c r="S64" s="1179"/>
      <c r="T64" s="1179"/>
      <c r="U64" s="1179"/>
      <c r="V64" s="1179"/>
      <c r="W64" s="1179"/>
      <c r="X64" s="1179"/>
      <c r="Y64" s="1179"/>
      <c r="Z64" s="1179"/>
      <c r="AA64" s="1179"/>
      <c r="AB64" s="1179"/>
      <c r="AC64" s="1179"/>
      <c r="AD64" s="1557">
        <v>24</v>
      </c>
      <c r="AE64" s="6981">
        <f>IF(AM64&lt;&gt;"",ROUND(AM64,0),IF(AND(AA47&lt;&gt;"",AA47&gt;0),ROUND(AA47,0),ROUND(AO70,0)))</f>
        <v>0</v>
      </c>
      <c r="AF64" s="9920"/>
      <c r="AG64" s="9920"/>
      <c r="AH64" s="9920"/>
      <c r="AI64" s="9920"/>
      <c r="AJ64" s="9920"/>
      <c r="AK64" s="1127"/>
      <c r="AL64" s="1824"/>
      <c r="AM64" s="2760"/>
      <c r="AN64" s="2761"/>
      <c r="AO64" s="1179"/>
      <c r="AP64" s="5765" t="b">
        <f>AND(AU63&lt;&gt;"",AU63&lt;100)</f>
        <v>0</v>
      </c>
      <c r="AQ64" s="1719"/>
      <c r="AR64" s="1179"/>
      <c r="AS64" s="1179"/>
      <c r="AT64" s="1179"/>
      <c r="AU64" s="1179"/>
      <c r="AV64" s="1583"/>
      <c r="AW64" s="1179"/>
      <c r="AX64" s="1179"/>
      <c r="AY64" s="1179"/>
      <c r="AZ64" s="1779"/>
      <c r="BA64" s="1179"/>
      <c r="BB64" s="1179"/>
      <c r="BC64" s="2987"/>
      <c r="BD64" s="2767"/>
      <c r="BE64" s="2768"/>
      <c r="BF64" s="2769"/>
      <c r="BG64" s="2768"/>
      <c r="BH64" s="2768"/>
      <c r="BI64" s="2768"/>
      <c r="BJ64" s="2768"/>
      <c r="BK64" s="2768"/>
      <c r="BL64" s="1179"/>
    </row>
    <row r="65" spans="1:64" ht="14.25" customHeight="1" thickBot="1">
      <c r="A65" s="1127"/>
      <c r="B65" s="1559" t="s">
        <v>1122</v>
      </c>
      <c r="C65" s="1179"/>
      <c r="D65" s="1276" t="s">
        <v>1251</v>
      </c>
      <c r="E65" s="1179"/>
      <c r="F65" s="1179"/>
      <c r="G65" s="1179"/>
      <c r="H65" s="1179"/>
      <c r="I65" s="1179"/>
      <c r="J65" s="1179"/>
      <c r="K65" s="1179"/>
      <c r="L65" s="1179"/>
      <c r="M65" s="1179"/>
      <c r="N65" s="1179"/>
      <c r="O65" s="1179"/>
      <c r="P65" s="1179"/>
      <c r="Q65" s="1179"/>
      <c r="R65" s="1179"/>
      <c r="S65" s="1179"/>
      <c r="T65" s="1179"/>
      <c r="U65" s="1179"/>
      <c r="V65" s="1179"/>
      <c r="W65" s="1179"/>
      <c r="X65" s="1179"/>
      <c r="Y65" s="1179"/>
      <c r="Z65" s="1179"/>
      <c r="AA65" s="1179"/>
      <c r="AB65" s="1179"/>
      <c r="AC65" s="1179"/>
      <c r="AD65" s="1557">
        <v>25</v>
      </c>
      <c r="AE65" s="9850">
        <f>IF(AM65&lt;&gt;"",ROUND(AM65,0),IF(D37&lt;&gt;"","",IF(AND(AF47&lt;&gt;"",AF47&gt;0),ROUND(AF47,0),ROUND(AO71,0))))</f>
        <v>0</v>
      </c>
      <c r="AF65" s="9851"/>
      <c r="AG65" s="9851"/>
      <c r="AH65" s="9851"/>
      <c r="AI65" s="9851"/>
      <c r="AJ65" s="9851"/>
      <c r="AK65" s="1127"/>
      <c r="AL65" s="1824"/>
      <c r="AM65" s="2760"/>
      <c r="AN65" s="2761"/>
      <c r="AO65" s="1179"/>
      <c r="AP65" s="5761" t="s">
        <v>5496</v>
      </c>
      <c r="AQ65" s="5762"/>
      <c r="AR65" s="5762"/>
      <c r="AS65" s="1818"/>
      <c r="AT65" s="5762"/>
      <c r="AU65" s="5762"/>
      <c r="AV65" s="5763"/>
      <c r="AW65" s="1179"/>
      <c r="AX65" s="1179"/>
      <c r="AY65" s="1179"/>
      <c r="AZ65" s="1779"/>
      <c r="BA65" s="1179"/>
      <c r="BB65" s="1179"/>
      <c r="BC65" s="2987"/>
      <c r="BD65" s="2767"/>
      <c r="BE65" s="2768"/>
      <c r="BF65" s="2769"/>
      <c r="BG65" s="2768"/>
      <c r="BH65" s="2768"/>
      <c r="BI65" s="2768"/>
      <c r="BJ65" s="2768"/>
      <c r="BK65" s="2768"/>
      <c r="BL65" s="1179"/>
    </row>
    <row r="66" spans="1:64" ht="14.25" customHeight="1">
      <c r="A66" s="1127"/>
      <c r="B66" s="1559" t="s">
        <v>1123</v>
      </c>
      <c r="C66" s="1179"/>
      <c r="D66" s="2246" t="s">
        <v>3366</v>
      </c>
      <c r="E66" s="1453"/>
      <c r="F66" s="1453"/>
      <c r="G66" s="1453"/>
      <c r="H66" s="1453"/>
      <c r="I66" s="1453"/>
      <c r="J66" s="1453"/>
      <c r="K66" s="1453"/>
      <c r="L66" s="1453"/>
      <c r="M66" s="1453"/>
      <c r="N66" s="1453"/>
      <c r="O66" s="1453"/>
      <c r="P66" s="1453"/>
      <c r="Q66" s="1453"/>
      <c r="R66" s="1453"/>
      <c r="S66" s="1453"/>
      <c r="T66" s="1453"/>
      <c r="U66" s="1453"/>
      <c r="V66" s="1453"/>
      <c r="W66" s="1453"/>
      <c r="X66" s="1453"/>
      <c r="Y66" s="1453"/>
      <c r="Z66" s="1453"/>
      <c r="AA66" s="1453"/>
      <c r="AB66" s="1453"/>
      <c r="AC66" s="1487"/>
      <c r="AD66" s="1558"/>
      <c r="AE66" s="1179"/>
      <c r="AF66" s="1179"/>
      <c r="AG66" s="1179"/>
      <c r="AH66" s="1179"/>
      <c r="AI66" s="1179"/>
      <c r="AJ66" s="1179"/>
      <c r="AK66" s="1127"/>
      <c r="AL66" s="1179"/>
      <c r="AM66" s="1179"/>
      <c r="AN66" s="1179"/>
      <c r="AO66" s="1179"/>
      <c r="AP66" s="5764" t="s">
        <v>5495</v>
      </c>
      <c r="AQ66" s="5754"/>
      <c r="AR66" s="5754"/>
      <c r="AS66" s="5754"/>
      <c r="AT66" s="5754"/>
      <c r="AU66" s="5754"/>
      <c r="AV66" s="5755"/>
      <c r="AW66" s="1179"/>
      <c r="AX66" s="1179"/>
      <c r="AY66" s="1179"/>
      <c r="AZ66" s="1779"/>
      <c r="BA66" s="1179"/>
      <c r="BB66" s="1179"/>
      <c r="BC66" s="2987"/>
      <c r="BD66" s="2767"/>
      <c r="BE66" s="2768"/>
      <c r="BF66" s="2769"/>
      <c r="BG66" s="2768"/>
      <c r="BH66" s="2768"/>
      <c r="BI66" s="2768"/>
      <c r="BJ66" s="2768"/>
      <c r="BK66" s="2768"/>
      <c r="BL66" s="1179"/>
    </row>
    <row r="67" spans="1:64" ht="14.25" customHeight="1" thickBot="1">
      <c r="A67" s="1127"/>
      <c r="B67" s="1179"/>
      <c r="C67" s="1179"/>
      <c r="D67" s="2246" t="s">
        <v>5499</v>
      </c>
      <c r="E67" s="1453"/>
      <c r="F67" s="1453"/>
      <c r="G67" s="1453"/>
      <c r="H67" s="1453"/>
      <c r="I67" s="1453"/>
      <c r="J67" s="1453"/>
      <c r="K67" s="1453"/>
      <c r="L67" s="1453"/>
      <c r="M67" s="1453"/>
      <c r="N67" s="1453"/>
      <c r="O67" s="1453"/>
      <c r="P67" s="1453"/>
      <c r="Q67" s="1453"/>
      <c r="R67" s="1453"/>
      <c r="S67" s="9853" t="s">
        <v>4265</v>
      </c>
      <c r="T67" s="9853"/>
      <c r="U67" s="9853"/>
      <c r="V67" s="1453" t="s">
        <v>4266</v>
      </c>
      <c r="W67" s="1453"/>
      <c r="X67" s="1453"/>
      <c r="Y67" s="1410"/>
      <c r="Z67" s="1453"/>
      <c r="AA67" s="1410"/>
      <c r="AB67"/>
      <c r="AC67" s="4742"/>
      <c r="AD67" s="1558"/>
      <c r="AE67" s="9881" t="b">
        <f>IF(AE64&gt;AE65,TRUE,FALSE)</f>
        <v>0</v>
      </c>
      <c r="AF67" s="6667"/>
      <c r="AG67" s="6667"/>
      <c r="AH67" s="6667"/>
      <c r="AI67" s="6667"/>
      <c r="AJ67" s="6667"/>
      <c r="AK67" s="1127"/>
      <c r="AL67" s="1179"/>
      <c r="AM67" s="1284" t="b">
        <f>AND(AE64&gt;0,AE65&gt;0,AE64=AE65)</f>
        <v>0</v>
      </c>
      <c r="AN67" s="1179"/>
      <c r="AO67" s="1179"/>
      <c r="AP67" s="2763"/>
      <c r="AQ67" s="1719"/>
      <c r="AR67" s="1719"/>
      <c r="AS67" s="1179"/>
      <c r="AT67" s="1179"/>
      <c r="AU67" s="1179"/>
      <c r="AV67" s="1179"/>
      <c r="AW67" s="1179"/>
      <c r="AX67" s="1179"/>
      <c r="AY67" s="1179"/>
      <c r="AZ67" s="1779"/>
      <c r="BA67" s="1179"/>
      <c r="BB67" s="1179"/>
      <c r="BC67" s="2987"/>
      <c r="BD67" s="2767"/>
      <c r="BE67" s="2768"/>
      <c r="BF67" s="2769"/>
      <c r="BG67" s="2768"/>
      <c r="BH67" s="2768"/>
      <c r="BI67" s="2768"/>
      <c r="BJ67" s="2768"/>
      <c r="BK67" s="2768"/>
      <c r="BL67" s="1179"/>
    </row>
    <row r="68" spans="1:64" ht="14.25" customHeight="1" thickBot="1">
      <c r="A68" s="1127"/>
      <c r="B68" s="1553"/>
      <c r="C68" s="1553"/>
      <c r="D68" s="2803" t="s">
        <v>4267</v>
      </c>
      <c r="E68" s="1694"/>
      <c r="F68" s="1694"/>
      <c r="G68" s="1694"/>
      <c r="H68" s="1694"/>
      <c r="I68" s="1694"/>
      <c r="J68" s="1694"/>
      <c r="K68" s="1694"/>
      <c r="L68" s="1694"/>
      <c r="M68" s="1694"/>
      <c r="N68" s="1694"/>
      <c r="O68" s="1694"/>
      <c r="P68" s="1694"/>
      <c r="Q68" s="1694"/>
      <c r="R68" s="1694"/>
      <c r="S68" s="1694"/>
      <c r="T68" s="1694"/>
      <c r="U68" s="1694"/>
      <c r="V68" s="1694"/>
      <c r="W68" s="1694"/>
      <c r="X68" s="1694"/>
      <c r="Y68" s="1694"/>
      <c r="Z68" s="1694"/>
      <c r="AA68" s="1694"/>
      <c r="AB68" s="1694"/>
      <c r="AC68" s="3749" t="s">
        <v>2969</v>
      </c>
      <c r="AD68" s="1557">
        <v>26</v>
      </c>
      <c r="AE68" s="6981" t="str">
        <f>IF(AM68&lt;&gt;"",AM68,IF(OR(AE20=0,AE65&gt;AE64),"",IF(AM67,0,IF(AE67,SUM(AE64,-AE65),""))))</f>
        <v/>
      </c>
      <c r="AF68" s="9905"/>
      <c r="AG68" s="9905"/>
      <c r="AH68" s="9905"/>
      <c r="AI68" s="9905"/>
      <c r="AJ68" s="9905"/>
      <c r="AK68" s="1127"/>
      <c r="AL68" s="1179"/>
      <c r="AM68" s="2760"/>
      <c r="AN68" s="2761"/>
      <c r="AO68" s="1179"/>
      <c r="AP68" s="1594" t="s">
        <v>1151</v>
      </c>
      <c r="AQ68" s="1595"/>
      <c r="AR68" s="1595"/>
      <c r="AS68" s="1596"/>
      <c r="AT68" s="1179"/>
      <c r="AU68" s="1179"/>
      <c r="AV68" s="1179"/>
      <c r="AW68" s="1179"/>
      <c r="AX68" s="1179"/>
      <c r="AY68" s="1179"/>
      <c r="AZ68" s="1779"/>
      <c r="BA68" s="1179"/>
      <c r="BB68" s="1179"/>
      <c r="BC68" s="2987"/>
      <c r="BD68" s="2767"/>
      <c r="BE68" s="2768"/>
      <c r="BF68" s="2769"/>
      <c r="BG68" s="2768"/>
      <c r="BH68" s="2768"/>
      <c r="BI68" s="2768"/>
      <c r="BJ68" s="2768"/>
      <c r="BK68" s="2768"/>
      <c r="BL68" s="1179"/>
    </row>
    <row r="69" spans="1:64" ht="14.25" customHeight="1" thickBot="1">
      <c r="A69" s="1127"/>
      <c r="B69" s="6769" t="s">
        <v>319</v>
      </c>
      <c r="C69" s="6769"/>
      <c r="D69" s="1571"/>
      <c r="E69" s="4748" t="s">
        <v>1252</v>
      </c>
      <c r="F69" s="1553"/>
      <c r="G69" s="1553"/>
      <c r="H69" s="1553"/>
      <c r="I69" s="1553"/>
      <c r="J69" s="1553"/>
      <c r="K69" s="1553"/>
      <c r="L69" s="1553"/>
      <c r="M69" s="1553"/>
      <c r="N69" s="1553"/>
      <c r="O69" s="1553"/>
      <c r="P69" s="1553"/>
      <c r="Q69" s="1553"/>
      <c r="R69" s="1553"/>
      <c r="S69" s="1553"/>
      <c r="T69" s="1553"/>
      <c r="U69" s="1553"/>
      <c r="V69" s="1553"/>
      <c r="W69" s="1553"/>
      <c r="X69" s="1553"/>
      <c r="Y69" s="1553"/>
      <c r="Z69" s="1553"/>
      <c r="AA69" s="1553"/>
      <c r="AB69" s="1553"/>
      <c r="AC69" s="1553"/>
      <c r="AD69" s="1553"/>
      <c r="AE69" s="1553"/>
      <c r="AF69" s="1553"/>
      <c r="AG69" s="1553"/>
      <c r="AH69" s="1553"/>
      <c r="AI69" s="1553"/>
      <c r="AJ69" s="1553"/>
      <c r="AK69" s="1127"/>
      <c r="AL69" s="1179"/>
      <c r="AM69" s="1179"/>
      <c r="AN69" s="1179"/>
      <c r="AO69" s="1276"/>
      <c r="AP69" s="1592" t="s">
        <v>1154</v>
      </c>
      <c r="AQ69" s="1593" t="s">
        <v>1155</v>
      </c>
      <c r="AR69" s="1593" t="s">
        <v>69</v>
      </c>
      <c r="AS69" s="1597" t="s">
        <v>1152</v>
      </c>
      <c r="AT69" s="1179"/>
      <c r="AU69" s="1179"/>
      <c r="AV69" s="1179"/>
      <c r="AW69" s="1179"/>
      <c r="AX69" s="1179"/>
      <c r="AY69" s="1179"/>
      <c r="AZ69" s="1779"/>
      <c r="BA69" s="1179"/>
      <c r="BB69" s="1179"/>
      <c r="BC69" s="2987"/>
      <c r="BD69" s="2767"/>
      <c r="BE69" s="2768"/>
      <c r="BF69" s="2769"/>
      <c r="BG69" s="2768"/>
      <c r="BH69" s="2768"/>
      <c r="BI69" s="2768"/>
      <c r="BJ69" s="2768"/>
      <c r="BK69" s="2768"/>
      <c r="BL69" s="1179"/>
    </row>
    <row r="70" spans="1:64" ht="14.25" customHeight="1" thickBot="1">
      <c r="A70" s="1127"/>
      <c r="B70" s="1559" t="s">
        <v>1153</v>
      </c>
      <c r="C70" s="1276" t="s">
        <v>1253</v>
      </c>
      <c r="D70" s="1179"/>
      <c r="E70" s="1179"/>
      <c r="F70" s="1179"/>
      <c r="G70" s="1179"/>
      <c r="H70" s="1179"/>
      <c r="I70" s="1179"/>
      <c r="J70" s="1179"/>
      <c r="K70" s="1179"/>
      <c r="L70" s="1179"/>
      <c r="M70" s="1179"/>
      <c r="N70" s="1179"/>
      <c r="O70" s="1179"/>
      <c r="P70" s="1179"/>
      <c r="Q70" s="1179"/>
      <c r="R70" s="1179"/>
      <c r="S70" s="1179"/>
      <c r="T70" s="1179"/>
      <c r="U70" s="1179"/>
      <c r="V70" s="1179"/>
      <c r="W70" s="1179"/>
      <c r="X70" s="1179"/>
      <c r="Y70" s="1179"/>
      <c r="Z70" s="1179"/>
      <c r="AA70" s="1179"/>
      <c r="AB70" s="1179"/>
      <c r="AC70" s="1179"/>
      <c r="AD70" s="1557">
        <v>27</v>
      </c>
      <c r="AE70" s="9850" t="str">
        <f>IF(AM70&lt;&gt;"",AM70,IF(OR(AE64=AE65,AE67),"",IF(AE65&gt;AE64,SUM(AE65,-AE64),0)))</f>
        <v/>
      </c>
      <c r="AF70" s="9851"/>
      <c r="AG70" s="9851"/>
      <c r="AH70" s="9851"/>
      <c r="AI70" s="9851"/>
      <c r="AJ70" s="9851"/>
      <c r="AK70" s="1127"/>
      <c r="AL70" s="1179"/>
      <c r="AM70" s="2760"/>
      <c r="AN70" s="2761"/>
      <c r="AO70" s="4064">
        <f>IF(ISERROR(ROUND(SUM(AA52:AA63),0)),"",ROUND(SUM(AA52:AA63),0))</f>
        <v>0</v>
      </c>
      <c r="AP70" s="1591">
        <v>0</v>
      </c>
      <c r="AQ70" s="1598">
        <v>200</v>
      </c>
      <c r="AR70" s="1895">
        <v>325</v>
      </c>
      <c r="AS70" s="1896">
        <v>650</v>
      </c>
      <c r="AT70" s="1179"/>
      <c r="AU70" s="1179"/>
      <c r="AV70" s="1179"/>
      <c r="AW70" s="1179"/>
      <c r="AX70" s="1179"/>
      <c r="AY70" s="1179"/>
      <c r="AZ70" s="1779"/>
      <c r="BA70" s="1179"/>
      <c r="BB70" s="1179"/>
      <c r="BC70" s="2987"/>
      <c r="BD70" s="2767"/>
      <c r="BE70" s="2768"/>
      <c r="BF70" s="2769"/>
      <c r="BG70" s="2768"/>
      <c r="BH70" s="2768"/>
      <c r="BI70" s="2768"/>
      <c r="BJ70" s="2768"/>
      <c r="BK70" s="2768"/>
      <c r="BL70" s="1179"/>
    </row>
    <row r="71" spans="1:64" ht="15.75" thickBot="1">
      <c r="A71" s="1127"/>
      <c r="B71" s="1559" t="s">
        <v>1124</v>
      </c>
      <c r="C71" s="1276" t="s">
        <v>1254</v>
      </c>
      <c r="D71" s="1179"/>
      <c r="E71" s="1179"/>
      <c r="F71" s="1179"/>
      <c r="G71" s="1179"/>
      <c r="H71" s="1179"/>
      <c r="I71" s="1179"/>
      <c r="J71" s="1179"/>
      <c r="K71" s="1179"/>
      <c r="L71" s="1179"/>
      <c r="M71" s="1179"/>
      <c r="N71" s="1179"/>
      <c r="O71" s="1179"/>
      <c r="P71" s="1179"/>
      <c r="Q71" s="1179"/>
      <c r="R71" s="1179"/>
      <c r="S71" s="1179"/>
      <c r="T71" s="1179"/>
      <c r="U71" s="1179"/>
      <c r="V71" s="1179"/>
      <c r="W71" s="1179"/>
      <c r="X71" s="1179"/>
      <c r="Y71" s="1179"/>
      <c r="Z71" s="1179"/>
      <c r="AA71" s="1179"/>
      <c r="AB71" s="1179"/>
      <c r="AC71" s="1560" t="s">
        <v>575</v>
      </c>
      <c r="AD71" s="1557">
        <v>28</v>
      </c>
      <c r="AE71" s="6981" t="str">
        <f>IF(AM71&lt;&gt;"",AM71,IF(OR(AND(AE64=0,AE65=0),AE67,AM67),"",IF(File_Single&lt;&gt;"",AR74,AS74)))</f>
        <v/>
      </c>
      <c r="AF71" s="9905"/>
      <c r="AG71" s="9905"/>
      <c r="AH71" s="9905"/>
      <c r="AI71" s="9905"/>
      <c r="AJ71" s="9905"/>
      <c r="AK71" s="1127"/>
      <c r="AL71" s="1179"/>
      <c r="AM71" s="2760"/>
      <c r="AN71" s="2761"/>
      <c r="AO71" s="4064">
        <f>IF(ISERROR(ROUND(SUM(AF52:AF63),0)),"",ROUND(SUM(AF52:AF63),0))</f>
        <v>0</v>
      </c>
      <c r="AP71" s="1591">
        <v>200</v>
      </c>
      <c r="AQ71" s="1598">
        <v>300</v>
      </c>
      <c r="AR71" s="1895">
        <v>800</v>
      </c>
      <c r="AS71" s="1896">
        <v>1600</v>
      </c>
      <c r="AT71" s="1179"/>
      <c r="AU71" s="1179"/>
      <c r="AV71" s="1179"/>
      <c r="AW71" s="1179"/>
      <c r="AX71" s="1179"/>
      <c r="AY71" s="1179"/>
      <c r="AZ71" s="1779"/>
      <c r="BA71" s="1179"/>
      <c r="BB71" s="1179"/>
      <c r="BC71" s="2987"/>
      <c r="BD71" s="2767"/>
      <c r="BE71" s="2768"/>
      <c r="BF71" s="2769"/>
      <c r="BG71" s="2768"/>
      <c r="BH71" s="2768"/>
      <c r="BI71" s="2768"/>
      <c r="BJ71" s="2768"/>
      <c r="BK71" s="2768"/>
      <c r="BL71" s="1179"/>
    </row>
    <row r="72" spans="1:64" ht="15.75" thickBot="1">
      <c r="A72" s="1127"/>
      <c r="B72" s="1559" t="s">
        <v>1125</v>
      </c>
      <c r="C72" s="1276" t="s">
        <v>2989</v>
      </c>
      <c r="D72" s="1179"/>
      <c r="E72" s="1179"/>
      <c r="F72" s="1179"/>
      <c r="G72" s="1179"/>
      <c r="H72" s="1179"/>
      <c r="I72" s="1179"/>
      <c r="J72" s="1179"/>
      <c r="K72" s="1179"/>
      <c r="L72" s="1179"/>
      <c r="M72" s="1179"/>
      <c r="N72" s="1179"/>
      <c r="O72" s="1179"/>
      <c r="P72" s="1179"/>
      <c r="Q72" s="1179"/>
      <c r="R72" s="1179"/>
      <c r="S72" s="1179"/>
      <c r="T72" s="1179"/>
      <c r="U72" s="1179"/>
      <c r="V72" s="1179"/>
      <c r="W72" s="1179"/>
      <c r="X72" s="1179"/>
      <c r="Y72" s="1179"/>
      <c r="Z72" s="1179"/>
      <c r="AA72" s="1179"/>
      <c r="AB72" s="1179"/>
      <c r="AC72" s="1179"/>
      <c r="AD72" s="1558"/>
      <c r="AE72" s="1179"/>
      <c r="AF72" s="1179"/>
      <c r="AG72" s="1179"/>
      <c r="AH72" s="1179"/>
      <c r="AI72" s="1179"/>
      <c r="AJ72" s="1179"/>
      <c r="AK72" s="1127"/>
      <c r="AL72" s="1927"/>
      <c r="AM72" s="1927"/>
      <c r="AN72" s="1927"/>
      <c r="AO72" s="1179"/>
      <c r="AP72" s="1591">
        <v>300</v>
      </c>
      <c r="AQ72" s="1598">
        <v>400</v>
      </c>
      <c r="AR72" s="1895">
        <v>1350</v>
      </c>
      <c r="AS72" s="1896">
        <v>2700</v>
      </c>
      <c r="AT72" s="1179"/>
      <c r="AU72" s="1179"/>
      <c r="AV72" s="1179"/>
      <c r="AW72" s="1179"/>
      <c r="AX72" s="1179"/>
      <c r="AY72" s="1179"/>
      <c r="AZ72" s="1779"/>
      <c r="BA72" s="1179"/>
      <c r="BB72" s="1179"/>
      <c r="BC72" s="2987"/>
      <c r="BD72" s="2767"/>
      <c r="BE72" s="2768"/>
      <c r="BF72" s="2769"/>
      <c r="BG72" s="2768"/>
      <c r="BH72" s="2768"/>
      <c r="BI72" s="2768"/>
      <c r="BJ72" s="2768"/>
      <c r="BK72" s="2768"/>
      <c r="BL72" s="1179"/>
    </row>
    <row r="73" spans="1:64" ht="13.5" thickBot="1">
      <c r="A73" s="1127"/>
      <c r="B73" s="1179"/>
      <c r="C73" s="1276" t="s">
        <v>4268</v>
      </c>
      <c r="D73" s="1179"/>
      <c r="E73" s="1179"/>
      <c r="F73" s="1179"/>
      <c r="G73" s="1179"/>
      <c r="H73" s="1179"/>
      <c r="I73" s="1179"/>
      <c r="J73" s="1179"/>
      <c r="K73" s="1179"/>
      <c r="L73" s="1179"/>
      <c r="M73" s="1179"/>
      <c r="N73" s="1179"/>
      <c r="O73" s="1179"/>
      <c r="P73" s="1179"/>
      <c r="Q73" s="1179"/>
      <c r="R73" s="1179"/>
      <c r="S73" s="1179"/>
      <c r="T73" s="1179"/>
      <c r="U73" s="1179"/>
      <c r="V73" s="1179"/>
      <c r="W73" s="1179"/>
      <c r="X73" s="1179"/>
      <c r="Y73" s="1179"/>
      <c r="Z73" s="1179"/>
      <c r="AA73" s="1179"/>
      <c r="AB73" s="1179"/>
      <c r="AC73" s="1560" t="s">
        <v>4269</v>
      </c>
      <c r="AD73" s="3004">
        <v>29</v>
      </c>
      <c r="AE73" s="9918" t="str">
        <f>IF(AM73&lt;&gt;"",AM73,IF(OR(AE64=AE65,AE67),"",IF(AE71="",AE70,MIN(AE70,AE71))))</f>
        <v/>
      </c>
      <c r="AF73" s="9919"/>
      <c r="AG73" s="9919"/>
      <c r="AH73" s="9919"/>
      <c r="AI73" s="9919"/>
      <c r="AJ73" s="9919"/>
      <c r="AK73" s="1127"/>
      <c r="AL73" s="1179"/>
      <c r="AM73" s="2760"/>
      <c r="AN73" s="2761"/>
      <c r="AO73" s="1179"/>
      <c r="AP73" s="9869" t="s">
        <v>5500</v>
      </c>
      <c r="AQ73" s="9870"/>
      <c r="AR73" s="9871"/>
      <c r="AS73" s="9872"/>
      <c r="AT73" s="1179"/>
      <c r="AU73" s="1179"/>
      <c r="AV73" s="1179"/>
      <c r="AW73" s="1179"/>
      <c r="AX73" s="1179"/>
      <c r="AY73" s="1179"/>
      <c r="AZ73" s="1779"/>
      <c r="BA73" s="1179"/>
      <c r="BB73" s="1179"/>
      <c r="BC73" s="2987"/>
      <c r="BD73" s="2767"/>
      <c r="BE73" s="2768"/>
      <c r="BF73" s="2769"/>
      <c r="BG73" s="2768"/>
      <c r="BH73" s="2768"/>
      <c r="BI73" s="2768"/>
      <c r="BJ73" s="2768"/>
      <c r="BK73" s="2768"/>
      <c r="BL73" s="1179"/>
    </row>
    <row r="74" spans="1:64" ht="15.75">
      <c r="A74" s="3753"/>
      <c r="B74" s="3750" t="s">
        <v>484</v>
      </c>
      <c r="C74" s="1017"/>
      <c r="D74" s="1017"/>
      <c r="E74" s="1017"/>
      <c r="F74" s="1017"/>
      <c r="G74" s="1017"/>
      <c r="H74" s="1017"/>
      <c r="I74" s="1017"/>
      <c r="J74" s="1017"/>
      <c r="K74" s="1017"/>
      <c r="L74" s="1017"/>
      <c r="M74" s="1017"/>
      <c r="N74" s="1017"/>
      <c r="O74" s="1017"/>
      <c r="P74" s="1017"/>
      <c r="Q74" s="31"/>
      <c r="R74" s="31"/>
      <c r="S74" s="31"/>
      <c r="T74" s="31"/>
      <c r="U74" s="3751"/>
      <c r="V74" s="31"/>
      <c r="W74" s="3751" t="s">
        <v>1126</v>
      </c>
      <c r="X74" s="31"/>
      <c r="Y74" s="31"/>
      <c r="Z74" s="31"/>
      <c r="AA74" s="31"/>
      <c r="AB74" s="31"/>
      <c r="AC74" s="31"/>
      <c r="AD74" s="31"/>
      <c r="AE74" s="31"/>
      <c r="AF74" s="31"/>
      <c r="AG74" s="31"/>
      <c r="AH74" s="3752" t="s">
        <v>1127</v>
      </c>
      <c r="AI74" s="31"/>
      <c r="AJ74" s="3752" t="str">
        <f>"("&amp;TaxYear&amp;")"</f>
        <v>(2021)</v>
      </c>
      <c r="AK74" s="1127"/>
      <c r="AL74" s="1179"/>
      <c r="AM74" s="1179"/>
      <c r="AN74" s="1179"/>
      <c r="AO74" s="2762"/>
      <c r="AP74" s="2764"/>
      <c r="AQ74" s="2764"/>
      <c r="AR74" s="1284" t="str">
        <f>IF(OR(AE20=0,AE30=400,AE30=401),"",LOOKUP($AE$30,$AP$70:$AP$72,AR70:AR72))</f>
        <v/>
      </c>
      <c r="AS74" s="1284" t="str">
        <f>IF(OR(AE20=0,AE30=400,AE30=401),"",LOOKUP($AE$30,$AP$70:$AP$72,AS70:AS72))</f>
        <v/>
      </c>
      <c r="AT74" s="1179"/>
      <c r="AU74" s="1179"/>
      <c r="AV74" s="1179"/>
      <c r="AW74" s="1179"/>
      <c r="AX74" s="1179"/>
      <c r="AY74" s="1179"/>
      <c r="AZ74" s="1779"/>
      <c r="BA74" s="1179"/>
      <c r="BB74" s="1179"/>
      <c r="BC74" s="2987"/>
      <c r="BD74" s="2767"/>
      <c r="BE74" s="2768"/>
      <c r="BF74" s="2769"/>
      <c r="BG74" s="2768"/>
      <c r="BH74" s="2768"/>
      <c r="BI74" s="2768"/>
      <c r="BJ74" s="2768"/>
      <c r="BK74" s="2768"/>
      <c r="BL74" s="1179"/>
    </row>
    <row r="75" spans="1:64" ht="18" customHeight="1" thickBot="1">
      <c r="A75" s="1127"/>
      <c r="B75" s="1359" t="str">
        <f>"Form 8962 ("&amp;TaxYear&amp;")"</f>
        <v>Form 8962 (2021)</v>
      </c>
      <c r="C75" s="1359"/>
      <c r="D75" s="1359"/>
      <c r="E75" s="1359"/>
      <c r="F75" s="1359"/>
      <c r="G75" s="1359"/>
      <c r="H75" s="1359"/>
      <c r="I75" s="1359"/>
      <c r="J75" s="1359"/>
      <c r="K75" s="1359"/>
      <c r="L75" s="1359"/>
      <c r="M75" s="1359"/>
      <c r="N75" s="1359"/>
      <c r="O75" s="1359"/>
      <c r="P75" s="1359"/>
      <c r="Q75" s="1359"/>
      <c r="R75" s="1359"/>
      <c r="S75" s="1359"/>
      <c r="T75" s="1359"/>
      <c r="U75" s="1359"/>
      <c r="V75" s="1359"/>
      <c r="W75" s="1359"/>
      <c r="X75" s="1359"/>
      <c r="Y75" s="1359"/>
      <c r="Z75" s="1359"/>
      <c r="AA75" s="1359"/>
      <c r="AB75" s="1359"/>
      <c r="AC75" s="1359"/>
      <c r="AD75" s="1359"/>
      <c r="AE75" s="1359"/>
      <c r="AF75" s="1359"/>
      <c r="AG75" s="1359"/>
      <c r="AH75" s="1359"/>
      <c r="AI75" s="1815" t="s">
        <v>197</v>
      </c>
      <c r="AJ75" s="1816">
        <v>2</v>
      </c>
      <c r="AK75" s="1127"/>
      <c r="AL75" s="1179"/>
      <c r="AM75" s="1179"/>
      <c r="AN75" s="1179"/>
      <c r="AO75" s="1179"/>
      <c r="AP75" s="5102" t="s">
        <v>4690</v>
      </c>
      <c r="AQ75" s="5103">
        <v>2020</v>
      </c>
      <c r="AR75" s="2946" t="s">
        <v>5654</v>
      </c>
      <c r="AS75" s="1179"/>
      <c r="AT75" s="1179"/>
      <c r="AU75" s="1179"/>
      <c r="AV75" s="1179"/>
      <c r="AW75" s="1179"/>
      <c r="AX75" s="1179"/>
      <c r="AY75" s="1179"/>
      <c r="AZ75" s="1779"/>
      <c r="BA75" s="1179"/>
      <c r="BB75" s="1179"/>
      <c r="BC75" s="2987"/>
      <c r="BD75" s="2767"/>
      <c r="BE75" s="2768"/>
      <c r="BF75" s="2769"/>
      <c r="BG75" s="2768"/>
      <c r="BH75" s="2768"/>
      <c r="BI75" s="2768"/>
      <c r="BJ75" s="2768"/>
      <c r="BK75" s="2768"/>
      <c r="BL75" s="1179"/>
    </row>
    <row r="76" spans="1:64" ht="18" customHeight="1" thickTop="1" thickBot="1">
      <c r="A76" s="1127"/>
      <c r="B76" s="9852" t="s">
        <v>470</v>
      </c>
      <c r="C76" s="9852"/>
      <c r="D76" s="1571"/>
      <c r="E76" s="4748" t="s">
        <v>1687</v>
      </c>
      <c r="F76" s="1553"/>
      <c r="G76" s="1553"/>
      <c r="H76" s="1553"/>
      <c r="I76" s="1553"/>
      <c r="J76" s="1553"/>
      <c r="K76" s="1553"/>
      <c r="L76" s="1553"/>
      <c r="M76" s="1553"/>
      <c r="N76" s="1553"/>
      <c r="O76" s="1553"/>
      <c r="P76" s="1553"/>
      <c r="Q76" s="1553"/>
      <c r="R76" s="1553"/>
      <c r="S76" s="1553"/>
      <c r="T76" s="1553"/>
      <c r="U76" s="1553"/>
      <c r="V76" s="1553"/>
      <c r="W76" s="1553"/>
      <c r="X76" s="1553"/>
      <c r="Y76" s="1553"/>
      <c r="Z76" s="1553"/>
      <c r="AA76" s="1553"/>
      <c r="AB76" s="1553"/>
      <c r="AC76" s="1553"/>
      <c r="AD76" s="1553"/>
      <c r="AE76" s="1553"/>
      <c r="AF76" s="1553"/>
      <c r="AG76" s="1553"/>
      <c r="AH76" s="1553"/>
      <c r="AI76" s="1553"/>
      <c r="AJ76" s="1553"/>
      <c r="AK76" s="1127"/>
      <c r="AL76" s="1179"/>
      <c r="AM76" s="1179"/>
      <c r="AN76" s="1179"/>
      <c r="AO76" s="2762"/>
      <c r="AP76" s="2683" t="s">
        <v>1263</v>
      </c>
      <c r="AQ76" s="2684"/>
      <c r="AR76" s="2684"/>
      <c r="AS76" s="2685"/>
      <c r="AT76" s="1179"/>
      <c r="AU76" s="1179"/>
      <c r="AV76" s="1179"/>
      <c r="AW76" s="1179"/>
      <c r="AX76" s="1179"/>
      <c r="AY76" s="1179"/>
      <c r="AZ76" s="1779"/>
      <c r="BA76" s="1179"/>
      <c r="BB76" s="1179"/>
      <c r="BC76" s="2987"/>
      <c r="BD76" s="2767"/>
      <c r="BE76" s="2768"/>
      <c r="BF76" s="2769"/>
      <c r="BG76" s="2768"/>
      <c r="BH76" s="2768"/>
      <c r="BI76" s="2768"/>
      <c r="BJ76" s="2768"/>
      <c r="BK76" s="2768"/>
      <c r="BL76" s="1179"/>
    </row>
    <row r="77" spans="1:64" ht="15.75" customHeight="1">
      <c r="A77" s="1127"/>
      <c r="B77" s="2688" t="s">
        <v>1129</v>
      </c>
      <c r="C77" s="1554"/>
      <c r="D77" s="1554"/>
      <c r="E77" s="1554"/>
      <c r="F77" s="1554"/>
      <c r="G77" s="1554"/>
      <c r="H77" s="1554"/>
      <c r="I77" s="1554"/>
      <c r="J77" s="1554"/>
      <c r="K77" s="1554"/>
      <c r="L77" s="1554"/>
      <c r="M77" s="1554"/>
      <c r="N77" s="1554"/>
      <c r="O77" s="1554"/>
      <c r="P77" s="1554"/>
      <c r="Q77" s="1554"/>
      <c r="R77" s="1554"/>
      <c r="S77" s="1554"/>
      <c r="T77" s="1554"/>
      <c r="U77" s="1554"/>
      <c r="V77" s="1554"/>
      <c r="W77" s="1554"/>
      <c r="X77" s="1554"/>
      <c r="Y77" s="1554"/>
      <c r="Z77" s="1554"/>
      <c r="AA77" s="1554"/>
      <c r="AB77" s="1554"/>
      <c r="AC77" s="1554"/>
      <c r="AD77" s="1554"/>
      <c r="AE77" s="1554"/>
      <c r="AF77" s="1554"/>
      <c r="AG77" s="1554"/>
      <c r="AH77" s="1554"/>
      <c r="AI77" s="1554"/>
      <c r="AJ77" s="1554"/>
      <c r="AK77" s="1127"/>
      <c r="AL77" s="1179"/>
      <c r="AM77" s="1179"/>
      <c r="AN77" s="1179"/>
      <c r="AO77" s="2762"/>
      <c r="AP77" s="2680" t="s">
        <v>4283</v>
      </c>
      <c r="AQ77" s="2681" t="s">
        <v>1261</v>
      </c>
      <c r="AR77" s="2681" t="s">
        <v>1093</v>
      </c>
      <c r="AS77" s="2682" t="s">
        <v>1094</v>
      </c>
      <c r="AT77" s="1179"/>
      <c r="AU77" s="1179"/>
      <c r="AV77" s="1179"/>
      <c r="AW77" s="1179"/>
      <c r="AX77" s="1179"/>
      <c r="AY77" s="1179"/>
      <c r="AZ77" s="1779"/>
      <c r="BA77" s="1179"/>
      <c r="BB77" s="1179"/>
      <c r="BC77" s="2987"/>
      <c r="BD77" s="2767"/>
      <c r="BE77" s="2768"/>
      <c r="BF77" s="2769"/>
      <c r="BG77" s="2768"/>
      <c r="BH77" s="2768"/>
      <c r="BI77" s="2768"/>
      <c r="BJ77" s="2768"/>
      <c r="BK77" s="2768"/>
      <c r="BL77" s="1179"/>
    </row>
    <row r="78" spans="1:64" ht="15.75">
      <c r="A78" s="1127"/>
      <c r="B78" s="1571" t="s">
        <v>1688</v>
      </c>
      <c r="C78" s="1553"/>
      <c r="D78" s="1553"/>
      <c r="E78" s="1553"/>
      <c r="F78" s="1553"/>
      <c r="G78" s="1553"/>
      <c r="H78" s="1553"/>
      <c r="I78" s="1553"/>
      <c r="J78" s="1553"/>
      <c r="K78" s="1553"/>
      <c r="L78" s="1553"/>
      <c r="M78" s="1553"/>
      <c r="N78" s="1553"/>
      <c r="O78" s="1553"/>
      <c r="P78" s="1553"/>
      <c r="Q78" s="1553"/>
      <c r="R78" s="1553"/>
      <c r="S78" s="1553"/>
      <c r="T78" s="1553"/>
      <c r="U78" s="1553"/>
      <c r="V78" s="1553"/>
      <c r="W78" s="1553"/>
      <c r="X78" s="1553"/>
      <c r="Y78" s="1553"/>
      <c r="Z78" s="1553"/>
      <c r="AA78" s="1553"/>
      <c r="AB78" s="1553"/>
      <c r="AC78" s="1553"/>
      <c r="AD78" s="1553"/>
      <c r="AE78" s="1553"/>
      <c r="AF78" s="1553"/>
      <c r="AG78" s="1553"/>
      <c r="AH78" s="1553"/>
      <c r="AI78" s="1553"/>
      <c r="AJ78" s="1553"/>
      <c r="AK78" s="1127"/>
      <c r="AL78" s="1179"/>
      <c r="AM78" s="1179"/>
      <c r="AN78" s="1179"/>
      <c r="AO78" s="1927"/>
      <c r="AP78" s="2676">
        <v>0</v>
      </c>
      <c r="AQ78" s="2677"/>
      <c r="AR78" s="2677"/>
      <c r="AS78" s="2678"/>
      <c r="AT78" s="1179"/>
      <c r="AU78" s="1179"/>
      <c r="AV78" s="1179"/>
      <c r="AW78" s="1179"/>
      <c r="AX78" s="1179"/>
      <c r="AY78" s="1179"/>
      <c r="AZ78" s="1779"/>
      <c r="BA78" s="1179"/>
      <c r="BB78" s="1179"/>
      <c r="BC78" s="2987"/>
      <c r="BD78" s="2767"/>
      <c r="BE78" s="2768"/>
      <c r="BF78" s="2769"/>
      <c r="BG78" s="2768"/>
      <c r="BH78" s="2768"/>
      <c r="BI78" s="2768"/>
      <c r="BJ78" s="2768"/>
      <c r="BK78" s="2768"/>
      <c r="BL78" s="1179"/>
    </row>
    <row r="79" spans="1:64" ht="15">
      <c r="A79" s="1127"/>
      <c r="B79" s="1559" t="s">
        <v>1130</v>
      </c>
      <c r="C79" s="1179"/>
      <c r="D79" s="1573" t="s">
        <v>906</v>
      </c>
      <c r="E79" s="3072" t="s">
        <v>1131</v>
      </c>
      <c r="F79" s="1574"/>
      <c r="G79" s="1574"/>
      <c r="H79" s="1574"/>
      <c r="I79" s="1574"/>
      <c r="J79" s="1574"/>
      <c r="K79" s="1574"/>
      <c r="L79" s="1574"/>
      <c r="M79" s="1575"/>
      <c r="N79" s="1576" t="s">
        <v>908</v>
      </c>
      <c r="O79" s="3072" t="s">
        <v>1255</v>
      </c>
      <c r="P79" s="1574"/>
      <c r="Q79" s="1574"/>
      <c r="R79" s="1574"/>
      <c r="S79" s="1574"/>
      <c r="T79" s="1574"/>
      <c r="U79" s="1574"/>
      <c r="V79" s="1575"/>
      <c r="W79" s="1576" t="s">
        <v>911</v>
      </c>
      <c r="X79" s="1574" t="s">
        <v>1132</v>
      </c>
      <c r="Y79" s="1574"/>
      <c r="Z79" s="1574"/>
      <c r="AA79" s="1574"/>
      <c r="AB79" s="1574"/>
      <c r="AC79" s="1575"/>
      <c r="AD79" s="1576" t="s">
        <v>763</v>
      </c>
      <c r="AE79" s="1574" t="s">
        <v>1133</v>
      </c>
      <c r="AF79" s="1574"/>
      <c r="AG79" s="1574"/>
      <c r="AH79" s="1574"/>
      <c r="AI79" s="1574"/>
      <c r="AJ79" s="1574"/>
      <c r="AK79" s="1127"/>
      <c r="AL79" s="1179"/>
      <c r="AM79" s="1179"/>
      <c r="AN79" s="1179"/>
      <c r="AO79" s="1179"/>
      <c r="AP79" s="2676">
        <v>1</v>
      </c>
      <c r="AQ79" s="3756">
        <v>12760</v>
      </c>
      <c r="AR79" s="3756">
        <v>15950</v>
      </c>
      <c r="AS79" s="3757">
        <v>14680</v>
      </c>
      <c r="AT79" s="2766"/>
      <c r="AU79" s="1179"/>
      <c r="AV79" s="1179"/>
      <c r="AW79" s="1179"/>
      <c r="AX79" s="1179"/>
      <c r="AY79" s="1179"/>
      <c r="AZ79" s="1779"/>
      <c r="BA79" s="1179"/>
      <c r="BB79" s="1179"/>
      <c r="BC79" s="2987"/>
      <c r="BD79" s="2767"/>
      <c r="BE79" s="2768"/>
      <c r="BF79" s="2769"/>
      <c r="BG79" s="2768"/>
      <c r="BH79" s="2768"/>
      <c r="BI79" s="2768"/>
      <c r="BJ79" s="2768"/>
      <c r="BK79" s="2768"/>
      <c r="BL79" s="1179"/>
    </row>
    <row r="80" spans="1:64" ht="15">
      <c r="A80" s="1127"/>
      <c r="B80" s="1559"/>
      <c r="D80" s="9835"/>
      <c r="E80" s="9827"/>
      <c r="F80" s="9827"/>
      <c r="G80" s="9827"/>
      <c r="H80" s="9827"/>
      <c r="I80" s="9828"/>
      <c r="J80" s="9828"/>
      <c r="K80" s="9828"/>
      <c r="L80" s="9828"/>
      <c r="M80" s="9829"/>
      <c r="N80" s="9830"/>
      <c r="O80" s="9831"/>
      <c r="P80" s="9831"/>
      <c r="Q80" s="9831"/>
      <c r="R80" s="9831"/>
      <c r="S80" s="9832"/>
      <c r="T80" s="9832"/>
      <c r="U80" s="9832"/>
      <c r="V80" s="9833"/>
      <c r="W80" s="9917"/>
      <c r="X80" s="9883"/>
      <c r="Y80" s="9883"/>
      <c r="Z80" s="9883"/>
      <c r="AA80" s="9883"/>
      <c r="AB80" s="9884"/>
      <c r="AC80" s="9884"/>
      <c r="AD80" s="9917"/>
      <c r="AE80" s="9883"/>
      <c r="AF80" s="9883"/>
      <c r="AG80" s="9883"/>
      <c r="AH80" s="9883"/>
      <c r="AI80" s="9884"/>
      <c r="AJ80" s="9884"/>
      <c r="AK80" s="1127"/>
      <c r="AL80" s="1179"/>
      <c r="AM80" s="1179"/>
      <c r="AN80" s="1179"/>
      <c r="AO80" s="1179"/>
      <c r="AP80" s="2676">
        <v>2</v>
      </c>
      <c r="AQ80" s="3756">
        <v>17240</v>
      </c>
      <c r="AR80" s="3756">
        <v>21550</v>
      </c>
      <c r="AS80" s="3757">
        <v>19830</v>
      </c>
      <c r="AT80" s="2766"/>
      <c r="AU80" s="1179"/>
      <c r="AV80" s="1179"/>
      <c r="AW80" s="1179"/>
      <c r="AX80" s="1179"/>
      <c r="AY80" s="1179"/>
      <c r="AZ80" s="1779"/>
      <c r="BA80" s="1179"/>
      <c r="BB80" s="1179"/>
      <c r="BC80" s="2987"/>
      <c r="BD80" s="2767"/>
      <c r="BE80" s="2768"/>
      <c r="BF80" s="2769"/>
      <c r="BG80" s="2768"/>
      <c r="BH80" s="2768"/>
      <c r="BI80" s="2768"/>
      <c r="BJ80" s="2768"/>
      <c r="BK80" s="2768"/>
      <c r="BL80" s="1179"/>
    </row>
    <row r="81" spans="1:64" ht="18" customHeight="1">
      <c r="A81" s="1127"/>
      <c r="B81" s="1179"/>
      <c r="C81" s="1179"/>
      <c r="D81" s="9836" t="s">
        <v>1134</v>
      </c>
      <c r="E81" s="9837"/>
      <c r="F81" s="9837"/>
      <c r="G81" s="9837"/>
      <c r="H81" s="9837"/>
      <c r="I81" s="9838"/>
      <c r="J81" s="9854" t="s">
        <v>1256</v>
      </c>
      <c r="K81" s="9855"/>
      <c r="L81" s="9855"/>
      <c r="M81" s="9855"/>
      <c r="N81" s="9855"/>
      <c r="O81" s="9855"/>
      <c r="P81" s="9855"/>
      <c r="Q81" s="9855"/>
      <c r="R81" s="9856"/>
      <c r="S81" s="9854" t="s">
        <v>1257</v>
      </c>
      <c r="T81" s="9855"/>
      <c r="U81" s="9855"/>
      <c r="V81" s="9855"/>
      <c r="W81" s="9855"/>
      <c r="X81" s="9855"/>
      <c r="Y81" s="9855"/>
      <c r="Z81" s="9855"/>
      <c r="AA81" s="9856"/>
      <c r="AB81" s="9926" t="s">
        <v>1258</v>
      </c>
      <c r="AC81" s="9855"/>
      <c r="AD81" s="9855"/>
      <c r="AE81" s="9855"/>
      <c r="AF81" s="9855"/>
      <c r="AG81" s="9855"/>
      <c r="AH81" s="9855"/>
      <c r="AI81" s="9855"/>
      <c r="AJ81" s="9855"/>
      <c r="AK81" s="1127"/>
      <c r="AL81" s="1179"/>
      <c r="AM81" s="1179"/>
      <c r="AN81" s="1179"/>
      <c r="AO81" s="1179"/>
      <c r="AP81" s="2676">
        <v>3</v>
      </c>
      <c r="AQ81" s="3756">
        <v>21720</v>
      </c>
      <c r="AR81" s="3756">
        <v>27150</v>
      </c>
      <c r="AS81" s="3757">
        <v>24980</v>
      </c>
      <c r="AT81" s="2766"/>
      <c r="AU81" s="1179"/>
      <c r="AV81" s="1179"/>
      <c r="AW81" s="1179"/>
      <c r="AX81" s="1179"/>
      <c r="AY81" s="1179"/>
      <c r="AZ81" s="1779"/>
      <c r="BA81" s="1179"/>
      <c r="BB81" s="1179"/>
      <c r="BC81" s="2987"/>
      <c r="BD81" s="2767"/>
      <c r="BE81" s="2768"/>
      <c r="BF81" s="2769"/>
      <c r="BG81" s="2768"/>
      <c r="BH81" s="2768"/>
      <c r="BI81" s="2768"/>
      <c r="BJ81" s="2768"/>
      <c r="BK81" s="2768"/>
      <c r="BL81" s="1179"/>
    </row>
    <row r="82" spans="1:64" ht="18" customHeight="1">
      <c r="A82" s="1127"/>
      <c r="B82" s="1179"/>
      <c r="C82" s="1179"/>
      <c r="D82" s="9839"/>
      <c r="E82" s="9839"/>
      <c r="F82" s="9839"/>
      <c r="G82" s="9839"/>
      <c r="H82" s="9839"/>
      <c r="I82" s="9840"/>
      <c r="J82" s="9857"/>
      <c r="K82" s="9858"/>
      <c r="L82" s="9858"/>
      <c r="M82" s="9858"/>
      <c r="N82" s="9858"/>
      <c r="O82" s="9858"/>
      <c r="P82" s="9858"/>
      <c r="Q82" s="9858"/>
      <c r="R82" s="9859"/>
      <c r="S82" s="9857"/>
      <c r="T82" s="9858"/>
      <c r="U82" s="9858"/>
      <c r="V82" s="9858"/>
      <c r="W82" s="9858"/>
      <c r="X82" s="9858"/>
      <c r="Y82" s="9858"/>
      <c r="Z82" s="9858"/>
      <c r="AA82" s="9859"/>
      <c r="AB82" s="9857"/>
      <c r="AC82" s="9858"/>
      <c r="AD82" s="9858"/>
      <c r="AE82" s="9858"/>
      <c r="AF82" s="9858"/>
      <c r="AG82" s="9858"/>
      <c r="AH82" s="9858"/>
      <c r="AI82" s="9858"/>
      <c r="AJ82" s="9858"/>
      <c r="AK82" s="1127"/>
      <c r="AL82" s="1179"/>
      <c r="AM82" s="1179"/>
      <c r="AN82" s="1179"/>
      <c r="AO82" s="1179"/>
      <c r="AP82" s="2676">
        <v>4</v>
      </c>
      <c r="AQ82" s="3756">
        <v>26200</v>
      </c>
      <c r="AR82" s="3756">
        <v>32750</v>
      </c>
      <c r="AS82" s="3757">
        <v>30130</v>
      </c>
      <c r="AT82" s="2766"/>
      <c r="AU82" s="1179"/>
      <c r="AV82" s="1179"/>
      <c r="AW82" s="1179"/>
      <c r="AX82" s="1179"/>
      <c r="AY82" s="1179"/>
      <c r="AZ82" s="1779"/>
      <c r="BA82" s="1179"/>
      <c r="BB82" s="1179"/>
      <c r="BC82" s="2987"/>
      <c r="BD82" s="2767"/>
      <c r="BE82" s="2768"/>
      <c r="BF82" s="2769"/>
      <c r="BG82" s="2768"/>
      <c r="BH82" s="2768"/>
      <c r="BI82" s="2768"/>
      <c r="BJ82" s="2768"/>
      <c r="BK82" s="2768"/>
      <c r="BL82" s="1179"/>
    </row>
    <row r="83" spans="1:64" ht="17.25" customHeight="1">
      <c r="A83" s="1127"/>
      <c r="B83" s="1179"/>
      <c r="C83" s="1179"/>
      <c r="D83" s="9839"/>
      <c r="E83" s="9839"/>
      <c r="F83" s="9839"/>
      <c r="G83" s="9839"/>
      <c r="H83" s="9839"/>
      <c r="I83" s="9840"/>
      <c r="J83" s="9857"/>
      <c r="K83" s="9858"/>
      <c r="L83" s="9858"/>
      <c r="M83" s="9858"/>
      <c r="N83" s="9858"/>
      <c r="O83" s="9858"/>
      <c r="P83" s="9858"/>
      <c r="Q83" s="9858"/>
      <c r="R83" s="9859"/>
      <c r="S83" s="9857"/>
      <c r="T83" s="9858"/>
      <c r="U83" s="9858"/>
      <c r="V83" s="9858"/>
      <c r="W83" s="9858"/>
      <c r="X83" s="9858"/>
      <c r="Y83" s="9858"/>
      <c r="Z83" s="9858"/>
      <c r="AA83" s="9859"/>
      <c r="AB83" s="9857"/>
      <c r="AC83" s="9858"/>
      <c r="AD83" s="9858"/>
      <c r="AE83" s="9858"/>
      <c r="AF83" s="9858"/>
      <c r="AG83" s="9858"/>
      <c r="AH83" s="9858"/>
      <c r="AI83" s="9858"/>
      <c r="AJ83" s="9858"/>
      <c r="AK83" s="1127"/>
      <c r="AL83" s="1179"/>
      <c r="AM83" s="1179"/>
      <c r="AN83" s="1179"/>
      <c r="AO83" s="1179"/>
      <c r="AP83" s="2676">
        <v>5</v>
      </c>
      <c r="AQ83" s="3756">
        <v>30680</v>
      </c>
      <c r="AR83" s="3756">
        <v>38350</v>
      </c>
      <c r="AS83" s="3757">
        <v>35280</v>
      </c>
      <c r="AT83" s="2766"/>
      <c r="AU83" s="1179"/>
      <c r="AV83" s="1179"/>
      <c r="AW83" s="1179"/>
      <c r="AX83" s="1179"/>
      <c r="AY83" s="1179"/>
      <c r="AZ83" s="1779"/>
      <c r="BA83" s="1179"/>
      <c r="BB83" s="1179"/>
      <c r="BC83" s="2987"/>
      <c r="BD83" s="2767"/>
      <c r="BE83" s="2768"/>
      <c r="BF83" s="2769"/>
      <c r="BG83" s="2769"/>
      <c r="BH83" s="2768"/>
      <c r="BI83" s="2768"/>
      <c r="BJ83" s="2768"/>
      <c r="BK83" s="2768"/>
      <c r="BL83" s="1179"/>
    </row>
    <row r="84" spans="1:64">
      <c r="A84" s="1127"/>
      <c r="B84" s="1179"/>
      <c r="C84" s="1179"/>
      <c r="D84" s="9839"/>
      <c r="E84" s="9839"/>
      <c r="F84" s="9839"/>
      <c r="G84" s="9839"/>
      <c r="H84" s="9839"/>
      <c r="I84" s="9840"/>
      <c r="J84" s="9857"/>
      <c r="K84" s="9858"/>
      <c r="L84" s="9858"/>
      <c r="M84" s="9858"/>
      <c r="N84" s="9858"/>
      <c r="O84" s="9858"/>
      <c r="P84" s="9858"/>
      <c r="Q84" s="9858"/>
      <c r="R84" s="9859"/>
      <c r="S84" s="9857"/>
      <c r="T84" s="9858"/>
      <c r="U84" s="9858"/>
      <c r="V84" s="9858"/>
      <c r="W84" s="9858"/>
      <c r="X84" s="9858"/>
      <c r="Y84" s="9858"/>
      <c r="Z84" s="9858"/>
      <c r="AA84" s="9859"/>
      <c r="AB84" s="9857"/>
      <c r="AC84" s="9858"/>
      <c r="AD84" s="9858"/>
      <c r="AE84" s="9858"/>
      <c r="AF84" s="9858"/>
      <c r="AG84" s="9858"/>
      <c r="AH84" s="9858"/>
      <c r="AI84" s="9858"/>
      <c r="AJ84" s="9858"/>
      <c r="AK84" s="1127"/>
      <c r="AL84" s="1179"/>
      <c r="AM84" s="1179"/>
      <c r="AN84" s="1179"/>
      <c r="AO84" s="1179"/>
      <c r="AP84" s="2676">
        <v>6</v>
      </c>
      <c r="AQ84" s="3756">
        <v>35160</v>
      </c>
      <c r="AR84" s="3756">
        <v>43950</v>
      </c>
      <c r="AS84" s="3757">
        <v>40430</v>
      </c>
      <c r="AT84" s="2766"/>
      <c r="AU84" s="1179"/>
      <c r="AV84" s="1179"/>
      <c r="AW84" s="1179"/>
      <c r="AX84" s="1179"/>
      <c r="AY84" s="1179"/>
      <c r="AZ84" s="1779"/>
      <c r="BA84" s="1179"/>
      <c r="BB84" s="1179"/>
      <c r="BC84" s="2987"/>
      <c r="BD84" s="2767"/>
      <c r="BE84" s="2768"/>
      <c r="BF84" s="2769"/>
      <c r="BG84" s="2769"/>
      <c r="BH84" s="2768"/>
      <c r="BI84" s="2768"/>
      <c r="BJ84" s="2768"/>
      <c r="BK84" s="2768"/>
      <c r="BL84" s="1179"/>
    </row>
    <row r="85" spans="1:64" ht="16.5" customHeight="1">
      <c r="A85" s="1127"/>
      <c r="B85" s="1553"/>
      <c r="C85" s="1553"/>
      <c r="D85" s="9841"/>
      <c r="E85" s="9841"/>
      <c r="F85" s="9841"/>
      <c r="G85" s="9841"/>
      <c r="H85" s="9841"/>
      <c r="I85" s="9842"/>
      <c r="J85" s="9927"/>
      <c r="K85" s="9928"/>
      <c r="L85" s="9928"/>
      <c r="M85" s="9928"/>
      <c r="N85" s="9928"/>
      <c r="O85" s="9929"/>
      <c r="P85" s="9929"/>
      <c r="Q85" s="9929"/>
      <c r="R85" s="9930"/>
      <c r="S85" s="9927"/>
      <c r="T85" s="9928"/>
      <c r="U85" s="9928"/>
      <c r="V85" s="9928"/>
      <c r="W85" s="9928"/>
      <c r="X85" s="9929"/>
      <c r="Y85" s="9929"/>
      <c r="Z85" s="9929"/>
      <c r="AA85" s="9930"/>
      <c r="AB85" s="9928"/>
      <c r="AC85" s="9928"/>
      <c r="AD85" s="9928"/>
      <c r="AE85" s="9928"/>
      <c r="AF85" s="9928"/>
      <c r="AG85" s="9929"/>
      <c r="AH85" s="9929"/>
      <c r="AI85" s="9929"/>
      <c r="AJ85" s="9929"/>
      <c r="AK85" s="1127"/>
      <c r="AL85" s="1179"/>
      <c r="AM85" s="1179"/>
      <c r="AN85" s="1179"/>
      <c r="AO85" s="1179"/>
      <c r="AP85" s="2676">
        <v>7</v>
      </c>
      <c r="AQ85" s="3756">
        <v>39640</v>
      </c>
      <c r="AR85" s="3756">
        <v>49550</v>
      </c>
      <c r="AS85" s="3757">
        <v>45580</v>
      </c>
      <c r="AT85" s="2766"/>
      <c r="AU85" s="1179"/>
      <c r="AV85" s="1179"/>
      <c r="AW85" s="1179"/>
      <c r="AX85" s="1179"/>
      <c r="AY85" s="1179"/>
      <c r="AZ85" s="1779"/>
      <c r="BA85" s="1179"/>
      <c r="BB85" s="1179"/>
      <c r="BC85" s="2987"/>
      <c r="BD85" s="2767"/>
      <c r="BE85" s="2768"/>
      <c r="BF85" s="2769"/>
      <c r="BG85" s="2769"/>
      <c r="BH85" s="2768"/>
      <c r="BI85" s="2768"/>
      <c r="BJ85" s="2768"/>
      <c r="BK85" s="2768"/>
      <c r="BL85" s="1179"/>
    </row>
    <row r="86" spans="1:64" ht="15.75">
      <c r="A86" s="1127"/>
      <c r="B86" s="1571" t="s">
        <v>1689</v>
      </c>
      <c r="C86" s="1553"/>
      <c r="D86" s="1553"/>
      <c r="E86" s="1553"/>
      <c r="F86" s="1553"/>
      <c r="G86" s="1553"/>
      <c r="H86" s="1553"/>
      <c r="I86" s="1553"/>
      <c r="J86" s="1553"/>
      <c r="K86" s="1553"/>
      <c r="L86" s="1553"/>
      <c r="M86" s="1553"/>
      <c r="N86" s="1553"/>
      <c r="O86" s="1553"/>
      <c r="P86" s="1553"/>
      <c r="Q86" s="1553"/>
      <c r="R86" s="1553"/>
      <c r="S86" s="1553"/>
      <c r="T86" s="1553"/>
      <c r="U86" s="1553"/>
      <c r="V86" s="1553"/>
      <c r="W86" s="1553"/>
      <c r="X86" s="1553"/>
      <c r="Y86" s="1553"/>
      <c r="Z86" s="1553"/>
      <c r="AA86" s="1553"/>
      <c r="AB86" s="1553"/>
      <c r="AC86" s="1553"/>
      <c r="AD86" s="1553"/>
      <c r="AE86" s="1553"/>
      <c r="AF86" s="1553"/>
      <c r="AG86" s="1553"/>
      <c r="AH86" s="1553"/>
      <c r="AI86" s="1553"/>
      <c r="AJ86" s="1553"/>
      <c r="AK86" s="1127"/>
      <c r="AL86" s="1179"/>
      <c r="AM86" s="1179"/>
      <c r="AN86" s="1179"/>
      <c r="AO86" s="1179"/>
      <c r="AP86" s="2676">
        <v>8</v>
      </c>
      <c r="AQ86" s="3756">
        <v>44120</v>
      </c>
      <c r="AR86" s="3756">
        <v>55160</v>
      </c>
      <c r="AS86" s="3757">
        <v>50730</v>
      </c>
      <c r="AT86" s="2766"/>
      <c r="AU86" s="1179"/>
      <c r="AV86" s="1179"/>
      <c r="AW86" s="1179"/>
      <c r="AX86" s="1179"/>
      <c r="AY86" s="1179"/>
      <c r="AZ86" s="1779"/>
      <c r="BA86" s="1179"/>
      <c r="BB86" s="1179"/>
      <c r="BC86" s="2987"/>
      <c r="BD86" s="2767"/>
      <c r="BE86" s="2768"/>
      <c r="BF86" s="2769"/>
      <c r="BG86" s="2769"/>
      <c r="BH86" s="2768"/>
      <c r="BI86" s="2768"/>
      <c r="BJ86" s="2768"/>
      <c r="BK86" s="2768"/>
      <c r="BL86" s="1179"/>
    </row>
    <row r="87" spans="1:64" ht="15.75" thickBot="1">
      <c r="A87" s="1127"/>
      <c r="B87" s="1559" t="s">
        <v>1135</v>
      </c>
      <c r="C87" s="1179"/>
      <c r="D87" s="1573" t="s">
        <v>906</v>
      </c>
      <c r="E87" s="3072" t="s">
        <v>1131</v>
      </c>
      <c r="F87" s="1574"/>
      <c r="G87" s="1574"/>
      <c r="H87" s="1574"/>
      <c r="I87" s="1574"/>
      <c r="J87" s="1574"/>
      <c r="K87" s="1574"/>
      <c r="L87" s="1574"/>
      <c r="M87" s="1575"/>
      <c r="N87" s="1576" t="s">
        <v>908</v>
      </c>
      <c r="O87" s="3072" t="s">
        <v>1255</v>
      </c>
      <c r="P87" s="1574"/>
      <c r="Q87" s="1574"/>
      <c r="R87" s="1574"/>
      <c r="S87" s="1574"/>
      <c r="T87" s="1574"/>
      <c r="U87" s="1574"/>
      <c r="V87" s="1575"/>
      <c r="W87" s="1576" t="s">
        <v>911</v>
      </c>
      <c r="X87" s="1574" t="s">
        <v>1132</v>
      </c>
      <c r="Y87" s="1574"/>
      <c r="Z87" s="1574"/>
      <c r="AA87" s="1574"/>
      <c r="AB87" s="1574"/>
      <c r="AC87" s="1575"/>
      <c r="AD87" s="1576" t="s">
        <v>763</v>
      </c>
      <c r="AE87" s="1574" t="s">
        <v>1133</v>
      </c>
      <c r="AF87" s="1574"/>
      <c r="AG87" s="1574"/>
      <c r="AH87" s="1574"/>
      <c r="AI87" s="1574"/>
      <c r="AJ87" s="1574"/>
      <c r="AK87" s="1127"/>
      <c r="AL87" s="1179"/>
      <c r="AM87" s="1179"/>
      <c r="AN87" s="1179"/>
      <c r="AO87" s="1179"/>
      <c r="AP87" s="2679" t="s">
        <v>1716</v>
      </c>
      <c r="AQ87" s="3758">
        <v>4480</v>
      </c>
      <c r="AR87" s="3758">
        <v>5600</v>
      </c>
      <c r="AS87" s="3759">
        <v>5150</v>
      </c>
      <c r="AT87" s="1179"/>
      <c r="AU87" s="1179"/>
      <c r="AV87" s="1179"/>
      <c r="AW87" s="1179"/>
      <c r="AX87" s="1179"/>
      <c r="AY87" s="1179"/>
      <c r="AZ87" s="1779"/>
      <c r="BA87" s="1179"/>
      <c r="BB87" s="1179"/>
      <c r="BC87" s="2987"/>
      <c r="BD87" s="2767"/>
      <c r="BE87" s="2768"/>
      <c r="BF87" s="2769"/>
      <c r="BG87" s="2769"/>
      <c r="BH87" s="2768"/>
      <c r="BI87" s="2768"/>
      <c r="BJ87" s="2768"/>
      <c r="BK87" s="2768"/>
      <c r="BL87" s="1179"/>
    </row>
    <row r="88" spans="1:64" ht="15">
      <c r="A88" s="1127"/>
      <c r="B88" s="1559"/>
      <c r="D88" s="9827"/>
      <c r="E88" s="9827"/>
      <c r="F88" s="9827"/>
      <c r="G88" s="9827"/>
      <c r="H88" s="9827"/>
      <c r="I88" s="9828"/>
      <c r="J88" s="9828"/>
      <c r="K88" s="9828"/>
      <c r="L88" s="9828"/>
      <c r="M88" s="9829"/>
      <c r="N88" s="9830"/>
      <c r="O88" s="9831"/>
      <c r="P88" s="9831"/>
      <c r="Q88" s="9831"/>
      <c r="R88" s="9831"/>
      <c r="S88" s="9832"/>
      <c r="T88" s="9832"/>
      <c r="U88" s="9832"/>
      <c r="V88" s="9833"/>
      <c r="W88" s="9882"/>
      <c r="X88" s="9883"/>
      <c r="Y88" s="9883"/>
      <c r="Z88" s="9883"/>
      <c r="AA88" s="9883"/>
      <c r="AB88" s="9884"/>
      <c r="AC88" s="9884"/>
      <c r="AD88" s="9917"/>
      <c r="AE88" s="9883"/>
      <c r="AF88" s="9883"/>
      <c r="AG88" s="9883"/>
      <c r="AH88" s="9883"/>
      <c r="AI88" s="9884"/>
      <c r="AJ88" s="9884"/>
      <c r="AK88" s="1127"/>
      <c r="AL88" s="1179"/>
      <c r="AM88" s="1179"/>
      <c r="AN88" s="1179"/>
      <c r="AO88" s="1179"/>
      <c r="AP88" s="4523" t="s">
        <v>2644</v>
      </c>
      <c r="AQ88" s="4524" t="s">
        <v>3882</v>
      </c>
      <c r="AR88" s="2765"/>
      <c r="AS88" s="2765"/>
      <c r="AT88" s="1179"/>
      <c r="AU88" s="1179"/>
      <c r="AV88" s="1179"/>
      <c r="AW88" s="1179"/>
      <c r="AX88" s="1179"/>
      <c r="AY88" s="1179"/>
      <c r="AZ88" s="1779"/>
      <c r="BA88" s="1179"/>
      <c r="BB88" s="1179"/>
      <c r="BC88" s="2987"/>
      <c r="BD88" s="2767"/>
      <c r="BE88" s="2768"/>
      <c r="BF88" s="2769"/>
      <c r="BG88" s="2769"/>
      <c r="BH88" s="2768"/>
      <c r="BI88" s="2768"/>
      <c r="BJ88" s="2768"/>
      <c r="BK88" s="2768"/>
      <c r="BL88" s="1179"/>
    </row>
    <row r="89" spans="1:64">
      <c r="A89" s="1127"/>
      <c r="B89" s="1179"/>
      <c r="C89" s="1179"/>
      <c r="D89" s="9836" t="s">
        <v>1134</v>
      </c>
      <c r="E89" s="9837"/>
      <c r="F89" s="9837"/>
      <c r="G89" s="9837"/>
      <c r="H89" s="9837"/>
      <c r="I89" s="9838"/>
      <c r="J89" s="9854" t="s">
        <v>1256</v>
      </c>
      <c r="K89" s="9855"/>
      <c r="L89" s="9855"/>
      <c r="M89" s="9855"/>
      <c r="N89" s="9855"/>
      <c r="O89" s="9855"/>
      <c r="P89" s="9855"/>
      <c r="Q89" s="9855"/>
      <c r="R89" s="9856"/>
      <c r="S89" s="9854" t="s">
        <v>1257</v>
      </c>
      <c r="T89" s="9855"/>
      <c r="U89" s="9855"/>
      <c r="V89" s="9855"/>
      <c r="W89" s="9855"/>
      <c r="X89" s="9855"/>
      <c r="Y89" s="9855"/>
      <c r="Z89" s="9855"/>
      <c r="AA89" s="9856"/>
      <c r="AB89" s="9926" t="s">
        <v>1258</v>
      </c>
      <c r="AC89" s="9855"/>
      <c r="AD89" s="9855"/>
      <c r="AE89" s="9855"/>
      <c r="AF89" s="9855"/>
      <c r="AG89" s="9855"/>
      <c r="AH89" s="9855"/>
      <c r="AI89" s="9855"/>
      <c r="AJ89" s="9855"/>
      <c r="AK89" s="1127"/>
      <c r="AL89" s="1179"/>
      <c r="AM89" s="1179"/>
      <c r="AN89" s="1179"/>
      <c r="AO89" s="1179"/>
      <c r="AP89" s="2764"/>
      <c r="AQ89" s="2764"/>
      <c r="AR89" s="1179"/>
      <c r="AS89" s="1179"/>
      <c r="AT89" s="1179"/>
      <c r="AU89" s="1179"/>
      <c r="AV89" s="1179"/>
      <c r="AW89" s="1179"/>
      <c r="AX89" s="1179"/>
      <c r="AY89" s="1179"/>
      <c r="AZ89" s="1779"/>
      <c r="BA89" s="1179"/>
      <c r="BB89" s="1179"/>
      <c r="BC89" s="2987"/>
      <c r="BD89" s="2767"/>
      <c r="BE89" s="2768"/>
      <c r="BF89" s="2769"/>
      <c r="BG89" s="2769"/>
      <c r="BH89" s="2768"/>
      <c r="BI89" s="2768"/>
      <c r="BJ89" s="2768"/>
      <c r="BK89" s="2768"/>
      <c r="BL89" s="1179"/>
    </row>
    <row r="90" spans="1:64">
      <c r="A90" s="1127"/>
      <c r="B90" s="1179"/>
      <c r="C90" s="1179"/>
      <c r="D90" s="9839"/>
      <c r="E90" s="9839"/>
      <c r="F90" s="9839"/>
      <c r="G90" s="9839"/>
      <c r="H90" s="9839"/>
      <c r="I90" s="9840"/>
      <c r="J90" s="9857"/>
      <c r="K90" s="9858"/>
      <c r="L90" s="9858"/>
      <c r="M90" s="9858"/>
      <c r="N90" s="9858"/>
      <c r="O90" s="9858"/>
      <c r="P90" s="9858"/>
      <c r="Q90" s="9858"/>
      <c r="R90" s="9859"/>
      <c r="S90" s="9857"/>
      <c r="T90" s="9858"/>
      <c r="U90" s="9858"/>
      <c r="V90" s="9858"/>
      <c r="W90" s="9858"/>
      <c r="X90" s="9858"/>
      <c r="Y90" s="9858"/>
      <c r="Z90" s="9858"/>
      <c r="AA90" s="9859"/>
      <c r="AB90" s="9857"/>
      <c r="AC90" s="9858"/>
      <c r="AD90" s="9858"/>
      <c r="AE90" s="9858"/>
      <c r="AF90" s="9858"/>
      <c r="AG90" s="9858"/>
      <c r="AH90" s="9858"/>
      <c r="AI90" s="9858"/>
      <c r="AJ90" s="9858"/>
      <c r="AK90" s="1127"/>
      <c r="AL90" s="1179"/>
      <c r="AM90" s="1179"/>
      <c r="AN90" s="1179"/>
      <c r="AO90" s="1179"/>
      <c r="AP90" s="2764"/>
      <c r="AQ90" s="2764"/>
      <c r="AR90" s="1179"/>
      <c r="AS90" s="1179"/>
      <c r="AT90" s="1179"/>
      <c r="AU90" s="1179"/>
      <c r="AV90" s="1179"/>
      <c r="AW90" s="1179"/>
      <c r="AX90" s="1179"/>
      <c r="AY90" s="1179"/>
      <c r="AZ90" s="1779"/>
      <c r="BA90" s="1179"/>
      <c r="BB90" s="1179"/>
      <c r="BC90" s="2987"/>
      <c r="BD90" s="2767"/>
      <c r="BE90" s="2768"/>
      <c r="BF90" s="2769"/>
      <c r="BG90" s="2769"/>
      <c r="BH90" s="2768"/>
      <c r="BI90" s="2768"/>
      <c r="BJ90" s="2768"/>
      <c r="BK90" s="2768"/>
      <c r="BL90" s="1179"/>
    </row>
    <row r="91" spans="1:64" ht="18" customHeight="1">
      <c r="A91" s="1127"/>
      <c r="B91" s="1179"/>
      <c r="C91" s="1179"/>
      <c r="D91" s="9839"/>
      <c r="E91" s="9839"/>
      <c r="F91" s="9839"/>
      <c r="G91" s="9839"/>
      <c r="H91" s="9839"/>
      <c r="I91" s="9840"/>
      <c r="J91" s="9857"/>
      <c r="K91" s="9858"/>
      <c r="L91" s="9858"/>
      <c r="M91" s="9858"/>
      <c r="N91" s="9858"/>
      <c r="O91" s="9858"/>
      <c r="P91" s="9858"/>
      <c r="Q91" s="9858"/>
      <c r="R91" s="9859"/>
      <c r="S91" s="9857"/>
      <c r="T91" s="9858"/>
      <c r="U91" s="9858"/>
      <c r="V91" s="9858"/>
      <c r="W91" s="9858"/>
      <c r="X91" s="9858"/>
      <c r="Y91" s="9858"/>
      <c r="Z91" s="9858"/>
      <c r="AA91" s="9859"/>
      <c r="AB91" s="9857"/>
      <c r="AC91" s="9858"/>
      <c r="AD91" s="9858"/>
      <c r="AE91" s="9858"/>
      <c r="AF91" s="9858"/>
      <c r="AG91" s="9858"/>
      <c r="AH91" s="9858"/>
      <c r="AI91" s="9858"/>
      <c r="AJ91" s="9858"/>
      <c r="AK91" s="1127"/>
      <c r="AL91" s="1179"/>
      <c r="AM91" s="1179"/>
      <c r="AN91" s="1179"/>
      <c r="AO91" s="1179"/>
      <c r="AP91" s="1719"/>
      <c r="AQ91" s="1719"/>
      <c r="AR91" s="1179"/>
      <c r="AS91" s="1179"/>
      <c r="AT91" s="1179"/>
      <c r="AU91" s="1179"/>
      <c r="AV91" s="1179"/>
      <c r="AW91" s="1179"/>
      <c r="AX91" s="1179"/>
      <c r="AY91" s="1179"/>
      <c r="AZ91" s="1779"/>
      <c r="BA91" s="1179"/>
      <c r="BB91" s="1179"/>
      <c r="BC91" s="2987"/>
      <c r="BD91" s="2767"/>
      <c r="BE91" s="2768"/>
      <c r="BF91" s="2769"/>
      <c r="BG91" s="2769"/>
      <c r="BH91" s="2768"/>
      <c r="BI91" s="2768"/>
      <c r="BJ91" s="2768"/>
      <c r="BK91" s="2768"/>
      <c r="BL91" s="1179"/>
    </row>
    <row r="92" spans="1:64">
      <c r="A92" s="1127"/>
      <c r="B92" s="1179"/>
      <c r="C92" s="1179"/>
      <c r="D92" s="9839"/>
      <c r="E92" s="9839"/>
      <c r="F92" s="9839"/>
      <c r="G92" s="9839"/>
      <c r="H92" s="9839"/>
      <c r="I92" s="9840"/>
      <c r="J92" s="9857"/>
      <c r="K92" s="9858"/>
      <c r="L92" s="9858"/>
      <c r="M92" s="9858"/>
      <c r="N92" s="9858"/>
      <c r="O92" s="9858"/>
      <c r="P92" s="9858"/>
      <c r="Q92" s="9858"/>
      <c r="R92" s="9859"/>
      <c r="S92" s="9857"/>
      <c r="T92" s="9858"/>
      <c r="U92" s="9858"/>
      <c r="V92" s="9858"/>
      <c r="W92" s="9858"/>
      <c r="X92" s="9858"/>
      <c r="Y92" s="9858"/>
      <c r="Z92" s="9858"/>
      <c r="AA92" s="9859"/>
      <c r="AB92" s="9857"/>
      <c r="AC92" s="9858"/>
      <c r="AD92" s="9858"/>
      <c r="AE92" s="9858"/>
      <c r="AF92" s="9858"/>
      <c r="AG92" s="9858"/>
      <c r="AH92" s="9858"/>
      <c r="AI92" s="9858"/>
      <c r="AJ92" s="9858"/>
      <c r="AK92" s="1127"/>
      <c r="AL92" s="1179"/>
      <c r="AM92" s="1179"/>
      <c r="AN92" s="1179"/>
      <c r="AO92" s="1179"/>
      <c r="AP92" s="1719"/>
      <c r="AQ92" s="1719"/>
      <c r="AR92" s="1179"/>
      <c r="AS92" s="1179"/>
      <c r="AT92" s="1179"/>
      <c r="AU92" s="1179"/>
      <c r="AV92" s="1179"/>
      <c r="AW92" s="1179"/>
      <c r="AX92" s="1179"/>
      <c r="AY92" s="1179"/>
      <c r="AZ92" s="1779"/>
      <c r="BA92" s="1179"/>
      <c r="BB92" s="1179"/>
      <c r="BC92" s="2987"/>
      <c r="BD92" s="2767"/>
      <c r="BE92" s="2768"/>
      <c r="BF92" s="2769"/>
      <c r="BG92" s="2769"/>
      <c r="BH92" s="2768"/>
      <c r="BI92" s="2768"/>
      <c r="BJ92" s="2768"/>
      <c r="BK92" s="2768"/>
      <c r="BL92" s="1179"/>
    </row>
    <row r="93" spans="1:64" ht="16.5" customHeight="1">
      <c r="A93" s="1127"/>
      <c r="B93" s="1553"/>
      <c r="C93" s="1553"/>
      <c r="D93" s="9841"/>
      <c r="E93" s="9841"/>
      <c r="F93" s="9841"/>
      <c r="G93" s="9841"/>
      <c r="H93" s="9841"/>
      <c r="I93" s="9842"/>
      <c r="J93" s="9927"/>
      <c r="K93" s="9928"/>
      <c r="L93" s="9928"/>
      <c r="M93" s="9928"/>
      <c r="N93" s="9928"/>
      <c r="O93" s="9929"/>
      <c r="P93" s="9929"/>
      <c r="Q93" s="9929"/>
      <c r="R93" s="9930"/>
      <c r="S93" s="9927"/>
      <c r="T93" s="9928"/>
      <c r="U93" s="9928"/>
      <c r="V93" s="9928"/>
      <c r="W93" s="9928"/>
      <c r="X93" s="9929"/>
      <c r="Y93" s="9929"/>
      <c r="Z93" s="9929"/>
      <c r="AA93" s="9930"/>
      <c r="AB93" s="9928"/>
      <c r="AC93" s="9928"/>
      <c r="AD93" s="9928"/>
      <c r="AE93" s="9928"/>
      <c r="AF93" s="9928"/>
      <c r="AG93" s="9929"/>
      <c r="AH93" s="9929"/>
      <c r="AI93" s="9929"/>
      <c r="AJ93" s="9929"/>
      <c r="AK93" s="1127"/>
      <c r="AL93" s="1179"/>
      <c r="AM93" s="1179"/>
      <c r="AN93" s="1179"/>
      <c r="AO93" s="1179"/>
      <c r="AP93" s="1719"/>
      <c r="AQ93" s="1719"/>
      <c r="AR93" s="1179"/>
      <c r="AS93" s="1179"/>
      <c r="AT93" s="1179"/>
      <c r="AU93" s="1179"/>
      <c r="AV93" s="1179"/>
      <c r="AW93" s="1179"/>
      <c r="AX93" s="1179"/>
      <c r="AY93" s="1179"/>
      <c r="AZ93" s="1779"/>
      <c r="BA93" s="1179"/>
      <c r="BB93" s="1179"/>
      <c r="BC93" s="2987"/>
      <c r="BD93" s="2767"/>
      <c r="BE93" s="2768"/>
      <c r="BF93" s="2769"/>
      <c r="BG93" s="2769"/>
      <c r="BH93" s="2768"/>
      <c r="BI93" s="2768"/>
      <c r="BJ93" s="2768"/>
      <c r="BK93" s="2768"/>
      <c r="BL93" s="1179"/>
    </row>
    <row r="94" spans="1:64" ht="15.75">
      <c r="A94" s="1127"/>
      <c r="B94" s="1571" t="s">
        <v>1690</v>
      </c>
      <c r="C94" s="1553"/>
      <c r="D94" s="1553"/>
      <c r="E94" s="1553"/>
      <c r="F94" s="1553"/>
      <c r="G94" s="1553"/>
      <c r="H94" s="1553"/>
      <c r="I94" s="1553"/>
      <c r="J94" s="1553"/>
      <c r="K94" s="1553"/>
      <c r="L94" s="1553"/>
      <c r="M94" s="1553"/>
      <c r="N94" s="1553"/>
      <c r="O94" s="1553"/>
      <c r="P94" s="1553"/>
      <c r="Q94" s="1553"/>
      <c r="R94" s="1553"/>
      <c r="S94" s="1553"/>
      <c r="T94" s="1553"/>
      <c r="U94" s="1553"/>
      <c r="V94" s="1553"/>
      <c r="W94" s="1553"/>
      <c r="X94" s="1553"/>
      <c r="Y94" s="1553"/>
      <c r="Z94" s="1553"/>
      <c r="AA94" s="1553"/>
      <c r="AB94" s="1553"/>
      <c r="AC94" s="1553"/>
      <c r="AD94" s="1553"/>
      <c r="AE94" s="1553"/>
      <c r="AF94" s="1553"/>
      <c r="AG94" s="1553"/>
      <c r="AH94" s="1553"/>
      <c r="AI94" s="1553"/>
      <c r="AJ94" s="1553"/>
      <c r="AK94" s="1127"/>
      <c r="AL94" s="1179"/>
      <c r="AM94" s="1179"/>
      <c r="AN94" s="1179"/>
      <c r="AO94" s="1179"/>
      <c r="AP94" s="1719"/>
      <c r="AQ94" s="1719"/>
      <c r="AR94" s="1179"/>
      <c r="AS94" s="1179"/>
      <c r="AT94" s="1179"/>
      <c r="AU94" s="1179"/>
      <c r="AV94" s="1179"/>
      <c r="AW94" s="1179"/>
      <c r="AX94" s="1179"/>
      <c r="AY94" s="1179"/>
      <c r="AZ94" s="1779"/>
      <c r="BA94" s="1179"/>
      <c r="BB94" s="1179"/>
      <c r="BC94" s="2987"/>
      <c r="BD94" s="2767"/>
      <c r="BE94" s="2768"/>
      <c r="BF94" s="2769"/>
      <c r="BG94" s="2769"/>
      <c r="BH94" s="2768"/>
      <c r="BI94" s="1179"/>
      <c r="BJ94" s="1179"/>
      <c r="BK94" s="1179"/>
      <c r="BL94" s="1179"/>
    </row>
    <row r="95" spans="1:64" ht="15">
      <c r="A95" s="1127"/>
      <c r="B95" s="1559" t="s">
        <v>1136</v>
      </c>
      <c r="C95" s="1179"/>
      <c r="D95" s="1573" t="s">
        <v>906</v>
      </c>
      <c r="E95" s="3072" t="s">
        <v>1131</v>
      </c>
      <c r="F95" s="1574"/>
      <c r="G95" s="1574"/>
      <c r="H95" s="1574"/>
      <c r="I95" s="1574"/>
      <c r="J95" s="1574"/>
      <c r="K95" s="1574"/>
      <c r="L95" s="1574"/>
      <c r="M95" s="1575"/>
      <c r="N95" s="1576" t="s">
        <v>908</v>
      </c>
      <c r="O95" s="3072" t="s">
        <v>1255</v>
      </c>
      <c r="P95" s="1574"/>
      <c r="Q95" s="1574"/>
      <c r="R95" s="1574"/>
      <c r="S95" s="1574"/>
      <c r="T95" s="1574"/>
      <c r="U95" s="1574"/>
      <c r="V95" s="1575"/>
      <c r="W95" s="1576" t="s">
        <v>911</v>
      </c>
      <c r="X95" s="1574" t="s">
        <v>1132</v>
      </c>
      <c r="Y95" s="1574"/>
      <c r="Z95" s="1574"/>
      <c r="AA95" s="1574"/>
      <c r="AB95" s="1574"/>
      <c r="AC95" s="1575"/>
      <c r="AD95" s="1576" t="s">
        <v>763</v>
      </c>
      <c r="AE95" s="1574" t="s">
        <v>1133</v>
      </c>
      <c r="AF95" s="1574"/>
      <c r="AG95" s="1574"/>
      <c r="AH95" s="1574"/>
      <c r="AI95" s="1574"/>
      <c r="AJ95" s="1574"/>
      <c r="AK95" s="1127"/>
      <c r="AL95" s="1179"/>
      <c r="AM95" s="1179"/>
      <c r="AN95" s="1179"/>
      <c r="AO95" s="1179"/>
      <c r="AP95" s="1719"/>
      <c r="AQ95" s="1719"/>
      <c r="AR95" s="1179"/>
      <c r="AS95" s="1179"/>
      <c r="AT95" s="1179"/>
      <c r="AU95" s="1179"/>
      <c r="AV95" s="1179"/>
      <c r="AW95" s="1179"/>
      <c r="AX95" s="1179"/>
      <c r="AY95" s="1179"/>
      <c r="AZ95" s="1779"/>
      <c r="BA95" s="1179"/>
      <c r="BB95" s="1179"/>
      <c r="BC95" s="2987"/>
      <c r="BD95" s="2767"/>
      <c r="BE95" s="1179"/>
      <c r="BF95" s="2769"/>
      <c r="BG95" s="2769"/>
      <c r="BH95" s="1179"/>
      <c r="BI95" s="1179"/>
      <c r="BJ95" s="1179"/>
      <c r="BK95" s="1179"/>
      <c r="BL95" s="1179"/>
    </row>
    <row r="96" spans="1:64" ht="12.75" customHeight="1">
      <c r="A96" s="1127"/>
      <c r="B96" s="1559"/>
      <c r="D96" s="9827"/>
      <c r="E96" s="9827"/>
      <c r="F96" s="9827"/>
      <c r="G96" s="9827"/>
      <c r="H96" s="9827"/>
      <c r="I96" s="9828"/>
      <c r="J96" s="9828"/>
      <c r="K96" s="9828"/>
      <c r="L96" s="9828"/>
      <c r="M96" s="9829"/>
      <c r="N96" s="9830"/>
      <c r="O96" s="9831"/>
      <c r="P96" s="9831"/>
      <c r="Q96" s="9831"/>
      <c r="R96" s="9831"/>
      <c r="S96" s="9832"/>
      <c r="T96" s="9832"/>
      <c r="U96" s="9832"/>
      <c r="V96" s="9833"/>
      <c r="W96" s="9882"/>
      <c r="X96" s="9883"/>
      <c r="Y96" s="9883"/>
      <c r="Z96" s="9883"/>
      <c r="AA96" s="9883"/>
      <c r="AB96" s="9884"/>
      <c r="AC96" s="9884"/>
      <c r="AD96" s="9917"/>
      <c r="AE96" s="9883"/>
      <c r="AF96" s="9883"/>
      <c r="AG96" s="9883"/>
      <c r="AH96" s="9883"/>
      <c r="AI96" s="9884"/>
      <c r="AJ96" s="9884"/>
      <c r="AK96" s="1127"/>
      <c r="AL96" s="1179"/>
      <c r="AM96" s="1179"/>
      <c r="AN96" s="1179"/>
      <c r="AO96" s="1179"/>
      <c r="AP96" s="1719"/>
      <c r="AQ96" s="1719"/>
      <c r="AR96" s="1179"/>
      <c r="AS96" s="1179"/>
      <c r="AT96" s="1179"/>
      <c r="AU96" s="1179"/>
      <c r="AV96" s="1179"/>
      <c r="AW96" s="1179"/>
      <c r="AX96" s="1179"/>
      <c r="AY96" s="1179"/>
      <c r="AZ96" s="1779"/>
      <c r="BA96" s="1179"/>
      <c r="BB96" s="1179"/>
      <c r="BC96" s="2987"/>
      <c r="BD96" s="2767"/>
      <c r="BE96" s="1179"/>
      <c r="BF96" s="2769"/>
      <c r="BG96" s="2769"/>
      <c r="BH96" s="1179"/>
      <c r="BI96" s="1179"/>
      <c r="BJ96" s="1179"/>
      <c r="BK96" s="1179"/>
      <c r="BL96" s="1179"/>
    </row>
    <row r="97" spans="1:64">
      <c r="A97" s="1127"/>
      <c r="B97" s="1179"/>
      <c r="C97" s="1179"/>
      <c r="D97" s="9836" t="s">
        <v>1134</v>
      </c>
      <c r="E97" s="9837"/>
      <c r="F97" s="9837"/>
      <c r="G97" s="9837"/>
      <c r="H97" s="9837"/>
      <c r="I97" s="9838"/>
      <c r="J97" s="9854" t="s">
        <v>1256</v>
      </c>
      <c r="K97" s="9855"/>
      <c r="L97" s="9855"/>
      <c r="M97" s="9855"/>
      <c r="N97" s="9855"/>
      <c r="O97" s="9855"/>
      <c r="P97" s="9855"/>
      <c r="Q97" s="9855"/>
      <c r="R97" s="9856"/>
      <c r="S97" s="9854" t="s">
        <v>1257</v>
      </c>
      <c r="T97" s="9855"/>
      <c r="U97" s="9855"/>
      <c r="V97" s="9855"/>
      <c r="W97" s="9855"/>
      <c r="X97" s="9855"/>
      <c r="Y97" s="9855"/>
      <c r="Z97" s="9855"/>
      <c r="AA97" s="9856"/>
      <c r="AB97" s="9926" t="s">
        <v>1258</v>
      </c>
      <c r="AC97" s="9855"/>
      <c r="AD97" s="9855"/>
      <c r="AE97" s="9855"/>
      <c r="AF97" s="9855"/>
      <c r="AG97" s="9855"/>
      <c r="AH97" s="9855"/>
      <c r="AI97" s="9855"/>
      <c r="AJ97" s="9855"/>
      <c r="AK97" s="1127"/>
      <c r="AL97" s="1179"/>
      <c r="AM97" s="1179"/>
      <c r="AN97" s="1179"/>
      <c r="AO97" s="1179"/>
      <c r="AP97" s="1719"/>
      <c r="AQ97" s="1719"/>
      <c r="AR97" s="1179"/>
      <c r="AS97" s="1179"/>
      <c r="AT97" s="1179"/>
      <c r="AU97" s="1179"/>
      <c r="AV97" s="1179"/>
      <c r="AW97" s="1179"/>
      <c r="AX97" s="1179"/>
      <c r="AY97" s="1179"/>
      <c r="AZ97" s="1779"/>
      <c r="BA97" s="1179"/>
      <c r="BB97" s="1179"/>
      <c r="BC97" s="2987"/>
      <c r="BD97" s="2767"/>
      <c r="BE97" s="1179"/>
      <c r="BF97" s="2769"/>
      <c r="BG97" s="2769"/>
      <c r="BH97" s="1179"/>
      <c r="BI97" s="1179"/>
      <c r="BJ97" s="1179"/>
      <c r="BK97" s="1179"/>
      <c r="BL97" s="1179"/>
    </row>
    <row r="98" spans="1:64">
      <c r="A98" s="1127"/>
      <c r="B98" s="1179"/>
      <c r="C98" s="1179"/>
      <c r="D98" s="9839"/>
      <c r="E98" s="9839"/>
      <c r="F98" s="9839"/>
      <c r="G98" s="9839"/>
      <c r="H98" s="9839"/>
      <c r="I98" s="9840"/>
      <c r="J98" s="9857"/>
      <c r="K98" s="9858"/>
      <c r="L98" s="9858"/>
      <c r="M98" s="9858"/>
      <c r="N98" s="9858"/>
      <c r="O98" s="9858"/>
      <c r="P98" s="9858"/>
      <c r="Q98" s="9858"/>
      <c r="R98" s="9859"/>
      <c r="S98" s="9857"/>
      <c r="T98" s="9858"/>
      <c r="U98" s="9858"/>
      <c r="V98" s="9858"/>
      <c r="W98" s="9858"/>
      <c r="X98" s="9858"/>
      <c r="Y98" s="9858"/>
      <c r="Z98" s="9858"/>
      <c r="AA98" s="9859"/>
      <c r="AB98" s="9857"/>
      <c r="AC98" s="9858"/>
      <c r="AD98" s="9858"/>
      <c r="AE98" s="9858"/>
      <c r="AF98" s="9858"/>
      <c r="AG98" s="9858"/>
      <c r="AH98" s="9858"/>
      <c r="AI98" s="9858"/>
      <c r="AJ98" s="9858"/>
      <c r="AK98" s="1127"/>
      <c r="AL98" s="1179"/>
      <c r="AM98" s="1179"/>
      <c r="AN98" s="1179"/>
      <c r="AO98" s="1179"/>
      <c r="AP98" s="1719"/>
      <c r="AQ98" s="1719"/>
      <c r="AR98" s="1179"/>
      <c r="AS98" s="1179"/>
      <c r="AT98" s="1179"/>
      <c r="AU98" s="1179"/>
      <c r="AV98" s="1179"/>
      <c r="AW98" s="1179"/>
      <c r="AX98" s="1179"/>
      <c r="AY98" s="1179"/>
      <c r="AZ98" s="1779"/>
      <c r="BA98" s="1179"/>
      <c r="BB98" s="1179"/>
      <c r="BC98" s="2987"/>
      <c r="BD98" s="2767"/>
      <c r="BE98" s="1179"/>
      <c r="BF98" s="2769"/>
      <c r="BG98" s="2769"/>
      <c r="BH98" s="1179"/>
      <c r="BI98" s="1179"/>
      <c r="BJ98" s="1179"/>
      <c r="BK98" s="1179"/>
      <c r="BL98" s="1179"/>
    </row>
    <row r="99" spans="1:64" ht="18" customHeight="1">
      <c r="A99" s="1127"/>
      <c r="B99" s="1179"/>
      <c r="C99" s="1179"/>
      <c r="D99" s="9839"/>
      <c r="E99" s="9839"/>
      <c r="F99" s="9839"/>
      <c r="G99" s="9839"/>
      <c r="H99" s="9839"/>
      <c r="I99" s="9840"/>
      <c r="J99" s="9857"/>
      <c r="K99" s="9858"/>
      <c r="L99" s="9858"/>
      <c r="M99" s="9858"/>
      <c r="N99" s="9858"/>
      <c r="O99" s="9858"/>
      <c r="P99" s="9858"/>
      <c r="Q99" s="9858"/>
      <c r="R99" s="9859"/>
      <c r="S99" s="9857"/>
      <c r="T99" s="9858"/>
      <c r="U99" s="9858"/>
      <c r="V99" s="9858"/>
      <c r="W99" s="9858"/>
      <c r="X99" s="9858"/>
      <c r="Y99" s="9858"/>
      <c r="Z99" s="9858"/>
      <c r="AA99" s="9859"/>
      <c r="AB99" s="9857"/>
      <c r="AC99" s="9858"/>
      <c r="AD99" s="9858"/>
      <c r="AE99" s="9858"/>
      <c r="AF99" s="9858"/>
      <c r="AG99" s="9858"/>
      <c r="AH99" s="9858"/>
      <c r="AI99" s="9858"/>
      <c r="AJ99" s="9858"/>
      <c r="AK99" s="1127"/>
      <c r="AL99" s="1179"/>
      <c r="AM99" s="1179"/>
      <c r="AN99" s="1179"/>
      <c r="AO99" s="1179"/>
      <c r="AP99" s="1719"/>
      <c r="AQ99" s="1719"/>
      <c r="AR99" s="1179"/>
      <c r="AS99" s="1179"/>
      <c r="AT99" s="1179"/>
      <c r="AU99" s="1179"/>
      <c r="AV99" s="1179"/>
      <c r="AW99" s="1179"/>
      <c r="AX99" s="1179"/>
      <c r="AY99" s="1179"/>
      <c r="AZ99" s="1779"/>
      <c r="BA99" s="1179"/>
      <c r="BB99" s="1179"/>
      <c r="BC99" s="2987"/>
      <c r="BD99" s="2767"/>
      <c r="BE99" s="1179"/>
      <c r="BF99" s="2769"/>
      <c r="BG99" s="2769"/>
      <c r="BH99" s="1179"/>
      <c r="BI99" s="1179"/>
      <c r="BJ99" s="1179"/>
      <c r="BK99" s="1179"/>
      <c r="BL99" s="1179"/>
    </row>
    <row r="100" spans="1:64">
      <c r="A100" s="1127"/>
      <c r="B100" s="1179"/>
      <c r="C100" s="1179"/>
      <c r="D100" s="9839"/>
      <c r="E100" s="9839"/>
      <c r="F100" s="9839"/>
      <c r="G100" s="9839"/>
      <c r="H100" s="9839"/>
      <c r="I100" s="9840"/>
      <c r="J100" s="9857"/>
      <c r="K100" s="9858"/>
      <c r="L100" s="9858"/>
      <c r="M100" s="9858"/>
      <c r="N100" s="9858"/>
      <c r="O100" s="9858"/>
      <c r="P100" s="9858"/>
      <c r="Q100" s="9858"/>
      <c r="R100" s="9859"/>
      <c r="S100" s="9857"/>
      <c r="T100" s="9858"/>
      <c r="U100" s="9858"/>
      <c r="V100" s="9858"/>
      <c r="W100" s="9858"/>
      <c r="X100" s="9858"/>
      <c r="Y100" s="9858"/>
      <c r="Z100" s="9858"/>
      <c r="AA100" s="9859"/>
      <c r="AB100" s="9857"/>
      <c r="AC100" s="9858"/>
      <c r="AD100" s="9858"/>
      <c r="AE100" s="9858"/>
      <c r="AF100" s="9858"/>
      <c r="AG100" s="9858"/>
      <c r="AH100" s="9858"/>
      <c r="AI100" s="9858"/>
      <c r="AJ100" s="9858"/>
      <c r="AK100" s="1127"/>
      <c r="AL100" s="1179"/>
      <c r="AM100" s="1179"/>
      <c r="AN100" s="1179"/>
      <c r="AO100" s="1179"/>
      <c r="AP100" s="1719"/>
      <c r="AQ100" s="1719"/>
      <c r="AR100" s="1179"/>
      <c r="AS100" s="1179"/>
      <c r="AT100" s="1179"/>
      <c r="AU100" s="1179"/>
      <c r="AV100" s="1179"/>
      <c r="AW100" s="1179"/>
      <c r="AX100" s="1179"/>
      <c r="AY100" s="1179"/>
      <c r="AZ100" s="1779"/>
      <c r="BA100" s="1179"/>
      <c r="BB100" s="1179"/>
      <c r="BC100" s="2987"/>
      <c r="BD100" s="2767"/>
      <c r="BE100" s="1179"/>
      <c r="BF100" s="2769"/>
      <c r="BG100" s="2769"/>
      <c r="BH100" s="1179"/>
      <c r="BI100" s="1179"/>
      <c r="BJ100" s="1179"/>
      <c r="BK100" s="1179"/>
      <c r="BL100" s="1179"/>
    </row>
    <row r="101" spans="1:64" ht="16.5" customHeight="1">
      <c r="A101" s="1127"/>
      <c r="B101" s="1553"/>
      <c r="C101" s="1553"/>
      <c r="D101" s="9841"/>
      <c r="E101" s="9841"/>
      <c r="F101" s="9841"/>
      <c r="G101" s="9841"/>
      <c r="H101" s="9841"/>
      <c r="I101" s="9842"/>
      <c r="J101" s="9927"/>
      <c r="K101" s="9928"/>
      <c r="L101" s="9928"/>
      <c r="M101" s="9928"/>
      <c r="N101" s="9928"/>
      <c r="O101" s="9929"/>
      <c r="P101" s="9929"/>
      <c r="Q101" s="9929"/>
      <c r="R101" s="9930"/>
      <c r="S101" s="9927"/>
      <c r="T101" s="9928"/>
      <c r="U101" s="9928"/>
      <c r="V101" s="9928"/>
      <c r="W101" s="9928"/>
      <c r="X101" s="9929"/>
      <c r="Y101" s="9929"/>
      <c r="Z101" s="9929"/>
      <c r="AA101" s="9930"/>
      <c r="AB101" s="9928"/>
      <c r="AC101" s="9928"/>
      <c r="AD101" s="9928"/>
      <c r="AE101" s="9928"/>
      <c r="AF101" s="9928"/>
      <c r="AG101" s="9929"/>
      <c r="AH101" s="9929"/>
      <c r="AI101" s="9929"/>
      <c r="AJ101" s="9929"/>
      <c r="AK101" s="1127"/>
      <c r="AL101" s="1179"/>
      <c r="AM101" s="1179"/>
      <c r="AN101" s="1179"/>
      <c r="AO101" s="1179"/>
      <c r="AP101" s="1719"/>
      <c r="AQ101" s="1719"/>
      <c r="AR101" s="1179"/>
      <c r="AS101" s="1179"/>
      <c r="AT101" s="1179"/>
      <c r="AU101" s="1179"/>
      <c r="AV101" s="1179"/>
      <c r="AW101" s="1179"/>
      <c r="AX101" s="1179"/>
      <c r="AY101" s="1179"/>
      <c r="AZ101" s="1779"/>
      <c r="BA101" s="1179"/>
      <c r="BB101" s="1179"/>
      <c r="BC101" s="2987"/>
      <c r="BD101" s="2767"/>
      <c r="BE101" s="1179"/>
      <c r="BF101" s="2769"/>
      <c r="BG101" s="2769"/>
      <c r="BH101" s="1179"/>
      <c r="BI101" s="1179"/>
      <c r="BJ101" s="1179"/>
      <c r="BK101" s="1179"/>
      <c r="BL101" s="1179"/>
    </row>
    <row r="102" spans="1:64" ht="15.75">
      <c r="A102" s="1127"/>
      <c r="B102" s="1571" t="s">
        <v>1691</v>
      </c>
      <c r="C102" s="1553"/>
      <c r="D102" s="1553"/>
      <c r="E102" s="1553"/>
      <c r="F102" s="1553"/>
      <c r="G102" s="1553"/>
      <c r="H102" s="1553"/>
      <c r="I102" s="1553"/>
      <c r="J102" s="1553"/>
      <c r="K102" s="1553"/>
      <c r="L102" s="1553"/>
      <c r="M102" s="1553"/>
      <c r="N102" s="1553"/>
      <c r="O102" s="1553"/>
      <c r="P102" s="1553"/>
      <c r="Q102" s="1553"/>
      <c r="R102" s="1553"/>
      <c r="S102" s="1553"/>
      <c r="T102" s="1553"/>
      <c r="U102" s="1553"/>
      <c r="V102" s="1553"/>
      <c r="W102" s="1553"/>
      <c r="X102" s="1553"/>
      <c r="Y102" s="1553"/>
      <c r="Z102" s="1553"/>
      <c r="AA102" s="1553"/>
      <c r="AB102" s="1553"/>
      <c r="AC102" s="1553"/>
      <c r="AD102" s="1553"/>
      <c r="AE102" s="1553"/>
      <c r="AF102" s="1553"/>
      <c r="AG102" s="1553"/>
      <c r="AH102" s="1553"/>
      <c r="AI102" s="1553"/>
      <c r="AJ102" s="1553"/>
      <c r="AK102" s="1127"/>
      <c r="AL102" s="1179"/>
      <c r="AM102" s="1179"/>
      <c r="AN102" s="1179"/>
      <c r="AO102" s="1179"/>
      <c r="AP102" s="1719"/>
      <c r="AQ102" s="1719"/>
      <c r="AR102" s="1179"/>
      <c r="AS102" s="1179"/>
      <c r="AT102" s="1179"/>
      <c r="AU102" s="1179"/>
      <c r="AV102" s="1179"/>
      <c r="AW102" s="1179"/>
      <c r="AX102" s="1179"/>
      <c r="AY102" s="1179"/>
      <c r="AZ102" s="1779"/>
      <c r="BA102" s="1179"/>
      <c r="BB102" s="1179"/>
      <c r="BC102" s="2987"/>
      <c r="BD102" s="2767"/>
      <c r="BE102" s="1179"/>
      <c r="BF102" s="2769"/>
      <c r="BG102" s="2769"/>
      <c r="BH102" s="1179"/>
      <c r="BI102" s="1179"/>
      <c r="BJ102" s="1179"/>
      <c r="BK102" s="1179"/>
      <c r="BL102" s="1179"/>
    </row>
    <row r="103" spans="1:64" ht="15">
      <c r="A103" s="1127"/>
      <c r="B103" s="1559" t="s">
        <v>1137</v>
      </c>
      <c r="C103" s="1179"/>
      <c r="D103" s="1573" t="s">
        <v>906</v>
      </c>
      <c r="E103" s="3072" t="s">
        <v>1131</v>
      </c>
      <c r="F103" s="1574"/>
      <c r="G103" s="1574"/>
      <c r="H103" s="1574"/>
      <c r="I103" s="1574"/>
      <c r="J103" s="1574"/>
      <c r="K103" s="1574"/>
      <c r="L103" s="1574"/>
      <c r="M103" s="1575"/>
      <c r="N103" s="1576" t="s">
        <v>908</v>
      </c>
      <c r="O103" s="3072" t="s">
        <v>1255</v>
      </c>
      <c r="P103" s="1574"/>
      <c r="Q103" s="1574"/>
      <c r="R103" s="1574"/>
      <c r="S103" s="1574"/>
      <c r="T103" s="1574"/>
      <c r="U103" s="1574"/>
      <c r="V103" s="1575"/>
      <c r="W103" s="1576" t="s">
        <v>911</v>
      </c>
      <c r="X103" s="1574" t="s">
        <v>1132</v>
      </c>
      <c r="Y103" s="1574"/>
      <c r="Z103" s="1574"/>
      <c r="AA103" s="1574"/>
      <c r="AB103" s="1574"/>
      <c r="AC103" s="1575"/>
      <c r="AD103" s="1576" t="s">
        <v>763</v>
      </c>
      <c r="AE103" s="1574" t="s">
        <v>1133</v>
      </c>
      <c r="AF103" s="1574"/>
      <c r="AG103" s="1574"/>
      <c r="AH103" s="1574"/>
      <c r="AI103" s="1574"/>
      <c r="AJ103" s="1574"/>
      <c r="AK103" s="1127"/>
      <c r="AL103" s="1179"/>
      <c r="AM103" s="1179"/>
      <c r="AN103" s="1179"/>
      <c r="AO103" s="1179"/>
      <c r="AP103" s="1719"/>
      <c r="AQ103" s="1719"/>
      <c r="AR103" s="1179"/>
      <c r="AS103" s="1179"/>
      <c r="AT103" s="1179"/>
      <c r="AU103" s="1179"/>
      <c r="AV103" s="1179"/>
      <c r="AW103" s="1179"/>
      <c r="AX103" s="1179"/>
      <c r="AY103" s="1179"/>
      <c r="AZ103" s="1779"/>
      <c r="BA103" s="1179"/>
      <c r="BB103" s="1179"/>
      <c r="BC103" s="2987"/>
      <c r="BD103" s="2767"/>
      <c r="BE103" s="1179"/>
      <c r="BF103" s="2769"/>
      <c r="BG103" s="2769"/>
      <c r="BH103" s="1179"/>
      <c r="BI103" s="1179"/>
      <c r="BJ103" s="1179"/>
      <c r="BK103" s="1179"/>
      <c r="BL103" s="1179"/>
    </row>
    <row r="104" spans="1:64" ht="12.75" customHeight="1">
      <c r="A104" s="1127"/>
      <c r="B104" s="1559"/>
      <c r="D104" s="9827"/>
      <c r="E104" s="9827"/>
      <c r="F104" s="9827"/>
      <c r="G104" s="9827"/>
      <c r="H104" s="9827"/>
      <c r="I104" s="9828"/>
      <c r="J104" s="9828"/>
      <c r="K104" s="9828"/>
      <c r="L104" s="9828"/>
      <c r="M104" s="9829"/>
      <c r="N104" s="9830"/>
      <c r="O104" s="9831"/>
      <c r="P104" s="9831"/>
      <c r="Q104" s="9831"/>
      <c r="R104" s="9831"/>
      <c r="S104" s="9832"/>
      <c r="T104" s="9832"/>
      <c r="U104" s="9832"/>
      <c r="V104" s="9833"/>
      <c r="W104" s="9882"/>
      <c r="X104" s="9883"/>
      <c r="Y104" s="9883"/>
      <c r="Z104" s="9883"/>
      <c r="AA104" s="9883"/>
      <c r="AB104" s="9884"/>
      <c r="AC104" s="9884"/>
      <c r="AD104" s="9917"/>
      <c r="AE104" s="9883"/>
      <c r="AF104" s="9883"/>
      <c r="AG104" s="9883"/>
      <c r="AH104" s="9883"/>
      <c r="AI104" s="9884"/>
      <c r="AJ104" s="9884"/>
      <c r="AK104" s="1127"/>
      <c r="AL104" s="1179"/>
      <c r="AM104" s="1179"/>
      <c r="AN104" s="1179"/>
      <c r="AO104" s="1179"/>
      <c r="AP104" s="1719"/>
      <c r="AQ104" s="1719"/>
      <c r="AR104" s="1179"/>
      <c r="AS104" s="1179"/>
      <c r="AT104" s="1179"/>
      <c r="AU104" s="1179"/>
      <c r="AV104" s="1179"/>
      <c r="AW104" s="1179"/>
      <c r="AX104" s="1179"/>
      <c r="AY104" s="1179"/>
      <c r="AZ104" s="1779"/>
      <c r="BA104" s="1179"/>
      <c r="BB104" s="1179"/>
      <c r="BC104" s="2987"/>
      <c r="BD104" s="2767"/>
      <c r="BE104" s="1179"/>
      <c r="BF104" s="2769"/>
      <c r="BG104" s="2769"/>
      <c r="BH104" s="1179"/>
      <c r="BI104" s="1179"/>
      <c r="BJ104" s="1179"/>
      <c r="BK104" s="1179"/>
      <c r="BL104" s="1179"/>
    </row>
    <row r="105" spans="1:64">
      <c r="A105" s="1127"/>
      <c r="B105" s="1179"/>
      <c r="C105" s="1179"/>
      <c r="D105" s="9836" t="s">
        <v>1134</v>
      </c>
      <c r="E105" s="9837"/>
      <c r="F105" s="9837"/>
      <c r="G105" s="9837"/>
      <c r="H105" s="9837"/>
      <c r="I105" s="9838"/>
      <c r="J105" s="9854" t="s">
        <v>1256</v>
      </c>
      <c r="K105" s="9855"/>
      <c r="L105" s="9855"/>
      <c r="M105" s="9855"/>
      <c r="N105" s="9855"/>
      <c r="O105" s="9855"/>
      <c r="P105" s="9855"/>
      <c r="Q105" s="9855"/>
      <c r="R105" s="9856"/>
      <c r="S105" s="9854" t="s">
        <v>1257</v>
      </c>
      <c r="T105" s="9855"/>
      <c r="U105" s="9855"/>
      <c r="V105" s="9855"/>
      <c r="W105" s="9855"/>
      <c r="X105" s="9855"/>
      <c r="Y105" s="9855"/>
      <c r="Z105" s="9855"/>
      <c r="AA105" s="9856"/>
      <c r="AB105" s="9926" t="s">
        <v>1258</v>
      </c>
      <c r="AC105" s="9855"/>
      <c r="AD105" s="9855"/>
      <c r="AE105" s="9855"/>
      <c r="AF105" s="9855"/>
      <c r="AG105" s="9855"/>
      <c r="AH105" s="9855"/>
      <c r="AI105" s="9855"/>
      <c r="AJ105" s="9855"/>
      <c r="AK105" s="1127"/>
      <c r="AL105" s="1179"/>
      <c r="AM105" s="1179"/>
      <c r="AN105" s="1179"/>
      <c r="AO105" s="1179"/>
      <c r="AP105" s="1719"/>
      <c r="AQ105" s="1719"/>
      <c r="AR105" s="1179"/>
      <c r="AS105" s="1179"/>
      <c r="AT105" s="1179"/>
      <c r="AU105" s="1179"/>
      <c r="AV105" s="1179"/>
      <c r="AW105" s="1179"/>
      <c r="AX105" s="1179"/>
      <c r="AY105" s="1179"/>
      <c r="AZ105" s="1779"/>
      <c r="BA105" s="1179"/>
      <c r="BB105" s="1179"/>
      <c r="BC105" s="2987"/>
      <c r="BD105" s="2767"/>
      <c r="BE105" s="1179"/>
      <c r="BF105" s="2769"/>
      <c r="BG105" s="2769"/>
      <c r="BH105" s="1179"/>
      <c r="BI105" s="1179"/>
      <c r="BJ105" s="1179"/>
      <c r="BK105" s="1179"/>
      <c r="BL105" s="1179"/>
    </row>
    <row r="106" spans="1:64">
      <c r="A106" s="1127"/>
      <c r="B106" s="1179"/>
      <c r="C106" s="1179"/>
      <c r="D106" s="9839"/>
      <c r="E106" s="9839"/>
      <c r="F106" s="9839"/>
      <c r="G106" s="9839"/>
      <c r="H106" s="9839"/>
      <c r="I106" s="9840"/>
      <c r="J106" s="9857"/>
      <c r="K106" s="9858"/>
      <c r="L106" s="9858"/>
      <c r="M106" s="9858"/>
      <c r="N106" s="9858"/>
      <c r="O106" s="9858"/>
      <c r="P106" s="9858"/>
      <c r="Q106" s="9858"/>
      <c r="R106" s="9859"/>
      <c r="S106" s="9857"/>
      <c r="T106" s="9858"/>
      <c r="U106" s="9858"/>
      <c r="V106" s="9858"/>
      <c r="W106" s="9858"/>
      <c r="X106" s="9858"/>
      <c r="Y106" s="9858"/>
      <c r="Z106" s="9858"/>
      <c r="AA106" s="9859"/>
      <c r="AB106" s="9857"/>
      <c r="AC106" s="9858"/>
      <c r="AD106" s="9858"/>
      <c r="AE106" s="9858"/>
      <c r="AF106" s="9858"/>
      <c r="AG106" s="9858"/>
      <c r="AH106" s="9858"/>
      <c r="AI106" s="9858"/>
      <c r="AJ106" s="9858"/>
      <c r="AK106" s="1127"/>
      <c r="AL106" s="1179"/>
      <c r="AM106" s="1179"/>
      <c r="AN106" s="1179"/>
      <c r="AO106" s="1179"/>
      <c r="AP106" s="1719"/>
      <c r="AQ106" s="1719"/>
      <c r="AR106" s="1179"/>
      <c r="AS106" s="1179"/>
      <c r="AT106" s="1179"/>
      <c r="AU106" s="1179"/>
      <c r="AV106" s="1179"/>
      <c r="AW106" s="1179"/>
      <c r="AX106" s="1179"/>
      <c r="AY106" s="1179"/>
      <c r="AZ106" s="1779"/>
      <c r="BA106" s="1179"/>
      <c r="BB106" s="1179"/>
      <c r="BC106" s="2987"/>
      <c r="BD106" s="2767"/>
      <c r="BE106" s="1179"/>
      <c r="BF106" s="2769"/>
      <c r="BG106" s="2769"/>
      <c r="BH106" s="1179"/>
      <c r="BI106" s="1179"/>
      <c r="BJ106" s="1179"/>
      <c r="BK106" s="1179"/>
      <c r="BL106" s="1179"/>
    </row>
    <row r="107" spans="1:64" ht="18" customHeight="1">
      <c r="A107" s="1127"/>
      <c r="B107" s="1179"/>
      <c r="C107" s="1179"/>
      <c r="D107" s="9839"/>
      <c r="E107" s="9839"/>
      <c r="F107" s="9839"/>
      <c r="G107" s="9839"/>
      <c r="H107" s="9839"/>
      <c r="I107" s="9840"/>
      <c r="J107" s="9857"/>
      <c r="K107" s="9858"/>
      <c r="L107" s="9858"/>
      <c r="M107" s="9858"/>
      <c r="N107" s="9858"/>
      <c r="O107" s="9858"/>
      <c r="P107" s="9858"/>
      <c r="Q107" s="9858"/>
      <c r="R107" s="9859"/>
      <c r="S107" s="9857"/>
      <c r="T107" s="9858"/>
      <c r="U107" s="9858"/>
      <c r="V107" s="9858"/>
      <c r="W107" s="9858"/>
      <c r="X107" s="9858"/>
      <c r="Y107" s="9858"/>
      <c r="Z107" s="9858"/>
      <c r="AA107" s="9859"/>
      <c r="AB107" s="9857"/>
      <c r="AC107" s="9858"/>
      <c r="AD107" s="9858"/>
      <c r="AE107" s="9858"/>
      <c r="AF107" s="9858"/>
      <c r="AG107" s="9858"/>
      <c r="AH107" s="9858"/>
      <c r="AI107" s="9858"/>
      <c r="AJ107" s="9858"/>
      <c r="AK107" s="1127"/>
      <c r="AL107" s="1179"/>
      <c r="AM107" s="1179"/>
      <c r="AN107" s="1179"/>
      <c r="AO107" s="1179"/>
      <c r="AP107" s="1719"/>
      <c r="AQ107" s="1719"/>
      <c r="AR107" s="1179"/>
      <c r="AS107" s="1179"/>
      <c r="AT107" s="1179"/>
      <c r="AU107" s="1179"/>
      <c r="AV107" s="1179"/>
      <c r="AW107" s="1179"/>
      <c r="AX107" s="1179"/>
      <c r="AY107" s="1179"/>
      <c r="AZ107" s="1779"/>
      <c r="BA107" s="1179"/>
      <c r="BB107" s="1179"/>
      <c r="BC107" s="2987"/>
      <c r="BD107" s="2767"/>
      <c r="BE107" s="1179"/>
      <c r="BF107" s="2769"/>
      <c r="BG107" s="2769"/>
      <c r="BH107" s="1179"/>
      <c r="BI107" s="1179"/>
      <c r="BJ107" s="1179"/>
      <c r="BK107" s="1179"/>
      <c r="BL107" s="1179"/>
    </row>
    <row r="108" spans="1:64">
      <c r="A108" s="1127"/>
      <c r="B108" s="1179"/>
      <c r="C108" s="1179"/>
      <c r="D108" s="9839"/>
      <c r="E108" s="9839"/>
      <c r="F108" s="9839"/>
      <c r="G108" s="9839"/>
      <c r="H108" s="9839"/>
      <c r="I108" s="9840"/>
      <c r="J108" s="9857"/>
      <c r="K108" s="9858"/>
      <c r="L108" s="9858"/>
      <c r="M108" s="9858"/>
      <c r="N108" s="9858"/>
      <c r="O108" s="9858"/>
      <c r="P108" s="9858"/>
      <c r="Q108" s="9858"/>
      <c r="R108" s="9859"/>
      <c r="S108" s="9857"/>
      <c r="T108" s="9858"/>
      <c r="U108" s="9858"/>
      <c r="V108" s="9858"/>
      <c r="W108" s="9858"/>
      <c r="X108" s="9858"/>
      <c r="Y108" s="9858"/>
      <c r="Z108" s="9858"/>
      <c r="AA108" s="9859"/>
      <c r="AB108" s="9857"/>
      <c r="AC108" s="9858"/>
      <c r="AD108" s="9858"/>
      <c r="AE108" s="9858"/>
      <c r="AF108" s="9858"/>
      <c r="AG108" s="9858"/>
      <c r="AH108" s="9858"/>
      <c r="AI108" s="9858"/>
      <c r="AJ108" s="9858"/>
      <c r="AK108" s="1127"/>
      <c r="AL108" s="1179"/>
      <c r="AM108" s="1179"/>
      <c r="AN108" s="1179"/>
      <c r="AO108" s="1179"/>
      <c r="AP108" s="1179"/>
      <c r="AQ108" s="1179"/>
      <c r="AR108" s="1179"/>
      <c r="AS108" s="1179"/>
      <c r="AT108" s="1179"/>
      <c r="AU108" s="1179"/>
      <c r="AV108" s="1179"/>
      <c r="AW108" s="1179"/>
      <c r="AX108" s="1179"/>
      <c r="AY108" s="1179"/>
      <c r="AZ108" s="1779"/>
      <c r="BA108" s="1179"/>
      <c r="BB108" s="1179"/>
      <c r="BC108" s="2987"/>
      <c r="BD108" s="2767"/>
      <c r="BE108" s="1179"/>
      <c r="BF108" s="2769"/>
      <c r="BG108" s="2769"/>
      <c r="BH108" s="1179"/>
      <c r="BI108" s="1179"/>
      <c r="BJ108" s="1179"/>
      <c r="BK108" s="1179"/>
      <c r="BL108" s="1179"/>
    </row>
    <row r="109" spans="1:64" ht="16.5" customHeight="1">
      <c r="A109" s="1127"/>
      <c r="B109" s="1553"/>
      <c r="C109" s="1553"/>
      <c r="D109" s="9841"/>
      <c r="E109" s="9841"/>
      <c r="F109" s="9841"/>
      <c r="G109" s="9841"/>
      <c r="H109" s="9841"/>
      <c r="I109" s="9842"/>
      <c r="J109" s="9927"/>
      <c r="K109" s="9928"/>
      <c r="L109" s="9928"/>
      <c r="M109" s="9928"/>
      <c r="N109" s="9928"/>
      <c r="O109" s="9929"/>
      <c r="P109" s="9929"/>
      <c r="Q109" s="9929"/>
      <c r="R109" s="9930"/>
      <c r="S109" s="9927"/>
      <c r="T109" s="9928"/>
      <c r="U109" s="9928"/>
      <c r="V109" s="9928"/>
      <c r="W109" s="9928"/>
      <c r="X109" s="9929"/>
      <c r="Y109" s="9929"/>
      <c r="Z109" s="9929"/>
      <c r="AA109" s="9930"/>
      <c r="AB109" s="9928"/>
      <c r="AC109" s="9928"/>
      <c r="AD109" s="9928"/>
      <c r="AE109" s="9928"/>
      <c r="AF109" s="9928"/>
      <c r="AG109" s="9929"/>
      <c r="AH109" s="9929"/>
      <c r="AI109" s="9929"/>
      <c r="AJ109" s="9929"/>
      <c r="AK109" s="1127"/>
      <c r="AL109" s="1179"/>
      <c r="AM109" s="1179"/>
      <c r="AN109" s="1179"/>
      <c r="AO109" s="1179"/>
      <c r="AP109" s="1179"/>
      <c r="AQ109" s="1179"/>
      <c r="AR109" s="1179"/>
      <c r="AS109" s="1179"/>
      <c r="AT109" s="1179"/>
      <c r="AU109" s="1179"/>
      <c r="AV109" s="1179"/>
      <c r="AW109" s="1179"/>
      <c r="AX109" s="1179"/>
      <c r="AY109" s="1179"/>
      <c r="AZ109" s="1779"/>
      <c r="BA109" s="1179"/>
      <c r="BB109" s="1179"/>
      <c r="BC109" s="2987"/>
      <c r="BD109" s="2767"/>
      <c r="BE109" s="1179"/>
      <c r="BF109" s="2769"/>
      <c r="BG109" s="2769"/>
      <c r="BH109" s="1179"/>
      <c r="BI109" s="1179"/>
      <c r="BJ109" s="1179"/>
      <c r="BK109" s="1179"/>
      <c r="BL109" s="1179"/>
    </row>
    <row r="110" spans="1:64" ht="15">
      <c r="A110" s="1127"/>
      <c r="B110" s="1559" t="s">
        <v>1138</v>
      </c>
      <c r="C110" s="2686" t="s">
        <v>1692</v>
      </c>
      <c r="D110" s="1179"/>
      <c r="E110" s="1179"/>
      <c r="F110" s="1179"/>
      <c r="G110" s="1179"/>
      <c r="H110" s="1179"/>
      <c r="I110" s="1179"/>
      <c r="J110" s="1179"/>
      <c r="K110" s="1179"/>
      <c r="L110" s="1179"/>
      <c r="M110" s="1179"/>
      <c r="N110" s="1179"/>
      <c r="O110" s="1179"/>
      <c r="P110" s="1179"/>
      <c r="Q110" s="1179"/>
      <c r="R110" s="1179"/>
      <c r="S110" s="1179"/>
      <c r="T110" s="1179"/>
      <c r="U110" s="1179"/>
      <c r="V110" s="1179"/>
      <c r="W110" s="1179"/>
      <c r="X110" s="1179"/>
      <c r="Y110" s="1179"/>
      <c r="Z110" s="1179"/>
      <c r="AA110" s="1179"/>
      <c r="AB110" s="1179"/>
      <c r="AC110" s="1179"/>
      <c r="AD110" s="1179"/>
      <c r="AE110" s="1179"/>
      <c r="AF110" s="1179"/>
      <c r="AG110" s="1179"/>
      <c r="AH110" s="1179"/>
      <c r="AI110" s="1179"/>
      <c r="AJ110" s="1179"/>
      <c r="AK110" s="1127"/>
      <c r="AL110" s="1179"/>
      <c r="AM110" s="1179"/>
      <c r="AN110" s="1179"/>
      <c r="AO110" s="1179"/>
      <c r="AP110" s="1179"/>
      <c r="AQ110" s="1179"/>
      <c r="AR110" s="1179"/>
      <c r="AS110" s="1179"/>
      <c r="AT110" s="1179"/>
      <c r="AU110" s="1179"/>
      <c r="AV110" s="1179"/>
      <c r="AW110" s="1179"/>
      <c r="AX110" s="1179"/>
      <c r="AY110" s="1179"/>
      <c r="AZ110" s="1779"/>
      <c r="BA110" s="1179"/>
      <c r="BB110" s="1179"/>
      <c r="BC110" s="2987"/>
      <c r="BD110" s="2767"/>
      <c r="BE110" s="1179"/>
      <c r="BF110" s="2769"/>
      <c r="BG110" s="2769"/>
      <c r="BH110" s="1179"/>
      <c r="BI110" s="1179"/>
      <c r="BJ110" s="1179"/>
      <c r="BK110" s="1179"/>
      <c r="BL110" s="1179"/>
    </row>
    <row r="111" spans="1:64" ht="15.75">
      <c r="A111" s="1127"/>
      <c r="B111" s="1179"/>
      <c r="C111" s="1546"/>
      <c r="D111" s="1577" t="s">
        <v>416</v>
      </c>
      <c r="E111" s="1179"/>
      <c r="F111" s="2686" t="s">
        <v>2990</v>
      </c>
      <c r="G111" s="1179"/>
      <c r="H111" s="1179"/>
      <c r="I111" s="1179"/>
      <c r="J111" s="1179"/>
      <c r="K111" s="1179"/>
      <c r="L111" s="1179"/>
      <c r="M111" s="1179"/>
      <c r="N111" s="1179"/>
      <c r="O111" s="1179"/>
      <c r="P111" s="1179"/>
      <c r="Q111" s="1179"/>
      <c r="R111" s="1179"/>
      <c r="S111" s="1179"/>
      <c r="T111" s="1179"/>
      <c r="U111" s="1179"/>
      <c r="V111" s="1179"/>
      <c r="W111" s="1179"/>
      <c r="X111" s="1179"/>
      <c r="Y111" s="1179"/>
      <c r="Z111" s="1179"/>
      <c r="AA111" s="1179"/>
      <c r="AB111" s="1179"/>
      <c r="AC111" s="1179"/>
      <c r="AD111" s="1179"/>
      <c r="AE111" s="1179"/>
      <c r="AF111" s="1179"/>
      <c r="AG111" s="1179"/>
      <c r="AH111" s="1179"/>
      <c r="AI111" s="1179"/>
      <c r="AJ111" s="1179"/>
      <c r="AK111" s="1127"/>
      <c r="AL111" s="1179"/>
      <c r="AM111" s="1179"/>
      <c r="AN111" s="1179"/>
      <c r="AO111" s="1179"/>
      <c r="AP111" s="1179"/>
      <c r="AQ111" s="1179"/>
      <c r="AR111" s="1179"/>
      <c r="AS111" s="1179"/>
      <c r="AT111" s="1179"/>
      <c r="AU111" s="1179"/>
      <c r="AV111" s="1179"/>
      <c r="AW111" s="1179"/>
      <c r="AX111" s="1179"/>
      <c r="AY111" s="1179"/>
      <c r="AZ111" s="1779"/>
      <c r="BA111" s="1179"/>
      <c r="BB111" s="1179"/>
      <c r="BC111" s="2987"/>
      <c r="BD111" s="2767"/>
      <c r="BE111" s="1179"/>
      <c r="BF111" s="2769"/>
      <c r="BG111" s="2769"/>
      <c r="BH111" s="1179"/>
      <c r="BI111" s="1179"/>
      <c r="BJ111" s="1179"/>
      <c r="BK111" s="1179"/>
      <c r="BL111" s="1179"/>
    </row>
    <row r="112" spans="1:64" ht="12.75" customHeight="1">
      <c r="A112" s="1127"/>
      <c r="B112" s="1179"/>
      <c r="C112" s="2686" t="s">
        <v>1693</v>
      </c>
      <c r="D112" s="1179"/>
      <c r="E112" s="1179"/>
      <c r="F112" s="1179"/>
      <c r="G112" s="1179"/>
      <c r="H112" s="1179"/>
      <c r="I112" s="1179"/>
      <c r="J112" s="1179"/>
      <c r="K112" s="1179"/>
      <c r="L112" s="1179"/>
      <c r="M112" s="1179"/>
      <c r="N112" s="1179"/>
      <c r="O112" s="1179"/>
      <c r="P112" s="1179"/>
      <c r="Q112" s="1179"/>
      <c r="R112" s="1179"/>
      <c r="S112" s="1179"/>
      <c r="T112" s="1179"/>
      <c r="U112" s="1179"/>
      <c r="V112" s="1179"/>
      <c r="W112" s="1179"/>
      <c r="X112" s="1179"/>
      <c r="Y112" s="1179"/>
      <c r="Z112" s="1179"/>
      <c r="AA112" s="1179"/>
      <c r="AB112" s="1179"/>
      <c r="AC112" s="1179"/>
      <c r="AD112" s="1179"/>
      <c r="AE112" s="1179"/>
      <c r="AF112" s="1179"/>
      <c r="AG112" s="1179"/>
      <c r="AH112" s="1179"/>
      <c r="AI112" s="1179"/>
      <c r="AJ112" s="1179"/>
      <c r="AK112" s="1127"/>
      <c r="AL112" s="1179"/>
      <c r="AM112" s="1179"/>
      <c r="AN112" s="1179"/>
      <c r="AO112" s="1179"/>
      <c r="AP112" s="1179"/>
      <c r="AQ112" s="1179"/>
      <c r="AR112" s="1179"/>
      <c r="AS112" s="1179"/>
      <c r="AT112" s="1179"/>
      <c r="AU112" s="1179"/>
      <c r="AV112" s="1179"/>
      <c r="AW112" s="1179"/>
      <c r="AX112" s="1179"/>
      <c r="AY112" s="1179"/>
      <c r="AZ112" s="1779"/>
      <c r="BA112" s="1179"/>
      <c r="BB112" s="1179"/>
      <c r="BC112" s="2987"/>
      <c r="BD112" s="2767"/>
      <c r="BE112" s="1179"/>
      <c r="BF112" s="2769"/>
      <c r="BG112" s="2769"/>
      <c r="BH112" s="1179"/>
      <c r="BI112" s="1179"/>
      <c r="BJ112" s="1179"/>
      <c r="BK112" s="1179"/>
      <c r="BL112" s="1179"/>
    </row>
    <row r="113" spans="1:64" ht="14.25">
      <c r="A113" s="1127"/>
      <c r="B113" s="1179"/>
      <c r="C113" s="2686" t="s">
        <v>1694</v>
      </c>
      <c r="D113" s="1179"/>
      <c r="E113" s="1179"/>
      <c r="F113" s="1179"/>
      <c r="G113" s="1179"/>
      <c r="H113" s="1179"/>
      <c r="I113" s="1179"/>
      <c r="J113" s="1179"/>
      <c r="K113" s="1179"/>
      <c r="L113" s="1179"/>
      <c r="M113" s="1179"/>
      <c r="N113" s="1179"/>
      <c r="O113" s="1179"/>
      <c r="P113" s="1179"/>
      <c r="Q113" s="1179"/>
      <c r="R113" s="1179"/>
      <c r="S113" s="1179"/>
      <c r="T113" s="1179"/>
      <c r="U113" s="1179"/>
      <c r="V113" s="1179"/>
      <c r="W113" s="1179"/>
      <c r="X113" s="1179"/>
      <c r="Y113" s="1179"/>
      <c r="Z113" s="1179"/>
      <c r="AA113" s="1179"/>
      <c r="AB113" s="1179"/>
      <c r="AC113" s="1179"/>
      <c r="AD113" s="1179"/>
      <c r="AE113" s="1179"/>
      <c r="AF113" s="1179"/>
      <c r="AG113" s="1179"/>
      <c r="AH113" s="1179"/>
      <c r="AI113" s="1179"/>
      <c r="AJ113" s="1179"/>
      <c r="AK113" s="1127"/>
      <c r="AL113" s="1179"/>
      <c r="AM113" s="1179"/>
      <c r="AN113" s="1179"/>
      <c r="AO113" s="1179"/>
      <c r="AP113" s="1179"/>
      <c r="AQ113" s="1179"/>
      <c r="AR113" s="1179"/>
      <c r="AS113" s="1179"/>
      <c r="AT113" s="1179"/>
      <c r="AU113" s="1179"/>
      <c r="AV113" s="1179"/>
      <c r="AW113" s="1179"/>
      <c r="AX113" s="1179"/>
      <c r="AY113" s="1179"/>
      <c r="AZ113" s="1779"/>
      <c r="BA113" s="1179"/>
      <c r="BB113" s="1179"/>
      <c r="BC113" s="2987"/>
      <c r="BD113" s="2767"/>
      <c r="BE113" s="1179"/>
      <c r="BF113" s="2769"/>
      <c r="BG113" s="2769"/>
      <c r="BH113" s="1179"/>
      <c r="BI113" s="1179"/>
      <c r="BJ113" s="1179"/>
      <c r="BK113" s="1179"/>
      <c r="BL113" s="1179"/>
    </row>
    <row r="114" spans="1:64">
      <c r="A114" s="1127"/>
      <c r="B114" s="1179"/>
      <c r="C114" s="1179"/>
      <c r="D114" s="1179"/>
      <c r="E114" s="1179"/>
      <c r="F114" s="1179"/>
      <c r="G114" s="1179"/>
      <c r="H114" s="1179"/>
      <c r="I114" s="1179"/>
      <c r="J114" s="1179"/>
      <c r="K114" s="1179"/>
      <c r="L114" s="1179"/>
      <c r="M114" s="1179"/>
      <c r="N114" s="1179"/>
      <c r="O114" s="1179"/>
      <c r="P114" s="1179"/>
      <c r="Q114" s="1179"/>
      <c r="R114" s="1179"/>
      <c r="S114" s="1179"/>
      <c r="T114" s="1179"/>
      <c r="U114" s="1179"/>
      <c r="V114" s="1179"/>
      <c r="W114" s="1179"/>
      <c r="X114" s="1179"/>
      <c r="Y114" s="1179"/>
      <c r="Z114" s="1179"/>
      <c r="AA114" s="1179"/>
      <c r="AB114" s="1179"/>
      <c r="AC114" s="1179"/>
      <c r="AD114" s="1179"/>
      <c r="AE114" s="1179"/>
      <c r="AF114" s="1179"/>
      <c r="AG114" s="1179"/>
      <c r="AH114" s="1179"/>
      <c r="AI114" s="1179"/>
      <c r="AJ114" s="1179"/>
      <c r="AK114" s="1127"/>
      <c r="AL114" s="1179"/>
      <c r="AM114" s="1179"/>
      <c r="AN114" s="1179"/>
      <c r="AO114" s="1179"/>
      <c r="AP114" s="1179"/>
      <c r="AQ114" s="1179"/>
      <c r="AR114" s="1179"/>
      <c r="AS114" s="1179"/>
      <c r="AT114" s="1179"/>
      <c r="AU114" s="1179"/>
      <c r="AV114" s="1179"/>
      <c r="AW114" s="1179"/>
      <c r="AX114" s="1179"/>
      <c r="AY114" s="1179"/>
      <c r="AZ114" s="1779"/>
      <c r="BA114" s="1179"/>
      <c r="BB114" s="1179"/>
      <c r="BC114" s="2987"/>
      <c r="BD114" s="2767"/>
      <c r="BE114" s="1179"/>
      <c r="BF114" s="2769"/>
      <c r="BG114" s="2769"/>
      <c r="BH114" s="1179"/>
      <c r="BI114" s="1179"/>
      <c r="BJ114" s="1179"/>
      <c r="BK114" s="1179"/>
      <c r="BL114" s="1179"/>
    </row>
    <row r="115" spans="1:64" ht="18" customHeight="1">
      <c r="A115" s="1127"/>
      <c r="B115" s="1179"/>
      <c r="C115" s="1546"/>
      <c r="D115" s="1577" t="s">
        <v>414</v>
      </c>
      <c r="E115" s="1179"/>
      <c r="F115" s="2686" t="s">
        <v>3287</v>
      </c>
      <c r="G115" s="1179"/>
      <c r="H115" s="1179"/>
      <c r="I115" s="1179"/>
      <c r="J115" s="1179"/>
      <c r="K115" s="1179"/>
      <c r="L115" s="1179"/>
      <c r="M115" s="1179"/>
      <c r="N115" s="1179"/>
      <c r="O115" s="1179"/>
      <c r="P115" s="1179"/>
      <c r="Q115" s="1179"/>
      <c r="R115" s="1179"/>
      <c r="S115" s="1179"/>
      <c r="T115" s="1179"/>
      <c r="U115" s="1179"/>
      <c r="V115" s="1179"/>
      <c r="W115" s="1179"/>
      <c r="X115" s="1179"/>
      <c r="Y115" s="1179"/>
      <c r="Z115" s="1179"/>
      <c r="AA115" s="1179"/>
      <c r="AB115" s="1179"/>
      <c r="AC115" s="1179"/>
      <c r="AD115" s="1179"/>
      <c r="AE115" s="1179"/>
      <c r="AF115" s="1179"/>
      <c r="AG115" s="1179"/>
      <c r="AH115" s="1179"/>
      <c r="AI115" s="1179"/>
      <c r="AJ115" s="1179"/>
      <c r="AK115" s="1127"/>
      <c r="AL115" s="1179"/>
      <c r="AM115" s="1179"/>
      <c r="AN115" s="1179"/>
      <c r="AO115" s="1179"/>
      <c r="AP115" s="1179"/>
      <c r="AQ115" s="1179"/>
      <c r="AR115" s="1179"/>
      <c r="AS115" s="1179"/>
      <c r="AT115" s="1179"/>
      <c r="AU115" s="1179"/>
      <c r="AV115" s="1179"/>
      <c r="AW115" s="1179"/>
      <c r="AX115" s="1179"/>
      <c r="AY115" s="1179"/>
      <c r="AZ115" s="1779"/>
      <c r="BA115" s="1179"/>
      <c r="BB115" s="1179"/>
      <c r="BC115" s="2987"/>
      <c r="BD115" s="2767"/>
      <c r="BE115" s="1179"/>
      <c r="BF115" s="2769"/>
      <c r="BG115" s="2769"/>
      <c r="BH115" s="1179"/>
      <c r="BI115" s="1179"/>
      <c r="BJ115" s="1179"/>
      <c r="BK115" s="1179"/>
      <c r="BL115" s="1179"/>
    </row>
    <row r="116" spans="1:64" ht="13.5" thickBot="1">
      <c r="A116" s="1127"/>
      <c r="B116" s="1179"/>
      <c r="C116" s="1179"/>
      <c r="D116" s="1179"/>
      <c r="E116" s="1179"/>
      <c r="F116" s="1179"/>
      <c r="G116" s="1179"/>
      <c r="H116" s="1179"/>
      <c r="I116" s="1179"/>
      <c r="J116" s="1179"/>
      <c r="K116" s="1179"/>
      <c r="L116" s="1179"/>
      <c r="M116" s="1179"/>
      <c r="N116" s="1179"/>
      <c r="O116" s="1179"/>
      <c r="P116" s="1179"/>
      <c r="Q116" s="1179"/>
      <c r="R116" s="1179"/>
      <c r="S116" s="1179"/>
      <c r="T116" s="1179"/>
      <c r="U116" s="1179"/>
      <c r="V116" s="1179"/>
      <c r="W116" s="1179"/>
      <c r="X116" s="1179"/>
      <c r="Y116" s="1179"/>
      <c r="Z116" s="1179"/>
      <c r="AA116" s="1179"/>
      <c r="AB116" s="1179"/>
      <c r="AC116" s="1179"/>
      <c r="AD116" s="1179"/>
      <c r="AE116" s="1179"/>
      <c r="AF116" s="1179"/>
      <c r="AG116" s="1179"/>
      <c r="AH116" s="1179"/>
      <c r="AI116" s="1179"/>
      <c r="AJ116" s="1179"/>
      <c r="AK116" s="1127"/>
      <c r="AL116" s="1179"/>
      <c r="AM116" s="1179"/>
      <c r="AN116" s="1179"/>
      <c r="AO116" s="1179"/>
      <c r="AP116" s="1179"/>
      <c r="AQ116" s="1179"/>
      <c r="AR116" s="1179"/>
      <c r="AS116" s="1179"/>
      <c r="AT116" s="1179"/>
      <c r="AU116" s="1179"/>
      <c r="AV116" s="1179"/>
      <c r="AW116" s="1179"/>
      <c r="AX116" s="1179"/>
      <c r="AY116" s="1179"/>
      <c r="AZ116" s="1779"/>
      <c r="BA116" s="1179"/>
      <c r="BB116" s="1179"/>
      <c r="BC116" s="2987"/>
      <c r="BD116" s="2767"/>
      <c r="BE116" s="1179"/>
      <c r="BF116" s="2769"/>
      <c r="BG116" s="2769"/>
      <c r="BH116" s="1179"/>
      <c r="BI116" s="1179"/>
      <c r="BJ116" s="1179"/>
      <c r="BK116" s="1179"/>
      <c r="BL116" s="1179"/>
    </row>
    <row r="117" spans="1:64" ht="18">
      <c r="A117" s="1127"/>
      <c r="B117" s="6769" t="s">
        <v>123</v>
      </c>
      <c r="C117" s="6769"/>
      <c r="D117" s="1578"/>
      <c r="E117" s="1578" t="s">
        <v>1259</v>
      </c>
      <c r="F117" s="1579"/>
      <c r="G117" s="1579"/>
      <c r="H117" s="1579"/>
      <c r="I117" s="1579"/>
      <c r="J117" s="1579"/>
      <c r="K117" s="1579"/>
      <c r="L117" s="1579"/>
      <c r="M117" s="1579"/>
      <c r="N117" s="1579"/>
      <c r="O117" s="1579"/>
      <c r="P117" s="1579"/>
      <c r="Q117" s="1579"/>
      <c r="R117" s="1579"/>
      <c r="S117" s="1579"/>
      <c r="T117" s="1579"/>
      <c r="U117" s="1579"/>
      <c r="V117" s="1579"/>
      <c r="W117" s="1579"/>
      <c r="X117" s="1579"/>
      <c r="Y117" s="1579"/>
      <c r="Z117" s="1579"/>
      <c r="AA117" s="1579"/>
      <c r="AB117" s="1579"/>
      <c r="AC117" s="1579"/>
      <c r="AD117" s="1579"/>
      <c r="AE117" s="1579"/>
      <c r="AF117" s="1579"/>
      <c r="AG117" s="1579"/>
      <c r="AH117" s="1579"/>
      <c r="AI117" s="1579"/>
      <c r="AJ117" s="1579"/>
      <c r="AK117" s="1127"/>
      <c r="AL117" s="1179"/>
      <c r="AM117" s="1179"/>
      <c r="AN117" s="1179"/>
      <c r="AO117" s="1179"/>
      <c r="AP117" s="1179"/>
      <c r="AQ117" s="1179"/>
      <c r="AR117" s="1179"/>
      <c r="AS117" s="1179"/>
      <c r="AT117" s="1179"/>
      <c r="AU117" s="1179"/>
      <c r="AV117" s="1179"/>
      <c r="AW117" s="1179"/>
      <c r="AX117" s="1179"/>
      <c r="AY117" s="1179"/>
      <c r="AZ117" s="1779"/>
      <c r="BA117" s="1179"/>
      <c r="BB117" s="1179"/>
      <c r="BC117" s="2987"/>
      <c r="BD117" s="2767"/>
      <c r="BE117" s="1179"/>
      <c r="BF117" s="2769"/>
      <c r="BG117" s="2769"/>
      <c r="BH117" s="1179"/>
      <c r="BI117" s="1179"/>
      <c r="BJ117" s="1179"/>
      <c r="BK117" s="1179"/>
      <c r="BL117" s="1179"/>
    </row>
    <row r="118" spans="1:64" ht="14.25">
      <c r="A118" s="1127"/>
      <c r="B118" s="2686" t="s">
        <v>2991</v>
      </c>
      <c r="C118" s="1179"/>
      <c r="D118" s="1179"/>
      <c r="E118" s="1179"/>
      <c r="F118" s="1179"/>
      <c r="G118" s="1179"/>
      <c r="H118" s="1179"/>
      <c r="I118" s="1179"/>
      <c r="J118" s="1179"/>
      <c r="K118" s="1179"/>
      <c r="L118" s="1179"/>
      <c r="M118" s="1179"/>
      <c r="N118" s="1179"/>
      <c r="O118" s="1179"/>
      <c r="P118" s="1179"/>
      <c r="Q118" s="1179"/>
      <c r="R118" s="1179"/>
      <c r="S118" s="1179"/>
      <c r="T118" s="1179"/>
      <c r="U118" s="1179"/>
      <c r="V118" s="1179"/>
      <c r="W118" s="1179"/>
      <c r="X118" s="1179"/>
      <c r="Y118" s="1179"/>
      <c r="Z118" s="1179"/>
      <c r="AA118" s="1179"/>
      <c r="AB118" s="1179"/>
      <c r="AC118" s="1179"/>
      <c r="AD118" s="1179"/>
      <c r="AE118" s="1179"/>
      <c r="AF118" s="1179"/>
      <c r="AG118" s="1179"/>
      <c r="AH118" s="1179"/>
      <c r="AI118" s="1179"/>
      <c r="AJ118" s="1179"/>
      <c r="AK118" s="1127"/>
      <c r="AL118" s="1179"/>
      <c r="AM118" s="1179"/>
      <c r="AN118" s="1179"/>
      <c r="AO118" s="1179"/>
      <c r="AP118" s="1179"/>
      <c r="AQ118" s="1179"/>
      <c r="AR118" s="1179"/>
      <c r="AS118" s="1179"/>
      <c r="AT118" s="1179"/>
      <c r="AU118" s="1179"/>
      <c r="AV118" s="1179"/>
      <c r="AW118" s="1179"/>
      <c r="AX118" s="1179"/>
      <c r="AY118" s="1179"/>
      <c r="AZ118" s="1779"/>
      <c r="BA118" s="1179"/>
      <c r="BB118" s="1179"/>
      <c r="BC118" s="2987"/>
      <c r="BD118" s="2767"/>
      <c r="BE118" s="1179"/>
      <c r="BF118" s="2769"/>
      <c r="BG118" s="2769"/>
      <c r="BH118" s="1179"/>
      <c r="BI118" s="1179"/>
      <c r="BJ118" s="1179"/>
      <c r="BK118" s="1179"/>
      <c r="BL118" s="1179"/>
    </row>
    <row r="119" spans="1:64" ht="14.25">
      <c r="A119" s="1127"/>
      <c r="B119" s="2791" t="s">
        <v>1260</v>
      </c>
      <c r="C119" s="1553"/>
      <c r="D119" s="1553"/>
      <c r="E119" s="1553"/>
      <c r="F119" s="1553"/>
      <c r="G119" s="1553"/>
      <c r="H119" s="1553"/>
      <c r="I119" s="1553"/>
      <c r="J119" s="1553"/>
      <c r="K119" s="1553"/>
      <c r="L119" s="1553"/>
      <c r="M119" s="1553"/>
      <c r="N119" s="1553"/>
      <c r="O119" s="1553"/>
      <c r="P119" s="1553"/>
      <c r="Q119" s="1553"/>
      <c r="R119" s="1553"/>
      <c r="S119" s="1553"/>
      <c r="T119" s="1553"/>
      <c r="U119" s="1553"/>
      <c r="V119" s="1553"/>
      <c r="W119" s="1553"/>
      <c r="X119" s="1553"/>
      <c r="Y119" s="1553"/>
      <c r="Z119" s="1553"/>
      <c r="AA119" s="1553"/>
      <c r="AB119" s="1553"/>
      <c r="AC119" s="1553"/>
      <c r="AD119" s="1553"/>
      <c r="AE119" s="1553"/>
      <c r="AF119" s="1553"/>
      <c r="AG119" s="1553"/>
      <c r="AH119" s="1553"/>
      <c r="AI119" s="1553"/>
      <c r="AJ119" s="1553"/>
      <c r="AK119" s="1127"/>
      <c r="AL119" s="1179"/>
      <c r="AM119" s="1179"/>
      <c r="AN119" s="1179"/>
      <c r="AO119" s="1179"/>
      <c r="AP119" s="1179"/>
      <c r="AQ119" s="1179"/>
      <c r="AR119" s="1179"/>
      <c r="AS119" s="1179"/>
      <c r="AT119" s="1179"/>
      <c r="AU119" s="1179"/>
      <c r="AV119" s="1179"/>
      <c r="AW119" s="1179"/>
      <c r="AX119" s="1179"/>
      <c r="AY119" s="1179"/>
      <c r="AZ119" s="1779"/>
      <c r="BA119" s="1179"/>
      <c r="BB119" s="1179"/>
      <c r="BC119" s="2987"/>
      <c r="BD119" s="2767"/>
      <c r="BE119" s="1179"/>
      <c r="BF119" s="2769"/>
      <c r="BG119" s="2769"/>
      <c r="BH119" s="1179"/>
      <c r="BI119" s="1179"/>
      <c r="BJ119" s="1179"/>
      <c r="BK119" s="1179"/>
      <c r="BL119" s="1179"/>
    </row>
    <row r="120" spans="1:64" ht="27" customHeight="1">
      <c r="A120" s="1127"/>
      <c r="B120" s="9821" t="s">
        <v>1144</v>
      </c>
      <c r="C120" s="1701"/>
      <c r="D120" s="9273" t="s">
        <v>1142</v>
      </c>
      <c r="E120" s="8335"/>
      <c r="F120" s="8335"/>
      <c r="G120" s="8335"/>
      <c r="H120" s="8245"/>
      <c r="I120" s="1931" t="s">
        <v>906</v>
      </c>
      <c r="J120" s="9931" t="s">
        <v>1139</v>
      </c>
      <c r="K120" s="9931"/>
      <c r="L120" s="9931"/>
      <c r="M120" s="9931"/>
      <c r="N120" s="9931"/>
      <c r="O120" s="9932"/>
      <c r="P120" s="1930" t="s">
        <v>908</v>
      </c>
      <c r="Q120" s="9933" t="s">
        <v>1695</v>
      </c>
      <c r="R120" s="9931"/>
      <c r="S120" s="9931"/>
      <c r="T120" s="9931"/>
      <c r="U120" s="9931"/>
      <c r="V120" s="9932"/>
      <c r="W120" s="1930" t="s">
        <v>911</v>
      </c>
      <c r="X120" s="9931" t="s">
        <v>1140</v>
      </c>
      <c r="Y120" s="9931"/>
      <c r="Z120" s="9931"/>
      <c r="AA120" s="9931"/>
      <c r="AB120" s="9931"/>
      <c r="AC120" s="9932"/>
      <c r="AD120" s="1930" t="s">
        <v>763</v>
      </c>
      <c r="AE120" s="9931" t="s">
        <v>1141</v>
      </c>
      <c r="AF120" s="9931"/>
      <c r="AG120" s="9931"/>
      <c r="AH120" s="9931"/>
      <c r="AI120" s="9931"/>
      <c r="AJ120" s="9931"/>
      <c r="AK120" s="1127"/>
      <c r="AL120" s="1179"/>
      <c r="AM120" s="1179"/>
      <c r="AN120" s="1179"/>
      <c r="AO120" s="1179"/>
      <c r="AP120" s="1179"/>
      <c r="AQ120" s="1179"/>
      <c r="AR120" s="1179"/>
      <c r="AS120" s="1179"/>
      <c r="AT120" s="1179"/>
      <c r="AU120" s="1179"/>
      <c r="AV120" s="1179"/>
      <c r="AW120" s="1179"/>
      <c r="AX120" s="1179"/>
      <c r="AY120" s="1179"/>
      <c r="AZ120" s="1779"/>
      <c r="BA120" s="1179"/>
      <c r="BB120" s="1179"/>
      <c r="BC120" s="2987"/>
      <c r="BD120" s="2767"/>
      <c r="BE120" s="1179"/>
      <c r="BF120" s="2769"/>
      <c r="BG120" s="2769"/>
      <c r="BH120" s="1179"/>
      <c r="BI120" s="1179"/>
      <c r="BJ120" s="1179"/>
      <c r="BK120" s="1179"/>
      <c r="BL120" s="1179"/>
    </row>
    <row r="121" spans="1:64" ht="18.75" customHeight="1">
      <c r="A121" s="1127"/>
      <c r="B121" s="9085"/>
      <c r="C121" s="1708"/>
      <c r="D121" s="7073"/>
      <c r="E121" s="7073"/>
      <c r="F121" s="7073"/>
      <c r="G121" s="7073"/>
      <c r="H121" s="7074"/>
      <c r="I121" s="9921"/>
      <c r="J121" s="9922"/>
      <c r="K121" s="9922"/>
      <c r="L121" s="9922"/>
      <c r="M121" s="9922"/>
      <c r="N121" s="9923"/>
      <c r="O121" s="9924"/>
      <c r="P121" s="9882"/>
      <c r="Q121" s="9883"/>
      <c r="R121" s="9883"/>
      <c r="S121" s="9883"/>
      <c r="T121" s="9883"/>
      <c r="U121" s="9884"/>
      <c r="V121" s="9925"/>
      <c r="W121" s="9882"/>
      <c r="X121" s="9883"/>
      <c r="Y121" s="9883"/>
      <c r="Z121" s="9883"/>
      <c r="AA121" s="9883"/>
      <c r="AB121" s="9884"/>
      <c r="AC121" s="9925"/>
      <c r="AD121" s="9882"/>
      <c r="AE121" s="9883"/>
      <c r="AF121" s="9883"/>
      <c r="AG121" s="9883"/>
      <c r="AH121" s="9883"/>
      <c r="AI121" s="9884"/>
      <c r="AJ121" s="9884"/>
      <c r="AK121" s="1127"/>
      <c r="AL121" s="1179"/>
      <c r="AM121" s="1179"/>
      <c r="AN121" s="1179"/>
      <c r="AO121" s="1179"/>
      <c r="AP121" s="1179"/>
      <c r="AQ121" s="1179"/>
      <c r="AR121" s="1179"/>
      <c r="AS121" s="1179"/>
      <c r="AT121" s="1179"/>
      <c r="AU121" s="1179"/>
      <c r="AV121" s="1179"/>
      <c r="AW121" s="1179"/>
      <c r="AX121" s="1179"/>
      <c r="AY121" s="1179"/>
      <c r="AZ121" s="1779"/>
      <c r="BA121" s="1179"/>
      <c r="BB121" s="1179"/>
      <c r="BC121" s="2987"/>
      <c r="BD121" s="2767"/>
      <c r="BE121" s="1179"/>
      <c r="BF121" s="2769"/>
      <c r="BG121" s="2769"/>
      <c r="BH121" s="1179"/>
      <c r="BI121" s="1179"/>
      <c r="BJ121" s="1179"/>
      <c r="BK121" s="1179"/>
      <c r="BL121" s="1179"/>
    </row>
    <row r="122" spans="1:64" ht="26.25" customHeight="1">
      <c r="A122" s="1127"/>
      <c r="B122" s="9821" t="s">
        <v>1145</v>
      </c>
      <c r="C122" s="1701"/>
      <c r="D122" s="9273" t="s">
        <v>1143</v>
      </c>
      <c r="E122" s="8335"/>
      <c r="F122" s="8335"/>
      <c r="G122" s="8335"/>
      <c r="H122" s="8245"/>
      <c r="I122" s="1931" t="s">
        <v>906</v>
      </c>
      <c r="J122" s="9931" t="s">
        <v>1139</v>
      </c>
      <c r="K122" s="9931"/>
      <c r="L122" s="9931"/>
      <c r="M122" s="9931"/>
      <c r="N122" s="9931"/>
      <c r="O122" s="9932"/>
      <c r="P122" s="1930" t="s">
        <v>908</v>
      </c>
      <c r="Q122" s="9933" t="s">
        <v>1695</v>
      </c>
      <c r="R122" s="9931"/>
      <c r="S122" s="9931"/>
      <c r="T122" s="9931"/>
      <c r="U122" s="9931"/>
      <c r="V122" s="9932"/>
      <c r="W122" s="1930" t="s">
        <v>911</v>
      </c>
      <c r="X122" s="9931" t="s">
        <v>1140</v>
      </c>
      <c r="Y122" s="9931"/>
      <c r="Z122" s="9931"/>
      <c r="AA122" s="9931"/>
      <c r="AB122" s="9931"/>
      <c r="AC122" s="9932"/>
      <c r="AD122" s="1930" t="s">
        <v>763</v>
      </c>
      <c r="AE122" s="9931" t="s">
        <v>1141</v>
      </c>
      <c r="AF122" s="9931"/>
      <c r="AG122" s="9931"/>
      <c r="AH122" s="9931"/>
      <c r="AI122" s="9931"/>
      <c r="AJ122" s="9931"/>
      <c r="AK122" s="1127"/>
      <c r="AL122" s="1179"/>
      <c r="AM122" s="1179"/>
      <c r="AN122" s="1179"/>
      <c r="AO122" s="1179"/>
      <c r="AP122" s="1179"/>
      <c r="AQ122" s="1179"/>
      <c r="AR122" s="1179"/>
      <c r="AS122" s="1179"/>
      <c r="AT122" s="1179"/>
      <c r="AU122" s="1179"/>
      <c r="AV122" s="1179"/>
      <c r="AW122" s="1179"/>
      <c r="AX122" s="1179"/>
      <c r="AY122" s="1179"/>
      <c r="AZ122" s="1779"/>
      <c r="BA122" s="1179"/>
      <c r="BB122" s="1179"/>
      <c r="BC122" s="2987"/>
      <c r="BD122" s="2767"/>
      <c r="BE122" s="1179"/>
      <c r="BF122" s="2769"/>
      <c r="BG122" s="2769"/>
      <c r="BH122" s="1179"/>
      <c r="BI122" s="1179"/>
      <c r="BJ122" s="1179"/>
      <c r="BK122" s="1179"/>
      <c r="BL122" s="1179"/>
    </row>
    <row r="123" spans="1:64" ht="21.75" customHeight="1" thickBot="1">
      <c r="A123" s="1127"/>
      <c r="B123" s="8065"/>
      <c r="C123" s="1710"/>
      <c r="D123" s="6765"/>
      <c r="E123" s="6765"/>
      <c r="F123" s="6765"/>
      <c r="G123" s="6765"/>
      <c r="H123" s="9873"/>
      <c r="I123" s="9860"/>
      <c r="J123" s="9861"/>
      <c r="K123" s="9861"/>
      <c r="L123" s="9861"/>
      <c r="M123" s="9861"/>
      <c r="N123" s="9862"/>
      <c r="O123" s="9863"/>
      <c r="P123" s="9843"/>
      <c r="Q123" s="9844"/>
      <c r="R123" s="9844"/>
      <c r="S123" s="9844"/>
      <c r="T123" s="9844"/>
      <c r="U123" s="9845"/>
      <c r="V123" s="9846"/>
      <c r="W123" s="9843"/>
      <c r="X123" s="9844"/>
      <c r="Y123" s="9844"/>
      <c r="Z123" s="9844"/>
      <c r="AA123" s="9844"/>
      <c r="AB123" s="9845"/>
      <c r="AC123" s="9846"/>
      <c r="AD123" s="9843"/>
      <c r="AE123" s="9844"/>
      <c r="AF123" s="9844"/>
      <c r="AG123" s="9844"/>
      <c r="AH123" s="9844"/>
      <c r="AI123" s="9845"/>
      <c r="AJ123" s="9845"/>
      <c r="AK123" s="1127"/>
      <c r="AL123" s="1927"/>
      <c r="AM123" s="1927"/>
      <c r="AN123" s="1927"/>
      <c r="AO123" s="1179"/>
      <c r="AP123" s="1179"/>
      <c r="AQ123" s="1179"/>
      <c r="AR123" s="1179"/>
      <c r="AS123" s="1179"/>
      <c r="AT123" s="1179"/>
      <c r="AU123" s="1179"/>
      <c r="AV123" s="1179"/>
      <c r="AW123" s="1179"/>
      <c r="AX123" s="1179"/>
      <c r="AY123" s="1179"/>
      <c r="AZ123" s="1779"/>
      <c r="BA123" s="1179"/>
      <c r="BB123" s="1179"/>
      <c r="BC123" s="2987"/>
      <c r="BD123" s="2767"/>
      <c r="BE123" s="1179"/>
      <c r="BF123" s="2769"/>
      <c r="BG123" s="2769"/>
      <c r="BH123" s="1179"/>
      <c r="BI123" s="1179"/>
      <c r="BJ123" s="1179"/>
      <c r="BK123" s="1179"/>
      <c r="BL123" s="1179"/>
    </row>
    <row r="124" spans="1:64" ht="18">
      <c r="A124" s="1127"/>
      <c r="B124" s="1709"/>
      <c r="C124" s="70"/>
      <c r="D124" s="70"/>
      <c r="E124" s="70"/>
      <c r="F124" s="70"/>
      <c r="G124" s="70"/>
      <c r="H124" s="70"/>
      <c r="I124" s="70"/>
      <c r="J124" s="70"/>
      <c r="K124" s="70"/>
      <c r="L124" s="70"/>
      <c r="M124" s="70"/>
      <c r="N124" s="70"/>
      <c r="O124" s="70"/>
      <c r="P124" s="70"/>
      <c r="Q124" s="23"/>
      <c r="R124" s="23"/>
      <c r="S124" s="23"/>
      <c r="T124" s="23"/>
      <c r="U124" s="501"/>
      <c r="V124" s="23"/>
      <c r="W124" s="501"/>
      <c r="X124" s="23"/>
      <c r="Y124" s="23"/>
      <c r="Z124" s="23"/>
      <c r="AA124" s="23"/>
      <c r="AB124" s="23"/>
      <c r="AC124" s="23"/>
      <c r="AD124" s="23"/>
      <c r="AE124" s="23"/>
      <c r="AF124" s="23"/>
      <c r="AG124" s="23"/>
      <c r="AH124" s="1035" t="s">
        <v>4270</v>
      </c>
      <c r="AI124" s="23"/>
      <c r="AJ124" s="1035" t="str">
        <f>"("&amp;TaxYear&amp;")"</f>
        <v>(2021)</v>
      </c>
      <c r="AK124" s="1127"/>
      <c r="AL124" s="1927"/>
      <c r="AM124" s="1927"/>
      <c r="AN124" s="1927"/>
      <c r="AO124" s="1179"/>
      <c r="AP124" s="1179"/>
      <c r="AQ124" s="1179"/>
      <c r="AR124" s="1179"/>
      <c r="AS124" s="1179"/>
      <c r="AT124" s="1179"/>
      <c r="AU124" s="1179"/>
      <c r="AV124" s="1179"/>
      <c r="AW124" s="1179"/>
      <c r="AX124" s="1179"/>
      <c r="AY124" s="1179"/>
      <c r="AZ124" s="1779"/>
      <c r="BA124" s="1179"/>
      <c r="BB124" s="1179"/>
      <c r="BC124" s="2987"/>
      <c r="BD124" s="2767"/>
      <c r="BE124" s="1179"/>
      <c r="BF124" s="2769"/>
      <c r="BG124" s="2769"/>
      <c r="BH124" s="1179"/>
      <c r="BI124" s="1179"/>
      <c r="BJ124" s="1179"/>
      <c r="BK124" s="1179"/>
      <c r="BL124" s="1179"/>
    </row>
    <row r="125" spans="1:64">
      <c r="A125" s="1127"/>
      <c r="B125" s="1127"/>
      <c r="C125" s="1127"/>
      <c r="D125" s="1127"/>
      <c r="E125" s="1127"/>
      <c r="F125" s="1127"/>
      <c r="G125" s="1127"/>
      <c r="H125" s="1127"/>
      <c r="I125" s="1127"/>
      <c r="J125" s="1127"/>
      <c r="K125" s="1127"/>
      <c r="L125" s="1127"/>
      <c r="M125" s="1127"/>
      <c r="N125" s="1127"/>
      <c r="O125" s="1127"/>
      <c r="P125" s="1127"/>
      <c r="Q125" s="1127"/>
      <c r="R125" s="1127"/>
      <c r="S125" s="1127"/>
      <c r="T125" s="1127"/>
      <c r="U125" s="1127"/>
      <c r="V125" s="1127"/>
      <c r="W125" s="1127"/>
      <c r="X125" s="1127"/>
      <c r="Y125" s="1127"/>
      <c r="Z125" s="1127"/>
      <c r="AA125" s="1127"/>
      <c r="AB125" s="1127"/>
      <c r="AC125" s="1127"/>
      <c r="AD125" s="1127"/>
      <c r="AE125" s="1127"/>
      <c r="AF125" s="1127"/>
      <c r="AG125" s="1127"/>
      <c r="AH125" s="1127"/>
      <c r="AI125" s="1127"/>
      <c r="AJ125" s="1127"/>
      <c r="AK125" s="1127"/>
      <c r="AL125" s="1179"/>
      <c r="AM125" s="1179"/>
      <c r="AN125" s="1179"/>
      <c r="AO125" s="1179"/>
      <c r="AP125" s="1179"/>
      <c r="AQ125" s="1179"/>
      <c r="AR125" s="1179"/>
      <c r="AS125" s="1179"/>
      <c r="AT125" s="1179"/>
      <c r="AU125" s="1179"/>
      <c r="AV125" s="1179"/>
      <c r="AW125" s="1179"/>
      <c r="AX125" s="1179"/>
      <c r="AY125" s="1179"/>
      <c r="AZ125" s="1779"/>
      <c r="BA125" s="1179"/>
      <c r="BB125" s="1179"/>
      <c r="BC125" s="2987"/>
      <c r="BD125" s="2767"/>
      <c r="BE125" s="1179"/>
      <c r="BF125" s="2769"/>
      <c r="BG125" s="2769"/>
      <c r="BH125" s="1179"/>
      <c r="BI125" s="1179"/>
      <c r="BJ125" s="1179"/>
      <c r="BK125" s="1179"/>
      <c r="BL125" s="1179"/>
    </row>
    <row r="126" spans="1:64">
      <c r="AL126" s="1179"/>
      <c r="AM126" s="1179"/>
      <c r="AN126" s="1179"/>
      <c r="AO126" s="1179"/>
      <c r="AP126" s="1179"/>
      <c r="AQ126" s="1179"/>
      <c r="AR126" s="1179"/>
      <c r="AS126" s="1179"/>
      <c r="AT126" s="1179"/>
      <c r="AU126" s="1179"/>
      <c r="AV126" s="1179"/>
      <c r="AW126" s="1179"/>
      <c r="AX126" s="1179"/>
      <c r="AY126" s="1179"/>
      <c r="AZ126" s="1779"/>
      <c r="BA126" s="1179"/>
      <c r="BB126" s="1179"/>
      <c r="BC126" s="2987"/>
      <c r="BD126" s="2767"/>
      <c r="BE126" s="1179"/>
      <c r="BF126" s="2769"/>
      <c r="BG126" s="2769"/>
      <c r="BH126" s="1179"/>
      <c r="BI126" s="1179"/>
      <c r="BJ126" s="1179"/>
      <c r="BK126" s="1179"/>
      <c r="BL126" s="1179"/>
    </row>
    <row r="127" spans="1:64" ht="25.5" customHeight="1" thickBot="1">
      <c r="A127"/>
      <c r="B127" s="9"/>
      <c r="C127" s="9"/>
      <c r="D127" s="10"/>
      <c r="E127" s="10"/>
      <c r="F127" s="10"/>
      <c r="G127" s="10"/>
      <c r="H127" s="10"/>
      <c r="I127" s="10"/>
      <c r="AO127" s="1179"/>
      <c r="AP127" s="1179"/>
      <c r="AQ127" s="1179"/>
      <c r="AR127" s="1179"/>
      <c r="AS127" s="1179"/>
      <c r="AT127" s="1179"/>
      <c r="AU127" s="1179"/>
      <c r="AV127" s="1179"/>
      <c r="AW127" s="1179"/>
      <c r="AX127" s="1179"/>
      <c r="AY127" s="1179"/>
      <c r="AZ127" s="1779"/>
      <c r="BA127" s="1179"/>
      <c r="BB127" s="1179"/>
      <c r="BC127" s="2987"/>
      <c r="BD127" s="2767"/>
      <c r="BE127" s="1179"/>
      <c r="BF127" s="2769"/>
      <c r="BG127" s="2769"/>
      <c r="BH127" s="1179"/>
      <c r="BI127" s="1179"/>
      <c r="BJ127" s="1179"/>
      <c r="BK127" s="1179"/>
      <c r="BL127" s="1179"/>
    </row>
    <row r="128" spans="1:64" ht="13.5" thickBot="1">
      <c r="A128"/>
      <c r="B128" s="7537" t="s">
        <v>3884</v>
      </c>
      <c r="C128" s="7538"/>
      <c r="D128" s="7538"/>
      <c r="E128" s="7538"/>
      <c r="F128" s="7538"/>
      <c r="G128" s="7538"/>
      <c r="H128" s="7538"/>
      <c r="I128" s="7538"/>
      <c r="J128" s="7538"/>
      <c r="K128" s="7538"/>
      <c r="L128" s="7539"/>
      <c r="AO128" s="1179"/>
      <c r="AP128" s="1179"/>
      <c r="AQ128" s="1179"/>
      <c r="AR128" s="1179"/>
      <c r="AS128" s="1179"/>
      <c r="AT128" s="1179"/>
      <c r="AU128" s="1179"/>
      <c r="AV128" s="1179"/>
      <c r="AW128" s="1179"/>
      <c r="AX128" s="1179"/>
      <c r="AY128" s="1179"/>
      <c r="AZ128" s="1779"/>
      <c r="BA128" s="1179"/>
      <c r="BB128" s="1179"/>
      <c r="BC128" s="2987"/>
      <c r="BD128" s="2767"/>
      <c r="BE128" s="1179"/>
      <c r="BF128" s="2769"/>
      <c r="BG128" s="2769"/>
      <c r="BH128" s="1179"/>
      <c r="BI128" s="1179"/>
      <c r="BJ128" s="1179"/>
      <c r="BK128" s="1179"/>
      <c r="BL128" s="1179"/>
    </row>
    <row r="129" spans="1:64" ht="27" customHeight="1" thickBot="1">
      <c r="A129"/>
      <c r="B129" s="549"/>
      <c r="C129" s="549"/>
      <c r="D129" s="550"/>
      <c r="E129" s="550"/>
      <c r="F129" s="550"/>
      <c r="G129" s="550"/>
      <c r="H129" s="550"/>
      <c r="I129" s="550"/>
      <c r="AO129" s="1179"/>
      <c r="AP129" s="1179"/>
      <c r="AQ129" s="1179"/>
      <c r="AR129" s="1179"/>
      <c r="AS129" s="1179"/>
      <c r="AT129" s="1179"/>
      <c r="AU129" s="1179"/>
      <c r="AV129" s="1179"/>
      <c r="AW129" s="1179"/>
      <c r="AX129" s="1179"/>
      <c r="AY129" s="1179"/>
      <c r="AZ129" s="1779"/>
      <c r="BA129" s="1179"/>
      <c r="BB129" s="1179"/>
      <c r="BC129" s="2987"/>
      <c r="BD129" s="2767"/>
      <c r="BE129" s="1179"/>
      <c r="BF129" s="2769"/>
      <c r="BG129" s="2769"/>
      <c r="BH129" s="1179"/>
      <c r="BI129" s="1179"/>
      <c r="BJ129" s="1179"/>
      <c r="BK129" s="1179"/>
      <c r="BL129" s="1179"/>
    </row>
    <row r="130" spans="1:64" ht="13.5" thickBot="1">
      <c r="A130"/>
      <c r="B130" s="7534" t="s">
        <v>3883</v>
      </c>
      <c r="C130" s="7535"/>
      <c r="D130" s="7535"/>
      <c r="E130" s="7535"/>
      <c r="F130" s="7535"/>
      <c r="G130" s="7535"/>
      <c r="H130" s="7535"/>
      <c r="I130" s="7535"/>
      <c r="J130" s="7535"/>
      <c r="K130" s="7535"/>
      <c r="L130" s="7536"/>
      <c r="AO130" s="1927"/>
      <c r="AP130" s="1179"/>
      <c r="AQ130" s="1179"/>
      <c r="AR130" s="1179"/>
      <c r="AS130" s="1179"/>
      <c r="AT130" s="1179"/>
      <c r="AU130" s="1179"/>
      <c r="AV130" s="1179"/>
      <c r="AW130" s="1179"/>
      <c r="AX130" s="1179"/>
      <c r="AY130" s="1179"/>
      <c r="AZ130" s="1779"/>
      <c r="BA130" s="1179"/>
      <c r="BB130" s="1179"/>
      <c r="BC130" s="2987"/>
      <c r="BD130" s="2767"/>
      <c r="BE130" s="1179"/>
      <c r="BF130" s="2769"/>
      <c r="BG130" s="2769"/>
      <c r="BH130" s="1179"/>
      <c r="BI130" s="1179"/>
      <c r="BJ130" s="1179"/>
      <c r="BK130" s="1179"/>
      <c r="BL130" s="1179"/>
    </row>
    <row r="131" spans="1:64" ht="21.75" customHeight="1">
      <c r="AO131" s="1179"/>
      <c r="AP131" s="1179"/>
      <c r="AQ131" s="1179"/>
      <c r="AR131" s="1179"/>
      <c r="AS131" s="1179"/>
      <c r="AT131" s="1179"/>
      <c r="AU131" s="1179"/>
      <c r="AV131" s="1179"/>
      <c r="AW131" s="1179"/>
      <c r="AX131" s="1179"/>
      <c r="AY131" s="1179"/>
      <c r="AZ131" s="1779"/>
      <c r="BA131" s="1179"/>
      <c r="BB131" s="1179"/>
      <c r="BC131" s="2987"/>
      <c r="BD131" s="2767"/>
      <c r="BE131" s="1179"/>
      <c r="BF131" s="2769"/>
      <c r="BG131" s="2769"/>
      <c r="BH131" s="1179"/>
      <c r="BI131" s="1179"/>
      <c r="BJ131" s="1179"/>
      <c r="BK131" s="1179"/>
      <c r="BL131" s="1179"/>
    </row>
    <row r="132" spans="1:64" ht="13.5" thickBot="1">
      <c r="BD132" s="5766"/>
      <c r="BF132" s="2674"/>
      <c r="BG132" s="2674"/>
      <c r="BL132" s="1179"/>
    </row>
    <row r="133" spans="1:64">
      <c r="B133" s="6229" t="s">
        <v>3219</v>
      </c>
      <c r="C133" s="6230"/>
      <c r="D133" s="6230"/>
      <c r="E133" s="6231"/>
      <c r="BD133" s="5766"/>
      <c r="BF133" s="2674"/>
      <c r="BG133" s="2674"/>
    </row>
    <row r="134" spans="1:64">
      <c r="B134" s="6232"/>
      <c r="C134" s="9456"/>
      <c r="D134" s="9456"/>
      <c r="E134" s="6234"/>
      <c r="BD134" s="5766"/>
      <c r="BF134" s="2674"/>
      <c r="BG134" s="2674"/>
    </row>
    <row r="135" spans="1:64" ht="13.5" thickBot="1">
      <c r="B135" s="6235"/>
      <c r="C135" s="6236"/>
      <c r="D135" s="6236"/>
      <c r="E135" s="6237"/>
      <c r="BD135" s="5766"/>
      <c r="BF135" s="2674"/>
      <c r="BG135" s="2674"/>
    </row>
    <row r="136" spans="1:64" ht="13.5" customHeight="1">
      <c r="BD136" s="5766"/>
      <c r="BF136" s="2674"/>
      <c r="BG136" s="2674"/>
    </row>
    <row r="137" spans="1:64">
      <c r="BD137" s="5766"/>
      <c r="BF137" s="2674"/>
      <c r="BG137" s="2674"/>
    </row>
    <row r="138" spans="1:64">
      <c r="BD138" s="5766"/>
      <c r="BF138" s="2674"/>
      <c r="BG138" s="2674"/>
    </row>
    <row r="139" spans="1:64">
      <c r="BD139" s="5766"/>
      <c r="BF139" s="2674"/>
      <c r="BG139" s="2674"/>
    </row>
    <row r="140" spans="1:64">
      <c r="BD140" s="5766"/>
      <c r="BF140" s="2674"/>
      <c r="BG140" s="2674"/>
    </row>
    <row r="141" spans="1:64">
      <c r="BD141" s="5766"/>
      <c r="BF141" s="2674"/>
      <c r="BG141" s="2674"/>
    </row>
    <row r="142" spans="1:64">
      <c r="BD142" s="5766"/>
      <c r="BF142" s="2674"/>
      <c r="BG142" s="2674"/>
    </row>
    <row r="143" spans="1:64">
      <c r="BD143" s="5766"/>
      <c r="BF143" s="2674"/>
      <c r="BG143" s="2674"/>
    </row>
    <row r="144" spans="1:64">
      <c r="BD144" s="5766"/>
      <c r="BF144" s="2674"/>
      <c r="BG144" s="2674"/>
    </row>
    <row r="145" spans="56:59">
      <c r="BD145" s="5766"/>
      <c r="BF145" s="2674"/>
      <c r="BG145" s="2674"/>
    </row>
    <row r="146" spans="56:59">
      <c r="BD146" s="5766"/>
      <c r="BF146" s="2674"/>
      <c r="BG146" s="2674"/>
    </row>
    <row r="147" spans="56:59">
      <c r="BD147" s="5766"/>
      <c r="BF147" s="2674"/>
      <c r="BG147" s="2674"/>
    </row>
    <row r="148" spans="56:59">
      <c r="BD148" s="5766"/>
      <c r="BF148" s="2674"/>
      <c r="BG148" s="2674"/>
    </row>
    <row r="149" spans="56:59">
      <c r="BD149" s="5766"/>
      <c r="BF149" s="2674"/>
      <c r="BG149" s="2674"/>
    </row>
    <row r="150" spans="56:59">
      <c r="BD150" s="5766"/>
      <c r="BF150" s="2674"/>
      <c r="BG150" s="2674"/>
    </row>
    <row r="151" spans="56:59">
      <c r="BD151" s="5766"/>
      <c r="BF151" s="2674"/>
      <c r="BG151" s="2674"/>
    </row>
    <row r="152" spans="56:59">
      <c r="BD152" s="5766"/>
      <c r="BF152" s="2674"/>
      <c r="BG152" s="2674"/>
    </row>
    <row r="153" spans="56:59">
      <c r="BD153" s="5766"/>
      <c r="BF153" s="2674"/>
      <c r="BG153" s="2674"/>
    </row>
    <row r="154" spans="56:59">
      <c r="BD154" s="5766"/>
      <c r="BF154" s="2674"/>
      <c r="BG154" s="2674"/>
    </row>
    <row r="155" spans="56:59">
      <c r="BD155" s="5766"/>
      <c r="BF155" s="2674"/>
      <c r="BG155" s="2674"/>
    </row>
    <row r="156" spans="56:59">
      <c r="BD156" s="5766"/>
      <c r="BF156" s="2674"/>
      <c r="BG156" s="2674"/>
    </row>
    <row r="157" spans="56:59">
      <c r="BD157" s="5766"/>
      <c r="BF157" s="2674"/>
      <c r="BG157" s="2674"/>
    </row>
    <row r="158" spans="56:59">
      <c r="BD158" s="5766"/>
      <c r="BF158" s="2674"/>
      <c r="BG158" s="2674"/>
    </row>
    <row r="159" spans="56:59">
      <c r="BD159" s="5766"/>
      <c r="BF159" s="2674"/>
      <c r="BG159" s="2674"/>
    </row>
    <row r="160" spans="56:59">
      <c r="BD160" s="5766"/>
      <c r="BF160" s="2674"/>
      <c r="BG160" s="2674"/>
    </row>
    <row r="161" spans="56:59">
      <c r="BD161" s="5766"/>
      <c r="BF161" s="2674"/>
      <c r="BG161" s="2674"/>
    </row>
    <row r="162" spans="56:59">
      <c r="BD162" s="5766"/>
      <c r="BF162" s="2674"/>
      <c r="BG162" s="2674"/>
    </row>
    <row r="163" spans="56:59">
      <c r="BD163" s="5766"/>
      <c r="BF163" s="2674"/>
      <c r="BG163" s="2674"/>
    </row>
    <row r="164" spans="56:59">
      <c r="BD164" s="5766"/>
      <c r="BF164" s="2674"/>
      <c r="BG164" s="2674"/>
    </row>
    <row r="165" spans="56:59">
      <c r="BD165" s="5766"/>
      <c r="BF165" s="2674"/>
      <c r="BG165" s="2674"/>
    </row>
    <row r="166" spans="56:59">
      <c r="BD166" s="5766"/>
      <c r="BF166" s="2674"/>
      <c r="BG166" s="2674"/>
    </row>
    <row r="167" spans="56:59">
      <c r="BD167" s="5766"/>
      <c r="BF167" s="2674"/>
      <c r="BG167" s="2674"/>
    </row>
    <row r="168" spans="56:59">
      <c r="BD168" s="5766"/>
      <c r="BF168" s="2674"/>
      <c r="BG168" s="2674"/>
    </row>
    <row r="169" spans="56:59">
      <c r="BD169" s="5766"/>
      <c r="BF169" s="2674"/>
      <c r="BG169" s="2674"/>
    </row>
    <row r="170" spans="56:59">
      <c r="BD170" s="5766"/>
      <c r="BF170" s="2674"/>
      <c r="BG170" s="2674"/>
    </row>
    <row r="171" spans="56:59">
      <c r="BD171" s="5766"/>
      <c r="BF171" s="2674"/>
      <c r="BG171" s="2674"/>
    </row>
    <row r="172" spans="56:59">
      <c r="BD172" s="5766"/>
      <c r="BF172" s="2674"/>
      <c r="BG172" s="2674"/>
    </row>
    <row r="173" spans="56:59">
      <c r="BD173" s="5766"/>
      <c r="BF173" s="2674"/>
      <c r="BG173" s="2674"/>
    </row>
    <row r="174" spans="56:59">
      <c r="BD174" s="5766"/>
      <c r="BF174" s="2674"/>
      <c r="BG174" s="2674"/>
    </row>
    <row r="175" spans="56:59">
      <c r="BD175" s="5766"/>
      <c r="BF175" s="2674"/>
      <c r="BG175" s="2674"/>
    </row>
    <row r="176" spans="56:59">
      <c r="BD176" s="5766"/>
      <c r="BF176" s="2674"/>
      <c r="BG176" s="2674"/>
    </row>
    <row r="177" spans="56:59">
      <c r="BD177" s="5766"/>
      <c r="BF177" s="2674"/>
      <c r="BG177" s="2674"/>
    </row>
    <row r="178" spans="56:59">
      <c r="BD178" s="5766"/>
      <c r="BF178" s="2674"/>
      <c r="BG178" s="2674"/>
    </row>
    <row r="179" spans="56:59">
      <c r="BD179" s="5766"/>
      <c r="BF179" s="2674"/>
      <c r="BG179" s="2674"/>
    </row>
    <row r="180" spans="56:59">
      <c r="BD180" s="5766"/>
      <c r="BF180" s="2674"/>
      <c r="BG180" s="2674"/>
    </row>
    <row r="181" spans="56:59">
      <c r="BD181" s="5766"/>
      <c r="BF181" s="2674"/>
      <c r="BG181" s="2674"/>
    </row>
    <row r="182" spans="56:59">
      <c r="BD182" s="5766"/>
      <c r="BF182" s="2674"/>
      <c r="BG182" s="2674"/>
    </row>
    <row r="183" spans="56:59">
      <c r="BD183" s="5766"/>
      <c r="BF183" s="2674"/>
      <c r="BG183" s="2674"/>
    </row>
    <row r="184" spans="56:59">
      <c r="BD184" s="5766"/>
      <c r="BF184" s="2674"/>
      <c r="BG184" s="2674"/>
    </row>
    <row r="185" spans="56:59">
      <c r="BD185" s="5766"/>
      <c r="BF185" s="2674"/>
      <c r="BG185" s="2674"/>
    </row>
    <row r="186" spans="56:59">
      <c r="BD186" s="5766"/>
      <c r="BF186" s="2674"/>
      <c r="BG186" s="2674"/>
    </row>
    <row r="187" spans="56:59">
      <c r="BD187" s="5766"/>
      <c r="BF187" s="2674"/>
      <c r="BG187" s="2674"/>
    </row>
    <row r="188" spans="56:59">
      <c r="BD188" s="5766"/>
      <c r="BF188" s="2674"/>
      <c r="BG188" s="2674"/>
    </row>
    <row r="189" spans="56:59">
      <c r="BD189" s="5766"/>
      <c r="BF189" s="2674"/>
      <c r="BG189" s="2674"/>
    </row>
    <row r="190" spans="56:59">
      <c r="BD190" s="5766"/>
      <c r="BF190" s="2674"/>
      <c r="BG190" s="2674"/>
    </row>
    <row r="191" spans="56:59">
      <c r="BD191" s="5766"/>
      <c r="BF191" s="2674"/>
      <c r="BG191" s="2674"/>
    </row>
    <row r="192" spans="56:59">
      <c r="BD192" s="5766"/>
      <c r="BF192" s="2674"/>
      <c r="BG192" s="2674"/>
    </row>
    <row r="193" spans="56:59">
      <c r="BD193" s="5766"/>
      <c r="BF193" s="2674"/>
      <c r="BG193" s="2674"/>
    </row>
    <row r="194" spans="56:59">
      <c r="BD194" s="5766"/>
      <c r="BF194" s="2674"/>
      <c r="BG194" s="2674"/>
    </row>
    <row r="195" spans="56:59">
      <c r="BD195" s="5766"/>
      <c r="BF195" s="2674"/>
      <c r="BG195" s="2674"/>
    </row>
    <row r="196" spans="56:59">
      <c r="BD196" s="5766"/>
      <c r="BF196" s="2674"/>
      <c r="BG196" s="2674"/>
    </row>
    <row r="197" spans="56:59">
      <c r="BD197" s="5766"/>
      <c r="BF197" s="2674"/>
      <c r="BG197" s="2674"/>
    </row>
    <row r="198" spans="56:59">
      <c r="BD198" s="5766"/>
      <c r="BF198" s="2674"/>
      <c r="BG198" s="2674"/>
    </row>
    <row r="199" spans="56:59">
      <c r="BD199" s="5766"/>
      <c r="BF199" s="2674"/>
      <c r="BG199" s="2674"/>
    </row>
    <row r="200" spans="56:59">
      <c r="BD200" s="5766"/>
      <c r="BF200" s="2674"/>
      <c r="BG200" s="2674"/>
    </row>
    <row r="201" spans="56:59">
      <c r="BD201" s="5766"/>
      <c r="BF201" s="2674"/>
      <c r="BG201" s="2674"/>
    </row>
    <row r="202" spans="56:59">
      <c r="BD202" s="5766"/>
      <c r="BF202" s="2674"/>
      <c r="BG202" s="2674"/>
    </row>
    <row r="203" spans="56:59">
      <c r="BD203" s="5766"/>
      <c r="BF203" s="2674"/>
      <c r="BG203" s="2674"/>
    </row>
    <row r="204" spans="56:59">
      <c r="BD204" s="5766"/>
      <c r="BF204" s="2674"/>
      <c r="BG204" s="2674"/>
    </row>
    <row r="205" spans="56:59">
      <c r="BD205" s="5766"/>
      <c r="BF205" s="2674"/>
      <c r="BG205" s="2674"/>
    </row>
    <row r="206" spans="56:59">
      <c r="BD206" s="5766"/>
      <c r="BF206" s="2674"/>
      <c r="BG206" s="2674"/>
    </row>
    <row r="207" spans="56:59">
      <c r="BD207" s="5766"/>
      <c r="BF207" s="2674"/>
      <c r="BG207" s="2674"/>
    </row>
    <row r="208" spans="56:59">
      <c r="BD208" s="5766"/>
      <c r="BF208" s="2674"/>
      <c r="BG208" s="2674"/>
    </row>
    <row r="209" spans="56:59">
      <c r="BD209" s="5766"/>
      <c r="BF209" s="2674"/>
      <c r="BG209" s="2674"/>
    </row>
    <row r="210" spans="56:59">
      <c r="BD210" s="5766"/>
      <c r="BF210" s="2674"/>
      <c r="BG210" s="2674"/>
    </row>
    <row r="211" spans="56:59">
      <c r="BD211" s="5766"/>
      <c r="BF211" s="2674"/>
      <c r="BG211" s="2674"/>
    </row>
    <row r="212" spans="56:59">
      <c r="BD212" s="5766"/>
      <c r="BF212" s="2674"/>
      <c r="BG212" s="2674"/>
    </row>
    <row r="213" spans="56:59">
      <c r="BD213" s="5766"/>
      <c r="BF213" s="2674"/>
      <c r="BG213" s="2674"/>
    </row>
    <row r="214" spans="56:59">
      <c r="BD214" s="5766"/>
      <c r="BF214" s="2674"/>
      <c r="BG214" s="2674"/>
    </row>
    <row r="215" spans="56:59">
      <c r="BD215" s="5766"/>
      <c r="BF215" s="2674"/>
      <c r="BG215" s="2674"/>
    </row>
    <row r="216" spans="56:59">
      <c r="BD216" s="5766"/>
      <c r="BF216" s="2674"/>
      <c r="BG216" s="2674"/>
    </row>
    <row r="217" spans="56:59">
      <c r="BD217" s="5766"/>
      <c r="BF217" s="2674"/>
      <c r="BG217" s="2674"/>
    </row>
    <row r="218" spans="56:59">
      <c r="BD218" s="5766"/>
      <c r="BF218" s="2674"/>
      <c r="BG218" s="2674"/>
    </row>
    <row r="219" spans="56:59">
      <c r="BD219" s="5766"/>
      <c r="BF219" s="2674"/>
      <c r="BG219" s="2674"/>
    </row>
    <row r="220" spans="56:59">
      <c r="BD220" s="5766"/>
      <c r="BF220" s="2674"/>
      <c r="BG220" s="2674"/>
    </row>
    <row r="221" spans="56:59">
      <c r="BD221" s="5766"/>
      <c r="BF221" s="2674"/>
      <c r="BG221" s="2674"/>
    </row>
    <row r="222" spans="56:59">
      <c r="BD222" s="5766"/>
      <c r="BF222" s="2674"/>
      <c r="BG222" s="2674"/>
    </row>
    <row r="223" spans="56:59">
      <c r="BD223" s="5766"/>
      <c r="BF223" s="2674"/>
      <c r="BG223" s="2674"/>
    </row>
    <row r="224" spans="56:59">
      <c r="BD224" s="5766"/>
      <c r="BF224" s="2674"/>
      <c r="BG224" s="2674"/>
    </row>
    <row r="225" spans="56:59">
      <c r="BD225" s="5766"/>
      <c r="BF225" s="2674"/>
      <c r="BG225" s="2674"/>
    </row>
    <row r="226" spans="56:59">
      <c r="BD226" s="5766"/>
      <c r="BF226" s="2674"/>
      <c r="BG226" s="2674"/>
    </row>
    <row r="227" spans="56:59">
      <c r="BD227" s="5766"/>
      <c r="BF227" s="2674"/>
      <c r="BG227" s="2674"/>
    </row>
    <row r="228" spans="56:59">
      <c r="BD228" s="5766"/>
      <c r="BF228" s="2674"/>
      <c r="BG228" s="2674"/>
    </row>
    <row r="229" spans="56:59">
      <c r="BD229" s="5766"/>
    </row>
    <row r="230" spans="56:59">
      <c r="BD230" s="5766"/>
    </row>
    <row r="231" spans="56:59">
      <c r="BD231" s="5766"/>
    </row>
    <row r="232" spans="56:59">
      <c r="BD232" s="5766"/>
    </row>
    <row r="233" spans="56:59">
      <c r="BD233" s="5766"/>
    </row>
    <row r="234" spans="56:59">
      <c r="BD234" s="5766"/>
    </row>
    <row r="235" spans="56:59">
      <c r="BD235" s="5766"/>
    </row>
    <row r="236" spans="56:59">
      <c r="BD236" s="5766"/>
    </row>
    <row r="237" spans="56:59">
      <c r="BD237" s="5766"/>
    </row>
    <row r="238" spans="56:59">
      <c r="BD238" s="5766"/>
    </row>
    <row r="239" spans="56:59">
      <c r="BD239" s="5766"/>
    </row>
    <row r="240" spans="56:59">
      <c r="BD240" s="5766"/>
    </row>
    <row r="241" spans="56:56">
      <c r="BD241" s="5766"/>
    </row>
    <row r="242" spans="56:56">
      <c r="BD242" s="5766"/>
    </row>
    <row r="243" spans="56:56">
      <c r="BD243" s="5766"/>
    </row>
    <row r="244" spans="56:56">
      <c r="BD244" s="5766"/>
    </row>
    <row r="245" spans="56:56">
      <c r="BD245" s="5766"/>
    </row>
    <row r="246" spans="56:56">
      <c r="BD246" s="5766"/>
    </row>
    <row r="247" spans="56:56">
      <c r="BD247" s="5766"/>
    </row>
    <row r="248" spans="56:56">
      <c r="BD248" s="5766"/>
    </row>
    <row r="249" spans="56:56">
      <c r="BD249" s="5766"/>
    </row>
    <row r="250" spans="56:56">
      <c r="BD250" s="5766"/>
    </row>
    <row r="251" spans="56:56">
      <c r="BD251" s="5766"/>
    </row>
    <row r="252" spans="56:56">
      <c r="BD252" s="5766"/>
    </row>
    <row r="253" spans="56:56">
      <c r="BD253" s="5766"/>
    </row>
    <row r="254" spans="56:56">
      <c r="BD254" s="5766"/>
    </row>
    <row r="255" spans="56:56">
      <c r="BD255" s="5766"/>
    </row>
    <row r="256" spans="56:56">
      <c r="BD256" s="5766"/>
    </row>
    <row r="257" spans="56:56">
      <c r="BD257" s="5766"/>
    </row>
    <row r="258" spans="56:56">
      <c r="BD258" s="5766"/>
    </row>
    <row r="259" spans="56:56">
      <c r="BD259" s="5766"/>
    </row>
    <row r="260" spans="56:56">
      <c r="BD260" s="5766"/>
    </row>
    <row r="261" spans="56:56">
      <c r="BD261" s="5766"/>
    </row>
    <row r="262" spans="56:56">
      <c r="BD262" s="5766"/>
    </row>
    <row r="263" spans="56:56">
      <c r="BD263" s="5766"/>
    </row>
    <row r="264" spans="56:56">
      <c r="BD264" s="5766"/>
    </row>
    <row r="265" spans="56:56">
      <c r="BD265" s="5766"/>
    </row>
    <row r="266" spans="56:56">
      <c r="BD266" s="5766"/>
    </row>
    <row r="267" spans="56:56">
      <c r="BD267" s="5766"/>
    </row>
    <row r="268" spans="56:56">
      <c r="BD268" s="5766"/>
    </row>
    <row r="269" spans="56:56">
      <c r="BD269" s="5766"/>
    </row>
    <row r="270" spans="56:56">
      <c r="BD270" s="5766"/>
    </row>
    <row r="271" spans="56:56">
      <c r="BD271" s="5766"/>
    </row>
    <row r="272" spans="56:56">
      <c r="BD272" s="5766"/>
    </row>
    <row r="273" spans="56:56">
      <c r="BD273" s="5766"/>
    </row>
    <row r="274" spans="56:56">
      <c r="BD274" s="5766"/>
    </row>
    <row r="275" spans="56:56">
      <c r="BD275" s="5766"/>
    </row>
    <row r="276" spans="56:56">
      <c r="BD276" s="5766"/>
    </row>
    <row r="277" spans="56:56">
      <c r="BD277" s="5766"/>
    </row>
    <row r="278" spans="56:56">
      <c r="BD278" s="5766"/>
    </row>
    <row r="279" spans="56:56">
      <c r="BD279" s="5766"/>
    </row>
    <row r="280" spans="56:56">
      <c r="BD280" s="5766"/>
    </row>
    <row r="281" spans="56:56">
      <c r="BD281" s="5766"/>
    </row>
    <row r="282" spans="56:56">
      <c r="BD282" s="5766"/>
    </row>
    <row r="283" spans="56:56">
      <c r="BD283" s="5766"/>
    </row>
    <row r="284" spans="56:56">
      <c r="BD284" s="5766"/>
    </row>
    <row r="285" spans="56:56">
      <c r="BD285" s="5766"/>
    </row>
    <row r="286" spans="56:56">
      <c r="BD286" s="5766"/>
    </row>
    <row r="287" spans="56:56">
      <c r="BD287" s="5766"/>
    </row>
    <row r="288" spans="56:56">
      <c r="BD288" s="5766"/>
    </row>
    <row r="289" spans="56:56">
      <c r="BD289" s="5766"/>
    </row>
    <row r="290" spans="56:56">
      <c r="BD290" s="5766"/>
    </row>
    <row r="291" spans="56:56">
      <c r="BD291" s="5766"/>
    </row>
    <row r="292" spans="56:56">
      <c r="BD292" s="5766"/>
    </row>
    <row r="293" spans="56:56">
      <c r="BD293" s="5766"/>
    </row>
    <row r="294" spans="56:56">
      <c r="BD294" s="5766"/>
    </row>
    <row r="295" spans="56:56">
      <c r="BD295" s="5766"/>
    </row>
    <row r="296" spans="56:56">
      <c r="BD296" s="5766"/>
    </row>
    <row r="297" spans="56:56">
      <c r="BD297" s="5766"/>
    </row>
    <row r="298" spans="56:56">
      <c r="BD298" s="5766"/>
    </row>
    <row r="299" spans="56:56">
      <c r="BD299" s="5766"/>
    </row>
    <row r="300" spans="56:56">
      <c r="BD300" s="5766"/>
    </row>
    <row r="301" spans="56:56">
      <c r="BD301" s="5766"/>
    </row>
    <row r="302" spans="56:56">
      <c r="BD302" s="5766"/>
    </row>
    <row r="303" spans="56:56">
      <c r="BD303" s="5766"/>
    </row>
    <row r="304" spans="56:56">
      <c r="BD304" s="5766"/>
    </row>
    <row r="305" spans="56:56">
      <c r="BD305" s="5766"/>
    </row>
    <row r="306" spans="56:56">
      <c r="BD306" s="5766"/>
    </row>
    <row r="307" spans="56:56">
      <c r="BD307" s="5766"/>
    </row>
    <row r="308" spans="56:56">
      <c r="BD308" s="5766"/>
    </row>
    <row r="309" spans="56:56">
      <c r="BD309" s="5766"/>
    </row>
    <row r="310" spans="56:56">
      <c r="BD310" s="5766"/>
    </row>
    <row r="311" spans="56:56">
      <c r="BD311" s="5766"/>
    </row>
    <row r="312" spans="56:56">
      <c r="BD312" s="5766"/>
    </row>
    <row r="313" spans="56:56">
      <c r="BD313" s="5766"/>
    </row>
    <row r="314" spans="56:56">
      <c r="BD314" s="5766"/>
    </row>
    <row r="315" spans="56:56">
      <c r="BD315" s="5766"/>
    </row>
    <row r="316" spans="56:56">
      <c r="BD316" s="5766"/>
    </row>
    <row r="317" spans="56:56">
      <c r="BD317" s="5766"/>
    </row>
    <row r="318" spans="56:56">
      <c r="BD318" s="5766"/>
    </row>
    <row r="319" spans="56:56">
      <c r="BD319" s="5766"/>
    </row>
    <row r="320" spans="56:56">
      <c r="BD320" s="5766"/>
    </row>
    <row r="321" spans="56:56">
      <c r="BD321" s="5766"/>
    </row>
    <row r="322" spans="56:56">
      <c r="BD322" s="5766"/>
    </row>
    <row r="323" spans="56:56">
      <c r="BD323" s="5766"/>
    </row>
    <row r="324" spans="56:56">
      <c r="BD324" s="5766"/>
    </row>
    <row r="325" spans="56:56">
      <c r="BD325" s="5766"/>
    </row>
    <row r="326" spans="56:56">
      <c r="BD326" s="5766"/>
    </row>
  </sheetData>
  <sheetProtection password="F07E" sheet="1" objects="1" scenarios="1"/>
  <mergeCells count="216">
    <mergeCell ref="AB89:AJ92"/>
    <mergeCell ref="J93:R93"/>
    <mergeCell ref="S93:AA93"/>
    <mergeCell ref="AB93:AJ93"/>
    <mergeCell ref="D81:I85"/>
    <mergeCell ref="J81:R84"/>
    <mergeCell ref="S81:AA84"/>
    <mergeCell ref="AB81:AJ84"/>
    <mergeCell ref="J85:R85"/>
    <mergeCell ref="S85:AA85"/>
    <mergeCell ref="AB85:AJ85"/>
    <mergeCell ref="AD88:AJ88"/>
    <mergeCell ref="AE122:AJ122"/>
    <mergeCell ref="D96:M96"/>
    <mergeCell ref="N96:V96"/>
    <mergeCell ref="W96:AC96"/>
    <mergeCell ref="AD96:AJ96"/>
    <mergeCell ref="D97:I101"/>
    <mergeCell ref="J97:R100"/>
    <mergeCell ref="S97:AA100"/>
    <mergeCell ref="AB97:AJ100"/>
    <mergeCell ref="J101:R101"/>
    <mergeCell ref="S101:AA101"/>
    <mergeCell ref="AB101:AJ101"/>
    <mergeCell ref="AD123:AJ123"/>
    <mergeCell ref="I121:O121"/>
    <mergeCell ref="P121:V121"/>
    <mergeCell ref="W121:AC121"/>
    <mergeCell ref="AD121:AJ121"/>
    <mergeCell ref="D104:M104"/>
    <mergeCell ref="N104:V104"/>
    <mergeCell ref="W104:AC104"/>
    <mergeCell ref="AD104:AJ104"/>
    <mergeCell ref="D105:I109"/>
    <mergeCell ref="J105:R108"/>
    <mergeCell ref="S105:AA108"/>
    <mergeCell ref="AB105:AJ108"/>
    <mergeCell ref="J109:R109"/>
    <mergeCell ref="S109:AA109"/>
    <mergeCell ref="AB109:AJ109"/>
    <mergeCell ref="J120:O120"/>
    <mergeCell ref="Q120:V120"/>
    <mergeCell ref="X120:AC120"/>
    <mergeCell ref="AE120:AJ120"/>
    <mergeCell ref="J122:O122"/>
    <mergeCell ref="Q122:V122"/>
    <mergeCell ref="X122:AC122"/>
    <mergeCell ref="P123:V123"/>
    <mergeCell ref="W80:AC80"/>
    <mergeCell ref="AD80:AJ80"/>
    <mergeCell ref="AE71:AJ71"/>
    <mergeCell ref="AE73:AJ73"/>
    <mergeCell ref="D4:G5"/>
    <mergeCell ref="V61:Z61"/>
    <mergeCell ref="AA61:AE61"/>
    <mergeCell ref="AF61:AJ61"/>
    <mergeCell ref="D60:F60"/>
    <mergeCell ref="G60:K60"/>
    <mergeCell ref="L60:P60"/>
    <mergeCell ref="Q60:U60"/>
    <mergeCell ref="V60:Z60"/>
    <mergeCell ref="AA58:AE58"/>
    <mergeCell ref="AF58:AJ58"/>
    <mergeCell ref="D59:F59"/>
    <mergeCell ref="G59:K59"/>
    <mergeCell ref="L59:P59"/>
    <mergeCell ref="Q59:U59"/>
    <mergeCell ref="V59:Z59"/>
    <mergeCell ref="AD8:AG8"/>
    <mergeCell ref="AD7:AG7"/>
    <mergeCell ref="AE68:AJ68"/>
    <mergeCell ref="AE64:AJ64"/>
    <mergeCell ref="AA62:AE62"/>
    <mergeCell ref="AF62:AJ62"/>
    <mergeCell ref="D63:F63"/>
    <mergeCell ref="G63:K63"/>
    <mergeCell ref="L63:P63"/>
    <mergeCell ref="Q63:U63"/>
    <mergeCell ref="V63:Z63"/>
    <mergeCell ref="AA63:AE63"/>
    <mergeCell ref="AF63:AJ63"/>
    <mergeCell ref="D62:F62"/>
    <mergeCell ref="G62:K62"/>
    <mergeCell ref="V62:Z62"/>
    <mergeCell ref="AF60:AJ60"/>
    <mergeCell ref="D61:F61"/>
    <mergeCell ref="G61:K61"/>
    <mergeCell ref="L61:P61"/>
    <mergeCell ref="Q61:U61"/>
    <mergeCell ref="AA59:AE59"/>
    <mergeCell ref="AF59:AJ59"/>
    <mergeCell ref="D58:F58"/>
    <mergeCell ref="G58:K58"/>
    <mergeCell ref="L58:P58"/>
    <mergeCell ref="Q58:U58"/>
    <mergeCell ref="V58:Z58"/>
    <mergeCell ref="B5:C5"/>
    <mergeCell ref="AE28:AJ28"/>
    <mergeCell ref="AA48:AE51"/>
    <mergeCell ref="AL31:AN32"/>
    <mergeCell ref="AE34:AJ34"/>
    <mergeCell ref="AA57:AE57"/>
    <mergeCell ref="AF57:AJ57"/>
    <mergeCell ref="Q54:U54"/>
    <mergeCell ref="D54:F54"/>
    <mergeCell ref="V55:Z55"/>
    <mergeCell ref="V56:Z56"/>
    <mergeCell ref="AA56:AE56"/>
    <mergeCell ref="AF56:AJ56"/>
    <mergeCell ref="AA55:AE55"/>
    <mergeCell ref="AF55:AJ55"/>
    <mergeCell ref="D56:F56"/>
    <mergeCell ref="G56:K56"/>
    <mergeCell ref="L56:P56"/>
    <mergeCell ref="G55:K55"/>
    <mergeCell ref="L55:P55"/>
    <mergeCell ref="Q55:U55"/>
    <mergeCell ref="AA54:AE54"/>
    <mergeCell ref="L57:P57"/>
    <mergeCell ref="Q57:U57"/>
    <mergeCell ref="AC4:AJ4"/>
    <mergeCell ref="BA48:BK51"/>
    <mergeCell ref="BA20:BK23"/>
    <mergeCell ref="AH7:AI8"/>
    <mergeCell ref="AE30:AI30"/>
    <mergeCell ref="AF47:AJ47"/>
    <mergeCell ref="AO48:AY51"/>
    <mergeCell ref="X23:AC23"/>
    <mergeCell ref="AS2:AX11"/>
    <mergeCell ref="I8:AB8"/>
    <mergeCell ref="I7:AB7"/>
    <mergeCell ref="AE31:AJ31"/>
    <mergeCell ref="AE20:AJ20"/>
    <mergeCell ref="AE25:AJ25"/>
    <mergeCell ref="M33:R33"/>
    <mergeCell ref="AA43:AE46"/>
    <mergeCell ref="AF43:AJ46"/>
    <mergeCell ref="Y10:AJ11"/>
    <mergeCell ref="X22:AC22"/>
    <mergeCell ref="B10:X11"/>
    <mergeCell ref="L43:P46"/>
    <mergeCell ref="I5:AB5"/>
    <mergeCell ref="AF48:AJ51"/>
    <mergeCell ref="B48:F51"/>
    <mergeCell ref="BA54:BB55"/>
    <mergeCell ref="AP73:AS73"/>
    <mergeCell ref="D122:H123"/>
    <mergeCell ref="D120:H121"/>
    <mergeCell ref="AM5:AR11"/>
    <mergeCell ref="AC5:AJ6"/>
    <mergeCell ref="Q56:U56"/>
    <mergeCell ref="AF52:AJ52"/>
    <mergeCell ref="D53:F53"/>
    <mergeCell ref="G53:K53"/>
    <mergeCell ref="L53:P53"/>
    <mergeCell ref="Q53:U53"/>
    <mergeCell ref="V53:Z53"/>
    <mergeCell ref="AA53:AE53"/>
    <mergeCell ref="AF53:AJ53"/>
    <mergeCell ref="D55:F55"/>
    <mergeCell ref="G48:K51"/>
    <mergeCell ref="AO20:AX23"/>
    <mergeCell ref="AE70:AJ70"/>
    <mergeCell ref="AE67:AJ67"/>
    <mergeCell ref="AF54:AJ54"/>
    <mergeCell ref="W88:AC88"/>
    <mergeCell ref="G52:K52"/>
    <mergeCell ref="L52:P52"/>
    <mergeCell ref="B35:C35"/>
    <mergeCell ref="B18:C18"/>
    <mergeCell ref="B76:C76"/>
    <mergeCell ref="B117:C117"/>
    <mergeCell ref="G57:K57"/>
    <mergeCell ref="S67:U67"/>
    <mergeCell ref="J89:R92"/>
    <mergeCell ref="S89:AA92"/>
    <mergeCell ref="I123:O123"/>
    <mergeCell ref="G47:K47"/>
    <mergeCell ref="L47:P47"/>
    <mergeCell ref="Q47:U47"/>
    <mergeCell ref="V47:Z47"/>
    <mergeCell ref="AA47:AE47"/>
    <mergeCell ref="G43:K46"/>
    <mergeCell ref="Q43:U46"/>
    <mergeCell ref="V43:Z46"/>
    <mergeCell ref="M34:R34"/>
    <mergeCell ref="C47:F47"/>
    <mergeCell ref="B69:C69"/>
    <mergeCell ref="Q52:U52"/>
    <mergeCell ref="V52:Z52"/>
    <mergeCell ref="AA52:AE52"/>
    <mergeCell ref="Q48:U51"/>
    <mergeCell ref="B133:E135"/>
    <mergeCell ref="B130:L130"/>
    <mergeCell ref="B128:L128"/>
    <mergeCell ref="B120:B121"/>
    <mergeCell ref="B122:B123"/>
    <mergeCell ref="B43:F46"/>
    <mergeCell ref="D52:F52"/>
    <mergeCell ref="D57:F57"/>
    <mergeCell ref="L62:P62"/>
    <mergeCell ref="G54:K54"/>
    <mergeCell ref="L54:P54"/>
    <mergeCell ref="D88:M88"/>
    <mergeCell ref="N88:V88"/>
    <mergeCell ref="Q62:U62"/>
    <mergeCell ref="D80:M80"/>
    <mergeCell ref="N80:V80"/>
    <mergeCell ref="D89:I93"/>
    <mergeCell ref="V54:Z54"/>
    <mergeCell ref="V57:Z57"/>
    <mergeCell ref="W123:AC123"/>
    <mergeCell ref="V48:Z51"/>
    <mergeCell ref="L48:P51"/>
    <mergeCell ref="AA60:AE60"/>
    <mergeCell ref="AE65:AJ65"/>
  </mergeCells>
  <phoneticPr fontId="10" type="noConversion"/>
  <conditionalFormatting sqref="B2">
    <cfRule type="expression" dxfId="113" priority="58">
      <formula>IF(NoColor,1,0)</formula>
    </cfRule>
  </conditionalFormatting>
  <conditionalFormatting sqref="B10:K10">
    <cfRule type="expression" dxfId="112" priority="237">
      <formula>IF(NoColor,1,0)</formula>
    </cfRule>
  </conditionalFormatting>
  <conditionalFormatting sqref="B15:AH15 B16 D16:AH16">
    <cfRule type="expression" dxfId="111" priority="9">
      <formula>AND(File_Marr_Sep&lt;&gt;"",$AI$16="")</formula>
    </cfRule>
  </conditionalFormatting>
  <conditionalFormatting sqref="C16">
    <cfRule type="expression" dxfId="110" priority="6">
      <formula>IF(AND(File_Marr_Sep&lt;&gt;"",$AI$16=""),1,0)</formula>
    </cfRule>
  </conditionalFormatting>
  <conditionalFormatting sqref="C111">
    <cfRule type="expression" dxfId="109" priority="166">
      <formula>IF(NoColor,1,0)</formula>
    </cfRule>
  </conditionalFormatting>
  <conditionalFormatting sqref="C115">
    <cfRule type="expression" dxfId="108" priority="165">
      <formula>IF(NoColor,1,0)</formula>
    </cfRule>
  </conditionalFormatting>
  <conditionalFormatting sqref="D37">
    <cfRule type="expression" dxfId="107" priority="131">
      <formula>IF(NoColor,1,0)</formula>
    </cfRule>
  </conditionalFormatting>
  <conditionalFormatting sqref="D40">
    <cfRule type="expression" dxfId="106" priority="155">
      <formula>IF(NoColor,1,0)</formula>
    </cfRule>
  </conditionalFormatting>
  <conditionalFormatting sqref="D80:H80">
    <cfRule type="expression" dxfId="105" priority="194">
      <formula>IF(NoColor,1,0)</formula>
    </cfRule>
  </conditionalFormatting>
  <conditionalFormatting sqref="D88:H88">
    <cfRule type="expression" dxfId="104" priority="57">
      <formula>IF(NoColor,1,0)</formula>
    </cfRule>
  </conditionalFormatting>
  <conditionalFormatting sqref="D96:H96">
    <cfRule type="expression" dxfId="103" priority="53">
      <formula>IF(NoColor,1,0)</formula>
    </cfRule>
  </conditionalFormatting>
  <conditionalFormatting sqref="D104:H104">
    <cfRule type="expression" dxfId="102" priority="49">
      <formula>IF(NoColor,1,0)</formula>
    </cfRule>
  </conditionalFormatting>
  <conditionalFormatting sqref="G47:P47">
    <cfRule type="expression" dxfId="101" priority="76">
      <formula>IF($D$40="",1,0)</formula>
    </cfRule>
  </conditionalFormatting>
  <conditionalFormatting sqref="G52:P63">
    <cfRule type="expression" dxfId="100" priority="75">
      <formula>IF($D$40&lt;&gt;"",1,0)</formula>
    </cfRule>
  </conditionalFormatting>
  <conditionalFormatting sqref="G47:AJ47">
    <cfRule type="expression" dxfId="99" priority="14">
      <formula>IF(NoColor,1,0)</formula>
    </cfRule>
  </conditionalFormatting>
  <conditionalFormatting sqref="G52:AJ63">
    <cfRule type="expression" dxfId="98" priority="12">
      <formula>IF(NoColor,1,0)</formula>
    </cfRule>
  </conditionalFormatting>
  <conditionalFormatting sqref="I121:M121">
    <cfRule type="expression" dxfId="97" priority="164">
      <formula>IF(NoColor,1,0)</formula>
    </cfRule>
  </conditionalFormatting>
  <conditionalFormatting sqref="I123:M123">
    <cfRule type="expression" dxfId="96" priority="45">
      <formula>IF(NoColor,1,0)</formula>
    </cfRule>
  </conditionalFormatting>
  <conditionalFormatting sqref="J85:N85">
    <cfRule type="expression" dxfId="95" priority="190">
      <formula>IF(NoColor,1,0)</formula>
    </cfRule>
  </conditionalFormatting>
  <conditionalFormatting sqref="J93:N93">
    <cfRule type="expression" dxfId="94" priority="41">
      <formula>IF(NoColor,1,0)</formula>
    </cfRule>
  </conditionalFormatting>
  <conditionalFormatting sqref="J101:N101">
    <cfRule type="expression" dxfId="93" priority="38">
      <formula>IF(NoColor,1,0)</formula>
    </cfRule>
  </conditionalFormatting>
  <conditionalFormatting sqref="J109:N109">
    <cfRule type="expression" dxfId="92" priority="35">
      <formula>IF(NoColor,1,0)</formula>
    </cfRule>
  </conditionalFormatting>
  <conditionalFormatting sqref="L2">
    <cfRule type="expression" dxfId="91" priority="59">
      <formula>IF(NoColor,1,0)</formula>
    </cfRule>
  </conditionalFormatting>
  <conditionalFormatting sqref="M23:R23">
    <cfRule type="expression" dxfId="90" priority="215">
      <formula>IF(NoColor,1,0)</formula>
    </cfRule>
  </conditionalFormatting>
  <conditionalFormatting sqref="M34:R34">
    <cfRule type="expression" dxfId="89" priority="231">
      <formula>IF(NoColor,1,0)</formula>
    </cfRule>
  </conditionalFormatting>
  <conditionalFormatting sqref="N80:R80">
    <cfRule type="expression" dxfId="88" priority="193">
      <formula>IF(NoColor,1,0)</formula>
    </cfRule>
  </conditionalFormatting>
  <conditionalFormatting sqref="N88:R88">
    <cfRule type="expression" dxfId="87" priority="56">
      <formula>IF(NoColor,1,0)</formula>
    </cfRule>
  </conditionalFormatting>
  <conditionalFormatting sqref="N96:R96">
    <cfRule type="expression" dxfId="86" priority="52">
      <formula>IF(NoColor,1,0)</formula>
    </cfRule>
  </conditionalFormatting>
  <conditionalFormatting sqref="N104:R104">
    <cfRule type="expression" dxfId="85" priority="48">
      <formula>IF(NoColor,1,0)</formula>
    </cfRule>
  </conditionalFormatting>
  <conditionalFormatting sqref="O28">
    <cfRule type="expression" dxfId="84" priority="124">
      <formula>IF(NoColor,1,0)</formula>
    </cfRule>
  </conditionalFormatting>
  <conditionalFormatting sqref="P121:T121">
    <cfRule type="expression" dxfId="83" priority="163">
      <formula>IF(NoColor,1,0)</formula>
    </cfRule>
  </conditionalFormatting>
  <conditionalFormatting sqref="P123:T123">
    <cfRule type="expression" dxfId="82" priority="44">
      <formula>IF(NoColor,1,0)</formula>
    </cfRule>
  </conditionalFormatting>
  <conditionalFormatting sqref="S28">
    <cfRule type="expression" dxfId="81" priority="125">
      <formula>IF(NoColor,1,0)</formula>
    </cfRule>
  </conditionalFormatting>
  <conditionalFormatting sqref="S85:W85">
    <cfRule type="expression" dxfId="80" priority="189">
      <formula>IF(NoColor,1,0)</formula>
    </cfRule>
  </conditionalFormatting>
  <conditionalFormatting sqref="S93:W93">
    <cfRule type="expression" dxfId="79" priority="40">
      <formula>IF(NoColor,1,0)</formula>
    </cfRule>
  </conditionalFormatting>
  <conditionalFormatting sqref="S101:W101">
    <cfRule type="expression" dxfId="78" priority="37">
      <formula>IF(NoColor,1,0)</formula>
    </cfRule>
  </conditionalFormatting>
  <conditionalFormatting sqref="S109:W109">
    <cfRule type="expression" dxfId="77" priority="34">
      <formula>IF(NoColor,1,0)</formula>
    </cfRule>
  </conditionalFormatting>
  <conditionalFormatting sqref="V2">
    <cfRule type="expression" dxfId="76" priority="97">
      <formula>IF(NoColor,1,0)</formula>
    </cfRule>
  </conditionalFormatting>
  <conditionalFormatting sqref="W28">
    <cfRule type="expression" dxfId="75" priority="126">
      <formula>IF(NoColor,1,0)</formula>
    </cfRule>
  </conditionalFormatting>
  <conditionalFormatting sqref="W80:AA80">
    <cfRule type="expression" dxfId="74" priority="192">
      <formula>IF(NoColor,1,0)</formula>
    </cfRule>
  </conditionalFormatting>
  <conditionalFormatting sqref="W88:AA88">
    <cfRule type="expression" dxfId="73" priority="55">
      <formula>IF(NoColor,1,0)</formula>
    </cfRule>
  </conditionalFormatting>
  <conditionalFormatting sqref="W96:AA96">
    <cfRule type="expression" dxfId="72" priority="51">
      <formula>IF(NoColor,1,0)</formula>
    </cfRule>
  </conditionalFormatting>
  <conditionalFormatting sqref="W104:AA104">
    <cfRule type="expression" dxfId="71" priority="47">
      <formula>IF(NoColor,1,0)</formula>
    </cfRule>
  </conditionalFormatting>
  <conditionalFormatting sqref="W121:AA121">
    <cfRule type="expression" dxfId="70" priority="162">
      <formula>IF(NoColor,1,0)</formula>
    </cfRule>
  </conditionalFormatting>
  <conditionalFormatting sqref="W123:AA123">
    <cfRule type="expression" dxfId="69" priority="43">
      <formula>IF(NoColor,1,0)</formula>
    </cfRule>
  </conditionalFormatting>
  <conditionalFormatting sqref="X22:AC23">
    <cfRule type="expression" dxfId="68" priority="29">
      <formula>IF(NoColor,1,0)</formula>
    </cfRule>
  </conditionalFormatting>
  <conditionalFormatting sqref="Y10">
    <cfRule type="expression" dxfId="67" priority="73">
      <formula>IF(NoColor,1,0)</formula>
    </cfRule>
  </conditionalFormatting>
  <conditionalFormatting sqref="Z37">
    <cfRule type="expression" dxfId="66" priority="130">
      <formula>IF(NoColor,1,0)</formula>
    </cfRule>
  </conditionalFormatting>
  <conditionalFormatting sqref="Z40">
    <cfRule type="expression" dxfId="65" priority="127">
      <formula>IF(NoColor,1,0)</formula>
    </cfRule>
  </conditionalFormatting>
  <conditionalFormatting sqref="AB85:AF85">
    <cfRule type="expression" dxfId="64" priority="188">
      <formula>IF(NoColor,1,0)</formula>
    </cfRule>
  </conditionalFormatting>
  <conditionalFormatting sqref="AB93:AF93">
    <cfRule type="expression" dxfId="63" priority="39">
      <formula>IF(NoColor,1,0)</formula>
    </cfRule>
  </conditionalFormatting>
  <conditionalFormatting sqref="AB101:AF101">
    <cfRule type="expression" dxfId="62" priority="36">
      <formula>IF(NoColor,1,0)</formula>
    </cfRule>
  </conditionalFormatting>
  <conditionalFormatting sqref="AB109:AF109">
    <cfRule type="expression" dxfId="61" priority="33">
      <formula>IF(NoColor,1,0)</formula>
    </cfRule>
  </conditionalFormatting>
  <conditionalFormatting sqref="AD80:AH80">
    <cfRule type="expression" dxfId="60" priority="191">
      <formula>IF(NoColor,1,0)</formula>
    </cfRule>
  </conditionalFormatting>
  <conditionalFormatting sqref="AD88:AH88">
    <cfRule type="expression" dxfId="59" priority="54">
      <formula>IF(NoColor,1,0)</formula>
    </cfRule>
  </conditionalFormatting>
  <conditionalFormatting sqref="AD96:AH96">
    <cfRule type="expression" dxfId="58" priority="50">
      <formula>IF(NoColor,1,0)</formula>
    </cfRule>
  </conditionalFormatting>
  <conditionalFormatting sqref="AD104:AH104">
    <cfRule type="expression" dxfId="57" priority="46">
      <formula>IF(NoColor,1,0)</formula>
    </cfRule>
  </conditionalFormatting>
  <conditionalFormatting sqref="AD121:AH121">
    <cfRule type="expression" dxfId="56" priority="161">
      <formula>IF(NoColor,1,0)</formula>
    </cfRule>
  </conditionalFormatting>
  <conditionalFormatting sqref="AD123:AH123">
    <cfRule type="expression" dxfId="55" priority="42">
      <formula>IF(NoColor,1,0)</formula>
    </cfRule>
  </conditionalFormatting>
  <conditionalFormatting sqref="AE20:AJ20">
    <cfRule type="expression" dxfId="54" priority="205">
      <formula>IF(NoColor,1,0)</formula>
    </cfRule>
  </conditionalFormatting>
  <conditionalFormatting sqref="AE25:AJ25">
    <cfRule type="expression" dxfId="53" priority="209">
      <formula>IF(NoColor,1,0)</formula>
    </cfRule>
  </conditionalFormatting>
  <conditionalFormatting sqref="AE28:AJ28">
    <cfRule type="expression" dxfId="52" priority="211">
      <formula>IF(NoColor,1,0)</formula>
    </cfRule>
  </conditionalFormatting>
  <conditionalFormatting sqref="AE31:AJ31">
    <cfRule type="expression" dxfId="51" priority="227">
      <formula>IF(NoColor,1,0)</formula>
    </cfRule>
  </conditionalFormatting>
  <conditionalFormatting sqref="AE34:AJ34">
    <cfRule type="expression" dxfId="50" priority="229">
      <formula>IF(NoColor,1,0)</formula>
    </cfRule>
  </conditionalFormatting>
  <conditionalFormatting sqref="AE64:AJ65">
    <cfRule type="expression" dxfId="49" priority="201">
      <formula>IF(NoColor,1,0)</formula>
    </cfRule>
  </conditionalFormatting>
  <conditionalFormatting sqref="AE68:AJ68">
    <cfRule type="expression" dxfId="48" priority="199">
      <formula>IF(NoColor,1,0)</formula>
    </cfRule>
  </conditionalFormatting>
  <conditionalFormatting sqref="AE70:AJ71">
    <cfRule type="expression" dxfId="47" priority="122">
      <formula>IF(NoColor,1,0)</formula>
    </cfRule>
  </conditionalFormatting>
  <conditionalFormatting sqref="AE73:AJ73">
    <cfRule type="expression" dxfId="46" priority="147">
      <formula>IF(NoColor,1,0)</formula>
    </cfRule>
  </conditionalFormatting>
  <conditionalFormatting sqref="AI14">
    <cfRule type="expression" dxfId="45" priority="74">
      <formula>IF(NoColor,1,0)</formula>
    </cfRule>
  </conditionalFormatting>
  <conditionalFormatting sqref="AI16">
    <cfRule type="expression" dxfId="44" priority="10">
      <formula>IF(NoColor,1,0)</formula>
    </cfRule>
  </conditionalFormatting>
  <conditionalFormatting sqref="AJ18">
    <cfRule type="expression" dxfId="43" priority="137">
      <formula>IF(AL18&lt;&gt;"",1,0)</formula>
    </cfRule>
  </conditionalFormatting>
  <conditionalFormatting sqref="AJ30 AE30:AE31">
    <cfRule type="expression" dxfId="42" priority="213">
      <formula>IF(NoColor,1,0)</formula>
    </cfRule>
  </conditionalFormatting>
  <conditionalFormatting sqref="AL14">
    <cfRule type="expression" dxfId="41" priority="25">
      <formula>OR(File_Marr_Sep&lt;&gt;"",AND(File_Marr_Sep="",AI14&lt;&gt;""))</formula>
    </cfRule>
    <cfRule type="expression" dxfId="40" priority="23">
      <formula>IF(AND(File_Marr_Sep&lt;&gt;"",$AI$13&lt;&gt;""),TRUE,FALSE)</formula>
    </cfRule>
  </conditionalFormatting>
  <conditionalFormatting sqref="AL16">
    <cfRule type="expression" dxfId="39" priority="7">
      <formula>IF(AND(File_Marr_Sep&lt;&gt;"",$AI$13&lt;&gt;""),TRUE,FALSE)</formula>
    </cfRule>
    <cfRule type="expression" dxfId="38" priority="8">
      <formula>OR(File_Marr_Sep&lt;&gt;"",AND(File_Marr_Sep="",AI16&lt;&gt;""))</formula>
    </cfRule>
  </conditionalFormatting>
  <conditionalFormatting sqref="AL18">
    <cfRule type="expression" dxfId="37" priority="27">
      <formula>OR($AM$16,$AL$18&lt;&gt;"")</formula>
    </cfRule>
  </conditionalFormatting>
  <conditionalFormatting sqref="AM5:AR11">
    <cfRule type="expression" dxfId="36" priority="26">
      <formula>OR(File_Marr_Sep&lt;&gt;"",AI13&lt;&gt;"")</formula>
    </cfRule>
  </conditionalFormatting>
  <conditionalFormatting sqref="AP62">
    <cfRule type="expression" dxfId="35" priority="4">
      <formula>AND($AU$63&lt;&gt;"---",$AU$63&lt;&gt;"",$AV$63)</formula>
    </cfRule>
  </conditionalFormatting>
  <conditionalFormatting sqref="AP63">
    <cfRule type="expression" dxfId="34" priority="3">
      <formula>AND($AU$63&lt;&gt;"",NOT($AV$63))</formula>
    </cfRule>
  </conditionalFormatting>
  <conditionalFormatting sqref="AP65">
    <cfRule type="expression" dxfId="33" priority="2">
      <formula>$AP$64</formula>
    </cfRule>
  </conditionalFormatting>
  <conditionalFormatting sqref="AP66">
    <cfRule type="expression" dxfId="32" priority="1">
      <formula>AND($AU$63&lt;&gt;"",$AU$63&lt;100)</formula>
    </cfRule>
  </conditionalFormatting>
  <conditionalFormatting sqref="AS2:AX11">
    <cfRule type="expression" dxfId="31" priority="136">
      <formula>IF(File_Marr_Sep&lt;&gt;"",TRUE,FALSE)</formula>
    </cfRule>
  </conditionalFormatting>
  <conditionalFormatting sqref="AU32">
    <cfRule type="expression" dxfId="30" priority="120">
      <formula>IF(NoColor,1,0)</formula>
    </cfRule>
  </conditionalFormatting>
  <conditionalFormatting sqref="AU36">
    <cfRule type="expression" dxfId="29" priority="62">
      <formula>IF(NoColor,1,0)</formula>
    </cfRule>
  </conditionalFormatting>
  <conditionalFormatting sqref="AU42">
    <cfRule type="expression" dxfId="28" priority="16">
      <formula>IF(NoColor,1,0)</formula>
    </cfRule>
  </conditionalFormatting>
  <conditionalFormatting sqref="AV28">
    <cfRule type="expression" dxfId="27" priority="113">
      <formula>IF(NoColor,1,0)</formula>
    </cfRule>
  </conditionalFormatting>
  <conditionalFormatting sqref="AV46">
    <cfRule type="expression" dxfId="26" priority="15">
      <formula>IF(NoColor,1,0)</formula>
    </cfRule>
  </conditionalFormatting>
  <conditionalFormatting sqref="BG33">
    <cfRule type="expression" dxfId="25" priority="102">
      <formula>IF(NoColor,1,0)</formula>
    </cfRule>
  </conditionalFormatting>
  <conditionalFormatting sqref="BG37">
    <cfRule type="expression" dxfId="24" priority="11">
      <formula>IF(NoColor,1,0)</formula>
    </cfRule>
  </conditionalFormatting>
  <conditionalFormatting sqref="BG42">
    <cfRule type="expression" dxfId="23" priority="20">
      <formula>IF(NoColor,1,0)</formula>
    </cfRule>
  </conditionalFormatting>
  <conditionalFormatting sqref="BH28">
    <cfRule type="expression" dxfId="22" priority="107">
      <formula>IF(NoColor,1,0)</formula>
    </cfRule>
  </conditionalFormatting>
  <conditionalFormatting sqref="BH45">
    <cfRule type="expression" dxfId="21" priority="115">
      <formula>IF(NoColor,1,0)</formula>
    </cfRule>
  </conditionalFormatting>
  <hyperlinks>
    <hyperlink ref="C133:D135" location="'Table of Contents'!A1" display="Table of Contents" xr:uid="{00000000-0004-0000-3600-000000000000}"/>
    <hyperlink ref="B128:H128" r:id="rId1" display="Download Form 1040 Schedule R" xr:uid="{00000000-0004-0000-3600-000001000000}"/>
    <hyperlink ref="B130:H130" r:id="rId2" display="Download Form 1040 Schedule R Instructions" xr:uid="{00000000-0004-0000-3600-000002000000}"/>
    <hyperlink ref="B128:I128" r:id="rId3" display="Download Form 1040 Form 8962" xr:uid="{00000000-0004-0000-3600-000003000000}"/>
    <hyperlink ref="B130:L130" r:id="rId4" display="Download Form 8962 Instructions" xr:uid="{00000000-0004-0000-3600-000004000000}"/>
    <hyperlink ref="B128:L128" r:id="rId5" display="Download Form 8962" xr:uid="{00000000-0004-0000-3600-000005000000}"/>
  </hyperlinks>
  <pageMargins left="0.7" right="0.2" top="0.25" bottom="0.25" header="0" footer="0"/>
  <pageSetup scale="70" fitToHeight="0" orientation="portrait" r:id="rId6"/>
  <rowBreaks count="1" manualBreakCount="1">
    <brk id="74" min="1" max="35" man="1"/>
  </rowBreaks>
  <drawing r:id="rId7"/>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AY51"/>
  <sheetViews>
    <sheetView zoomScaleNormal="100" zoomScaleSheetLayoutView="100" workbookViewId="0">
      <selection activeCell="D13" sqref="D13:U14"/>
    </sheetView>
  </sheetViews>
  <sheetFormatPr defaultColWidth="3.42578125" defaultRowHeight="12.75"/>
  <cols>
    <col min="1" max="1" width="3.42578125" style="42"/>
    <col min="2" max="5" width="3.85546875" style="42" customWidth="1"/>
    <col min="6" max="6" width="5.7109375" style="42" customWidth="1"/>
    <col min="7" max="8" width="3.42578125" style="42" customWidth="1"/>
    <col min="9" max="9" width="4.28515625" style="42" customWidth="1"/>
    <col min="10" max="14" width="3.42578125" style="42" customWidth="1"/>
    <col min="15" max="15" width="2.7109375" style="42" customWidth="1"/>
    <col min="16" max="16" width="3.42578125" style="42" customWidth="1"/>
    <col min="17" max="17" width="11.42578125" style="42" customWidth="1"/>
    <col min="18" max="18" width="4.28515625" style="42" customWidth="1"/>
    <col min="19" max="19" width="3.42578125" style="42" customWidth="1"/>
    <col min="20" max="20" width="3.85546875" style="42" customWidth="1"/>
    <col min="21" max="21" width="4.28515625" style="42" customWidth="1"/>
    <col min="22" max="22" width="5" style="42" customWidth="1"/>
    <col min="23" max="26" width="3.42578125" style="42" customWidth="1"/>
    <col min="27" max="27" width="3.28515625" style="42" customWidth="1"/>
    <col min="28" max="28" width="5" style="42" customWidth="1"/>
    <col min="29" max="31" width="3.42578125" style="42"/>
    <col min="32" max="32" width="5.5703125" style="42" customWidth="1"/>
    <col min="33" max="33" width="4.140625" style="42" customWidth="1"/>
    <col min="34" max="34" width="3.42578125" style="42"/>
    <col min="35" max="35" width="4.140625" style="42" customWidth="1"/>
    <col min="36" max="36" width="15" style="42" customWidth="1"/>
    <col min="37" max="37" width="2.5703125" style="42" customWidth="1"/>
    <col min="38" max="38" width="13.140625" style="42" customWidth="1"/>
    <col min="39" max="39" width="15.85546875" style="42" customWidth="1"/>
    <col min="40" max="40" width="3.42578125" style="42"/>
    <col min="41" max="41" width="10.7109375" style="3013" customWidth="1"/>
    <col min="42" max="51" width="10.7109375" style="2595" customWidth="1"/>
    <col min="52" max="53" width="3.42578125" style="42"/>
    <col min="54" max="64" width="3.28515625" style="42" customWidth="1"/>
    <col min="65" max="16384" width="3.42578125" style="42"/>
  </cols>
  <sheetData>
    <row r="1" spans="1:51" ht="15">
      <c r="A1" s="2757"/>
      <c r="B1" s="2757"/>
      <c r="C1" s="2757"/>
      <c r="D1" s="2757"/>
      <c r="E1" s="2757"/>
      <c r="F1" s="2757"/>
      <c r="G1" s="2757"/>
      <c r="H1" s="2757"/>
      <c r="I1" s="2757"/>
      <c r="J1" s="2757"/>
      <c r="K1" s="2757"/>
      <c r="L1" s="2757"/>
      <c r="M1" s="2757"/>
      <c r="N1" s="2757"/>
      <c r="O1" s="2757"/>
      <c r="P1" s="2757"/>
      <c r="Q1" s="2757"/>
      <c r="R1" s="2757"/>
      <c r="S1" s="2757"/>
      <c r="T1" s="2757"/>
      <c r="U1" s="2757"/>
      <c r="V1" s="2757"/>
      <c r="W1" s="2757"/>
      <c r="X1" s="2757"/>
      <c r="Y1" s="2757"/>
      <c r="Z1" s="2757"/>
      <c r="AA1" s="2757"/>
      <c r="AB1" s="2757"/>
      <c r="AC1" s="2757"/>
      <c r="AD1" s="2757"/>
      <c r="AE1" s="2757"/>
      <c r="AF1" s="2757"/>
      <c r="AG1" s="2757"/>
      <c r="AH1" s="2757"/>
      <c r="AJ1" s="385"/>
      <c r="AL1" s="5501"/>
      <c r="AO1" s="3012" t="s">
        <v>2033</v>
      </c>
    </row>
    <row r="2" spans="1:51" ht="18" customHeight="1">
      <c r="A2" s="2757"/>
      <c r="B2" s="9951" t="s">
        <v>4288</v>
      </c>
      <c r="C2" s="9951"/>
      <c r="D2" s="9952">
        <v>8995</v>
      </c>
      <c r="E2" s="9952"/>
      <c r="F2" s="9953"/>
      <c r="G2" s="1179"/>
      <c r="H2" s="1179"/>
      <c r="I2" s="1179"/>
      <c r="J2" s="1179"/>
      <c r="K2" s="1179"/>
      <c r="L2" s="1179"/>
      <c r="M2" s="1179"/>
      <c r="N2" s="1179"/>
      <c r="O2" s="1276"/>
      <c r="P2" s="1179"/>
      <c r="Q2" s="2783"/>
      <c r="R2" s="1179"/>
      <c r="S2" s="1179"/>
      <c r="T2" s="1179"/>
      <c r="U2" s="1179"/>
      <c r="V2" s="1179"/>
      <c r="W2" s="1179"/>
      <c r="X2" s="1179"/>
      <c r="Y2" s="1179"/>
      <c r="Z2" s="1179"/>
      <c r="AA2" s="1179"/>
      <c r="AB2" s="6762" t="s">
        <v>3877</v>
      </c>
      <c r="AC2" s="6763"/>
      <c r="AD2" s="6763"/>
      <c r="AE2" s="6763"/>
      <c r="AF2" s="6763"/>
      <c r="AG2" s="6763"/>
      <c r="AH2" s="2757"/>
      <c r="AJ2" s="385"/>
      <c r="AL2" s="5501"/>
    </row>
    <row r="3" spans="1:51" ht="19.5" customHeight="1">
      <c r="A3" s="2757"/>
      <c r="B3" s="9951"/>
      <c r="C3" s="9951"/>
      <c r="D3" s="9952"/>
      <c r="E3" s="9952"/>
      <c r="F3" s="9953"/>
      <c r="G3" s="7743" t="s">
        <v>3431</v>
      </c>
      <c r="H3" s="7744"/>
      <c r="I3" s="7744"/>
      <c r="J3" s="7744"/>
      <c r="K3" s="7744"/>
      <c r="L3" s="7744"/>
      <c r="M3" s="7744"/>
      <c r="N3" s="7744"/>
      <c r="O3" s="7744"/>
      <c r="P3" s="7744"/>
      <c r="Q3" s="7744"/>
      <c r="R3" s="7744"/>
      <c r="S3" s="7744"/>
      <c r="T3" s="7744"/>
      <c r="U3" s="7744"/>
      <c r="V3" s="7744"/>
      <c r="W3" s="7744"/>
      <c r="X3" s="7744"/>
      <c r="Y3" s="7744"/>
      <c r="Z3" s="7744"/>
      <c r="AA3" s="7745"/>
      <c r="AB3" s="6719">
        <f>TaxYear</f>
        <v>2021</v>
      </c>
      <c r="AC3" s="6720"/>
      <c r="AD3" s="6720"/>
      <c r="AE3" s="6720"/>
      <c r="AF3" s="6720"/>
      <c r="AG3" s="6720"/>
      <c r="AH3" s="2757"/>
      <c r="AJ3" s="385"/>
      <c r="AL3" s="1715"/>
    </row>
    <row r="4" spans="1:51" ht="19.5" customHeight="1">
      <c r="A4" s="2757"/>
      <c r="B4" s="6632"/>
      <c r="C4" s="6633"/>
      <c r="D4" s="6633"/>
      <c r="E4" s="6633"/>
      <c r="F4" s="6634"/>
      <c r="G4" s="9954" t="s">
        <v>3430</v>
      </c>
      <c r="H4" s="8622"/>
      <c r="I4" s="8622"/>
      <c r="J4" s="8622"/>
      <c r="K4" s="8622"/>
      <c r="L4" s="8622"/>
      <c r="M4" s="8622"/>
      <c r="N4" s="8622"/>
      <c r="O4" s="8622"/>
      <c r="P4" s="8622"/>
      <c r="Q4" s="8622"/>
      <c r="R4" s="8622"/>
      <c r="S4" s="8622"/>
      <c r="T4" s="8622"/>
      <c r="U4" s="8622"/>
      <c r="V4" s="8622"/>
      <c r="W4" s="8622"/>
      <c r="X4" s="8622"/>
      <c r="Y4" s="8622"/>
      <c r="Z4" s="8622"/>
      <c r="AA4" s="9955"/>
      <c r="AB4" s="6721"/>
      <c r="AC4" s="6618"/>
      <c r="AD4" s="6618"/>
      <c r="AE4" s="6618"/>
      <c r="AF4" s="6618"/>
      <c r="AG4" s="6618"/>
      <c r="AH4" s="2757"/>
      <c r="AJ4" s="385"/>
      <c r="AL4" s="1286">
        <v>164900</v>
      </c>
    </row>
    <row r="5" spans="1:51" ht="14.25" customHeight="1">
      <c r="A5" s="2757"/>
      <c r="B5" s="6641" t="s">
        <v>176</v>
      </c>
      <c r="C5" s="6641"/>
      <c r="D5" s="6641"/>
      <c r="E5" s="6641"/>
      <c r="F5" s="6642"/>
      <c r="G5" s="1278"/>
      <c r="H5" s="1179"/>
      <c r="I5" s="1179"/>
      <c r="J5" s="1179"/>
      <c r="K5" s="1179"/>
      <c r="L5" s="1179"/>
      <c r="M5" s="1179"/>
      <c r="N5" s="1179"/>
      <c r="O5" s="1179"/>
      <c r="P5" s="1824"/>
      <c r="Q5" s="1824" t="s">
        <v>3432</v>
      </c>
      <c r="R5" s="1179"/>
      <c r="S5" s="1179"/>
      <c r="T5" s="1179"/>
      <c r="U5" s="1179"/>
      <c r="V5" s="1179"/>
      <c r="W5" s="1179"/>
      <c r="X5" s="1179"/>
      <c r="Y5" s="1179"/>
      <c r="Z5" s="1179"/>
      <c r="AA5" s="1179"/>
      <c r="AB5" s="4165" t="s">
        <v>177</v>
      </c>
      <c r="AC5" s="2213"/>
      <c r="AD5" s="4163"/>
      <c r="AE5" s="4163"/>
      <c r="AF5" s="9949">
        <v>55</v>
      </c>
      <c r="AG5" s="4163"/>
      <c r="AH5" s="2757"/>
      <c r="AJ5" s="385"/>
      <c r="AL5" s="5740">
        <v>165925</v>
      </c>
    </row>
    <row r="6" spans="1:51" ht="13.5" thickBot="1">
      <c r="A6" s="2757"/>
      <c r="B6" s="6639" t="s">
        <v>395</v>
      </c>
      <c r="C6" s="6639"/>
      <c r="D6" s="6639"/>
      <c r="E6" s="6639"/>
      <c r="F6" s="6640"/>
      <c r="G6" s="3016" t="s">
        <v>3433</v>
      </c>
      <c r="H6" s="3017"/>
      <c r="I6" s="3016"/>
      <c r="J6" s="3018"/>
      <c r="K6" s="3017"/>
      <c r="L6" s="3017"/>
      <c r="M6" s="3017"/>
      <c r="N6" s="3017"/>
      <c r="O6" s="3017"/>
      <c r="P6" s="3017"/>
      <c r="Q6" s="3017"/>
      <c r="R6" s="3017"/>
      <c r="S6" s="3017"/>
      <c r="T6" s="3017"/>
      <c r="U6" s="3017"/>
      <c r="V6" s="3017"/>
      <c r="W6" s="3017"/>
      <c r="X6" s="3017"/>
      <c r="Y6" s="3017"/>
      <c r="Z6" s="3017"/>
      <c r="AA6" s="3017"/>
      <c r="AB6" s="4166" t="s">
        <v>2950</v>
      </c>
      <c r="AC6" s="2213"/>
      <c r="AD6" s="4164"/>
      <c r="AE6" s="4164"/>
      <c r="AF6" s="9950"/>
      <c r="AG6" s="4164"/>
      <c r="AH6" s="2757"/>
      <c r="AJ6" s="385"/>
      <c r="AL6" s="1286">
        <v>329800</v>
      </c>
    </row>
    <row r="7" spans="1:51">
      <c r="A7" s="2757"/>
      <c r="B7" s="1276" t="s">
        <v>55</v>
      </c>
      <c r="C7" s="1179"/>
      <c r="D7" s="1179"/>
      <c r="E7" s="1179"/>
      <c r="F7" s="1179"/>
      <c r="G7" s="1179"/>
      <c r="H7" s="1179"/>
      <c r="I7" s="1179"/>
      <c r="J7" s="1179"/>
      <c r="K7" s="1179"/>
      <c r="L7" s="1179"/>
      <c r="M7" s="1179"/>
      <c r="N7" s="1179"/>
      <c r="O7" s="1179"/>
      <c r="P7" s="1179"/>
      <c r="Q7" s="1179"/>
      <c r="R7" s="1179"/>
      <c r="S7" s="1179"/>
      <c r="T7" s="1179"/>
      <c r="U7" s="1179"/>
      <c r="V7" s="1179"/>
      <c r="W7" s="1179"/>
      <c r="X7" s="1179"/>
      <c r="Y7" s="3011"/>
      <c r="Z7" s="1179"/>
      <c r="AA7" s="1179"/>
      <c r="AB7" s="3011"/>
      <c r="AC7" s="4167" t="s">
        <v>3434</v>
      </c>
      <c r="AD7" s="1274"/>
      <c r="AE7" s="1274"/>
      <c r="AF7" s="1274"/>
      <c r="AG7" s="1274"/>
      <c r="AH7" s="2757"/>
      <c r="AJ7" s="385"/>
      <c r="AL7" s="1286">
        <f>IF(File_Marr_Joint&lt;&gt;"",AL6,IF(File_Marr_Sep&lt;&gt;"",AL5,AL4))</f>
        <v>164900</v>
      </c>
    </row>
    <row r="8" spans="1:51" ht="9.75" customHeight="1">
      <c r="A8" s="2757"/>
      <c r="B8" s="9956" t="str">
        <f>Names</f>
        <v/>
      </c>
      <c r="C8" s="9956"/>
      <c r="D8" s="9956"/>
      <c r="E8" s="9956"/>
      <c r="F8" s="9956"/>
      <c r="G8" s="9956"/>
      <c r="H8" s="9956"/>
      <c r="I8" s="9956"/>
      <c r="J8" s="9956"/>
      <c r="K8" s="9956"/>
      <c r="L8" s="9956"/>
      <c r="M8" s="9956"/>
      <c r="N8" s="9956"/>
      <c r="O8" s="9956"/>
      <c r="P8" s="9956"/>
      <c r="Q8" s="9956"/>
      <c r="R8" s="9956"/>
      <c r="S8" s="9956"/>
      <c r="T8" s="9956"/>
      <c r="U8" s="9956"/>
      <c r="V8" s="9956"/>
      <c r="W8" s="9956"/>
      <c r="X8" s="9957"/>
      <c r="Y8" s="9960">
        <f>IF(NoSSN,"",SS_Yours)</f>
        <v>1010001</v>
      </c>
      <c r="Z8" s="9961"/>
      <c r="AA8" s="9961"/>
      <c r="AB8" s="9961"/>
      <c r="AC8" s="9961"/>
      <c r="AD8" s="9961"/>
      <c r="AE8" s="9961"/>
      <c r="AF8" s="9961"/>
      <c r="AG8" s="9961"/>
      <c r="AH8" s="2757"/>
      <c r="AJ8" s="385"/>
      <c r="AL8" s="1286">
        <f>SUM(Adj_Gross_Inc,-Deductions)</f>
        <v>0</v>
      </c>
    </row>
    <row r="9" spans="1:51" ht="9.75" customHeight="1">
      <c r="A9" s="2757"/>
      <c r="B9" s="9958"/>
      <c r="C9" s="9958"/>
      <c r="D9" s="9958"/>
      <c r="E9" s="9958"/>
      <c r="F9" s="9958"/>
      <c r="G9" s="9958"/>
      <c r="H9" s="9958"/>
      <c r="I9" s="9958"/>
      <c r="J9" s="9958"/>
      <c r="K9" s="9958"/>
      <c r="L9" s="9958"/>
      <c r="M9" s="9958"/>
      <c r="N9" s="9958"/>
      <c r="O9" s="9958"/>
      <c r="P9" s="9958"/>
      <c r="Q9" s="9958"/>
      <c r="R9" s="9958"/>
      <c r="S9" s="9958"/>
      <c r="T9" s="9958"/>
      <c r="U9" s="9958"/>
      <c r="V9" s="9958"/>
      <c r="W9" s="9958"/>
      <c r="X9" s="9959"/>
      <c r="Y9" s="9962"/>
      <c r="Z9" s="9963"/>
      <c r="AA9" s="9963"/>
      <c r="AB9" s="9963"/>
      <c r="AC9" s="9963"/>
      <c r="AD9" s="9963"/>
      <c r="AE9" s="9963"/>
      <c r="AF9" s="9963"/>
      <c r="AG9" s="9963"/>
      <c r="AH9" s="2757"/>
      <c r="AI9" s="2513"/>
      <c r="AJ9" s="4761" t="str">
        <f>IF(AL10,"Hide emphasis.","")</f>
        <v/>
      </c>
      <c r="AL9" s="1974" t="b">
        <f>(AL8&gt;AL7)</f>
        <v>0</v>
      </c>
      <c r="AM9" s="5840"/>
    </row>
    <row r="10" spans="1:51" ht="40.5" customHeight="1">
      <c r="A10" s="2757"/>
      <c r="B10" s="9934" t="s">
        <v>4460</v>
      </c>
      <c r="C10" s="9934"/>
      <c r="D10" s="9934"/>
      <c r="E10" s="9934"/>
      <c r="F10" s="9934"/>
      <c r="G10" s="9934"/>
      <c r="H10" s="9934"/>
      <c r="I10" s="9934"/>
      <c r="J10" s="9934"/>
      <c r="K10" s="9934"/>
      <c r="L10" s="9934"/>
      <c r="M10" s="9934"/>
      <c r="N10" s="9934"/>
      <c r="O10" s="9934"/>
      <c r="P10" s="9934"/>
      <c r="Q10" s="9934"/>
      <c r="R10" s="9934"/>
      <c r="S10" s="9934"/>
      <c r="T10" s="9934"/>
      <c r="U10" s="9934"/>
      <c r="V10" s="9934"/>
      <c r="W10" s="9934"/>
      <c r="X10" s="9934"/>
      <c r="Y10" s="9934"/>
      <c r="Z10" s="9934"/>
      <c r="AA10" s="9934"/>
      <c r="AB10" s="9934"/>
      <c r="AC10" s="9934"/>
      <c r="AD10" s="9934"/>
      <c r="AE10" s="9934"/>
      <c r="AF10" s="9934"/>
      <c r="AG10" s="9934"/>
      <c r="AH10" s="2757"/>
      <c r="AJ10" s="9937" t="str">
        <f>IF(AL10,"Your taxable income, before your QBI deduction, is "&amp;TEXT(AL8,"$0,000")&amp;".","")</f>
        <v/>
      </c>
      <c r="AL10" s="1974" t="b">
        <f>AND(AL11,AL9)</f>
        <v>0</v>
      </c>
    </row>
    <row r="11" spans="1:51" s="946" customFormat="1" ht="30" customHeight="1">
      <c r="A11" s="2792"/>
      <c r="B11" s="9935" t="str">
        <f>"Use this form if your taxable income, before your qualified business income deduction, is at or below "&amp;TEXT(AL4,"$0,000")&amp;" ("&amp;TEXT(AL5,"$0,000")&amp;" if married"&amp;CHAR(10)&amp;"filing separately; "&amp;TEXT(AL6,"$0,000")&amp;" if married filing jointly), and you aren’t a patron of an agricultural or horticultural cooperative."</f>
        <v>Use this form if your taxable income, before your qualified business income deduction, is at or below $164,900 ($165,925 if married
filing separately; $329,800 if married filing jointly), and you aren’t a patron of an agricultural or horticultural cooperative.</v>
      </c>
      <c r="C11" s="9936"/>
      <c r="D11" s="9936"/>
      <c r="E11" s="9936"/>
      <c r="F11" s="9936"/>
      <c r="G11" s="9936"/>
      <c r="H11" s="9936"/>
      <c r="I11" s="9936"/>
      <c r="J11" s="9936"/>
      <c r="K11" s="9936"/>
      <c r="L11" s="9936"/>
      <c r="M11" s="9936"/>
      <c r="N11" s="9936"/>
      <c r="O11" s="9936"/>
      <c r="P11" s="9936"/>
      <c r="Q11" s="9936"/>
      <c r="R11" s="9936"/>
      <c r="S11" s="9936"/>
      <c r="T11" s="9936"/>
      <c r="U11" s="9936"/>
      <c r="V11" s="9936"/>
      <c r="W11" s="9936"/>
      <c r="X11" s="9936"/>
      <c r="Y11" s="9936"/>
      <c r="Z11" s="9936"/>
      <c r="AA11" s="9936"/>
      <c r="AB11" s="9936"/>
      <c r="AC11" s="9936"/>
      <c r="AD11" s="9936"/>
      <c r="AE11" s="9936"/>
      <c r="AF11" s="9936"/>
      <c r="AG11" s="9936"/>
      <c r="AH11" s="2792"/>
      <c r="AJ11" s="9937"/>
      <c r="AL11" s="5906" t="b">
        <f>OR(AND(W25&lt;&gt;"",W25&lt;&gt;0),X26&lt;&gt;"",AND(W34&lt;&gt;"",W34&lt;&gt;0))</f>
        <v>0</v>
      </c>
      <c r="AO11" s="3854"/>
      <c r="AP11" s="2599"/>
      <c r="AQ11" s="2599"/>
      <c r="AR11" s="2599"/>
      <c r="AS11" s="2599"/>
      <c r="AT11" s="2599"/>
      <c r="AU11" s="2599"/>
      <c r="AV11" s="2599"/>
      <c r="AW11" s="2599"/>
      <c r="AX11" s="2599"/>
      <c r="AY11" s="2599"/>
    </row>
    <row r="12" spans="1:51" ht="37.5" customHeight="1">
      <c r="A12" s="2757"/>
      <c r="B12" s="9964" t="s">
        <v>3435</v>
      </c>
      <c r="C12" s="9965"/>
      <c r="D12" s="9966" t="s">
        <v>3436</v>
      </c>
      <c r="E12" s="9967"/>
      <c r="F12" s="9967"/>
      <c r="G12" s="9967"/>
      <c r="H12" s="9967"/>
      <c r="I12" s="9967"/>
      <c r="J12" s="9967"/>
      <c r="K12" s="9967"/>
      <c r="L12" s="9967"/>
      <c r="M12" s="9967"/>
      <c r="N12" s="9967"/>
      <c r="O12" s="9967"/>
      <c r="P12" s="9967"/>
      <c r="Q12" s="9967"/>
      <c r="R12" s="9967"/>
      <c r="S12" s="9967"/>
      <c r="T12" s="9967"/>
      <c r="U12" s="9968"/>
      <c r="V12" s="8766" t="s">
        <v>3437</v>
      </c>
      <c r="W12" s="9232"/>
      <c r="X12" s="9232"/>
      <c r="Y12" s="9232"/>
      <c r="Z12" s="9232"/>
      <c r="AA12" s="9969"/>
      <c r="AB12" s="8766" t="s">
        <v>3438</v>
      </c>
      <c r="AC12" s="9232"/>
      <c r="AD12" s="9232"/>
      <c r="AE12" s="9232"/>
      <c r="AF12" s="9232"/>
      <c r="AG12" s="9232"/>
      <c r="AH12" s="2757"/>
      <c r="AJ12" s="3014"/>
      <c r="AL12" s="5501"/>
    </row>
    <row r="13" spans="1:51" ht="17.25" customHeight="1">
      <c r="A13" s="2757"/>
      <c r="B13" s="9941" t="s">
        <v>2142</v>
      </c>
      <c r="C13" s="8544"/>
      <c r="D13" s="9942"/>
      <c r="E13" s="9943"/>
      <c r="F13" s="9943"/>
      <c r="G13" s="9943"/>
      <c r="H13" s="9943"/>
      <c r="I13" s="9943"/>
      <c r="J13" s="9943"/>
      <c r="K13" s="9943"/>
      <c r="L13" s="9943"/>
      <c r="M13" s="9943"/>
      <c r="N13" s="9943"/>
      <c r="O13" s="9943"/>
      <c r="P13" s="9943"/>
      <c r="Q13" s="9943"/>
      <c r="R13" s="9943"/>
      <c r="S13" s="9943"/>
      <c r="T13" s="9943"/>
      <c r="U13" s="9944"/>
      <c r="V13" s="9509"/>
      <c r="W13" s="9510"/>
      <c r="X13" s="9510"/>
      <c r="Y13" s="9510"/>
      <c r="Z13" s="9510"/>
      <c r="AA13" s="9511"/>
      <c r="AB13" s="7872"/>
      <c r="AC13" s="8533"/>
      <c r="AD13" s="8533"/>
      <c r="AE13" s="8533"/>
      <c r="AF13" s="8533"/>
      <c r="AG13" s="8533"/>
      <c r="AH13" s="2757"/>
      <c r="AJ13" s="3014"/>
    </row>
    <row r="14" spans="1:51" ht="17.25" customHeight="1">
      <c r="A14" s="2757"/>
      <c r="B14" s="8543"/>
      <c r="C14" s="7740"/>
      <c r="D14" s="9945"/>
      <c r="E14" s="9946"/>
      <c r="F14" s="9946"/>
      <c r="G14" s="9946"/>
      <c r="H14" s="9946"/>
      <c r="I14" s="9946"/>
      <c r="J14" s="9946"/>
      <c r="K14" s="9946"/>
      <c r="L14" s="9946"/>
      <c r="M14" s="9946"/>
      <c r="N14" s="9946"/>
      <c r="O14" s="9946"/>
      <c r="P14" s="9946"/>
      <c r="Q14" s="9946"/>
      <c r="R14" s="9946"/>
      <c r="S14" s="9946"/>
      <c r="T14" s="9946"/>
      <c r="U14" s="9947"/>
      <c r="V14" s="9938"/>
      <c r="W14" s="9939"/>
      <c r="X14" s="9939"/>
      <c r="Y14" s="9939"/>
      <c r="Z14" s="9939"/>
      <c r="AA14" s="9940"/>
      <c r="AB14" s="9948"/>
      <c r="AC14" s="9123"/>
      <c r="AD14" s="9123"/>
      <c r="AE14" s="9123"/>
      <c r="AF14" s="9123"/>
      <c r="AG14" s="9123"/>
      <c r="AH14" s="2757"/>
      <c r="AJ14" s="3014"/>
    </row>
    <row r="15" spans="1:51" ht="17.25" customHeight="1">
      <c r="A15" s="2757"/>
      <c r="B15" s="9941" t="s">
        <v>3878</v>
      </c>
      <c r="C15" s="8544"/>
      <c r="D15" s="9942"/>
      <c r="E15" s="9943"/>
      <c r="F15" s="9943"/>
      <c r="G15" s="9943"/>
      <c r="H15" s="9943"/>
      <c r="I15" s="9943"/>
      <c r="J15" s="9943"/>
      <c r="K15" s="9943"/>
      <c r="L15" s="9943"/>
      <c r="M15" s="9943"/>
      <c r="N15" s="9943"/>
      <c r="O15" s="9943"/>
      <c r="P15" s="9943"/>
      <c r="Q15" s="9943"/>
      <c r="R15" s="9943"/>
      <c r="S15" s="9943"/>
      <c r="T15" s="9943"/>
      <c r="U15" s="9944"/>
      <c r="V15" s="9509"/>
      <c r="W15" s="9510"/>
      <c r="X15" s="9510"/>
      <c r="Y15" s="9510"/>
      <c r="Z15" s="9510"/>
      <c r="AA15" s="9511"/>
      <c r="AB15" s="7872"/>
      <c r="AC15" s="8533"/>
      <c r="AD15" s="8533"/>
      <c r="AE15" s="8533"/>
      <c r="AF15" s="8533"/>
      <c r="AG15" s="8533"/>
      <c r="AH15" s="2757"/>
      <c r="AJ15" s="3014"/>
    </row>
    <row r="16" spans="1:51" ht="17.25" customHeight="1">
      <c r="A16" s="2757"/>
      <c r="B16" s="8543"/>
      <c r="C16" s="7740"/>
      <c r="D16" s="9945"/>
      <c r="E16" s="9946"/>
      <c r="F16" s="9946"/>
      <c r="G16" s="9946"/>
      <c r="H16" s="9946"/>
      <c r="I16" s="9946"/>
      <c r="J16" s="9946"/>
      <c r="K16" s="9946"/>
      <c r="L16" s="9946"/>
      <c r="M16" s="9946"/>
      <c r="N16" s="9946"/>
      <c r="O16" s="9946"/>
      <c r="P16" s="9946"/>
      <c r="Q16" s="9946"/>
      <c r="R16" s="9946"/>
      <c r="S16" s="9946"/>
      <c r="T16" s="9946"/>
      <c r="U16" s="9947"/>
      <c r="V16" s="9938"/>
      <c r="W16" s="9939"/>
      <c r="X16" s="9939"/>
      <c r="Y16" s="9939"/>
      <c r="Z16" s="9939"/>
      <c r="AA16" s="9940"/>
      <c r="AB16" s="9948"/>
      <c r="AC16" s="9123"/>
      <c r="AD16" s="9123"/>
      <c r="AE16" s="9123"/>
      <c r="AF16" s="9123"/>
      <c r="AG16" s="9123"/>
      <c r="AH16" s="2757"/>
      <c r="AJ16" s="3014"/>
    </row>
    <row r="17" spans="1:38" ht="17.25" customHeight="1">
      <c r="A17" s="2757"/>
      <c r="B17" s="9941" t="s">
        <v>3879</v>
      </c>
      <c r="C17" s="8544"/>
      <c r="D17" s="9942"/>
      <c r="E17" s="9943"/>
      <c r="F17" s="9943"/>
      <c r="G17" s="9943"/>
      <c r="H17" s="9943"/>
      <c r="I17" s="9943"/>
      <c r="J17" s="9943"/>
      <c r="K17" s="9943"/>
      <c r="L17" s="9943"/>
      <c r="M17" s="9943"/>
      <c r="N17" s="9943"/>
      <c r="O17" s="9943"/>
      <c r="P17" s="9943"/>
      <c r="Q17" s="9943"/>
      <c r="R17" s="9943"/>
      <c r="S17" s="9943"/>
      <c r="T17" s="9943"/>
      <c r="U17" s="9944"/>
      <c r="V17" s="9509"/>
      <c r="W17" s="9510"/>
      <c r="X17" s="9510"/>
      <c r="Y17" s="9510"/>
      <c r="Z17" s="9510"/>
      <c r="AA17" s="9511"/>
      <c r="AB17" s="7872"/>
      <c r="AC17" s="8533"/>
      <c r="AD17" s="8533"/>
      <c r="AE17" s="8533"/>
      <c r="AF17" s="8533"/>
      <c r="AG17" s="8533"/>
      <c r="AH17" s="2757"/>
      <c r="AJ17" s="3014"/>
    </row>
    <row r="18" spans="1:38" ht="17.25" customHeight="1">
      <c r="A18" s="2757"/>
      <c r="B18" s="8543"/>
      <c r="C18" s="7740"/>
      <c r="D18" s="9945"/>
      <c r="E18" s="9946"/>
      <c r="F18" s="9946"/>
      <c r="G18" s="9946"/>
      <c r="H18" s="9946"/>
      <c r="I18" s="9946"/>
      <c r="J18" s="9946"/>
      <c r="K18" s="9946"/>
      <c r="L18" s="9946"/>
      <c r="M18" s="9946"/>
      <c r="N18" s="9946"/>
      <c r="O18" s="9946"/>
      <c r="P18" s="9946"/>
      <c r="Q18" s="9946"/>
      <c r="R18" s="9946"/>
      <c r="S18" s="9946"/>
      <c r="T18" s="9946"/>
      <c r="U18" s="9947"/>
      <c r="V18" s="9938"/>
      <c r="W18" s="9939"/>
      <c r="X18" s="9939"/>
      <c r="Y18" s="9939"/>
      <c r="Z18" s="9939"/>
      <c r="AA18" s="9940"/>
      <c r="AB18" s="9948"/>
      <c r="AC18" s="9123"/>
      <c r="AD18" s="9123"/>
      <c r="AE18" s="9123"/>
      <c r="AF18" s="9123"/>
      <c r="AG18" s="9123"/>
      <c r="AH18" s="2757"/>
      <c r="AJ18" s="3014"/>
    </row>
    <row r="19" spans="1:38" ht="17.25" customHeight="1">
      <c r="A19" s="2757"/>
      <c r="B19" s="9941" t="s">
        <v>3880</v>
      </c>
      <c r="C19" s="8544"/>
      <c r="D19" s="9942"/>
      <c r="E19" s="9943"/>
      <c r="F19" s="9943"/>
      <c r="G19" s="9943"/>
      <c r="H19" s="9943"/>
      <c r="I19" s="9943"/>
      <c r="J19" s="9943"/>
      <c r="K19" s="9943"/>
      <c r="L19" s="9943"/>
      <c r="M19" s="9943"/>
      <c r="N19" s="9943"/>
      <c r="O19" s="9943"/>
      <c r="P19" s="9943"/>
      <c r="Q19" s="9943"/>
      <c r="R19" s="9943"/>
      <c r="S19" s="9943"/>
      <c r="T19" s="9943"/>
      <c r="U19" s="9944"/>
      <c r="V19" s="9509"/>
      <c r="W19" s="9510"/>
      <c r="X19" s="9510"/>
      <c r="Y19" s="9510"/>
      <c r="Z19" s="9510"/>
      <c r="AA19" s="9511"/>
      <c r="AB19" s="7872"/>
      <c r="AC19" s="8533"/>
      <c r="AD19" s="8533"/>
      <c r="AE19" s="8533"/>
      <c r="AF19" s="8533"/>
      <c r="AG19" s="8533"/>
      <c r="AH19" s="2757"/>
      <c r="AJ19" s="3014"/>
    </row>
    <row r="20" spans="1:38" ht="17.25" customHeight="1">
      <c r="A20" s="2757"/>
      <c r="B20" s="8543"/>
      <c r="C20" s="7740"/>
      <c r="D20" s="9945"/>
      <c r="E20" s="9946"/>
      <c r="F20" s="9946"/>
      <c r="G20" s="9946"/>
      <c r="H20" s="9946"/>
      <c r="I20" s="9946"/>
      <c r="J20" s="9946"/>
      <c r="K20" s="9946"/>
      <c r="L20" s="9946"/>
      <c r="M20" s="9946"/>
      <c r="N20" s="9946"/>
      <c r="O20" s="9946"/>
      <c r="P20" s="9946"/>
      <c r="Q20" s="9946"/>
      <c r="R20" s="9946"/>
      <c r="S20" s="9946"/>
      <c r="T20" s="9946"/>
      <c r="U20" s="9947"/>
      <c r="V20" s="9938"/>
      <c r="W20" s="9939"/>
      <c r="X20" s="9939"/>
      <c r="Y20" s="9939"/>
      <c r="Z20" s="9939"/>
      <c r="AA20" s="9940"/>
      <c r="AB20" s="9948"/>
      <c r="AC20" s="9123"/>
      <c r="AD20" s="9123"/>
      <c r="AE20" s="9123"/>
      <c r="AF20" s="9123"/>
      <c r="AG20" s="9123"/>
      <c r="AH20" s="2757"/>
      <c r="AJ20" s="6647" t="s">
        <v>1736</v>
      </c>
    </row>
    <row r="21" spans="1:38" ht="17.25" customHeight="1">
      <c r="A21" s="2757"/>
      <c r="B21" s="9941" t="s">
        <v>3881</v>
      </c>
      <c r="C21" s="8544"/>
      <c r="D21" s="9942"/>
      <c r="E21" s="9943"/>
      <c r="F21" s="9943"/>
      <c r="G21" s="9943"/>
      <c r="H21" s="9943"/>
      <c r="I21" s="9943"/>
      <c r="J21" s="9943"/>
      <c r="K21" s="9943"/>
      <c r="L21" s="9943"/>
      <c r="M21" s="9943"/>
      <c r="N21" s="9943"/>
      <c r="O21" s="9943"/>
      <c r="P21" s="9943"/>
      <c r="Q21" s="9943"/>
      <c r="R21" s="9943"/>
      <c r="S21" s="9943"/>
      <c r="T21" s="9943"/>
      <c r="U21" s="9944"/>
      <c r="V21" s="9509"/>
      <c r="W21" s="9510"/>
      <c r="X21" s="9510"/>
      <c r="Y21" s="9510"/>
      <c r="Z21" s="9510"/>
      <c r="AA21" s="9511"/>
      <c r="AB21" s="7872"/>
      <c r="AC21" s="8533"/>
      <c r="AD21" s="8533"/>
      <c r="AE21" s="8533"/>
      <c r="AF21" s="8533"/>
      <c r="AG21" s="8533"/>
      <c r="AH21" s="2757"/>
      <c r="AJ21" s="6648"/>
    </row>
    <row r="22" spans="1:38" ht="17.25" customHeight="1">
      <c r="A22" s="2757"/>
      <c r="B22" s="8543"/>
      <c r="C22" s="7740"/>
      <c r="D22" s="9945"/>
      <c r="E22" s="9946"/>
      <c r="F22" s="9946"/>
      <c r="G22" s="9946"/>
      <c r="H22" s="9946"/>
      <c r="I22" s="9946"/>
      <c r="J22" s="9946"/>
      <c r="K22" s="9946"/>
      <c r="L22" s="9946"/>
      <c r="M22" s="9946"/>
      <c r="N22" s="9946"/>
      <c r="O22" s="9946"/>
      <c r="P22" s="9946"/>
      <c r="Q22" s="9946"/>
      <c r="R22" s="9946"/>
      <c r="S22" s="9946"/>
      <c r="T22" s="9946"/>
      <c r="U22" s="9947"/>
      <c r="V22" s="9938"/>
      <c r="W22" s="9939"/>
      <c r="X22" s="9939"/>
      <c r="Y22" s="9939"/>
      <c r="Z22" s="9939"/>
      <c r="AA22" s="9940"/>
      <c r="AB22" s="9948"/>
      <c r="AC22" s="9123"/>
      <c r="AD22" s="9123"/>
      <c r="AE22" s="9123"/>
      <c r="AF22" s="9123"/>
      <c r="AG22" s="9123"/>
      <c r="AH22" s="2757"/>
      <c r="AJ22" s="6649"/>
    </row>
    <row r="23" spans="1:38" ht="14.25" customHeight="1">
      <c r="A23" s="2757"/>
      <c r="B23" s="2703"/>
      <c r="C23" s="2701"/>
      <c r="D23" s="1179"/>
      <c r="E23" s="1179"/>
      <c r="F23" s="1824"/>
      <c r="G23" s="1276"/>
      <c r="H23" s="1179"/>
      <c r="I23" s="1179"/>
      <c r="J23" s="1179"/>
      <c r="K23" s="1179"/>
      <c r="L23" s="1179"/>
      <c r="M23" s="1179"/>
      <c r="N23" s="1179"/>
      <c r="O23" s="1179"/>
      <c r="P23" s="1179"/>
      <c r="Q23" s="1179"/>
      <c r="R23" s="1179"/>
      <c r="S23" s="1179"/>
      <c r="T23" s="1179"/>
      <c r="U23" s="1179"/>
      <c r="V23" s="1555"/>
      <c r="W23" s="2784"/>
      <c r="X23" s="4171"/>
      <c r="Y23" s="4171"/>
      <c r="Z23" s="4171"/>
      <c r="AA23" s="4171"/>
      <c r="AB23" s="4175"/>
      <c r="AC23" s="2784"/>
      <c r="AD23" s="4171"/>
      <c r="AE23" s="4171"/>
      <c r="AF23" s="4171"/>
      <c r="AG23" s="4171"/>
      <c r="AH23" s="2757"/>
      <c r="AJ23" s="385"/>
    </row>
    <row r="24" spans="1:38" ht="14.25" customHeight="1">
      <c r="A24" s="2757"/>
      <c r="B24" s="7717">
        <v>2</v>
      </c>
      <c r="C24" s="8014"/>
      <c r="D24" s="1540" t="s">
        <v>3441</v>
      </c>
      <c r="E24" s="1179"/>
      <c r="F24" s="1824"/>
      <c r="G24" s="1276"/>
      <c r="H24" s="1179"/>
      <c r="I24" s="1179"/>
      <c r="J24" s="1179"/>
      <c r="K24" s="1179"/>
      <c r="L24" s="1179"/>
      <c r="M24" s="1179"/>
      <c r="N24" s="1179"/>
      <c r="O24" s="1179"/>
      <c r="P24" s="1179"/>
      <c r="Q24" s="1179"/>
      <c r="R24" s="1179"/>
      <c r="S24" s="1179"/>
      <c r="T24" s="1179"/>
      <c r="U24" s="1179"/>
      <c r="V24" s="1558"/>
      <c r="W24" s="3717"/>
      <c r="X24" s="1283"/>
      <c r="Y24" s="1283"/>
      <c r="Z24" s="1283"/>
      <c r="AA24" s="1283"/>
      <c r="AB24" s="3009"/>
      <c r="AC24" s="3717"/>
      <c r="AD24" s="1283"/>
      <c r="AE24" s="1283"/>
      <c r="AF24" s="1283"/>
      <c r="AG24" s="1283"/>
      <c r="AH24" s="2757"/>
      <c r="AJ24" s="385"/>
    </row>
    <row r="25" spans="1:38" ht="14.25" customHeight="1">
      <c r="A25" s="2757"/>
      <c r="B25" s="7717"/>
      <c r="C25" s="8014"/>
      <c r="D25" s="1540" t="s">
        <v>3440</v>
      </c>
      <c r="E25" s="1179"/>
      <c r="F25" s="1824"/>
      <c r="G25" s="1276"/>
      <c r="H25" s="1179"/>
      <c r="I25" s="1179"/>
      <c r="J25" s="1179"/>
      <c r="K25" s="1179"/>
      <c r="L25" s="1179"/>
      <c r="M25" s="1179"/>
      <c r="N25" s="1179"/>
      <c r="O25" s="1179"/>
      <c r="P25" s="1179"/>
      <c r="Q25" s="1179"/>
      <c r="R25" s="1179"/>
      <c r="S25" s="1179"/>
      <c r="T25" s="1179"/>
      <c r="U25" s="1560" t="s">
        <v>805</v>
      </c>
      <c r="V25" s="1557">
        <v>2</v>
      </c>
      <c r="W25" s="9970" t="str">
        <f>IF(AL25,IF(AJ25&lt;&gt;"",ROUND(AJ25,0),SUM(ROUND(AB14,0),ROUND(AB16,0),ROUND(AB18,0),ROUND(AB20,0),ROUND(AB22,0))),"")</f>
        <v/>
      </c>
      <c r="X25" s="9971"/>
      <c r="Y25" s="9971"/>
      <c r="Z25" s="9971"/>
      <c r="AA25" s="9972"/>
      <c r="AB25" s="3009"/>
      <c r="AC25" s="3717"/>
      <c r="AD25" s="1283"/>
      <c r="AE25" s="1283"/>
      <c r="AF25" s="1283"/>
      <c r="AG25" s="1283"/>
      <c r="AH25" s="2757"/>
      <c r="AJ25" s="3148"/>
      <c r="AL25" s="3381" t="b">
        <f>OR(AJ25&lt;&gt;"",SUM(AB14,AB16,AB18,AB20,AB22)&gt;0)</f>
        <v>0</v>
      </c>
    </row>
    <row r="26" spans="1:38" ht="14.25" customHeight="1">
      <c r="A26" s="2757"/>
      <c r="B26" s="7717">
        <v>3</v>
      </c>
      <c r="C26" s="8014"/>
      <c r="D26" s="1540" t="s">
        <v>3439</v>
      </c>
      <c r="E26" s="1179"/>
      <c r="F26" s="1824"/>
      <c r="G26" s="1276"/>
      <c r="H26" s="1179"/>
      <c r="I26" s="1179"/>
      <c r="J26" s="1179"/>
      <c r="K26" s="1179"/>
      <c r="L26" s="1179"/>
      <c r="M26" s="1179"/>
      <c r="N26" s="1179"/>
      <c r="O26" s="1179"/>
      <c r="P26" s="1179"/>
      <c r="Q26" s="1179"/>
      <c r="R26" s="1179"/>
      <c r="S26" s="1179"/>
      <c r="T26" s="1179"/>
      <c r="U26" s="1560" t="s">
        <v>2910</v>
      </c>
      <c r="V26" s="1557">
        <v>3</v>
      </c>
      <c r="W26" s="4176" t="s">
        <v>916</v>
      </c>
      <c r="X26" s="9973"/>
      <c r="Y26" s="9973"/>
      <c r="Z26" s="9973"/>
      <c r="AA26" s="4177" t="s">
        <v>917</v>
      </c>
      <c r="AB26" s="3009"/>
      <c r="AC26" s="3717"/>
      <c r="AD26" s="1283"/>
      <c r="AE26" s="1283"/>
      <c r="AF26" s="1283"/>
      <c r="AG26" s="1283"/>
      <c r="AH26" s="2757"/>
      <c r="AJ26" s="385"/>
      <c r="AL26" s="3381" t="b">
        <f>X26&lt;&gt;""</f>
        <v>0</v>
      </c>
    </row>
    <row r="27" spans="1:38" ht="14.25" customHeight="1">
      <c r="A27" s="2757"/>
      <c r="B27" s="7717">
        <v>4</v>
      </c>
      <c r="C27" s="8014"/>
      <c r="D27" s="2686" t="s">
        <v>4286</v>
      </c>
      <c r="E27" s="1179"/>
      <c r="F27" s="1824"/>
      <c r="G27" s="1276"/>
      <c r="H27" s="1179"/>
      <c r="I27" s="1179"/>
      <c r="J27" s="1179"/>
      <c r="K27" s="1179"/>
      <c r="L27" s="1179"/>
      <c r="M27" s="1179"/>
      <c r="N27" s="1179"/>
      <c r="O27" s="1179"/>
      <c r="P27" s="1179"/>
      <c r="Q27" s="1179"/>
      <c r="R27" s="1179"/>
      <c r="S27" s="1179"/>
      <c r="T27" s="1179"/>
      <c r="U27" s="1179"/>
      <c r="V27" s="1557">
        <v>4</v>
      </c>
      <c r="W27" s="9975" t="str">
        <f>IF(AL27,MAX(0,SUM(W25,-ROUND(X26,0))),"")</f>
        <v/>
      </c>
      <c r="X27" s="9976"/>
      <c r="Y27" s="9976"/>
      <c r="Z27" s="9976"/>
      <c r="AA27" s="9976"/>
      <c r="AB27" s="3009"/>
      <c r="AC27" s="8551">
        <v>0.2</v>
      </c>
      <c r="AD27" s="8552"/>
      <c r="AE27" s="8552"/>
      <c r="AF27" s="8552"/>
      <c r="AG27" s="8552"/>
      <c r="AH27" s="2757"/>
      <c r="AJ27" s="385"/>
      <c r="AL27" s="3381" t="b">
        <f>OR(AND(W25&lt;&gt;"",W25&gt;=0),X26&lt;&gt;"")</f>
        <v>0</v>
      </c>
    </row>
    <row r="28" spans="1:38" ht="14.25" customHeight="1">
      <c r="A28" s="2757"/>
      <c r="B28" s="7717">
        <v>5</v>
      </c>
      <c r="C28" s="8014"/>
      <c r="D28" s="2686" t="str">
        <f>"Qualified business income component. Multiply line 4 by "&amp;TEXT(AC27,"0%")&amp;" ("&amp;TEXT(AC27,"0.00"&amp;")")</f>
        <v>Qualified business income component. Multiply line 4 by 20% (0.20)</v>
      </c>
      <c r="E28" s="1179"/>
      <c r="F28" s="1824"/>
      <c r="G28" s="1276"/>
      <c r="H28" s="1179"/>
      <c r="I28" s="1179"/>
      <c r="J28" s="1179"/>
      <c r="K28" s="1179"/>
      <c r="L28" s="1179"/>
      <c r="M28" s="1179"/>
      <c r="N28" s="1179"/>
      <c r="O28" s="1179"/>
      <c r="P28" s="1179"/>
      <c r="Q28" s="1179"/>
      <c r="R28" s="1179"/>
      <c r="S28" s="1179"/>
      <c r="T28" s="1179"/>
      <c r="U28" s="1179"/>
      <c r="V28" s="1258"/>
      <c r="W28" s="1179"/>
      <c r="X28" s="1179"/>
      <c r="Y28" s="1179"/>
      <c r="Z28" s="1179"/>
      <c r="AA28" s="1560" t="s">
        <v>1625</v>
      </c>
      <c r="AB28" s="1557">
        <v>5</v>
      </c>
      <c r="AC28" s="9974" t="str">
        <f>IF(AND(AL11,AL28),IF(AJ28&lt;&gt;"",ROUND(AJ28,0),ROUND(W27*AC27,0)),"")</f>
        <v/>
      </c>
      <c r="AD28" s="9532"/>
      <c r="AE28" s="9532"/>
      <c r="AF28" s="9532"/>
      <c r="AG28" s="9532"/>
      <c r="AH28" s="2757"/>
      <c r="AJ28" s="3148"/>
      <c r="AL28" s="1286" t="b">
        <f>OR(AJ28&lt;&gt;"",AND(W27&lt;&gt;"",AC27&lt;&gt;""))</f>
        <v>0</v>
      </c>
    </row>
    <row r="29" spans="1:38" ht="14.25" customHeight="1">
      <c r="A29" s="2757"/>
      <c r="B29" s="7717">
        <v>6</v>
      </c>
      <c r="C29" s="8014"/>
      <c r="D29" s="2686" t="s">
        <v>3445</v>
      </c>
      <c r="E29" s="1179"/>
      <c r="F29" s="1824"/>
      <c r="G29" s="1276"/>
      <c r="H29" s="1179"/>
      <c r="I29" s="1179"/>
      <c r="J29" s="1179"/>
      <c r="K29" s="1179"/>
      <c r="L29" s="1179"/>
      <c r="M29" s="1179"/>
      <c r="N29" s="1179"/>
      <c r="O29" s="1179"/>
      <c r="P29" s="1179"/>
      <c r="Q29" s="1179"/>
      <c r="R29" s="1179"/>
      <c r="S29" s="1179"/>
      <c r="T29" s="1179"/>
      <c r="U29" s="1179"/>
      <c r="V29" s="1558"/>
      <c r="W29" s="3717"/>
      <c r="X29" s="1283"/>
      <c r="Y29" s="1283"/>
      <c r="Z29" s="1283"/>
      <c r="AA29" s="1283"/>
      <c r="AB29" s="4175"/>
      <c r="AC29" s="3717"/>
      <c r="AD29" s="1283"/>
      <c r="AE29" s="1283"/>
      <c r="AF29" s="1283"/>
      <c r="AG29" s="1283"/>
      <c r="AH29" s="2757"/>
      <c r="AJ29" s="385"/>
      <c r="AL29" s="1286"/>
    </row>
    <row r="30" spans="1:38" ht="14.25" customHeight="1">
      <c r="A30" s="2757"/>
      <c r="B30" s="7717"/>
      <c r="C30" s="8014"/>
      <c r="D30" s="2686" t="s">
        <v>1794</v>
      </c>
      <c r="E30" s="1179"/>
      <c r="F30" s="1824"/>
      <c r="G30" s="1276"/>
      <c r="H30" s="1179"/>
      <c r="I30" s="1179"/>
      <c r="J30" s="1179"/>
      <c r="K30" s="1179"/>
      <c r="L30" s="1179"/>
      <c r="M30" s="1179"/>
      <c r="N30" s="1179"/>
      <c r="O30" s="1179"/>
      <c r="P30" s="1179"/>
      <c r="Q30" s="1179"/>
      <c r="R30" s="1179"/>
      <c r="S30" s="1179"/>
      <c r="T30" s="1179"/>
      <c r="U30" s="1560" t="s">
        <v>2395</v>
      </c>
      <c r="V30" s="1557">
        <v>6</v>
      </c>
      <c r="W30" s="9974" t="str">
        <f>IF(AL30,IF(AJ30&lt;&gt;"",ROUND(AJ30,0),Sect199ADividends),"")</f>
        <v/>
      </c>
      <c r="X30" s="9532"/>
      <c r="Y30" s="9532"/>
      <c r="Z30" s="9532"/>
      <c r="AA30" s="9532"/>
      <c r="AB30" s="3009"/>
      <c r="AC30" s="3717"/>
      <c r="AD30" s="1283"/>
      <c r="AE30" s="1283"/>
      <c r="AF30" s="1283"/>
      <c r="AG30" s="1283"/>
      <c r="AH30" s="2757"/>
      <c r="AJ30" s="3148"/>
      <c r="AL30" s="1286" t="b">
        <f>AND(NOT(AL9),OR(AJ30&lt;&gt;"",AND(Sect199ADividends&lt;&gt;"",Sect199ADividends&gt;0)))</f>
        <v>0</v>
      </c>
    </row>
    <row r="31" spans="1:38" ht="14.25" customHeight="1">
      <c r="A31" s="2757"/>
      <c r="B31" s="7717">
        <v>7</v>
      </c>
      <c r="C31" s="8014"/>
      <c r="D31" s="2686" t="s">
        <v>3446</v>
      </c>
      <c r="E31" s="1179"/>
      <c r="F31" s="1824"/>
      <c r="G31" s="1276"/>
      <c r="H31" s="1179"/>
      <c r="I31" s="1179"/>
      <c r="J31" s="1179"/>
      <c r="K31" s="1179"/>
      <c r="L31" s="1179"/>
      <c r="M31" s="1179"/>
      <c r="N31" s="1179"/>
      <c r="O31" s="1179"/>
      <c r="P31" s="1179"/>
      <c r="Q31" s="1179"/>
      <c r="R31" s="1179"/>
      <c r="S31" s="1179"/>
      <c r="T31" s="1179"/>
      <c r="U31" s="1179"/>
      <c r="V31" s="1558"/>
      <c r="W31" s="3717"/>
      <c r="X31" s="1283"/>
      <c r="Y31" s="1283"/>
      <c r="Z31" s="1283"/>
      <c r="AA31" s="1283"/>
      <c r="AB31" s="3009"/>
      <c r="AC31" s="3717"/>
      <c r="AD31" s="1283"/>
      <c r="AE31" s="1283"/>
      <c r="AF31" s="1283"/>
      <c r="AG31" s="1283"/>
      <c r="AH31" s="2757"/>
      <c r="AJ31" s="385"/>
      <c r="AL31" s="1286"/>
    </row>
    <row r="32" spans="1:38" ht="14.25" customHeight="1">
      <c r="A32" s="2757"/>
      <c r="B32" s="7717"/>
      <c r="C32" s="8014"/>
      <c r="D32" s="1540" t="s">
        <v>992</v>
      </c>
      <c r="E32" s="1179"/>
      <c r="F32" s="1824"/>
      <c r="G32" s="1276"/>
      <c r="H32" s="1179"/>
      <c r="I32" s="1179"/>
      <c r="J32" s="1179"/>
      <c r="K32" s="1179"/>
      <c r="L32" s="1179"/>
      <c r="M32" s="1179"/>
      <c r="N32" s="1179"/>
      <c r="O32" s="1179"/>
      <c r="P32" s="1179"/>
      <c r="Q32" s="1179"/>
      <c r="R32" s="1179"/>
      <c r="S32" s="1179"/>
      <c r="T32" s="1179"/>
      <c r="U32" s="1560" t="s">
        <v>2524</v>
      </c>
      <c r="V32" s="1557">
        <v>7</v>
      </c>
      <c r="W32" s="4176" t="s">
        <v>916</v>
      </c>
      <c r="X32" s="9123"/>
      <c r="Y32" s="9123"/>
      <c r="Z32" s="9123"/>
      <c r="AA32" s="4177" t="s">
        <v>917</v>
      </c>
      <c r="AB32" s="3009"/>
      <c r="AC32" s="3717"/>
      <c r="AD32" s="1283"/>
      <c r="AE32" s="1283"/>
      <c r="AF32" s="1283"/>
      <c r="AG32" s="1283"/>
      <c r="AH32" s="2757"/>
      <c r="AJ32" s="385"/>
      <c r="AL32" s="1286"/>
    </row>
    <row r="33" spans="1:38" ht="14.25" customHeight="1">
      <c r="A33" s="2757"/>
      <c r="B33" s="7717">
        <v>8</v>
      </c>
      <c r="C33" s="8014"/>
      <c r="D33" s="2686" t="s">
        <v>3447</v>
      </c>
      <c r="E33" s="1179"/>
      <c r="F33" s="1824"/>
      <c r="G33" s="1276"/>
      <c r="H33" s="1179"/>
      <c r="I33" s="1179"/>
      <c r="J33" s="1179"/>
      <c r="K33" s="1179"/>
      <c r="L33" s="1179"/>
      <c r="M33" s="1179"/>
      <c r="N33" s="1179"/>
      <c r="O33" s="1179"/>
      <c r="P33" s="1179"/>
      <c r="Q33" s="1179"/>
      <c r="R33" s="1179"/>
      <c r="S33" s="1179"/>
      <c r="T33" s="1179"/>
      <c r="U33" s="1179"/>
      <c r="V33" s="1558"/>
      <c r="W33" s="9977">
        <f>IF(X32&gt;0,-X32,X32)</f>
        <v>0</v>
      </c>
      <c r="X33" s="9978"/>
      <c r="Y33" s="9978"/>
      <c r="Z33" s="9978"/>
      <c r="AA33" s="9979"/>
      <c r="AB33" s="3009"/>
      <c r="AC33" s="3717"/>
      <c r="AD33" s="1283"/>
      <c r="AE33" s="1283"/>
      <c r="AF33" s="1283"/>
      <c r="AG33" s="1283"/>
      <c r="AH33" s="2757"/>
      <c r="AJ33" s="385"/>
      <c r="AL33" s="1286"/>
    </row>
    <row r="34" spans="1:38" ht="14.25" customHeight="1">
      <c r="A34" s="2757"/>
      <c r="B34" s="7717"/>
      <c r="C34" s="8014"/>
      <c r="D34" s="2686" t="s">
        <v>3448</v>
      </c>
      <c r="E34" s="1179"/>
      <c r="F34" s="1824"/>
      <c r="G34" s="1276"/>
      <c r="H34" s="1179"/>
      <c r="I34" s="1179"/>
      <c r="J34" s="1179"/>
      <c r="K34" s="1179"/>
      <c r="L34" s="1179"/>
      <c r="M34" s="1179"/>
      <c r="N34" s="1179"/>
      <c r="O34" s="1179"/>
      <c r="P34" s="1179"/>
      <c r="Q34" s="1179"/>
      <c r="R34" s="1179"/>
      <c r="S34" s="1179"/>
      <c r="T34" s="1179"/>
      <c r="U34" s="1560" t="s">
        <v>2395</v>
      </c>
      <c r="V34" s="1557">
        <v>8</v>
      </c>
      <c r="W34" s="9974" t="str">
        <f>IF(AL34,IF(AJ34&lt;&gt;"",ROUND(AJ34,0),MAX(0,SUM(W30,W33))),"")</f>
        <v/>
      </c>
      <c r="X34" s="9532"/>
      <c r="Y34" s="9532"/>
      <c r="Z34" s="9532"/>
      <c r="AA34" s="9532"/>
      <c r="AB34" s="3009"/>
      <c r="AC34" s="3717"/>
      <c r="AD34" s="1283"/>
      <c r="AE34" s="1283"/>
      <c r="AF34" s="1283"/>
      <c r="AG34" s="1283"/>
      <c r="AH34" s="2757"/>
      <c r="AJ34" s="3148"/>
      <c r="AL34" s="1286" t="b">
        <f>OR(AJ34&lt;&gt;"",AND(W30&lt;&gt;"",W30&lt;&gt;0),AND(W33&lt;&gt;"",W33&lt;&gt;0))</f>
        <v>0</v>
      </c>
    </row>
    <row r="35" spans="1:38" ht="14.25" customHeight="1">
      <c r="A35" s="2757"/>
      <c r="B35" s="7717">
        <v>9</v>
      </c>
      <c r="C35" s="8014"/>
      <c r="D35" s="2686" t="str">
        <f>"REIT and PTP component. Multiply line 8 by "&amp;TEXT(AC27,"0%")&amp;" ("&amp;TEXT(AC27,"0.00")&amp;")"</f>
        <v>REIT and PTP component. Multiply line 8 by 20% (0.20)</v>
      </c>
      <c r="E35" s="1179"/>
      <c r="F35" s="1824"/>
      <c r="G35" s="1276"/>
      <c r="H35" s="1179"/>
      <c r="I35" s="1179"/>
      <c r="J35" s="1179"/>
      <c r="K35" s="1179"/>
      <c r="L35" s="1179"/>
      <c r="M35" s="1179"/>
      <c r="N35" s="1179"/>
      <c r="O35" s="1179"/>
      <c r="P35" s="1179"/>
      <c r="Q35" s="1179"/>
      <c r="R35" s="1179"/>
      <c r="S35" s="1179"/>
      <c r="T35" s="1179"/>
      <c r="U35" s="1179"/>
      <c r="V35" s="1258"/>
      <c r="W35" s="1179"/>
      <c r="X35" s="1179"/>
      <c r="Y35" s="1179"/>
      <c r="Z35" s="1179"/>
      <c r="AA35" s="1560" t="s">
        <v>2211</v>
      </c>
      <c r="AB35" s="1557">
        <v>9</v>
      </c>
      <c r="AC35" s="9974" t="str">
        <f>IF(AL35,ROUND(W34*AC27,0),"")</f>
        <v/>
      </c>
      <c r="AD35" s="9532"/>
      <c r="AE35" s="9532"/>
      <c r="AF35" s="9532"/>
      <c r="AG35" s="9532"/>
      <c r="AH35" s="2757"/>
      <c r="AJ35" s="385"/>
      <c r="AL35" s="1286" t="b">
        <f>AND(AL11,AL34,AC27&lt;&gt;"",AC27&lt;&gt;0)</f>
        <v>0</v>
      </c>
    </row>
    <row r="36" spans="1:38" ht="14.25" customHeight="1">
      <c r="A36" s="2757"/>
      <c r="B36" s="7717">
        <v>10</v>
      </c>
      <c r="C36" s="8014"/>
      <c r="D36" s="2686" t="s">
        <v>2572</v>
      </c>
      <c r="E36" s="1179"/>
      <c r="F36" s="1824"/>
      <c r="G36" s="1276"/>
      <c r="H36" s="1179"/>
      <c r="I36" s="1179"/>
      <c r="J36" s="1179"/>
      <c r="K36" s="1179"/>
      <c r="L36" s="1179"/>
      <c r="M36" s="1179"/>
      <c r="N36" s="1179"/>
      <c r="O36" s="1179"/>
      <c r="P36" s="1179"/>
      <c r="Q36" s="1179"/>
      <c r="R36" s="1179"/>
      <c r="S36" s="1179"/>
      <c r="T36" s="1179"/>
      <c r="U36" s="1179"/>
      <c r="V36" s="1258"/>
      <c r="W36" s="1179"/>
      <c r="X36" s="1179"/>
      <c r="Y36" s="1179"/>
      <c r="Z36" s="1179"/>
      <c r="AA36" s="4170"/>
      <c r="AB36" s="1557">
        <v>10</v>
      </c>
      <c r="AC36" s="9974" t="str">
        <f>IF(AL11,SUM(AC28,AC35),"")</f>
        <v/>
      </c>
      <c r="AD36" s="9532"/>
      <c r="AE36" s="9532"/>
      <c r="AF36" s="9532"/>
      <c r="AG36" s="9532"/>
      <c r="AH36" s="2757"/>
      <c r="AJ36" s="385"/>
      <c r="AL36" s="1286" t="b">
        <f>OR(AL11,AC28&lt;&gt;"",AC35&lt;&gt;"")</f>
        <v>0</v>
      </c>
    </row>
    <row r="37" spans="1:38" ht="14.25" customHeight="1">
      <c r="A37" s="2757"/>
      <c r="B37" s="7717">
        <v>11</v>
      </c>
      <c r="C37" s="8014"/>
      <c r="D37" s="2686" t="s">
        <v>3449</v>
      </c>
      <c r="E37" s="1179"/>
      <c r="F37" s="1824"/>
      <c r="G37" s="1276"/>
      <c r="H37" s="1179"/>
      <c r="I37" s="1179"/>
      <c r="J37" s="1179"/>
      <c r="K37" s="1179"/>
      <c r="L37" s="1179"/>
      <c r="M37" s="1179"/>
      <c r="N37" s="1179"/>
      <c r="O37" s="1179"/>
      <c r="P37" s="1179"/>
      <c r="Q37" s="1179"/>
      <c r="R37" s="1179"/>
      <c r="S37" s="1179"/>
      <c r="T37" s="1179"/>
      <c r="U37" s="1560" t="s">
        <v>2415</v>
      </c>
      <c r="V37" s="1557">
        <v>11</v>
      </c>
      <c r="W37" s="9970" t="str">
        <f>IF(NOT(AL37),"",IF(AJ37&lt;&gt;"",ROUND(AJ37,0),IF(DeductPlusCharity="",Adj_Gross_Inc,SUM(Adj_Gross_Inc,-DeductPlusCharity))))</f>
        <v/>
      </c>
      <c r="X37" s="9980"/>
      <c r="Y37" s="9980"/>
      <c r="Z37" s="9980"/>
      <c r="AA37" s="9981"/>
      <c r="AB37" s="4175"/>
      <c r="AC37" s="3717"/>
      <c r="AD37" s="1283"/>
      <c r="AE37" s="1283"/>
      <c r="AF37" s="1283"/>
      <c r="AG37" s="1283"/>
      <c r="AH37" s="2757"/>
      <c r="AJ37" s="3148"/>
      <c r="AL37" s="1286" t="b">
        <f>AND(AL11,OR(AJ37&lt;&gt;"",NOT(ISERROR(SUM(Adj_Gross_Inc,-Deductions)))))</f>
        <v>0</v>
      </c>
    </row>
    <row r="38" spans="1:38" ht="14.25" customHeight="1">
      <c r="A38" s="2757"/>
      <c r="B38" s="7717">
        <v>12</v>
      </c>
      <c r="C38" s="8014"/>
      <c r="D38" s="2686" t="s">
        <v>3450</v>
      </c>
      <c r="E38" s="1179"/>
      <c r="F38" s="1824"/>
      <c r="G38" s="1276"/>
      <c r="H38" s="1179"/>
      <c r="I38" s="1179"/>
      <c r="J38" s="1179"/>
      <c r="K38" s="1179"/>
      <c r="L38" s="1179"/>
      <c r="M38" s="1179"/>
      <c r="N38" s="1179"/>
      <c r="O38" s="1179"/>
      <c r="P38" s="1179"/>
      <c r="Q38" s="1179"/>
      <c r="R38" s="1179"/>
      <c r="S38" s="1179"/>
      <c r="T38" s="1179"/>
      <c r="U38" s="1560" t="s">
        <v>2211</v>
      </c>
      <c r="V38" s="1557">
        <v>12</v>
      </c>
      <c r="W38" s="9970" t="str">
        <f>IF(AJ38&lt;&gt;"",ROUND(AJ38,0),IF(AL11,SUM(Qualified_Dividends,NetCapitalGain),""))</f>
        <v/>
      </c>
      <c r="X38" s="9980"/>
      <c r="Y38" s="9980"/>
      <c r="Z38" s="9980"/>
      <c r="AA38" s="9981"/>
      <c r="AB38" s="3009"/>
      <c r="AC38" s="9468">
        <f>IF(SchD_NotReqd,CapitalGains,IF(OR(SchDLine15&lt;=0,SchDLine16&lt;=0),0,MIN(SchDLine15,SchDLine16)))</f>
        <v>0</v>
      </c>
      <c r="AD38" s="9982"/>
      <c r="AE38" s="9982"/>
      <c r="AF38" s="9982"/>
      <c r="AG38" s="9982"/>
      <c r="AH38" s="2757"/>
      <c r="AJ38" s="3148"/>
    </row>
    <row r="39" spans="1:38" ht="14.25" customHeight="1">
      <c r="A39" s="2757"/>
      <c r="B39" s="7717">
        <v>13</v>
      </c>
      <c r="C39" s="8014"/>
      <c r="D39" s="2686" t="s">
        <v>2297</v>
      </c>
      <c r="E39" s="1179"/>
      <c r="F39" s="1824"/>
      <c r="G39" s="1276"/>
      <c r="H39" s="1179"/>
      <c r="I39" s="1179"/>
      <c r="J39" s="1179"/>
      <c r="K39" s="1179"/>
      <c r="L39" s="1179"/>
      <c r="M39" s="1179"/>
      <c r="N39" s="1179"/>
      <c r="O39" s="1179"/>
      <c r="P39" s="1179"/>
      <c r="Q39" s="1179"/>
      <c r="R39" s="1179"/>
      <c r="S39" s="1179"/>
      <c r="T39" s="1179"/>
      <c r="U39" s="1560" t="s">
        <v>2514</v>
      </c>
      <c r="V39" s="1557">
        <v>13</v>
      </c>
      <c r="W39" s="9975" t="str">
        <f>IF(AL11,MAX(0,SUM(W37,-W38)),"")</f>
        <v/>
      </c>
      <c r="X39" s="9983"/>
      <c r="Y39" s="9983"/>
      <c r="Z39" s="9983"/>
      <c r="AA39" s="9983"/>
      <c r="AB39" s="3009"/>
      <c r="AC39" s="3717"/>
      <c r="AD39" s="1283"/>
      <c r="AE39" s="1283"/>
      <c r="AF39" s="1283"/>
      <c r="AG39" s="1283"/>
      <c r="AH39" s="2757"/>
      <c r="AJ39" s="385"/>
    </row>
    <row r="40" spans="1:38" ht="14.25" customHeight="1">
      <c r="A40" s="2757"/>
      <c r="B40" s="7717">
        <v>14</v>
      </c>
      <c r="C40" s="8014"/>
      <c r="D40" s="2686" t="str">
        <f>"Income limitation. Multiply line 13 by "&amp;TEXT(AC27,"0%")&amp;" ("&amp;TEXT(AC27,"0.00")&amp;")"</f>
        <v>Income limitation. Multiply line 13 by 20% (0.20)</v>
      </c>
      <c r="E40" s="1179"/>
      <c r="F40" s="1824"/>
      <c r="G40" s="1276"/>
      <c r="H40" s="1179"/>
      <c r="I40" s="1179"/>
      <c r="J40" s="1179"/>
      <c r="K40" s="1179"/>
      <c r="L40" s="1179"/>
      <c r="M40" s="1179"/>
      <c r="N40" s="1179"/>
      <c r="O40" s="1179"/>
      <c r="P40" s="1179"/>
      <c r="Q40" s="1179"/>
      <c r="R40" s="1179"/>
      <c r="S40" s="1179"/>
      <c r="T40" s="1179"/>
      <c r="U40" s="1179"/>
      <c r="V40" s="1258"/>
      <c r="W40" s="1179"/>
      <c r="X40" s="1179"/>
      <c r="Y40" s="1179"/>
      <c r="Z40" s="1179"/>
      <c r="AA40" s="1560" t="s">
        <v>604</v>
      </c>
      <c r="AB40" s="1557">
        <v>14</v>
      </c>
      <c r="AC40" s="9974" t="str">
        <f>IF(AL11,ROUND(W39*AC27,0),"")</f>
        <v/>
      </c>
      <c r="AD40" s="9532"/>
      <c r="AE40" s="9532"/>
      <c r="AF40" s="9532"/>
      <c r="AG40" s="9532"/>
      <c r="AH40" s="2757"/>
      <c r="AJ40" s="385"/>
    </row>
    <row r="41" spans="1:38" ht="14.25" customHeight="1">
      <c r="A41" s="2757"/>
      <c r="B41" s="7717">
        <v>15</v>
      </c>
      <c r="C41" s="8014"/>
      <c r="D41" s="2686" t="s">
        <v>4413</v>
      </c>
      <c r="E41" s="1179"/>
      <c r="F41" s="1824"/>
      <c r="G41" s="1276"/>
      <c r="H41" s="1179"/>
      <c r="I41" s="1179"/>
      <c r="J41" s="1179"/>
      <c r="K41" s="1179"/>
      <c r="L41" s="1179"/>
      <c r="M41" s="1179"/>
      <c r="N41" s="1179"/>
      <c r="O41" s="1179"/>
      <c r="P41" s="1179"/>
      <c r="Q41" s="1179"/>
      <c r="R41" s="1179"/>
      <c r="S41" s="1179"/>
      <c r="T41" s="1179"/>
      <c r="U41" s="1179"/>
      <c r="V41" s="1179"/>
      <c r="W41" s="1179"/>
      <c r="X41" s="1179"/>
      <c r="Y41" s="1179"/>
      <c r="Z41" s="1179"/>
      <c r="AA41" s="4169"/>
      <c r="AB41" s="3006"/>
      <c r="AC41" s="4100"/>
      <c r="AD41" s="4100"/>
      <c r="AE41" s="4100"/>
      <c r="AF41" s="4100"/>
      <c r="AG41" s="4168"/>
      <c r="AH41" s="2757"/>
      <c r="AJ41" s="385"/>
    </row>
    <row r="42" spans="1:38" ht="14.25" customHeight="1">
      <c r="A42" s="2757"/>
      <c r="B42" s="7717"/>
      <c r="C42" s="8014"/>
      <c r="D42" s="2686" t="s">
        <v>4287</v>
      </c>
      <c r="E42" s="1179"/>
      <c r="F42" s="1824"/>
      <c r="G42" s="1276"/>
      <c r="H42" s="1179"/>
      <c r="I42" s="1179"/>
      <c r="J42" s="1179"/>
      <c r="K42" s="1179"/>
      <c r="L42" s="1179"/>
      <c r="M42" s="1179"/>
      <c r="N42" s="1179"/>
      <c r="O42" s="1179"/>
      <c r="P42" s="1179"/>
      <c r="Q42" s="1179"/>
      <c r="R42" s="1179"/>
      <c r="S42" s="1179"/>
      <c r="T42" s="1179"/>
      <c r="U42" s="1179"/>
      <c r="V42" s="1258"/>
      <c r="W42" s="1179"/>
      <c r="X42" s="1179"/>
      <c r="Y42" s="1179"/>
      <c r="Z42" s="1179"/>
      <c r="AA42" s="1560" t="s">
        <v>4237</v>
      </c>
      <c r="AB42" s="1557">
        <v>15</v>
      </c>
      <c r="AC42" s="9974" t="str">
        <f>IF(AJ42&lt;&gt;"",ROUND(AJ42,0),IF(AL11,MIN(AC36,AC40),""))</f>
        <v/>
      </c>
      <c r="AD42" s="9532"/>
      <c r="AE42" s="9532"/>
      <c r="AF42" s="9532"/>
      <c r="AG42" s="9532"/>
      <c r="AH42" s="2757"/>
      <c r="AJ42" s="3148"/>
    </row>
    <row r="43" spans="1:38" ht="14.25" customHeight="1">
      <c r="A43" s="2757"/>
      <c r="B43" s="7717">
        <v>16</v>
      </c>
      <c r="C43" s="8014"/>
      <c r="D43" s="2686" t="s">
        <v>4285</v>
      </c>
      <c r="E43" s="1179"/>
      <c r="F43" s="1824"/>
      <c r="G43" s="1276"/>
      <c r="H43" s="1179"/>
      <c r="I43" s="1179"/>
      <c r="J43" s="1179"/>
      <c r="K43" s="1179"/>
      <c r="L43" s="1179"/>
      <c r="M43" s="1179"/>
      <c r="N43" s="1179"/>
      <c r="O43" s="1179"/>
      <c r="P43" s="1179"/>
      <c r="Q43" s="1179"/>
      <c r="R43" s="1179"/>
      <c r="S43" s="1179"/>
      <c r="T43" s="1179"/>
      <c r="U43" s="1179"/>
      <c r="V43" s="1258"/>
      <c r="W43" s="1179"/>
      <c r="X43" s="1179"/>
      <c r="Y43" s="1179"/>
      <c r="Z43" s="1179"/>
      <c r="AA43" s="1560" t="s">
        <v>2523</v>
      </c>
      <c r="AB43" s="1557">
        <v>16</v>
      </c>
      <c r="AC43" s="4179" t="s">
        <v>916</v>
      </c>
      <c r="AD43" s="9984" t="str">
        <f>IF(AJ43&lt;&gt;"",ROUND(AJ43,0),IF(AL11,-MIN(0,SUM(W25,-ROUND(X26,0))),""))</f>
        <v/>
      </c>
      <c r="AE43" s="9984"/>
      <c r="AF43" s="9984"/>
      <c r="AG43" s="4180" t="s">
        <v>917</v>
      </c>
      <c r="AH43" s="2757"/>
      <c r="AJ43" s="3148"/>
      <c r="AL43" s="1286" t="b">
        <f>SUM(W25,-X26)&lt;0</f>
        <v>0</v>
      </c>
    </row>
    <row r="44" spans="1:38" ht="14.25" customHeight="1">
      <c r="A44" s="2757"/>
      <c r="B44" s="7717">
        <v>17</v>
      </c>
      <c r="C44" s="8014"/>
      <c r="D44" s="2686" t="s">
        <v>4284</v>
      </c>
      <c r="E44" s="1179"/>
      <c r="F44" s="1824"/>
      <c r="G44" s="1276"/>
      <c r="H44" s="1179"/>
      <c r="I44" s="1179"/>
      <c r="J44" s="1179"/>
      <c r="K44" s="1179"/>
      <c r="L44" s="1179"/>
      <c r="M44" s="1179"/>
      <c r="N44" s="1179"/>
      <c r="O44" s="1179"/>
      <c r="P44" s="1179"/>
      <c r="Q44" s="1179"/>
      <c r="R44" s="1179"/>
      <c r="S44" s="1179"/>
      <c r="T44" s="1179"/>
      <c r="U44" s="1179"/>
      <c r="V44" s="1179"/>
      <c r="W44" s="1179"/>
      <c r="X44" s="1179"/>
      <c r="Y44" s="1179"/>
      <c r="Z44" s="1179"/>
      <c r="AA44" s="4178"/>
      <c r="AB44" s="3006"/>
      <c r="AC44" s="3015"/>
      <c r="AD44" s="3019"/>
      <c r="AE44" s="3019"/>
      <c r="AF44" s="3019"/>
      <c r="AG44" s="4762"/>
      <c r="AH44" s="2757"/>
      <c r="AJ44" s="385"/>
    </row>
    <row r="45" spans="1:38" ht="14.25" customHeight="1" thickBot="1">
      <c r="A45" s="2757"/>
      <c r="B45" s="7717"/>
      <c r="C45" s="8014"/>
      <c r="D45" s="2686" t="s">
        <v>3451</v>
      </c>
      <c r="E45" s="1179"/>
      <c r="F45" s="1824"/>
      <c r="G45" s="1276"/>
      <c r="H45" s="1179"/>
      <c r="I45" s="1179"/>
      <c r="J45" s="1179"/>
      <c r="K45" s="1179"/>
      <c r="L45" s="1179"/>
      <c r="M45" s="1179"/>
      <c r="N45" s="1179"/>
      <c r="O45" s="1179"/>
      <c r="P45" s="1179"/>
      <c r="Q45" s="1179"/>
      <c r="R45" s="1179"/>
      <c r="S45" s="1179"/>
      <c r="T45" s="1179"/>
      <c r="U45" s="1179"/>
      <c r="V45" s="1258"/>
      <c r="W45" s="1179"/>
      <c r="X45" s="1179"/>
      <c r="Y45" s="1179"/>
      <c r="Z45" s="1179"/>
      <c r="AA45" s="1560" t="s">
        <v>2418</v>
      </c>
      <c r="AB45" s="1557">
        <v>17</v>
      </c>
      <c r="AC45" s="4763" t="s">
        <v>916</v>
      </c>
      <c r="AD45" s="9482" t="str">
        <f>IF(AJ45&lt;&gt;"",ROUND(AJ45,0),IF(AL11,-MIN(0,SUM(W30,-X32)),""))</f>
        <v/>
      </c>
      <c r="AE45" s="9482"/>
      <c r="AF45" s="9482"/>
      <c r="AG45" s="4764" t="s">
        <v>917</v>
      </c>
      <c r="AH45" s="2757"/>
      <c r="AJ45" s="3148"/>
    </row>
    <row r="46" spans="1:38" ht="15.75">
      <c r="A46" s="2757"/>
      <c r="B46" s="1378" t="s">
        <v>3444</v>
      </c>
      <c r="C46" s="2996"/>
      <c r="D46" s="1274"/>
      <c r="E46" s="1274"/>
      <c r="F46" s="1274"/>
      <c r="G46" s="1274"/>
      <c r="H46" s="1274"/>
      <c r="I46" s="1274"/>
      <c r="J46" s="1274"/>
      <c r="K46" s="1274"/>
      <c r="L46" s="1274"/>
      <c r="M46" s="1274"/>
      <c r="N46" s="1274"/>
      <c r="O46" s="1274"/>
      <c r="P46" s="1274"/>
      <c r="Q46" s="1274"/>
      <c r="R46" s="1274"/>
      <c r="S46" s="1274"/>
      <c r="T46" s="3010"/>
      <c r="U46" s="3010" t="s">
        <v>3443</v>
      </c>
      <c r="V46" s="1274"/>
      <c r="W46" s="2998"/>
      <c r="X46" s="1274"/>
      <c r="Y46" s="1274"/>
      <c r="Z46" s="1274"/>
      <c r="AA46" s="1274"/>
      <c r="AB46" s="1274"/>
      <c r="AC46" s="1274"/>
      <c r="AD46" s="1551" t="s">
        <v>3442</v>
      </c>
      <c r="AE46" s="1274"/>
      <c r="AF46" s="1274"/>
      <c r="AG46" s="4172" t="str">
        <f>"("&amp;TaxYear&amp;")"</f>
        <v>(2021)</v>
      </c>
      <c r="AH46" s="2757"/>
      <c r="AJ46" s="385"/>
    </row>
    <row r="47" spans="1:38">
      <c r="A47" s="2757"/>
      <c r="B47" s="2757"/>
      <c r="C47" s="2757"/>
      <c r="D47" s="2757"/>
      <c r="E47" s="2757"/>
      <c r="F47" s="2757"/>
      <c r="G47" s="2757"/>
      <c r="H47" s="2757"/>
      <c r="I47" s="2757"/>
      <c r="J47" s="2757"/>
      <c r="K47" s="2757"/>
      <c r="L47" s="2757"/>
      <c r="M47" s="2757"/>
      <c r="N47" s="2757"/>
      <c r="O47" s="2757"/>
      <c r="P47" s="2757"/>
      <c r="Q47" s="2757"/>
      <c r="R47" s="2757"/>
      <c r="S47" s="2757"/>
      <c r="T47" s="2757"/>
      <c r="U47" s="2757"/>
      <c r="V47" s="2757"/>
      <c r="W47" s="2757"/>
      <c r="X47" s="2757"/>
      <c r="Y47" s="2757"/>
      <c r="Z47" s="2757"/>
      <c r="AA47" s="2757"/>
      <c r="AB47" s="2757"/>
      <c r="AC47" s="2757"/>
      <c r="AD47" s="2757"/>
      <c r="AE47" s="2757"/>
      <c r="AF47" s="2757"/>
      <c r="AG47" s="2757"/>
      <c r="AH47" s="2757"/>
      <c r="AJ47" s="385"/>
    </row>
    <row r="48" spans="1:38" ht="13.5" thickBot="1"/>
    <row r="49" spans="2:6" ht="12.95" customHeight="1">
      <c r="B49" s="6592" t="s">
        <v>3219</v>
      </c>
      <c r="C49" s="6593"/>
      <c r="D49" s="6593"/>
      <c r="E49" s="6593"/>
      <c r="F49" s="6594"/>
    </row>
    <row r="50" spans="2:6" ht="12.95" customHeight="1">
      <c r="B50" s="6595"/>
      <c r="C50" s="6596"/>
      <c r="D50" s="6596"/>
      <c r="E50" s="6596"/>
      <c r="F50" s="6597"/>
    </row>
    <row r="51" spans="2:6" ht="12.95" customHeight="1" thickBot="1">
      <c r="B51" s="6598"/>
      <c r="C51" s="6599"/>
      <c r="D51" s="6599"/>
      <c r="E51" s="6599"/>
      <c r="F51" s="6600"/>
    </row>
  </sheetData>
  <sheetProtection algorithmName="SHA-512" hashValue="pWEnBWEqYaiqknxreLek1U6oySvIkqhnXvXAd+TrErUTwM56fA++KYbLkCiur9wi9qaSem+W5zym0QDciovGbQ==" saltValue="lQb5qc16m6p368uh7tYlyg==" spinCount="100000" sheet="1" objects="1" scenarios="1"/>
  <mergeCells count="92">
    <mergeCell ref="B43:C43"/>
    <mergeCell ref="B41:C41"/>
    <mergeCell ref="B44:C44"/>
    <mergeCell ref="B45:C45"/>
    <mergeCell ref="AD43:AF43"/>
    <mergeCell ref="AD45:AF45"/>
    <mergeCell ref="B39:C39"/>
    <mergeCell ref="W39:AA39"/>
    <mergeCell ref="B40:C40"/>
    <mergeCell ref="AC40:AG40"/>
    <mergeCell ref="B42:C42"/>
    <mergeCell ref="AC42:AG42"/>
    <mergeCell ref="B36:C36"/>
    <mergeCell ref="AC36:AG36"/>
    <mergeCell ref="B37:C37"/>
    <mergeCell ref="W37:AA37"/>
    <mergeCell ref="B38:C38"/>
    <mergeCell ref="W38:AA38"/>
    <mergeCell ref="AC38:AG38"/>
    <mergeCell ref="B33:C33"/>
    <mergeCell ref="B34:C34"/>
    <mergeCell ref="W34:AA34"/>
    <mergeCell ref="B35:C35"/>
    <mergeCell ref="AC35:AG35"/>
    <mergeCell ref="W33:AA33"/>
    <mergeCell ref="B29:C29"/>
    <mergeCell ref="B30:C30"/>
    <mergeCell ref="W30:AA30"/>
    <mergeCell ref="B31:C31"/>
    <mergeCell ref="B32:C32"/>
    <mergeCell ref="X32:Z32"/>
    <mergeCell ref="B27:C27"/>
    <mergeCell ref="X26:Z26"/>
    <mergeCell ref="B28:C28"/>
    <mergeCell ref="AC28:AG28"/>
    <mergeCell ref="W27:AA27"/>
    <mergeCell ref="AC27:AG27"/>
    <mergeCell ref="B25:C25"/>
    <mergeCell ref="B26:C26"/>
    <mergeCell ref="B24:C24"/>
    <mergeCell ref="W25:AA25"/>
    <mergeCell ref="B21:C22"/>
    <mergeCell ref="D21:U22"/>
    <mergeCell ref="V21:AA21"/>
    <mergeCell ref="V22:AA22"/>
    <mergeCell ref="D19:U20"/>
    <mergeCell ref="V19:AA19"/>
    <mergeCell ref="AB19:AG19"/>
    <mergeCell ref="V20:AA20"/>
    <mergeCell ref="AB20:AG20"/>
    <mergeCell ref="B49:F51"/>
    <mergeCell ref="B8:X9"/>
    <mergeCell ref="Y8:AG9"/>
    <mergeCell ref="B12:C12"/>
    <mergeCell ref="D12:U12"/>
    <mergeCell ref="V12:AA12"/>
    <mergeCell ref="AB12:AG12"/>
    <mergeCell ref="AB14:AG14"/>
    <mergeCell ref="B13:C14"/>
    <mergeCell ref="D13:U14"/>
    <mergeCell ref="B15:C16"/>
    <mergeCell ref="D15:U16"/>
    <mergeCell ref="V15:AA15"/>
    <mergeCell ref="AB15:AG15"/>
    <mergeCell ref="V16:AA16"/>
    <mergeCell ref="AB16:AG16"/>
    <mergeCell ref="AB2:AG2"/>
    <mergeCell ref="AB3:AG4"/>
    <mergeCell ref="B4:F4"/>
    <mergeCell ref="B6:F6"/>
    <mergeCell ref="B5:F5"/>
    <mergeCell ref="AF5:AF6"/>
    <mergeCell ref="B2:C3"/>
    <mergeCell ref="D2:F3"/>
    <mergeCell ref="G3:AA3"/>
    <mergeCell ref="G4:AA4"/>
    <mergeCell ref="B10:AG10"/>
    <mergeCell ref="B11:AG11"/>
    <mergeCell ref="AJ20:AJ22"/>
    <mergeCell ref="AJ10:AJ11"/>
    <mergeCell ref="V13:AA13"/>
    <mergeCell ref="AB13:AG13"/>
    <mergeCell ref="V14:AA14"/>
    <mergeCell ref="B17:C18"/>
    <mergeCell ref="D17:U18"/>
    <mergeCell ref="V17:AA17"/>
    <mergeCell ref="AB17:AG17"/>
    <mergeCell ref="V18:AA18"/>
    <mergeCell ref="AB18:AG18"/>
    <mergeCell ref="AB21:AG21"/>
    <mergeCell ref="AB22:AG22"/>
    <mergeCell ref="B19:C20"/>
  </mergeCells>
  <conditionalFormatting sqref="B8 Y8">
    <cfRule type="expression" dxfId="20" priority="78">
      <formula>NoColor</formula>
    </cfRule>
  </conditionalFormatting>
  <conditionalFormatting sqref="B11:D11 F11:AG11">
    <cfRule type="expression" dxfId="19" priority="4">
      <formula>AND($AL$10,AI9="")</formula>
    </cfRule>
  </conditionalFormatting>
  <conditionalFormatting sqref="B4:F4">
    <cfRule type="expression" dxfId="18" priority="56">
      <formula>NOT(Draft)</formula>
    </cfRule>
  </conditionalFormatting>
  <conditionalFormatting sqref="D45">
    <cfRule type="expression" dxfId="17" priority="6">
      <formula>$AD$45&lt;0</formula>
    </cfRule>
  </conditionalFormatting>
  <conditionalFormatting sqref="D13:AG22">
    <cfRule type="expression" dxfId="16" priority="21">
      <formula>NoColor</formula>
    </cfRule>
  </conditionalFormatting>
  <conditionalFormatting sqref="E11">
    <cfRule type="expression" dxfId="15" priority="4065">
      <formula>AND($AL$10,AL11="")</formula>
    </cfRule>
  </conditionalFormatting>
  <conditionalFormatting sqref="W25:AA27 W28:Z28 W29:AA32 W33 W34:AA34 W35:Z35 W36:AA39">
    <cfRule type="expression" dxfId="14" priority="19">
      <formula>NoColor</formula>
    </cfRule>
  </conditionalFormatting>
  <conditionalFormatting sqref="AA41">
    <cfRule type="expression" dxfId="13" priority="37">
      <formula>IF(NoColor,1,0)</formula>
    </cfRule>
  </conditionalFormatting>
  <conditionalFormatting sqref="AA44">
    <cfRule type="expression" dxfId="12" priority="7">
      <formula>$AD$45&lt;0</formula>
    </cfRule>
    <cfRule type="expression" dxfId="11" priority="8">
      <formula>IF(NoColor,1,0)</formula>
    </cfRule>
  </conditionalFormatting>
  <conditionalFormatting sqref="AC28:AG28">
    <cfRule type="expression" dxfId="10" priority="18">
      <formula>NoColor</formula>
    </cfRule>
  </conditionalFormatting>
  <conditionalFormatting sqref="AC35:AG36">
    <cfRule type="expression" dxfId="9" priority="16">
      <formula>NoColor</formula>
    </cfRule>
  </conditionalFormatting>
  <conditionalFormatting sqref="AC40:AG40">
    <cfRule type="expression" dxfId="8" priority="15">
      <formula>NoColor</formula>
    </cfRule>
  </conditionalFormatting>
  <conditionalFormatting sqref="AC41:AG41">
    <cfRule type="expression" dxfId="7" priority="52">
      <formula>IF(NoColor,1,0)</formula>
    </cfRule>
  </conditionalFormatting>
  <conditionalFormatting sqref="AC42:AG43">
    <cfRule type="expression" dxfId="6" priority="9">
      <formula>NoColor</formula>
    </cfRule>
  </conditionalFormatting>
  <conditionalFormatting sqref="AC44:AG44">
    <cfRule type="expression" dxfId="5" priority="24">
      <formula>IF(NoColor,1,0)</formula>
    </cfRule>
  </conditionalFormatting>
  <conditionalFormatting sqref="AC45:AG45">
    <cfRule type="expression" dxfId="4" priority="11">
      <formula>NoColor</formula>
    </cfRule>
  </conditionalFormatting>
  <conditionalFormatting sqref="AI9">
    <cfRule type="expression" dxfId="3" priority="2">
      <formula>$AL$10</formula>
    </cfRule>
  </conditionalFormatting>
  <conditionalFormatting sqref="AJ9">
    <cfRule type="expression" dxfId="2" priority="3">
      <formula>$AL$10</formula>
    </cfRule>
  </conditionalFormatting>
  <conditionalFormatting sqref="AJ10">
    <cfRule type="expression" dxfId="1" priority="5">
      <formula>$AL$10</formula>
    </cfRule>
  </conditionalFormatting>
  <hyperlinks>
    <hyperlink ref="B49:F51" location="'Table of Contents'!A1" display="Table of Contents" xr:uid="{00000000-0004-0000-3700-000000000000}"/>
  </hyperlinks>
  <pageMargins left="0.45" right="0.45" top="0.5" bottom="0.5" header="0" footer="0"/>
  <pageSetup scale="77" fitToHeight="0"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AF1159"/>
  <sheetViews>
    <sheetView zoomScaleNormal="100" workbookViewId="0">
      <pane xSplit="10" ySplit="9" topLeftCell="K10" activePane="bottomRight" state="frozen"/>
      <selection pane="topRight" activeCell="K1" sqref="K1"/>
      <selection pane="bottomLeft" activeCell="A10" sqref="A10"/>
      <selection pane="bottomRight" sqref="A1:B1"/>
    </sheetView>
  </sheetViews>
  <sheetFormatPr defaultColWidth="14.7109375" defaultRowHeight="12.75"/>
  <cols>
    <col min="1" max="1" width="14.7109375" style="1732" customWidth="1"/>
    <col min="2" max="2" width="14.7109375" style="6031" customWidth="1"/>
    <col min="3" max="5" width="11.85546875" style="1732" customWidth="1"/>
    <col min="6" max="6" width="11.85546875" style="6031" customWidth="1"/>
    <col min="7" max="9" width="11.85546875" style="6025" customWidth="1"/>
    <col min="10" max="10" width="11.85546875" style="6032" customWidth="1"/>
    <col min="11" max="11" width="6" style="872" customWidth="1"/>
    <col min="12" max="12" width="0" style="1732" hidden="1" customWidth="1"/>
    <col min="13" max="13" width="16.28515625" style="1732" hidden="1" customWidth="1"/>
    <col min="14" max="21" width="0" style="1732" hidden="1" customWidth="1"/>
    <col min="22" max="22" width="7.42578125" style="1732" hidden="1" customWidth="1"/>
    <col min="23" max="23" width="14.7109375" style="1732" hidden="1" customWidth="1"/>
    <col min="24" max="24" width="14.7109375" style="6031" hidden="1" customWidth="1"/>
    <col min="25" max="27" width="11.85546875" style="1732" hidden="1" customWidth="1"/>
    <col min="28" max="28" width="11.85546875" style="6031" hidden="1" customWidth="1"/>
    <col min="29" max="31" width="11.85546875" style="1732" hidden="1" customWidth="1"/>
    <col min="32" max="32" width="11.85546875" style="6031" hidden="1" customWidth="1"/>
    <col min="33" max="16384" width="14.7109375" style="1732"/>
  </cols>
  <sheetData>
    <row r="1" spans="1:32" s="6004" customFormat="1">
      <c r="A1" s="9988" t="s">
        <v>1328</v>
      </c>
      <c r="B1" s="9988"/>
      <c r="C1" s="9985" t="s">
        <v>1329</v>
      </c>
      <c r="D1" s="9986"/>
      <c r="E1" s="9986"/>
      <c r="F1" s="9987"/>
      <c r="G1" s="9989" t="s">
        <v>1330</v>
      </c>
      <c r="H1" s="9990"/>
      <c r="I1" s="9990"/>
      <c r="J1" s="9991"/>
      <c r="N1" s="9985" t="s">
        <v>1329</v>
      </c>
      <c r="O1" s="9986"/>
      <c r="P1" s="9986"/>
      <c r="Q1" s="9987"/>
      <c r="R1" s="9985" t="s">
        <v>1330</v>
      </c>
      <c r="S1" s="9986"/>
      <c r="T1" s="9986"/>
      <c r="U1" s="9987"/>
      <c r="W1" s="9988" t="s">
        <v>1328</v>
      </c>
      <c r="X1" s="9988"/>
      <c r="Y1" s="9985" t="s">
        <v>1329</v>
      </c>
      <c r="Z1" s="9986"/>
      <c r="AA1" s="9986"/>
      <c r="AB1" s="9987"/>
      <c r="AC1" s="9985" t="s">
        <v>1330</v>
      </c>
      <c r="AD1" s="9986"/>
      <c r="AE1" s="9986"/>
      <c r="AF1" s="9987"/>
    </row>
    <row r="2" spans="1:32" s="1144" customFormat="1" ht="14.25" thickBot="1">
      <c r="A2" s="6005" t="s">
        <v>1331</v>
      </c>
      <c r="B2" s="6006" t="s">
        <v>1332</v>
      </c>
      <c r="C2" s="6007" t="s">
        <v>1333</v>
      </c>
      <c r="D2" s="6007" t="s">
        <v>1334</v>
      </c>
      <c r="E2" s="6007" t="s">
        <v>1408</v>
      </c>
      <c r="F2" s="6008" t="s">
        <v>1407</v>
      </c>
      <c r="G2" s="6009" t="s">
        <v>1333</v>
      </c>
      <c r="H2" s="6009" t="s">
        <v>1334</v>
      </c>
      <c r="I2" s="6009" t="s">
        <v>1408</v>
      </c>
      <c r="J2" s="6010" t="s">
        <v>1407</v>
      </c>
      <c r="K2" s="682"/>
      <c r="L2" s="6011" t="s">
        <v>5876</v>
      </c>
      <c r="N2" s="6012" t="s">
        <v>1333</v>
      </c>
      <c r="O2" s="6007" t="s">
        <v>1334</v>
      </c>
      <c r="P2" s="6007" t="s">
        <v>1408</v>
      </c>
      <c r="Q2" s="6008" t="s">
        <v>1407</v>
      </c>
      <c r="R2" s="6007" t="s">
        <v>1333</v>
      </c>
      <c r="S2" s="6007" t="s">
        <v>1334</v>
      </c>
      <c r="T2" s="6007" t="s">
        <v>1408</v>
      </c>
      <c r="U2" s="6008" t="s">
        <v>1407</v>
      </c>
      <c r="W2" s="6005" t="s">
        <v>1331</v>
      </c>
      <c r="X2" s="6006" t="s">
        <v>1332</v>
      </c>
      <c r="Y2" s="6007" t="s">
        <v>1333</v>
      </c>
      <c r="Z2" s="6007" t="s">
        <v>1334</v>
      </c>
      <c r="AA2" s="6007" t="s">
        <v>1408</v>
      </c>
      <c r="AB2" s="6008" t="s">
        <v>1407</v>
      </c>
      <c r="AC2" s="6007" t="s">
        <v>1333</v>
      </c>
      <c r="AD2" s="6007" t="s">
        <v>1334</v>
      </c>
      <c r="AE2" s="6007" t="s">
        <v>1408</v>
      </c>
      <c r="AF2" s="6008" t="s">
        <v>1407</v>
      </c>
    </row>
    <row r="3" spans="1:32" ht="13.5">
      <c r="A3" s="6013">
        <v>1</v>
      </c>
      <c r="B3" s="6014">
        <v>50</v>
      </c>
      <c r="C3" s="6015">
        <v>2</v>
      </c>
      <c r="D3" s="6016">
        <v>9</v>
      </c>
      <c r="E3" s="6016">
        <f t="shared" ref="E3:F7" si="0">IF($L3&gt;P$5,MAX(0,P$3+ROUND((P$9*($L3-P$5)),0)),IF($L3&gt;P$4,P$3,ROUND($L3*P$7,0)))</f>
        <v>10</v>
      </c>
      <c r="F3" s="6017">
        <f t="shared" si="0"/>
        <v>11</v>
      </c>
      <c r="G3" s="6015">
        <v>2</v>
      </c>
      <c r="H3" s="6016">
        <v>9</v>
      </c>
      <c r="I3" s="6016">
        <f>IF($L3&gt;T$5,MAX(0,T$3+ROUND((T$9*($L3-T$5)),0)),IF($L3&gt;T$4,T$3,ROUND($L3*T$7,0)))</f>
        <v>10</v>
      </c>
      <c r="J3" s="6017">
        <f>IF($L3&gt;U$5,MAX(0,U$3+ROUND((U$9*($L3-U$5)),0)),IF($L3&gt;U$4,U$3,ROUND($L3*U$7,0)))</f>
        <v>11</v>
      </c>
      <c r="K3" s="1732"/>
      <c r="L3" s="6013">
        <v>24.5</v>
      </c>
      <c r="M3" s="6013" t="s">
        <v>5877</v>
      </c>
      <c r="N3" s="6013">
        <v>1502</v>
      </c>
      <c r="O3" s="6013">
        <v>3618</v>
      </c>
      <c r="P3" s="6013">
        <v>5980</v>
      </c>
      <c r="Q3" s="6013">
        <v>6728</v>
      </c>
      <c r="R3" s="6013">
        <v>1502</v>
      </c>
      <c r="S3" s="6013">
        <v>3618</v>
      </c>
      <c r="T3" s="6013">
        <v>5980</v>
      </c>
      <c r="U3" s="6013">
        <v>6728</v>
      </c>
      <c r="W3" s="6013">
        <v>1</v>
      </c>
      <c r="X3" s="6014">
        <v>50</v>
      </c>
      <c r="Y3" s="6013">
        <v>2</v>
      </c>
      <c r="Z3" s="6013">
        <v>9</v>
      </c>
      <c r="AA3" s="6013">
        <v>10</v>
      </c>
      <c r="AB3" s="6014">
        <v>11</v>
      </c>
      <c r="AC3" s="6013">
        <v>2</v>
      </c>
      <c r="AD3" s="6013">
        <v>9</v>
      </c>
      <c r="AE3" s="6013">
        <v>10</v>
      </c>
      <c r="AF3" s="6014">
        <v>11</v>
      </c>
    </row>
    <row r="4" spans="1:32" ht="13.5">
      <c r="A4" s="6018">
        <v>50</v>
      </c>
      <c r="B4" s="6019">
        <v>100</v>
      </c>
      <c r="C4" s="6020">
        <f t="shared" ref="C4:D7" si="1">IF($L4&gt;N$5,MAX(0,N$3+ROUND((N$9*($L4-N$5)),0)),IF($L4&gt;N$4,N$3,ROUND($L4*N$7,0)))</f>
        <v>11</v>
      </c>
      <c r="D4" s="6018">
        <f t="shared" si="1"/>
        <v>26</v>
      </c>
      <c r="E4" s="6018">
        <f t="shared" si="0"/>
        <v>30</v>
      </c>
      <c r="F4" s="6019">
        <f t="shared" si="0"/>
        <v>34</v>
      </c>
      <c r="G4" s="6020">
        <f t="shared" ref="G4:G67" si="2">IF($L4&gt;R$5,MAX(0,R$3+ROUND((R$9*($L4-R$5)),0)),IF($L4&gt;R$4,R$3,ROUND($L4*R$7,0)))</f>
        <v>11</v>
      </c>
      <c r="H4" s="6018">
        <f t="shared" ref="H4:H67" si="3">IF($L4&gt;S$5,MAX(0,S$3+ROUND((S$9*($L4-S$5)),0)),IF($L4&gt;S$4,S$3,ROUND($L4*S$7,0)))</f>
        <v>26</v>
      </c>
      <c r="I4" s="6018">
        <f t="shared" ref="I4:I67" si="4">IF($L4&gt;T$5,MAX(0,T$3+ROUND((T$9*($L4-T$5)),0)),IF($L4&gt;T$4,T$3,ROUND($L4*T$7,0)))</f>
        <v>30</v>
      </c>
      <c r="J4" s="6019">
        <f t="shared" ref="J4:J67" si="5">IF($L4&gt;U$5,MAX(0,U$3+ROUND((U$9*($L4-U$5)),0)),IF($L4&gt;U$4,U$3,ROUND($L4*U$7,0)))</f>
        <v>34</v>
      </c>
      <c r="K4" s="1732"/>
      <c r="L4" s="6018">
        <v>75</v>
      </c>
      <c r="M4" s="6013" t="s">
        <v>5878</v>
      </c>
      <c r="N4" s="6018">
        <v>9820</v>
      </c>
      <c r="O4" s="6018">
        <v>10640</v>
      </c>
      <c r="P4" s="6018">
        <v>14950</v>
      </c>
      <c r="Q4" s="6018">
        <v>14950</v>
      </c>
      <c r="R4" s="6018">
        <v>9820</v>
      </c>
      <c r="S4" s="6018">
        <v>10640</v>
      </c>
      <c r="T4" s="6018">
        <v>14950</v>
      </c>
      <c r="U4" s="6018">
        <v>14950</v>
      </c>
      <c r="W4" s="6018">
        <v>50</v>
      </c>
      <c r="X4" s="6019">
        <v>100</v>
      </c>
      <c r="Y4" s="6018">
        <v>11</v>
      </c>
      <c r="Z4" s="6018">
        <v>26</v>
      </c>
      <c r="AA4" s="6018">
        <v>30</v>
      </c>
      <c r="AB4" s="6019">
        <v>34</v>
      </c>
      <c r="AC4" s="6018">
        <v>11</v>
      </c>
      <c r="AD4" s="6018">
        <v>26</v>
      </c>
      <c r="AE4" s="6018">
        <v>30</v>
      </c>
      <c r="AF4" s="6019">
        <v>34</v>
      </c>
    </row>
    <row r="5" spans="1:32" ht="13.5">
      <c r="A5" s="6018">
        <v>100</v>
      </c>
      <c r="B5" s="6019">
        <v>150</v>
      </c>
      <c r="C5" s="6020">
        <f t="shared" si="1"/>
        <v>19</v>
      </c>
      <c r="D5" s="6018">
        <f t="shared" si="1"/>
        <v>43</v>
      </c>
      <c r="E5" s="6018">
        <f t="shared" si="0"/>
        <v>50</v>
      </c>
      <c r="F5" s="6019">
        <f t="shared" si="0"/>
        <v>56</v>
      </c>
      <c r="G5" s="6020">
        <f t="shared" ref="G5:J7" si="6">IF($L5&gt;R$5,MAX(0,R$3+ROUND((R$9*($L5-R$5)),0)),IF($L5&gt;R$4,R$3,ROUND($L5*R$7,0)))</f>
        <v>19</v>
      </c>
      <c r="H5" s="6018">
        <f t="shared" si="6"/>
        <v>43</v>
      </c>
      <c r="I5" s="6018">
        <f t="shared" si="6"/>
        <v>50</v>
      </c>
      <c r="J5" s="6019">
        <f t="shared" si="6"/>
        <v>56</v>
      </c>
      <c r="K5" s="1732"/>
      <c r="L5" s="6018">
        <v>125</v>
      </c>
      <c r="M5" s="6013" t="s">
        <v>5879</v>
      </c>
      <c r="N5" s="6018">
        <v>11610</v>
      </c>
      <c r="O5" s="6018">
        <v>19520</v>
      </c>
      <c r="P5" s="6018">
        <v>19520</v>
      </c>
      <c r="Q5" s="6018">
        <v>19520</v>
      </c>
      <c r="R5" s="6018">
        <f>N5+5950</f>
        <v>17560</v>
      </c>
      <c r="S5" s="6018">
        <f>O5+5950</f>
        <v>25470</v>
      </c>
      <c r="T5" s="6018">
        <f>P5+5950</f>
        <v>25470</v>
      </c>
      <c r="U5" s="6018">
        <f>Q5+5950</f>
        <v>25470</v>
      </c>
      <c r="W5" s="6018">
        <v>100</v>
      </c>
      <c r="X5" s="6019">
        <v>150</v>
      </c>
      <c r="Y5" s="6018">
        <v>19</v>
      </c>
      <c r="Z5" s="6018">
        <v>43</v>
      </c>
      <c r="AA5" s="6018">
        <v>50</v>
      </c>
      <c r="AB5" s="6019">
        <v>56</v>
      </c>
      <c r="AC5" s="6018">
        <v>19</v>
      </c>
      <c r="AD5" s="6018">
        <v>43</v>
      </c>
      <c r="AE5" s="6018">
        <v>50</v>
      </c>
      <c r="AF5" s="6019">
        <v>56</v>
      </c>
    </row>
    <row r="6" spans="1:32" ht="13.5">
      <c r="A6" s="6018">
        <v>150</v>
      </c>
      <c r="B6" s="6019">
        <v>200</v>
      </c>
      <c r="C6" s="6020">
        <f t="shared" si="1"/>
        <v>27</v>
      </c>
      <c r="D6" s="6018">
        <f t="shared" si="1"/>
        <v>60</v>
      </c>
      <c r="E6" s="6018">
        <f t="shared" si="0"/>
        <v>70</v>
      </c>
      <c r="F6" s="6019">
        <f t="shared" si="0"/>
        <v>79</v>
      </c>
      <c r="G6" s="6020">
        <f t="shared" si="6"/>
        <v>27</v>
      </c>
      <c r="H6" s="6018">
        <f t="shared" si="6"/>
        <v>60</v>
      </c>
      <c r="I6" s="6018">
        <f t="shared" si="6"/>
        <v>70</v>
      </c>
      <c r="J6" s="6019">
        <f t="shared" si="6"/>
        <v>79</v>
      </c>
      <c r="K6" s="1732"/>
      <c r="L6" s="6018">
        <v>175</v>
      </c>
      <c r="M6" s="6013" t="s">
        <v>5880</v>
      </c>
      <c r="N6" s="6018">
        <v>21427</v>
      </c>
      <c r="O6" s="6018">
        <v>42158</v>
      </c>
      <c r="P6" s="6018">
        <v>47915</v>
      </c>
      <c r="Q6" s="6018">
        <v>51464</v>
      </c>
      <c r="R6" s="6018">
        <f>N6</f>
        <v>21427</v>
      </c>
      <c r="S6" s="6018">
        <f>O6</f>
        <v>42158</v>
      </c>
      <c r="T6" s="6018">
        <f>P6</f>
        <v>47915</v>
      </c>
      <c r="U6" s="6018">
        <f>Q6+5950</f>
        <v>57414</v>
      </c>
      <c r="W6" s="6018">
        <v>150</v>
      </c>
      <c r="X6" s="6019">
        <v>200</v>
      </c>
      <c r="Y6" s="6018">
        <v>27</v>
      </c>
      <c r="Z6" s="6018">
        <v>60</v>
      </c>
      <c r="AA6" s="6018">
        <v>70</v>
      </c>
      <c r="AB6" s="6019">
        <v>79</v>
      </c>
      <c r="AC6" s="6018">
        <v>27</v>
      </c>
      <c r="AD6" s="6018">
        <v>60</v>
      </c>
      <c r="AE6" s="6018">
        <v>70</v>
      </c>
      <c r="AF6" s="6019">
        <v>79</v>
      </c>
    </row>
    <row r="7" spans="1:32" ht="13.5">
      <c r="A7" s="6018">
        <v>200</v>
      </c>
      <c r="B7" s="6019">
        <v>250</v>
      </c>
      <c r="C7" s="6020">
        <f t="shared" si="1"/>
        <v>34</v>
      </c>
      <c r="D7" s="6018">
        <f t="shared" si="1"/>
        <v>77</v>
      </c>
      <c r="E7" s="6018">
        <f t="shared" si="0"/>
        <v>90</v>
      </c>
      <c r="F7" s="6019">
        <f t="shared" si="0"/>
        <v>101</v>
      </c>
      <c r="G7" s="6020">
        <f t="shared" si="6"/>
        <v>34</v>
      </c>
      <c r="H7" s="6018">
        <f t="shared" si="6"/>
        <v>77</v>
      </c>
      <c r="I7" s="6018">
        <f t="shared" si="6"/>
        <v>90</v>
      </c>
      <c r="J7" s="6019">
        <f t="shared" si="6"/>
        <v>101</v>
      </c>
      <c r="K7" s="1732"/>
      <c r="L7" s="6018">
        <v>225</v>
      </c>
      <c r="M7" s="6013" t="s">
        <v>5881</v>
      </c>
      <c r="N7" s="6021">
        <f t="shared" ref="N7:U7" si="7">ROUND(N3/N4,4)</f>
        <v>0.153</v>
      </c>
      <c r="O7" s="6021">
        <f t="shared" si="7"/>
        <v>0.34</v>
      </c>
      <c r="P7" s="6021">
        <f t="shared" si="7"/>
        <v>0.4</v>
      </c>
      <c r="Q7" s="6021">
        <f t="shared" si="7"/>
        <v>0.45</v>
      </c>
      <c r="R7" s="6021">
        <f t="shared" si="7"/>
        <v>0.153</v>
      </c>
      <c r="S7" s="6021">
        <f t="shared" si="7"/>
        <v>0.34</v>
      </c>
      <c r="T7" s="6021">
        <f t="shared" si="7"/>
        <v>0.4</v>
      </c>
      <c r="U7" s="6021">
        <f t="shared" si="7"/>
        <v>0.45</v>
      </c>
      <c r="W7" s="6018">
        <v>200</v>
      </c>
      <c r="X7" s="6019">
        <v>250</v>
      </c>
      <c r="Y7" s="6018">
        <v>34</v>
      </c>
      <c r="Z7" s="6018">
        <v>77</v>
      </c>
      <c r="AA7" s="6018">
        <v>90</v>
      </c>
      <c r="AB7" s="6019">
        <v>101</v>
      </c>
      <c r="AC7" s="6018">
        <v>34</v>
      </c>
      <c r="AD7" s="6018">
        <v>77</v>
      </c>
      <c r="AE7" s="6018">
        <v>90</v>
      </c>
      <c r="AF7" s="6019">
        <v>101</v>
      </c>
    </row>
    <row r="8" spans="1:32" ht="13.5">
      <c r="A8" s="6018">
        <v>250</v>
      </c>
      <c r="B8" s="6019">
        <v>300</v>
      </c>
      <c r="C8" s="6020">
        <f t="shared" ref="C8:C69" si="8">IF($L8&gt;N$5,MAX(0,N$3+ROUND((N$9*($L8-N$5)),0)),IF($L8&gt;N$4,N$3,ROUND($L8*N$7,0)))</f>
        <v>42</v>
      </c>
      <c r="D8" s="6018">
        <f t="shared" ref="D8:D69" si="9">IF($L8&gt;O$5,MAX(0,O$3+ROUND((O$9*($L8-O$5)),0)),IF($L8&gt;O$4,O$3,ROUND($L8*O$7,0)))</f>
        <v>94</v>
      </c>
      <c r="E8" s="6018">
        <f t="shared" ref="E8:E69" si="10">IF($L8&gt;P$5,MAX(0,P$3+ROUND((P$9*($L8-P$5)),0)),IF($L8&gt;P$4,P$3,ROUND($L8*P$7,0)))</f>
        <v>110</v>
      </c>
      <c r="F8" s="6019">
        <f t="shared" ref="F8:F69" si="11">IF($L8&gt;Q$5,MAX(0,Q$3+ROUND((Q$9*($L8-Q$5)),0)),IF($L8&gt;Q$4,Q$3,ROUND($L8*Q$7,0)))</f>
        <v>124</v>
      </c>
      <c r="G8" s="6020">
        <f t="shared" si="2"/>
        <v>42</v>
      </c>
      <c r="H8" s="6018">
        <f t="shared" si="3"/>
        <v>94</v>
      </c>
      <c r="I8" s="6018">
        <f t="shared" si="4"/>
        <v>110</v>
      </c>
      <c r="J8" s="6019">
        <f t="shared" si="5"/>
        <v>124</v>
      </c>
      <c r="K8" s="1732"/>
      <c r="L8" s="6018">
        <v>275</v>
      </c>
      <c r="M8" s="6013" t="s">
        <v>5882</v>
      </c>
      <c r="N8" s="6021">
        <v>0</v>
      </c>
      <c r="O8" s="6021">
        <v>0</v>
      </c>
      <c r="P8" s="6021">
        <v>0</v>
      </c>
      <c r="Q8" s="6021">
        <v>0</v>
      </c>
      <c r="R8" s="6021">
        <v>0</v>
      </c>
      <c r="S8" s="6021">
        <v>0</v>
      </c>
      <c r="T8" s="6021">
        <v>0</v>
      </c>
      <c r="U8" s="6021">
        <v>0</v>
      </c>
      <c r="W8" s="6018">
        <v>250</v>
      </c>
      <c r="X8" s="6019">
        <v>300</v>
      </c>
      <c r="Y8" s="6018">
        <v>42</v>
      </c>
      <c r="Z8" s="6018">
        <v>94</v>
      </c>
      <c r="AA8" s="6018">
        <v>110</v>
      </c>
      <c r="AB8" s="6019">
        <v>124</v>
      </c>
      <c r="AC8" s="6018">
        <v>42</v>
      </c>
      <c r="AD8" s="6018">
        <v>94</v>
      </c>
      <c r="AE8" s="6018">
        <v>110</v>
      </c>
      <c r="AF8" s="6019">
        <v>124</v>
      </c>
    </row>
    <row r="9" spans="1:32" ht="13.5">
      <c r="A9" s="6018">
        <v>300</v>
      </c>
      <c r="B9" s="6019">
        <v>350</v>
      </c>
      <c r="C9" s="6020">
        <f t="shared" si="8"/>
        <v>50</v>
      </c>
      <c r="D9" s="6018">
        <f t="shared" si="9"/>
        <v>111</v>
      </c>
      <c r="E9" s="6018">
        <f t="shared" si="10"/>
        <v>130</v>
      </c>
      <c r="F9" s="6019">
        <f t="shared" si="11"/>
        <v>146</v>
      </c>
      <c r="G9" s="6020">
        <f t="shared" si="2"/>
        <v>50</v>
      </c>
      <c r="H9" s="6018">
        <f t="shared" si="3"/>
        <v>111</v>
      </c>
      <c r="I9" s="6018">
        <f t="shared" si="4"/>
        <v>130</v>
      </c>
      <c r="J9" s="6019">
        <f t="shared" si="5"/>
        <v>146</v>
      </c>
      <c r="K9" s="1732"/>
      <c r="L9" s="6018">
        <v>325</v>
      </c>
      <c r="M9" s="6013" t="s">
        <v>5883</v>
      </c>
      <c r="N9" s="6021">
        <f>-ROUND(N3/(N6-N5),5)</f>
        <v>-0.153</v>
      </c>
      <c r="O9" s="6022">
        <f>-ROUND(O3/(O6-O5),7)</f>
        <v>-0.15981980000000001</v>
      </c>
      <c r="P9" s="6021">
        <f>-ROUND(P3/(P6-P5),6)</f>
        <v>-0.21060000000000001</v>
      </c>
      <c r="Q9" s="6023">
        <f>-ROUND(Q3/(Q6-Q5),6)</f>
        <v>-0.210619</v>
      </c>
      <c r="R9" s="6021">
        <f>N9</f>
        <v>-0.153</v>
      </c>
      <c r="S9" s="6022">
        <f>O9</f>
        <v>-0.15981980000000001</v>
      </c>
      <c r="T9" s="6021">
        <f>P9</f>
        <v>-0.21060000000000001</v>
      </c>
      <c r="U9" s="6023">
        <f>-ROUND(U3/(U6-U5),6)</f>
        <v>-0.210619</v>
      </c>
      <c r="W9" s="6018">
        <v>300</v>
      </c>
      <c r="X9" s="6019">
        <v>350</v>
      </c>
      <c r="Y9" s="6018">
        <v>50</v>
      </c>
      <c r="Z9" s="6018">
        <v>111</v>
      </c>
      <c r="AA9" s="6018">
        <v>130</v>
      </c>
      <c r="AB9" s="6019">
        <v>146</v>
      </c>
      <c r="AC9" s="6018">
        <v>50</v>
      </c>
      <c r="AD9" s="6018">
        <v>111</v>
      </c>
      <c r="AE9" s="6018">
        <v>130</v>
      </c>
      <c r="AF9" s="6019">
        <v>146</v>
      </c>
    </row>
    <row r="10" spans="1:32" ht="13.5">
      <c r="A10" s="6018">
        <v>350</v>
      </c>
      <c r="B10" s="6019">
        <v>400</v>
      </c>
      <c r="C10" s="6020">
        <f t="shared" si="8"/>
        <v>57</v>
      </c>
      <c r="D10" s="6018">
        <f t="shared" si="9"/>
        <v>128</v>
      </c>
      <c r="E10" s="6018">
        <f t="shared" si="10"/>
        <v>150</v>
      </c>
      <c r="F10" s="6019">
        <f t="shared" si="11"/>
        <v>169</v>
      </c>
      <c r="G10" s="6020">
        <f t="shared" si="2"/>
        <v>57</v>
      </c>
      <c r="H10" s="6018">
        <f t="shared" si="3"/>
        <v>128</v>
      </c>
      <c r="I10" s="6018">
        <f t="shared" si="4"/>
        <v>150</v>
      </c>
      <c r="J10" s="6019">
        <f t="shared" si="5"/>
        <v>169</v>
      </c>
      <c r="K10" s="1732"/>
      <c r="L10" s="6018">
        <v>375</v>
      </c>
      <c r="W10" s="6018">
        <v>350</v>
      </c>
      <c r="X10" s="6019">
        <v>400</v>
      </c>
      <c r="Y10" s="6018">
        <v>57</v>
      </c>
      <c r="Z10" s="6018">
        <v>128</v>
      </c>
      <c r="AA10" s="6018">
        <v>150</v>
      </c>
      <c r="AB10" s="6019">
        <v>169</v>
      </c>
      <c r="AC10" s="6018">
        <v>57</v>
      </c>
      <c r="AD10" s="6018">
        <v>128</v>
      </c>
      <c r="AE10" s="6018">
        <v>150</v>
      </c>
      <c r="AF10" s="6019">
        <v>169</v>
      </c>
    </row>
    <row r="11" spans="1:32" ht="13.5">
      <c r="A11" s="6018">
        <v>400</v>
      </c>
      <c r="B11" s="6019">
        <v>450</v>
      </c>
      <c r="C11" s="6020">
        <f t="shared" si="8"/>
        <v>65</v>
      </c>
      <c r="D11" s="6018">
        <f t="shared" si="9"/>
        <v>145</v>
      </c>
      <c r="E11" s="6018">
        <f t="shared" si="10"/>
        <v>170</v>
      </c>
      <c r="F11" s="6019">
        <f t="shared" si="11"/>
        <v>191</v>
      </c>
      <c r="G11" s="6020">
        <f t="shared" si="2"/>
        <v>65</v>
      </c>
      <c r="H11" s="6018">
        <f t="shared" si="3"/>
        <v>145</v>
      </c>
      <c r="I11" s="6018">
        <f t="shared" si="4"/>
        <v>170</v>
      </c>
      <c r="J11" s="6019">
        <f t="shared" si="5"/>
        <v>191</v>
      </c>
      <c r="K11" s="1732"/>
      <c r="L11" s="6018">
        <v>425</v>
      </c>
      <c r="O11" s="6024"/>
      <c r="P11" s="6024"/>
      <c r="W11" s="6018">
        <v>400</v>
      </c>
      <c r="X11" s="6019">
        <v>450</v>
      </c>
      <c r="Y11" s="6018">
        <v>65</v>
      </c>
      <c r="Z11" s="6018">
        <v>145</v>
      </c>
      <c r="AA11" s="6018">
        <v>170</v>
      </c>
      <c r="AB11" s="6019">
        <v>191</v>
      </c>
      <c r="AC11" s="6018">
        <v>65</v>
      </c>
      <c r="AD11" s="6018">
        <v>145</v>
      </c>
      <c r="AE11" s="6018">
        <v>170</v>
      </c>
      <c r="AF11" s="6019">
        <v>191</v>
      </c>
    </row>
    <row r="12" spans="1:32" ht="13.5">
      <c r="A12" s="6018">
        <v>450</v>
      </c>
      <c r="B12" s="6019">
        <v>500</v>
      </c>
      <c r="C12" s="6020">
        <f t="shared" si="8"/>
        <v>73</v>
      </c>
      <c r="D12" s="6018">
        <f t="shared" si="9"/>
        <v>162</v>
      </c>
      <c r="E12" s="6018">
        <f t="shared" si="10"/>
        <v>190</v>
      </c>
      <c r="F12" s="6019">
        <f t="shared" si="11"/>
        <v>214</v>
      </c>
      <c r="G12" s="6020">
        <f t="shared" si="2"/>
        <v>73</v>
      </c>
      <c r="H12" s="6018">
        <f t="shared" si="3"/>
        <v>162</v>
      </c>
      <c r="I12" s="6018">
        <f t="shared" si="4"/>
        <v>190</v>
      </c>
      <c r="J12" s="6019">
        <f t="shared" si="5"/>
        <v>214</v>
      </c>
      <c r="K12" s="1732"/>
      <c r="L12" s="6018">
        <v>475</v>
      </c>
      <c r="W12" s="6018">
        <v>450</v>
      </c>
      <c r="X12" s="6019">
        <v>500</v>
      </c>
      <c r="Y12" s="6018">
        <v>73</v>
      </c>
      <c r="Z12" s="6018">
        <v>162</v>
      </c>
      <c r="AA12" s="6018">
        <v>190</v>
      </c>
      <c r="AB12" s="6019">
        <v>214</v>
      </c>
      <c r="AC12" s="6018">
        <v>73</v>
      </c>
      <c r="AD12" s="6018">
        <v>162</v>
      </c>
      <c r="AE12" s="6018">
        <v>190</v>
      </c>
      <c r="AF12" s="6019">
        <v>214</v>
      </c>
    </row>
    <row r="13" spans="1:32" ht="13.5">
      <c r="A13" s="6018">
        <v>500</v>
      </c>
      <c r="B13" s="6019">
        <v>550</v>
      </c>
      <c r="C13" s="6020">
        <f t="shared" si="8"/>
        <v>80</v>
      </c>
      <c r="D13" s="6018">
        <f t="shared" si="9"/>
        <v>179</v>
      </c>
      <c r="E13" s="6018">
        <f t="shared" si="10"/>
        <v>210</v>
      </c>
      <c r="F13" s="6019">
        <f t="shared" si="11"/>
        <v>236</v>
      </c>
      <c r="G13" s="6020">
        <f t="shared" si="2"/>
        <v>80</v>
      </c>
      <c r="H13" s="6018">
        <f t="shared" si="3"/>
        <v>179</v>
      </c>
      <c r="I13" s="6018">
        <f t="shared" si="4"/>
        <v>210</v>
      </c>
      <c r="J13" s="6019">
        <f t="shared" si="5"/>
        <v>236</v>
      </c>
      <c r="K13" s="1732"/>
      <c r="L13" s="6018">
        <v>525</v>
      </c>
      <c r="W13" s="6018">
        <v>500</v>
      </c>
      <c r="X13" s="6019">
        <v>550</v>
      </c>
      <c r="Y13" s="6018">
        <v>80</v>
      </c>
      <c r="Z13" s="6018">
        <v>179</v>
      </c>
      <c r="AA13" s="6018">
        <v>210</v>
      </c>
      <c r="AB13" s="6019">
        <v>236</v>
      </c>
      <c r="AC13" s="6018">
        <v>80</v>
      </c>
      <c r="AD13" s="6018">
        <v>179</v>
      </c>
      <c r="AE13" s="6018">
        <v>210</v>
      </c>
      <c r="AF13" s="6019">
        <v>236</v>
      </c>
    </row>
    <row r="14" spans="1:32" ht="13.5">
      <c r="A14" s="6018">
        <v>550</v>
      </c>
      <c r="B14" s="6019">
        <v>600</v>
      </c>
      <c r="C14" s="6020">
        <f t="shared" si="8"/>
        <v>88</v>
      </c>
      <c r="D14" s="6018">
        <f t="shared" si="9"/>
        <v>196</v>
      </c>
      <c r="E14" s="6018">
        <f t="shared" si="10"/>
        <v>230</v>
      </c>
      <c r="F14" s="6019">
        <f t="shared" si="11"/>
        <v>259</v>
      </c>
      <c r="G14" s="6020">
        <f t="shared" si="2"/>
        <v>88</v>
      </c>
      <c r="H14" s="6018">
        <f t="shared" si="3"/>
        <v>196</v>
      </c>
      <c r="I14" s="6018">
        <f t="shared" si="4"/>
        <v>230</v>
      </c>
      <c r="J14" s="6019">
        <f t="shared" si="5"/>
        <v>259</v>
      </c>
      <c r="K14" s="1732"/>
      <c r="L14" s="6018">
        <v>575</v>
      </c>
      <c r="W14" s="6018">
        <v>550</v>
      </c>
      <c r="X14" s="6019">
        <v>600</v>
      </c>
      <c r="Y14" s="6018">
        <v>88</v>
      </c>
      <c r="Z14" s="6018">
        <v>196</v>
      </c>
      <c r="AA14" s="6018">
        <v>230</v>
      </c>
      <c r="AB14" s="6019">
        <v>259</v>
      </c>
      <c r="AC14" s="6018">
        <v>88</v>
      </c>
      <c r="AD14" s="6018">
        <v>196</v>
      </c>
      <c r="AE14" s="6018">
        <v>230</v>
      </c>
      <c r="AF14" s="6019">
        <v>259</v>
      </c>
    </row>
    <row r="15" spans="1:32" ht="13.5">
      <c r="A15" s="6018">
        <v>600</v>
      </c>
      <c r="B15" s="6019">
        <v>650</v>
      </c>
      <c r="C15" s="6020">
        <f t="shared" si="8"/>
        <v>96</v>
      </c>
      <c r="D15" s="6018">
        <f t="shared" si="9"/>
        <v>213</v>
      </c>
      <c r="E15" s="6018">
        <f t="shared" si="10"/>
        <v>250</v>
      </c>
      <c r="F15" s="6019">
        <f t="shared" si="11"/>
        <v>281</v>
      </c>
      <c r="G15" s="6020">
        <f t="shared" si="2"/>
        <v>96</v>
      </c>
      <c r="H15" s="6018">
        <f t="shared" si="3"/>
        <v>213</v>
      </c>
      <c r="I15" s="6018">
        <f t="shared" si="4"/>
        <v>250</v>
      </c>
      <c r="J15" s="6019">
        <f t="shared" si="5"/>
        <v>281</v>
      </c>
      <c r="K15" s="1732"/>
      <c r="L15" s="6018">
        <v>625</v>
      </c>
      <c r="W15" s="6018">
        <v>600</v>
      </c>
      <c r="X15" s="6019">
        <v>650</v>
      </c>
      <c r="Y15" s="6018">
        <v>96</v>
      </c>
      <c r="Z15" s="6018">
        <v>213</v>
      </c>
      <c r="AA15" s="6018">
        <v>250</v>
      </c>
      <c r="AB15" s="6019">
        <v>281</v>
      </c>
      <c r="AC15" s="6018">
        <v>96</v>
      </c>
      <c r="AD15" s="6018">
        <v>213</v>
      </c>
      <c r="AE15" s="6018">
        <v>250</v>
      </c>
      <c r="AF15" s="6019">
        <v>281</v>
      </c>
    </row>
    <row r="16" spans="1:32" ht="13.5">
      <c r="A16" s="6018">
        <v>650</v>
      </c>
      <c r="B16" s="6019">
        <v>700</v>
      </c>
      <c r="C16" s="6020">
        <f t="shared" si="8"/>
        <v>103</v>
      </c>
      <c r="D16" s="6018">
        <f t="shared" si="9"/>
        <v>230</v>
      </c>
      <c r="E16" s="6018">
        <f t="shared" si="10"/>
        <v>270</v>
      </c>
      <c r="F16" s="6019">
        <f t="shared" si="11"/>
        <v>304</v>
      </c>
      <c r="G16" s="6020">
        <f t="shared" si="2"/>
        <v>103</v>
      </c>
      <c r="H16" s="6018">
        <f t="shared" si="3"/>
        <v>230</v>
      </c>
      <c r="I16" s="6018">
        <f t="shared" si="4"/>
        <v>270</v>
      </c>
      <c r="J16" s="6019">
        <f t="shared" si="5"/>
        <v>304</v>
      </c>
      <c r="K16" s="1732"/>
      <c r="L16" s="6018">
        <v>675</v>
      </c>
      <c r="W16" s="6018">
        <v>650</v>
      </c>
      <c r="X16" s="6019">
        <v>700</v>
      </c>
      <c r="Y16" s="6018">
        <v>103</v>
      </c>
      <c r="Z16" s="6018">
        <v>230</v>
      </c>
      <c r="AA16" s="6018">
        <v>270</v>
      </c>
      <c r="AB16" s="6019">
        <v>304</v>
      </c>
      <c r="AC16" s="6018">
        <v>103</v>
      </c>
      <c r="AD16" s="6018">
        <v>230</v>
      </c>
      <c r="AE16" s="6018">
        <v>270</v>
      </c>
      <c r="AF16" s="6019">
        <v>304</v>
      </c>
    </row>
    <row r="17" spans="1:32" ht="13.5">
      <c r="A17" s="6018">
        <v>700</v>
      </c>
      <c r="B17" s="6019">
        <v>750</v>
      </c>
      <c r="C17" s="6020">
        <f t="shared" si="8"/>
        <v>111</v>
      </c>
      <c r="D17" s="6018">
        <f t="shared" si="9"/>
        <v>247</v>
      </c>
      <c r="E17" s="6018">
        <f t="shared" si="10"/>
        <v>290</v>
      </c>
      <c r="F17" s="6019">
        <f t="shared" si="11"/>
        <v>326</v>
      </c>
      <c r="G17" s="6020">
        <f t="shared" si="2"/>
        <v>111</v>
      </c>
      <c r="H17" s="6018">
        <f t="shared" si="3"/>
        <v>247</v>
      </c>
      <c r="I17" s="6018">
        <f t="shared" si="4"/>
        <v>290</v>
      </c>
      <c r="J17" s="6019">
        <f t="shared" si="5"/>
        <v>326</v>
      </c>
      <c r="K17" s="1732"/>
      <c r="L17" s="6018">
        <v>725</v>
      </c>
      <c r="W17" s="6018">
        <v>700</v>
      </c>
      <c r="X17" s="6019">
        <v>750</v>
      </c>
      <c r="Y17" s="6018">
        <v>111</v>
      </c>
      <c r="Z17" s="6018">
        <v>247</v>
      </c>
      <c r="AA17" s="6018">
        <v>290</v>
      </c>
      <c r="AB17" s="6019">
        <v>326</v>
      </c>
      <c r="AC17" s="6018">
        <v>111</v>
      </c>
      <c r="AD17" s="6018">
        <v>247</v>
      </c>
      <c r="AE17" s="6018">
        <v>290</v>
      </c>
      <c r="AF17" s="6019">
        <v>326</v>
      </c>
    </row>
    <row r="18" spans="1:32" ht="13.5">
      <c r="A18" s="6018">
        <v>750</v>
      </c>
      <c r="B18" s="6019">
        <v>800</v>
      </c>
      <c r="C18" s="6020">
        <f t="shared" si="8"/>
        <v>119</v>
      </c>
      <c r="D18" s="6018">
        <f t="shared" si="9"/>
        <v>264</v>
      </c>
      <c r="E18" s="6018">
        <f t="shared" si="10"/>
        <v>310</v>
      </c>
      <c r="F18" s="6019">
        <f t="shared" si="11"/>
        <v>349</v>
      </c>
      <c r="G18" s="6020">
        <f t="shared" si="2"/>
        <v>119</v>
      </c>
      <c r="H18" s="6018">
        <f t="shared" si="3"/>
        <v>264</v>
      </c>
      <c r="I18" s="6018">
        <f t="shared" si="4"/>
        <v>310</v>
      </c>
      <c r="J18" s="6019">
        <f t="shared" si="5"/>
        <v>349</v>
      </c>
      <c r="K18" s="1732"/>
      <c r="L18" s="6018">
        <v>775</v>
      </c>
      <c r="W18" s="6018">
        <v>750</v>
      </c>
      <c r="X18" s="6019">
        <v>800</v>
      </c>
      <c r="Y18" s="6018">
        <v>119</v>
      </c>
      <c r="Z18" s="6018">
        <v>264</v>
      </c>
      <c r="AA18" s="6018">
        <v>310</v>
      </c>
      <c r="AB18" s="6019">
        <v>349</v>
      </c>
      <c r="AC18" s="6018">
        <v>119</v>
      </c>
      <c r="AD18" s="6018">
        <v>264</v>
      </c>
      <c r="AE18" s="6018">
        <v>310</v>
      </c>
      <c r="AF18" s="6019">
        <v>349</v>
      </c>
    </row>
    <row r="19" spans="1:32" ht="13.5">
      <c r="A19" s="6018">
        <v>800</v>
      </c>
      <c r="B19" s="6019">
        <v>850</v>
      </c>
      <c r="C19" s="6020">
        <f t="shared" si="8"/>
        <v>126</v>
      </c>
      <c r="D19" s="6018">
        <f t="shared" si="9"/>
        <v>281</v>
      </c>
      <c r="E19" s="6018">
        <f t="shared" si="10"/>
        <v>330</v>
      </c>
      <c r="F19" s="6019">
        <f t="shared" si="11"/>
        <v>371</v>
      </c>
      <c r="G19" s="6020">
        <f t="shared" si="2"/>
        <v>126</v>
      </c>
      <c r="H19" s="6018">
        <f t="shared" si="3"/>
        <v>281</v>
      </c>
      <c r="I19" s="6018">
        <f t="shared" si="4"/>
        <v>330</v>
      </c>
      <c r="J19" s="6019">
        <f t="shared" si="5"/>
        <v>371</v>
      </c>
      <c r="K19" s="1732"/>
      <c r="L19" s="6018">
        <v>825</v>
      </c>
      <c r="W19" s="6018">
        <v>800</v>
      </c>
      <c r="X19" s="6019">
        <v>850</v>
      </c>
      <c r="Y19" s="6018">
        <v>126</v>
      </c>
      <c r="Z19" s="6018">
        <v>281</v>
      </c>
      <c r="AA19" s="6018">
        <v>330</v>
      </c>
      <c r="AB19" s="6019">
        <v>371</v>
      </c>
      <c r="AC19" s="6018">
        <v>126</v>
      </c>
      <c r="AD19" s="6018">
        <v>281</v>
      </c>
      <c r="AE19" s="6018">
        <v>330</v>
      </c>
      <c r="AF19" s="6019">
        <v>371</v>
      </c>
    </row>
    <row r="20" spans="1:32" ht="13.5">
      <c r="A20" s="6018">
        <v>850</v>
      </c>
      <c r="B20" s="6019">
        <v>900</v>
      </c>
      <c r="C20" s="6020">
        <f t="shared" si="8"/>
        <v>134</v>
      </c>
      <c r="D20" s="6018">
        <f t="shared" si="9"/>
        <v>298</v>
      </c>
      <c r="E20" s="6018">
        <f t="shared" si="10"/>
        <v>350</v>
      </c>
      <c r="F20" s="6019">
        <f t="shared" si="11"/>
        <v>394</v>
      </c>
      <c r="G20" s="6020">
        <f t="shared" si="2"/>
        <v>134</v>
      </c>
      <c r="H20" s="6018">
        <f t="shared" si="3"/>
        <v>298</v>
      </c>
      <c r="I20" s="6018">
        <f t="shared" si="4"/>
        <v>350</v>
      </c>
      <c r="J20" s="6019">
        <f t="shared" si="5"/>
        <v>394</v>
      </c>
      <c r="K20" s="1732"/>
      <c r="L20" s="6018">
        <v>875</v>
      </c>
      <c r="W20" s="6018">
        <v>850</v>
      </c>
      <c r="X20" s="6019">
        <v>900</v>
      </c>
      <c r="Y20" s="6018">
        <v>134</v>
      </c>
      <c r="Z20" s="6018">
        <v>298</v>
      </c>
      <c r="AA20" s="6018">
        <v>350</v>
      </c>
      <c r="AB20" s="6019">
        <v>394</v>
      </c>
      <c r="AC20" s="6018">
        <v>134</v>
      </c>
      <c r="AD20" s="6018">
        <v>298</v>
      </c>
      <c r="AE20" s="6018">
        <v>350</v>
      </c>
      <c r="AF20" s="6019">
        <v>394</v>
      </c>
    </row>
    <row r="21" spans="1:32" ht="13.5">
      <c r="A21" s="6018">
        <v>900</v>
      </c>
      <c r="B21" s="6019">
        <v>950</v>
      </c>
      <c r="C21" s="6020">
        <f t="shared" si="8"/>
        <v>142</v>
      </c>
      <c r="D21" s="6018">
        <f t="shared" si="9"/>
        <v>315</v>
      </c>
      <c r="E21" s="6018">
        <f t="shared" si="10"/>
        <v>370</v>
      </c>
      <c r="F21" s="6019">
        <f t="shared" si="11"/>
        <v>416</v>
      </c>
      <c r="G21" s="6020">
        <f t="shared" si="2"/>
        <v>142</v>
      </c>
      <c r="H21" s="6018">
        <f t="shared" si="3"/>
        <v>315</v>
      </c>
      <c r="I21" s="6018">
        <f t="shared" si="4"/>
        <v>370</v>
      </c>
      <c r="J21" s="6019">
        <f t="shared" si="5"/>
        <v>416</v>
      </c>
      <c r="K21" s="1732"/>
      <c r="L21" s="6018">
        <v>925</v>
      </c>
      <c r="N21" s="6025"/>
      <c r="O21" s="3138"/>
      <c r="P21" s="6026"/>
      <c r="W21" s="6018">
        <v>900</v>
      </c>
      <c r="X21" s="6019">
        <v>950</v>
      </c>
      <c r="Y21" s="6018">
        <v>142</v>
      </c>
      <c r="Z21" s="6018">
        <v>315</v>
      </c>
      <c r="AA21" s="6018">
        <v>370</v>
      </c>
      <c r="AB21" s="6019">
        <v>416</v>
      </c>
      <c r="AC21" s="6018">
        <v>142</v>
      </c>
      <c r="AD21" s="6018">
        <v>315</v>
      </c>
      <c r="AE21" s="6018">
        <v>370</v>
      </c>
      <c r="AF21" s="6019">
        <v>416</v>
      </c>
    </row>
    <row r="22" spans="1:32" ht="13.5">
      <c r="A22" s="6018">
        <v>950</v>
      </c>
      <c r="B22" s="6019">
        <v>1000</v>
      </c>
      <c r="C22" s="6020">
        <f t="shared" si="8"/>
        <v>149</v>
      </c>
      <c r="D22" s="6018">
        <f t="shared" si="9"/>
        <v>332</v>
      </c>
      <c r="E22" s="6018">
        <f t="shared" si="10"/>
        <v>390</v>
      </c>
      <c r="F22" s="6019">
        <f t="shared" si="11"/>
        <v>439</v>
      </c>
      <c r="G22" s="6020">
        <f t="shared" si="2"/>
        <v>149</v>
      </c>
      <c r="H22" s="6018">
        <f t="shared" si="3"/>
        <v>332</v>
      </c>
      <c r="I22" s="6018">
        <f t="shared" si="4"/>
        <v>390</v>
      </c>
      <c r="J22" s="6019">
        <f t="shared" si="5"/>
        <v>439</v>
      </c>
      <c r="K22" s="1732"/>
      <c r="L22" s="6018">
        <v>975</v>
      </c>
      <c r="N22" s="6025"/>
      <c r="O22" s="3138"/>
      <c r="W22" s="6018">
        <v>950</v>
      </c>
      <c r="X22" s="6019">
        <v>1000</v>
      </c>
      <c r="Y22" s="6018">
        <v>149</v>
      </c>
      <c r="Z22" s="6018">
        <v>332</v>
      </c>
      <c r="AA22" s="6018">
        <v>390</v>
      </c>
      <c r="AB22" s="6019">
        <v>439</v>
      </c>
      <c r="AC22" s="6018">
        <v>149</v>
      </c>
      <c r="AD22" s="6018">
        <v>332</v>
      </c>
      <c r="AE22" s="6018">
        <v>390</v>
      </c>
      <c r="AF22" s="6019">
        <v>439</v>
      </c>
    </row>
    <row r="23" spans="1:32" ht="13.5">
      <c r="A23" s="6018">
        <v>1000</v>
      </c>
      <c r="B23" s="6019">
        <v>1050</v>
      </c>
      <c r="C23" s="6020">
        <f t="shared" si="8"/>
        <v>157</v>
      </c>
      <c r="D23" s="6018">
        <f t="shared" si="9"/>
        <v>349</v>
      </c>
      <c r="E23" s="6018">
        <f t="shared" si="10"/>
        <v>410</v>
      </c>
      <c r="F23" s="6019">
        <f t="shared" si="11"/>
        <v>461</v>
      </c>
      <c r="G23" s="6020">
        <f t="shared" si="2"/>
        <v>157</v>
      </c>
      <c r="H23" s="6018">
        <f t="shared" si="3"/>
        <v>349</v>
      </c>
      <c r="I23" s="6018">
        <f t="shared" si="4"/>
        <v>410</v>
      </c>
      <c r="J23" s="6019">
        <f t="shared" si="5"/>
        <v>461</v>
      </c>
      <c r="K23" s="1732"/>
      <c r="L23" s="6018">
        <v>1025</v>
      </c>
      <c r="N23" s="6025"/>
      <c r="O23" s="3138"/>
      <c r="W23" s="6018">
        <v>1000</v>
      </c>
      <c r="X23" s="6019">
        <v>1050</v>
      </c>
      <c r="Y23" s="6018">
        <v>157</v>
      </c>
      <c r="Z23" s="6018">
        <v>349</v>
      </c>
      <c r="AA23" s="6018">
        <v>410</v>
      </c>
      <c r="AB23" s="6019">
        <v>461</v>
      </c>
      <c r="AC23" s="6018">
        <v>157</v>
      </c>
      <c r="AD23" s="6018">
        <v>349</v>
      </c>
      <c r="AE23" s="6018">
        <v>410</v>
      </c>
      <c r="AF23" s="6019">
        <v>461</v>
      </c>
    </row>
    <row r="24" spans="1:32" ht="13.5">
      <c r="A24" s="6018">
        <v>1050</v>
      </c>
      <c r="B24" s="6019">
        <v>1100</v>
      </c>
      <c r="C24" s="6020">
        <f t="shared" si="8"/>
        <v>164</v>
      </c>
      <c r="D24" s="6018">
        <f t="shared" si="9"/>
        <v>366</v>
      </c>
      <c r="E24" s="6018">
        <f t="shared" si="10"/>
        <v>430</v>
      </c>
      <c r="F24" s="6019">
        <f t="shared" si="11"/>
        <v>484</v>
      </c>
      <c r="G24" s="6020">
        <f t="shared" si="2"/>
        <v>164</v>
      </c>
      <c r="H24" s="6018">
        <f t="shared" si="3"/>
        <v>366</v>
      </c>
      <c r="I24" s="6018">
        <f t="shared" si="4"/>
        <v>430</v>
      </c>
      <c r="J24" s="6019">
        <f t="shared" si="5"/>
        <v>484</v>
      </c>
      <c r="K24" s="1732"/>
      <c r="L24" s="6018">
        <v>1075</v>
      </c>
      <c r="N24" s="6025"/>
      <c r="O24" s="3138"/>
      <c r="W24" s="6018">
        <v>1050</v>
      </c>
      <c r="X24" s="6019">
        <v>1100</v>
      </c>
      <c r="Y24" s="6018">
        <v>164</v>
      </c>
      <c r="Z24" s="6018">
        <v>366</v>
      </c>
      <c r="AA24" s="6018">
        <v>430</v>
      </c>
      <c r="AB24" s="6019">
        <v>484</v>
      </c>
      <c r="AC24" s="6018">
        <v>164</v>
      </c>
      <c r="AD24" s="6018">
        <v>366</v>
      </c>
      <c r="AE24" s="6018">
        <v>430</v>
      </c>
      <c r="AF24" s="6019">
        <v>484</v>
      </c>
    </row>
    <row r="25" spans="1:32" ht="13.5">
      <c r="A25" s="6018">
        <v>1100</v>
      </c>
      <c r="B25" s="6019">
        <v>1150</v>
      </c>
      <c r="C25" s="6020">
        <f t="shared" si="8"/>
        <v>172</v>
      </c>
      <c r="D25" s="6018">
        <f t="shared" si="9"/>
        <v>383</v>
      </c>
      <c r="E25" s="6018">
        <f t="shared" si="10"/>
        <v>450</v>
      </c>
      <c r="F25" s="6019">
        <f t="shared" si="11"/>
        <v>506</v>
      </c>
      <c r="G25" s="6020">
        <f t="shared" si="2"/>
        <v>172</v>
      </c>
      <c r="H25" s="6018">
        <f t="shared" si="3"/>
        <v>383</v>
      </c>
      <c r="I25" s="6018">
        <f t="shared" si="4"/>
        <v>450</v>
      </c>
      <c r="J25" s="6019">
        <f t="shared" si="5"/>
        <v>506</v>
      </c>
      <c r="K25" s="1732"/>
      <c r="L25" s="6018">
        <v>1125</v>
      </c>
      <c r="N25" s="6025"/>
      <c r="W25" s="6018">
        <v>1100</v>
      </c>
      <c r="X25" s="6019">
        <v>1150</v>
      </c>
      <c r="Y25" s="6018">
        <v>172</v>
      </c>
      <c r="Z25" s="6018">
        <v>383</v>
      </c>
      <c r="AA25" s="6018">
        <v>450</v>
      </c>
      <c r="AB25" s="6019">
        <v>506</v>
      </c>
      <c r="AC25" s="6018">
        <v>172</v>
      </c>
      <c r="AD25" s="6018">
        <v>383</v>
      </c>
      <c r="AE25" s="6018">
        <v>450</v>
      </c>
      <c r="AF25" s="6019">
        <v>506</v>
      </c>
    </row>
    <row r="26" spans="1:32" ht="13.5">
      <c r="A26" s="6018">
        <v>1150</v>
      </c>
      <c r="B26" s="6019">
        <v>1200</v>
      </c>
      <c r="C26" s="6020">
        <f t="shared" si="8"/>
        <v>180</v>
      </c>
      <c r="D26" s="6018">
        <f t="shared" si="9"/>
        <v>400</v>
      </c>
      <c r="E26" s="6018">
        <f t="shared" si="10"/>
        <v>470</v>
      </c>
      <c r="F26" s="6019">
        <f t="shared" si="11"/>
        <v>529</v>
      </c>
      <c r="G26" s="6020">
        <f t="shared" si="2"/>
        <v>180</v>
      </c>
      <c r="H26" s="6018">
        <f t="shared" si="3"/>
        <v>400</v>
      </c>
      <c r="I26" s="6018">
        <f t="shared" si="4"/>
        <v>470</v>
      </c>
      <c r="J26" s="6019">
        <f t="shared" si="5"/>
        <v>529</v>
      </c>
      <c r="K26" s="1732"/>
      <c r="L26" s="6018">
        <v>1175</v>
      </c>
      <c r="N26" s="6025"/>
      <c r="W26" s="6018">
        <v>1150</v>
      </c>
      <c r="X26" s="6019">
        <v>1200</v>
      </c>
      <c r="Y26" s="6018">
        <v>180</v>
      </c>
      <c r="Z26" s="6018">
        <v>400</v>
      </c>
      <c r="AA26" s="6018">
        <v>470</v>
      </c>
      <c r="AB26" s="6019">
        <v>529</v>
      </c>
      <c r="AC26" s="6018">
        <v>180</v>
      </c>
      <c r="AD26" s="6018">
        <v>400</v>
      </c>
      <c r="AE26" s="6018">
        <v>470</v>
      </c>
      <c r="AF26" s="6019">
        <v>529</v>
      </c>
    </row>
    <row r="27" spans="1:32" ht="13.5">
      <c r="A27" s="6018">
        <v>1200</v>
      </c>
      <c r="B27" s="6019">
        <v>1250</v>
      </c>
      <c r="C27" s="6020">
        <f t="shared" si="8"/>
        <v>187</v>
      </c>
      <c r="D27" s="6018">
        <f t="shared" si="9"/>
        <v>417</v>
      </c>
      <c r="E27" s="6018">
        <f t="shared" si="10"/>
        <v>490</v>
      </c>
      <c r="F27" s="6019">
        <f t="shared" si="11"/>
        <v>551</v>
      </c>
      <c r="G27" s="6020">
        <f t="shared" si="2"/>
        <v>187</v>
      </c>
      <c r="H27" s="6018">
        <f t="shared" si="3"/>
        <v>417</v>
      </c>
      <c r="I27" s="6018">
        <f t="shared" si="4"/>
        <v>490</v>
      </c>
      <c r="J27" s="6019">
        <f t="shared" si="5"/>
        <v>551</v>
      </c>
      <c r="K27" s="1732"/>
      <c r="L27" s="6018">
        <v>1225</v>
      </c>
      <c r="N27" s="6025"/>
      <c r="W27" s="6018">
        <v>1200</v>
      </c>
      <c r="X27" s="6019">
        <v>1250</v>
      </c>
      <c r="Y27" s="6018">
        <v>187</v>
      </c>
      <c r="Z27" s="6018">
        <v>417</v>
      </c>
      <c r="AA27" s="6018">
        <v>490</v>
      </c>
      <c r="AB27" s="6019">
        <v>551</v>
      </c>
      <c r="AC27" s="6018">
        <v>187</v>
      </c>
      <c r="AD27" s="6018">
        <v>417</v>
      </c>
      <c r="AE27" s="6018">
        <v>490</v>
      </c>
      <c r="AF27" s="6019">
        <v>551</v>
      </c>
    </row>
    <row r="28" spans="1:32" ht="13.5">
      <c r="A28" s="6018">
        <v>1250</v>
      </c>
      <c r="B28" s="6019">
        <v>1300</v>
      </c>
      <c r="C28" s="6020">
        <f t="shared" si="8"/>
        <v>195</v>
      </c>
      <c r="D28" s="6018">
        <f t="shared" si="9"/>
        <v>434</v>
      </c>
      <c r="E28" s="6018">
        <f t="shared" si="10"/>
        <v>510</v>
      </c>
      <c r="F28" s="6019">
        <f t="shared" si="11"/>
        <v>574</v>
      </c>
      <c r="G28" s="6020">
        <f t="shared" si="2"/>
        <v>195</v>
      </c>
      <c r="H28" s="6018">
        <f t="shared" si="3"/>
        <v>434</v>
      </c>
      <c r="I28" s="6018">
        <f t="shared" si="4"/>
        <v>510</v>
      </c>
      <c r="J28" s="6019">
        <f t="shared" si="5"/>
        <v>574</v>
      </c>
      <c r="K28" s="1732"/>
      <c r="L28" s="6018">
        <v>1275</v>
      </c>
      <c r="N28" s="6025"/>
      <c r="W28" s="6018">
        <v>1250</v>
      </c>
      <c r="X28" s="6019">
        <v>1300</v>
      </c>
      <c r="Y28" s="6018">
        <v>195</v>
      </c>
      <c r="Z28" s="6018">
        <v>434</v>
      </c>
      <c r="AA28" s="6018">
        <v>510</v>
      </c>
      <c r="AB28" s="6019">
        <v>574</v>
      </c>
      <c r="AC28" s="6018">
        <v>195</v>
      </c>
      <c r="AD28" s="6018">
        <v>434</v>
      </c>
      <c r="AE28" s="6018">
        <v>510</v>
      </c>
      <c r="AF28" s="6019">
        <v>574</v>
      </c>
    </row>
    <row r="29" spans="1:32" ht="13.5">
      <c r="A29" s="6018">
        <v>1300</v>
      </c>
      <c r="B29" s="6019">
        <v>1350</v>
      </c>
      <c r="C29" s="6020">
        <f t="shared" si="8"/>
        <v>203</v>
      </c>
      <c r="D29" s="6018">
        <f t="shared" si="9"/>
        <v>451</v>
      </c>
      <c r="E29" s="6018">
        <f t="shared" si="10"/>
        <v>530</v>
      </c>
      <c r="F29" s="6019">
        <f t="shared" si="11"/>
        <v>596</v>
      </c>
      <c r="G29" s="6020">
        <f t="shared" si="2"/>
        <v>203</v>
      </c>
      <c r="H29" s="6018">
        <f t="shared" si="3"/>
        <v>451</v>
      </c>
      <c r="I29" s="6018">
        <f t="shared" si="4"/>
        <v>530</v>
      </c>
      <c r="J29" s="6019">
        <f t="shared" si="5"/>
        <v>596</v>
      </c>
      <c r="K29" s="1732"/>
      <c r="L29" s="6018">
        <v>1325</v>
      </c>
      <c r="N29" s="6025"/>
      <c r="W29" s="6018">
        <v>1300</v>
      </c>
      <c r="X29" s="6019">
        <v>1350</v>
      </c>
      <c r="Y29" s="6018">
        <v>203</v>
      </c>
      <c r="Z29" s="6018">
        <v>451</v>
      </c>
      <c r="AA29" s="6018">
        <v>530</v>
      </c>
      <c r="AB29" s="6019">
        <v>596</v>
      </c>
      <c r="AC29" s="6018">
        <v>203</v>
      </c>
      <c r="AD29" s="6018">
        <v>451</v>
      </c>
      <c r="AE29" s="6018">
        <v>530</v>
      </c>
      <c r="AF29" s="6019">
        <v>596</v>
      </c>
    </row>
    <row r="30" spans="1:32" ht="13.5">
      <c r="A30" s="6018">
        <v>1350</v>
      </c>
      <c r="B30" s="6019">
        <v>1400</v>
      </c>
      <c r="C30" s="6020">
        <f t="shared" si="8"/>
        <v>210</v>
      </c>
      <c r="D30" s="6018">
        <f t="shared" si="9"/>
        <v>468</v>
      </c>
      <c r="E30" s="6018">
        <f t="shared" si="10"/>
        <v>550</v>
      </c>
      <c r="F30" s="6019">
        <f t="shared" si="11"/>
        <v>619</v>
      </c>
      <c r="G30" s="6020">
        <f t="shared" si="2"/>
        <v>210</v>
      </c>
      <c r="H30" s="6018">
        <f t="shared" si="3"/>
        <v>468</v>
      </c>
      <c r="I30" s="6018">
        <f t="shared" si="4"/>
        <v>550</v>
      </c>
      <c r="J30" s="6019">
        <f t="shared" si="5"/>
        <v>619</v>
      </c>
      <c r="K30" s="1732"/>
      <c r="L30" s="6018">
        <v>1375</v>
      </c>
      <c r="N30" s="6025"/>
      <c r="W30" s="6018">
        <v>1350</v>
      </c>
      <c r="X30" s="6019">
        <v>1400</v>
      </c>
      <c r="Y30" s="6018">
        <v>210</v>
      </c>
      <c r="Z30" s="6018">
        <v>468</v>
      </c>
      <c r="AA30" s="6018">
        <v>550</v>
      </c>
      <c r="AB30" s="6019">
        <v>619</v>
      </c>
      <c r="AC30" s="6018">
        <v>210</v>
      </c>
      <c r="AD30" s="6018">
        <v>468</v>
      </c>
      <c r="AE30" s="6018">
        <v>550</v>
      </c>
      <c r="AF30" s="6019">
        <v>619</v>
      </c>
    </row>
    <row r="31" spans="1:32" ht="13.5">
      <c r="A31" s="6018">
        <v>1400</v>
      </c>
      <c r="B31" s="6019">
        <v>1450</v>
      </c>
      <c r="C31" s="6020">
        <f t="shared" si="8"/>
        <v>218</v>
      </c>
      <c r="D31" s="6018">
        <f t="shared" si="9"/>
        <v>485</v>
      </c>
      <c r="E31" s="6018">
        <f t="shared" si="10"/>
        <v>570</v>
      </c>
      <c r="F31" s="6019">
        <f t="shared" si="11"/>
        <v>641</v>
      </c>
      <c r="G31" s="6020">
        <f t="shared" si="2"/>
        <v>218</v>
      </c>
      <c r="H31" s="6018">
        <f t="shared" si="3"/>
        <v>485</v>
      </c>
      <c r="I31" s="6018">
        <f t="shared" si="4"/>
        <v>570</v>
      </c>
      <c r="J31" s="6019">
        <f t="shared" si="5"/>
        <v>641</v>
      </c>
      <c r="K31" s="1732"/>
      <c r="L31" s="6018">
        <v>1425</v>
      </c>
      <c r="N31" s="6025"/>
      <c r="W31" s="6018">
        <v>1400</v>
      </c>
      <c r="X31" s="6019">
        <v>1450</v>
      </c>
      <c r="Y31" s="6018">
        <v>218</v>
      </c>
      <c r="Z31" s="6018">
        <v>485</v>
      </c>
      <c r="AA31" s="6018">
        <v>570</v>
      </c>
      <c r="AB31" s="6019">
        <v>641</v>
      </c>
      <c r="AC31" s="6018">
        <v>218</v>
      </c>
      <c r="AD31" s="6018">
        <v>485</v>
      </c>
      <c r="AE31" s="6018">
        <v>570</v>
      </c>
      <c r="AF31" s="6019">
        <v>641</v>
      </c>
    </row>
    <row r="32" spans="1:32" ht="13.5">
      <c r="A32" s="6018">
        <v>1450</v>
      </c>
      <c r="B32" s="6019">
        <v>1500</v>
      </c>
      <c r="C32" s="6020">
        <f t="shared" si="8"/>
        <v>226</v>
      </c>
      <c r="D32" s="6018">
        <f t="shared" si="9"/>
        <v>502</v>
      </c>
      <c r="E32" s="6018">
        <f t="shared" si="10"/>
        <v>590</v>
      </c>
      <c r="F32" s="6019">
        <f t="shared" si="11"/>
        <v>664</v>
      </c>
      <c r="G32" s="6020">
        <f t="shared" si="2"/>
        <v>226</v>
      </c>
      <c r="H32" s="6018">
        <f t="shared" si="3"/>
        <v>502</v>
      </c>
      <c r="I32" s="6018">
        <f t="shared" si="4"/>
        <v>590</v>
      </c>
      <c r="J32" s="6019">
        <f t="shared" si="5"/>
        <v>664</v>
      </c>
      <c r="K32" s="1732"/>
      <c r="L32" s="6018">
        <v>1475</v>
      </c>
      <c r="N32" s="6025"/>
      <c r="W32" s="6018">
        <v>1450</v>
      </c>
      <c r="X32" s="6019">
        <v>1500</v>
      </c>
      <c r="Y32" s="6018">
        <v>226</v>
      </c>
      <c r="Z32" s="6018">
        <v>502</v>
      </c>
      <c r="AA32" s="6018">
        <v>590</v>
      </c>
      <c r="AB32" s="6019">
        <v>664</v>
      </c>
      <c r="AC32" s="6018">
        <v>226</v>
      </c>
      <c r="AD32" s="6018">
        <v>502</v>
      </c>
      <c r="AE32" s="6018">
        <v>590</v>
      </c>
      <c r="AF32" s="6019">
        <v>664</v>
      </c>
    </row>
    <row r="33" spans="1:32" ht="13.5">
      <c r="A33" s="6018">
        <v>1500</v>
      </c>
      <c r="B33" s="6019">
        <v>1550</v>
      </c>
      <c r="C33" s="6020">
        <f t="shared" si="8"/>
        <v>233</v>
      </c>
      <c r="D33" s="6018">
        <f t="shared" si="9"/>
        <v>519</v>
      </c>
      <c r="E33" s="6018">
        <f t="shared" si="10"/>
        <v>610</v>
      </c>
      <c r="F33" s="6019">
        <f t="shared" si="11"/>
        <v>686</v>
      </c>
      <c r="G33" s="6020">
        <f t="shared" si="2"/>
        <v>233</v>
      </c>
      <c r="H33" s="6018">
        <f t="shared" si="3"/>
        <v>519</v>
      </c>
      <c r="I33" s="6018">
        <f t="shared" si="4"/>
        <v>610</v>
      </c>
      <c r="J33" s="6019">
        <f t="shared" si="5"/>
        <v>686</v>
      </c>
      <c r="K33" s="1732"/>
      <c r="L33" s="6018">
        <v>1525</v>
      </c>
      <c r="N33" s="6025"/>
      <c r="W33" s="6018">
        <v>1500</v>
      </c>
      <c r="X33" s="6019">
        <v>1550</v>
      </c>
      <c r="Y33" s="6018">
        <v>233</v>
      </c>
      <c r="Z33" s="6018">
        <v>519</v>
      </c>
      <c r="AA33" s="6018">
        <v>610</v>
      </c>
      <c r="AB33" s="6019">
        <v>686</v>
      </c>
      <c r="AC33" s="6018">
        <v>233</v>
      </c>
      <c r="AD33" s="6018">
        <v>519</v>
      </c>
      <c r="AE33" s="6018">
        <v>610</v>
      </c>
      <c r="AF33" s="6019">
        <v>686</v>
      </c>
    </row>
    <row r="34" spans="1:32" ht="13.5">
      <c r="A34" s="6018">
        <v>1550</v>
      </c>
      <c r="B34" s="6019">
        <v>1600</v>
      </c>
      <c r="C34" s="6020">
        <f t="shared" si="8"/>
        <v>241</v>
      </c>
      <c r="D34" s="6018">
        <f t="shared" si="9"/>
        <v>536</v>
      </c>
      <c r="E34" s="6018">
        <f t="shared" si="10"/>
        <v>630</v>
      </c>
      <c r="F34" s="6019">
        <f t="shared" si="11"/>
        <v>709</v>
      </c>
      <c r="G34" s="6020">
        <f t="shared" si="2"/>
        <v>241</v>
      </c>
      <c r="H34" s="6018">
        <f t="shared" si="3"/>
        <v>536</v>
      </c>
      <c r="I34" s="6018">
        <f t="shared" si="4"/>
        <v>630</v>
      </c>
      <c r="J34" s="6019">
        <f t="shared" si="5"/>
        <v>709</v>
      </c>
      <c r="K34" s="1732"/>
      <c r="L34" s="6018">
        <v>1575</v>
      </c>
      <c r="N34" s="6025"/>
      <c r="W34" s="6018">
        <v>1550</v>
      </c>
      <c r="X34" s="6019">
        <v>1600</v>
      </c>
      <c r="Y34" s="6018">
        <v>241</v>
      </c>
      <c r="Z34" s="6018">
        <v>536</v>
      </c>
      <c r="AA34" s="6018">
        <v>630</v>
      </c>
      <c r="AB34" s="6019">
        <v>709</v>
      </c>
      <c r="AC34" s="6018">
        <v>241</v>
      </c>
      <c r="AD34" s="6018">
        <v>536</v>
      </c>
      <c r="AE34" s="6018">
        <v>630</v>
      </c>
      <c r="AF34" s="6019">
        <v>709</v>
      </c>
    </row>
    <row r="35" spans="1:32" ht="13.5">
      <c r="A35" s="6018">
        <v>1600</v>
      </c>
      <c r="B35" s="6019">
        <v>1650</v>
      </c>
      <c r="C35" s="6020">
        <f t="shared" si="8"/>
        <v>249</v>
      </c>
      <c r="D35" s="6018">
        <f t="shared" si="9"/>
        <v>553</v>
      </c>
      <c r="E35" s="6018">
        <f t="shared" si="10"/>
        <v>650</v>
      </c>
      <c r="F35" s="6019">
        <f t="shared" si="11"/>
        <v>731</v>
      </c>
      <c r="G35" s="6020">
        <f t="shared" si="2"/>
        <v>249</v>
      </c>
      <c r="H35" s="6018">
        <f t="shared" si="3"/>
        <v>553</v>
      </c>
      <c r="I35" s="6018">
        <f t="shared" si="4"/>
        <v>650</v>
      </c>
      <c r="J35" s="6019">
        <f t="shared" si="5"/>
        <v>731</v>
      </c>
      <c r="K35" s="1732"/>
      <c r="L35" s="6018">
        <v>1625</v>
      </c>
      <c r="N35" s="6025"/>
      <c r="W35" s="6018">
        <v>1600</v>
      </c>
      <c r="X35" s="6019">
        <v>1650</v>
      </c>
      <c r="Y35" s="6018">
        <v>249</v>
      </c>
      <c r="Z35" s="6018">
        <v>553</v>
      </c>
      <c r="AA35" s="6018">
        <v>650</v>
      </c>
      <c r="AB35" s="6019">
        <v>731</v>
      </c>
      <c r="AC35" s="6018">
        <v>249</v>
      </c>
      <c r="AD35" s="6018">
        <v>553</v>
      </c>
      <c r="AE35" s="6018">
        <v>650</v>
      </c>
      <c r="AF35" s="6019">
        <v>731</v>
      </c>
    </row>
    <row r="36" spans="1:32" ht="13.5">
      <c r="A36" s="6018">
        <v>1650</v>
      </c>
      <c r="B36" s="6019">
        <v>1700</v>
      </c>
      <c r="C36" s="6020">
        <f t="shared" si="8"/>
        <v>256</v>
      </c>
      <c r="D36" s="6018">
        <f t="shared" si="9"/>
        <v>570</v>
      </c>
      <c r="E36" s="6018">
        <f t="shared" si="10"/>
        <v>670</v>
      </c>
      <c r="F36" s="6019">
        <f t="shared" si="11"/>
        <v>754</v>
      </c>
      <c r="G36" s="6020">
        <f t="shared" si="2"/>
        <v>256</v>
      </c>
      <c r="H36" s="6018">
        <f t="shared" si="3"/>
        <v>570</v>
      </c>
      <c r="I36" s="6018">
        <f t="shared" si="4"/>
        <v>670</v>
      </c>
      <c r="J36" s="6019">
        <f t="shared" si="5"/>
        <v>754</v>
      </c>
      <c r="K36" s="1732"/>
      <c r="L36" s="6018">
        <v>1675</v>
      </c>
      <c r="N36" s="6025"/>
      <c r="W36" s="6018">
        <v>1650</v>
      </c>
      <c r="X36" s="6019">
        <v>1700</v>
      </c>
      <c r="Y36" s="6018">
        <v>256</v>
      </c>
      <c r="Z36" s="6018">
        <v>570</v>
      </c>
      <c r="AA36" s="6018">
        <v>670</v>
      </c>
      <c r="AB36" s="6019">
        <v>754</v>
      </c>
      <c r="AC36" s="6018">
        <v>256</v>
      </c>
      <c r="AD36" s="6018">
        <v>570</v>
      </c>
      <c r="AE36" s="6018">
        <v>670</v>
      </c>
      <c r="AF36" s="6019">
        <v>754</v>
      </c>
    </row>
    <row r="37" spans="1:32" ht="13.5">
      <c r="A37" s="6018">
        <v>1700</v>
      </c>
      <c r="B37" s="6019">
        <v>1750</v>
      </c>
      <c r="C37" s="6020">
        <f t="shared" si="8"/>
        <v>264</v>
      </c>
      <c r="D37" s="6018">
        <f t="shared" si="9"/>
        <v>587</v>
      </c>
      <c r="E37" s="6018">
        <f t="shared" si="10"/>
        <v>690</v>
      </c>
      <c r="F37" s="6019">
        <f t="shared" si="11"/>
        <v>776</v>
      </c>
      <c r="G37" s="6020">
        <f t="shared" si="2"/>
        <v>264</v>
      </c>
      <c r="H37" s="6018">
        <f t="shared" si="3"/>
        <v>587</v>
      </c>
      <c r="I37" s="6018">
        <f t="shared" si="4"/>
        <v>690</v>
      </c>
      <c r="J37" s="6019">
        <f t="shared" si="5"/>
        <v>776</v>
      </c>
      <c r="K37" s="1732"/>
      <c r="L37" s="6018">
        <v>1725</v>
      </c>
      <c r="N37" s="6025"/>
      <c r="W37" s="6018">
        <v>1700</v>
      </c>
      <c r="X37" s="6019">
        <v>1750</v>
      </c>
      <c r="Y37" s="6018">
        <v>264</v>
      </c>
      <c r="Z37" s="6018">
        <v>587</v>
      </c>
      <c r="AA37" s="6018">
        <v>690</v>
      </c>
      <c r="AB37" s="6019">
        <v>776</v>
      </c>
      <c r="AC37" s="6018">
        <v>264</v>
      </c>
      <c r="AD37" s="6018">
        <v>587</v>
      </c>
      <c r="AE37" s="6018">
        <v>690</v>
      </c>
      <c r="AF37" s="6019">
        <v>776</v>
      </c>
    </row>
    <row r="38" spans="1:32" ht="13.5">
      <c r="A38" s="6018">
        <v>1750</v>
      </c>
      <c r="B38" s="6019">
        <v>1800</v>
      </c>
      <c r="C38" s="6020">
        <f t="shared" si="8"/>
        <v>272</v>
      </c>
      <c r="D38" s="6018">
        <f t="shared" si="9"/>
        <v>604</v>
      </c>
      <c r="E38" s="6018">
        <f t="shared" si="10"/>
        <v>710</v>
      </c>
      <c r="F38" s="6019">
        <f t="shared" si="11"/>
        <v>799</v>
      </c>
      <c r="G38" s="6020">
        <f t="shared" si="2"/>
        <v>272</v>
      </c>
      <c r="H38" s="6018">
        <f t="shared" si="3"/>
        <v>604</v>
      </c>
      <c r="I38" s="6018">
        <f t="shared" si="4"/>
        <v>710</v>
      </c>
      <c r="J38" s="6019">
        <f t="shared" si="5"/>
        <v>799</v>
      </c>
      <c r="K38" s="1732"/>
      <c r="L38" s="6018">
        <v>1775</v>
      </c>
      <c r="N38" s="6025"/>
      <c r="W38" s="6018">
        <v>1750</v>
      </c>
      <c r="X38" s="6019">
        <v>1800</v>
      </c>
      <c r="Y38" s="6018">
        <v>272</v>
      </c>
      <c r="Z38" s="6018">
        <v>604</v>
      </c>
      <c r="AA38" s="6018">
        <v>710</v>
      </c>
      <c r="AB38" s="6019">
        <v>799</v>
      </c>
      <c r="AC38" s="6018">
        <v>272</v>
      </c>
      <c r="AD38" s="6018">
        <v>604</v>
      </c>
      <c r="AE38" s="6018">
        <v>710</v>
      </c>
      <c r="AF38" s="6019">
        <v>799</v>
      </c>
    </row>
    <row r="39" spans="1:32" ht="13.5">
      <c r="A39" s="6018">
        <v>1800</v>
      </c>
      <c r="B39" s="6019">
        <v>1850</v>
      </c>
      <c r="C39" s="6020">
        <f t="shared" si="8"/>
        <v>279</v>
      </c>
      <c r="D39" s="6018">
        <f t="shared" si="9"/>
        <v>621</v>
      </c>
      <c r="E39" s="6018">
        <f t="shared" si="10"/>
        <v>730</v>
      </c>
      <c r="F39" s="6019">
        <f t="shared" si="11"/>
        <v>821</v>
      </c>
      <c r="G39" s="6020">
        <f t="shared" si="2"/>
        <v>279</v>
      </c>
      <c r="H39" s="6018">
        <f t="shared" si="3"/>
        <v>621</v>
      </c>
      <c r="I39" s="6018">
        <f t="shared" si="4"/>
        <v>730</v>
      </c>
      <c r="J39" s="6019">
        <f t="shared" si="5"/>
        <v>821</v>
      </c>
      <c r="K39" s="1732"/>
      <c r="L39" s="6018">
        <v>1825</v>
      </c>
      <c r="N39" s="6025"/>
      <c r="W39" s="6018">
        <v>1800</v>
      </c>
      <c r="X39" s="6019">
        <v>1850</v>
      </c>
      <c r="Y39" s="6018">
        <v>279</v>
      </c>
      <c r="Z39" s="6018">
        <v>621</v>
      </c>
      <c r="AA39" s="6018">
        <v>730</v>
      </c>
      <c r="AB39" s="6019">
        <v>821</v>
      </c>
      <c r="AC39" s="6018">
        <v>279</v>
      </c>
      <c r="AD39" s="6018">
        <v>621</v>
      </c>
      <c r="AE39" s="6018">
        <v>730</v>
      </c>
      <c r="AF39" s="6019">
        <v>821</v>
      </c>
    </row>
    <row r="40" spans="1:32" ht="13.5">
      <c r="A40" s="6018">
        <v>1850</v>
      </c>
      <c r="B40" s="6019">
        <v>1900</v>
      </c>
      <c r="C40" s="6020">
        <f t="shared" si="8"/>
        <v>287</v>
      </c>
      <c r="D40" s="6018">
        <f t="shared" si="9"/>
        <v>638</v>
      </c>
      <c r="E40" s="6018">
        <f t="shared" si="10"/>
        <v>750</v>
      </c>
      <c r="F40" s="6019">
        <f t="shared" si="11"/>
        <v>844</v>
      </c>
      <c r="G40" s="6020">
        <f t="shared" si="2"/>
        <v>287</v>
      </c>
      <c r="H40" s="6018">
        <f t="shared" si="3"/>
        <v>638</v>
      </c>
      <c r="I40" s="6018">
        <f t="shared" si="4"/>
        <v>750</v>
      </c>
      <c r="J40" s="6019">
        <f t="shared" si="5"/>
        <v>844</v>
      </c>
      <c r="K40" s="1732"/>
      <c r="L40" s="6018">
        <v>1875</v>
      </c>
      <c r="N40" s="6025"/>
      <c r="W40" s="6018">
        <v>1850</v>
      </c>
      <c r="X40" s="6019">
        <v>1900</v>
      </c>
      <c r="Y40" s="6018">
        <v>287</v>
      </c>
      <c r="Z40" s="6018">
        <v>638</v>
      </c>
      <c r="AA40" s="6018">
        <v>750</v>
      </c>
      <c r="AB40" s="6019">
        <v>844</v>
      </c>
      <c r="AC40" s="6018">
        <v>287</v>
      </c>
      <c r="AD40" s="6018">
        <v>638</v>
      </c>
      <c r="AE40" s="6018">
        <v>750</v>
      </c>
      <c r="AF40" s="6019">
        <v>844</v>
      </c>
    </row>
    <row r="41" spans="1:32" ht="13.5">
      <c r="A41" s="6018">
        <v>1900</v>
      </c>
      <c r="B41" s="6019">
        <v>1950</v>
      </c>
      <c r="C41" s="6020">
        <f t="shared" si="8"/>
        <v>295</v>
      </c>
      <c r="D41" s="6018">
        <f t="shared" si="9"/>
        <v>655</v>
      </c>
      <c r="E41" s="6018">
        <f t="shared" si="10"/>
        <v>770</v>
      </c>
      <c r="F41" s="6019">
        <f t="shared" si="11"/>
        <v>866</v>
      </c>
      <c r="G41" s="6020">
        <f t="shared" si="2"/>
        <v>295</v>
      </c>
      <c r="H41" s="6018">
        <f t="shared" si="3"/>
        <v>655</v>
      </c>
      <c r="I41" s="6018">
        <f t="shared" si="4"/>
        <v>770</v>
      </c>
      <c r="J41" s="6019">
        <f t="shared" si="5"/>
        <v>866</v>
      </c>
      <c r="K41" s="1732"/>
      <c r="L41" s="6018">
        <v>1925</v>
      </c>
      <c r="N41" s="6025"/>
      <c r="W41" s="6018">
        <v>1900</v>
      </c>
      <c r="X41" s="6019">
        <v>1950</v>
      </c>
      <c r="Y41" s="6018">
        <v>295</v>
      </c>
      <c r="Z41" s="6018">
        <v>655</v>
      </c>
      <c r="AA41" s="6018">
        <v>770</v>
      </c>
      <c r="AB41" s="6019">
        <v>866</v>
      </c>
      <c r="AC41" s="6018">
        <v>295</v>
      </c>
      <c r="AD41" s="6018">
        <v>655</v>
      </c>
      <c r="AE41" s="6018">
        <v>770</v>
      </c>
      <c r="AF41" s="6019">
        <v>866</v>
      </c>
    </row>
    <row r="42" spans="1:32" ht="13.5">
      <c r="A42" s="6018">
        <v>1950</v>
      </c>
      <c r="B42" s="6019">
        <v>2000</v>
      </c>
      <c r="C42" s="6020">
        <f t="shared" si="8"/>
        <v>302</v>
      </c>
      <c r="D42" s="6018">
        <f t="shared" si="9"/>
        <v>672</v>
      </c>
      <c r="E42" s="6018">
        <f t="shared" si="10"/>
        <v>790</v>
      </c>
      <c r="F42" s="6019">
        <f t="shared" si="11"/>
        <v>889</v>
      </c>
      <c r="G42" s="6020">
        <f t="shared" si="2"/>
        <v>302</v>
      </c>
      <c r="H42" s="6018">
        <f t="shared" si="3"/>
        <v>672</v>
      </c>
      <c r="I42" s="6018">
        <f t="shared" si="4"/>
        <v>790</v>
      </c>
      <c r="J42" s="6019">
        <f t="shared" si="5"/>
        <v>889</v>
      </c>
      <c r="K42" s="1732"/>
      <c r="L42" s="6018">
        <v>1975</v>
      </c>
      <c r="N42" s="6025"/>
      <c r="W42" s="6018">
        <v>1950</v>
      </c>
      <c r="X42" s="6019">
        <v>2000</v>
      </c>
      <c r="Y42" s="6018">
        <v>302</v>
      </c>
      <c r="Z42" s="6018">
        <v>672</v>
      </c>
      <c r="AA42" s="6018">
        <v>790</v>
      </c>
      <c r="AB42" s="6019">
        <v>889</v>
      </c>
      <c r="AC42" s="6018">
        <v>302</v>
      </c>
      <c r="AD42" s="6018">
        <v>672</v>
      </c>
      <c r="AE42" s="6018">
        <v>790</v>
      </c>
      <c r="AF42" s="6019">
        <v>889</v>
      </c>
    </row>
    <row r="43" spans="1:32" ht="13.5">
      <c r="A43" s="6018">
        <v>2000</v>
      </c>
      <c r="B43" s="6019">
        <v>2050</v>
      </c>
      <c r="C43" s="6020">
        <f t="shared" si="8"/>
        <v>310</v>
      </c>
      <c r="D43" s="6018">
        <f t="shared" si="9"/>
        <v>689</v>
      </c>
      <c r="E43" s="6018">
        <f t="shared" si="10"/>
        <v>810</v>
      </c>
      <c r="F43" s="6019">
        <f t="shared" si="11"/>
        <v>911</v>
      </c>
      <c r="G43" s="6020">
        <f t="shared" si="2"/>
        <v>310</v>
      </c>
      <c r="H43" s="6018">
        <f t="shared" si="3"/>
        <v>689</v>
      </c>
      <c r="I43" s="6018">
        <f t="shared" si="4"/>
        <v>810</v>
      </c>
      <c r="J43" s="6019">
        <f t="shared" si="5"/>
        <v>911</v>
      </c>
      <c r="K43" s="1732"/>
      <c r="L43" s="6018">
        <v>2025</v>
      </c>
      <c r="N43" s="6025"/>
      <c r="W43" s="6018">
        <v>2000</v>
      </c>
      <c r="X43" s="6019">
        <v>2050</v>
      </c>
      <c r="Y43" s="6018">
        <v>310</v>
      </c>
      <c r="Z43" s="6018">
        <v>689</v>
      </c>
      <c r="AA43" s="6018">
        <v>810</v>
      </c>
      <c r="AB43" s="6019">
        <v>911</v>
      </c>
      <c r="AC43" s="6018">
        <v>310</v>
      </c>
      <c r="AD43" s="6018">
        <v>689</v>
      </c>
      <c r="AE43" s="6018">
        <v>810</v>
      </c>
      <c r="AF43" s="6019">
        <v>911</v>
      </c>
    </row>
    <row r="44" spans="1:32" ht="13.5">
      <c r="A44" s="6018">
        <v>2050</v>
      </c>
      <c r="B44" s="6019">
        <v>2100</v>
      </c>
      <c r="C44" s="6020">
        <f t="shared" si="8"/>
        <v>317</v>
      </c>
      <c r="D44" s="6018">
        <f t="shared" si="9"/>
        <v>706</v>
      </c>
      <c r="E44" s="6018">
        <f t="shared" si="10"/>
        <v>830</v>
      </c>
      <c r="F44" s="6019">
        <f t="shared" si="11"/>
        <v>934</v>
      </c>
      <c r="G44" s="6020">
        <f t="shared" si="2"/>
        <v>317</v>
      </c>
      <c r="H44" s="6018">
        <f t="shared" si="3"/>
        <v>706</v>
      </c>
      <c r="I44" s="6018">
        <f t="shared" si="4"/>
        <v>830</v>
      </c>
      <c r="J44" s="6019">
        <f t="shared" si="5"/>
        <v>934</v>
      </c>
      <c r="K44" s="1732"/>
      <c r="L44" s="6018">
        <v>2075</v>
      </c>
      <c r="N44" s="6025"/>
      <c r="W44" s="6018">
        <v>2050</v>
      </c>
      <c r="X44" s="6019">
        <v>2100</v>
      </c>
      <c r="Y44" s="6018">
        <v>317</v>
      </c>
      <c r="Z44" s="6018">
        <v>706</v>
      </c>
      <c r="AA44" s="6018">
        <v>830</v>
      </c>
      <c r="AB44" s="6019">
        <v>934</v>
      </c>
      <c r="AC44" s="6018">
        <v>317</v>
      </c>
      <c r="AD44" s="6018">
        <v>706</v>
      </c>
      <c r="AE44" s="6018">
        <v>830</v>
      </c>
      <c r="AF44" s="6019">
        <v>934</v>
      </c>
    </row>
    <row r="45" spans="1:32" ht="13.5">
      <c r="A45" s="6018">
        <v>2100</v>
      </c>
      <c r="B45" s="6019">
        <v>2150</v>
      </c>
      <c r="C45" s="6020">
        <f t="shared" si="8"/>
        <v>325</v>
      </c>
      <c r="D45" s="6018">
        <f t="shared" si="9"/>
        <v>723</v>
      </c>
      <c r="E45" s="6018">
        <f t="shared" si="10"/>
        <v>850</v>
      </c>
      <c r="F45" s="6019">
        <f t="shared" si="11"/>
        <v>956</v>
      </c>
      <c r="G45" s="6020">
        <f t="shared" si="2"/>
        <v>325</v>
      </c>
      <c r="H45" s="6018">
        <f t="shared" si="3"/>
        <v>723</v>
      </c>
      <c r="I45" s="6018">
        <f t="shared" si="4"/>
        <v>850</v>
      </c>
      <c r="J45" s="6019">
        <f t="shared" si="5"/>
        <v>956</v>
      </c>
      <c r="K45" s="1732"/>
      <c r="L45" s="6018">
        <v>2125</v>
      </c>
      <c r="N45" s="6025"/>
      <c r="W45" s="6018">
        <v>2100</v>
      </c>
      <c r="X45" s="6019">
        <v>2150</v>
      </c>
      <c r="Y45" s="6018">
        <v>325</v>
      </c>
      <c r="Z45" s="6018">
        <v>723</v>
      </c>
      <c r="AA45" s="6018">
        <v>850</v>
      </c>
      <c r="AB45" s="6019">
        <v>956</v>
      </c>
      <c r="AC45" s="6018">
        <v>325</v>
      </c>
      <c r="AD45" s="6018">
        <v>723</v>
      </c>
      <c r="AE45" s="6018">
        <v>850</v>
      </c>
      <c r="AF45" s="6019">
        <v>956</v>
      </c>
    </row>
    <row r="46" spans="1:32" ht="13.5">
      <c r="A46" s="6018">
        <v>2150</v>
      </c>
      <c r="B46" s="6019">
        <v>2200</v>
      </c>
      <c r="C46" s="6020">
        <f t="shared" si="8"/>
        <v>333</v>
      </c>
      <c r="D46" s="6018">
        <f t="shared" si="9"/>
        <v>740</v>
      </c>
      <c r="E46" s="6018">
        <f t="shared" si="10"/>
        <v>870</v>
      </c>
      <c r="F46" s="6019">
        <f t="shared" si="11"/>
        <v>979</v>
      </c>
      <c r="G46" s="6020">
        <f t="shared" si="2"/>
        <v>333</v>
      </c>
      <c r="H46" s="6018">
        <f t="shared" si="3"/>
        <v>740</v>
      </c>
      <c r="I46" s="6018">
        <f t="shared" si="4"/>
        <v>870</v>
      </c>
      <c r="J46" s="6019">
        <f t="shared" si="5"/>
        <v>979</v>
      </c>
      <c r="K46" s="1732"/>
      <c r="L46" s="6018">
        <v>2175</v>
      </c>
      <c r="N46" s="6025"/>
      <c r="W46" s="6018">
        <v>2150</v>
      </c>
      <c r="X46" s="6019">
        <v>2200</v>
      </c>
      <c r="Y46" s="6018">
        <v>333</v>
      </c>
      <c r="Z46" s="6018">
        <v>740</v>
      </c>
      <c r="AA46" s="6018">
        <v>870</v>
      </c>
      <c r="AB46" s="6019">
        <v>979</v>
      </c>
      <c r="AC46" s="6018">
        <v>333</v>
      </c>
      <c r="AD46" s="6018">
        <v>740</v>
      </c>
      <c r="AE46" s="6018">
        <v>870</v>
      </c>
      <c r="AF46" s="6019">
        <v>979</v>
      </c>
    </row>
    <row r="47" spans="1:32" ht="13.5">
      <c r="A47" s="6018">
        <v>2200</v>
      </c>
      <c r="B47" s="6019">
        <v>2250</v>
      </c>
      <c r="C47" s="6020">
        <f t="shared" si="8"/>
        <v>340</v>
      </c>
      <c r="D47" s="6018">
        <f t="shared" si="9"/>
        <v>757</v>
      </c>
      <c r="E47" s="6018">
        <f t="shared" si="10"/>
        <v>890</v>
      </c>
      <c r="F47" s="6019">
        <f t="shared" si="11"/>
        <v>1001</v>
      </c>
      <c r="G47" s="6020">
        <f t="shared" si="2"/>
        <v>340</v>
      </c>
      <c r="H47" s="6018">
        <f t="shared" si="3"/>
        <v>757</v>
      </c>
      <c r="I47" s="6018">
        <f t="shared" si="4"/>
        <v>890</v>
      </c>
      <c r="J47" s="6019">
        <f t="shared" si="5"/>
        <v>1001</v>
      </c>
      <c r="K47" s="1732"/>
      <c r="L47" s="6018">
        <v>2225</v>
      </c>
      <c r="W47" s="6018">
        <v>2200</v>
      </c>
      <c r="X47" s="6019">
        <v>2250</v>
      </c>
      <c r="Y47" s="6018">
        <v>340</v>
      </c>
      <c r="Z47" s="6018">
        <v>757</v>
      </c>
      <c r="AA47" s="6018">
        <v>890</v>
      </c>
      <c r="AB47" s="6019">
        <v>1001</v>
      </c>
      <c r="AC47" s="6018">
        <v>340</v>
      </c>
      <c r="AD47" s="6018">
        <v>757</v>
      </c>
      <c r="AE47" s="6018">
        <v>890</v>
      </c>
      <c r="AF47" s="6019">
        <v>1001</v>
      </c>
    </row>
    <row r="48" spans="1:32" ht="13.5">
      <c r="A48" s="6018">
        <v>2250</v>
      </c>
      <c r="B48" s="6019">
        <v>2300</v>
      </c>
      <c r="C48" s="6020">
        <f t="shared" si="8"/>
        <v>348</v>
      </c>
      <c r="D48" s="6018">
        <f t="shared" si="9"/>
        <v>774</v>
      </c>
      <c r="E48" s="6018">
        <f t="shared" si="10"/>
        <v>910</v>
      </c>
      <c r="F48" s="6019">
        <f t="shared" si="11"/>
        <v>1024</v>
      </c>
      <c r="G48" s="6020">
        <f t="shared" si="2"/>
        <v>348</v>
      </c>
      <c r="H48" s="6018">
        <f t="shared" si="3"/>
        <v>774</v>
      </c>
      <c r="I48" s="6018">
        <f t="shared" si="4"/>
        <v>910</v>
      </c>
      <c r="J48" s="6019">
        <f t="shared" si="5"/>
        <v>1024</v>
      </c>
      <c r="K48" s="1732"/>
      <c r="L48" s="6018">
        <v>2275</v>
      </c>
      <c r="W48" s="6018">
        <v>2250</v>
      </c>
      <c r="X48" s="6019">
        <v>2300</v>
      </c>
      <c r="Y48" s="6018">
        <v>348</v>
      </c>
      <c r="Z48" s="6018">
        <v>774</v>
      </c>
      <c r="AA48" s="6018">
        <v>910</v>
      </c>
      <c r="AB48" s="6019">
        <v>1024</v>
      </c>
      <c r="AC48" s="6018">
        <v>348</v>
      </c>
      <c r="AD48" s="6018">
        <v>774</v>
      </c>
      <c r="AE48" s="6018">
        <v>910</v>
      </c>
      <c r="AF48" s="6019">
        <v>1024</v>
      </c>
    </row>
    <row r="49" spans="1:32" ht="13.5">
      <c r="A49" s="6018">
        <v>2300</v>
      </c>
      <c r="B49" s="6019">
        <v>2350</v>
      </c>
      <c r="C49" s="6020">
        <f t="shared" si="8"/>
        <v>356</v>
      </c>
      <c r="D49" s="6018">
        <f t="shared" si="9"/>
        <v>791</v>
      </c>
      <c r="E49" s="6018">
        <f t="shared" si="10"/>
        <v>930</v>
      </c>
      <c r="F49" s="6019">
        <f t="shared" si="11"/>
        <v>1046</v>
      </c>
      <c r="G49" s="6020">
        <f t="shared" si="2"/>
        <v>356</v>
      </c>
      <c r="H49" s="6018">
        <f t="shared" si="3"/>
        <v>791</v>
      </c>
      <c r="I49" s="6018">
        <f t="shared" si="4"/>
        <v>930</v>
      </c>
      <c r="J49" s="6019">
        <f t="shared" si="5"/>
        <v>1046</v>
      </c>
      <c r="K49" s="1732"/>
      <c r="L49" s="6018">
        <v>2325</v>
      </c>
      <c r="W49" s="6018">
        <v>2300</v>
      </c>
      <c r="X49" s="6019">
        <v>2350</v>
      </c>
      <c r="Y49" s="6018">
        <v>356</v>
      </c>
      <c r="Z49" s="6018">
        <v>791</v>
      </c>
      <c r="AA49" s="6018">
        <v>930</v>
      </c>
      <c r="AB49" s="6019">
        <v>1046</v>
      </c>
      <c r="AC49" s="6018">
        <v>356</v>
      </c>
      <c r="AD49" s="6018">
        <v>791</v>
      </c>
      <c r="AE49" s="6018">
        <v>930</v>
      </c>
      <c r="AF49" s="6019">
        <v>1046</v>
      </c>
    </row>
    <row r="50" spans="1:32" ht="13.5">
      <c r="A50" s="6018">
        <v>2350</v>
      </c>
      <c r="B50" s="6019">
        <v>2400</v>
      </c>
      <c r="C50" s="6020">
        <f t="shared" si="8"/>
        <v>363</v>
      </c>
      <c r="D50" s="6018">
        <f t="shared" si="9"/>
        <v>808</v>
      </c>
      <c r="E50" s="6018">
        <f t="shared" si="10"/>
        <v>950</v>
      </c>
      <c r="F50" s="6019">
        <f t="shared" si="11"/>
        <v>1069</v>
      </c>
      <c r="G50" s="6020">
        <f t="shared" si="2"/>
        <v>363</v>
      </c>
      <c r="H50" s="6018">
        <f t="shared" si="3"/>
        <v>808</v>
      </c>
      <c r="I50" s="6018">
        <f t="shared" si="4"/>
        <v>950</v>
      </c>
      <c r="J50" s="6019">
        <f t="shared" si="5"/>
        <v>1069</v>
      </c>
      <c r="K50" s="1732"/>
      <c r="L50" s="6018">
        <v>2375</v>
      </c>
      <c r="W50" s="6018">
        <v>2350</v>
      </c>
      <c r="X50" s="6019">
        <v>2400</v>
      </c>
      <c r="Y50" s="6018">
        <v>363</v>
      </c>
      <c r="Z50" s="6018">
        <v>808</v>
      </c>
      <c r="AA50" s="6018">
        <v>950</v>
      </c>
      <c r="AB50" s="6019">
        <v>1069</v>
      </c>
      <c r="AC50" s="6018">
        <v>363</v>
      </c>
      <c r="AD50" s="6018">
        <v>808</v>
      </c>
      <c r="AE50" s="6018">
        <v>950</v>
      </c>
      <c r="AF50" s="6019">
        <v>1069</v>
      </c>
    </row>
    <row r="51" spans="1:32" ht="13.5">
      <c r="A51" s="6018">
        <v>2400</v>
      </c>
      <c r="B51" s="6019">
        <v>2450</v>
      </c>
      <c r="C51" s="6020">
        <f t="shared" si="8"/>
        <v>371</v>
      </c>
      <c r="D51" s="6018">
        <f t="shared" si="9"/>
        <v>825</v>
      </c>
      <c r="E51" s="6018">
        <f t="shared" si="10"/>
        <v>970</v>
      </c>
      <c r="F51" s="6019">
        <f t="shared" si="11"/>
        <v>1091</v>
      </c>
      <c r="G51" s="6020">
        <f t="shared" si="2"/>
        <v>371</v>
      </c>
      <c r="H51" s="6018">
        <f t="shared" si="3"/>
        <v>825</v>
      </c>
      <c r="I51" s="6018">
        <f t="shared" si="4"/>
        <v>970</v>
      </c>
      <c r="J51" s="6019">
        <f t="shared" si="5"/>
        <v>1091</v>
      </c>
      <c r="K51" s="1732"/>
      <c r="L51" s="6018">
        <v>2425</v>
      </c>
      <c r="W51" s="6018">
        <v>2400</v>
      </c>
      <c r="X51" s="6019">
        <v>2450</v>
      </c>
      <c r="Y51" s="6018">
        <v>371</v>
      </c>
      <c r="Z51" s="6018">
        <v>825</v>
      </c>
      <c r="AA51" s="6018">
        <v>970</v>
      </c>
      <c r="AB51" s="6019">
        <v>1091</v>
      </c>
      <c r="AC51" s="6018">
        <v>371</v>
      </c>
      <c r="AD51" s="6018">
        <v>825</v>
      </c>
      <c r="AE51" s="6018">
        <v>970</v>
      </c>
      <c r="AF51" s="6019">
        <v>1091</v>
      </c>
    </row>
    <row r="52" spans="1:32" ht="13.5">
      <c r="A52" s="6018">
        <v>2450</v>
      </c>
      <c r="B52" s="6019">
        <v>2500</v>
      </c>
      <c r="C52" s="6020">
        <f t="shared" si="8"/>
        <v>379</v>
      </c>
      <c r="D52" s="6018">
        <f t="shared" si="9"/>
        <v>842</v>
      </c>
      <c r="E52" s="6018">
        <f t="shared" si="10"/>
        <v>990</v>
      </c>
      <c r="F52" s="6019">
        <f t="shared" si="11"/>
        <v>1114</v>
      </c>
      <c r="G52" s="6020">
        <f t="shared" si="2"/>
        <v>379</v>
      </c>
      <c r="H52" s="6018">
        <f t="shared" si="3"/>
        <v>842</v>
      </c>
      <c r="I52" s="6018">
        <f t="shared" si="4"/>
        <v>990</v>
      </c>
      <c r="J52" s="6019">
        <f t="shared" si="5"/>
        <v>1114</v>
      </c>
      <c r="K52" s="1732"/>
      <c r="L52" s="6018">
        <v>2475</v>
      </c>
      <c r="W52" s="6018">
        <v>2450</v>
      </c>
      <c r="X52" s="6019">
        <v>2500</v>
      </c>
      <c r="Y52" s="6018">
        <v>379</v>
      </c>
      <c r="Z52" s="6018">
        <v>842</v>
      </c>
      <c r="AA52" s="6018">
        <v>990</v>
      </c>
      <c r="AB52" s="6019">
        <v>1114</v>
      </c>
      <c r="AC52" s="6018">
        <v>379</v>
      </c>
      <c r="AD52" s="6018">
        <v>842</v>
      </c>
      <c r="AE52" s="6018">
        <v>990</v>
      </c>
      <c r="AF52" s="6019">
        <v>1114</v>
      </c>
    </row>
    <row r="53" spans="1:32" ht="13.5">
      <c r="A53" s="6018">
        <v>2500</v>
      </c>
      <c r="B53" s="6019">
        <v>2550</v>
      </c>
      <c r="C53" s="6020">
        <f t="shared" si="8"/>
        <v>386</v>
      </c>
      <c r="D53" s="6018">
        <f t="shared" si="9"/>
        <v>859</v>
      </c>
      <c r="E53" s="6018">
        <f t="shared" si="10"/>
        <v>1010</v>
      </c>
      <c r="F53" s="6019">
        <f t="shared" si="11"/>
        <v>1136</v>
      </c>
      <c r="G53" s="6020">
        <f t="shared" si="2"/>
        <v>386</v>
      </c>
      <c r="H53" s="6018">
        <f t="shared" si="3"/>
        <v>859</v>
      </c>
      <c r="I53" s="6018">
        <f t="shared" si="4"/>
        <v>1010</v>
      </c>
      <c r="J53" s="6019">
        <f t="shared" si="5"/>
        <v>1136</v>
      </c>
      <c r="K53" s="1732"/>
      <c r="L53" s="6018">
        <v>2525</v>
      </c>
      <c r="W53" s="6018">
        <v>2500</v>
      </c>
      <c r="X53" s="6019">
        <v>2550</v>
      </c>
      <c r="Y53" s="6018">
        <v>386</v>
      </c>
      <c r="Z53" s="6018">
        <v>859</v>
      </c>
      <c r="AA53" s="6018">
        <v>1010</v>
      </c>
      <c r="AB53" s="6019">
        <v>1136</v>
      </c>
      <c r="AC53" s="6018">
        <v>386</v>
      </c>
      <c r="AD53" s="6018">
        <v>859</v>
      </c>
      <c r="AE53" s="6018">
        <v>1010</v>
      </c>
      <c r="AF53" s="6019">
        <v>1136</v>
      </c>
    </row>
    <row r="54" spans="1:32" ht="13.5">
      <c r="A54" s="6018">
        <v>2550</v>
      </c>
      <c r="B54" s="6019">
        <v>2600</v>
      </c>
      <c r="C54" s="6020">
        <f t="shared" si="8"/>
        <v>394</v>
      </c>
      <c r="D54" s="6018">
        <f t="shared" si="9"/>
        <v>876</v>
      </c>
      <c r="E54" s="6018">
        <f t="shared" si="10"/>
        <v>1030</v>
      </c>
      <c r="F54" s="6019">
        <f t="shared" si="11"/>
        <v>1159</v>
      </c>
      <c r="G54" s="6020">
        <f t="shared" si="2"/>
        <v>394</v>
      </c>
      <c r="H54" s="6018">
        <f t="shared" si="3"/>
        <v>876</v>
      </c>
      <c r="I54" s="6018">
        <f t="shared" si="4"/>
        <v>1030</v>
      </c>
      <c r="J54" s="6019">
        <f t="shared" si="5"/>
        <v>1159</v>
      </c>
      <c r="K54" s="1732"/>
      <c r="L54" s="6018">
        <v>2575</v>
      </c>
      <c r="W54" s="6018">
        <v>2550</v>
      </c>
      <c r="X54" s="6019">
        <v>2600</v>
      </c>
      <c r="Y54" s="6018">
        <v>394</v>
      </c>
      <c r="Z54" s="6018">
        <v>876</v>
      </c>
      <c r="AA54" s="6018">
        <v>1030</v>
      </c>
      <c r="AB54" s="6019">
        <v>1159</v>
      </c>
      <c r="AC54" s="6018">
        <v>394</v>
      </c>
      <c r="AD54" s="6018">
        <v>876</v>
      </c>
      <c r="AE54" s="6018">
        <v>1030</v>
      </c>
      <c r="AF54" s="6019">
        <v>1159</v>
      </c>
    </row>
    <row r="55" spans="1:32" ht="13.5">
      <c r="A55" s="6018">
        <v>2600</v>
      </c>
      <c r="B55" s="6019">
        <v>2650</v>
      </c>
      <c r="C55" s="6020">
        <f t="shared" si="8"/>
        <v>402</v>
      </c>
      <c r="D55" s="6018">
        <f t="shared" si="9"/>
        <v>893</v>
      </c>
      <c r="E55" s="6018">
        <f t="shared" si="10"/>
        <v>1050</v>
      </c>
      <c r="F55" s="6019">
        <f t="shared" si="11"/>
        <v>1181</v>
      </c>
      <c r="G55" s="6020">
        <f t="shared" si="2"/>
        <v>402</v>
      </c>
      <c r="H55" s="6018">
        <f t="shared" si="3"/>
        <v>893</v>
      </c>
      <c r="I55" s="6018">
        <f t="shared" si="4"/>
        <v>1050</v>
      </c>
      <c r="J55" s="6019">
        <f t="shared" si="5"/>
        <v>1181</v>
      </c>
      <c r="K55" s="1732"/>
      <c r="L55" s="6018">
        <v>2625</v>
      </c>
      <c r="W55" s="6018">
        <v>2600</v>
      </c>
      <c r="X55" s="6019">
        <v>2650</v>
      </c>
      <c r="Y55" s="6018">
        <v>402</v>
      </c>
      <c r="Z55" s="6018">
        <v>893</v>
      </c>
      <c r="AA55" s="6018">
        <v>1050</v>
      </c>
      <c r="AB55" s="6019">
        <v>1181</v>
      </c>
      <c r="AC55" s="6018">
        <v>402</v>
      </c>
      <c r="AD55" s="6018">
        <v>893</v>
      </c>
      <c r="AE55" s="6018">
        <v>1050</v>
      </c>
      <c r="AF55" s="6019">
        <v>1181</v>
      </c>
    </row>
    <row r="56" spans="1:32" ht="13.5">
      <c r="A56" s="6018">
        <v>2650</v>
      </c>
      <c r="B56" s="6019">
        <v>2700</v>
      </c>
      <c r="C56" s="6020">
        <f t="shared" si="8"/>
        <v>409</v>
      </c>
      <c r="D56" s="6018">
        <f t="shared" si="9"/>
        <v>910</v>
      </c>
      <c r="E56" s="6018">
        <f t="shared" si="10"/>
        <v>1070</v>
      </c>
      <c r="F56" s="6019">
        <f t="shared" si="11"/>
        <v>1204</v>
      </c>
      <c r="G56" s="6020">
        <f t="shared" si="2"/>
        <v>409</v>
      </c>
      <c r="H56" s="6018">
        <f t="shared" si="3"/>
        <v>910</v>
      </c>
      <c r="I56" s="6018">
        <f t="shared" si="4"/>
        <v>1070</v>
      </c>
      <c r="J56" s="6019">
        <f t="shared" si="5"/>
        <v>1204</v>
      </c>
      <c r="K56" s="1732"/>
      <c r="L56" s="6018">
        <v>2675</v>
      </c>
      <c r="W56" s="6018">
        <v>2650</v>
      </c>
      <c r="X56" s="6019">
        <v>2700</v>
      </c>
      <c r="Y56" s="6018">
        <v>409</v>
      </c>
      <c r="Z56" s="6018">
        <v>910</v>
      </c>
      <c r="AA56" s="6018">
        <v>1070</v>
      </c>
      <c r="AB56" s="6019">
        <v>1204</v>
      </c>
      <c r="AC56" s="6018">
        <v>409</v>
      </c>
      <c r="AD56" s="6018">
        <v>910</v>
      </c>
      <c r="AE56" s="6018">
        <v>1070</v>
      </c>
      <c r="AF56" s="6019">
        <v>1204</v>
      </c>
    </row>
    <row r="57" spans="1:32" ht="13.5">
      <c r="A57" s="6018">
        <v>2700</v>
      </c>
      <c r="B57" s="6019">
        <v>2750</v>
      </c>
      <c r="C57" s="6020">
        <f t="shared" si="8"/>
        <v>417</v>
      </c>
      <c r="D57" s="6018">
        <f t="shared" si="9"/>
        <v>927</v>
      </c>
      <c r="E57" s="6018">
        <f t="shared" si="10"/>
        <v>1090</v>
      </c>
      <c r="F57" s="6019">
        <f t="shared" si="11"/>
        <v>1226</v>
      </c>
      <c r="G57" s="6020">
        <f t="shared" si="2"/>
        <v>417</v>
      </c>
      <c r="H57" s="6018">
        <f t="shared" si="3"/>
        <v>927</v>
      </c>
      <c r="I57" s="6018">
        <f t="shared" si="4"/>
        <v>1090</v>
      </c>
      <c r="J57" s="6019">
        <f t="shared" si="5"/>
        <v>1226</v>
      </c>
      <c r="K57" s="1732"/>
      <c r="L57" s="6018">
        <v>2725</v>
      </c>
      <c r="W57" s="6018">
        <v>2700</v>
      </c>
      <c r="X57" s="6019">
        <v>2750</v>
      </c>
      <c r="Y57" s="6018">
        <v>417</v>
      </c>
      <c r="Z57" s="6018">
        <v>927</v>
      </c>
      <c r="AA57" s="6018">
        <v>1090</v>
      </c>
      <c r="AB57" s="6019">
        <v>1226</v>
      </c>
      <c r="AC57" s="6018">
        <v>417</v>
      </c>
      <c r="AD57" s="6018">
        <v>927</v>
      </c>
      <c r="AE57" s="6018">
        <v>1090</v>
      </c>
      <c r="AF57" s="6019">
        <v>1226</v>
      </c>
    </row>
    <row r="58" spans="1:32" ht="13.5">
      <c r="A58" s="6018">
        <v>2750</v>
      </c>
      <c r="B58" s="6019">
        <v>2800</v>
      </c>
      <c r="C58" s="6020">
        <f t="shared" si="8"/>
        <v>425</v>
      </c>
      <c r="D58" s="6018">
        <f t="shared" si="9"/>
        <v>944</v>
      </c>
      <c r="E58" s="6018">
        <f t="shared" si="10"/>
        <v>1110</v>
      </c>
      <c r="F58" s="6019">
        <f t="shared" si="11"/>
        <v>1249</v>
      </c>
      <c r="G58" s="6020">
        <f t="shared" si="2"/>
        <v>425</v>
      </c>
      <c r="H58" s="6018">
        <f t="shared" si="3"/>
        <v>944</v>
      </c>
      <c r="I58" s="6018">
        <f t="shared" si="4"/>
        <v>1110</v>
      </c>
      <c r="J58" s="6019">
        <f t="shared" si="5"/>
        <v>1249</v>
      </c>
      <c r="K58" s="1732"/>
      <c r="L58" s="6018">
        <v>2775</v>
      </c>
      <c r="W58" s="6018">
        <v>2750</v>
      </c>
      <c r="X58" s="6019">
        <v>2800</v>
      </c>
      <c r="Y58" s="6018">
        <v>425</v>
      </c>
      <c r="Z58" s="6018">
        <v>944</v>
      </c>
      <c r="AA58" s="6018">
        <v>1110</v>
      </c>
      <c r="AB58" s="6019">
        <v>1249</v>
      </c>
      <c r="AC58" s="6018">
        <v>425</v>
      </c>
      <c r="AD58" s="6018">
        <v>944</v>
      </c>
      <c r="AE58" s="6018">
        <v>1110</v>
      </c>
      <c r="AF58" s="6019">
        <v>1249</v>
      </c>
    </row>
    <row r="59" spans="1:32" ht="13.5">
      <c r="A59" s="6018">
        <v>2800</v>
      </c>
      <c r="B59" s="6019">
        <v>2850</v>
      </c>
      <c r="C59" s="6020">
        <f t="shared" si="8"/>
        <v>432</v>
      </c>
      <c r="D59" s="6018">
        <f t="shared" si="9"/>
        <v>961</v>
      </c>
      <c r="E59" s="6018">
        <f t="shared" si="10"/>
        <v>1130</v>
      </c>
      <c r="F59" s="6019">
        <f t="shared" si="11"/>
        <v>1271</v>
      </c>
      <c r="G59" s="6020">
        <f t="shared" si="2"/>
        <v>432</v>
      </c>
      <c r="H59" s="6018">
        <f t="shared" si="3"/>
        <v>961</v>
      </c>
      <c r="I59" s="6018">
        <f t="shared" si="4"/>
        <v>1130</v>
      </c>
      <c r="J59" s="6019">
        <f t="shared" si="5"/>
        <v>1271</v>
      </c>
      <c r="K59" s="1732"/>
      <c r="L59" s="6018">
        <v>2825</v>
      </c>
      <c r="W59" s="6018">
        <v>2800</v>
      </c>
      <c r="X59" s="6019">
        <v>2850</v>
      </c>
      <c r="Y59" s="6018">
        <v>432</v>
      </c>
      <c r="Z59" s="6018">
        <v>961</v>
      </c>
      <c r="AA59" s="6018">
        <v>1130</v>
      </c>
      <c r="AB59" s="6019">
        <v>1271</v>
      </c>
      <c r="AC59" s="6018">
        <v>432</v>
      </c>
      <c r="AD59" s="6018">
        <v>961</v>
      </c>
      <c r="AE59" s="6018">
        <v>1130</v>
      </c>
      <c r="AF59" s="6019">
        <v>1271</v>
      </c>
    </row>
    <row r="60" spans="1:32" ht="13.5">
      <c r="A60" s="6018">
        <v>2850</v>
      </c>
      <c r="B60" s="6019">
        <v>2900</v>
      </c>
      <c r="C60" s="6020">
        <f t="shared" si="8"/>
        <v>440</v>
      </c>
      <c r="D60" s="6018">
        <f t="shared" si="9"/>
        <v>978</v>
      </c>
      <c r="E60" s="6018">
        <f t="shared" si="10"/>
        <v>1150</v>
      </c>
      <c r="F60" s="6019">
        <f t="shared" si="11"/>
        <v>1294</v>
      </c>
      <c r="G60" s="6020">
        <f t="shared" si="2"/>
        <v>440</v>
      </c>
      <c r="H60" s="6018">
        <f t="shared" si="3"/>
        <v>978</v>
      </c>
      <c r="I60" s="6018">
        <f t="shared" si="4"/>
        <v>1150</v>
      </c>
      <c r="J60" s="6019">
        <f t="shared" si="5"/>
        <v>1294</v>
      </c>
      <c r="K60" s="1732"/>
      <c r="L60" s="6018">
        <v>2875</v>
      </c>
      <c r="W60" s="6018">
        <v>2850</v>
      </c>
      <c r="X60" s="6019">
        <v>2900</v>
      </c>
      <c r="Y60" s="6018">
        <v>440</v>
      </c>
      <c r="Z60" s="6018">
        <v>978</v>
      </c>
      <c r="AA60" s="6018">
        <v>1150</v>
      </c>
      <c r="AB60" s="6019">
        <v>1294</v>
      </c>
      <c r="AC60" s="6018">
        <v>440</v>
      </c>
      <c r="AD60" s="6018">
        <v>978</v>
      </c>
      <c r="AE60" s="6018">
        <v>1150</v>
      </c>
      <c r="AF60" s="6019">
        <v>1294</v>
      </c>
    </row>
    <row r="61" spans="1:32" ht="13.5">
      <c r="A61" s="6018">
        <v>2900</v>
      </c>
      <c r="B61" s="6019">
        <v>2950</v>
      </c>
      <c r="C61" s="6020">
        <f t="shared" si="8"/>
        <v>448</v>
      </c>
      <c r="D61" s="6018">
        <f t="shared" si="9"/>
        <v>995</v>
      </c>
      <c r="E61" s="6018">
        <f t="shared" si="10"/>
        <v>1170</v>
      </c>
      <c r="F61" s="6019">
        <f t="shared" si="11"/>
        <v>1316</v>
      </c>
      <c r="G61" s="6020">
        <f t="shared" si="2"/>
        <v>448</v>
      </c>
      <c r="H61" s="6018">
        <f t="shared" si="3"/>
        <v>995</v>
      </c>
      <c r="I61" s="6018">
        <f t="shared" si="4"/>
        <v>1170</v>
      </c>
      <c r="J61" s="6019">
        <f t="shared" si="5"/>
        <v>1316</v>
      </c>
      <c r="K61" s="1732"/>
      <c r="L61" s="6018">
        <v>2925</v>
      </c>
      <c r="W61" s="6018">
        <v>2900</v>
      </c>
      <c r="X61" s="6019">
        <v>2950</v>
      </c>
      <c r="Y61" s="6018">
        <v>448</v>
      </c>
      <c r="Z61" s="6018">
        <v>995</v>
      </c>
      <c r="AA61" s="6018">
        <v>1170</v>
      </c>
      <c r="AB61" s="6019">
        <v>1316</v>
      </c>
      <c r="AC61" s="6018">
        <v>448</v>
      </c>
      <c r="AD61" s="6018">
        <v>995</v>
      </c>
      <c r="AE61" s="6018">
        <v>1170</v>
      </c>
      <c r="AF61" s="6019">
        <v>1316</v>
      </c>
    </row>
    <row r="62" spans="1:32" ht="13.5">
      <c r="A62" s="6018">
        <v>2950</v>
      </c>
      <c r="B62" s="6019">
        <v>3000</v>
      </c>
      <c r="C62" s="6020">
        <f t="shared" si="8"/>
        <v>455</v>
      </c>
      <c r="D62" s="6018">
        <f t="shared" si="9"/>
        <v>1012</v>
      </c>
      <c r="E62" s="6018">
        <f t="shared" si="10"/>
        <v>1190</v>
      </c>
      <c r="F62" s="6019">
        <f t="shared" si="11"/>
        <v>1339</v>
      </c>
      <c r="G62" s="6020">
        <f t="shared" si="2"/>
        <v>455</v>
      </c>
      <c r="H62" s="6018">
        <f t="shared" si="3"/>
        <v>1012</v>
      </c>
      <c r="I62" s="6018">
        <f t="shared" si="4"/>
        <v>1190</v>
      </c>
      <c r="J62" s="6019">
        <f t="shared" si="5"/>
        <v>1339</v>
      </c>
      <c r="K62" s="1732"/>
      <c r="L62" s="6018">
        <v>2975</v>
      </c>
      <c r="W62" s="6018">
        <v>2950</v>
      </c>
      <c r="X62" s="6019">
        <v>3000</v>
      </c>
      <c r="Y62" s="6018">
        <v>455</v>
      </c>
      <c r="Z62" s="6018">
        <v>1012</v>
      </c>
      <c r="AA62" s="6018">
        <v>1190</v>
      </c>
      <c r="AB62" s="6019">
        <v>1339</v>
      </c>
      <c r="AC62" s="6018">
        <v>455</v>
      </c>
      <c r="AD62" s="6018">
        <v>1012</v>
      </c>
      <c r="AE62" s="6018">
        <v>1190</v>
      </c>
      <c r="AF62" s="6019">
        <v>1339</v>
      </c>
    </row>
    <row r="63" spans="1:32" ht="13.5">
      <c r="A63" s="6018">
        <v>3000</v>
      </c>
      <c r="B63" s="6019">
        <v>3050</v>
      </c>
      <c r="C63" s="6020">
        <f t="shared" si="8"/>
        <v>463</v>
      </c>
      <c r="D63" s="6018">
        <f t="shared" si="9"/>
        <v>1029</v>
      </c>
      <c r="E63" s="6018">
        <f t="shared" si="10"/>
        <v>1210</v>
      </c>
      <c r="F63" s="6019">
        <f t="shared" si="11"/>
        <v>1361</v>
      </c>
      <c r="G63" s="6020">
        <f t="shared" si="2"/>
        <v>463</v>
      </c>
      <c r="H63" s="6018">
        <f t="shared" si="3"/>
        <v>1029</v>
      </c>
      <c r="I63" s="6018">
        <f t="shared" si="4"/>
        <v>1210</v>
      </c>
      <c r="J63" s="6019">
        <f t="shared" si="5"/>
        <v>1361</v>
      </c>
      <c r="K63" s="1732"/>
      <c r="L63" s="6018">
        <v>3025</v>
      </c>
      <c r="W63" s="6018">
        <v>3000</v>
      </c>
      <c r="X63" s="6019">
        <v>3050</v>
      </c>
      <c r="Y63" s="6018">
        <v>463</v>
      </c>
      <c r="Z63" s="6018">
        <v>1029</v>
      </c>
      <c r="AA63" s="6018">
        <v>1210</v>
      </c>
      <c r="AB63" s="6019">
        <v>1361</v>
      </c>
      <c r="AC63" s="6018">
        <v>463</v>
      </c>
      <c r="AD63" s="6018">
        <v>1029</v>
      </c>
      <c r="AE63" s="6018">
        <v>1210</v>
      </c>
      <c r="AF63" s="6019">
        <v>1361</v>
      </c>
    </row>
    <row r="64" spans="1:32" ht="13.5">
      <c r="A64" s="6018">
        <v>3050</v>
      </c>
      <c r="B64" s="6019">
        <v>3100</v>
      </c>
      <c r="C64" s="6020">
        <f t="shared" si="8"/>
        <v>470</v>
      </c>
      <c r="D64" s="6018">
        <f t="shared" si="9"/>
        <v>1046</v>
      </c>
      <c r="E64" s="6018">
        <f t="shared" si="10"/>
        <v>1230</v>
      </c>
      <c r="F64" s="6019">
        <f t="shared" si="11"/>
        <v>1384</v>
      </c>
      <c r="G64" s="6020">
        <f t="shared" si="2"/>
        <v>470</v>
      </c>
      <c r="H64" s="6018">
        <f t="shared" si="3"/>
        <v>1046</v>
      </c>
      <c r="I64" s="6018">
        <f t="shared" si="4"/>
        <v>1230</v>
      </c>
      <c r="J64" s="6019">
        <f t="shared" si="5"/>
        <v>1384</v>
      </c>
      <c r="K64" s="1732"/>
      <c r="L64" s="6018">
        <v>3075</v>
      </c>
      <c r="W64" s="6018">
        <v>3050</v>
      </c>
      <c r="X64" s="6019">
        <v>3100</v>
      </c>
      <c r="Y64" s="6018">
        <v>470</v>
      </c>
      <c r="Z64" s="6018">
        <v>1046</v>
      </c>
      <c r="AA64" s="6018">
        <v>1230</v>
      </c>
      <c r="AB64" s="6019">
        <v>1384</v>
      </c>
      <c r="AC64" s="6018">
        <v>470</v>
      </c>
      <c r="AD64" s="6018">
        <v>1046</v>
      </c>
      <c r="AE64" s="6018">
        <v>1230</v>
      </c>
      <c r="AF64" s="6019">
        <v>1384</v>
      </c>
    </row>
    <row r="65" spans="1:32" ht="13.5">
      <c r="A65" s="6018">
        <v>3100</v>
      </c>
      <c r="B65" s="6019">
        <v>3150</v>
      </c>
      <c r="C65" s="6020">
        <f t="shared" si="8"/>
        <v>478</v>
      </c>
      <c r="D65" s="6018">
        <f t="shared" si="9"/>
        <v>1063</v>
      </c>
      <c r="E65" s="6018">
        <f t="shared" si="10"/>
        <v>1250</v>
      </c>
      <c r="F65" s="6019">
        <f t="shared" si="11"/>
        <v>1406</v>
      </c>
      <c r="G65" s="6020">
        <f t="shared" si="2"/>
        <v>478</v>
      </c>
      <c r="H65" s="6018">
        <f t="shared" si="3"/>
        <v>1063</v>
      </c>
      <c r="I65" s="6018">
        <f t="shared" si="4"/>
        <v>1250</v>
      </c>
      <c r="J65" s="6019">
        <f t="shared" si="5"/>
        <v>1406</v>
      </c>
      <c r="K65" s="1732"/>
      <c r="L65" s="6018">
        <v>3125</v>
      </c>
      <c r="W65" s="6018">
        <v>3100</v>
      </c>
      <c r="X65" s="6019">
        <v>3150</v>
      </c>
      <c r="Y65" s="6018">
        <v>478</v>
      </c>
      <c r="Z65" s="6018">
        <v>1063</v>
      </c>
      <c r="AA65" s="6018">
        <v>1250</v>
      </c>
      <c r="AB65" s="6019">
        <v>1406</v>
      </c>
      <c r="AC65" s="6018">
        <v>478</v>
      </c>
      <c r="AD65" s="6018">
        <v>1063</v>
      </c>
      <c r="AE65" s="6018">
        <v>1250</v>
      </c>
      <c r="AF65" s="6019">
        <v>1406</v>
      </c>
    </row>
    <row r="66" spans="1:32" ht="13.5">
      <c r="A66" s="6018">
        <v>3150</v>
      </c>
      <c r="B66" s="6019">
        <v>3200</v>
      </c>
      <c r="C66" s="6020">
        <f t="shared" si="8"/>
        <v>486</v>
      </c>
      <c r="D66" s="6018">
        <f t="shared" si="9"/>
        <v>1080</v>
      </c>
      <c r="E66" s="6018">
        <f t="shared" si="10"/>
        <v>1270</v>
      </c>
      <c r="F66" s="6019">
        <f t="shared" si="11"/>
        <v>1429</v>
      </c>
      <c r="G66" s="6020">
        <f t="shared" si="2"/>
        <v>486</v>
      </c>
      <c r="H66" s="6018">
        <f t="shared" si="3"/>
        <v>1080</v>
      </c>
      <c r="I66" s="6018">
        <f t="shared" si="4"/>
        <v>1270</v>
      </c>
      <c r="J66" s="6019">
        <f t="shared" si="5"/>
        <v>1429</v>
      </c>
      <c r="K66" s="1732"/>
      <c r="L66" s="6018">
        <v>3175</v>
      </c>
      <c r="W66" s="6018">
        <v>3150</v>
      </c>
      <c r="X66" s="6019">
        <v>3200</v>
      </c>
      <c r="Y66" s="6018">
        <v>486</v>
      </c>
      <c r="Z66" s="6018">
        <v>1080</v>
      </c>
      <c r="AA66" s="6018">
        <v>1270</v>
      </c>
      <c r="AB66" s="6019">
        <v>1429</v>
      </c>
      <c r="AC66" s="6018">
        <v>486</v>
      </c>
      <c r="AD66" s="6018">
        <v>1080</v>
      </c>
      <c r="AE66" s="6018">
        <v>1270</v>
      </c>
      <c r="AF66" s="6019">
        <v>1429</v>
      </c>
    </row>
    <row r="67" spans="1:32" ht="13.5">
      <c r="A67" s="6018">
        <v>3200</v>
      </c>
      <c r="B67" s="6019">
        <v>3250</v>
      </c>
      <c r="C67" s="6020">
        <f t="shared" si="8"/>
        <v>493</v>
      </c>
      <c r="D67" s="6018">
        <f t="shared" si="9"/>
        <v>1097</v>
      </c>
      <c r="E67" s="6018">
        <f t="shared" si="10"/>
        <v>1290</v>
      </c>
      <c r="F67" s="6019">
        <f t="shared" si="11"/>
        <v>1451</v>
      </c>
      <c r="G67" s="6020">
        <f t="shared" si="2"/>
        <v>493</v>
      </c>
      <c r="H67" s="6018">
        <f t="shared" si="3"/>
        <v>1097</v>
      </c>
      <c r="I67" s="6018">
        <f t="shared" si="4"/>
        <v>1290</v>
      </c>
      <c r="J67" s="6019">
        <f t="shared" si="5"/>
        <v>1451</v>
      </c>
      <c r="K67" s="1732"/>
      <c r="L67" s="6018">
        <v>3225</v>
      </c>
      <c r="W67" s="6018">
        <v>3200</v>
      </c>
      <c r="X67" s="6019">
        <v>3250</v>
      </c>
      <c r="Y67" s="6018">
        <v>493</v>
      </c>
      <c r="Z67" s="6018">
        <v>1097</v>
      </c>
      <c r="AA67" s="6018">
        <v>1290</v>
      </c>
      <c r="AB67" s="6019">
        <v>1451</v>
      </c>
      <c r="AC67" s="6018">
        <v>493</v>
      </c>
      <c r="AD67" s="6018">
        <v>1097</v>
      </c>
      <c r="AE67" s="6018">
        <v>1290</v>
      </c>
      <c r="AF67" s="6019">
        <v>1451</v>
      </c>
    </row>
    <row r="68" spans="1:32" ht="13.5">
      <c r="A68" s="6018">
        <v>3250</v>
      </c>
      <c r="B68" s="6019">
        <v>3300</v>
      </c>
      <c r="C68" s="6020">
        <f t="shared" si="8"/>
        <v>501</v>
      </c>
      <c r="D68" s="6018">
        <f t="shared" si="9"/>
        <v>1114</v>
      </c>
      <c r="E68" s="6018">
        <f t="shared" si="10"/>
        <v>1310</v>
      </c>
      <c r="F68" s="6019">
        <f t="shared" si="11"/>
        <v>1474</v>
      </c>
      <c r="G68" s="6020">
        <f t="shared" ref="G68:G131" si="12">IF($L68&gt;R$5,MAX(0,R$3+ROUND((R$9*($L68-R$5)),0)),IF($L68&gt;R$4,R$3,ROUND($L68*R$7,0)))</f>
        <v>501</v>
      </c>
      <c r="H68" s="6018">
        <f t="shared" ref="H68:H131" si="13">IF($L68&gt;S$5,MAX(0,S$3+ROUND((S$9*($L68-S$5)),0)),IF($L68&gt;S$4,S$3,ROUND($L68*S$7,0)))</f>
        <v>1114</v>
      </c>
      <c r="I68" s="6018">
        <f t="shared" ref="I68:I131" si="14">IF($L68&gt;T$5,MAX(0,T$3+ROUND((T$9*($L68-T$5)),0)),IF($L68&gt;T$4,T$3,ROUND($L68*T$7,0)))</f>
        <v>1310</v>
      </c>
      <c r="J68" s="6019">
        <f t="shared" ref="J68:J131" si="15">IF($L68&gt;U$5,MAX(0,U$3+ROUND((U$9*($L68-U$5)),0)),IF($L68&gt;U$4,U$3,ROUND($L68*U$7,0)))</f>
        <v>1474</v>
      </c>
      <c r="K68" s="1732"/>
      <c r="L68" s="6018">
        <v>3275</v>
      </c>
      <c r="W68" s="6018">
        <v>3250</v>
      </c>
      <c r="X68" s="6019">
        <v>3300</v>
      </c>
      <c r="Y68" s="6018">
        <v>501</v>
      </c>
      <c r="Z68" s="6018">
        <v>1114</v>
      </c>
      <c r="AA68" s="6018">
        <v>1310</v>
      </c>
      <c r="AB68" s="6019">
        <v>1474</v>
      </c>
      <c r="AC68" s="6018">
        <v>501</v>
      </c>
      <c r="AD68" s="6018">
        <v>1114</v>
      </c>
      <c r="AE68" s="6018">
        <v>1310</v>
      </c>
      <c r="AF68" s="6019">
        <v>1474</v>
      </c>
    </row>
    <row r="69" spans="1:32" ht="13.5">
      <c r="A69" s="6018">
        <v>3300</v>
      </c>
      <c r="B69" s="6019">
        <v>3350</v>
      </c>
      <c r="C69" s="6020">
        <f t="shared" si="8"/>
        <v>509</v>
      </c>
      <c r="D69" s="6018">
        <f t="shared" si="9"/>
        <v>1131</v>
      </c>
      <c r="E69" s="6018">
        <f t="shared" si="10"/>
        <v>1330</v>
      </c>
      <c r="F69" s="6019">
        <f t="shared" si="11"/>
        <v>1496</v>
      </c>
      <c r="G69" s="6020">
        <f t="shared" si="12"/>
        <v>509</v>
      </c>
      <c r="H69" s="6018">
        <f t="shared" si="13"/>
        <v>1131</v>
      </c>
      <c r="I69" s="6018">
        <f t="shared" si="14"/>
        <v>1330</v>
      </c>
      <c r="J69" s="6019">
        <f t="shared" si="15"/>
        <v>1496</v>
      </c>
      <c r="K69" s="1732"/>
      <c r="L69" s="6018">
        <v>3325</v>
      </c>
      <c r="W69" s="6018">
        <v>3300</v>
      </c>
      <c r="X69" s="6019">
        <v>3350</v>
      </c>
      <c r="Y69" s="6018">
        <v>509</v>
      </c>
      <c r="Z69" s="6018">
        <v>1131</v>
      </c>
      <c r="AA69" s="6018">
        <v>1330</v>
      </c>
      <c r="AB69" s="6019">
        <v>1496</v>
      </c>
      <c r="AC69" s="6018">
        <v>509</v>
      </c>
      <c r="AD69" s="6018">
        <v>1131</v>
      </c>
      <c r="AE69" s="6018">
        <v>1330</v>
      </c>
      <c r="AF69" s="6019">
        <v>1496</v>
      </c>
    </row>
    <row r="70" spans="1:32" ht="13.5">
      <c r="A70" s="6018">
        <v>3350</v>
      </c>
      <c r="B70" s="6019">
        <v>3400</v>
      </c>
      <c r="C70" s="6020">
        <f t="shared" ref="C70:C133" si="16">IF($L70&gt;N$5,MAX(0,N$3+ROUND((N$9*($L70-N$5)),0)),IF($L70&gt;N$4,N$3,ROUND($L70*N$7,0)))</f>
        <v>516</v>
      </c>
      <c r="D70" s="6018">
        <f t="shared" ref="D70:D133" si="17">IF($L70&gt;O$5,MAX(0,O$3+ROUND((O$9*($L70-O$5)),0)),IF($L70&gt;O$4,O$3,ROUND($L70*O$7,0)))</f>
        <v>1148</v>
      </c>
      <c r="E70" s="6018">
        <f t="shared" ref="E70:E133" si="18">IF($L70&gt;P$5,MAX(0,P$3+ROUND((P$9*($L70-P$5)),0)),IF($L70&gt;P$4,P$3,ROUND($L70*P$7,0)))</f>
        <v>1350</v>
      </c>
      <c r="F70" s="6019">
        <f t="shared" ref="F70:F133" si="19">IF($L70&gt;Q$5,MAX(0,Q$3+ROUND((Q$9*($L70-Q$5)),0)),IF($L70&gt;Q$4,Q$3,ROUND($L70*Q$7,0)))</f>
        <v>1519</v>
      </c>
      <c r="G70" s="6020">
        <f t="shared" si="12"/>
        <v>516</v>
      </c>
      <c r="H70" s="6018">
        <f t="shared" si="13"/>
        <v>1148</v>
      </c>
      <c r="I70" s="6018">
        <f t="shared" si="14"/>
        <v>1350</v>
      </c>
      <c r="J70" s="6019">
        <f t="shared" si="15"/>
        <v>1519</v>
      </c>
      <c r="K70" s="1732"/>
      <c r="L70" s="6018">
        <v>3375</v>
      </c>
      <c r="W70" s="6018">
        <v>3350</v>
      </c>
      <c r="X70" s="6019">
        <v>3400</v>
      </c>
      <c r="Y70" s="6018">
        <v>516</v>
      </c>
      <c r="Z70" s="6018">
        <v>1148</v>
      </c>
      <c r="AA70" s="6018">
        <v>1350</v>
      </c>
      <c r="AB70" s="6019">
        <v>1519</v>
      </c>
      <c r="AC70" s="6018">
        <v>516</v>
      </c>
      <c r="AD70" s="6018">
        <v>1148</v>
      </c>
      <c r="AE70" s="6018">
        <v>1350</v>
      </c>
      <c r="AF70" s="6019">
        <v>1519</v>
      </c>
    </row>
    <row r="71" spans="1:32" ht="13.5">
      <c r="A71" s="6018">
        <v>3400</v>
      </c>
      <c r="B71" s="6019">
        <v>3450</v>
      </c>
      <c r="C71" s="6020">
        <f t="shared" si="16"/>
        <v>524</v>
      </c>
      <c r="D71" s="6018">
        <f t="shared" si="17"/>
        <v>1165</v>
      </c>
      <c r="E71" s="6018">
        <f t="shared" si="18"/>
        <v>1370</v>
      </c>
      <c r="F71" s="6019">
        <f t="shared" si="19"/>
        <v>1541</v>
      </c>
      <c r="G71" s="6020">
        <f t="shared" si="12"/>
        <v>524</v>
      </c>
      <c r="H71" s="6018">
        <f t="shared" si="13"/>
        <v>1165</v>
      </c>
      <c r="I71" s="6018">
        <f t="shared" si="14"/>
        <v>1370</v>
      </c>
      <c r="J71" s="6019">
        <f t="shared" si="15"/>
        <v>1541</v>
      </c>
      <c r="K71" s="1732"/>
      <c r="L71" s="6018">
        <v>3425</v>
      </c>
      <c r="W71" s="6018">
        <v>3400</v>
      </c>
      <c r="X71" s="6019">
        <v>3450</v>
      </c>
      <c r="Y71" s="6018">
        <v>524</v>
      </c>
      <c r="Z71" s="6018">
        <v>1165</v>
      </c>
      <c r="AA71" s="6018">
        <v>1370</v>
      </c>
      <c r="AB71" s="6019">
        <v>1541</v>
      </c>
      <c r="AC71" s="6018">
        <v>524</v>
      </c>
      <c r="AD71" s="6018">
        <v>1165</v>
      </c>
      <c r="AE71" s="6018">
        <v>1370</v>
      </c>
      <c r="AF71" s="6019">
        <v>1541</v>
      </c>
    </row>
    <row r="72" spans="1:32" ht="13.5">
      <c r="A72" s="6018">
        <v>3450</v>
      </c>
      <c r="B72" s="6019">
        <v>3500</v>
      </c>
      <c r="C72" s="6020">
        <f t="shared" si="16"/>
        <v>532</v>
      </c>
      <c r="D72" s="6018">
        <f t="shared" si="17"/>
        <v>1182</v>
      </c>
      <c r="E72" s="6018">
        <f t="shared" si="18"/>
        <v>1390</v>
      </c>
      <c r="F72" s="6019">
        <f t="shared" si="19"/>
        <v>1564</v>
      </c>
      <c r="G72" s="6020">
        <f t="shared" si="12"/>
        <v>532</v>
      </c>
      <c r="H72" s="6018">
        <f t="shared" si="13"/>
        <v>1182</v>
      </c>
      <c r="I72" s="6018">
        <f t="shared" si="14"/>
        <v>1390</v>
      </c>
      <c r="J72" s="6019">
        <f t="shared" si="15"/>
        <v>1564</v>
      </c>
      <c r="K72" s="1732"/>
      <c r="L72" s="6018">
        <v>3475</v>
      </c>
      <c r="W72" s="6018">
        <v>3450</v>
      </c>
      <c r="X72" s="6019">
        <v>3500</v>
      </c>
      <c r="Y72" s="6018">
        <v>532</v>
      </c>
      <c r="Z72" s="6018">
        <v>1182</v>
      </c>
      <c r="AA72" s="6018">
        <v>1390</v>
      </c>
      <c r="AB72" s="6019">
        <v>1564</v>
      </c>
      <c r="AC72" s="6018">
        <v>532</v>
      </c>
      <c r="AD72" s="6018">
        <v>1182</v>
      </c>
      <c r="AE72" s="6018">
        <v>1390</v>
      </c>
      <c r="AF72" s="6019">
        <v>1564</v>
      </c>
    </row>
    <row r="73" spans="1:32" ht="13.5">
      <c r="A73" s="6018">
        <v>3500</v>
      </c>
      <c r="B73" s="6019">
        <v>3550</v>
      </c>
      <c r="C73" s="6020">
        <f t="shared" si="16"/>
        <v>539</v>
      </c>
      <c r="D73" s="6018">
        <f t="shared" si="17"/>
        <v>1199</v>
      </c>
      <c r="E73" s="6018">
        <f t="shared" si="18"/>
        <v>1410</v>
      </c>
      <c r="F73" s="6019">
        <f t="shared" si="19"/>
        <v>1586</v>
      </c>
      <c r="G73" s="6020">
        <f t="shared" si="12"/>
        <v>539</v>
      </c>
      <c r="H73" s="6018">
        <f t="shared" si="13"/>
        <v>1199</v>
      </c>
      <c r="I73" s="6018">
        <f t="shared" si="14"/>
        <v>1410</v>
      </c>
      <c r="J73" s="6019">
        <f t="shared" si="15"/>
        <v>1586</v>
      </c>
      <c r="K73" s="1732"/>
      <c r="L73" s="6018">
        <v>3525</v>
      </c>
      <c r="W73" s="6018">
        <v>3500</v>
      </c>
      <c r="X73" s="6019">
        <v>3550</v>
      </c>
      <c r="Y73" s="6018">
        <v>539</v>
      </c>
      <c r="Z73" s="6018">
        <v>1199</v>
      </c>
      <c r="AA73" s="6018">
        <v>1410</v>
      </c>
      <c r="AB73" s="6019">
        <v>1586</v>
      </c>
      <c r="AC73" s="6018">
        <v>539</v>
      </c>
      <c r="AD73" s="6018">
        <v>1199</v>
      </c>
      <c r="AE73" s="6018">
        <v>1410</v>
      </c>
      <c r="AF73" s="6019">
        <v>1586</v>
      </c>
    </row>
    <row r="74" spans="1:32" ht="13.5">
      <c r="A74" s="6018">
        <v>3550</v>
      </c>
      <c r="B74" s="6019">
        <v>3600</v>
      </c>
      <c r="C74" s="6020">
        <f t="shared" si="16"/>
        <v>547</v>
      </c>
      <c r="D74" s="6018">
        <f t="shared" si="17"/>
        <v>1216</v>
      </c>
      <c r="E74" s="6018">
        <f t="shared" si="18"/>
        <v>1430</v>
      </c>
      <c r="F74" s="6019">
        <f t="shared" si="19"/>
        <v>1609</v>
      </c>
      <c r="G74" s="6020">
        <f t="shared" si="12"/>
        <v>547</v>
      </c>
      <c r="H74" s="6018">
        <f t="shared" si="13"/>
        <v>1216</v>
      </c>
      <c r="I74" s="6018">
        <f t="shared" si="14"/>
        <v>1430</v>
      </c>
      <c r="J74" s="6019">
        <f t="shared" si="15"/>
        <v>1609</v>
      </c>
      <c r="K74" s="1732"/>
      <c r="L74" s="6018">
        <v>3575</v>
      </c>
      <c r="W74" s="6018">
        <v>3550</v>
      </c>
      <c r="X74" s="6019">
        <v>3600</v>
      </c>
      <c r="Y74" s="6018">
        <v>547</v>
      </c>
      <c r="Z74" s="6018">
        <v>1216</v>
      </c>
      <c r="AA74" s="6018">
        <v>1430</v>
      </c>
      <c r="AB74" s="6019">
        <v>1609</v>
      </c>
      <c r="AC74" s="6018">
        <v>547</v>
      </c>
      <c r="AD74" s="6018">
        <v>1216</v>
      </c>
      <c r="AE74" s="6018">
        <v>1430</v>
      </c>
      <c r="AF74" s="6019">
        <v>1609</v>
      </c>
    </row>
    <row r="75" spans="1:32" ht="13.5">
      <c r="A75" s="6018">
        <v>3600</v>
      </c>
      <c r="B75" s="6019">
        <v>3650</v>
      </c>
      <c r="C75" s="6020">
        <f t="shared" si="16"/>
        <v>555</v>
      </c>
      <c r="D75" s="6018">
        <f t="shared" si="17"/>
        <v>1233</v>
      </c>
      <c r="E75" s="6018">
        <f t="shared" si="18"/>
        <v>1450</v>
      </c>
      <c r="F75" s="6019">
        <f t="shared" si="19"/>
        <v>1631</v>
      </c>
      <c r="G75" s="6020">
        <f t="shared" si="12"/>
        <v>555</v>
      </c>
      <c r="H75" s="6018">
        <f t="shared" si="13"/>
        <v>1233</v>
      </c>
      <c r="I75" s="6018">
        <f t="shared" si="14"/>
        <v>1450</v>
      </c>
      <c r="J75" s="6019">
        <f t="shared" si="15"/>
        <v>1631</v>
      </c>
      <c r="K75" s="1732"/>
      <c r="L75" s="6018">
        <v>3625</v>
      </c>
      <c r="W75" s="6018">
        <v>3600</v>
      </c>
      <c r="X75" s="6019">
        <v>3650</v>
      </c>
      <c r="Y75" s="6018">
        <v>555</v>
      </c>
      <c r="Z75" s="6018">
        <v>1233</v>
      </c>
      <c r="AA75" s="6018">
        <v>1450</v>
      </c>
      <c r="AB75" s="6019">
        <v>1631</v>
      </c>
      <c r="AC75" s="6018">
        <v>555</v>
      </c>
      <c r="AD75" s="6018">
        <v>1233</v>
      </c>
      <c r="AE75" s="6018">
        <v>1450</v>
      </c>
      <c r="AF75" s="6019">
        <v>1631</v>
      </c>
    </row>
    <row r="76" spans="1:32" ht="13.5">
      <c r="A76" s="6018">
        <v>3650</v>
      </c>
      <c r="B76" s="6019">
        <v>3700</v>
      </c>
      <c r="C76" s="6020">
        <f t="shared" si="16"/>
        <v>562</v>
      </c>
      <c r="D76" s="6018">
        <f t="shared" si="17"/>
        <v>1250</v>
      </c>
      <c r="E76" s="6018">
        <f t="shared" si="18"/>
        <v>1470</v>
      </c>
      <c r="F76" s="6019">
        <f t="shared" si="19"/>
        <v>1654</v>
      </c>
      <c r="G76" s="6020">
        <f t="shared" si="12"/>
        <v>562</v>
      </c>
      <c r="H76" s="6018">
        <f t="shared" si="13"/>
        <v>1250</v>
      </c>
      <c r="I76" s="6018">
        <f t="shared" si="14"/>
        <v>1470</v>
      </c>
      <c r="J76" s="6019">
        <f t="shared" si="15"/>
        <v>1654</v>
      </c>
      <c r="K76" s="1732"/>
      <c r="L76" s="6018">
        <v>3675</v>
      </c>
      <c r="W76" s="6018">
        <v>3650</v>
      </c>
      <c r="X76" s="6019">
        <v>3700</v>
      </c>
      <c r="Y76" s="6018">
        <v>562</v>
      </c>
      <c r="Z76" s="6018">
        <v>1250</v>
      </c>
      <c r="AA76" s="6018">
        <v>1470</v>
      </c>
      <c r="AB76" s="6019">
        <v>1654</v>
      </c>
      <c r="AC76" s="6018">
        <v>562</v>
      </c>
      <c r="AD76" s="6018">
        <v>1250</v>
      </c>
      <c r="AE76" s="6018">
        <v>1470</v>
      </c>
      <c r="AF76" s="6019">
        <v>1654</v>
      </c>
    </row>
    <row r="77" spans="1:32" ht="13.5">
      <c r="A77" s="6018">
        <v>3700</v>
      </c>
      <c r="B77" s="6019">
        <v>3750</v>
      </c>
      <c r="C77" s="6020">
        <f t="shared" si="16"/>
        <v>570</v>
      </c>
      <c r="D77" s="6018">
        <f t="shared" si="17"/>
        <v>1267</v>
      </c>
      <c r="E77" s="6018">
        <f t="shared" si="18"/>
        <v>1490</v>
      </c>
      <c r="F77" s="6019">
        <f t="shared" si="19"/>
        <v>1676</v>
      </c>
      <c r="G77" s="6020">
        <f t="shared" si="12"/>
        <v>570</v>
      </c>
      <c r="H77" s="6018">
        <f t="shared" si="13"/>
        <v>1267</v>
      </c>
      <c r="I77" s="6018">
        <f t="shared" si="14"/>
        <v>1490</v>
      </c>
      <c r="J77" s="6019">
        <f t="shared" si="15"/>
        <v>1676</v>
      </c>
      <c r="K77" s="1732"/>
      <c r="L77" s="6018">
        <v>3725</v>
      </c>
      <c r="W77" s="6018">
        <v>3700</v>
      </c>
      <c r="X77" s="6019">
        <v>3750</v>
      </c>
      <c r="Y77" s="6018">
        <v>570</v>
      </c>
      <c r="Z77" s="6018">
        <v>1267</v>
      </c>
      <c r="AA77" s="6018">
        <v>1490</v>
      </c>
      <c r="AB77" s="6019">
        <v>1676</v>
      </c>
      <c r="AC77" s="6018">
        <v>570</v>
      </c>
      <c r="AD77" s="6018">
        <v>1267</v>
      </c>
      <c r="AE77" s="6018">
        <v>1490</v>
      </c>
      <c r="AF77" s="6019">
        <v>1676</v>
      </c>
    </row>
    <row r="78" spans="1:32" ht="13.5">
      <c r="A78" s="6018">
        <v>3750</v>
      </c>
      <c r="B78" s="6019">
        <v>3800</v>
      </c>
      <c r="C78" s="6020">
        <f t="shared" si="16"/>
        <v>578</v>
      </c>
      <c r="D78" s="6018">
        <f t="shared" si="17"/>
        <v>1284</v>
      </c>
      <c r="E78" s="6018">
        <f t="shared" si="18"/>
        <v>1510</v>
      </c>
      <c r="F78" s="6019">
        <f t="shared" si="19"/>
        <v>1699</v>
      </c>
      <c r="G78" s="6020">
        <f t="shared" si="12"/>
        <v>578</v>
      </c>
      <c r="H78" s="6018">
        <f t="shared" si="13"/>
        <v>1284</v>
      </c>
      <c r="I78" s="6018">
        <f t="shared" si="14"/>
        <v>1510</v>
      </c>
      <c r="J78" s="6019">
        <f t="shared" si="15"/>
        <v>1699</v>
      </c>
      <c r="K78" s="1732"/>
      <c r="L78" s="6018">
        <v>3775</v>
      </c>
      <c r="W78" s="6018">
        <v>3750</v>
      </c>
      <c r="X78" s="6019">
        <v>3800</v>
      </c>
      <c r="Y78" s="6018">
        <v>578</v>
      </c>
      <c r="Z78" s="6018">
        <v>1284</v>
      </c>
      <c r="AA78" s="6018">
        <v>1510</v>
      </c>
      <c r="AB78" s="6019">
        <v>1699</v>
      </c>
      <c r="AC78" s="6018">
        <v>578</v>
      </c>
      <c r="AD78" s="6018">
        <v>1284</v>
      </c>
      <c r="AE78" s="6018">
        <v>1510</v>
      </c>
      <c r="AF78" s="6019">
        <v>1699</v>
      </c>
    </row>
    <row r="79" spans="1:32" ht="13.5">
      <c r="A79" s="6018">
        <v>3800</v>
      </c>
      <c r="B79" s="6019">
        <v>3850</v>
      </c>
      <c r="C79" s="6020">
        <f t="shared" si="16"/>
        <v>585</v>
      </c>
      <c r="D79" s="6018">
        <f t="shared" si="17"/>
        <v>1301</v>
      </c>
      <c r="E79" s="6018">
        <f t="shared" si="18"/>
        <v>1530</v>
      </c>
      <c r="F79" s="6019">
        <f t="shared" si="19"/>
        <v>1721</v>
      </c>
      <c r="G79" s="6020">
        <f t="shared" si="12"/>
        <v>585</v>
      </c>
      <c r="H79" s="6018">
        <f t="shared" si="13"/>
        <v>1301</v>
      </c>
      <c r="I79" s="6018">
        <f t="shared" si="14"/>
        <v>1530</v>
      </c>
      <c r="J79" s="6019">
        <f t="shared" si="15"/>
        <v>1721</v>
      </c>
      <c r="K79" s="1732"/>
      <c r="L79" s="6018">
        <v>3825</v>
      </c>
      <c r="W79" s="6018">
        <v>3800</v>
      </c>
      <c r="X79" s="6019">
        <v>3850</v>
      </c>
      <c r="Y79" s="6018">
        <v>585</v>
      </c>
      <c r="Z79" s="6018">
        <v>1301</v>
      </c>
      <c r="AA79" s="6018">
        <v>1530</v>
      </c>
      <c r="AB79" s="6019">
        <v>1721</v>
      </c>
      <c r="AC79" s="6018">
        <v>585</v>
      </c>
      <c r="AD79" s="6018">
        <v>1301</v>
      </c>
      <c r="AE79" s="6018">
        <v>1530</v>
      </c>
      <c r="AF79" s="6019">
        <v>1721</v>
      </c>
    </row>
    <row r="80" spans="1:32" ht="13.5">
      <c r="A80" s="6018">
        <v>3850</v>
      </c>
      <c r="B80" s="6019">
        <v>3900</v>
      </c>
      <c r="C80" s="6020">
        <f t="shared" si="16"/>
        <v>593</v>
      </c>
      <c r="D80" s="6018">
        <f t="shared" si="17"/>
        <v>1318</v>
      </c>
      <c r="E80" s="6018">
        <f t="shared" si="18"/>
        <v>1550</v>
      </c>
      <c r="F80" s="6019">
        <f t="shared" si="19"/>
        <v>1744</v>
      </c>
      <c r="G80" s="6020">
        <f t="shared" si="12"/>
        <v>593</v>
      </c>
      <c r="H80" s="6018">
        <f t="shared" si="13"/>
        <v>1318</v>
      </c>
      <c r="I80" s="6018">
        <f t="shared" si="14"/>
        <v>1550</v>
      </c>
      <c r="J80" s="6019">
        <f t="shared" si="15"/>
        <v>1744</v>
      </c>
      <c r="K80" s="1732"/>
      <c r="L80" s="6018">
        <v>3875</v>
      </c>
      <c r="W80" s="6018">
        <v>3850</v>
      </c>
      <c r="X80" s="6019">
        <v>3900</v>
      </c>
      <c r="Y80" s="6018">
        <v>593</v>
      </c>
      <c r="Z80" s="6018">
        <v>1318</v>
      </c>
      <c r="AA80" s="6018">
        <v>1550</v>
      </c>
      <c r="AB80" s="6019">
        <v>1744</v>
      </c>
      <c r="AC80" s="6018">
        <v>593</v>
      </c>
      <c r="AD80" s="6018">
        <v>1318</v>
      </c>
      <c r="AE80" s="6018">
        <v>1550</v>
      </c>
      <c r="AF80" s="6019">
        <v>1744</v>
      </c>
    </row>
    <row r="81" spans="1:32" ht="13.5">
      <c r="A81" s="6018">
        <v>3900</v>
      </c>
      <c r="B81" s="6019">
        <v>3950</v>
      </c>
      <c r="C81" s="6020">
        <f t="shared" si="16"/>
        <v>601</v>
      </c>
      <c r="D81" s="6018">
        <f t="shared" si="17"/>
        <v>1335</v>
      </c>
      <c r="E81" s="6018">
        <f t="shared" si="18"/>
        <v>1570</v>
      </c>
      <c r="F81" s="6019">
        <f t="shared" si="19"/>
        <v>1766</v>
      </c>
      <c r="G81" s="6020">
        <f t="shared" si="12"/>
        <v>601</v>
      </c>
      <c r="H81" s="6018">
        <f t="shared" si="13"/>
        <v>1335</v>
      </c>
      <c r="I81" s="6018">
        <f t="shared" si="14"/>
        <v>1570</v>
      </c>
      <c r="J81" s="6019">
        <f t="shared" si="15"/>
        <v>1766</v>
      </c>
      <c r="K81" s="1732"/>
      <c r="L81" s="6018">
        <v>3925</v>
      </c>
      <c r="W81" s="6018">
        <v>3900</v>
      </c>
      <c r="X81" s="6019">
        <v>3950</v>
      </c>
      <c r="Y81" s="6018">
        <v>601</v>
      </c>
      <c r="Z81" s="6018">
        <v>1335</v>
      </c>
      <c r="AA81" s="6018">
        <v>1570</v>
      </c>
      <c r="AB81" s="6019">
        <v>1766</v>
      </c>
      <c r="AC81" s="6018">
        <v>601</v>
      </c>
      <c r="AD81" s="6018">
        <v>1335</v>
      </c>
      <c r="AE81" s="6018">
        <v>1570</v>
      </c>
      <c r="AF81" s="6019">
        <v>1766</v>
      </c>
    </row>
    <row r="82" spans="1:32" ht="13.5">
      <c r="A82" s="6018">
        <v>3950</v>
      </c>
      <c r="B82" s="6019">
        <v>4000</v>
      </c>
      <c r="C82" s="6020">
        <f t="shared" si="16"/>
        <v>608</v>
      </c>
      <c r="D82" s="6018">
        <f t="shared" si="17"/>
        <v>1352</v>
      </c>
      <c r="E82" s="6018">
        <f t="shared" si="18"/>
        <v>1590</v>
      </c>
      <c r="F82" s="6019">
        <f t="shared" si="19"/>
        <v>1789</v>
      </c>
      <c r="G82" s="6020">
        <f t="shared" si="12"/>
        <v>608</v>
      </c>
      <c r="H82" s="6018">
        <f t="shared" si="13"/>
        <v>1352</v>
      </c>
      <c r="I82" s="6018">
        <f t="shared" si="14"/>
        <v>1590</v>
      </c>
      <c r="J82" s="6019">
        <f t="shared" si="15"/>
        <v>1789</v>
      </c>
      <c r="K82" s="1732"/>
      <c r="L82" s="6018">
        <v>3975</v>
      </c>
      <c r="W82" s="6018">
        <v>3950</v>
      </c>
      <c r="X82" s="6019">
        <v>4000</v>
      </c>
      <c r="Y82" s="6018">
        <v>608</v>
      </c>
      <c r="Z82" s="6018">
        <v>1352</v>
      </c>
      <c r="AA82" s="6018">
        <v>1590</v>
      </c>
      <c r="AB82" s="6019">
        <v>1789</v>
      </c>
      <c r="AC82" s="6018">
        <v>608</v>
      </c>
      <c r="AD82" s="6018">
        <v>1352</v>
      </c>
      <c r="AE82" s="6018">
        <v>1590</v>
      </c>
      <c r="AF82" s="6019">
        <v>1789</v>
      </c>
    </row>
    <row r="83" spans="1:32" ht="13.5">
      <c r="A83" s="6018">
        <v>4000</v>
      </c>
      <c r="B83" s="6019">
        <v>4050</v>
      </c>
      <c r="C83" s="6020">
        <f t="shared" si="16"/>
        <v>616</v>
      </c>
      <c r="D83" s="6018">
        <f t="shared" si="17"/>
        <v>1369</v>
      </c>
      <c r="E83" s="6018">
        <f t="shared" si="18"/>
        <v>1610</v>
      </c>
      <c r="F83" s="6019">
        <f t="shared" si="19"/>
        <v>1811</v>
      </c>
      <c r="G83" s="6020">
        <f t="shared" si="12"/>
        <v>616</v>
      </c>
      <c r="H83" s="6018">
        <f t="shared" si="13"/>
        <v>1369</v>
      </c>
      <c r="I83" s="6018">
        <f t="shared" si="14"/>
        <v>1610</v>
      </c>
      <c r="J83" s="6019">
        <f t="shared" si="15"/>
        <v>1811</v>
      </c>
      <c r="K83" s="1732"/>
      <c r="L83" s="6018">
        <v>4025</v>
      </c>
      <c r="W83" s="6018">
        <v>4000</v>
      </c>
      <c r="X83" s="6019">
        <v>4050</v>
      </c>
      <c r="Y83" s="6018">
        <v>616</v>
      </c>
      <c r="Z83" s="6018">
        <v>1369</v>
      </c>
      <c r="AA83" s="6018">
        <v>1610</v>
      </c>
      <c r="AB83" s="6019">
        <v>1811</v>
      </c>
      <c r="AC83" s="6018">
        <v>616</v>
      </c>
      <c r="AD83" s="6018">
        <v>1369</v>
      </c>
      <c r="AE83" s="6018">
        <v>1610</v>
      </c>
      <c r="AF83" s="6019">
        <v>1811</v>
      </c>
    </row>
    <row r="84" spans="1:32" ht="13.5">
      <c r="A84" s="6018">
        <v>4050</v>
      </c>
      <c r="B84" s="6019">
        <v>4100</v>
      </c>
      <c r="C84" s="6020">
        <f t="shared" si="16"/>
        <v>623</v>
      </c>
      <c r="D84" s="6018">
        <f t="shared" si="17"/>
        <v>1386</v>
      </c>
      <c r="E84" s="6018">
        <f t="shared" si="18"/>
        <v>1630</v>
      </c>
      <c r="F84" s="6019">
        <f t="shared" si="19"/>
        <v>1834</v>
      </c>
      <c r="G84" s="6020">
        <f t="shared" si="12"/>
        <v>623</v>
      </c>
      <c r="H84" s="6018">
        <f t="shared" si="13"/>
        <v>1386</v>
      </c>
      <c r="I84" s="6018">
        <f t="shared" si="14"/>
        <v>1630</v>
      </c>
      <c r="J84" s="6019">
        <f t="shared" si="15"/>
        <v>1834</v>
      </c>
      <c r="K84" s="1732"/>
      <c r="L84" s="6018">
        <v>4075</v>
      </c>
      <c r="W84" s="6018">
        <v>4050</v>
      </c>
      <c r="X84" s="6019">
        <v>4100</v>
      </c>
      <c r="Y84" s="6018">
        <v>623</v>
      </c>
      <c r="Z84" s="6018">
        <v>1386</v>
      </c>
      <c r="AA84" s="6018">
        <v>1630</v>
      </c>
      <c r="AB84" s="6019">
        <v>1834</v>
      </c>
      <c r="AC84" s="6018">
        <v>623</v>
      </c>
      <c r="AD84" s="6018">
        <v>1386</v>
      </c>
      <c r="AE84" s="6018">
        <v>1630</v>
      </c>
      <c r="AF84" s="6019">
        <v>1834</v>
      </c>
    </row>
    <row r="85" spans="1:32" ht="13.5">
      <c r="A85" s="6018">
        <v>4100</v>
      </c>
      <c r="B85" s="6019">
        <v>4150</v>
      </c>
      <c r="C85" s="6020">
        <f t="shared" si="16"/>
        <v>631</v>
      </c>
      <c r="D85" s="6018">
        <f t="shared" si="17"/>
        <v>1403</v>
      </c>
      <c r="E85" s="6018">
        <f t="shared" si="18"/>
        <v>1650</v>
      </c>
      <c r="F85" s="6019">
        <f t="shared" si="19"/>
        <v>1856</v>
      </c>
      <c r="G85" s="6020">
        <f t="shared" si="12"/>
        <v>631</v>
      </c>
      <c r="H85" s="6018">
        <f t="shared" si="13"/>
        <v>1403</v>
      </c>
      <c r="I85" s="6018">
        <f t="shared" si="14"/>
        <v>1650</v>
      </c>
      <c r="J85" s="6019">
        <f t="shared" si="15"/>
        <v>1856</v>
      </c>
      <c r="K85" s="1732"/>
      <c r="L85" s="6018">
        <v>4125</v>
      </c>
      <c r="W85" s="6018">
        <v>4100</v>
      </c>
      <c r="X85" s="6019">
        <v>4150</v>
      </c>
      <c r="Y85" s="6018">
        <v>631</v>
      </c>
      <c r="Z85" s="6018">
        <v>1403</v>
      </c>
      <c r="AA85" s="6018">
        <v>1650</v>
      </c>
      <c r="AB85" s="6019">
        <v>1856</v>
      </c>
      <c r="AC85" s="6018">
        <v>631</v>
      </c>
      <c r="AD85" s="6018">
        <v>1403</v>
      </c>
      <c r="AE85" s="6018">
        <v>1650</v>
      </c>
      <c r="AF85" s="6019">
        <v>1856</v>
      </c>
    </row>
    <row r="86" spans="1:32" ht="13.5">
      <c r="A86" s="6018">
        <v>4150</v>
      </c>
      <c r="B86" s="6019">
        <v>4200</v>
      </c>
      <c r="C86" s="6020">
        <f t="shared" si="16"/>
        <v>639</v>
      </c>
      <c r="D86" s="6018">
        <f t="shared" si="17"/>
        <v>1420</v>
      </c>
      <c r="E86" s="6018">
        <f t="shared" si="18"/>
        <v>1670</v>
      </c>
      <c r="F86" s="6019">
        <f t="shared" si="19"/>
        <v>1879</v>
      </c>
      <c r="G86" s="6020">
        <f t="shared" si="12"/>
        <v>639</v>
      </c>
      <c r="H86" s="6018">
        <f t="shared" si="13"/>
        <v>1420</v>
      </c>
      <c r="I86" s="6018">
        <f t="shared" si="14"/>
        <v>1670</v>
      </c>
      <c r="J86" s="6019">
        <f t="shared" si="15"/>
        <v>1879</v>
      </c>
      <c r="K86" s="1732"/>
      <c r="L86" s="6018">
        <v>4175</v>
      </c>
      <c r="W86" s="6018">
        <v>4150</v>
      </c>
      <c r="X86" s="6019">
        <v>4200</v>
      </c>
      <c r="Y86" s="6018">
        <v>639</v>
      </c>
      <c r="Z86" s="6018">
        <v>1420</v>
      </c>
      <c r="AA86" s="6018">
        <v>1670</v>
      </c>
      <c r="AB86" s="6019">
        <v>1879</v>
      </c>
      <c r="AC86" s="6018">
        <v>639</v>
      </c>
      <c r="AD86" s="6018">
        <v>1420</v>
      </c>
      <c r="AE86" s="6018">
        <v>1670</v>
      </c>
      <c r="AF86" s="6019">
        <v>1879</v>
      </c>
    </row>
    <row r="87" spans="1:32" ht="13.5">
      <c r="A87" s="6018">
        <v>4200</v>
      </c>
      <c r="B87" s="6019">
        <v>4250</v>
      </c>
      <c r="C87" s="6020">
        <f t="shared" si="16"/>
        <v>646</v>
      </c>
      <c r="D87" s="6018">
        <f t="shared" si="17"/>
        <v>1437</v>
      </c>
      <c r="E87" s="6018">
        <f t="shared" si="18"/>
        <v>1690</v>
      </c>
      <c r="F87" s="6019">
        <f t="shared" si="19"/>
        <v>1901</v>
      </c>
      <c r="G87" s="6020">
        <f t="shared" si="12"/>
        <v>646</v>
      </c>
      <c r="H87" s="6018">
        <f t="shared" si="13"/>
        <v>1437</v>
      </c>
      <c r="I87" s="6018">
        <f t="shared" si="14"/>
        <v>1690</v>
      </c>
      <c r="J87" s="6019">
        <f t="shared" si="15"/>
        <v>1901</v>
      </c>
      <c r="K87" s="1732"/>
      <c r="L87" s="6018">
        <v>4225</v>
      </c>
      <c r="W87" s="6018">
        <v>4200</v>
      </c>
      <c r="X87" s="6019">
        <v>4250</v>
      </c>
      <c r="Y87" s="6018">
        <v>646</v>
      </c>
      <c r="Z87" s="6018">
        <v>1437</v>
      </c>
      <c r="AA87" s="6018">
        <v>1690</v>
      </c>
      <c r="AB87" s="6019">
        <v>1901</v>
      </c>
      <c r="AC87" s="6018">
        <v>646</v>
      </c>
      <c r="AD87" s="6018">
        <v>1437</v>
      </c>
      <c r="AE87" s="6018">
        <v>1690</v>
      </c>
      <c r="AF87" s="6019">
        <v>1901</v>
      </c>
    </row>
    <row r="88" spans="1:32" ht="13.5">
      <c r="A88" s="6018">
        <v>4250</v>
      </c>
      <c r="B88" s="6019">
        <v>4300</v>
      </c>
      <c r="C88" s="6020">
        <f t="shared" si="16"/>
        <v>654</v>
      </c>
      <c r="D88" s="6018">
        <f t="shared" si="17"/>
        <v>1454</v>
      </c>
      <c r="E88" s="6018">
        <f t="shared" si="18"/>
        <v>1710</v>
      </c>
      <c r="F88" s="6019">
        <f t="shared" si="19"/>
        <v>1924</v>
      </c>
      <c r="G88" s="6020">
        <f t="shared" si="12"/>
        <v>654</v>
      </c>
      <c r="H88" s="6018">
        <f t="shared" si="13"/>
        <v>1454</v>
      </c>
      <c r="I88" s="6018">
        <f t="shared" si="14"/>
        <v>1710</v>
      </c>
      <c r="J88" s="6019">
        <f t="shared" si="15"/>
        <v>1924</v>
      </c>
      <c r="K88" s="1732"/>
      <c r="L88" s="6018">
        <v>4275</v>
      </c>
      <c r="W88" s="6018">
        <v>4250</v>
      </c>
      <c r="X88" s="6019">
        <v>4300</v>
      </c>
      <c r="Y88" s="6018">
        <v>654</v>
      </c>
      <c r="Z88" s="6018">
        <v>1454</v>
      </c>
      <c r="AA88" s="6018">
        <v>1710</v>
      </c>
      <c r="AB88" s="6019">
        <v>1924</v>
      </c>
      <c r="AC88" s="6018">
        <v>654</v>
      </c>
      <c r="AD88" s="6018">
        <v>1454</v>
      </c>
      <c r="AE88" s="6018">
        <v>1710</v>
      </c>
      <c r="AF88" s="6019">
        <v>1924</v>
      </c>
    </row>
    <row r="89" spans="1:32" ht="13.5">
      <c r="A89" s="6018">
        <v>4300</v>
      </c>
      <c r="B89" s="6019">
        <v>4350</v>
      </c>
      <c r="C89" s="6020">
        <f t="shared" si="16"/>
        <v>662</v>
      </c>
      <c r="D89" s="6018">
        <f t="shared" si="17"/>
        <v>1471</v>
      </c>
      <c r="E89" s="6018">
        <f t="shared" si="18"/>
        <v>1730</v>
      </c>
      <c r="F89" s="6019">
        <f t="shared" si="19"/>
        <v>1946</v>
      </c>
      <c r="G89" s="6020">
        <f t="shared" si="12"/>
        <v>662</v>
      </c>
      <c r="H89" s="6018">
        <f t="shared" si="13"/>
        <v>1471</v>
      </c>
      <c r="I89" s="6018">
        <f t="shared" si="14"/>
        <v>1730</v>
      </c>
      <c r="J89" s="6019">
        <f t="shared" si="15"/>
        <v>1946</v>
      </c>
      <c r="K89" s="1732"/>
      <c r="L89" s="6018">
        <v>4325</v>
      </c>
      <c r="W89" s="6018">
        <v>4300</v>
      </c>
      <c r="X89" s="6019">
        <v>4350</v>
      </c>
      <c r="Y89" s="6018">
        <v>662</v>
      </c>
      <c r="Z89" s="6018">
        <v>1471</v>
      </c>
      <c r="AA89" s="6018">
        <v>1730</v>
      </c>
      <c r="AB89" s="6019">
        <v>1946</v>
      </c>
      <c r="AC89" s="6018">
        <v>662</v>
      </c>
      <c r="AD89" s="6018">
        <v>1471</v>
      </c>
      <c r="AE89" s="6018">
        <v>1730</v>
      </c>
      <c r="AF89" s="6019">
        <v>1946</v>
      </c>
    </row>
    <row r="90" spans="1:32" ht="13.5">
      <c r="A90" s="6018">
        <v>4350</v>
      </c>
      <c r="B90" s="6019">
        <v>4400</v>
      </c>
      <c r="C90" s="6020">
        <f t="shared" si="16"/>
        <v>669</v>
      </c>
      <c r="D90" s="6018">
        <f t="shared" si="17"/>
        <v>1488</v>
      </c>
      <c r="E90" s="6018">
        <f t="shared" si="18"/>
        <v>1750</v>
      </c>
      <c r="F90" s="6019">
        <f t="shared" si="19"/>
        <v>1969</v>
      </c>
      <c r="G90" s="6020">
        <f t="shared" si="12"/>
        <v>669</v>
      </c>
      <c r="H90" s="6018">
        <f t="shared" si="13"/>
        <v>1488</v>
      </c>
      <c r="I90" s="6018">
        <f t="shared" si="14"/>
        <v>1750</v>
      </c>
      <c r="J90" s="6019">
        <f t="shared" si="15"/>
        <v>1969</v>
      </c>
      <c r="K90" s="1732"/>
      <c r="L90" s="6018">
        <v>4375</v>
      </c>
      <c r="W90" s="6018">
        <v>4350</v>
      </c>
      <c r="X90" s="6019">
        <v>4400</v>
      </c>
      <c r="Y90" s="6018">
        <v>669</v>
      </c>
      <c r="Z90" s="6018">
        <v>1488</v>
      </c>
      <c r="AA90" s="6018">
        <v>1750</v>
      </c>
      <c r="AB90" s="6019">
        <v>1969</v>
      </c>
      <c r="AC90" s="6018">
        <v>669</v>
      </c>
      <c r="AD90" s="6018">
        <v>1488</v>
      </c>
      <c r="AE90" s="6018">
        <v>1750</v>
      </c>
      <c r="AF90" s="6019">
        <v>1969</v>
      </c>
    </row>
    <row r="91" spans="1:32" ht="13.5">
      <c r="A91" s="6018">
        <v>4400</v>
      </c>
      <c r="B91" s="6019">
        <v>4450</v>
      </c>
      <c r="C91" s="6020">
        <f t="shared" si="16"/>
        <v>677</v>
      </c>
      <c r="D91" s="6018">
        <f t="shared" si="17"/>
        <v>1505</v>
      </c>
      <c r="E91" s="6018">
        <f t="shared" si="18"/>
        <v>1770</v>
      </c>
      <c r="F91" s="6019">
        <f t="shared" si="19"/>
        <v>1991</v>
      </c>
      <c r="G91" s="6020">
        <f t="shared" si="12"/>
        <v>677</v>
      </c>
      <c r="H91" s="6018">
        <f t="shared" si="13"/>
        <v>1505</v>
      </c>
      <c r="I91" s="6018">
        <f t="shared" si="14"/>
        <v>1770</v>
      </c>
      <c r="J91" s="6019">
        <f t="shared" si="15"/>
        <v>1991</v>
      </c>
      <c r="K91" s="1732"/>
      <c r="L91" s="6018">
        <v>4425</v>
      </c>
      <c r="W91" s="6018">
        <v>4400</v>
      </c>
      <c r="X91" s="6019">
        <v>4450</v>
      </c>
      <c r="Y91" s="6018">
        <v>677</v>
      </c>
      <c r="Z91" s="6018">
        <v>1505</v>
      </c>
      <c r="AA91" s="6018">
        <v>1770</v>
      </c>
      <c r="AB91" s="6019">
        <v>1991</v>
      </c>
      <c r="AC91" s="6018">
        <v>677</v>
      </c>
      <c r="AD91" s="6018">
        <v>1505</v>
      </c>
      <c r="AE91" s="6018">
        <v>1770</v>
      </c>
      <c r="AF91" s="6019">
        <v>1991</v>
      </c>
    </row>
    <row r="92" spans="1:32" ht="13.5">
      <c r="A92" s="6018">
        <v>4450</v>
      </c>
      <c r="B92" s="6019">
        <v>4500</v>
      </c>
      <c r="C92" s="6020">
        <f t="shared" si="16"/>
        <v>685</v>
      </c>
      <c r="D92" s="6018">
        <f t="shared" si="17"/>
        <v>1522</v>
      </c>
      <c r="E92" s="6018">
        <f t="shared" si="18"/>
        <v>1790</v>
      </c>
      <c r="F92" s="6019">
        <f t="shared" si="19"/>
        <v>2014</v>
      </c>
      <c r="G92" s="6020">
        <f t="shared" si="12"/>
        <v>685</v>
      </c>
      <c r="H92" s="6018">
        <f t="shared" si="13"/>
        <v>1522</v>
      </c>
      <c r="I92" s="6018">
        <f t="shared" si="14"/>
        <v>1790</v>
      </c>
      <c r="J92" s="6019">
        <f t="shared" si="15"/>
        <v>2014</v>
      </c>
      <c r="K92" s="1732"/>
      <c r="L92" s="6018">
        <v>4475</v>
      </c>
      <c r="W92" s="6018">
        <v>4450</v>
      </c>
      <c r="X92" s="6019">
        <v>4500</v>
      </c>
      <c r="Y92" s="6018">
        <v>685</v>
      </c>
      <c r="Z92" s="6018">
        <v>1522</v>
      </c>
      <c r="AA92" s="6018">
        <v>1790</v>
      </c>
      <c r="AB92" s="6019">
        <v>2014</v>
      </c>
      <c r="AC92" s="6018">
        <v>685</v>
      </c>
      <c r="AD92" s="6018">
        <v>1522</v>
      </c>
      <c r="AE92" s="6018">
        <v>1790</v>
      </c>
      <c r="AF92" s="6019">
        <v>2014</v>
      </c>
    </row>
    <row r="93" spans="1:32" ht="13.5">
      <c r="A93" s="6018">
        <v>4500</v>
      </c>
      <c r="B93" s="6019">
        <v>4550</v>
      </c>
      <c r="C93" s="6020">
        <f t="shared" si="16"/>
        <v>692</v>
      </c>
      <c r="D93" s="6018">
        <f t="shared" si="17"/>
        <v>1539</v>
      </c>
      <c r="E93" s="6018">
        <f t="shared" si="18"/>
        <v>1810</v>
      </c>
      <c r="F93" s="6019">
        <f t="shared" si="19"/>
        <v>2036</v>
      </c>
      <c r="G93" s="6020">
        <f t="shared" si="12"/>
        <v>692</v>
      </c>
      <c r="H93" s="6018">
        <f t="shared" si="13"/>
        <v>1539</v>
      </c>
      <c r="I93" s="6018">
        <f t="shared" si="14"/>
        <v>1810</v>
      </c>
      <c r="J93" s="6019">
        <f t="shared" si="15"/>
        <v>2036</v>
      </c>
      <c r="K93" s="1732"/>
      <c r="L93" s="6018">
        <v>4525</v>
      </c>
      <c r="W93" s="6018">
        <v>4500</v>
      </c>
      <c r="X93" s="6019">
        <v>4550</v>
      </c>
      <c r="Y93" s="6018">
        <v>692</v>
      </c>
      <c r="Z93" s="6018">
        <v>1539</v>
      </c>
      <c r="AA93" s="6018">
        <v>1810</v>
      </c>
      <c r="AB93" s="6019">
        <v>2036</v>
      </c>
      <c r="AC93" s="6018">
        <v>692</v>
      </c>
      <c r="AD93" s="6018">
        <v>1539</v>
      </c>
      <c r="AE93" s="6018">
        <v>1810</v>
      </c>
      <c r="AF93" s="6019">
        <v>2036</v>
      </c>
    </row>
    <row r="94" spans="1:32" ht="13.5">
      <c r="A94" s="6018">
        <v>4550</v>
      </c>
      <c r="B94" s="6019">
        <v>4600</v>
      </c>
      <c r="C94" s="6020">
        <f t="shared" si="16"/>
        <v>700</v>
      </c>
      <c r="D94" s="6018">
        <f t="shared" si="17"/>
        <v>1556</v>
      </c>
      <c r="E94" s="6018">
        <f t="shared" si="18"/>
        <v>1830</v>
      </c>
      <c r="F94" s="6019">
        <f t="shared" si="19"/>
        <v>2059</v>
      </c>
      <c r="G94" s="6020">
        <f t="shared" si="12"/>
        <v>700</v>
      </c>
      <c r="H94" s="6018">
        <f t="shared" si="13"/>
        <v>1556</v>
      </c>
      <c r="I94" s="6018">
        <f t="shared" si="14"/>
        <v>1830</v>
      </c>
      <c r="J94" s="6019">
        <f t="shared" si="15"/>
        <v>2059</v>
      </c>
      <c r="K94" s="1732"/>
      <c r="L94" s="6018">
        <v>4575</v>
      </c>
      <c r="W94" s="6018">
        <v>4550</v>
      </c>
      <c r="X94" s="6019">
        <v>4600</v>
      </c>
      <c r="Y94" s="6018">
        <v>700</v>
      </c>
      <c r="Z94" s="6018">
        <v>1556</v>
      </c>
      <c r="AA94" s="6018">
        <v>1830</v>
      </c>
      <c r="AB94" s="6019">
        <v>2059</v>
      </c>
      <c r="AC94" s="6018">
        <v>700</v>
      </c>
      <c r="AD94" s="6018">
        <v>1556</v>
      </c>
      <c r="AE94" s="6018">
        <v>1830</v>
      </c>
      <c r="AF94" s="6019">
        <v>2059</v>
      </c>
    </row>
    <row r="95" spans="1:32" ht="13.5">
      <c r="A95" s="6018">
        <v>4600</v>
      </c>
      <c r="B95" s="6019">
        <v>4650</v>
      </c>
      <c r="C95" s="6020">
        <f t="shared" si="16"/>
        <v>708</v>
      </c>
      <c r="D95" s="6018">
        <f t="shared" si="17"/>
        <v>1573</v>
      </c>
      <c r="E95" s="6018">
        <f t="shared" si="18"/>
        <v>1850</v>
      </c>
      <c r="F95" s="6019">
        <f t="shared" si="19"/>
        <v>2081</v>
      </c>
      <c r="G95" s="6020">
        <f t="shared" si="12"/>
        <v>708</v>
      </c>
      <c r="H95" s="6018">
        <f t="shared" si="13"/>
        <v>1573</v>
      </c>
      <c r="I95" s="6018">
        <f t="shared" si="14"/>
        <v>1850</v>
      </c>
      <c r="J95" s="6019">
        <f t="shared" si="15"/>
        <v>2081</v>
      </c>
      <c r="K95" s="1732"/>
      <c r="L95" s="6018">
        <v>4625</v>
      </c>
      <c r="W95" s="6018">
        <v>4600</v>
      </c>
      <c r="X95" s="6019">
        <v>4650</v>
      </c>
      <c r="Y95" s="6018">
        <v>708</v>
      </c>
      <c r="Z95" s="6018">
        <v>1573</v>
      </c>
      <c r="AA95" s="6018">
        <v>1850</v>
      </c>
      <c r="AB95" s="6019">
        <v>2081</v>
      </c>
      <c r="AC95" s="6018">
        <v>708</v>
      </c>
      <c r="AD95" s="6018">
        <v>1573</v>
      </c>
      <c r="AE95" s="6018">
        <v>1850</v>
      </c>
      <c r="AF95" s="6019">
        <v>2081</v>
      </c>
    </row>
    <row r="96" spans="1:32" ht="13.5">
      <c r="A96" s="6018">
        <v>4650</v>
      </c>
      <c r="B96" s="6019">
        <v>4700</v>
      </c>
      <c r="C96" s="6020">
        <f t="shared" si="16"/>
        <v>715</v>
      </c>
      <c r="D96" s="6018">
        <f t="shared" si="17"/>
        <v>1590</v>
      </c>
      <c r="E96" s="6018">
        <f t="shared" si="18"/>
        <v>1870</v>
      </c>
      <c r="F96" s="6019">
        <f t="shared" si="19"/>
        <v>2104</v>
      </c>
      <c r="G96" s="6020">
        <f t="shared" si="12"/>
        <v>715</v>
      </c>
      <c r="H96" s="6018">
        <f t="shared" si="13"/>
        <v>1590</v>
      </c>
      <c r="I96" s="6018">
        <f t="shared" si="14"/>
        <v>1870</v>
      </c>
      <c r="J96" s="6019">
        <f t="shared" si="15"/>
        <v>2104</v>
      </c>
      <c r="K96" s="1732"/>
      <c r="L96" s="6018">
        <v>4675</v>
      </c>
      <c r="W96" s="6018">
        <v>4650</v>
      </c>
      <c r="X96" s="6019">
        <v>4700</v>
      </c>
      <c r="Y96" s="6018">
        <v>715</v>
      </c>
      <c r="Z96" s="6018">
        <v>1590</v>
      </c>
      <c r="AA96" s="6018">
        <v>1870</v>
      </c>
      <c r="AB96" s="6019">
        <v>2104</v>
      </c>
      <c r="AC96" s="6018">
        <v>715</v>
      </c>
      <c r="AD96" s="6018">
        <v>1590</v>
      </c>
      <c r="AE96" s="6018">
        <v>1870</v>
      </c>
      <c r="AF96" s="6019">
        <v>2104</v>
      </c>
    </row>
    <row r="97" spans="1:32" ht="13.5">
      <c r="A97" s="6018">
        <v>4700</v>
      </c>
      <c r="B97" s="6019">
        <v>4750</v>
      </c>
      <c r="C97" s="6020">
        <f t="shared" si="16"/>
        <v>723</v>
      </c>
      <c r="D97" s="6018">
        <f t="shared" si="17"/>
        <v>1607</v>
      </c>
      <c r="E97" s="6018">
        <f t="shared" si="18"/>
        <v>1890</v>
      </c>
      <c r="F97" s="6019">
        <f t="shared" si="19"/>
        <v>2126</v>
      </c>
      <c r="G97" s="6020">
        <f t="shared" si="12"/>
        <v>723</v>
      </c>
      <c r="H97" s="6018">
        <f t="shared" si="13"/>
        <v>1607</v>
      </c>
      <c r="I97" s="6018">
        <f t="shared" si="14"/>
        <v>1890</v>
      </c>
      <c r="J97" s="6019">
        <f t="shared" si="15"/>
        <v>2126</v>
      </c>
      <c r="K97" s="1732"/>
      <c r="L97" s="6018">
        <v>4725</v>
      </c>
      <c r="W97" s="6018">
        <v>4700</v>
      </c>
      <c r="X97" s="6019">
        <v>4750</v>
      </c>
      <c r="Y97" s="6018">
        <v>723</v>
      </c>
      <c r="Z97" s="6018">
        <v>1607</v>
      </c>
      <c r="AA97" s="6018">
        <v>1890</v>
      </c>
      <c r="AB97" s="6019">
        <v>2126</v>
      </c>
      <c r="AC97" s="6018">
        <v>723</v>
      </c>
      <c r="AD97" s="6018">
        <v>1607</v>
      </c>
      <c r="AE97" s="6018">
        <v>1890</v>
      </c>
      <c r="AF97" s="6019">
        <v>2126</v>
      </c>
    </row>
    <row r="98" spans="1:32" ht="13.5">
      <c r="A98" s="6018">
        <v>4750</v>
      </c>
      <c r="B98" s="6019">
        <v>4800</v>
      </c>
      <c r="C98" s="6020">
        <f t="shared" si="16"/>
        <v>731</v>
      </c>
      <c r="D98" s="6018">
        <f t="shared" si="17"/>
        <v>1624</v>
      </c>
      <c r="E98" s="6018">
        <f t="shared" si="18"/>
        <v>1910</v>
      </c>
      <c r="F98" s="6019">
        <f t="shared" si="19"/>
        <v>2149</v>
      </c>
      <c r="G98" s="6020">
        <f t="shared" si="12"/>
        <v>731</v>
      </c>
      <c r="H98" s="6018">
        <f t="shared" si="13"/>
        <v>1624</v>
      </c>
      <c r="I98" s="6018">
        <f t="shared" si="14"/>
        <v>1910</v>
      </c>
      <c r="J98" s="6019">
        <f t="shared" si="15"/>
        <v>2149</v>
      </c>
      <c r="K98" s="1732"/>
      <c r="L98" s="6018">
        <v>4775</v>
      </c>
      <c r="W98" s="6018">
        <v>4750</v>
      </c>
      <c r="X98" s="6019">
        <v>4800</v>
      </c>
      <c r="Y98" s="6018">
        <v>731</v>
      </c>
      <c r="Z98" s="6018">
        <v>1624</v>
      </c>
      <c r="AA98" s="6018">
        <v>1910</v>
      </c>
      <c r="AB98" s="6019">
        <v>2149</v>
      </c>
      <c r="AC98" s="6018">
        <v>731</v>
      </c>
      <c r="AD98" s="6018">
        <v>1624</v>
      </c>
      <c r="AE98" s="6018">
        <v>1910</v>
      </c>
      <c r="AF98" s="6019">
        <v>2149</v>
      </c>
    </row>
    <row r="99" spans="1:32" ht="13.5">
      <c r="A99" s="6018">
        <v>4800</v>
      </c>
      <c r="B99" s="6019">
        <v>4850</v>
      </c>
      <c r="C99" s="6020">
        <f t="shared" si="16"/>
        <v>738</v>
      </c>
      <c r="D99" s="6018">
        <f t="shared" si="17"/>
        <v>1641</v>
      </c>
      <c r="E99" s="6018">
        <f t="shared" si="18"/>
        <v>1930</v>
      </c>
      <c r="F99" s="6019">
        <f t="shared" si="19"/>
        <v>2171</v>
      </c>
      <c r="G99" s="6020">
        <f t="shared" si="12"/>
        <v>738</v>
      </c>
      <c r="H99" s="6018">
        <f t="shared" si="13"/>
        <v>1641</v>
      </c>
      <c r="I99" s="6018">
        <f t="shared" si="14"/>
        <v>1930</v>
      </c>
      <c r="J99" s="6019">
        <f t="shared" si="15"/>
        <v>2171</v>
      </c>
      <c r="K99" s="1732"/>
      <c r="L99" s="6018">
        <v>4825</v>
      </c>
      <c r="W99" s="6018">
        <v>4800</v>
      </c>
      <c r="X99" s="6019">
        <v>4850</v>
      </c>
      <c r="Y99" s="6018">
        <v>738</v>
      </c>
      <c r="Z99" s="6018">
        <v>1641</v>
      </c>
      <c r="AA99" s="6018">
        <v>1930</v>
      </c>
      <c r="AB99" s="6019">
        <v>2171</v>
      </c>
      <c r="AC99" s="6018">
        <v>738</v>
      </c>
      <c r="AD99" s="6018">
        <v>1641</v>
      </c>
      <c r="AE99" s="6018">
        <v>1930</v>
      </c>
      <c r="AF99" s="6019">
        <v>2171</v>
      </c>
    </row>
    <row r="100" spans="1:32" ht="13.5">
      <c r="A100" s="6018">
        <v>4850</v>
      </c>
      <c r="B100" s="6019">
        <v>4900</v>
      </c>
      <c r="C100" s="6020">
        <f t="shared" si="16"/>
        <v>746</v>
      </c>
      <c r="D100" s="6018">
        <f t="shared" si="17"/>
        <v>1658</v>
      </c>
      <c r="E100" s="6018">
        <f t="shared" si="18"/>
        <v>1950</v>
      </c>
      <c r="F100" s="6019">
        <f t="shared" si="19"/>
        <v>2194</v>
      </c>
      <c r="G100" s="6020">
        <f t="shared" si="12"/>
        <v>746</v>
      </c>
      <c r="H100" s="6018">
        <f t="shared" si="13"/>
        <v>1658</v>
      </c>
      <c r="I100" s="6018">
        <f t="shared" si="14"/>
        <v>1950</v>
      </c>
      <c r="J100" s="6019">
        <f t="shared" si="15"/>
        <v>2194</v>
      </c>
      <c r="K100" s="1732"/>
      <c r="L100" s="6018">
        <v>4875</v>
      </c>
      <c r="W100" s="6018">
        <v>4850</v>
      </c>
      <c r="X100" s="6019">
        <v>4900</v>
      </c>
      <c r="Y100" s="6018">
        <v>746</v>
      </c>
      <c r="Z100" s="6018">
        <v>1658</v>
      </c>
      <c r="AA100" s="6018">
        <v>1950</v>
      </c>
      <c r="AB100" s="6019">
        <v>2194</v>
      </c>
      <c r="AC100" s="6018">
        <v>746</v>
      </c>
      <c r="AD100" s="6018">
        <v>1658</v>
      </c>
      <c r="AE100" s="6018">
        <v>1950</v>
      </c>
      <c r="AF100" s="6019">
        <v>2194</v>
      </c>
    </row>
    <row r="101" spans="1:32" ht="13.5">
      <c r="A101" s="6018">
        <v>4900</v>
      </c>
      <c r="B101" s="6019">
        <v>4950</v>
      </c>
      <c r="C101" s="6020">
        <f t="shared" si="16"/>
        <v>754</v>
      </c>
      <c r="D101" s="6018">
        <f t="shared" si="17"/>
        <v>1675</v>
      </c>
      <c r="E101" s="6018">
        <f t="shared" si="18"/>
        <v>1970</v>
      </c>
      <c r="F101" s="6019">
        <f t="shared" si="19"/>
        <v>2216</v>
      </c>
      <c r="G101" s="6020">
        <f t="shared" si="12"/>
        <v>754</v>
      </c>
      <c r="H101" s="6018">
        <f t="shared" si="13"/>
        <v>1675</v>
      </c>
      <c r="I101" s="6018">
        <f t="shared" si="14"/>
        <v>1970</v>
      </c>
      <c r="J101" s="6019">
        <f t="shared" si="15"/>
        <v>2216</v>
      </c>
      <c r="K101" s="1732"/>
      <c r="L101" s="6018">
        <v>4925</v>
      </c>
      <c r="W101" s="6018">
        <v>4900</v>
      </c>
      <c r="X101" s="6019">
        <v>4950</v>
      </c>
      <c r="Y101" s="6018">
        <v>754</v>
      </c>
      <c r="Z101" s="6018">
        <v>1675</v>
      </c>
      <c r="AA101" s="6018">
        <v>1970</v>
      </c>
      <c r="AB101" s="6019">
        <v>2216</v>
      </c>
      <c r="AC101" s="6018">
        <v>754</v>
      </c>
      <c r="AD101" s="6018">
        <v>1675</v>
      </c>
      <c r="AE101" s="6018">
        <v>1970</v>
      </c>
      <c r="AF101" s="6019">
        <v>2216</v>
      </c>
    </row>
    <row r="102" spans="1:32" ht="13.5">
      <c r="A102" s="6018">
        <v>4950</v>
      </c>
      <c r="B102" s="6019">
        <v>5000</v>
      </c>
      <c r="C102" s="6020">
        <f t="shared" si="16"/>
        <v>761</v>
      </c>
      <c r="D102" s="6018">
        <f t="shared" si="17"/>
        <v>1692</v>
      </c>
      <c r="E102" s="6018">
        <f t="shared" si="18"/>
        <v>1990</v>
      </c>
      <c r="F102" s="6019">
        <f t="shared" si="19"/>
        <v>2239</v>
      </c>
      <c r="G102" s="6020">
        <f t="shared" si="12"/>
        <v>761</v>
      </c>
      <c r="H102" s="6018">
        <f t="shared" si="13"/>
        <v>1692</v>
      </c>
      <c r="I102" s="6018">
        <f t="shared" si="14"/>
        <v>1990</v>
      </c>
      <c r="J102" s="6019">
        <f t="shared" si="15"/>
        <v>2239</v>
      </c>
      <c r="K102" s="1732"/>
      <c r="L102" s="6018">
        <v>4975</v>
      </c>
      <c r="W102" s="6018">
        <v>4950</v>
      </c>
      <c r="X102" s="6019">
        <v>5000</v>
      </c>
      <c r="Y102" s="6018">
        <v>761</v>
      </c>
      <c r="Z102" s="6018">
        <v>1692</v>
      </c>
      <c r="AA102" s="6018">
        <v>1990</v>
      </c>
      <c r="AB102" s="6019">
        <v>2239</v>
      </c>
      <c r="AC102" s="6018">
        <v>761</v>
      </c>
      <c r="AD102" s="6018">
        <v>1692</v>
      </c>
      <c r="AE102" s="6018">
        <v>1990</v>
      </c>
      <c r="AF102" s="6019">
        <v>2239</v>
      </c>
    </row>
    <row r="103" spans="1:32" ht="13.5">
      <c r="A103" s="6018">
        <v>5000</v>
      </c>
      <c r="B103" s="6019">
        <v>5050</v>
      </c>
      <c r="C103" s="6020">
        <f t="shared" si="16"/>
        <v>769</v>
      </c>
      <c r="D103" s="6018">
        <f t="shared" si="17"/>
        <v>1709</v>
      </c>
      <c r="E103" s="6018">
        <f t="shared" si="18"/>
        <v>2010</v>
      </c>
      <c r="F103" s="6019">
        <f t="shared" si="19"/>
        <v>2261</v>
      </c>
      <c r="G103" s="6020">
        <f t="shared" si="12"/>
        <v>769</v>
      </c>
      <c r="H103" s="6018">
        <f t="shared" si="13"/>
        <v>1709</v>
      </c>
      <c r="I103" s="6018">
        <f t="shared" si="14"/>
        <v>2010</v>
      </c>
      <c r="J103" s="6019">
        <f t="shared" si="15"/>
        <v>2261</v>
      </c>
      <c r="K103" s="1732"/>
      <c r="L103" s="6018">
        <v>5025</v>
      </c>
      <c r="W103" s="6018">
        <v>5000</v>
      </c>
      <c r="X103" s="6019">
        <v>5050</v>
      </c>
      <c r="Y103" s="6018">
        <v>769</v>
      </c>
      <c r="Z103" s="6018">
        <v>1709</v>
      </c>
      <c r="AA103" s="6018">
        <v>2010</v>
      </c>
      <c r="AB103" s="6019">
        <v>2261</v>
      </c>
      <c r="AC103" s="6018">
        <v>769</v>
      </c>
      <c r="AD103" s="6018">
        <v>1709</v>
      </c>
      <c r="AE103" s="6018">
        <v>2010</v>
      </c>
      <c r="AF103" s="6019">
        <v>2261</v>
      </c>
    </row>
    <row r="104" spans="1:32" ht="13.5">
      <c r="A104" s="6018">
        <v>5050</v>
      </c>
      <c r="B104" s="6019">
        <v>5100</v>
      </c>
      <c r="C104" s="6020">
        <f t="shared" si="16"/>
        <v>776</v>
      </c>
      <c r="D104" s="6018">
        <f t="shared" si="17"/>
        <v>1726</v>
      </c>
      <c r="E104" s="6018">
        <f t="shared" si="18"/>
        <v>2030</v>
      </c>
      <c r="F104" s="6019">
        <f t="shared" si="19"/>
        <v>2284</v>
      </c>
      <c r="G104" s="6020">
        <f t="shared" si="12"/>
        <v>776</v>
      </c>
      <c r="H104" s="6018">
        <f t="shared" si="13"/>
        <v>1726</v>
      </c>
      <c r="I104" s="6018">
        <f t="shared" si="14"/>
        <v>2030</v>
      </c>
      <c r="J104" s="6019">
        <f t="shared" si="15"/>
        <v>2284</v>
      </c>
      <c r="K104" s="1732"/>
      <c r="L104" s="6018">
        <v>5075</v>
      </c>
      <c r="W104" s="6018">
        <v>5050</v>
      </c>
      <c r="X104" s="6019">
        <v>5100</v>
      </c>
      <c r="Y104" s="6018">
        <v>776</v>
      </c>
      <c r="Z104" s="6018">
        <v>1726</v>
      </c>
      <c r="AA104" s="6018">
        <v>2030</v>
      </c>
      <c r="AB104" s="6019">
        <v>2284</v>
      </c>
      <c r="AC104" s="6018">
        <v>776</v>
      </c>
      <c r="AD104" s="6018">
        <v>1726</v>
      </c>
      <c r="AE104" s="6018">
        <v>2030</v>
      </c>
      <c r="AF104" s="6019">
        <v>2284</v>
      </c>
    </row>
    <row r="105" spans="1:32" ht="13.5">
      <c r="A105" s="6018">
        <v>5100</v>
      </c>
      <c r="B105" s="6019">
        <v>5150</v>
      </c>
      <c r="C105" s="6020">
        <f t="shared" si="16"/>
        <v>784</v>
      </c>
      <c r="D105" s="6018">
        <f t="shared" si="17"/>
        <v>1743</v>
      </c>
      <c r="E105" s="6018">
        <f t="shared" si="18"/>
        <v>2050</v>
      </c>
      <c r="F105" s="6019">
        <f t="shared" si="19"/>
        <v>2306</v>
      </c>
      <c r="G105" s="6020">
        <f t="shared" si="12"/>
        <v>784</v>
      </c>
      <c r="H105" s="6018">
        <f t="shared" si="13"/>
        <v>1743</v>
      </c>
      <c r="I105" s="6018">
        <f t="shared" si="14"/>
        <v>2050</v>
      </c>
      <c r="J105" s="6019">
        <f t="shared" si="15"/>
        <v>2306</v>
      </c>
      <c r="K105" s="1732"/>
      <c r="L105" s="6018">
        <v>5125</v>
      </c>
      <c r="W105" s="6018">
        <v>5100</v>
      </c>
      <c r="X105" s="6019">
        <v>5150</v>
      </c>
      <c r="Y105" s="6018">
        <v>784</v>
      </c>
      <c r="Z105" s="6018">
        <v>1743</v>
      </c>
      <c r="AA105" s="6018">
        <v>2050</v>
      </c>
      <c r="AB105" s="6019">
        <v>2306</v>
      </c>
      <c r="AC105" s="6018">
        <v>784</v>
      </c>
      <c r="AD105" s="6018">
        <v>1743</v>
      </c>
      <c r="AE105" s="6018">
        <v>2050</v>
      </c>
      <c r="AF105" s="6019">
        <v>2306</v>
      </c>
    </row>
    <row r="106" spans="1:32" ht="13.5">
      <c r="A106" s="6018">
        <v>5150</v>
      </c>
      <c r="B106" s="6019">
        <v>5200</v>
      </c>
      <c r="C106" s="6020">
        <f t="shared" si="16"/>
        <v>792</v>
      </c>
      <c r="D106" s="6018">
        <f t="shared" si="17"/>
        <v>1760</v>
      </c>
      <c r="E106" s="6018">
        <f t="shared" si="18"/>
        <v>2070</v>
      </c>
      <c r="F106" s="6019">
        <f t="shared" si="19"/>
        <v>2329</v>
      </c>
      <c r="G106" s="6020">
        <f t="shared" si="12"/>
        <v>792</v>
      </c>
      <c r="H106" s="6018">
        <f t="shared" si="13"/>
        <v>1760</v>
      </c>
      <c r="I106" s="6018">
        <f t="shared" si="14"/>
        <v>2070</v>
      </c>
      <c r="J106" s="6019">
        <f t="shared" si="15"/>
        <v>2329</v>
      </c>
      <c r="K106" s="1732"/>
      <c r="L106" s="6018">
        <v>5175</v>
      </c>
      <c r="W106" s="6018">
        <v>5150</v>
      </c>
      <c r="X106" s="6019">
        <v>5200</v>
      </c>
      <c r="Y106" s="6018">
        <v>792</v>
      </c>
      <c r="Z106" s="6018">
        <v>1760</v>
      </c>
      <c r="AA106" s="6018">
        <v>2070</v>
      </c>
      <c r="AB106" s="6019">
        <v>2329</v>
      </c>
      <c r="AC106" s="6018">
        <v>792</v>
      </c>
      <c r="AD106" s="6018">
        <v>1760</v>
      </c>
      <c r="AE106" s="6018">
        <v>2070</v>
      </c>
      <c r="AF106" s="6019">
        <v>2329</v>
      </c>
    </row>
    <row r="107" spans="1:32" ht="13.5">
      <c r="A107" s="6018">
        <v>5200</v>
      </c>
      <c r="B107" s="6019">
        <v>5250</v>
      </c>
      <c r="C107" s="6020">
        <f t="shared" si="16"/>
        <v>799</v>
      </c>
      <c r="D107" s="6018">
        <f t="shared" si="17"/>
        <v>1777</v>
      </c>
      <c r="E107" s="6018">
        <f t="shared" si="18"/>
        <v>2090</v>
      </c>
      <c r="F107" s="6019">
        <f t="shared" si="19"/>
        <v>2351</v>
      </c>
      <c r="G107" s="6020">
        <f t="shared" si="12"/>
        <v>799</v>
      </c>
      <c r="H107" s="6018">
        <f t="shared" si="13"/>
        <v>1777</v>
      </c>
      <c r="I107" s="6018">
        <f t="shared" si="14"/>
        <v>2090</v>
      </c>
      <c r="J107" s="6019">
        <f t="shared" si="15"/>
        <v>2351</v>
      </c>
      <c r="K107" s="1732"/>
      <c r="L107" s="6018">
        <v>5225</v>
      </c>
      <c r="W107" s="6018">
        <v>5200</v>
      </c>
      <c r="X107" s="6019">
        <v>5250</v>
      </c>
      <c r="Y107" s="6018">
        <v>799</v>
      </c>
      <c r="Z107" s="6018">
        <v>1777</v>
      </c>
      <c r="AA107" s="6018">
        <v>2090</v>
      </c>
      <c r="AB107" s="6019">
        <v>2351</v>
      </c>
      <c r="AC107" s="6018">
        <v>799</v>
      </c>
      <c r="AD107" s="6018">
        <v>1777</v>
      </c>
      <c r="AE107" s="6018">
        <v>2090</v>
      </c>
      <c r="AF107" s="6019">
        <v>2351</v>
      </c>
    </row>
    <row r="108" spans="1:32" ht="13.5">
      <c r="A108" s="6018">
        <v>5250</v>
      </c>
      <c r="B108" s="6019">
        <v>5300</v>
      </c>
      <c r="C108" s="6020">
        <f t="shared" si="16"/>
        <v>807</v>
      </c>
      <c r="D108" s="6018">
        <f t="shared" si="17"/>
        <v>1794</v>
      </c>
      <c r="E108" s="6018">
        <f t="shared" si="18"/>
        <v>2110</v>
      </c>
      <c r="F108" s="6019">
        <f t="shared" si="19"/>
        <v>2374</v>
      </c>
      <c r="G108" s="6020">
        <f t="shared" si="12"/>
        <v>807</v>
      </c>
      <c r="H108" s="6018">
        <f t="shared" si="13"/>
        <v>1794</v>
      </c>
      <c r="I108" s="6018">
        <f t="shared" si="14"/>
        <v>2110</v>
      </c>
      <c r="J108" s="6019">
        <f t="shared" si="15"/>
        <v>2374</v>
      </c>
      <c r="K108" s="1732"/>
      <c r="L108" s="6018">
        <v>5275</v>
      </c>
      <c r="W108" s="6018">
        <v>5250</v>
      </c>
      <c r="X108" s="6019">
        <v>5300</v>
      </c>
      <c r="Y108" s="6018">
        <v>807</v>
      </c>
      <c r="Z108" s="6018">
        <v>1794</v>
      </c>
      <c r="AA108" s="6018">
        <v>2110</v>
      </c>
      <c r="AB108" s="6019">
        <v>2374</v>
      </c>
      <c r="AC108" s="6018">
        <v>807</v>
      </c>
      <c r="AD108" s="6018">
        <v>1794</v>
      </c>
      <c r="AE108" s="6018">
        <v>2110</v>
      </c>
      <c r="AF108" s="6019">
        <v>2374</v>
      </c>
    </row>
    <row r="109" spans="1:32" ht="13.5">
      <c r="A109" s="6018">
        <v>5300</v>
      </c>
      <c r="B109" s="6019">
        <v>5350</v>
      </c>
      <c r="C109" s="6020">
        <f t="shared" si="16"/>
        <v>815</v>
      </c>
      <c r="D109" s="6018">
        <f t="shared" si="17"/>
        <v>1811</v>
      </c>
      <c r="E109" s="6018">
        <f t="shared" si="18"/>
        <v>2130</v>
      </c>
      <c r="F109" s="6019">
        <f t="shared" si="19"/>
        <v>2396</v>
      </c>
      <c r="G109" s="6020">
        <f t="shared" si="12"/>
        <v>815</v>
      </c>
      <c r="H109" s="6018">
        <f t="shared" si="13"/>
        <v>1811</v>
      </c>
      <c r="I109" s="6018">
        <f t="shared" si="14"/>
        <v>2130</v>
      </c>
      <c r="J109" s="6019">
        <f t="shared" si="15"/>
        <v>2396</v>
      </c>
      <c r="K109" s="1732"/>
      <c r="L109" s="6018">
        <v>5325</v>
      </c>
      <c r="W109" s="6018">
        <v>5300</v>
      </c>
      <c r="X109" s="6019">
        <v>5350</v>
      </c>
      <c r="Y109" s="6018">
        <v>815</v>
      </c>
      <c r="Z109" s="6018">
        <v>1811</v>
      </c>
      <c r="AA109" s="6018">
        <v>2130</v>
      </c>
      <c r="AB109" s="6019">
        <v>2396</v>
      </c>
      <c r="AC109" s="6018">
        <v>815</v>
      </c>
      <c r="AD109" s="6018">
        <v>1811</v>
      </c>
      <c r="AE109" s="6018">
        <v>2130</v>
      </c>
      <c r="AF109" s="6019">
        <v>2396</v>
      </c>
    </row>
    <row r="110" spans="1:32" ht="13.5">
      <c r="A110" s="6018">
        <v>5350</v>
      </c>
      <c r="B110" s="6019">
        <v>5400</v>
      </c>
      <c r="C110" s="6020">
        <f t="shared" si="16"/>
        <v>822</v>
      </c>
      <c r="D110" s="6018">
        <f t="shared" si="17"/>
        <v>1828</v>
      </c>
      <c r="E110" s="6018">
        <f t="shared" si="18"/>
        <v>2150</v>
      </c>
      <c r="F110" s="6019">
        <f t="shared" si="19"/>
        <v>2419</v>
      </c>
      <c r="G110" s="6020">
        <f t="shared" si="12"/>
        <v>822</v>
      </c>
      <c r="H110" s="6018">
        <f t="shared" si="13"/>
        <v>1828</v>
      </c>
      <c r="I110" s="6018">
        <f t="shared" si="14"/>
        <v>2150</v>
      </c>
      <c r="J110" s="6019">
        <f t="shared" si="15"/>
        <v>2419</v>
      </c>
      <c r="K110" s="1732"/>
      <c r="L110" s="6018">
        <v>5375</v>
      </c>
      <c r="W110" s="6018">
        <v>5350</v>
      </c>
      <c r="X110" s="6019">
        <v>5400</v>
      </c>
      <c r="Y110" s="6018">
        <v>822</v>
      </c>
      <c r="Z110" s="6018">
        <v>1828</v>
      </c>
      <c r="AA110" s="6018">
        <v>2150</v>
      </c>
      <c r="AB110" s="6019">
        <v>2419</v>
      </c>
      <c r="AC110" s="6018">
        <v>822</v>
      </c>
      <c r="AD110" s="6018">
        <v>1828</v>
      </c>
      <c r="AE110" s="6018">
        <v>2150</v>
      </c>
      <c r="AF110" s="6019">
        <v>2419</v>
      </c>
    </row>
    <row r="111" spans="1:32" ht="13.5">
      <c r="A111" s="6018">
        <v>5400</v>
      </c>
      <c r="B111" s="6019">
        <v>5450</v>
      </c>
      <c r="C111" s="6020">
        <f t="shared" si="16"/>
        <v>830</v>
      </c>
      <c r="D111" s="6018">
        <f t="shared" si="17"/>
        <v>1845</v>
      </c>
      <c r="E111" s="6018">
        <f t="shared" si="18"/>
        <v>2170</v>
      </c>
      <c r="F111" s="6019">
        <f t="shared" si="19"/>
        <v>2441</v>
      </c>
      <c r="G111" s="6020">
        <f t="shared" si="12"/>
        <v>830</v>
      </c>
      <c r="H111" s="6018">
        <f t="shared" si="13"/>
        <v>1845</v>
      </c>
      <c r="I111" s="6018">
        <f t="shared" si="14"/>
        <v>2170</v>
      </c>
      <c r="J111" s="6019">
        <f t="shared" si="15"/>
        <v>2441</v>
      </c>
      <c r="K111" s="1732"/>
      <c r="L111" s="6018">
        <v>5425</v>
      </c>
      <c r="W111" s="6018">
        <v>5400</v>
      </c>
      <c r="X111" s="6019">
        <v>5450</v>
      </c>
      <c r="Y111" s="6018">
        <v>830</v>
      </c>
      <c r="Z111" s="6018">
        <v>1845</v>
      </c>
      <c r="AA111" s="6018">
        <v>2170</v>
      </c>
      <c r="AB111" s="6019">
        <v>2441</v>
      </c>
      <c r="AC111" s="6018">
        <v>830</v>
      </c>
      <c r="AD111" s="6018">
        <v>1845</v>
      </c>
      <c r="AE111" s="6018">
        <v>2170</v>
      </c>
      <c r="AF111" s="6019">
        <v>2441</v>
      </c>
    </row>
    <row r="112" spans="1:32" ht="13.5">
      <c r="A112" s="6018">
        <v>5450</v>
      </c>
      <c r="B112" s="6019">
        <v>5500</v>
      </c>
      <c r="C112" s="6020">
        <f t="shared" si="16"/>
        <v>838</v>
      </c>
      <c r="D112" s="6018">
        <f t="shared" si="17"/>
        <v>1862</v>
      </c>
      <c r="E112" s="6018">
        <f t="shared" si="18"/>
        <v>2190</v>
      </c>
      <c r="F112" s="6019">
        <f t="shared" si="19"/>
        <v>2464</v>
      </c>
      <c r="G112" s="6020">
        <f t="shared" si="12"/>
        <v>838</v>
      </c>
      <c r="H112" s="6018">
        <f t="shared" si="13"/>
        <v>1862</v>
      </c>
      <c r="I112" s="6018">
        <f t="shared" si="14"/>
        <v>2190</v>
      </c>
      <c r="J112" s="6019">
        <f t="shared" si="15"/>
        <v>2464</v>
      </c>
      <c r="K112" s="1732"/>
      <c r="L112" s="6018">
        <v>5475</v>
      </c>
      <c r="W112" s="6018">
        <v>5450</v>
      </c>
      <c r="X112" s="6019">
        <v>5500</v>
      </c>
      <c r="Y112" s="6018">
        <v>838</v>
      </c>
      <c r="Z112" s="6018">
        <v>1862</v>
      </c>
      <c r="AA112" s="6018">
        <v>2190</v>
      </c>
      <c r="AB112" s="6019">
        <v>2464</v>
      </c>
      <c r="AC112" s="6018">
        <v>838</v>
      </c>
      <c r="AD112" s="6018">
        <v>1862</v>
      </c>
      <c r="AE112" s="6018">
        <v>2190</v>
      </c>
      <c r="AF112" s="6019">
        <v>2464</v>
      </c>
    </row>
    <row r="113" spans="1:32" ht="13.5">
      <c r="A113" s="6018">
        <v>5500</v>
      </c>
      <c r="B113" s="6019">
        <v>5550</v>
      </c>
      <c r="C113" s="6020">
        <f t="shared" si="16"/>
        <v>845</v>
      </c>
      <c r="D113" s="6018">
        <f t="shared" si="17"/>
        <v>1879</v>
      </c>
      <c r="E113" s="6018">
        <f t="shared" si="18"/>
        <v>2210</v>
      </c>
      <c r="F113" s="6019">
        <f t="shared" si="19"/>
        <v>2486</v>
      </c>
      <c r="G113" s="6020">
        <f t="shared" si="12"/>
        <v>845</v>
      </c>
      <c r="H113" s="6018">
        <f t="shared" si="13"/>
        <v>1879</v>
      </c>
      <c r="I113" s="6018">
        <f t="shared" si="14"/>
        <v>2210</v>
      </c>
      <c r="J113" s="6019">
        <f t="shared" si="15"/>
        <v>2486</v>
      </c>
      <c r="K113" s="1732"/>
      <c r="L113" s="6018">
        <v>5525</v>
      </c>
      <c r="W113" s="6018">
        <v>5500</v>
      </c>
      <c r="X113" s="6019">
        <v>5550</v>
      </c>
      <c r="Y113" s="6018">
        <v>845</v>
      </c>
      <c r="Z113" s="6018">
        <v>1879</v>
      </c>
      <c r="AA113" s="6018">
        <v>2210</v>
      </c>
      <c r="AB113" s="6019">
        <v>2486</v>
      </c>
      <c r="AC113" s="6018">
        <v>845</v>
      </c>
      <c r="AD113" s="6018">
        <v>1879</v>
      </c>
      <c r="AE113" s="6018">
        <v>2210</v>
      </c>
      <c r="AF113" s="6019">
        <v>2486</v>
      </c>
    </row>
    <row r="114" spans="1:32" ht="13.5">
      <c r="A114" s="6018">
        <v>5550</v>
      </c>
      <c r="B114" s="6019">
        <v>5600</v>
      </c>
      <c r="C114" s="6020">
        <f t="shared" si="16"/>
        <v>853</v>
      </c>
      <c r="D114" s="6018">
        <f t="shared" si="17"/>
        <v>1896</v>
      </c>
      <c r="E114" s="6018">
        <f t="shared" si="18"/>
        <v>2230</v>
      </c>
      <c r="F114" s="6019">
        <f t="shared" si="19"/>
        <v>2509</v>
      </c>
      <c r="G114" s="6020">
        <f t="shared" si="12"/>
        <v>853</v>
      </c>
      <c r="H114" s="6018">
        <f t="shared" si="13"/>
        <v>1896</v>
      </c>
      <c r="I114" s="6018">
        <f t="shared" si="14"/>
        <v>2230</v>
      </c>
      <c r="J114" s="6019">
        <f t="shared" si="15"/>
        <v>2509</v>
      </c>
      <c r="K114" s="1732"/>
      <c r="L114" s="6018">
        <v>5575</v>
      </c>
      <c r="W114" s="6018">
        <v>5550</v>
      </c>
      <c r="X114" s="6019">
        <v>5600</v>
      </c>
      <c r="Y114" s="6018">
        <v>853</v>
      </c>
      <c r="Z114" s="6018">
        <v>1896</v>
      </c>
      <c r="AA114" s="6018">
        <v>2230</v>
      </c>
      <c r="AB114" s="6019">
        <v>2509</v>
      </c>
      <c r="AC114" s="6018">
        <v>853</v>
      </c>
      <c r="AD114" s="6018">
        <v>1896</v>
      </c>
      <c r="AE114" s="6018">
        <v>2230</v>
      </c>
      <c r="AF114" s="6019">
        <v>2509</v>
      </c>
    </row>
    <row r="115" spans="1:32" ht="13.5">
      <c r="A115" s="6018">
        <v>5600</v>
      </c>
      <c r="B115" s="6019">
        <v>5650</v>
      </c>
      <c r="C115" s="6020">
        <f t="shared" si="16"/>
        <v>861</v>
      </c>
      <c r="D115" s="6018">
        <f t="shared" si="17"/>
        <v>1913</v>
      </c>
      <c r="E115" s="6018">
        <f t="shared" si="18"/>
        <v>2250</v>
      </c>
      <c r="F115" s="6019">
        <f t="shared" si="19"/>
        <v>2531</v>
      </c>
      <c r="G115" s="6020">
        <f t="shared" si="12"/>
        <v>861</v>
      </c>
      <c r="H115" s="6018">
        <f t="shared" si="13"/>
        <v>1913</v>
      </c>
      <c r="I115" s="6018">
        <f t="shared" si="14"/>
        <v>2250</v>
      </c>
      <c r="J115" s="6019">
        <f t="shared" si="15"/>
        <v>2531</v>
      </c>
      <c r="K115" s="1732"/>
      <c r="L115" s="6018">
        <v>5625</v>
      </c>
      <c r="W115" s="6018">
        <v>5600</v>
      </c>
      <c r="X115" s="6019">
        <v>5650</v>
      </c>
      <c r="Y115" s="6018">
        <v>861</v>
      </c>
      <c r="Z115" s="6018">
        <v>1913</v>
      </c>
      <c r="AA115" s="6018">
        <v>2250</v>
      </c>
      <c r="AB115" s="6019">
        <v>2531</v>
      </c>
      <c r="AC115" s="6018">
        <v>861</v>
      </c>
      <c r="AD115" s="6018">
        <v>1913</v>
      </c>
      <c r="AE115" s="6018">
        <v>2250</v>
      </c>
      <c r="AF115" s="6019">
        <v>2531</v>
      </c>
    </row>
    <row r="116" spans="1:32" ht="13.5">
      <c r="A116" s="6018">
        <v>5650</v>
      </c>
      <c r="B116" s="6019">
        <v>5700</v>
      </c>
      <c r="C116" s="6020">
        <f t="shared" si="16"/>
        <v>868</v>
      </c>
      <c r="D116" s="6018">
        <f t="shared" si="17"/>
        <v>1930</v>
      </c>
      <c r="E116" s="6018">
        <f t="shared" si="18"/>
        <v>2270</v>
      </c>
      <c r="F116" s="6019">
        <f t="shared" si="19"/>
        <v>2554</v>
      </c>
      <c r="G116" s="6020">
        <f t="shared" si="12"/>
        <v>868</v>
      </c>
      <c r="H116" s="6018">
        <f t="shared" si="13"/>
        <v>1930</v>
      </c>
      <c r="I116" s="6018">
        <f t="shared" si="14"/>
        <v>2270</v>
      </c>
      <c r="J116" s="6019">
        <f t="shared" si="15"/>
        <v>2554</v>
      </c>
      <c r="K116" s="1732"/>
      <c r="L116" s="6018">
        <v>5675</v>
      </c>
      <c r="W116" s="6018">
        <v>5650</v>
      </c>
      <c r="X116" s="6019">
        <v>5700</v>
      </c>
      <c r="Y116" s="6018">
        <v>868</v>
      </c>
      <c r="Z116" s="6018">
        <v>1930</v>
      </c>
      <c r="AA116" s="6018">
        <v>2270</v>
      </c>
      <c r="AB116" s="6019">
        <v>2554</v>
      </c>
      <c r="AC116" s="6018">
        <v>868</v>
      </c>
      <c r="AD116" s="6018">
        <v>1930</v>
      </c>
      <c r="AE116" s="6018">
        <v>2270</v>
      </c>
      <c r="AF116" s="6019">
        <v>2554</v>
      </c>
    </row>
    <row r="117" spans="1:32" ht="13.5">
      <c r="A117" s="6018">
        <v>5700</v>
      </c>
      <c r="B117" s="6019">
        <v>5750</v>
      </c>
      <c r="C117" s="6020">
        <f t="shared" si="16"/>
        <v>876</v>
      </c>
      <c r="D117" s="6018">
        <f t="shared" si="17"/>
        <v>1947</v>
      </c>
      <c r="E117" s="6018">
        <f t="shared" si="18"/>
        <v>2290</v>
      </c>
      <c r="F117" s="6019">
        <f t="shared" si="19"/>
        <v>2576</v>
      </c>
      <c r="G117" s="6020">
        <f t="shared" si="12"/>
        <v>876</v>
      </c>
      <c r="H117" s="6018">
        <f t="shared" si="13"/>
        <v>1947</v>
      </c>
      <c r="I117" s="6018">
        <f t="shared" si="14"/>
        <v>2290</v>
      </c>
      <c r="J117" s="6019">
        <f t="shared" si="15"/>
        <v>2576</v>
      </c>
      <c r="K117" s="1732"/>
      <c r="L117" s="6018">
        <v>5725</v>
      </c>
      <c r="W117" s="6018">
        <v>5700</v>
      </c>
      <c r="X117" s="6019">
        <v>5750</v>
      </c>
      <c r="Y117" s="6018">
        <v>876</v>
      </c>
      <c r="Z117" s="6018">
        <v>1947</v>
      </c>
      <c r="AA117" s="6018">
        <v>2290</v>
      </c>
      <c r="AB117" s="6019">
        <v>2576</v>
      </c>
      <c r="AC117" s="6018">
        <v>876</v>
      </c>
      <c r="AD117" s="6018">
        <v>1947</v>
      </c>
      <c r="AE117" s="6018">
        <v>2290</v>
      </c>
      <c r="AF117" s="6019">
        <v>2576</v>
      </c>
    </row>
    <row r="118" spans="1:32" ht="13.5">
      <c r="A118" s="6018">
        <v>5750</v>
      </c>
      <c r="B118" s="6019">
        <v>5800</v>
      </c>
      <c r="C118" s="6020">
        <f t="shared" si="16"/>
        <v>884</v>
      </c>
      <c r="D118" s="6018">
        <f t="shared" si="17"/>
        <v>1964</v>
      </c>
      <c r="E118" s="6018">
        <f t="shared" si="18"/>
        <v>2310</v>
      </c>
      <c r="F118" s="6019">
        <f t="shared" si="19"/>
        <v>2599</v>
      </c>
      <c r="G118" s="6020">
        <f t="shared" si="12"/>
        <v>884</v>
      </c>
      <c r="H118" s="6018">
        <f t="shared" si="13"/>
        <v>1964</v>
      </c>
      <c r="I118" s="6018">
        <f t="shared" si="14"/>
        <v>2310</v>
      </c>
      <c r="J118" s="6019">
        <f t="shared" si="15"/>
        <v>2599</v>
      </c>
      <c r="K118" s="1732"/>
      <c r="L118" s="6018">
        <v>5775</v>
      </c>
      <c r="W118" s="6018">
        <v>5750</v>
      </c>
      <c r="X118" s="6019">
        <v>5800</v>
      </c>
      <c r="Y118" s="6018">
        <v>884</v>
      </c>
      <c r="Z118" s="6018">
        <v>1964</v>
      </c>
      <c r="AA118" s="6018">
        <v>2310</v>
      </c>
      <c r="AB118" s="6019">
        <v>2599</v>
      </c>
      <c r="AC118" s="6018">
        <v>884</v>
      </c>
      <c r="AD118" s="6018">
        <v>1964</v>
      </c>
      <c r="AE118" s="6018">
        <v>2310</v>
      </c>
      <c r="AF118" s="6019">
        <v>2599</v>
      </c>
    </row>
    <row r="119" spans="1:32" ht="13.5">
      <c r="A119" s="6018">
        <v>5800</v>
      </c>
      <c r="B119" s="6019">
        <v>5850</v>
      </c>
      <c r="C119" s="6020">
        <f t="shared" si="16"/>
        <v>891</v>
      </c>
      <c r="D119" s="6018">
        <f t="shared" si="17"/>
        <v>1981</v>
      </c>
      <c r="E119" s="6018">
        <f t="shared" si="18"/>
        <v>2330</v>
      </c>
      <c r="F119" s="6019">
        <f t="shared" si="19"/>
        <v>2621</v>
      </c>
      <c r="G119" s="6020">
        <f t="shared" si="12"/>
        <v>891</v>
      </c>
      <c r="H119" s="6018">
        <f t="shared" si="13"/>
        <v>1981</v>
      </c>
      <c r="I119" s="6018">
        <f t="shared" si="14"/>
        <v>2330</v>
      </c>
      <c r="J119" s="6019">
        <f t="shared" si="15"/>
        <v>2621</v>
      </c>
      <c r="K119" s="1732"/>
      <c r="L119" s="6018">
        <v>5825</v>
      </c>
      <c r="W119" s="6018">
        <v>5800</v>
      </c>
      <c r="X119" s="6019">
        <v>5850</v>
      </c>
      <c r="Y119" s="6018">
        <v>891</v>
      </c>
      <c r="Z119" s="6018">
        <v>1981</v>
      </c>
      <c r="AA119" s="6018">
        <v>2330</v>
      </c>
      <c r="AB119" s="6019">
        <v>2621</v>
      </c>
      <c r="AC119" s="6018">
        <v>891</v>
      </c>
      <c r="AD119" s="6018">
        <v>1981</v>
      </c>
      <c r="AE119" s="6018">
        <v>2330</v>
      </c>
      <c r="AF119" s="6019">
        <v>2621</v>
      </c>
    </row>
    <row r="120" spans="1:32" ht="13.5">
      <c r="A120" s="6018">
        <v>5850</v>
      </c>
      <c r="B120" s="6019">
        <v>5900</v>
      </c>
      <c r="C120" s="6020">
        <f t="shared" si="16"/>
        <v>899</v>
      </c>
      <c r="D120" s="6018">
        <f t="shared" si="17"/>
        <v>1998</v>
      </c>
      <c r="E120" s="6018">
        <f t="shared" si="18"/>
        <v>2350</v>
      </c>
      <c r="F120" s="6019">
        <f t="shared" si="19"/>
        <v>2644</v>
      </c>
      <c r="G120" s="6020">
        <f t="shared" si="12"/>
        <v>899</v>
      </c>
      <c r="H120" s="6018">
        <f t="shared" si="13"/>
        <v>1998</v>
      </c>
      <c r="I120" s="6018">
        <f t="shared" si="14"/>
        <v>2350</v>
      </c>
      <c r="J120" s="6019">
        <f t="shared" si="15"/>
        <v>2644</v>
      </c>
      <c r="K120" s="1732"/>
      <c r="L120" s="6018">
        <v>5875</v>
      </c>
      <c r="W120" s="6018">
        <v>5850</v>
      </c>
      <c r="X120" s="6019">
        <v>5900</v>
      </c>
      <c r="Y120" s="6018">
        <v>899</v>
      </c>
      <c r="Z120" s="6018">
        <v>1998</v>
      </c>
      <c r="AA120" s="6018">
        <v>2350</v>
      </c>
      <c r="AB120" s="6019">
        <v>2644</v>
      </c>
      <c r="AC120" s="6018">
        <v>899</v>
      </c>
      <c r="AD120" s="6018">
        <v>1998</v>
      </c>
      <c r="AE120" s="6018">
        <v>2350</v>
      </c>
      <c r="AF120" s="6019">
        <v>2644</v>
      </c>
    </row>
    <row r="121" spans="1:32" ht="13.5">
      <c r="A121" s="6018">
        <v>5900</v>
      </c>
      <c r="B121" s="6019">
        <v>5950</v>
      </c>
      <c r="C121" s="6020">
        <f t="shared" si="16"/>
        <v>907</v>
      </c>
      <c r="D121" s="6018">
        <f t="shared" si="17"/>
        <v>2015</v>
      </c>
      <c r="E121" s="6018">
        <f t="shared" si="18"/>
        <v>2370</v>
      </c>
      <c r="F121" s="6019">
        <f t="shared" si="19"/>
        <v>2666</v>
      </c>
      <c r="G121" s="6020">
        <f t="shared" si="12"/>
        <v>907</v>
      </c>
      <c r="H121" s="6018">
        <f t="shared" si="13"/>
        <v>2015</v>
      </c>
      <c r="I121" s="6018">
        <f t="shared" si="14"/>
        <v>2370</v>
      </c>
      <c r="J121" s="6019">
        <f t="shared" si="15"/>
        <v>2666</v>
      </c>
      <c r="K121" s="1732"/>
      <c r="L121" s="6018">
        <v>5925</v>
      </c>
      <c r="W121" s="6018">
        <v>5900</v>
      </c>
      <c r="X121" s="6019">
        <v>5950</v>
      </c>
      <c r="Y121" s="6018">
        <v>907</v>
      </c>
      <c r="Z121" s="6018">
        <v>2015</v>
      </c>
      <c r="AA121" s="6018">
        <v>2370</v>
      </c>
      <c r="AB121" s="6019">
        <v>2666</v>
      </c>
      <c r="AC121" s="6018">
        <v>907</v>
      </c>
      <c r="AD121" s="6018">
        <v>2015</v>
      </c>
      <c r="AE121" s="6018">
        <v>2370</v>
      </c>
      <c r="AF121" s="6019">
        <v>2666</v>
      </c>
    </row>
    <row r="122" spans="1:32" ht="13.5">
      <c r="A122" s="6018">
        <v>5950</v>
      </c>
      <c r="B122" s="6019">
        <v>6000</v>
      </c>
      <c r="C122" s="6020">
        <f t="shared" si="16"/>
        <v>914</v>
      </c>
      <c r="D122" s="6018">
        <f t="shared" si="17"/>
        <v>2032</v>
      </c>
      <c r="E122" s="6018">
        <f t="shared" si="18"/>
        <v>2390</v>
      </c>
      <c r="F122" s="6019">
        <f t="shared" si="19"/>
        <v>2689</v>
      </c>
      <c r="G122" s="6020">
        <f t="shared" si="12"/>
        <v>914</v>
      </c>
      <c r="H122" s="6018">
        <f t="shared" si="13"/>
        <v>2032</v>
      </c>
      <c r="I122" s="6018">
        <f t="shared" si="14"/>
        <v>2390</v>
      </c>
      <c r="J122" s="6019">
        <f t="shared" si="15"/>
        <v>2689</v>
      </c>
      <c r="K122" s="1732"/>
      <c r="L122" s="6018">
        <v>5975</v>
      </c>
      <c r="W122" s="6018">
        <v>5950</v>
      </c>
      <c r="X122" s="6019">
        <v>6000</v>
      </c>
      <c r="Y122" s="6018">
        <v>914</v>
      </c>
      <c r="Z122" s="6018">
        <v>2032</v>
      </c>
      <c r="AA122" s="6018">
        <v>2390</v>
      </c>
      <c r="AB122" s="6019">
        <v>2689</v>
      </c>
      <c r="AC122" s="6018">
        <v>914</v>
      </c>
      <c r="AD122" s="6018">
        <v>2032</v>
      </c>
      <c r="AE122" s="6018">
        <v>2390</v>
      </c>
      <c r="AF122" s="6019">
        <v>2689</v>
      </c>
    </row>
    <row r="123" spans="1:32" ht="13.5">
      <c r="A123" s="6018">
        <v>6000</v>
      </c>
      <c r="B123" s="6019">
        <v>6050</v>
      </c>
      <c r="C123" s="6020">
        <f t="shared" si="16"/>
        <v>922</v>
      </c>
      <c r="D123" s="6018">
        <f t="shared" si="17"/>
        <v>2049</v>
      </c>
      <c r="E123" s="6018">
        <f t="shared" si="18"/>
        <v>2410</v>
      </c>
      <c r="F123" s="6019">
        <f t="shared" si="19"/>
        <v>2711</v>
      </c>
      <c r="G123" s="6020">
        <f t="shared" si="12"/>
        <v>922</v>
      </c>
      <c r="H123" s="6018">
        <f t="shared" si="13"/>
        <v>2049</v>
      </c>
      <c r="I123" s="6018">
        <f t="shared" si="14"/>
        <v>2410</v>
      </c>
      <c r="J123" s="6019">
        <f t="shared" si="15"/>
        <v>2711</v>
      </c>
      <c r="K123" s="1732"/>
      <c r="L123" s="6018">
        <v>6025</v>
      </c>
      <c r="W123" s="6018">
        <v>6000</v>
      </c>
      <c r="X123" s="6019">
        <v>6050</v>
      </c>
      <c r="Y123" s="6018">
        <v>922</v>
      </c>
      <c r="Z123" s="6018">
        <v>2049</v>
      </c>
      <c r="AA123" s="6018">
        <v>2410</v>
      </c>
      <c r="AB123" s="6019">
        <v>2711</v>
      </c>
      <c r="AC123" s="6018">
        <v>922</v>
      </c>
      <c r="AD123" s="6018">
        <v>2049</v>
      </c>
      <c r="AE123" s="6018">
        <v>2410</v>
      </c>
      <c r="AF123" s="6019">
        <v>2711</v>
      </c>
    </row>
    <row r="124" spans="1:32" ht="13.5">
      <c r="A124" s="6018">
        <v>6050</v>
      </c>
      <c r="B124" s="6019">
        <v>6100</v>
      </c>
      <c r="C124" s="6020">
        <f t="shared" si="16"/>
        <v>929</v>
      </c>
      <c r="D124" s="6018">
        <f t="shared" si="17"/>
        <v>2066</v>
      </c>
      <c r="E124" s="6018">
        <f t="shared" si="18"/>
        <v>2430</v>
      </c>
      <c r="F124" s="6019">
        <f t="shared" si="19"/>
        <v>2734</v>
      </c>
      <c r="G124" s="6020">
        <f t="shared" si="12"/>
        <v>929</v>
      </c>
      <c r="H124" s="6018">
        <f t="shared" si="13"/>
        <v>2066</v>
      </c>
      <c r="I124" s="6018">
        <f t="shared" si="14"/>
        <v>2430</v>
      </c>
      <c r="J124" s="6019">
        <f t="shared" si="15"/>
        <v>2734</v>
      </c>
      <c r="K124" s="1732"/>
      <c r="L124" s="6018">
        <v>6075</v>
      </c>
      <c r="W124" s="6018">
        <v>6050</v>
      </c>
      <c r="X124" s="6019">
        <v>6100</v>
      </c>
      <c r="Y124" s="6018">
        <v>929</v>
      </c>
      <c r="Z124" s="6018">
        <v>2066</v>
      </c>
      <c r="AA124" s="6018">
        <v>2430</v>
      </c>
      <c r="AB124" s="6019">
        <v>2734</v>
      </c>
      <c r="AC124" s="6018">
        <v>929</v>
      </c>
      <c r="AD124" s="6018">
        <v>2066</v>
      </c>
      <c r="AE124" s="6018">
        <v>2430</v>
      </c>
      <c r="AF124" s="6019">
        <v>2734</v>
      </c>
    </row>
    <row r="125" spans="1:32" ht="13.5">
      <c r="A125" s="6018">
        <v>6100</v>
      </c>
      <c r="B125" s="6019">
        <v>6150</v>
      </c>
      <c r="C125" s="6020">
        <f t="shared" si="16"/>
        <v>937</v>
      </c>
      <c r="D125" s="6018">
        <f t="shared" si="17"/>
        <v>2083</v>
      </c>
      <c r="E125" s="6018">
        <f t="shared" si="18"/>
        <v>2450</v>
      </c>
      <c r="F125" s="6019">
        <f t="shared" si="19"/>
        <v>2756</v>
      </c>
      <c r="G125" s="6020">
        <f t="shared" si="12"/>
        <v>937</v>
      </c>
      <c r="H125" s="6018">
        <f t="shared" si="13"/>
        <v>2083</v>
      </c>
      <c r="I125" s="6018">
        <f t="shared" si="14"/>
        <v>2450</v>
      </c>
      <c r="J125" s="6019">
        <f t="shared" si="15"/>
        <v>2756</v>
      </c>
      <c r="K125" s="1732"/>
      <c r="L125" s="6018">
        <v>6125</v>
      </c>
      <c r="W125" s="6018">
        <v>6100</v>
      </c>
      <c r="X125" s="6019">
        <v>6150</v>
      </c>
      <c r="Y125" s="6018">
        <v>937</v>
      </c>
      <c r="Z125" s="6018">
        <v>2083</v>
      </c>
      <c r="AA125" s="6018">
        <v>2450</v>
      </c>
      <c r="AB125" s="6019">
        <v>2756</v>
      </c>
      <c r="AC125" s="6018">
        <v>937</v>
      </c>
      <c r="AD125" s="6018">
        <v>2083</v>
      </c>
      <c r="AE125" s="6018">
        <v>2450</v>
      </c>
      <c r="AF125" s="6019">
        <v>2756</v>
      </c>
    </row>
    <row r="126" spans="1:32" ht="13.5">
      <c r="A126" s="6018">
        <v>6150</v>
      </c>
      <c r="B126" s="6019">
        <v>6200</v>
      </c>
      <c r="C126" s="6020">
        <f t="shared" si="16"/>
        <v>945</v>
      </c>
      <c r="D126" s="6018">
        <f t="shared" si="17"/>
        <v>2100</v>
      </c>
      <c r="E126" s="6018">
        <f t="shared" si="18"/>
        <v>2470</v>
      </c>
      <c r="F126" s="6019">
        <f t="shared" si="19"/>
        <v>2779</v>
      </c>
      <c r="G126" s="6020">
        <f t="shared" si="12"/>
        <v>945</v>
      </c>
      <c r="H126" s="6018">
        <f t="shared" si="13"/>
        <v>2100</v>
      </c>
      <c r="I126" s="6018">
        <f t="shared" si="14"/>
        <v>2470</v>
      </c>
      <c r="J126" s="6019">
        <f t="shared" si="15"/>
        <v>2779</v>
      </c>
      <c r="K126" s="1732"/>
      <c r="L126" s="6018">
        <v>6175</v>
      </c>
      <c r="W126" s="6018">
        <v>6150</v>
      </c>
      <c r="X126" s="6019">
        <v>6200</v>
      </c>
      <c r="Y126" s="6018">
        <v>945</v>
      </c>
      <c r="Z126" s="6018">
        <v>2100</v>
      </c>
      <c r="AA126" s="6018">
        <v>2470</v>
      </c>
      <c r="AB126" s="6019">
        <v>2779</v>
      </c>
      <c r="AC126" s="6018">
        <v>945</v>
      </c>
      <c r="AD126" s="6018">
        <v>2100</v>
      </c>
      <c r="AE126" s="6018">
        <v>2470</v>
      </c>
      <c r="AF126" s="6019">
        <v>2779</v>
      </c>
    </row>
    <row r="127" spans="1:32" ht="13.5">
      <c r="A127" s="6018">
        <v>6200</v>
      </c>
      <c r="B127" s="6019">
        <v>6250</v>
      </c>
      <c r="C127" s="6020">
        <f t="shared" si="16"/>
        <v>952</v>
      </c>
      <c r="D127" s="6018">
        <f t="shared" si="17"/>
        <v>2117</v>
      </c>
      <c r="E127" s="6018">
        <f t="shared" si="18"/>
        <v>2490</v>
      </c>
      <c r="F127" s="6019">
        <f t="shared" si="19"/>
        <v>2801</v>
      </c>
      <c r="G127" s="6020">
        <f t="shared" si="12"/>
        <v>952</v>
      </c>
      <c r="H127" s="6018">
        <f t="shared" si="13"/>
        <v>2117</v>
      </c>
      <c r="I127" s="6018">
        <f t="shared" si="14"/>
        <v>2490</v>
      </c>
      <c r="J127" s="6019">
        <f t="shared" si="15"/>
        <v>2801</v>
      </c>
      <c r="K127" s="1732"/>
      <c r="L127" s="6018">
        <v>6225</v>
      </c>
      <c r="W127" s="6018">
        <v>6200</v>
      </c>
      <c r="X127" s="6019">
        <v>6250</v>
      </c>
      <c r="Y127" s="6018">
        <v>952</v>
      </c>
      <c r="Z127" s="6018">
        <v>2117</v>
      </c>
      <c r="AA127" s="6018">
        <v>2490</v>
      </c>
      <c r="AB127" s="6019">
        <v>2801</v>
      </c>
      <c r="AC127" s="6018">
        <v>952</v>
      </c>
      <c r="AD127" s="6018">
        <v>2117</v>
      </c>
      <c r="AE127" s="6018">
        <v>2490</v>
      </c>
      <c r="AF127" s="6019">
        <v>2801</v>
      </c>
    </row>
    <row r="128" spans="1:32" ht="13.5">
      <c r="A128" s="6018">
        <v>6250</v>
      </c>
      <c r="B128" s="6019">
        <v>6300</v>
      </c>
      <c r="C128" s="6020">
        <f t="shared" si="16"/>
        <v>960</v>
      </c>
      <c r="D128" s="6018">
        <f t="shared" si="17"/>
        <v>2134</v>
      </c>
      <c r="E128" s="6018">
        <f t="shared" si="18"/>
        <v>2510</v>
      </c>
      <c r="F128" s="6019">
        <f t="shared" si="19"/>
        <v>2824</v>
      </c>
      <c r="G128" s="6020">
        <f t="shared" si="12"/>
        <v>960</v>
      </c>
      <c r="H128" s="6018">
        <f t="shared" si="13"/>
        <v>2134</v>
      </c>
      <c r="I128" s="6018">
        <f t="shared" si="14"/>
        <v>2510</v>
      </c>
      <c r="J128" s="6019">
        <f t="shared" si="15"/>
        <v>2824</v>
      </c>
      <c r="K128" s="1732"/>
      <c r="L128" s="6018">
        <v>6275</v>
      </c>
      <c r="W128" s="6018">
        <v>6250</v>
      </c>
      <c r="X128" s="6019">
        <v>6300</v>
      </c>
      <c r="Y128" s="6018">
        <v>960</v>
      </c>
      <c r="Z128" s="6018">
        <v>2134</v>
      </c>
      <c r="AA128" s="6018">
        <v>2510</v>
      </c>
      <c r="AB128" s="6019">
        <v>2824</v>
      </c>
      <c r="AC128" s="6018">
        <v>960</v>
      </c>
      <c r="AD128" s="6018">
        <v>2134</v>
      </c>
      <c r="AE128" s="6018">
        <v>2510</v>
      </c>
      <c r="AF128" s="6019">
        <v>2824</v>
      </c>
    </row>
    <row r="129" spans="1:32" ht="13.5">
      <c r="A129" s="6018">
        <v>6300</v>
      </c>
      <c r="B129" s="6019">
        <v>6350</v>
      </c>
      <c r="C129" s="6020">
        <f t="shared" si="16"/>
        <v>968</v>
      </c>
      <c r="D129" s="6018">
        <f t="shared" si="17"/>
        <v>2151</v>
      </c>
      <c r="E129" s="6018">
        <f t="shared" si="18"/>
        <v>2530</v>
      </c>
      <c r="F129" s="6019">
        <f t="shared" si="19"/>
        <v>2846</v>
      </c>
      <c r="G129" s="6020">
        <f t="shared" si="12"/>
        <v>968</v>
      </c>
      <c r="H129" s="6018">
        <f t="shared" si="13"/>
        <v>2151</v>
      </c>
      <c r="I129" s="6018">
        <f t="shared" si="14"/>
        <v>2530</v>
      </c>
      <c r="J129" s="6019">
        <f t="shared" si="15"/>
        <v>2846</v>
      </c>
      <c r="K129" s="1732"/>
      <c r="L129" s="6018">
        <v>6325</v>
      </c>
      <c r="W129" s="6018">
        <v>6300</v>
      </c>
      <c r="X129" s="6019">
        <v>6350</v>
      </c>
      <c r="Y129" s="6018">
        <v>968</v>
      </c>
      <c r="Z129" s="6018">
        <v>2151</v>
      </c>
      <c r="AA129" s="6018">
        <v>2530</v>
      </c>
      <c r="AB129" s="6019">
        <v>2846</v>
      </c>
      <c r="AC129" s="6018">
        <v>968</v>
      </c>
      <c r="AD129" s="6018">
        <v>2151</v>
      </c>
      <c r="AE129" s="6018">
        <v>2530</v>
      </c>
      <c r="AF129" s="6019">
        <v>2846</v>
      </c>
    </row>
    <row r="130" spans="1:32" ht="13.5">
      <c r="A130" s="6018">
        <v>6350</v>
      </c>
      <c r="B130" s="6019">
        <v>6400</v>
      </c>
      <c r="C130" s="6020">
        <f t="shared" si="16"/>
        <v>975</v>
      </c>
      <c r="D130" s="6018">
        <f t="shared" si="17"/>
        <v>2168</v>
      </c>
      <c r="E130" s="6018">
        <f t="shared" si="18"/>
        <v>2550</v>
      </c>
      <c r="F130" s="6019">
        <f t="shared" si="19"/>
        <v>2869</v>
      </c>
      <c r="G130" s="6020">
        <f t="shared" si="12"/>
        <v>975</v>
      </c>
      <c r="H130" s="6018">
        <f t="shared" si="13"/>
        <v>2168</v>
      </c>
      <c r="I130" s="6018">
        <f t="shared" si="14"/>
        <v>2550</v>
      </c>
      <c r="J130" s="6019">
        <f t="shared" si="15"/>
        <v>2869</v>
      </c>
      <c r="K130" s="1732"/>
      <c r="L130" s="6018">
        <v>6375</v>
      </c>
      <c r="W130" s="6018">
        <v>6350</v>
      </c>
      <c r="X130" s="6019">
        <v>6400</v>
      </c>
      <c r="Y130" s="6018">
        <v>975</v>
      </c>
      <c r="Z130" s="6018">
        <v>2168</v>
      </c>
      <c r="AA130" s="6018">
        <v>2550</v>
      </c>
      <c r="AB130" s="6019">
        <v>2869</v>
      </c>
      <c r="AC130" s="6018">
        <v>975</v>
      </c>
      <c r="AD130" s="6018">
        <v>2168</v>
      </c>
      <c r="AE130" s="6018">
        <v>2550</v>
      </c>
      <c r="AF130" s="6019">
        <v>2869</v>
      </c>
    </row>
    <row r="131" spans="1:32" ht="13.5">
      <c r="A131" s="6018">
        <v>6400</v>
      </c>
      <c r="B131" s="6019">
        <v>6450</v>
      </c>
      <c r="C131" s="6020">
        <f t="shared" si="16"/>
        <v>983</v>
      </c>
      <c r="D131" s="6018">
        <f t="shared" si="17"/>
        <v>2185</v>
      </c>
      <c r="E131" s="6018">
        <f t="shared" si="18"/>
        <v>2570</v>
      </c>
      <c r="F131" s="6019">
        <f t="shared" si="19"/>
        <v>2891</v>
      </c>
      <c r="G131" s="6020">
        <f t="shared" si="12"/>
        <v>983</v>
      </c>
      <c r="H131" s="6018">
        <f t="shared" si="13"/>
        <v>2185</v>
      </c>
      <c r="I131" s="6018">
        <f t="shared" si="14"/>
        <v>2570</v>
      </c>
      <c r="J131" s="6019">
        <f t="shared" si="15"/>
        <v>2891</v>
      </c>
      <c r="K131" s="1732"/>
      <c r="L131" s="6018">
        <v>6425</v>
      </c>
      <c r="W131" s="6018">
        <v>6400</v>
      </c>
      <c r="X131" s="6019">
        <v>6450</v>
      </c>
      <c r="Y131" s="6018">
        <v>983</v>
      </c>
      <c r="Z131" s="6018">
        <v>2185</v>
      </c>
      <c r="AA131" s="6018">
        <v>2570</v>
      </c>
      <c r="AB131" s="6019">
        <v>2891</v>
      </c>
      <c r="AC131" s="6018">
        <v>983</v>
      </c>
      <c r="AD131" s="6018">
        <v>2185</v>
      </c>
      <c r="AE131" s="6018">
        <v>2570</v>
      </c>
      <c r="AF131" s="6019">
        <v>2891</v>
      </c>
    </row>
    <row r="132" spans="1:32" ht="13.5">
      <c r="A132" s="6018">
        <v>6450</v>
      </c>
      <c r="B132" s="6019">
        <v>6500</v>
      </c>
      <c r="C132" s="6020">
        <f t="shared" si="16"/>
        <v>991</v>
      </c>
      <c r="D132" s="6018">
        <f t="shared" si="17"/>
        <v>2202</v>
      </c>
      <c r="E132" s="6018">
        <f t="shared" si="18"/>
        <v>2590</v>
      </c>
      <c r="F132" s="6019">
        <f t="shared" si="19"/>
        <v>2914</v>
      </c>
      <c r="G132" s="6020">
        <f t="shared" ref="G132:G195" si="20">IF($L132&gt;R$5,MAX(0,R$3+ROUND((R$9*($L132-R$5)),0)),IF($L132&gt;R$4,R$3,ROUND($L132*R$7,0)))</f>
        <v>991</v>
      </c>
      <c r="H132" s="6018">
        <f t="shared" ref="H132:H195" si="21">IF($L132&gt;S$5,MAX(0,S$3+ROUND((S$9*($L132-S$5)),0)),IF($L132&gt;S$4,S$3,ROUND($L132*S$7,0)))</f>
        <v>2202</v>
      </c>
      <c r="I132" s="6018">
        <f t="shared" ref="I132:I195" si="22">IF($L132&gt;T$5,MAX(0,T$3+ROUND((T$9*($L132-T$5)),0)),IF($L132&gt;T$4,T$3,ROUND($L132*T$7,0)))</f>
        <v>2590</v>
      </c>
      <c r="J132" s="6019">
        <f t="shared" ref="J132:J195" si="23">IF($L132&gt;U$5,MAX(0,U$3+ROUND((U$9*($L132-U$5)),0)),IF($L132&gt;U$4,U$3,ROUND($L132*U$7,0)))</f>
        <v>2914</v>
      </c>
      <c r="K132" s="1732"/>
      <c r="L132" s="6018">
        <v>6475</v>
      </c>
      <c r="W132" s="6018">
        <v>6450</v>
      </c>
      <c r="X132" s="6019">
        <v>6500</v>
      </c>
      <c r="Y132" s="6018">
        <v>991</v>
      </c>
      <c r="Z132" s="6018">
        <v>2202</v>
      </c>
      <c r="AA132" s="6018">
        <v>2590</v>
      </c>
      <c r="AB132" s="6019">
        <v>2914</v>
      </c>
      <c r="AC132" s="6018">
        <v>991</v>
      </c>
      <c r="AD132" s="6018">
        <v>2202</v>
      </c>
      <c r="AE132" s="6018">
        <v>2590</v>
      </c>
      <c r="AF132" s="6019">
        <v>2914</v>
      </c>
    </row>
    <row r="133" spans="1:32" ht="13.5">
      <c r="A133" s="6018">
        <v>6500</v>
      </c>
      <c r="B133" s="6019">
        <v>6550</v>
      </c>
      <c r="C133" s="6020">
        <f t="shared" si="16"/>
        <v>998</v>
      </c>
      <c r="D133" s="6018">
        <f t="shared" si="17"/>
        <v>2219</v>
      </c>
      <c r="E133" s="6018">
        <f t="shared" si="18"/>
        <v>2610</v>
      </c>
      <c r="F133" s="6019">
        <f t="shared" si="19"/>
        <v>2936</v>
      </c>
      <c r="G133" s="6020">
        <f t="shared" si="20"/>
        <v>998</v>
      </c>
      <c r="H133" s="6018">
        <f t="shared" si="21"/>
        <v>2219</v>
      </c>
      <c r="I133" s="6018">
        <f t="shared" si="22"/>
        <v>2610</v>
      </c>
      <c r="J133" s="6019">
        <f t="shared" si="23"/>
        <v>2936</v>
      </c>
      <c r="K133" s="1732"/>
      <c r="L133" s="6018">
        <v>6525</v>
      </c>
      <c r="W133" s="6018">
        <v>6500</v>
      </c>
      <c r="X133" s="6019">
        <v>6550</v>
      </c>
      <c r="Y133" s="6018">
        <v>998</v>
      </c>
      <c r="Z133" s="6018">
        <v>2219</v>
      </c>
      <c r="AA133" s="6018">
        <v>2610</v>
      </c>
      <c r="AB133" s="6019">
        <v>2936</v>
      </c>
      <c r="AC133" s="6018">
        <v>998</v>
      </c>
      <c r="AD133" s="6018">
        <v>2219</v>
      </c>
      <c r="AE133" s="6018">
        <v>2610</v>
      </c>
      <c r="AF133" s="6019">
        <v>2936</v>
      </c>
    </row>
    <row r="134" spans="1:32" ht="13.5">
      <c r="A134" s="6018">
        <v>6550</v>
      </c>
      <c r="B134" s="6019">
        <v>6600</v>
      </c>
      <c r="C134" s="6020">
        <f t="shared" ref="C134:C197" si="24">IF($L134&gt;N$5,MAX(0,N$3+ROUND((N$9*($L134-N$5)),0)),IF($L134&gt;N$4,N$3,ROUND($L134*N$7,0)))</f>
        <v>1006</v>
      </c>
      <c r="D134" s="6018">
        <f t="shared" ref="D134:D197" si="25">IF($L134&gt;O$5,MAX(0,O$3+ROUND((O$9*($L134-O$5)),0)),IF($L134&gt;O$4,O$3,ROUND($L134*O$7,0)))</f>
        <v>2236</v>
      </c>
      <c r="E134" s="6018">
        <f t="shared" ref="E134:E197" si="26">IF($L134&gt;P$5,MAX(0,P$3+ROUND((P$9*($L134-P$5)),0)),IF($L134&gt;P$4,P$3,ROUND($L134*P$7,0)))</f>
        <v>2630</v>
      </c>
      <c r="F134" s="6019">
        <f t="shared" ref="F134:F197" si="27">IF($L134&gt;Q$5,MAX(0,Q$3+ROUND((Q$9*($L134-Q$5)),0)),IF($L134&gt;Q$4,Q$3,ROUND($L134*Q$7,0)))</f>
        <v>2959</v>
      </c>
      <c r="G134" s="6020">
        <f t="shared" si="20"/>
        <v>1006</v>
      </c>
      <c r="H134" s="6018">
        <f t="shared" si="21"/>
        <v>2236</v>
      </c>
      <c r="I134" s="6018">
        <f t="shared" si="22"/>
        <v>2630</v>
      </c>
      <c r="J134" s="6019">
        <f t="shared" si="23"/>
        <v>2959</v>
      </c>
      <c r="K134" s="1732"/>
      <c r="L134" s="6018">
        <v>6575</v>
      </c>
      <c r="W134" s="6018">
        <v>6550</v>
      </c>
      <c r="X134" s="6019">
        <v>6600</v>
      </c>
      <c r="Y134" s="6018">
        <v>1006</v>
      </c>
      <c r="Z134" s="6018">
        <v>2236</v>
      </c>
      <c r="AA134" s="6018">
        <v>2630</v>
      </c>
      <c r="AB134" s="6019">
        <v>2959</v>
      </c>
      <c r="AC134" s="6018">
        <v>1006</v>
      </c>
      <c r="AD134" s="6018">
        <v>2236</v>
      </c>
      <c r="AE134" s="6018">
        <v>2630</v>
      </c>
      <c r="AF134" s="6019">
        <v>2959</v>
      </c>
    </row>
    <row r="135" spans="1:32" ht="13.5">
      <c r="A135" s="6018">
        <v>6600</v>
      </c>
      <c r="B135" s="6019">
        <v>6650</v>
      </c>
      <c r="C135" s="6020">
        <f t="shared" si="24"/>
        <v>1014</v>
      </c>
      <c r="D135" s="6018">
        <f t="shared" si="25"/>
        <v>2253</v>
      </c>
      <c r="E135" s="6018">
        <f t="shared" si="26"/>
        <v>2650</v>
      </c>
      <c r="F135" s="6019">
        <f t="shared" si="27"/>
        <v>2981</v>
      </c>
      <c r="G135" s="6020">
        <f t="shared" si="20"/>
        <v>1014</v>
      </c>
      <c r="H135" s="6018">
        <f t="shared" si="21"/>
        <v>2253</v>
      </c>
      <c r="I135" s="6018">
        <f t="shared" si="22"/>
        <v>2650</v>
      </c>
      <c r="J135" s="6019">
        <f t="shared" si="23"/>
        <v>2981</v>
      </c>
      <c r="K135" s="1732"/>
      <c r="L135" s="6018">
        <v>6625</v>
      </c>
      <c r="W135" s="6018">
        <v>6600</v>
      </c>
      <c r="X135" s="6019">
        <v>6650</v>
      </c>
      <c r="Y135" s="6018">
        <v>1014</v>
      </c>
      <c r="Z135" s="6018">
        <v>2253</v>
      </c>
      <c r="AA135" s="6018">
        <v>2650</v>
      </c>
      <c r="AB135" s="6019">
        <v>2981</v>
      </c>
      <c r="AC135" s="6018">
        <v>1014</v>
      </c>
      <c r="AD135" s="6018">
        <v>2253</v>
      </c>
      <c r="AE135" s="6018">
        <v>2650</v>
      </c>
      <c r="AF135" s="6019">
        <v>2981</v>
      </c>
    </row>
    <row r="136" spans="1:32" ht="13.5">
      <c r="A136" s="6018">
        <v>6650</v>
      </c>
      <c r="B136" s="6019">
        <v>6700</v>
      </c>
      <c r="C136" s="6020">
        <f t="shared" si="24"/>
        <v>1021</v>
      </c>
      <c r="D136" s="6018">
        <f t="shared" si="25"/>
        <v>2270</v>
      </c>
      <c r="E136" s="6018">
        <f t="shared" si="26"/>
        <v>2670</v>
      </c>
      <c r="F136" s="6019">
        <f t="shared" si="27"/>
        <v>3004</v>
      </c>
      <c r="G136" s="6020">
        <f t="shared" si="20"/>
        <v>1021</v>
      </c>
      <c r="H136" s="6018">
        <f t="shared" si="21"/>
        <v>2270</v>
      </c>
      <c r="I136" s="6018">
        <f t="shared" si="22"/>
        <v>2670</v>
      </c>
      <c r="J136" s="6019">
        <f t="shared" si="23"/>
        <v>3004</v>
      </c>
      <c r="K136" s="1732"/>
      <c r="L136" s="6018">
        <v>6675</v>
      </c>
      <c r="W136" s="6018">
        <v>6650</v>
      </c>
      <c r="X136" s="6019">
        <v>6700</v>
      </c>
      <c r="Y136" s="6018">
        <v>1021</v>
      </c>
      <c r="Z136" s="6018">
        <v>2270</v>
      </c>
      <c r="AA136" s="6018">
        <v>2670</v>
      </c>
      <c r="AB136" s="6019">
        <v>3004</v>
      </c>
      <c r="AC136" s="6018">
        <v>1021</v>
      </c>
      <c r="AD136" s="6018">
        <v>2270</v>
      </c>
      <c r="AE136" s="6018">
        <v>2670</v>
      </c>
      <c r="AF136" s="6019">
        <v>3004</v>
      </c>
    </row>
    <row r="137" spans="1:32" ht="13.5">
      <c r="A137" s="6018">
        <v>6700</v>
      </c>
      <c r="B137" s="6019">
        <v>6750</v>
      </c>
      <c r="C137" s="6020">
        <f t="shared" si="24"/>
        <v>1029</v>
      </c>
      <c r="D137" s="6018">
        <f t="shared" si="25"/>
        <v>2287</v>
      </c>
      <c r="E137" s="6018">
        <f t="shared" si="26"/>
        <v>2690</v>
      </c>
      <c r="F137" s="6019">
        <f t="shared" si="27"/>
        <v>3026</v>
      </c>
      <c r="G137" s="6020">
        <f t="shared" si="20"/>
        <v>1029</v>
      </c>
      <c r="H137" s="6018">
        <f t="shared" si="21"/>
        <v>2287</v>
      </c>
      <c r="I137" s="6018">
        <f t="shared" si="22"/>
        <v>2690</v>
      </c>
      <c r="J137" s="6019">
        <f t="shared" si="23"/>
        <v>3026</v>
      </c>
      <c r="K137" s="1732"/>
      <c r="L137" s="6018">
        <v>6725</v>
      </c>
      <c r="W137" s="6018">
        <v>6700</v>
      </c>
      <c r="X137" s="6019">
        <v>6750</v>
      </c>
      <c r="Y137" s="6018">
        <v>1029</v>
      </c>
      <c r="Z137" s="6018">
        <v>2287</v>
      </c>
      <c r="AA137" s="6018">
        <v>2690</v>
      </c>
      <c r="AB137" s="6019">
        <v>3026</v>
      </c>
      <c r="AC137" s="6018">
        <v>1029</v>
      </c>
      <c r="AD137" s="6018">
        <v>2287</v>
      </c>
      <c r="AE137" s="6018">
        <v>2690</v>
      </c>
      <c r="AF137" s="6019">
        <v>3026</v>
      </c>
    </row>
    <row r="138" spans="1:32" ht="13.5">
      <c r="A138" s="6018">
        <v>6750</v>
      </c>
      <c r="B138" s="6019">
        <v>6800</v>
      </c>
      <c r="C138" s="6020">
        <f t="shared" si="24"/>
        <v>1037</v>
      </c>
      <c r="D138" s="6018">
        <f t="shared" si="25"/>
        <v>2304</v>
      </c>
      <c r="E138" s="6018">
        <f t="shared" si="26"/>
        <v>2710</v>
      </c>
      <c r="F138" s="6019">
        <f t="shared" si="27"/>
        <v>3049</v>
      </c>
      <c r="G138" s="6020">
        <f t="shared" si="20"/>
        <v>1037</v>
      </c>
      <c r="H138" s="6018">
        <f t="shared" si="21"/>
        <v>2304</v>
      </c>
      <c r="I138" s="6018">
        <f t="shared" si="22"/>
        <v>2710</v>
      </c>
      <c r="J138" s="6019">
        <f t="shared" si="23"/>
        <v>3049</v>
      </c>
      <c r="K138" s="1732"/>
      <c r="L138" s="6018">
        <v>6775</v>
      </c>
      <c r="W138" s="6018">
        <v>6750</v>
      </c>
      <c r="X138" s="6019">
        <v>6800</v>
      </c>
      <c r="Y138" s="6018">
        <v>1037</v>
      </c>
      <c r="Z138" s="6018">
        <v>2304</v>
      </c>
      <c r="AA138" s="6018">
        <v>2710</v>
      </c>
      <c r="AB138" s="6019">
        <v>3049</v>
      </c>
      <c r="AC138" s="6018">
        <v>1037</v>
      </c>
      <c r="AD138" s="6018">
        <v>2304</v>
      </c>
      <c r="AE138" s="6018">
        <v>2710</v>
      </c>
      <c r="AF138" s="6019">
        <v>3049</v>
      </c>
    </row>
    <row r="139" spans="1:32" ht="13.5">
      <c r="A139" s="6018">
        <v>6800</v>
      </c>
      <c r="B139" s="6019">
        <v>6850</v>
      </c>
      <c r="C139" s="6020">
        <f t="shared" si="24"/>
        <v>1044</v>
      </c>
      <c r="D139" s="6018">
        <f t="shared" si="25"/>
        <v>2321</v>
      </c>
      <c r="E139" s="6018">
        <f t="shared" si="26"/>
        <v>2730</v>
      </c>
      <c r="F139" s="6019">
        <f t="shared" si="27"/>
        <v>3071</v>
      </c>
      <c r="G139" s="6020">
        <f t="shared" si="20"/>
        <v>1044</v>
      </c>
      <c r="H139" s="6018">
        <f t="shared" si="21"/>
        <v>2321</v>
      </c>
      <c r="I139" s="6018">
        <f t="shared" si="22"/>
        <v>2730</v>
      </c>
      <c r="J139" s="6019">
        <f t="shared" si="23"/>
        <v>3071</v>
      </c>
      <c r="K139" s="1732"/>
      <c r="L139" s="6018">
        <v>6825</v>
      </c>
      <c r="W139" s="6018">
        <v>6800</v>
      </c>
      <c r="X139" s="6019">
        <v>6850</v>
      </c>
      <c r="Y139" s="6018">
        <v>1044</v>
      </c>
      <c r="Z139" s="6018">
        <v>2321</v>
      </c>
      <c r="AA139" s="6018">
        <v>2730</v>
      </c>
      <c r="AB139" s="6019">
        <v>3071</v>
      </c>
      <c r="AC139" s="6018">
        <v>1044</v>
      </c>
      <c r="AD139" s="6018">
        <v>2321</v>
      </c>
      <c r="AE139" s="6018">
        <v>2730</v>
      </c>
      <c r="AF139" s="6019">
        <v>3071</v>
      </c>
    </row>
    <row r="140" spans="1:32" ht="13.5">
      <c r="A140" s="6018">
        <v>6850</v>
      </c>
      <c r="B140" s="6019">
        <v>6900</v>
      </c>
      <c r="C140" s="6020">
        <f t="shared" si="24"/>
        <v>1052</v>
      </c>
      <c r="D140" s="6018">
        <f t="shared" si="25"/>
        <v>2338</v>
      </c>
      <c r="E140" s="6018">
        <f t="shared" si="26"/>
        <v>2750</v>
      </c>
      <c r="F140" s="6019">
        <f t="shared" si="27"/>
        <v>3094</v>
      </c>
      <c r="G140" s="6020">
        <f t="shared" si="20"/>
        <v>1052</v>
      </c>
      <c r="H140" s="6018">
        <f t="shared" si="21"/>
        <v>2338</v>
      </c>
      <c r="I140" s="6018">
        <f t="shared" si="22"/>
        <v>2750</v>
      </c>
      <c r="J140" s="6019">
        <f t="shared" si="23"/>
        <v>3094</v>
      </c>
      <c r="K140" s="1732"/>
      <c r="L140" s="6018">
        <v>6875</v>
      </c>
      <c r="W140" s="6018">
        <v>6850</v>
      </c>
      <c r="X140" s="6019">
        <v>6900</v>
      </c>
      <c r="Y140" s="6018">
        <v>1052</v>
      </c>
      <c r="Z140" s="6018">
        <v>2338</v>
      </c>
      <c r="AA140" s="6018">
        <v>2750</v>
      </c>
      <c r="AB140" s="6019">
        <v>3094</v>
      </c>
      <c r="AC140" s="6018">
        <v>1052</v>
      </c>
      <c r="AD140" s="6018">
        <v>2338</v>
      </c>
      <c r="AE140" s="6018">
        <v>2750</v>
      </c>
      <c r="AF140" s="6019">
        <v>3094</v>
      </c>
    </row>
    <row r="141" spans="1:32" ht="13.5">
      <c r="A141" s="6018">
        <v>6900</v>
      </c>
      <c r="B141" s="6019">
        <v>6950</v>
      </c>
      <c r="C141" s="6020">
        <f t="shared" si="24"/>
        <v>1060</v>
      </c>
      <c r="D141" s="6018">
        <f t="shared" si="25"/>
        <v>2355</v>
      </c>
      <c r="E141" s="6018">
        <f t="shared" si="26"/>
        <v>2770</v>
      </c>
      <c r="F141" s="6019">
        <f t="shared" si="27"/>
        <v>3116</v>
      </c>
      <c r="G141" s="6020">
        <f t="shared" si="20"/>
        <v>1060</v>
      </c>
      <c r="H141" s="6018">
        <f t="shared" si="21"/>
        <v>2355</v>
      </c>
      <c r="I141" s="6018">
        <f t="shared" si="22"/>
        <v>2770</v>
      </c>
      <c r="J141" s="6019">
        <f t="shared" si="23"/>
        <v>3116</v>
      </c>
      <c r="K141" s="1732"/>
      <c r="L141" s="6018">
        <v>6925</v>
      </c>
      <c r="W141" s="6018">
        <v>6900</v>
      </c>
      <c r="X141" s="6019">
        <v>6950</v>
      </c>
      <c r="Y141" s="6018">
        <v>1060</v>
      </c>
      <c r="Z141" s="6018">
        <v>2355</v>
      </c>
      <c r="AA141" s="6018">
        <v>2770</v>
      </c>
      <c r="AB141" s="6019">
        <v>3116</v>
      </c>
      <c r="AC141" s="6018">
        <v>1060</v>
      </c>
      <c r="AD141" s="6018">
        <v>2355</v>
      </c>
      <c r="AE141" s="6018">
        <v>2770</v>
      </c>
      <c r="AF141" s="6019">
        <v>3116</v>
      </c>
    </row>
    <row r="142" spans="1:32" ht="13.5">
      <c r="A142" s="6018">
        <v>6950</v>
      </c>
      <c r="B142" s="6019">
        <v>7000</v>
      </c>
      <c r="C142" s="6020">
        <f t="shared" si="24"/>
        <v>1067</v>
      </c>
      <c r="D142" s="6018">
        <f t="shared" si="25"/>
        <v>2372</v>
      </c>
      <c r="E142" s="6018">
        <f t="shared" si="26"/>
        <v>2790</v>
      </c>
      <c r="F142" s="6019">
        <f t="shared" si="27"/>
        <v>3139</v>
      </c>
      <c r="G142" s="6020">
        <f t="shared" si="20"/>
        <v>1067</v>
      </c>
      <c r="H142" s="6018">
        <f t="shared" si="21"/>
        <v>2372</v>
      </c>
      <c r="I142" s="6018">
        <f t="shared" si="22"/>
        <v>2790</v>
      </c>
      <c r="J142" s="6019">
        <f t="shared" si="23"/>
        <v>3139</v>
      </c>
      <c r="K142" s="1732"/>
      <c r="L142" s="6018">
        <v>6975</v>
      </c>
      <c r="W142" s="6018">
        <v>6950</v>
      </c>
      <c r="X142" s="6019">
        <v>7000</v>
      </c>
      <c r="Y142" s="6018">
        <v>1067</v>
      </c>
      <c r="Z142" s="6018">
        <v>2372</v>
      </c>
      <c r="AA142" s="6018">
        <v>2790</v>
      </c>
      <c r="AB142" s="6019">
        <v>3139</v>
      </c>
      <c r="AC142" s="6018">
        <v>1067</v>
      </c>
      <c r="AD142" s="6018">
        <v>2372</v>
      </c>
      <c r="AE142" s="6018">
        <v>2790</v>
      </c>
      <c r="AF142" s="6019">
        <v>3139</v>
      </c>
    </row>
    <row r="143" spans="1:32" ht="13.5">
      <c r="A143" s="6018">
        <v>7000</v>
      </c>
      <c r="B143" s="6019">
        <v>7050</v>
      </c>
      <c r="C143" s="6020">
        <f t="shared" si="24"/>
        <v>1075</v>
      </c>
      <c r="D143" s="6018">
        <f t="shared" si="25"/>
        <v>2389</v>
      </c>
      <c r="E143" s="6018">
        <f t="shared" si="26"/>
        <v>2810</v>
      </c>
      <c r="F143" s="6019">
        <f t="shared" si="27"/>
        <v>3161</v>
      </c>
      <c r="G143" s="6020">
        <f t="shared" si="20"/>
        <v>1075</v>
      </c>
      <c r="H143" s="6018">
        <f t="shared" si="21"/>
        <v>2389</v>
      </c>
      <c r="I143" s="6018">
        <f t="shared" si="22"/>
        <v>2810</v>
      </c>
      <c r="J143" s="6019">
        <f t="shared" si="23"/>
        <v>3161</v>
      </c>
      <c r="K143" s="1732"/>
      <c r="L143" s="6018">
        <v>7025</v>
      </c>
      <c r="W143" s="6018">
        <v>7000</v>
      </c>
      <c r="X143" s="6019">
        <v>7050</v>
      </c>
      <c r="Y143" s="6018">
        <v>1075</v>
      </c>
      <c r="Z143" s="6018">
        <v>2389</v>
      </c>
      <c r="AA143" s="6018">
        <v>2810</v>
      </c>
      <c r="AB143" s="6019">
        <v>3161</v>
      </c>
      <c r="AC143" s="6018">
        <v>1075</v>
      </c>
      <c r="AD143" s="6018">
        <v>2389</v>
      </c>
      <c r="AE143" s="6018">
        <v>2810</v>
      </c>
      <c r="AF143" s="6019">
        <v>3161</v>
      </c>
    </row>
    <row r="144" spans="1:32" ht="13.5">
      <c r="A144" s="6018">
        <v>7050</v>
      </c>
      <c r="B144" s="6019">
        <v>7100</v>
      </c>
      <c r="C144" s="6020">
        <f t="shared" si="24"/>
        <v>1082</v>
      </c>
      <c r="D144" s="6018">
        <f t="shared" si="25"/>
        <v>2406</v>
      </c>
      <c r="E144" s="6018">
        <f t="shared" si="26"/>
        <v>2830</v>
      </c>
      <c r="F144" s="6019">
        <f t="shared" si="27"/>
        <v>3184</v>
      </c>
      <c r="G144" s="6020">
        <f t="shared" si="20"/>
        <v>1082</v>
      </c>
      <c r="H144" s="6018">
        <f t="shared" si="21"/>
        <v>2406</v>
      </c>
      <c r="I144" s="6018">
        <f t="shared" si="22"/>
        <v>2830</v>
      </c>
      <c r="J144" s="6019">
        <f t="shared" si="23"/>
        <v>3184</v>
      </c>
      <c r="K144" s="1732"/>
      <c r="L144" s="6018">
        <v>7075</v>
      </c>
      <c r="W144" s="6018">
        <v>7050</v>
      </c>
      <c r="X144" s="6019">
        <v>7100</v>
      </c>
      <c r="Y144" s="6018">
        <v>1082</v>
      </c>
      <c r="Z144" s="6018">
        <v>2406</v>
      </c>
      <c r="AA144" s="6018">
        <v>2830</v>
      </c>
      <c r="AB144" s="6019">
        <v>3184</v>
      </c>
      <c r="AC144" s="6018">
        <v>1082</v>
      </c>
      <c r="AD144" s="6018">
        <v>2406</v>
      </c>
      <c r="AE144" s="6018">
        <v>2830</v>
      </c>
      <c r="AF144" s="6019">
        <v>3184</v>
      </c>
    </row>
    <row r="145" spans="1:32" ht="13.5">
      <c r="A145" s="6018">
        <v>7100</v>
      </c>
      <c r="B145" s="6019">
        <v>7150</v>
      </c>
      <c r="C145" s="6020">
        <f t="shared" si="24"/>
        <v>1090</v>
      </c>
      <c r="D145" s="6018">
        <f t="shared" si="25"/>
        <v>2423</v>
      </c>
      <c r="E145" s="6018">
        <f t="shared" si="26"/>
        <v>2850</v>
      </c>
      <c r="F145" s="6019">
        <f t="shared" si="27"/>
        <v>3206</v>
      </c>
      <c r="G145" s="6020">
        <f t="shared" si="20"/>
        <v>1090</v>
      </c>
      <c r="H145" s="6018">
        <f t="shared" si="21"/>
        <v>2423</v>
      </c>
      <c r="I145" s="6018">
        <f t="shared" si="22"/>
        <v>2850</v>
      </c>
      <c r="J145" s="6019">
        <f t="shared" si="23"/>
        <v>3206</v>
      </c>
      <c r="K145" s="1732"/>
      <c r="L145" s="6018">
        <v>7125</v>
      </c>
      <c r="W145" s="6018">
        <v>7100</v>
      </c>
      <c r="X145" s="6019">
        <v>7150</v>
      </c>
      <c r="Y145" s="6018">
        <v>1090</v>
      </c>
      <c r="Z145" s="6018">
        <v>2423</v>
      </c>
      <c r="AA145" s="6018">
        <v>2850</v>
      </c>
      <c r="AB145" s="6019">
        <v>3206</v>
      </c>
      <c r="AC145" s="6018">
        <v>1090</v>
      </c>
      <c r="AD145" s="6018">
        <v>2423</v>
      </c>
      <c r="AE145" s="6018">
        <v>2850</v>
      </c>
      <c r="AF145" s="6019">
        <v>3206</v>
      </c>
    </row>
    <row r="146" spans="1:32" ht="13.5">
      <c r="A146" s="6018">
        <v>7150</v>
      </c>
      <c r="B146" s="6019">
        <v>7200</v>
      </c>
      <c r="C146" s="6020">
        <f t="shared" si="24"/>
        <v>1098</v>
      </c>
      <c r="D146" s="6018">
        <f t="shared" si="25"/>
        <v>2440</v>
      </c>
      <c r="E146" s="6018">
        <f t="shared" si="26"/>
        <v>2870</v>
      </c>
      <c r="F146" s="6019">
        <f t="shared" si="27"/>
        <v>3229</v>
      </c>
      <c r="G146" s="6020">
        <f t="shared" si="20"/>
        <v>1098</v>
      </c>
      <c r="H146" s="6018">
        <f t="shared" si="21"/>
        <v>2440</v>
      </c>
      <c r="I146" s="6018">
        <f t="shared" si="22"/>
        <v>2870</v>
      </c>
      <c r="J146" s="6019">
        <f t="shared" si="23"/>
        <v>3229</v>
      </c>
      <c r="K146" s="1732"/>
      <c r="L146" s="6018">
        <v>7175</v>
      </c>
      <c r="W146" s="6018">
        <v>7150</v>
      </c>
      <c r="X146" s="6019">
        <v>7200</v>
      </c>
      <c r="Y146" s="6018">
        <v>1098</v>
      </c>
      <c r="Z146" s="6018">
        <v>2440</v>
      </c>
      <c r="AA146" s="6018">
        <v>2870</v>
      </c>
      <c r="AB146" s="6019">
        <v>3229</v>
      </c>
      <c r="AC146" s="6018">
        <v>1098</v>
      </c>
      <c r="AD146" s="6018">
        <v>2440</v>
      </c>
      <c r="AE146" s="6018">
        <v>2870</v>
      </c>
      <c r="AF146" s="6019">
        <v>3229</v>
      </c>
    </row>
    <row r="147" spans="1:32" ht="13.5">
      <c r="A147" s="6018">
        <v>7200</v>
      </c>
      <c r="B147" s="6019">
        <v>7250</v>
      </c>
      <c r="C147" s="6020">
        <f t="shared" si="24"/>
        <v>1105</v>
      </c>
      <c r="D147" s="6018">
        <f t="shared" si="25"/>
        <v>2457</v>
      </c>
      <c r="E147" s="6018">
        <f t="shared" si="26"/>
        <v>2890</v>
      </c>
      <c r="F147" s="6019">
        <f t="shared" si="27"/>
        <v>3251</v>
      </c>
      <c r="G147" s="6020">
        <f t="shared" si="20"/>
        <v>1105</v>
      </c>
      <c r="H147" s="6018">
        <f t="shared" si="21"/>
        <v>2457</v>
      </c>
      <c r="I147" s="6018">
        <f t="shared" si="22"/>
        <v>2890</v>
      </c>
      <c r="J147" s="6019">
        <f t="shared" si="23"/>
        <v>3251</v>
      </c>
      <c r="K147" s="1732"/>
      <c r="L147" s="6018">
        <v>7225</v>
      </c>
      <c r="W147" s="6018">
        <v>7200</v>
      </c>
      <c r="X147" s="6019">
        <v>7250</v>
      </c>
      <c r="Y147" s="6018">
        <v>1105</v>
      </c>
      <c r="Z147" s="6018">
        <v>2457</v>
      </c>
      <c r="AA147" s="6018">
        <v>2890</v>
      </c>
      <c r="AB147" s="6019">
        <v>3251</v>
      </c>
      <c r="AC147" s="6018">
        <v>1105</v>
      </c>
      <c r="AD147" s="6018">
        <v>2457</v>
      </c>
      <c r="AE147" s="6018">
        <v>2890</v>
      </c>
      <c r="AF147" s="6019">
        <v>3251</v>
      </c>
    </row>
    <row r="148" spans="1:32" ht="13.5">
      <c r="A148" s="6018">
        <v>7250</v>
      </c>
      <c r="B148" s="6019">
        <v>7300</v>
      </c>
      <c r="C148" s="6020">
        <f t="shared" si="24"/>
        <v>1113</v>
      </c>
      <c r="D148" s="6018">
        <f t="shared" si="25"/>
        <v>2474</v>
      </c>
      <c r="E148" s="6018">
        <f t="shared" si="26"/>
        <v>2910</v>
      </c>
      <c r="F148" s="6019">
        <f t="shared" si="27"/>
        <v>3274</v>
      </c>
      <c r="G148" s="6020">
        <f t="shared" si="20"/>
        <v>1113</v>
      </c>
      <c r="H148" s="6018">
        <f t="shared" si="21"/>
        <v>2474</v>
      </c>
      <c r="I148" s="6018">
        <f t="shared" si="22"/>
        <v>2910</v>
      </c>
      <c r="J148" s="6019">
        <f t="shared" si="23"/>
        <v>3274</v>
      </c>
      <c r="K148" s="1732"/>
      <c r="L148" s="6018">
        <v>7275</v>
      </c>
      <c r="W148" s="6018">
        <v>7250</v>
      </c>
      <c r="X148" s="6019">
        <v>7300</v>
      </c>
      <c r="Y148" s="6018">
        <v>1113</v>
      </c>
      <c r="Z148" s="6018">
        <v>2474</v>
      </c>
      <c r="AA148" s="6018">
        <v>2910</v>
      </c>
      <c r="AB148" s="6019">
        <v>3274</v>
      </c>
      <c r="AC148" s="6018">
        <v>1113</v>
      </c>
      <c r="AD148" s="6018">
        <v>2474</v>
      </c>
      <c r="AE148" s="6018">
        <v>2910</v>
      </c>
      <c r="AF148" s="6019">
        <v>3274</v>
      </c>
    </row>
    <row r="149" spans="1:32" ht="13.5">
      <c r="A149" s="6018">
        <v>7300</v>
      </c>
      <c r="B149" s="6019">
        <v>7350</v>
      </c>
      <c r="C149" s="6020">
        <f t="shared" si="24"/>
        <v>1121</v>
      </c>
      <c r="D149" s="6018">
        <f t="shared" si="25"/>
        <v>2491</v>
      </c>
      <c r="E149" s="6018">
        <f t="shared" si="26"/>
        <v>2930</v>
      </c>
      <c r="F149" s="6019">
        <f t="shared" si="27"/>
        <v>3296</v>
      </c>
      <c r="G149" s="6020">
        <f t="shared" si="20"/>
        <v>1121</v>
      </c>
      <c r="H149" s="6018">
        <f t="shared" si="21"/>
        <v>2491</v>
      </c>
      <c r="I149" s="6018">
        <f t="shared" si="22"/>
        <v>2930</v>
      </c>
      <c r="J149" s="6019">
        <f t="shared" si="23"/>
        <v>3296</v>
      </c>
      <c r="K149" s="1732"/>
      <c r="L149" s="6018">
        <v>7325</v>
      </c>
      <c r="W149" s="6018">
        <v>7300</v>
      </c>
      <c r="X149" s="6019">
        <v>7350</v>
      </c>
      <c r="Y149" s="6018">
        <v>1121</v>
      </c>
      <c r="Z149" s="6018">
        <v>2491</v>
      </c>
      <c r="AA149" s="6018">
        <v>2930</v>
      </c>
      <c r="AB149" s="6019">
        <v>3296</v>
      </c>
      <c r="AC149" s="6018">
        <v>1121</v>
      </c>
      <c r="AD149" s="6018">
        <v>2491</v>
      </c>
      <c r="AE149" s="6018">
        <v>2930</v>
      </c>
      <c r="AF149" s="6019">
        <v>3296</v>
      </c>
    </row>
    <row r="150" spans="1:32" ht="13.5">
      <c r="A150" s="6018">
        <v>7350</v>
      </c>
      <c r="B150" s="6019">
        <v>7400</v>
      </c>
      <c r="C150" s="6020">
        <f t="shared" si="24"/>
        <v>1128</v>
      </c>
      <c r="D150" s="6018">
        <f t="shared" si="25"/>
        <v>2508</v>
      </c>
      <c r="E150" s="6018">
        <f t="shared" si="26"/>
        <v>2950</v>
      </c>
      <c r="F150" s="6019">
        <f t="shared" si="27"/>
        <v>3319</v>
      </c>
      <c r="G150" s="6020">
        <f t="shared" si="20"/>
        <v>1128</v>
      </c>
      <c r="H150" s="6018">
        <f t="shared" si="21"/>
        <v>2508</v>
      </c>
      <c r="I150" s="6018">
        <f t="shared" si="22"/>
        <v>2950</v>
      </c>
      <c r="J150" s="6019">
        <f t="shared" si="23"/>
        <v>3319</v>
      </c>
      <c r="K150" s="1732"/>
      <c r="L150" s="6018">
        <v>7375</v>
      </c>
      <c r="W150" s="6018">
        <v>7350</v>
      </c>
      <c r="X150" s="6019">
        <v>7400</v>
      </c>
      <c r="Y150" s="6018">
        <v>1128</v>
      </c>
      <c r="Z150" s="6018">
        <v>2508</v>
      </c>
      <c r="AA150" s="6018">
        <v>2950</v>
      </c>
      <c r="AB150" s="6019">
        <v>3319</v>
      </c>
      <c r="AC150" s="6018">
        <v>1128</v>
      </c>
      <c r="AD150" s="6018">
        <v>2508</v>
      </c>
      <c r="AE150" s="6018">
        <v>2950</v>
      </c>
      <c r="AF150" s="6019">
        <v>3319</v>
      </c>
    </row>
    <row r="151" spans="1:32" ht="13.5">
      <c r="A151" s="6018">
        <v>7400</v>
      </c>
      <c r="B151" s="6019">
        <v>7450</v>
      </c>
      <c r="C151" s="6020">
        <f t="shared" si="24"/>
        <v>1136</v>
      </c>
      <c r="D151" s="6018">
        <f t="shared" si="25"/>
        <v>2525</v>
      </c>
      <c r="E151" s="6018">
        <f t="shared" si="26"/>
        <v>2970</v>
      </c>
      <c r="F151" s="6019">
        <f t="shared" si="27"/>
        <v>3341</v>
      </c>
      <c r="G151" s="6020">
        <f t="shared" si="20"/>
        <v>1136</v>
      </c>
      <c r="H151" s="6018">
        <f t="shared" si="21"/>
        <v>2525</v>
      </c>
      <c r="I151" s="6018">
        <f t="shared" si="22"/>
        <v>2970</v>
      </c>
      <c r="J151" s="6019">
        <f t="shared" si="23"/>
        <v>3341</v>
      </c>
      <c r="K151" s="1732"/>
      <c r="L151" s="6018">
        <v>7425</v>
      </c>
      <c r="W151" s="6018">
        <v>7400</v>
      </c>
      <c r="X151" s="6019">
        <v>7450</v>
      </c>
      <c r="Y151" s="6018">
        <v>1136</v>
      </c>
      <c r="Z151" s="6018">
        <v>2525</v>
      </c>
      <c r="AA151" s="6018">
        <v>2970</v>
      </c>
      <c r="AB151" s="6019">
        <v>3341</v>
      </c>
      <c r="AC151" s="6018">
        <v>1136</v>
      </c>
      <c r="AD151" s="6018">
        <v>2525</v>
      </c>
      <c r="AE151" s="6018">
        <v>2970</v>
      </c>
      <c r="AF151" s="6019">
        <v>3341</v>
      </c>
    </row>
    <row r="152" spans="1:32" ht="13.5">
      <c r="A152" s="6018">
        <v>7450</v>
      </c>
      <c r="B152" s="6019">
        <v>7500</v>
      </c>
      <c r="C152" s="6020">
        <f t="shared" si="24"/>
        <v>1144</v>
      </c>
      <c r="D152" s="6018">
        <f t="shared" si="25"/>
        <v>2542</v>
      </c>
      <c r="E152" s="6018">
        <f t="shared" si="26"/>
        <v>2990</v>
      </c>
      <c r="F152" s="6019">
        <f t="shared" si="27"/>
        <v>3364</v>
      </c>
      <c r="G152" s="6020">
        <f t="shared" si="20"/>
        <v>1144</v>
      </c>
      <c r="H152" s="6018">
        <f t="shared" si="21"/>
        <v>2542</v>
      </c>
      <c r="I152" s="6018">
        <f t="shared" si="22"/>
        <v>2990</v>
      </c>
      <c r="J152" s="6019">
        <f t="shared" si="23"/>
        <v>3364</v>
      </c>
      <c r="K152" s="1732"/>
      <c r="L152" s="6018">
        <v>7475</v>
      </c>
      <c r="W152" s="6018">
        <v>7450</v>
      </c>
      <c r="X152" s="6019">
        <v>7500</v>
      </c>
      <c r="Y152" s="6018">
        <v>1144</v>
      </c>
      <c r="Z152" s="6018">
        <v>2542</v>
      </c>
      <c r="AA152" s="6018">
        <v>2990</v>
      </c>
      <c r="AB152" s="6019">
        <v>3364</v>
      </c>
      <c r="AC152" s="6018">
        <v>1144</v>
      </c>
      <c r="AD152" s="6018">
        <v>2542</v>
      </c>
      <c r="AE152" s="6018">
        <v>2990</v>
      </c>
      <c r="AF152" s="6019">
        <v>3364</v>
      </c>
    </row>
    <row r="153" spans="1:32" ht="13.5">
      <c r="A153" s="6018">
        <v>7500</v>
      </c>
      <c r="B153" s="6019">
        <v>7550</v>
      </c>
      <c r="C153" s="6020">
        <f t="shared" si="24"/>
        <v>1151</v>
      </c>
      <c r="D153" s="6018">
        <f t="shared" si="25"/>
        <v>2559</v>
      </c>
      <c r="E153" s="6018">
        <f t="shared" si="26"/>
        <v>3010</v>
      </c>
      <c r="F153" s="6019">
        <f t="shared" si="27"/>
        <v>3386</v>
      </c>
      <c r="G153" s="6020">
        <f t="shared" si="20"/>
        <v>1151</v>
      </c>
      <c r="H153" s="6018">
        <f t="shared" si="21"/>
        <v>2559</v>
      </c>
      <c r="I153" s="6018">
        <f t="shared" si="22"/>
        <v>3010</v>
      </c>
      <c r="J153" s="6019">
        <f t="shared" si="23"/>
        <v>3386</v>
      </c>
      <c r="K153" s="1732"/>
      <c r="L153" s="6018">
        <v>7525</v>
      </c>
      <c r="W153" s="6018">
        <v>7500</v>
      </c>
      <c r="X153" s="6019">
        <v>7550</v>
      </c>
      <c r="Y153" s="6018">
        <v>1151</v>
      </c>
      <c r="Z153" s="6018">
        <v>2559</v>
      </c>
      <c r="AA153" s="6018">
        <v>3010</v>
      </c>
      <c r="AB153" s="6019">
        <v>3386</v>
      </c>
      <c r="AC153" s="6018">
        <v>1151</v>
      </c>
      <c r="AD153" s="6018">
        <v>2559</v>
      </c>
      <c r="AE153" s="6018">
        <v>3010</v>
      </c>
      <c r="AF153" s="6019">
        <v>3386</v>
      </c>
    </row>
    <row r="154" spans="1:32" ht="13.5">
      <c r="A154" s="6018">
        <v>7550</v>
      </c>
      <c r="B154" s="6019">
        <v>7600</v>
      </c>
      <c r="C154" s="6020">
        <f t="shared" si="24"/>
        <v>1159</v>
      </c>
      <c r="D154" s="6018">
        <f t="shared" si="25"/>
        <v>2576</v>
      </c>
      <c r="E154" s="6018">
        <f t="shared" si="26"/>
        <v>3030</v>
      </c>
      <c r="F154" s="6019">
        <f t="shared" si="27"/>
        <v>3409</v>
      </c>
      <c r="G154" s="6020">
        <f t="shared" si="20"/>
        <v>1159</v>
      </c>
      <c r="H154" s="6018">
        <f t="shared" si="21"/>
        <v>2576</v>
      </c>
      <c r="I154" s="6018">
        <f t="shared" si="22"/>
        <v>3030</v>
      </c>
      <c r="J154" s="6019">
        <f t="shared" si="23"/>
        <v>3409</v>
      </c>
      <c r="K154" s="1732"/>
      <c r="L154" s="6018">
        <v>7575</v>
      </c>
      <c r="W154" s="6018">
        <v>7550</v>
      </c>
      <c r="X154" s="6019">
        <v>7600</v>
      </c>
      <c r="Y154" s="6018">
        <v>1159</v>
      </c>
      <c r="Z154" s="6018">
        <v>2576</v>
      </c>
      <c r="AA154" s="6018">
        <v>3030</v>
      </c>
      <c r="AB154" s="6019">
        <v>3409</v>
      </c>
      <c r="AC154" s="6018">
        <v>1159</v>
      </c>
      <c r="AD154" s="6018">
        <v>2576</v>
      </c>
      <c r="AE154" s="6018">
        <v>3030</v>
      </c>
      <c r="AF154" s="6019">
        <v>3409</v>
      </c>
    </row>
    <row r="155" spans="1:32" ht="13.5">
      <c r="A155" s="6018">
        <v>7600</v>
      </c>
      <c r="B155" s="6019">
        <v>7650</v>
      </c>
      <c r="C155" s="6020">
        <f t="shared" si="24"/>
        <v>1167</v>
      </c>
      <c r="D155" s="6018">
        <f t="shared" si="25"/>
        <v>2593</v>
      </c>
      <c r="E155" s="6018">
        <f t="shared" si="26"/>
        <v>3050</v>
      </c>
      <c r="F155" s="6019">
        <f t="shared" si="27"/>
        <v>3431</v>
      </c>
      <c r="G155" s="6020">
        <f t="shared" si="20"/>
        <v>1167</v>
      </c>
      <c r="H155" s="6018">
        <f t="shared" si="21"/>
        <v>2593</v>
      </c>
      <c r="I155" s="6018">
        <f t="shared" si="22"/>
        <v>3050</v>
      </c>
      <c r="J155" s="6019">
        <f t="shared" si="23"/>
        <v>3431</v>
      </c>
      <c r="K155" s="1732"/>
      <c r="L155" s="6018">
        <v>7625</v>
      </c>
      <c r="W155" s="6018">
        <v>7600</v>
      </c>
      <c r="X155" s="6019">
        <v>7650</v>
      </c>
      <c r="Y155" s="6018">
        <v>1167</v>
      </c>
      <c r="Z155" s="6018">
        <v>2593</v>
      </c>
      <c r="AA155" s="6018">
        <v>3050</v>
      </c>
      <c r="AB155" s="6019">
        <v>3431</v>
      </c>
      <c r="AC155" s="6018">
        <v>1167</v>
      </c>
      <c r="AD155" s="6018">
        <v>2593</v>
      </c>
      <c r="AE155" s="6018">
        <v>3050</v>
      </c>
      <c r="AF155" s="6019">
        <v>3431</v>
      </c>
    </row>
    <row r="156" spans="1:32" ht="13.5">
      <c r="A156" s="6018">
        <v>7650</v>
      </c>
      <c r="B156" s="6019">
        <v>7700</v>
      </c>
      <c r="C156" s="6020">
        <f t="shared" si="24"/>
        <v>1174</v>
      </c>
      <c r="D156" s="6018">
        <f t="shared" si="25"/>
        <v>2610</v>
      </c>
      <c r="E156" s="6018">
        <f t="shared" si="26"/>
        <v>3070</v>
      </c>
      <c r="F156" s="6019">
        <f t="shared" si="27"/>
        <v>3454</v>
      </c>
      <c r="G156" s="6020">
        <f t="shared" si="20"/>
        <v>1174</v>
      </c>
      <c r="H156" s="6018">
        <f t="shared" si="21"/>
        <v>2610</v>
      </c>
      <c r="I156" s="6018">
        <f t="shared" si="22"/>
        <v>3070</v>
      </c>
      <c r="J156" s="6019">
        <f t="shared" si="23"/>
        <v>3454</v>
      </c>
      <c r="K156" s="1732"/>
      <c r="L156" s="6018">
        <v>7675</v>
      </c>
      <c r="W156" s="6018">
        <v>7650</v>
      </c>
      <c r="X156" s="6019">
        <v>7700</v>
      </c>
      <c r="Y156" s="6018">
        <v>1174</v>
      </c>
      <c r="Z156" s="6018">
        <v>2610</v>
      </c>
      <c r="AA156" s="6018">
        <v>3070</v>
      </c>
      <c r="AB156" s="6019">
        <v>3454</v>
      </c>
      <c r="AC156" s="6018">
        <v>1174</v>
      </c>
      <c r="AD156" s="6018">
        <v>2610</v>
      </c>
      <c r="AE156" s="6018">
        <v>3070</v>
      </c>
      <c r="AF156" s="6019">
        <v>3454</v>
      </c>
    </row>
    <row r="157" spans="1:32" ht="13.5">
      <c r="A157" s="6018">
        <v>7700</v>
      </c>
      <c r="B157" s="6019">
        <v>7750</v>
      </c>
      <c r="C157" s="6020">
        <f t="shared" si="24"/>
        <v>1182</v>
      </c>
      <c r="D157" s="6018">
        <f t="shared" si="25"/>
        <v>2627</v>
      </c>
      <c r="E157" s="6018">
        <f t="shared" si="26"/>
        <v>3090</v>
      </c>
      <c r="F157" s="6019">
        <f t="shared" si="27"/>
        <v>3476</v>
      </c>
      <c r="G157" s="6020">
        <f t="shared" si="20"/>
        <v>1182</v>
      </c>
      <c r="H157" s="6018">
        <f t="shared" si="21"/>
        <v>2627</v>
      </c>
      <c r="I157" s="6018">
        <f t="shared" si="22"/>
        <v>3090</v>
      </c>
      <c r="J157" s="6019">
        <f t="shared" si="23"/>
        <v>3476</v>
      </c>
      <c r="K157" s="1732"/>
      <c r="L157" s="6018">
        <v>7725</v>
      </c>
      <c r="W157" s="6018">
        <v>7700</v>
      </c>
      <c r="X157" s="6019">
        <v>7750</v>
      </c>
      <c r="Y157" s="6018">
        <v>1182</v>
      </c>
      <c r="Z157" s="6018">
        <v>2627</v>
      </c>
      <c r="AA157" s="6018">
        <v>3090</v>
      </c>
      <c r="AB157" s="6019">
        <v>3476</v>
      </c>
      <c r="AC157" s="6018">
        <v>1182</v>
      </c>
      <c r="AD157" s="6018">
        <v>2627</v>
      </c>
      <c r="AE157" s="6018">
        <v>3090</v>
      </c>
      <c r="AF157" s="6019">
        <v>3476</v>
      </c>
    </row>
    <row r="158" spans="1:32" ht="13.5">
      <c r="A158" s="6018">
        <v>7750</v>
      </c>
      <c r="B158" s="6019">
        <v>7800</v>
      </c>
      <c r="C158" s="6020">
        <f t="shared" si="24"/>
        <v>1190</v>
      </c>
      <c r="D158" s="6018">
        <f t="shared" si="25"/>
        <v>2644</v>
      </c>
      <c r="E158" s="6018">
        <f t="shared" si="26"/>
        <v>3110</v>
      </c>
      <c r="F158" s="6019">
        <f t="shared" si="27"/>
        <v>3499</v>
      </c>
      <c r="G158" s="6020">
        <f t="shared" si="20"/>
        <v>1190</v>
      </c>
      <c r="H158" s="6018">
        <f t="shared" si="21"/>
        <v>2644</v>
      </c>
      <c r="I158" s="6018">
        <f t="shared" si="22"/>
        <v>3110</v>
      </c>
      <c r="J158" s="6019">
        <f t="shared" si="23"/>
        <v>3499</v>
      </c>
      <c r="K158" s="1732"/>
      <c r="L158" s="6018">
        <v>7775</v>
      </c>
      <c r="W158" s="6018">
        <v>7750</v>
      </c>
      <c r="X158" s="6019">
        <v>7800</v>
      </c>
      <c r="Y158" s="6018">
        <v>1190</v>
      </c>
      <c r="Z158" s="6018">
        <v>2644</v>
      </c>
      <c r="AA158" s="6018">
        <v>3110</v>
      </c>
      <c r="AB158" s="6019">
        <v>3499</v>
      </c>
      <c r="AC158" s="6018">
        <v>1190</v>
      </c>
      <c r="AD158" s="6018">
        <v>2644</v>
      </c>
      <c r="AE158" s="6018">
        <v>3110</v>
      </c>
      <c r="AF158" s="6019">
        <v>3499</v>
      </c>
    </row>
    <row r="159" spans="1:32" ht="13.5">
      <c r="A159" s="6018">
        <v>7800</v>
      </c>
      <c r="B159" s="6019">
        <v>7850</v>
      </c>
      <c r="C159" s="6020">
        <f t="shared" si="24"/>
        <v>1197</v>
      </c>
      <c r="D159" s="6018">
        <f t="shared" si="25"/>
        <v>2661</v>
      </c>
      <c r="E159" s="6018">
        <f t="shared" si="26"/>
        <v>3130</v>
      </c>
      <c r="F159" s="6019">
        <f t="shared" si="27"/>
        <v>3521</v>
      </c>
      <c r="G159" s="6020">
        <f t="shared" si="20"/>
        <v>1197</v>
      </c>
      <c r="H159" s="6018">
        <f t="shared" si="21"/>
        <v>2661</v>
      </c>
      <c r="I159" s="6018">
        <f t="shared" si="22"/>
        <v>3130</v>
      </c>
      <c r="J159" s="6019">
        <f t="shared" si="23"/>
        <v>3521</v>
      </c>
      <c r="K159" s="1732"/>
      <c r="L159" s="6018">
        <v>7825</v>
      </c>
      <c r="W159" s="6018">
        <v>7800</v>
      </c>
      <c r="X159" s="6019">
        <v>7850</v>
      </c>
      <c r="Y159" s="6018">
        <v>1197</v>
      </c>
      <c r="Z159" s="6018">
        <v>2661</v>
      </c>
      <c r="AA159" s="6018">
        <v>3130</v>
      </c>
      <c r="AB159" s="6019">
        <v>3521</v>
      </c>
      <c r="AC159" s="6018">
        <v>1197</v>
      </c>
      <c r="AD159" s="6018">
        <v>2661</v>
      </c>
      <c r="AE159" s="6018">
        <v>3130</v>
      </c>
      <c r="AF159" s="6019">
        <v>3521</v>
      </c>
    </row>
    <row r="160" spans="1:32" ht="13.5">
      <c r="A160" s="6018">
        <v>7850</v>
      </c>
      <c r="B160" s="6019">
        <v>7900</v>
      </c>
      <c r="C160" s="6020">
        <f t="shared" si="24"/>
        <v>1205</v>
      </c>
      <c r="D160" s="6018">
        <f t="shared" si="25"/>
        <v>2678</v>
      </c>
      <c r="E160" s="6018">
        <f t="shared" si="26"/>
        <v>3150</v>
      </c>
      <c r="F160" s="6019">
        <f t="shared" si="27"/>
        <v>3544</v>
      </c>
      <c r="G160" s="6020">
        <f t="shared" si="20"/>
        <v>1205</v>
      </c>
      <c r="H160" s="6018">
        <f t="shared" si="21"/>
        <v>2678</v>
      </c>
      <c r="I160" s="6018">
        <f t="shared" si="22"/>
        <v>3150</v>
      </c>
      <c r="J160" s="6019">
        <f t="shared" si="23"/>
        <v>3544</v>
      </c>
      <c r="K160" s="1732"/>
      <c r="L160" s="6018">
        <v>7875</v>
      </c>
      <c r="W160" s="6018">
        <v>7850</v>
      </c>
      <c r="X160" s="6019">
        <v>7900</v>
      </c>
      <c r="Y160" s="6018">
        <v>1205</v>
      </c>
      <c r="Z160" s="6018">
        <v>2678</v>
      </c>
      <c r="AA160" s="6018">
        <v>3150</v>
      </c>
      <c r="AB160" s="6019">
        <v>3544</v>
      </c>
      <c r="AC160" s="6018">
        <v>1205</v>
      </c>
      <c r="AD160" s="6018">
        <v>2678</v>
      </c>
      <c r="AE160" s="6018">
        <v>3150</v>
      </c>
      <c r="AF160" s="6019">
        <v>3544</v>
      </c>
    </row>
    <row r="161" spans="1:32" ht="13.5">
      <c r="A161" s="6018">
        <v>7900</v>
      </c>
      <c r="B161" s="6019">
        <v>7950</v>
      </c>
      <c r="C161" s="6020">
        <f t="shared" si="24"/>
        <v>1213</v>
      </c>
      <c r="D161" s="6018">
        <f t="shared" si="25"/>
        <v>2695</v>
      </c>
      <c r="E161" s="6018">
        <f t="shared" si="26"/>
        <v>3170</v>
      </c>
      <c r="F161" s="6019">
        <f t="shared" si="27"/>
        <v>3566</v>
      </c>
      <c r="G161" s="6020">
        <f t="shared" si="20"/>
        <v>1213</v>
      </c>
      <c r="H161" s="6018">
        <f t="shared" si="21"/>
        <v>2695</v>
      </c>
      <c r="I161" s="6018">
        <f t="shared" si="22"/>
        <v>3170</v>
      </c>
      <c r="J161" s="6019">
        <f t="shared" si="23"/>
        <v>3566</v>
      </c>
      <c r="K161" s="1732"/>
      <c r="L161" s="6018">
        <v>7925</v>
      </c>
      <c r="W161" s="6018">
        <v>7900</v>
      </c>
      <c r="X161" s="6019">
        <v>7950</v>
      </c>
      <c r="Y161" s="6018">
        <v>1213</v>
      </c>
      <c r="Z161" s="6018">
        <v>2695</v>
      </c>
      <c r="AA161" s="6018">
        <v>3170</v>
      </c>
      <c r="AB161" s="6019">
        <v>3566</v>
      </c>
      <c r="AC161" s="6018">
        <v>1213</v>
      </c>
      <c r="AD161" s="6018">
        <v>2695</v>
      </c>
      <c r="AE161" s="6018">
        <v>3170</v>
      </c>
      <c r="AF161" s="6019">
        <v>3566</v>
      </c>
    </row>
    <row r="162" spans="1:32" ht="13.5">
      <c r="A162" s="6018">
        <v>7950</v>
      </c>
      <c r="B162" s="6019">
        <v>8000</v>
      </c>
      <c r="C162" s="6020">
        <f t="shared" si="24"/>
        <v>1220</v>
      </c>
      <c r="D162" s="6018">
        <f t="shared" si="25"/>
        <v>2712</v>
      </c>
      <c r="E162" s="6018">
        <f t="shared" si="26"/>
        <v>3190</v>
      </c>
      <c r="F162" s="6019">
        <f t="shared" si="27"/>
        <v>3589</v>
      </c>
      <c r="G162" s="6020">
        <f t="shared" si="20"/>
        <v>1220</v>
      </c>
      <c r="H162" s="6018">
        <f t="shared" si="21"/>
        <v>2712</v>
      </c>
      <c r="I162" s="6018">
        <f t="shared" si="22"/>
        <v>3190</v>
      </c>
      <c r="J162" s="6019">
        <f t="shared" si="23"/>
        <v>3589</v>
      </c>
      <c r="K162" s="1732"/>
      <c r="L162" s="6018">
        <v>7975</v>
      </c>
      <c r="W162" s="6018">
        <v>7950</v>
      </c>
      <c r="X162" s="6019">
        <v>8000</v>
      </c>
      <c r="Y162" s="6018">
        <v>1220</v>
      </c>
      <c r="Z162" s="6018">
        <v>2712</v>
      </c>
      <c r="AA162" s="6018">
        <v>3190</v>
      </c>
      <c r="AB162" s="6019">
        <v>3589</v>
      </c>
      <c r="AC162" s="6018">
        <v>1220</v>
      </c>
      <c r="AD162" s="6018">
        <v>2712</v>
      </c>
      <c r="AE162" s="6018">
        <v>3190</v>
      </c>
      <c r="AF162" s="6019">
        <v>3589</v>
      </c>
    </row>
    <row r="163" spans="1:32" ht="13.5">
      <c r="A163" s="6018">
        <v>8000</v>
      </c>
      <c r="B163" s="6019">
        <v>8050</v>
      </c>
      <c r="C163" s="6020">
        <f t="shared" si="24"/>
        <v>1228</v>
      </c>
      <c r="D163" s="6018">
        <f t="shared" si="25"/>
        <v>2729</v>
      </c>
      <c r="E163" s="6018">
        <f t="shared" si="26"/>
        <v>3210</v>
      </c>
      <c r="F163" s="6019">
        <f t="shared" si="27"/>
        <v>3611</v>
      </c>
      <c r="G163" s="6020">
        <f t="shared" si="20"/>
        <v>1228</v>
      </c>
      <c r="H163" s="6018">
        <f t="shared" si="21"/>
        <v>2729</v>
      </c>
      <c r="I163" s="6018">
        <f t="shared" si="22"/>
        <v>3210</v>
      </c>
      <c r="J163" s="6019">
        <f t="shared" si="23"/>
        <v>3611</v>
      </c>
      <c r="K163" s="1732"/>
      <c r="L163" s="6018">
        <v>8025</v>
      </c>
      <c r="W163" s="6018">
        <v>8000</v>
      </c>
      <c r="X163" s="6019">
        <v>8050</v>
      </c>
      <c r="Y163" s="6018">
        <v>1228</v>
      </c>
      <c r="Z163" s="6018">
        <v>2729</v>
      </c>
      <c r="AA163" s="6018">
        <v>3210</v>
      </c>
      <c r="AB163" s="6019">
        <v>3611</v>
      </c>
      <c r="AC163" s="6018">
        <v>1228</v>
      </c>
      <c r="AD163" s="6018">
        <v>2729</v>
      </c>
      <c r="AE163" s="6018">
        <v>3210</v>
      </c>
      <c r="AF163" s="6019">
        <v>3611</v>
      </c>
    </row>
    <row r="164" spans="1:32" ht="13.5">
      <c r="A164" s="6018">
        <v>8050</v>
      </c>
      <c r="B164" s="6019">
        <v>8100</v>
      </c>
      <c r="C164" s="6020">
        <f t="shared" si="24"/>
        <v>1235</v>
      </c>
      <c r="D164" s="6018">
        <f t="shared" si="25"/>
        <v>2746</v>
      </c>
      <c r="E164" s="6018">
        <f t="shared" si="26"/>
        <v>3230</v>
      </c>
      <c r="F164" s="6019">
        <f t="shared" si="27"/>
        <v>3634</v>
      </c>
      <c r="G164" s="6020">
        <f t="shared" si="20"/>
        <v>1235</v>
      </c>
      <c r="H164" s="6018">
        <f t="shared" si="21"/>
        <v>2746</v>
      </c>
      <c r="I164" s="6018">
        <f t="shared" si="22"/>
        <v>3230</v>
      </c>
      <c r="J164" s="6019">
        <f t="shared" si="23"/>
        <v>3634</v>
      </c>
      <c r="K164" s="1732"/>
      <c r="L164" s="6018">
        <v>8075</v>
      </c>
      <c r="W164" s="6018">
        <v>8050</v>
      </c>
      <c r="X164" s="6019">
        <v>8100</v>
      </c>
      <c r="Y164" s="6018">
        <v>1235</v>
      </c>
      <c r="Z164" s="6018">
        <v>2746</v>
      </c>
      <c r="AA164" s="6018">
        <v>3230</v>
      </c>
      <c r="AB164" s="6019">
        <v>3634</v>
      </c>
      <c r="AC164" s="6018">
        <v>1235</v>
      </c>
      <c r="AD164" s="6018">
        <v>2746</v>
      </c>
      <c r="AE164" s="6018">
        <v>3230</v>
      </c>
      <c r="AF164" s="6019">
        <v>3634</v>
      </c>
    </row>
    <row r="165" spans="1:32" ht="13.5">
      <c r="A165" s="6018">
        <v>8100</v>
      </c>
      <c r="B165" s="6019">
        <v>8150</v>
      </c>
      <c r="C165" s="6020">
        <f t="shared" si="24"/>
        <v>1243</v>
      </c>
      <c r="D165" s="6018">
        <f t="shared" si="25"/>
        <v>2763</v>
      </c>
      <c r="E165" s="6018">
        <f t="shared" si="26"/>
        <v>3250</v>
      </c>
      <c r="F165" s="6019">
        <f t="shared" si="27"/>
        <v>3656</v>
      </c>
      <c r="G165" s="6020">
        <f t="shared" si="20"/>
        <v>1243</v>
      </c>
      <c r="H165" s="6018">
        <f t="shared" si="21"/>
        <v>2763</v>
      </c>
      <c r="I165" s="6018">
        <f t="shared" si="22"/>
        <v>3250</v>
      </c>
      <c r="J165" s="6019">
        <f t="shared" si="23"/>
        <v>3656</v>
      </c>
      <c r="K165" s="1732"/>
      <c r="L165" s="6018">
        <v>8125</v>
      </c>
      <c r="W165" s="6018">
        <v>8100</v>
      </c>
      <c r="X165" s="6019">
        <v>8150</v>
      </c>
      <c r="Y165" s="6018">
        <v>1243</v>
      </c>
      <c r="Z165" s="6018">
        <v>2763</v>
      </c>
      <c r="AA165" s="6018">
        <v>3250</v>
      </c>
      <c r="AB165" s="6019">
        <v>3656</v>
      </c>
      <c r="AC165" s="6018">
        <v>1243</v>
      </c>
      <c r="AD165" s="6018">
        <v>2763</v>
      </c>
      <c r="AE165" s="6018">
        <v>3250</v>
      </c>
      <c r="AF165" s="6019">
        <v>3656</v>
      </c>
    </row>
    <row r="166" spans="1:32" ht="13.5">
      <c r="A166" s="6018">
        <v>8150</v>
      </c>
      <c r="B166" s="6019">
        <v>8200</v>
      </c>
      <c r="C166" s="6020">
        <f t="shared" si="24"/>
        <v>1251</v>
      </c>
      <c r="D166" s="6018">
        <f t="shared" si="25"/>
        <v>2780</v>
      </c>
      <c r="E166" s="6018">
        <f t="shared" si="26"/>
        <v>3270</v>
      </c>
      <c r="F166" s="6019">
        <f t="shared" si="27"/>
        <v>3679</v>
      </c>
      <c r="G166" s="6020">
        <f t="shared" si="20"/>
        <v>1251</v>
      </c>
      <c r="H166" s="6018">
        <f t="shared" si="21"/>
        <v>2780</v>
      </c>
      <c r="I166" s="6018">
        <f t="shared" si="22"/>
        <v>3270</v>
      </c>
      <c r="J166" s="6019">
        <f t="shared" si="23"/>
        <v>3679</v>
      </c>
      <c r="K166" s="1732"/>
      <c r="L166" s="6018">
        <v>8175</v>
      </c>
      <c r="W166" s="6018">
        <v>8150</v>
      </c>
      <c r="X166" s="6019">
        <v>8200</v>
      </c>
      <c r="Y166" s="6018">
        <v>1251</v>
      </c>
      <c r="Z166" s="6018">
        <v>2780</v>
      </c>
      <c r="AA166" s="6018">
        <v>3270</v>
      </c>
      <c r="AB166" s="6019">
        <v>3679</v>
      </c>
      <c r="AC166" s="6018">
        <v>1251</v>
      </c>
      <c r="AD166" s="6018">
        <v>2780</v>
      </c>
      <c r="AE166" s="6018">
        <v>3270</v>
      </c>
      <c r="AF166" s="6019">
        <v>3679</v>
      </c>
    </row>
    <row r="167" spans="1:32" ht="13.5">
      <c r="A167" s="6018">
        <v>8200</v>
      </c>
      <c r="B167" s="6019">
        <v>8250</v>
      </c>
      <c r="C167" s="6020">
        <f t="shared" si="24"/>
        <v>1258</v>
      </c>
      <c r="D167" s="6018">
        <f t="shared" si="25"/>
        <v>2797</v>
      </c>
      <c r="E167" s="6018">
        <f t="shared" si="26"/>
        <v>3290</v>
      </c>
      <c r="F167" s="6019">
        <f t="shared" si="27"/>
        <v>3701</v>
      </c>
      <c r="G167" s="6020">
        <f t="shared" si="20"/>
        <v>1258</v>
      </c>
      <c r="H167" s="6018">
        <f t="shared" si="21"/>
        <v>2797</v>
      </c>
      <c r="I167" s="6018">
        <f t="shared" si="22"/>
        <v>3290</v>
      </c>
      <c r="J167" s="6019">
        <f t="shared" si="23"/>
        <v>3701</v>
      </c>
      <c r="K167" s="1732"/>
      <c r="L167" s="6018">
        <v>8225</v>
      </c>
      <c r="W167" s="6018">
        <v>8200</v>
      </c>
      <c r="X167" s="6019">
        <v>8250</v>
      </c>
      <c r="Y167" s="6018">
        <v>1258</v>
      </c>
      <c r="Z167" s="6018">
        <v>2797</v>
      </c>
      <c r="AA167" s="6018">
        <v>3290</v>
      </c>
      <c r="AB167" s="6019">
        <v>3701</v>
      </c>
      <c r="AC167" s="6018">
        <v>1258</v>
      </c>
      <c r="AD167" s="6018">
        <v>2797</v>
      </c>
      <c r="AE167" s="6018">
        <v>3290</v>
      </c>
      <c r="AF167" s="6019">
        <v>3701</v>
      </c>
    </row>
    <row r="168" spans="1:32" ht="13.5">
      <c r="A168" s="6018">
        <v>8250</v>
      </c>
      <c r="B168" s="6019">
        <v>8300</v>
      </c>
      <c r="C168" s="6020">
        <f t="shared" si="24"/>
        <v>1266</v>
      </c>
      <c r="D168" s="6018">
        <f t="shared" si="25"/>
        <v>2814</v>
      </c>
      <c r="E168" s="6018">
        <f t="shared" si="26"/>
        <v>3310</v>
      </c>
      <c r="F168" s="6019">
        <f t="shared" si="27"/>
        <v>3724</v>
      </c>
      <c r="G168" s="6020">
        <f t="shared" si="20"/>
        <v>1266</v>
      </c>
      <c r="H168" s="6018">
        <f t="shared" si="21"/>
        <v>2814</v>
      </c>
      <c r="I168" s="6018">
        <f t="shared" si="22"/>
        <v>3310</v>
      </c>
      <c r="J168" s="6019">
        <f t="shared" si="23"/>
        <v>3724</v>
      </c>
      <c r="K168" s="1732"/>
      <c r="L168" s="6018">
        <v>8275</v>
      </c>
      <c r="W168" s="6018">
        <v>8250</v>
      </c>
      <c r="X168" s="6019">
        <v>8300</v>
      </c>
      <c r="Y168" s="6018">
        <v>1266</v>
      </c>
      <c r="Z168" s="6018">
        <v>2814</v>
      </c>
      <c r="AA168" s="6018">
        <v>3310</v>
      </c>
      <c r="AB168" s="6019">
        <v>3724</v>
      </c>
      <c r="AC168" s="6018">
        <v>1266</v>
      </c>
      <c r="AD168" s="6018">
        <v>2814</v>
      </c>
      <c r="AE168" s="6018">
        <v>3310</v>
      </c>
      <c r="AF168" s="6019">
        <v>3724</v>
      </c>
    </row>
    <row r="169" spans="1:32" ht="13.5">
      <c r="A169" s="6018">
        <v>8300</v>
      </c>
      <c r="B169" s="6019">
        <v>8350</v>
      </c>
      <c r="C169" s="6020">
        <f t="shared" si="24"/>
        <v>1274</v>
      </c>
      <c r="D169" s="6018">
        <f t="shared" si="25"/>
        <v>2831</v>
      </c>
      <c r="E169" s="6018">
        <f t="shared" si="26"/>
        <v>3330</v>
      </c>
      <c r="F169" s="6019">
        <f t="shared" si="27"/>
        <v>3746</v>
      </c>
      <c r="G169" s="6020">
        <f t="shared" si="20"/>
        <v>1274</v>
      </c>
      <c r="H169" s="6018">
        <f t="shared" si="21"/>
        <v>2831</v>
      </c>
      <c r="I169" s="6018">
        <f t="shared" si="22"/>
        <v>3330</v>
      </c>
      <c r="J169" s="6019">
        <f t="shared" si="23"/>
        <v>3746</v>
      </c>
      <c r="K169" s="1732"/>
      <c r="L169" s="6018">
        <v>8325</v>
      </c>
      <c r="W169" s="6018">
        <v>8300</v>
      </c>
      <c r="X169" s="6019">
        <v>8350</v>
      </c>
      <c r="Y169" s="6018">
        <v>1274</v>
      </c>
      <c r="Z169" s="6018">
        <v>2831</v>
      </c>
      <c r="AA169" s="6018">
        <v>3330</v>
      </c>
      <c r="AB169" s="6019">
        <v>3746</v>
      </c>
      <c r="AC169" s="6018">
        <v>1274</v>
      </c>
      <c r="AD169" s="6018">
        <v>2831</v>
      </c>
      <c r="AE169" s="6018">
        <v>3330</v>
      </c>
      <c r="AF169" s="6019">
        <v>3746</v>
      </c>
    </row>
    <row r="170" spans="1:32" ht="13.5">
      <c r="A170" s="6018">
        <v>8350</v>
      </c>
      <c r="B170" s="6019">
        <v>8400</v>
      </c>
      <c r="C170" s="6020">
        <f t="shared" si="24"/>
        <v>1281</v>
      </c>
      <c r="D170" s="6018">
        <f t="shared" si="25"/>
        <v>2848</v>
      </c>
      <c r="E170" s="6018">
        <f t="shared" si="26"/>
        <v>3350</v>
      </c>
      <c r="F170" s="6019">
        <f t="shared" si="27"/>
        <v>3769</v>
      </c>
      <c r="G170" s="6020">
        <f t="shared" si="20"/>
        <v>1281</v>
      </c>
      <c r="H170" s="6018">
        <f t="shared" si="21"/>
        <v>2848</v>
      </c>
      <c r="I170" s="6018">
        <f t="shared" si="22"/>
        <v>3350</v>
      </c>
      <c r="J170" s="6019">
        <f t="shared" si="23"/>
        <v>3769</v>
      </c>
      <c r="K170" s="1732"/>
      <c r="L170" s="6018">
        <v>8375</v>
      </c>
      <c r="W170" s="6018">
        <v>8350</v>
      </c>
      <c r="X170" s="6019">
        <v>8400</v>
      </c>
      <c r="Y170" s="6018">
        <v>1281</v>
      </c>
      <c r="Z170" s="6018">
        <v>2848</v>
      </c>
      <c r="AA170" s="6018">
        <v>3350</v>
      </c>
      <c r="AB170" s="6019">
        <v>3769</v>
      </c>
      <c r="AC170" s="6018">
        <v>1281</v>
      </c>
      <c r="AD170" s="6018">
        <v>2848</v>
      </c>
      <c r="AE170" s="6018">
        <v>3350</v>
      </c>
      <c r="AF170" s="6019">
        <v>3769</v>
      </c>
    </row>
    <row r="171" spans="1:32" ht="13.5">
      <c r="A171" s="6018">
        <v>8400</v>
      </c>
      <c r="B171" s="6019">
        <v>8450</v>
      </c>
      <c r="C171" s="6020">
        <f t="shared" si="24"/>
        <v>1289</v>
      </c>
      <c r="D171" s="6018">
        <f t="shared" si="25"/>
        <v>2865</v>
      </c>
      <c r="E171" s="6018">
        <f t="shared" si="26"/>
        <v>3370</v>
      </c>
      <c r="F171" s="6019">
        <f t="shared" si="27"/>
        <v>3791</v>
      </c>
      <c r="G171" s="6020">
        <f t="shared" si="20"/>
        <v>1289</v>
      </c>
      <c r="H171" s="6018">
        <f t="shared" si="21"/>
        <v>2865</v>
      </c>
      <c r="I171" s="6018">
        <f t="shared" si="22"/>
        <v>3370</v>
      </c>
      <c r="J171" s="6019">
        <f t="shared" si="23"/>
        <v>3791</v>
      </c>
      <c r="K171" s="1732"/>
      <c r="L171" s="6018">
        <v>8425</v>
      </c>
      <c r="W171" s="6018">
        <v>8400</v>
      </c>
      <c r="X171" s="6019">
        <v>8450</v>
      </c>
      <c r="Y171" s="6018">
        <v>1289</v>
      </c>
      <c r="Z171" s="6018">
        <v>2865</v>
      </c>
      <c r="AA171" s="6018">
        <v>3370</v>
      </c>
      <c r="AB171" s="6019">
        <v>3791</v>
      </c>
      <c r="AC171" s="6018">
        <v>1289</v>
      </c>
      <c r="AD171" s="6018">
        <v>2865</v>
      </c>
      <c r="AE171" s="6018">
        <v>3370</v>
      </c>
      <c r="AF171" s="6019">
        <v>3791</v>
      </c>
    </row>
    <row r="172" spans="1:32" ht="13.5">
      <c r="A172" s="6018">
        <v>8450</v>
      </c>
      <c r="B172" s="6019">
        <v>8500</v>
      </c>
      <c r="C172" s="6020">
        <f t="shared" si="24"/>
        <v>1297</v>
      </c>
      <c r="D172" s="6018">
        <f t="shared" si="25"/>
        <v>2882</v>
      </c>
      <c r="E172" s="6018">
        <f t="shared" si="26"/>
        <v>3390</v>
      </c>
      <c r="F172" s="6019">
        <f t="shared" si="27"/>
        <v>3814</v>
      </c>
      <c r="G172" s="6020">
        <f t="shared" si="20"/>
        <v>1297</v>
      </c>
      <c r="H172" s="6018">
        <f t="shared" si="21"/>
        <v>2882</v>
      </c>
      <c r="I172" s="6018">
        <f t="shared" si="22"/>
        <v>3390</v>
      </c>
      <c r="J172" s="6019">
        <f t="shared" si="23"/>
        <v>3814</v>
      </c>
      <c r="K172" s="1732"/>
      <c r="L172" s="6018">
        <v>8475</v>
      </c>
      <c r="W172" s="6018">
        <v>8450</v>
      </c>
      <c r="X172" s="6019">
        <v>8500</v>
      </c>
      <c r="Y172" s="6018">
        <v>1297</v>
      </c>
      <c r="Z172" s="6018">
        <v>2882</v>
      </c>
      <c r="AA172" s="6018">
        <v>3390</v>
      </c>
      <c r="AB172" s="6019">
        <v>3814</v>
      </c>
      <c r="AC172" s="6018">
        <v>1297</v>
      </c>
      <c r="AD172" s="6018">
        <v>2882</v>
      </c>
      <c r="AE172" s="6018">
        <v>3390</v>
      </c>
      <c r="AF172" s="6019">
        <v>3814</v>
      </c>
    </row>
    <row r="173" spans="1:32" ht="13.5">
      <c r="A173" s="6018">
        <v>8500</v>
      </c>
      <c r="B173" s="6019">
        <v>8550</v>
      </c>
      <c r="C173" s="6020">
        <f t="shared" si="24"/>
        <v>1304</v>
      </c>
      <c r="D173" s="6018">
        <f t="shared" si="25"/>
        <v>2899</v>
      </c>
      <c r="E173" s="6018">
        <f t="shared" si="26"/>
        <v>3410</v>
      </c>
      <c r="F173" s="6019">
        <f t="shared" si="27"/>
        <v>3836</v>
      </c>
      <c r="G173" s="6020">
        <f t="shared" si="20"/>
        <v>1304</v>
      </c>
      <c r="H173" s="6018">
        <f t="shared" si="21"/>
        <v>2899</v>
      </c>
      <c r="I173" s="6018">
        <f t="shared" si="22"/>
        <v>3410</v>
      </c>
      <c r="J173" s="6019">
        <f t="shared" si="23"/>
        <v>3836</v>
      </c>
      <c r="K173" s="1732"/>
      <c r="L173" s="6018">
        <v>8525</v>
      </c>
      <c r="W173" s="6018">
        <v>8500</v>
      </c>
      <c r="X173" s="6019">
        <v>8550</v>
      </c>
      <c r="Y173" s="6018">
        <v>1304</v>
      </c>
      <c r="Z173" s="6018">
        <v>2899</v>
      </c>
      <c r="AA173" s="6018">
        <v>3410</v>
      </c>
      <c r="AB173" s="6019">
        <v>3836</v>
      </c>
      <c r="AC173" s="6018">
        <v>1304</v>
      </c>
      <c r="AD173" s="6018">
        <v>2899</v>
      </c>
      <c r="AE173" s="6018">
        <v>3410</v>
      </c>
      <c r="AF173" s="6019">
        <v>3836</v>
      </c>
    </row>
    <row r="174" spans="1:32" ht="13.5">
      <c r="A174" s="6018">
        <v>8550</v>
      </c>
      <c r="B174" s="6019">
        <v>8600</v>
      </c>
      <c r="C174" s="6020">
        <f t="shared" si="24"/>
        <v>1312</v>
      </c>
      <c r="D174" s="6018">
        <f t="shared" si="25"/>
        <v>2916</v>
      </c>
      <c r="E174" s="6018">
        <f t="shared" si="26"/>
        <v>3430</v>
      </c>
      <c r="F174" s="6019">
        <f t="shared" si="27"/>
        <v>3859</v>
      </c>
      <c r="G174" s="6020">
        <f t="shared" si="20"/>
        <v>1312</v>
      </c>
      <c r="H174" s="6018">
        <f t="shared" si="21"/>
        <v>2916</v>
      </c>
      <c r="I174" s="6018">
        <f t="shared" si="22"/>
        <v>3430</v>
      </c>
      <c r="J174" s="6019">
        <f t="shared" si="23"/>
        <v>3859</v>
      </c>
      <c r="K174" s="1732"/>
      <c r="L174" s="6018">
        <v>8575</v>
      </c>
      <c r="W174" s="6018">
        <v>8550</v>
      </c>
      <c r="X174" s="6019">
        <v>8600</v>
      </c>
      <c r="Y174" s="6018">
        <v>1312</v>
      </c>
      <c r="Z174" s="6018">
        <v>2916</v>
      </c>
      <c r="AA174" s="6018">
        <v>3430</v>
      </c>
      <c r="AB174" s="6019">
        <v>3859</v>
      </c>
      <c r="AC174" s="6018">
        <v>1312</v>
      </c>
      <c r="AD174" s="6018">
        <v>2916</v>
      </c>
      <c r="AE174" s="6018">
        <v>3430</v>
      </c>
      <c r="AF174" s="6019">
        <v>3859</v>
      </c>
    </row>
    <row r="175" spans="1:32" ht="13.5">
      <c r="A175" s="6018">
        <v>8600</v>
      </c>
      <c r="B175" s="6019">
        <v>8650</v>
      </c>
      <c r="C175" s="6020">
        <f t="shared" si="24"/>
        <v>1320</v>
      </c>
      <c r="D175" s="6018">
        <f t="shared" si="25"/>
        <v>2933</v>
      </c>
      <c r="E175" s="6018">
        <f t="shared" si="26"/>
        <v>3450</v>
      </c>
      <c r="F175" s="6019">
        <f t="shared" si="27"/>
        <v>3881</v>
      </c>
      <c r="G175" s="6020">
        <f t="shared" si="20"/>
        <v>1320</v>
      </c>
      <c r="H175" s="6018">
        <f t="shared" si="21"/>
        <v>2933</v>
      </c>
      <c r="I175" s="6018">
        <f t="shared" si="22"/>
        <v>3450</v>
      </c>
      <c r="J175" s="6019">
        <f t="shared" si="23"/>
        <v>3881</v>
      </c>
      <c r="K175" s="1732"/>
      <c r="L175" s="6018">
        <v>8625</v>
      </c>
      <c r="W175" s="6018">
        <v>8600</v>
      </c>
      <c r="X175" s="6019">
        <v>8650</v>
      </c>
      <c r="Y175" s="6018">
        <v>1320</v>
      </c>
      <c r="Z175" s="6018">
        <v>2933</v>
      </c>
      <c r="AA175" s="6018">
        <v>3450</v>
      </c>
      <c r="AB175" s="6019">
        <v>3881</v>
      </c>
      <c r="AC175" s="6018">
        <v>1320</v>
      </c>
      <c r="AD175" s="6018">
        <v>2933</v>
      </c>
      <c r="AE175" s="6018">
        <v>3450</v>
      </c>
      <c r="AF175" s="6019">
        <v>3881</v>
      </c>
    </row>
    <row r="176" spans="1:32" ht="13.5">
      <c r="A176" s="6018">
        <v>8650</v>
      </c>
      <c r="B176" s="6019">
        <v>8700</v>
      </c>
      <c r="C176" s="6020">
        <f t="shared" si="24"/>
        <v>1327</v>
      </c>
      <c r="D176" s="6018">
        <f t="shared" si="25"/>
        <v>2950</v>
      </c>
      <c r="E176" s="6018">
        <f t="shared" si="26"/>
        <v>3470</v>
      </c>
      <c r="F176" s="6019">
        <f t="shared" si="27"/>
        <v>3904</v>
      </c>
      <c r="G176" s="6020">
        <f t="shared" si="20"/>
        <v>1327</v>
      </c>
      <c r="H176" s="6018">
        <f t="shared" si="21"/>
        <v>2950</v>
      </c>
      <c r="I176" s="6018">
        <f t="shared" si="22"/>
        <v>3470</v>
      </c>
      <c r="J176" s="6019">
        <f t="shared" si="23"/>
        <v>3904</v>
      </c>
      <c r="K176" s="1732"/>
      <c r="L176" s="6018">
        <v>8675</v>
      </c>
      <c r="W176" s="6018">
        <v>8650</v>
      </c>
      <c r="X176" s="6019">
        <v>8700</v>
      </c>
      <c r="Y176" s="6018">
        <v>1327</v>
      </c>
      <c r="Z176" s="6018">
        <v>2950</v>
      </c>
      <c r="AA176" s="6018">
        <v>3470</v>
      </c>
      <c r="AB176" s="6019">
        <v>3904</v>
      </c>
      <c r="AC176" s="6018">
        <v>1327</v>
      </c>
      <c r="AD176" s="6018">
        <v>2950</v>
      </c>
      <c r="AE176" s="6018">
        <v>3470</v>
      </c>
      <c r="AF176" s="6019">
        <v>3904</v>
      </c>
    </row>
    <row r="177" spans="1:32" ht="13.5">
      <c r="A177" s="6018">
        <v>8700</v>
      </c>
      <c r="B177" s="6019">
        <v>8750</v>
      </c>
      <c r="C177" s="6020">
        <f t="shared" si="24"/>
        <v>1335</v>
      </c>
      <c r="D177" s="6018">
        <f t="shared" si="25"/>
        <v>2967</v>
      </c>
      <c r="E177" s="6018">
        <f t="shared" si="26"/>
        <v>3490</v>
      </c>
      <c r="F177" s="6019">
        <f t="shared" si="27"/>
        <v>3926</v>
      </c>
      <c r="G177" s="6020">
        <f t="shared" si="20"/>
        <v>1335</v>
      </c>
      <c r="H177" s="6018">
        <f t="shared" si="21"/>
        <v>2967</v>
      </c>
      <c r="I177" s="6018">
        <f t="shared" si="22"/>
        <v>3490</v>
      </c>
      <c r="J177" s="6019">
        <f t="shared" si="23"/>
        <v>3926</v>
      </c>
      <c r="K177" s="1732"/>
      <c r="L177" s="6018">
        <v>8725</v>
      </c>
      <c r="W177" s="6018">
        <v>8700</v>
      </c>
      <c r="X177" s="6019">
        <v>8750</v>
      </c>
      <c r="Y177" s="6018">
        <v>1335</v>
      </c>
      <c r="Z177" s="6018">
        <v>2967</v>
      </c>
      <c r="AA177" s="6018">
        <v>3490</v>
      </c>
      <c r="AB177" s="6019">
        <v>3926</v>
      </c>
      <c r="AC177" s="6018">
        <v>1335</v>
      </c>
      <c r="AD177" s="6018">
        <v>2967</v>
      </c>
      <c r="AE177" s="6018">
        <v>3490</v>
      </c>
      <c r="AF177" s="6019">
        <v>3926</v>
      </c>
    </row>
    <row r="178" spans="1:32" ht="13.5">
      <c r="A178" s="6018">
        <v>8750</v>
      </c>
      <c r="B178" s="6019">
        <v>8800</v>
      </c>
      <c r="C178" s="6020">
        <f t="shared" si="24"/>
        <v>1343</v>
      </c>
      <c r="D178" s="6018">
        <f t="shared" si="25"/>
        <v>2984</v>
      </c>
      <c r="E178" s="6018">
        <f t="shared" si="26"/>
        <v>3510</v>
      </c>
      <c r="F178" s="6019">
        <f t="shared" si="27"/>
        <v>3949</v>
      </c>
      <c r="G178" s="6020">
        <f t="shared" si="20"/>
        <v>1343</v>
      </c>
      <c r="H178" s="6018">
        <f t="shared" si="21"/>
        <v>2984</v>
      </c>
      <c r="I178" s="6018">
        <f t="shared" si="22"/>
        <v>3510</v>
      </c>
      <c r="J178" s="6019">
        <f t="shared" si="23"/>
        <v>3949</v>
      </c>
      <c r="K178" s="1732"/>
      <c r="L178" s="6018">
        <v>8775</v>
      </c>
      <c r="W178" s="6018">
        <v>8750</v>
      </c>
      <c r="X178" s="6019">
        <v>8800</v>
      </c>
      <c r="Y178" s="6018">
        <v>1343</v>
      </c>
      <c r="Z178" s="6018">
        <v>2984</v>
      </c>
      <c r="AA178" s="6018">
        <v>3510</v>
      </c>
      <c r="AB178" s="6019">
        <v>3949</v>
      </c>
      <c r="AC178" s="6018">
        <v>1343</v>
      </c>
      <c r="AD178" s="6018">
        <v>2984</v>
      </c>
      <c r="AE178" s="6018">
        <v>3510</v>
      </c>
      <c r="AF178" s="6019">
        <v>3949</v>
      </c>
    </row>
    <row r="179" spans="1:32" ht="13.5">
      <c r="A179" s="6018">
        <v>8800</v>
      </c>
      <c r="B179" s="6019">
        <v>8850</v>
      </c>
      <c r="C179" s="6020">
        <f t="shared" si="24"/>
        <v>1350</v>
      </c>
      <c r="D179" s="6018">
        <f t="shared" si="25"/>
        <v>3001</v>
      </c>
      <c r="E179" s="6018">
        <f t="shared" si="26"/>
        <v>3530</v>
      </c>
      <c r="F179" s="6019">
        <f t="shared" si="27"/>
        <v>3971</v>
      </c>
      <c r="G179" s="6020">
        <f t="shared" si="20"/>
        <v>1350</v>
      </c>
      <c r="H179" s="6018">
        <f t="shared" si="21"/>
        <v>3001</v>
      </c>
      <c r="I179" s="6018">
        <f t="shared" si="22"/>
        <v>3530</v>
      </c>
      <c r="J179" s="6019">
        <f t="shared" si="23"/>
        <v>3971</v>
      </c>
      <c r="K179" s="1732"/>
      <c r="L179" s="6018">
        <v>8825</v>
      </c>
      <c r="W179" s="6018">
        <v>8800</v>
      </c>
      <c r="X179" s="6019">
        <v>8850</v>
      </c>
      <c r="Y179" s="6018">
        <v>1350</v>
      </c>
      <c r="Z179" s="6018">
        <v>3001</v>
      </c>
      <c r="AA179" s="6018">
        <v>3530</v>
      </c>
      <c r="AB179" s="6019">
        <v>3971</v>
      </c>
      <c r="AC179" s="6018">
        <v>1350</v>
      </c>
      <c r="AD179" s="6018">
        <v>3001</v>
      </c>
      <c r="AE179" s="6018">
        <v>3530</v>
      </c>
      <c r="AF179" s="6019">
        <v>3971</v>
      </c>
    </row>
    <row r="180" spans="1:32" ht="13.5">
      <c r="A180" s="6018">
        <v>8850</v>
      </c>
      <c r="B180" s="6019">
        <v>8900</v>
      </c>
      <c r="C180" s="6020">
        <f t="shared" si="24"/>
        <v>1358</v>
      </c>
      <c r="D180" s="6018">
        <f t="shared" si="25"/>
        <v>3018</v>
      </c>
      <c r="E180" s="6018">
        <f t="shared" si="26"/>
        <v>3550</v>
      </c>
      <c r="F180" s="6019">
        <f t="shared" si="27"/>
        <v>3994</v>
      </c>
      <c r="G180" s="6020">
        <f t="shared" si="20"/>
        <v>1358</v>
      </c>
      <c r="H180" s="6018">
        <f t="shared" si="21"/>
        <v>3018</v>
      </c>
      <c r="I180" s="6018">
        <f t="shared" si="22"/>
        <v>3550</v>
      </c>
      <c r="J180" s="6019">
        <f t="shared" si="23"/>
        <v>3994</v>
      </c>
      <c r="K180" s="1732"/>
      <c r="L180" s="6018">
        <v>8875</v>
      </c>
      <c r="W180" s="6018">
        <v>8850</v>
      </c>
      <c r="X180" s="6019">
        <v>8900</v>
      </c>
      <c r="Y180" s="6018">
        <v>1358</v>
      </c>
      <c r="Z180" s="6018">
        <v>3018</v>
      </c>
      <c r="AA180" s="6018">
        <v>3550</v>
      </c>
      <c r="AB180" s="6019">
        <v>3994</v>
      </c>
      <c r="AC180" s="6018">
        <v>1358</v>
      </c>
      <c r="AD180" s="6018">
        <v>3018</v>
      </c>
      <c r="AE180" s="6018">
        <v>3550</v>
      </c>
      <c r="AF180" s="6019">
        <v>3994</v>
      </c>
    </row>
    <row r="181" spans="1:32" ht="13.5">
      <c r="A181" s="6018">
        <v>8900</v>
      </c>
      <c r="B181" s="6019">
        <v>8950</v>
      </c>
      <c r="C181" s="6020">
        <f t="shared" si="24"/>
        <v>1366</v>
      </c>
      <c r="D181" s="6018">
        <f t="shared" si="25"/>
        <v>3035</v>
      </c>
      <c r="E181" s="6018">
        <f t="shared" si="26"/>
        <v>3570</v>
      </c>
      <c r="F181" s="6019">
        <f t="shared" si="27"/>
        <v>4016</v>
      </c>
      <c r="G181" s="6020">
        <f t="shared" si="20"/>
        <v>1366</v>
      </c>
      <c r="H181" s="6018">
        <f t="shared" si="21"/>
        <v>3035</v>
      </c>
      <c r="I181" s="6018">
        <f t="shared" si="22"/>
        <v>3570</v>
      </c>
      <c r="J181" s="6019">
        <f t="shared" si="23"/>
        <v>4016</v>
      </c>
      <c r="K181" s="1732"/>
      <c r="L181" s="6018">
        <v>8925</v>
      </c>
      <c r="W181" s="6018">
        <v>8900</v>
      </c>
      <c r="X181" s="6019">
        <v>8950</v>
      </c>
      <c r="Y181" s="6018">
        <v>1366</v>
      </c>
      <c r="Z181" s="6018">
        <v>3035</v>
      </c>
      <c r="AA181" s="6018">
        <v>3570</v>
      </c>
      <c r="AB181" s="6019">
        <v>4016</v>
      </c>
      <c r="AC181" s="6018">
        <v>1366</v>
      </c>
      <c r="AD181" s="6018">
        <v>3035</v>
      </c>
      <c r="AE181" s="6018">
        <v>3570</v>
      </c>
      <c r="AF181" s="6019">
        <v>4016</v>
      </c>
    </row>
    <row r="182" spans="1:32" ht="13.5">
      <c r="A182" s="6018">
        <v>8950</v>
      </c>
      <c r="B182" s="6019">
        <v>9000</v>
      </c>
      <c r="C182" s="6020">
        <f t="shared" si="24"/>
        <v>1373</v>
      </c>
      <c r="D182" s="6018">
        <f t="shared" si="25"/>
        <v>3052</v>
      </c>
      <c r="E182" s="6018">
        <f t="shared" si="26"/>
        <v>3590</v>
      </c>
      <c r="F182" s="6019">
        <f t="shared" si="27"/>
        <v>4039</v>
      </c>
      <c r="G182" s="6020">
        <f t="shared" si="20"/>
        <v>1373</v>
      </c>
      <c r="H182" s="6018">
        <f t="shared" si="21"/>
        <v>3052</v>
      </c>
      <c r="I182" s="6018">
        <f t="shared" si="22"/>
        <v>3590</v>
      </c>
      <c r="J182" s="6019">
        <f t="shared" si="23"/>
        <v>4039</v>
      </c>
      <c r="K182" s="1732"/>
      <c r="L182" s="6018">
        <v>8975</v>
      </c>
      <c r="W182" s="6018">
        <v>8950</v>
      </c>
      <c r="X182" s="6019">
        <v>9000</v>
      </c>
      <c r="Y182" s="6018">
        <v>1373</v>
      </c>
      <c r="Z182" s="6018">
        <v>3052</v>
      </c>
      <c r="AA182" s="6018">
        <v>3590</v>
      </c>
      <c r="AB182" s="6019">
        <v>4039</v>
      </c>
      <c r="AC182" s="6018">
        <v>1373</v>
      </c>
      <c r="AD182" s="6018">
        <v>3052</v>
      </c>
      <c r="AE182" s="6018">
        <v>3590</v>
      </c>
      <c r="AF182" s="6019">
        <v>4039</v>
      </c>
    </row>
    <row r="183" spans="1:32" ht="13.5">
      <c r="A183" s="6018">
        <v>9000</v>
      </c>
      <c r="B183" s="6019">
        <v>9050</v>
      </c>
      <c r="C183" s="6020">
        <f t="shared" si="24"/>
        <v>1381</v>
      </c>
      <c r="D183" s="6018">
        <f t="shared" si="25"/>
        <v>3069</v>
      </c>
      <c r="E183" s="6018">
        <f t="shared" si="26"/>
        <v>3610</v>
      </c>
      <c r="F183" s="6019">
        <f t="shared" si="27"/>
        <v>4061</v>
      </c>
      <c r="G183" s="6020">
        <f t="shared" si="20"/>
        <v>1381</v>
      </c>
      <c r="H183" s="6018">
        <f t="shared" si="21"/>
        <v>3069</v>
      </c>
      <c r="I183" s="6018">
        <f t="shared" si="22"/>
        <v>3610</v>
      </c>
      <c r="J183" s="6019">
        <f t="shared" si="23"/>
        <v>4061</v>
      </c>
      <c r="K183" s="1732"/>
      <c r="L183" s="6018">
        <v>9025</v>
      </c>
      <c r="W183" s="6018">
        <v>9000</v>
      </c>
      <c r="X183" s="6019">
        <v>9050</v>
      </c>
      <c r="Y183" s="6018">
        <v>1381</v>
      </c>
      <c r="Z183" s="6018">
        <v>3069</v>
      </c>
      <c r="AA183" s="6018">
        <v>3610</v>
      </c>
      <c r="AB183" s="6019">
        <v>4061</v>
      </c>
      <c r="AC183" s="6018">
        <v>1381</v>
      </c>
      <c r="AD183" s="6018">
        <v>3069</v>
      </c>
      <c r="AE183" s="6018">
        <v>3610</v>
      </c>
      <c r="AF183" s="6019">
        <v>4061</v>
      </c>
    </row>
    <row r="184" spans="1:32" ht="13.5">
      <c r="A184" s="6018">
        <v>9050</v>
      </c>
      <c r="B184" s="6019">
        <v>9100</v>
      </c>
      <c r="C184" s="6020">
        <f t="shared" si="24"/>
        <v>1388</v>
      </c>
      <c r="D184" s="6018">
        <f t="shared" si="25"/>
        <v>3086</v>
      </c>
      <c r="E184" s="6018">
        <f t="shared" si="26"/>
        <v>3630</v>
      </c>
      <c r="F184" s="6019">
        <f t="shared" si="27"/>
        <v>4084</v>
      </c>
      <c r="G184" s="6020">
        <f t="shared" si="20"/>
        <v>1388</v>
      </c>
      <c r="H184" s="6018">
        <f t="shared" si="21"/>
        <v>3086</v>
      </c>
      <c r="I184" s="6018">
        <f t="shared" si="22"/>
        <v>3630</v>
      </c>
      <c r="J184" s="6019">
        <f t="shared" si="23"/>
        <v>4084</v>
      </c>
      <c r="K184" s="1732"/>
      <c r="L184" s="6018">
        <v>9075</v>
      </c>
      <c r="W184" s="6018">
        <v>9050</v>
      </c>
      <c r="X184" s="6019">
        <v>9100</v>
      </c>
      <c r="Y184" s="6018">
        <v>1388</v>
      </c>
      <c r="Z184" s="6018">
        <v>3086</v>
      </c>
      <c r="AA184" s="6018">
        <v>3630</v>
      </c>
      <c r="AB184" s="6019">
        <v>4084</v>
      </c>
      <c r="AC184" s="6018">
        <v>1388</v>
      </c>
      <c r="AD184" s="6018">
        <v>3086</v>
      </c>
      <c r="AE184" s="6018">
        <v>3630</v>
      </c>
      <c r="AF184" s="6019">
        <v>4084</v>
      </c>
    </row>
    <row r="185" spans="1:32" ht="13.5">
      <c r="A185" s="6018">
        <v>9100</v>
      </c>
      <c r="B185" s="6019">
        <v>9150</v>
      </c>
      <c r="C185" s="6020">
        <f t="shared" si="24"/>
        <v>1396</v>
      </c>
      <c r="D185" s="6018">
        <f t="shared" si="25"/>
        <v>3103</v>
      </c>
      <c r="E185" s="6018">
        <f t="shared" si="26"/>
        <v>3650</v>
      </c>
      <c r="F185" s="6019">
        <f t="shared" si="27"/>
        <v>4106</v>
      </c>
      <c r="G185" s="6020">
        <f t="shared" si="20"/>
        <v>1396</v>
      </c>
      <c r="H185" s="6018">
        <f t="shared" si="21"/>
        <v>3103</v>
      </c>
      <c r="I185" s="6018">
        <f t="shared" si="22"/>
        <v>3650</v>
      </c>
      <c r="J185" s="6019">
        <f t="shared" si="23"/>
        <v>4106</v>
      </c>
      <c r="K185" s="1732"/>
      <c r="L185" s="6018">
        <v>9125</v>
      </c>
      <c r="W185" s="6018">
        <v>9100</v>
      </c>
      <c r="X185" s="6019">
        <v>9150</v>
      </c>
      <c r="Y185" s="6018">
        <v>1396</v>
      </c>
      <c r="Z185" s="6018">
        <v>3103</v>
      </c>
      <c r="AA185" s="6018">
        <v>3650</v>
      </c>
      <c r="AB185" s="6019">
        <v>4106</v>
      </c>
      <c r="AC185" s="6018">
        <v>1396</v>
      </c>
      <c r="AD185" s="6018">
        <v>3103</v>
      </c>
      <c r="AE185" s="6018">
        <v>3650</v>
      </c>
      <c r="AF185" s="6019">
        <v>4106</v>
      </c>
    </row>
    <row r="186" spans="1:32" ht="13.5">
      <c r="A186" s="6018">
        <v>9150</v>
      </c>
      <c r="B186" s="6019">
        <v>9200</v>
      </c>
      <c r="C186" s="6020">
        <f t="shared" si="24"/>
        <v>1404</v>
      </c>
      <c r="D186" s="6018">
        <f t="shared" si="25"/>
        <v>3120</v>
      </c>
      <c r="E186" s="6018">
        <f t="shared" si="26"/>
        <v>3670</v>
      </c>
      <c r="F186" s="6019">
        <f t="shared" si="27"/>
        <v>4129</v>
      </c>
      <c r="G186" s="6020">
        <f t="shared" si="20"/>
        <v>1404</v>
      </c>
      <c r="H186" s="6018">
        <f t="shared" si="21"/>
        <v>3120</v>
      </c>
      <c r="I186" s="6018">
        <f t="shared" si="22"/>
        <v>3670</v>
      </c>
      <c r="J186" s="6019">
        <f t="shared" si="23"/>
        <v>4129</v>
      </c>
      <c r="K186" s="1732"/>
      <c r="L186" s="6018">
        <v>9175</v>
      </c>
      <c r="W186" s="6018">
        <v>9150</v>
      </c>
      <c r="X186" s="6019">
        <v>9200</v>
      </c>
      <c r="Y186" s="6018">
        <v>1404</v>
      </c>
      <c r="Z186" s="6018">
        <v>3120</v>
      </c>
      <c r="AA186" s="6018">
        <v>3670</v>
      </c>
      <c r="AB186" s="6019">
        <v>4129</v>
      </c>
      <c r="AC186" s="6018">
        <v>1404</v>
      </c>
      <c r="AD186" s="6018">
        <v>3120</v>
      </c>
      <c r="AE186" s="6018">
        <v>3670</v>
      </c>
      <c r="AF186" s="6019">
        <v>4129</v>
      </c>
    </row>
    <row r="187" spans="1:32" ht="13.5">
      <c r="A187" s="6018">
        <v>9200</v>
      </c>
      <c r="B187" s="6019">
        <v>9250</v>
      </c>
      <c r="C187" s="6020">
        <f t="shared" si="24"/>
        <v>1411</v>
      </c>
      <c r="D187" s="6018">
        <f t="shared" si="25"/>
        <v>3137</v>
      </c>
      <c r="E187" s="6018">
        <f t="shared" si="26"/>
        <v>3690</v>
      </c>
      <c r="F187" s="6019">
        <f t="shared" si="27"/>
        <v>4151</v>
      </c>
      <c r="G187" s="6020">
        <f t="shared" si="20"/>
        <v>1411</v>
      </c>
      <c r="H187" s="6018">
        <f t="shared" si="21"/>
        <v>3137</v>
      </c>
      <c r="I187" s="6018">
        <f t="shared" si="22"/>
        <v>3690</v>
      </c>
      <c r="J187" s="6019">
        <f t="shared" si="23"/>
        <v>4151</v>
      </c>
      <c r="K187" s="1732"/>
      <c r="L187" s="6018">
        <v>9225</v>
      </c>
      <c r="W187" s="6018">
        <v>9200</v>
      </c>
      <c r="X187" s="6019">
        <v>9250</v>
      </c>
      <c r="Y187" s="6018">
        <v>1411</v>
      </c>
      <c r="Z187" s="6018">
        <v>3137</v>
      </c>
      <c r="AA187" s="6018">
        <v>3690</v>
      </c>
      <c r="AB187" s="6019">
        <v>4151</v>
      </c>
      <c r="AC187" s="6018">
        <v>1411</v>
      </c>
      <c r="AD187" s="6018">
        <v>3137</v>
      </c>
      <c r="AE187" s="6018">
        <v>3690</v>
      </c>
      <c r="AF187" s="6019">
        <v>4151</v>
      </c>
    </row>
    <row r="188" spans="1:32" ht="13.5">
      <c r="A188" s="6018">
        <v>9250</v>
      </c>
      <c r="B188" s="6019">
        <v>9300</v>
      </c>
      <c r="C188" s="6020">
        <f t="shared" si="24"/>
        <v>1419</v>
      </c>
      <c r="D188" s="6018">
        <f t="shared" si="25"/>
        <v>3154</v>
      </c>
      <c r="E188" s="6018">
        <f t="shared" si="26"/>
        <v>3710</v>
      </c>
      <c r="F188" s="6019">
        <f t="shared" si="27"/>
        <v>4174</v>
      </c>
      <c r="G188" s="6020">
        <f t="shared" si="20"/>
        <v>1419</v>
      </c>
      <c r="H188" s="6018">
        <f t="shared" si="21"/>
        <v>3154</v>
      </c>
      <c r="I188" s="6018">
        <f t="shared" si="22"/>
        <v>3710</v>
      </c>
      <c r="J188" s="6019">
        <f t="shared" si="23"/>
        <v>4174</v>
      </c>
      <c r="K188" s="1732"/>
      <c r="L188" s="6018">
        <v>9275</v>
      </c>
      <c r="W188" s="6018">
        <v>9250</v>
      </c>
      <c r="X188" s="6019">
        <v>9300</v>
      </c>
      <c r="Y188" s="6018">
        <v>1419</v>
      </c>
      <c r="Z188" s="6018">
        <v>3154</v>
      </c>
      <c r="AA188" s="6018">
        <v>3710</v>
      </c>
      <c r="AB188" s="6019">
        <v>4174</v>
      </c>
      <c r="AC188" s="6018">
        <v>1419</v>
      </c>
      <c r="AD188" s="6018">
        <v>3154</v>
      </c>
      <c r="AE188" s="6018">
        <v>3710</v>
      </c>
      <c r="AF188" s="6019">
        <v>4174</v>
      </c>
    </row>
    <row r="189" spans="1:32" ht="13.5">
      <c r="A189" s="6018">
        <v>9300</v>
      </c>
      <c r="B189" s="6019">
        <v>9350</v>
      </c>
      <c r="C189" s="6020">
        <f t="shared" si="24"/>
        <v>1427</v>
      </c>
      <c r="D189" s="6018">
        <f t="shared" si="25"/>
        <v>3171</v>
      </c>
      <c r="E189" s="6018">
        <f t="shared" si="26"/>
        <v>3730</v>
      </c>
      <c r="F189" s="6019">
        <f t="shared" si="27"/>
        <v>4196</v>
      </c>
      <c r="G189" s="6020">
        <f t="shared" si="20"/>
        <v>1427</v>
      </c>
      <c r="H189" s="6018">
        <f t="shared" si="21"/>
        <v>3171</v>
      </c>
      <c r="I189" s="6018">
        <f t="shared" si="22"/>
        <v>3730</v>
      </c>
      <c r="J189" s="6019">
        <f t="shared" si="23"/>
        <v>4196</v>
      </c>
      <c r="K189" s="1732"/>
      <c r="L189" s="6018">
        <v>9325</v>
      </c>
      <c r="W189" s="6018">
        <v>9300</v>
      </c>
      <c r="X189" s="6019">
        <v>9350</v>
      </c>
      <c r="Y189" s="6018">
        <v>1427</v>
      </c>
      <c r="Z189" s="6018">
        <v>3171</v>
      </c>
      <c r="AA189" s="6018">
        <v>3730</v>
      </c>
      <c r="AB189" s="6019">
        <v>4196</v>
      </c>
      <c r="AC189" s="6018">
        <v>1427</v>
      </c>
      <c r="AD189" s="6018">
        <v>3171</v>
      </c>
      <c r="AE189" s="6018">
        <v>3730</v>
      </c>
      <c r="AF189" s="6019">
        <v>4196</v>
      </c>
    </row>
    <row r="190" spans="1:32" ht="13.5">
      <c r="A190" s="6018">
        <v>9350</v>
      </c>
      <c r="B190" s="6019">
        <v>9400</v>
      </c>
      <c r="C190" s="6020">
        <f t="shared" si="24"/>
        <v>1434</v>
      </c>
      <c r="D190" s="6018">
        <f t="shared" si="25"/>
        <v>3188</v>
      </c>
      <c r="E190" s="6018">
        <f t="shared" si="26"/>
        <v>3750</v>
      </c>
      <c r="F190" s="6019">
        <f t="shared" si="27"/>
        <v>4219</v>
      </c>
      <c r="G190" s="6020">
        <f t="shared" si="20"/>
        <v>1434</v>
      </c>
      <c r="H190" s="6018">
        <f t="shared" si="21"/>
        <v>3188</v>
      </c>
      <c r="I190" s="6018">
        <f t="shared" si="22"/>
        <v>3750</v>
      </c>
      <c r="J190" s="6019">
        <f t="shared" si="23"/>
        <v>4219</v>
      </c>
      <c r="K190" s="1732"/>
      <c r="L190" s="6018">
        <v>9375</v>
      </c>
      <c r="W190" s="6018">
        <v>9350</v>
      </c>
      <c r="X190" s="6019">
        <v>9400</v>
      </c>
      <c r="Y190" s="6018">
        <v>1434</v>
      </c>
      <c r="Z190" s="6018">
        <v>3188</v>
      </c>
      <c r="AA190" s="6018">
        <v>3750</v>
      </c>
      <c r="AB190" s="6019">
        <v>4219</v>
      </c>
      <c r="AC190" s="6018">
        <v>1434</v>
      </c>
      <c r="AD190" s="6018">
        <v>3188</v>
      </c>
      <c r="AE190" s="6018">
        <v>3750</v>
      </c>
      <c r="AF190" s="6019">
        <v>4219</v>
      </c>
    </row>
    <row r="191" spans="1:32" ht="13.5">
      <c r="A191" s="6018">
        <v>9400</v>
      </c>
      <c r="B191" s="6019">
        <v>9450</v>
      </c>
      <c r="C191" s="6020">
        <f t="shared" si="24"/>
        <v>1442</v>
      </c>
      <c r="D191" s="6018">
        <f t="shared" si="25"/>
        <v>3205</v>
      </c>
      <c r="E191" s="6018">
        <f t="shared" si="26"/>
        <v>3770</v>
      </c>
      <c r="F191" s="6019">
        <f t="shared" si="27"/>
        <v>4241</v>
      </c>
      <c r="G191" s="6020">
        <f t="shared" si="20"/>
        <v>1442</v>
      </c>
      <c r="H191" s="6018">
        <f t="shared" si="21"/>
        <v>3205</v>
      </c>
      <c r="I191" s="6018">
        <f t="shared" si="22"/>
        <v>3770</v>
      </c>
      <c r="J191" s="6019">
        <f t="shared" si="23"/>
        <v>4241</v>
      </c>
      <c r="K191" s="1732"/>
      <c r="L191" s="6018">
        <v>9425</v>
      </c>
      <c r="W191" s="6018">
        <v>9400</v>
      </c>
      <c r="X191" s="6019">
        <v>9450</v>
      </c>
      <c r="Y191" s="6018">
        <v>1442</v>
      </c>
      <c r="Z191" s="6018">
        <v>3205</v>
      </c>
      <c r="AA191" s="6018">
        <v>3770</v>
      </c>
      <c r="AB191" s="6019">
        <v>4241</v>
      </c>
      <c r="AC191" s="6018">
        <v>1442</v>
      </c>
      <c r="AD191" s="6018">
        <v>3205</v>
      </c>
      <c r="AE191" s="6018">
        <v>3770</v>
      </c>
      <c r="AF191" s="6019">
        <v>4241</v>
      </c>
    </row>
    <row r="192" spans="1:32" ht="13.5">
      <c r="A192" s="6018">
        <v>9450</v>
      </c>
      <c r="B192" s="6019">
        <v>9500</v>
      </c>
      <c r="C192" s="6020">
        <f t="shared" si="24"/>
        <v>1450</v>
      </c>
      <c r="D192" s="6018">
        <f t="shared" si="25"/>
        <v>3222</v>
      </c>
      <c r="E192" s="6018">
        <f t="shared" si="26"/>
        <v>3790</v>
      </c>
      <c r="F192" s="6019">
        <f t="shared" si="27"/>
        <v>4264</v>
      </c>
      <c r="G192" s="6020">
        <f t="shared" si="20"/>
        <v>1450</v>
      </c>
      <c r="H192" s="6018">
        <f t="shared" si="21"/>
        <v>3222</v>
      </c>
      <c r="I192" s="6018">
        <f t="shared" si="22"/>
        <v>3790</v>
      </c>
      <c r="J192" s="6019">
        <f t="shared" si="23"/>
        <v>4264</v>
      </c>
      <c r="K192" s="1732"/>
      <c r="L192" s="6018">
        <v>9475</v>
      </c>
      <c r="W192" s="6018">
        <v>9450</v>
      </c>
      <c r="X192" s="6019">
        <v>9500</v>
      </c>
      <c r="Y192" s="6018">
        <v>1450</v>
      </c>
      <c r="Z192" s="6018">
        <v>3222</v>
      </c>
      <c r="AA192" s="6018">
        <v>3790</v>
      </c>
      <c r="AB192" s="6019">
        <v>4264</v>
      </c>
      <c r="AC192" s="6018">
        <v>1450</v>
      </c>
      <c r="AD192" s="6018">
        <v>3222</v>
      </c>
      <c r="AE192" s="6018">
        <v>3790</v>
      </c>
      <c r="AF192" s="6019">
        <v>4264</v>
      </c>
    </row>
    <row r="193" spans="1:32" ht="13.5">
      <c r="A193" s="6018">
        <v>9500</v>
      </c>
      <c r="B193" s="6019">
        <v>9550</v>
      </c>
      <c r="C193" s="6020">
        <f t="shared" si="24"/>
        <v>1457</v>
      </c>
      <c r="D193" s="6018">
        <f t="shared" si="25"/>
        <v>3239</v>
      </c>
      <c r="E193" s="6018">
        <f t="shared" si="26"/>
        <v>3810</v>
      </c>
      <c r="F193" s="6019">
        <f t="shared" si="27"/>
        <v>4286</v>
      </c>
      <c r="G193" s="6020">
        <f t="shared" si="20"/>
        <v>1457</v>
      </c>
      <c r="H193" s="6018">
        <f t="shared" si="21"/>
        <v>3239</v>
      </c>
      <c r="I193" s="6018">
        <f t="shared" si="22"/>
        <v>3810</v>
      </c>
      <c r="J193" s="6019">
        <f t="shared" si="23"/>
        <v>4286</v>
      </c>
      <c r="K193" s="1732"/>
      <c r="L193" s="6018">
        <v>9525</v>
      </c>
      <c r="W193" s="6018">
        <v>9500</v>
      </c>
      <c r="X193" s="6019">
        <v>9550</v>
      </c>
      <c r="Y193" s="6018">
        <v>1457</v>
      </c>
      <c r="Z193" s="6018">
        <v>3239</v>
      </c>
      <c r="AA193" s="6018">
        <v>3810</v>
      </c>
      <c r="AB193" s="6019">
        <v>4286</v>
      </c>
      <c r="AC193" s="6018">
        <v>1457</v>
      </c>
      <c r="AD193" s="6018">
        <v>3239</v>
      </c>
      <c r="AE193" s="6018">
        <v>3810</v>
      </c>
      <c r="AF193" s="6019">
        <v>4286</v>
      </c>
    </row>
    <row r="194" spans="1:32" ht="13.5">
      <c r="A194" s="6018">
        <v>9550</v>
      </c>
      <c r="B194" s="6019">
        <v>9600</v>
      </c>
      <c r="C194" s="6020">
        <f t="shared" si="24"/>
        <v>1465</v>
      </c>
      <c r="D194" s="6018">
        <f t="shared" si="25"/>
        <v>3256</v>
      </c>
      <c r="E194" s="6018">
        <f t="shared" si="26"/>
        <v>3830</v>
      </c>
      <c r="F194" s="6019">
        <f t="shared" si="27"/>
        <v>4309</v>
      </c>
      <c r="G194" s="6020">
        <f t="shared" si="20"/>
        <v>1465</v>
      </c>
      <c r="H194" s="6018">
        <f t="shared" si="21"/>
        <v>3256</v>
      </c>
      <c r="I194" s="6018">
        <f t="shared" si="22"/>
        <v>3830</v>
      </c>
      <c r="J194" s="6019">
        <f t="shared" si="23"/>
        <v>4309</v>
      </c>
      <c r="K194" s="1732"/>
      <c r="L194" s="6018">
        <v>9575</v>
      </c>
      <c r="W194" s="6018">
        <v>9550</v>
      </c>
      <c r="X194" s="6019">
        <v>9600</v>
      </c>
      <c r="Y194" s="6018">
        <v>1465</v>
      </c>
      <c r="Z194" s="6018">
        <v>3256</v>
      </c>
      <c r="AA194" s="6018">
        <v>3830</v>
      </c>
      <c r="AB194" s="6019">
        <v>4309</v>
      </c>
      <c r="AC194" s="6018">
        <v>1465</v>
      </c>
      <c r="AD194" s="6018">
        <v>3256</v>
      </c>
      <c r="AE194" s="6018">
        <v>3830</v>
      </c>
      <c r="AF194" s="6019">
        <v>4309</v>
      </c>
    </row>
    <row r="195" spans="1:32" ht="13.5">
      <c r="A195" s="6018">
        <v>9600</v>
      </c>
      <c r="B195" s="6019">
        <v>9650</v>
      </c>
      <c r="C195" s="6020">
        <f t="shared" si="24"/>
        <v>1473</v>
      </c>
      <c r="D195" s="6018">
        <f t="shared" si="25"/>
        <v>3273</v>
      </c>
      <c r="E195" s="6018">
        <f t="shared" si="26"/>
        <v>3850</v>
      </c>
      <c r="F195" s="6019">
        <f t="shared" si="27"/>
        <v>4331</v>
      </c>
      <c r="G195" s="6020">
        <f t="shared" si="20"/>
        <v>1473</v>
      </c>
      <c r="H195" s="6018">
        <f t="shared" si="21"/>
        <v>3273</v>
      </c>
      <c r="I195" s="6018">
        <f t="shared" si="22"/>
        <v>3850</v>
      </c>
      <c r="J195" s="6019">
        <f t="shared" si="23"/>
        <v>4331</v>
      </c>
      <c r="K195" s="1732"/>
      <c r="L195" s="6018">
        <v>9625</v>
      </c>
      <c r="W195" s="6018">
        <v>9600</v>
      </c>
      <c r="X195" s="6019">
        <v>9650</v>
      </c>
      <c r="Y195" s="6018">
        <v>1473</v>
      </c>
      <c r="Z195" s="6018">
        <v>3273</v>
      </c>
      <c r="AA195" s="6018">
        <v>3850</v>
      </c>
      <c r="AB195" s="6019">
        <v>4331</v>
      </c>
      <c r="AC195" s="6018">
        <v>1473</v>
      </c>
      <c r="AD195" s="6018">
        <v>3273</v>
      </c>
      <c r="AE195" s="6018">
        <v>3850</v>
      </c>
      <c r="AF195" s="6019">
        <v>4331</v>
      </c>
    </row>
    <row r="196" spans="1:32" ht="13.5">
      <c r="A196" s="6018">
        <v>9650</v>
      </c>
      <c r="B196" s="6019">
        <v>9700</v>
      </c>
      <c r="C196" s="6020">
        <f t="shared" si="24"/>
        <v>1480</v>
      </c>
      <c r="D196" s="6018">
        <f t="shared" si="25"/>
        <v>3290</v>
      </c>
      <c r="E196" s="6018">
        <f t="shared" si="26"/>
        <v>3870</v>
      </c>
      <c r="F196" s="6019">
        <f t="shared" si="27"/>
        <v>4354</v>
      </c>
      <c r="G196" s="6020">
        <f t="shared" ref="G196:G259" si="28">IF($L196&gt;R$5,MAX(0,R$3+ROUND((R$9*($L196-R$5)),0)),IF($L196&gt;R$4,R$3,ROUND($L196*R$7,0)))</f>
        <v>1480</v>
      </c>
      <c r="H196" s="6018">
        <f t="shared" ref="H196:H259" si="29">IF($L196&gt;S$5,MAX(0,S$3+ROUND((S$9*($L196-S$5)),0)),IF($L196&gt;S$4,S$3,ROUND($L196*S$7,0)))</f>
        <v>3290</v>
      </c>
      <c r="I196" s="6018">
        <f t="shared" ref="I196:I259" si="30">IF($L196&gt;T$5,MAX(0,T$3+ROUND((T$9*($L196-T$5)),0)),IF($L196&gt;T$4,T$3,ROUND($L196*T$7,0)))</f>
        <v>3870</v>
      </c>
      <c r="J196" s="6019">
        <f t="shared" ref="J196:J259" si="31">IF($L196&gt;U$5,MAX(0,U$3+ROUND((U$9*($L196-U$5)),0)),IF($L196&gt;U$4,U$3,ROUND($L196*U$7,0)))</f>
        <v>4354</v>
      </c>
      <c r="K196" s="1732"/>
      <c r="L196" s="6018">
        <v>9675</v>
      </c>
      <c r="W196" s="6018">
        <v>9650</v>
      </c>
      <c r="X196" s="6019">
        <v>9700</v>
      </c>
      <c r="Y196" s="6018">
        <v>1480</v>
      </c>
      <c r="Z196" s="6018">
        <v>3290</v>
      </c>
      <c r="AA196" s="6018">
        <v>3870</v>
      </c>
      <c r="AB196" s="6019">
        <v>4354</v>
      </c>
      <c r="AC196" s="6018">
        <v>1480</v>
      </c>
      <c r="AD196" s="6018">
        <v>3290</v>
      </c>
      <c r="AE196" s="6018">
        <v>3870</v>
      </c>
      <c r="AF196" s="6019">
        <v>4354</v>
      </c>
    </row>
    <row r="197" spans="1:32" ht="13.5">
      <c r="A197" s="6018">
        <v>9700</v>
      </c>
      <c r="B197" s="6019">
        <v>9750</v>
      </c>
      <c r="C197" s="6020">
        <f t="shared" si="24"/>
        <v>1488</v>
      </c>
      <c r="D197" s="6018">
        <f t="shared" si="25"/>
        <v>3307</v>
      </c>
      <c r="E197" s="6018">
        <f t="shared" si="26"/>
        <v>3890</v>
      </c>
      <c r="F197" s="6019">
        <f t="shared" si="27"/>
        <v>4376</v>
      </c>
      <c r="G197" s="6020">
        <f t="shared" si="28"/>
        <v>1488</v>
      </c>
      <c r="H197" s="6018">
        <f t="shared" si="29"/>
        <v>3307</v>
      </c>
      <c r="I197" s="6018">
        <f t="shared" si="30"/>
        <v>3890</v>
      </c>
      <c r="J197" s="6019">
        <f t="shared" si="31"/>
        <v>4376</v>
      </c>
      <c r="K197" s="1732"/>
      <c r="L197" s="6018">
        <v>9725</v>
      </c>
      <c r="W197" s="6018">
        <v>9700</v>
      </c>
      <c r="X197" s="6019">
        <v>9750</v>
      </c>
      <c r="Y197" s="6018">
        <v>1488</v>
      </c>
      <c r="Z197" s="6018">
        <v>3307</v>
      </c>
      <c r="AA197" s="6018">
        <v>3890</v>
      </c>
      <c r="AB197" s="6019">
        <v>4376</v>
      </c>
      <c r="AC197" s="6018">
        <v>1488</v>
      </c>
      <c r="AD197" s="6018">
        <v>3307</v>
      </c>
      <c r="AE197" s="6018">
        <v>3890</v>
      </c>
      <c r="AF197" s="6019">
        <v>4376</v>
      </c>
    </row>
    <row r="198" spans="1:32" ht="13.5">
      <c r="A198" s="6018">
        <v>9750</v>
      </c>
      <c r="B198" s="6019">
        <v>9800</v>
      </c>
      <c r="C198" s="6020">
        <f t="shared" ref="C198:C234" si="32">IF($L198&gt;N$5,MAX(0,N$3+ROUND((N$9*($L198-N$5)),0)),IF($L198&gt;N$4,N$3,ROUND($L198*N$7,0)))</f>
        <v>1496</v>
      </c>
      <c r="D198" s="6018">
        <f t="shared" ref="D198:D261" si="33">IF($L198&gt;O$5,MAX(0,O$3+ROUND((O$9*($L198-O$5)),0)),IF($L198&gt;O$4,O$3,ROUND($L198*O$7,0)))</f>
        <v>3324</v>
      </c>
      <c r="E198" s="6018">
        <f t="shared" ref="E198:E261" si="34">IF($L198&gt;P$5,MAX(0,P$3+ROUND((P$9*($L198-P$5)),0)),IF($L198&gt;P$4,P$3,ROUND($L198*P$7,0)))</f>
        <v>3910</v>
      </c>
      <c r="F198" s="6019">
        <f t="shared" ref="F198:F261" si="35">IF($L198&gt;Q$5,MAX(0,Q$3+ROUND((Q$9*($L198-Q$5)),0)),IF($L198&gt;Q$4,Q$3,ROUND($L198*Q$7,0)))</f>
        <v>4399</v>
      </c>
      <c r="G198" s="6020">
        <f t="shared" si="28"/>
        <v>1496</v>
      </c>
      <c r="H198" s="6018">
        <f t="shared" si="29"/>
        <v>3324</v>
      </c>
      <c r="I198" s="6018">
        <f t="shared" si="30"/>
        <v>3910</v>
      </c>
      <c r="J198" s="6019">
        <f t="shared" si="31"/>
        <v>4399</v>
      </c>
      <c r="K198" s="1732"/>
      <c r="L198" s="6018">
        <v>9775</v>
      </c>
      <c r="W198" s="6018">
        <v>9750</v>
      </c>
      <c r="X198" s="6019">
        <v>9800</v>
      </c>
      <c r="Y198" s="6018">
        <v>1496</v>
      </c>
      <c r="Z198" s="6018">
        <v>3324</v>
      </c>
      <c r="AA198" s="6018">
        <v>3910</v>
      </c>
      <c r="AB198" s="6019">
        <v>4399</v>
      </c>
      <c r="AC198" s="6018">
        <v>1496</v>
      </c>
      <c r="AD198" s="6018">
        <v>3324</v>
      </c>
      <c r="AE198" s="6018">
        <v>3910</v>
      </c>
      <c r="AF198" s="6019">
        <v>4399</v>
      </c>
    </row>
    <row r="199" spans="1:32" ht="13.5">
      <c r="A199" s="6018">
        <v>9800</v>
      </c>
      <c r="B199" s="6019">
        <v>9850</v>
      </c>
      <c r="C199" s="6020">
        <f t="shared" si="32"/>
        <v>1502</v>
      </c>
      <c r="D199" s="6018">
        <f t="shared" si="33"/>
        <v>3341</v>
      </c>
      <c r="E199" s="6018">
        <f t="shared" si="34"/>
        <v>3930</v>
      </c>
      <c r="F199" s="6019">
        <f t="shared" si="35"/>
        <v>4421</v>
      </c>
      <c r="G199" s="6020">
        <f t="shared" si="28"/>
        <v>1502</v>
      </c>
      <c r="H199" s="6018">
        <f t="shared" si="29"/>
        <v>3341</v>
      </c>
      <c r="I199" s="6018">
        <f t="shared" si="30"/>
        <v>3930</v>
      </c>
      <c r="J199" s="6019">
        <f t="shared" si="31"/>
        <v>4421</v>
      </c>
      <c r="K199" s="1732"/>
      <c r="L199" s="6018">
        <v>9825</v>
      </c>
      <c r="W199" s="6018">
        <v>9800</v>
      </c>
      <c r="X199" s="6019">
        <v>9850</v>
      </c>
      <c r="Y199" s="6018">
        <v>1502</v>
      </c>
      <c r="Z199" s="6018">
        <v>3341</v>
      </c>
      <c r="AA199" s="6018">
        <v>3930</v>
      </c>
      <c r="AB199" s="6019">
        <v>4421</v>
      </c>
      <c r="AC199" s="6018">
        <v>1502</v>
      </c>
      <c r="AD199" s="6018">
        <v>3341</v>
      </c>
      <c r="AE199" s="6018">
        <v>3930</v>
      </c>
      <c r="AF199" s="6019">
        <v>4421</v>
      </c>
    </row>
    <row r="200" spans="1:32" ht="13.5">
      <c r="A200" s="6018">
        <v>9850</v>
      </c>
      <c r="B200" s="6019">
        <v>9900</v>
      </c>
      <c r="C200" s="6020">
        <f t="shared" si="32"/>
        <v>1502</v>
      </c>
      <c r="D200" s="6018">
        <f t="shared" si="33"/>
        <v>3358</v>
      </c>
      <c r="E200" s="6018">
        <f t="shared" si="34"/>
        <v>3950</v>
      </c>
      <c r="F200" s="6019">
        <f t="shared" si="35"/>
        <v>4444</v>
      </c>
      <c r="G200" s="6020">
        <f t="shared" si="28"/>
        <v>1502</v>
      </c>
      <c r="H200" s="6018">
        <f t="shared" si="29"/>
        <v>3358</v>
      </c>
      <c r="I200" s="6018">
        <f t="shared" si="30"/>
        <v>3950</v>
      </c>
      <c r="J200" s="6019">
        <f t="shared" si="31"/>
        <v>4444</v>
      </c>
      <c r="K200" s="1732"/>
      <c r="L200" s="6018">
        <v>9875</v>
      </c>
      <c r="W200" s="6018">
        <v>9850</v>
      </c>
      <c r="X200" s="6019">
        <v>9900</v>
      </c>
      <c r="Y200" s="6018">
        <v>1502</v>
      </c>
      <c r="Z200" s="6018">
        <v>3358</v>
      </c>
      <c r="AA200" s="6018">
        <v>3950</v>
      </c>
      <c r="AB200" s="6019">
        <v>4444</v>
      </c>
      <c r="AC200" s="6018">
        <v>1502</v>
      </c>
      <c r="AD200" s="6018">
        <v>3358</v>
      </c>
      <c r="AE200" s="6018">
        <v>3950</v>
      </c>
      <c r="AF200" s="6019">
        <v>4444</v>
      </c>
    </row>
    <row r="201" spans="1:32" ht="13.5">
      <c r="A201" s="6018">
        <v>9900</v>
      </c>
      <c r="B201" s="6019">
        <v>9950</v>
      </c>
      <c r="C201" s="6020">
        <f t="shared" si="32"/>
        <v>1502</v>
      </c>
      <c r="D201" s="6018">
        <f t="shared" si="33"/>
        <v>3375</v>
      </c>
      <c r="E201" s="6018">
        <f t="shared" si="34"/>
        <v>3970</v>
      </c>
      <c r="F201" s="6019">
        <f t="shared" si="35"/>
        <v>4466</v>
      </c>
      <c r="G201" s="6020">
        <f t="shared" si="28"/>
        <v>1502</v>
      </c>
      <c r="H201" s="6018">
        <f t="shared" si="29"/>
        <v>3375</v>
      </c>
      <c r="I201" s="6018">
        <f t="shared" si="30"/>
        <v>3970</v>
      </c>
      <c r="J201" s="6019">
        <f t="shared" si="31"/>
        <v>4466</v>
      </c>
      <c r="K201" s="1732"/>
      <c r="L201" s="6018">
        <v>9925</v>
      </c>
      <c r="W201" s="6018">
        <v>9900</v>
      </c>
      <c r="X201" s="6019">
        <v>9950</v>
      </c>
      <c r="Y201" s="6018">
        <v>1502</v>
      </c>
      <c r="Z201" s="6018">
        <v>3375</v>
      </c>
      <c r="AA201" s="6018">
        <v>3970</v>
      </c>
      <c r="AB201" s="6019">
        <v>4466</v>
      </c>
      <c r="AC201" s="6018">
        <v>1502</v>
      </c>
      <c r="AD201" s="6018">
        <v>3375</v>
      </c>
      <c r="AE201" s="6018">
        <v>3970</v>
      </c>
      <c r="AF201" s="6019">
        <v>4466</v>
      </c>
    </row>
    <row r="202" spans="1:32" ht="13.5">
      <c r="A202" s="6018">
        <v>9950</v>
      </c>
      <c r="B202" s="6019">
        <v>10000</v>
      </c>
      <c r="C202" s="6020">
        <f t="shared" si="32"/>
        <v>1502</v>
      </c>
      <c r="D202" s="6018">
        <f t="shared" si="33"/>
        <v>3392</v>
      </c>
      <c r="E202" s="6018">
        <f t="shared" si="34"/>
        <v>3990</v>
      </c>
      <c r="F202" s="6019">
        <f t="shared" si="35"/>
        <v>4489</v>
      </c>
      <c r="G202" s="6020">
        <f t="shared" si="28"/>
        <v>1502</v>
      </c>
      <c r="H202" s="6018">
        <f t="shared" si="29"/>
        <v>3392</v>
      </c>
      <c r="I202" s="6018">
        <f t="shared" si="30"/>
        <v>3990</v>
      </c>
      <c r="J202" s="6019">
        <f t="shared" si="31"/>
        <v>4489</v>
      </c>
      <c r="K202" s="1732"/>
      <c r="L202" s="6018">
        <v>9975</v>
      </c>
      <c r="W202" s="6018">
        <v>9950</v>
      </c>
      <c r="X202" s="6019">
        <v>10000</v>
      </c>
      <c r="Y202" s="6018">
        <v>1502</v>
      </c>
      <c r="Z202" s="6018">
        <v>3392</v>
      </c>
      <c r="AA202" s="6018">
        <v>3990</v>
      </c>
      <c r="AB202" s="6019">
        <v>4489</v>
      </c>
      <c r="AC202" s="6018">
        <v>1502</v>
      </c>
      <c r="AD202" s="6018">
        <v>3392</v>
      </c>
      <c r="AE202" s="6018">
        <v>3990</v>
      </c>
      <c r="AF202" s="6019">
        <v>4489</v>
      </c>
    </row>
    <row r="203" spans="1:32" ht="13.5">
      <c r="A203" s="6018">
        <v>10000</v>
      </c>
      <c r="B203" s="6019">
        <v>10050</v>
      </c>
      <c r="C203" s="6020">
        <f t="shared" si="32"/>
        <v>1502</v>
      </c>
      <c r="D203" s="6018">
        <f t="shared" si="33"/>
        <v>3409</v>
      </c>
      <c r="E203" s="6018">
        <f t="shared" si="34"/>
        <v>4010</v>
      </c>
      <c r="F203" s="6019">
        <f t="shared" si="35"/>
        <v>4511</v>
      </c>
      <c r="G203" s="6020">
        <f t="shared" si="28"/>
        <v>1502</v>
      </c>
      <c r="H203" s="6018">
        <f t="shared" si="29"/>
        <v>3409</v>
      </c>
      <c r="I203" s="6018">
        <f t="shared" si="30"/>
        <v>4010</v>
      </c>
      <c r="J203" s="6019">
        <f t="shared" si="31"/>
        <v>4511</v>
      </c>
      <c r="K203" s="1732"/>
      <c r="L203" s="6018">
        <v>10025</v>
      </c>
      <c r="W203" s="6018">
        <v>10000</v>
      </c>
      <c r="X203" s="6019">
        <v>10050</v>
      </c>
      <c r="Y203" s="6018">
        <v>1502</v>
      </c>
      <c r="Z203" s="6018">
        <v>3409</v>
      </c>
      <c r="AA203" s="6018">
        <v>4010</v>
      </c>
      <c r="AB203" s="6019">
        <v>4511</v>
      </c>
      <c r="AC203" s="6018">
        <v>1502</v>
      </c>
      <c r="AD203" s="6018">
        <v>3409</v>
      </c>
      <c r="AE203" s="6018">
        <v>4010</v>
      </c>
      <c r="AF203" s="6019">
        <v>4511</v>
      </c>
    </row>
    <row r="204" spans="1:32" ht="13.5">
      <c r="A204" s="6018">
        <v>10050</v>
      </c>
      <c r="B204" s="6019">
        <v>10100</v>
      </c>
      <c r="C204" s="6020">
        <f t="shared" si="32"/>
        <v>1502</v>
      </c>
      <c r="D204" s="6018">
        <f t="shared" si="33"/>
        <v>3426</v>
      </c>
      <c r="E204" s="6018">
        <f t="shared" si="34"/>
        <v>4030</v>
      </c>
      <c r="F204" s="6019">
        <f t="shared" si="35"/>
        <v>4534</v>
      </c>
      <c r="G204" s="6020">
        <f t="shared" si="28"/>
        <v>1502</v>
      </c>
      <c r="H204" s="6018">
        <f t="shared" si="29"/>
        <v>3426</v>
      </c>
      <c r="I204" s="6018">
        <f t="shared" si="30"/>
        <v>4030</v>
      </c>
      <c r="J204" s="6019">
        <f t="shared" si="31"/>
        <v>4534</v>
      </c>
      <c r="K204" s="1732"/>
      <c r="L204" s="6018">
        <v>10075</v>
      </c>
      <c r="W204" s="6018">
        <v>10050</v>
      </c>
      <c r="X204" s="6019">
        <v>10100</v>
      </c>
      <c r="Y204" s="6018">
        <v>1502</v>
      </c>
      <c r="Z204" s="6018">
        <v>3426</v>
      </c>
      <c r="AA204" s="6018">
        <v>4030</v>
      </c>
      <c r="AB204" s="6019">
        <v>4534</v>
      </c>
      <c r="AC204" s="6018">
        <v>1502</v>
      </c>
      <c r="AD204" s="6018">
        <v>3426</v>
      </c>
      <c r="AE204" s="6018">
        <v>4030</v>
      </c>
      <c r="AF204" s="6019">
        <v>4534</v>
      </c>
    </row>
    <row r="205" spans="1:32" ht="13.5">
      <c r="A205" s="6018">
        <v>10100</v>
      </c>
      <c r="B205" s="6019">
        <v>10150</v>
      </c>
      <c r="C205" s="6020">
        <f t="shared" si="32"/>
        <v>1502</v>
      </c>
      <c r="D205" s="6018">
        <f t="shared" si="33"/>
        <v>3443</v>
      </c>
      <c r="E205" s="6018">
        <f t="shared" si="34"/>
        <v>4050</v>
      </c>
      <c r="F205" s="6019">
        <f t="shared" si="35"/>
        <v>4556</v>
      </c>
      <c r="G205" s="6020">
        <f t="shared" si="28"/>
        <v>1502</v>
      </c>
      <c r="H205" s="6018">
        <f t="shared" si="29"/>
        <v>3443</v>
      </c>
      <c r="I205" s="6018">
        <f t="shared" si="30"/>
        <v>4050</v>
      </c>
      <c r="J205" s="6019">
        <f t="shared" si="31"/>
        <v>4556</v>
      </c>
      <c r="K205" s="1732"/>
      <c r="L205" s="6018">
        <v>10125</v>
      </c>
      <c r="W205" s="6018">
        <v>10100</v>
      </c>
      <c r="X205" s="6019">
        <v>10150</v>
      </c>
      <c r="Y205" s="6018">
        <v>1502</v>
      </c>
      <c r="Z205" s="6018">
        <v>3443</v>
      </c>
      <c r="AA205" s="6018">
        <v>4050</v>
      </c>
      <c r="AB205" s="6019">
        <v>4556</v>
      </c>
      <c r="AC205" s="6018">
        <v>1502</v>
      </c>
      <c r="AD205" s="6018">
        <v>3443</v>
      </c>
      <c r="AE205" s="6018">
        <v>4050</v>
      </c>
      <c r="AF205" s="6019">
        <v>4556</v>
      </c>
    </row>
    <row r="206" spans="1:32" ht="13.5">
      <c r="A206" s="6018">
        <v>10150</v>
      </c>
      <c r="B206" s="6019">
        <v>10200</v>
      </c>
      <c r="C206" s="6020">
        <f t="shared" si="32"/>
        <v>1502</v>
      </c>
      <c r="D206" s="6018">
        <f t="shared" si="33"/>
        <v>3460</v>
      </c>
      <c r="E206" s="6018">
        <f t="shared" si="34"/>
        <v>4070</v>
      </c>
      <c r="F206" s="6019">
        <f t="shared" si="35"/>
        <v>4579</v>
      </c>
      <c r="G206" s="6020">
        <f t="shared" si="28"/>
        <v>1502</v>
      </c>
      <c r="H206" s="6018">
        <f t="shared" si="29"/>
        <v>3460</v>
      </c>
      <c r="I206" s="6018">
        <f t="shared" si="30"/>
        <v>4070</v>
      </c>
      <c r="J206" s="6019">
        <f t="shared" si="31"/>
        <v>4579</v>
      </c>
      <c r="K206" s="1732"/>
      <c r="L206" s="6018">
        <v>10175</v>
      </c>
      <c r="W206" s="6018">
        <v>10150</v>
      </c>
      <c r="X206" s="6019">
        <v>10200</v>
      </c>
      <c r="Y206" s="6018">
        <v>1502</v>
      </c>
      <c r="Z206" s="6018">
        <v>3460</v>
      </c>
      <c r="AA206" s="6018">
        <v>4070</v>
      </c>
      <c r="AB206" s="6019">
        <v>4579</v>
      </c>
      <c r="AC206" s="6018">
        <v>1502</v>
      </c>
      <c r="AD206" s="6018">
        <v>3460</v>
      </c>
      <c r="AE206" s="6018">
        <v>4070</v>
      </c>
      <c r="AF206" s="6019">
        <v>4579</v>
      </c>
    </row>
    <row r="207" spans="1:32" ht="13.5">
      <c r="A207" s="6018">
        <v>10200</v>
      </c>
      <c r="B207" s="6019">
        <v>10250</v>
      </c>
      <c r="C207" s="6020">
        <f t="shared" si="32"/>
        <v>1502</v>
      </c>
      <c r="D207" s="6018">
        <f t="shared" si="33"/>
        <v>3477</v>
      </c>
      <c r="E207" s="6018">
        <f t="shared" si="34"/>
        <v>4090</v>
      </c>
      <c r="F207" s="6019">
        <f t="shared" si="35"/>
        <v>4601</v>
      </c>
      <c r="G207" s="6020">
        <f t="shared" si="28"/>
        <v>1502</v>
      </c>
      <c r="H207" s="6018">
        <f t="shared" si="29"/>
        <v>3477</v>
      </c>
      <c r="I207" s="6018">
        <f t="shared" si="30"/>
        <v>4090</v>
      </c>
      <c r="J207" s="6019">
        <f t="shared" si="31"/>
        <v>4601</v>
      </c>
      <c r="K207" s="1732"/>
      <c r="L207" s="6018">
        <v>10225</v>
      </c>
      <c r="W207" s="6018">
        <v>10200</v>
      </c>
      <c r="X207" s="6019">
        <v>10250</v>
      </c>
      <c r="Y207" s="6018">
        <v>1502</v>
      </c>
      <c r="Z207" s="6018">
        <v>3477</v>
      </c>
      <c r="AA207" s="6018">
        <v>4090</v>
      </c>
      <c r="AB207" s="6019">
        <v>4601</v>
      </c>
      <c r="AC207" s="6018">
        <v>1502</v>
      </c>
      <c r="AD207" s="6018">
        <v>3477</v>
      </c>
      <c r="AE207" s="6018">
        <v>4090</v>
      </c>
      <c r="AF207" s="6019">
        <v>4601</v>
      </c>
    </row>
    <row r="208" spans="1:32" ht="13.5">
      <c r="A208" s="6018">
        <v>10250</v>
      </c>
      <c r="B208" s="6019">
        <v>10300</v>
      </c>
      <c r="C208" s="6020">
        <f t="shared" si="32"/>
        <v>1502</v>
      </c>
      <c r="D208" s="6018">
        <f t="shared" si="33"/>
        <v>3494</v>
      </c>
      <c r="E208" s="6018">
        <f t="shared" si="34"/>
        <v>4110</v>
      </c>
      <c r="F208" s="6019">
        <f t="shared" si="35"/>
        <v>4624</v>
      </c>
      <c r="G208" s="6020">
        <f t="shared" si="28"/>
        <v>1502</v>
      </c>
      <c r="H208" s="6018">
        <f t="shared" si="29"/>
        <v>3494</v>
      </c>
      <c r="I208" s="6018">
        <f t="shared" si="30"/>
        <v>4110</v>
      </c>
      <c r="J208" s="6019">
        <f t="shared" si="31"/>
        <v>4624</v>
      </c>
      <c r="K208" s="1732"/>
      <c r="L208" s="6018">
        <v>10275</v>
      </c>
      <c r="W208" s="6018">
        <v>10250</v>
      </c>
      <c r="X208" s="6019">
        <v>10300</v>
      </c>
      <c r="Y208" s="6018">
        <v>1502</v>
      </c>
      <c r="Z208" s="6018">
        <v>3494</v>
      </c>
      <c r="AA208" s="6018">
        <v>4110</v>
      </c>
      <c r="AB208" s="6019">
        <v>4624</v>
      </c>
      <c r="AC208" s="6018">
        <v>1502</v>
      </c>
      <c r="AD208" s="6018">
        <v>3494</v>
      </c>
      <c r="AE208" s="6018">
        <v>4110</v>
      </c>
      <c r="AF208" s="6019">
        <v>4624</v>
      </c>
    </row>
    <row r="209" spans="1:32" ht="13.5">
      <c r="A209" s="6018">
        <v>10300</v>
      </c>
      <c r="B209" s="6019">
        <v>10350</v>
      </c>
      <c r="C209" s="6020">
        <f t="shared" si="32"/>
        <v>1502</v>
      </c>
      <c r="D209" s="6018">
        <f t="shared" si="33"/>
        <v>3511</v>
      </c>
      <c r="E209" s="6018">
        <f t="shared" si="34"/>
        <v>4130</v>
      </c>
      <c r="F209" s="6019">
        <f t="shared" si="35"/>
        <v>4646</v>
      </c>
      <c r="G209" s="6020">
        <f t="shared" si="28"/>
        <v>1502</v>
      </c>
      <c r="H209" s="6018">
        <f t="shared" si="29"/>
        <v>3511</v>
      </c>
      <c r="I209" s="6018">
        <f t="shared" si="30"/>
        <v>4130</v>
      </c>
      <c r="J209" s="6019">
        <f t="shared" si="31"/>
        <v>4646</v>
      </c>
      <c r="K209" s="1732"/>
      <c r="L209" s="6018">
        <v>10325</v>
      </c>
      <c r="W209" s="6018">
        <v>10300</v>
      </c>
      <c r="X209" s="6019">
        <v>10350</v>
      </c>
      <c r="Y209" s="6018">
        <v>1502</v>
      </c>
      <c r="Z209" s="6018">
        <v>3511</v>
      </c>
      <c r="AA209" s="6018">
        <v>4130</v>
      </c>
      <c r="AB209" s="6019">
        <v>4646</v>
      </c>
      <c r="AC209" s="6018">
        <v>1502</v>
      </c>
      <c r="AD209" s="6018">
        <v>3511</v>
      </c>
      <c r="AE209" s="6018">
        <v>4130</v>
      </c>
      <c r="AF209" s="6019">
        <v>4646</v>
      </c>
    </row>
    <row r="210" spans="1:32" ht="13.5">
      <c r="A210" s="6018">
        <v>10350</v>
      </c>
      <c r="B210" s="6019">
        <v>10400</v>
      </c>
      <c r="C210" s="6020">
        <f t="shared" si="32"/>
        <v>1502</v>
      </c>
      <c r="D210" s="6018">
        <f t="shared" si="33"/>
        <v>3528</v>
      </c>
      <c r="E210" s="6018">
        <f t="shared" si="34"/>
        <v>4150</v>
      </c>
      <c r="F210" s="6019">
        <f t="shared" si="35"/>
        <v>4669</v>
      </c>
      <c r="G210" s="6020">
        <f t="shared" si="28"/>
        <v>1502</v>
      </c>
      <c r="H210" s="6018">
        <f t="shared" si="29"/>
        <v>3528</v>
      </c>
      <c r="I210" s="6018">
        <f t="shared" si="30"/>
        <v>4150</v>
      </c>
      <c r="J210" s="6019">
        <f t="shared" si="31"/>
        <v>4669</v>
      </c>
      <c r="K210" s="1732"/>
      <c r="L210" s="6018">
        <v>10375</v>
      </c>
      <c r="W210" s="6018">
        <v>10350</v>
      </c>
      <c r="X210" s="6019">
        <v>10400</v>
      </c>
      <c r="Y210" s="6018">
        <v>1502</v>
      </c>
      <c r="Z210" s="6018">
        <v>3528</v>
      </c>
      <c r="AA210" s="6018">
        <v>4150</v>
      </c>
      <c r="AB210" s="6019">
        <v>4669</v>
      </c>
      <c r="AC210" s="6018">
        <v>1502</v>
      </c>
      <c r="AD210" s="6018">
        <v>3528</v>
      </c>
      <c r="AE210" s="6018">
        <v>4150</v>
      </c>
      <c r="AF210" s="6019">
        <v>4669</v>
      </c>
    </row>
    <row r="211" spans="1:32" ht="13.5">
      <c r="A211" s="6018">
        <v>10400</v>
      </c>
      <c r="B211" s="6019">
        <v>10450</v>
      </c>
      <c r="C211" s="6020">
        <f t="shared" si="32"/>
        <v>1502</v>
      </c>
      <c r="D211" s="6018">
        <f t="shared" si="33"/>
        <v>3545</v>
      </c>
      <c r="E211" s="6018">
        <f t="shared" si="34"/>
        <v>4170</v>
      </c>
      <c r="F211" s="6019">
        <f t="shared" si="35"/>
        <v>4691</v>
      </c>
      <c r="G211" s="6020">
        <f t="shared" si="28"/>
        <v>1502</v>
      </c>
      <c r="H211" s="6018">
        <f t="shared" si="29"/>
        <v>3545</v>
      </c>
      <c r="I211" s="6018">
        <f t="shared" si="30"/>
        <v>4170</v>
      </c>
      <c r="J211" s="6019">
        <f t="shared" si="31"/>
        <v>4691</v>
      </c>
      <c r="K211" s="1732"/>
      <c r="L211" s="6018">
        <v>10425</v>
      </c>
      <c r="W211" s="6018">
        <v>10400</v>
      </c>
      <c r="X211" s="6019">
        <v>10450</v>
      </c>
      <c r="Y211" s="6018">
        <v>1502</v>
      </c>
      <c r="Z211" s="6018">
        <v>3545</v>
      </c>
      <c r="AA211" s="6018">
        <v>4170</v>
      </c>
      <c r="AB211" s="6019">
        <v>4691</v>
      </c>
      <c r="AC211" s="6018">
        <v>1502</v>
      </c>
      <c r="AD211" s="6018">
        <v>3545</v>
      </c>
      <c r="AE211" s="6018">
        <v>4170</v>
      </c>
      <c r="AF211" s="6019">
        <v>4691</v>
      </c>
    </row>
    <row r="212" spans="1:32" ht="13.5">
      <c r="A212" s="6018">
        <v>10450</v>
      </c>
      <c r="B212" s="6019">
        <v>10500</v>
      </c>
      <c r="C212" s="6020">
        <f t="shared" si="32"/>
        <v>1502</v>
      </c>
      <c r="D212" s="6018">
        <f t="shared" si="33"/>
        <v>3562</v>
      </c>
      <c r="E212" s="6018">
        <f t="shared" si="34"/>
        <v>4190</v>
      </c>
      <c r="F212" s="6019">
        <f t="shared" si="35"/>
        <v>4714</v>
      </c>
      <c r="G212" s="6020">
        <f t="shared" si="28"/>
        <v>1502</v>
      </c>
      <c r="H212" s="6018">
        <f t="shared" si="29"/>
        <v>3562</v>
      </c>
      <c r="I212" s="6018">
        <f t="shared" si="30"/>
        <v>4190</v>
      </c>
      <c r="J212" s="6019">
        <f t="shared" si="31"/>
        <v>4714</v>
      </c>
      <c r="K212" s="1732"/>
      <c r="L212" s="6018">
        <v>10475</v>
      </c>
      <c r="W212" s="6018">
        <v>10450</v>
      </c>
      <c r="X212" s="6019">
        <v>10500</v>
      </c>
      <c r="Y212" s="6018">
        <v>1502</v>
      </c>
      <c r="Z212" s="6018">
        <v>3562</v>
      </c>
      <c r="AA212" s="6018">
        <v>4190</v>
      </c>
      <c r="AB212" s="6019">
        <v>4714</v>
      </c>
      <c r="AC212" s="6018">
        <v>1502</v>
      </c>
      <c r="AD212" s="6018">
        <v>3562</v>
      </c>
      <c r="AE212" s="6018">
        <v>4190</v>
      </c>
      <c r="AF212" s="6019">
        <v>4714</v>
      </c>
    </row>
    <row r="213" spans="1:32" ht="13.5">
      <c r="A213" s="6018">
        <v>10500</v>
      </c>
      <c r="B213" s="6019">
        <v>10550</v>
      </c>
      <c r="C213" s="6020">
        <f t="shared" si="32"/>
        <v>1502</v>
      </c>
      <c r="D213" s="6018">
        <f t="shared" si="33"/>
        <v>3579</v>
      </c>
      <c r="E213" s="6018">
        <f t="shared" si="34"/>
        <v>4210</v>
      </c>
      <c r="F213" s="6019">
        <f t="shared" si="35"/>
        <v>4736</v>
      </c>
      <c r="G213" s="6020">
        <f t="shared" si="28"/>
        <v>1502</v>
      </c>
      <c r="H213" s="6018">
        <f t="shared" si="29"/>
        <v>3579</v>
      </c>
      <c r="I213" s="6018">
        <f t="shared" si="30"/>
        <v>4210</v>
      </c>
      <c r="J213" s="6019">
        <f t="shared" si="31"/>
        <v>4736</v>
      </c>
      <c r="K213" s="1732"/>
      <c r="L213" s="6018">
        <v>10525</v>
      </c>
      <c r="W213" s="6018">
        <v>10500</v>
      </c>
      <c r="X213" s="6019">
        <v>10550</v>
      </c>
      <c r="Y213" s="6018">
        <v>1502</v>
      </c>
      <c r="Z213" s="6018">
        <v>3579</v>
      </c>
      <c r="AA213" s="6018">
        <v>4210</v>
      </c>
      <c r="AB213" s="6019">
        <v>4736</v>
      </c>
      <c r="AC213" s="6018">
        <v>1502</v>
      </c>
      <c r="AD213" s="6018">
        <v>3579</v>
      </c>
      <c r="AE213" s="6018">
        <v>4210</v>
      </c>
      <c r="AF213" s="6019">
        <v>4736</v>
      </c>
    </row>
    <row r="214" spans="1:32" ht="13.5">
      <c r="A214" s="6018">
        <v>10550</v>
      </c>
      <c r="B214" s="6019">
        <v>10600</v>
      </c>
      <c r="C214" s="6020">
        <f t="shared" si="32"/>
        <v>1502</v>
      </c>
      <c r="D214" s="6018">
        <f t="shared" si="33"/>
        <v>3596</v>
      </c>
      <c r="E214" s="6018">
        <f t="shared" si="34"/>
        <v>4230</v>
      </c>
      <c r="F214" s="6019">
        <f t="shared" si="35"/>
        <v>4759</v>
      </c>
      <c r="G214" s="6020">
        <f t="shared" si="28"/>
        <v>1502</v>
      </c>
      <c r="H214" s="6018">
        <f t="shared" si="29"/>
        <v>3596</v>
      </c>
      <c r="I214" s="6018">
        <f t="shared" si="30"/>
        <v>4230</v>
      </c>
      <c r="J214" s="6019">
        <f t="shared" si="31"/>
        <v>4759</v>
      </c>
      <c r="K214" s="1732"/>
      <c r="L214" s="6018">
        <v>10575</v>
      </c>
      <c r="W214" s="6018">
        <v>10550</v>
      </c>
      <c r="X214" s="6019">
        <v>10600</v>
      </c>
      <c r="Y214" s="6018">
        <v>1502</v>
      </c>
      <c r="Z214" s="6018">
        <v>3596</v>
      </c>
      <c r="AA214" s="6018">
        <v>4230</v>
      </c>
      <c r="AB214" s="6019">
        <v>4759</v>
      </c>
      <c r="AC214" s="6018">
        <v>1502</v>
      </c>
      <c r="AD214" s="6018">
        <v>3596</v>
      </c>
      <c r="AE214" s="6018">
        <v>4230</v>
      </c>
      <c r="AF214" s="6019">
        <v>4759</v>
      </c>
    </row>
    <row r="215" spans="1:32" ht="13.5">
      <c r="A215" s="6018">
        <v>10600</v>
      </c>
      <c r="B215" s="6019">
        <v>10650</v>
      </c>
      <c r="C215" s="6020">
        <f t="shared" si="32"/>
        <v>1502</v>
      </c>
      <c r="D215" s="6018">
        <v>3618</v>
      </c>
      <c r="E215" s="6018">
        <f t="shared" si="34"/>
        <v>4250</v>
      </c>
      <c r="F215" s="6019">
        <f t="shared" si="35"/>
        <v>4781</v>
      </c>
      <c r="G215" s="6020">
        <f t="shared" si="28"/>
        <v>1502</v>
      </c>
      <c r="H215" s="6018">
        <v>3618</v>
      </c>
      <c r="I215" s="6018">
        <f t="shared" si="30"/>
        <v>4250</v>
      </c>
      <c r="J215" s="6019">
        <f t="shared" si="31"/>
        <v>4781</v>
      </c>
      <c r="K215" s="1732"/>
      <c r="L215" s="6018">
        <v>10625</v>
      </c>
      <c r="W215" s="6018">
        <v>10600</v>
      </c>
      <c r="X215" s="6019">
        <v>10650</v>
      </c>
      <c r="Y215" s="6018">
        <v>1502</v>
      </c>
      <c r="Z215" s="6018">
        <v>3618</v>
      </c>
      <c r="AA215" s="6018">
        <v>4250</v>
      </c>
      <c r="AB215" s="6019">
        <v>4781</v>
      </c>
      <c r="AC215" s="6018">
        <v>1502</v>
      </c>
      <c r="AD215" s="6018">
        <v>3618</v>
      </c>
      <c r="AE215" s="6018">
        <v>4250</v>
      </c>
      <c r="AF215" s="6019">
        <v>4781</v>
      </c>
    </row>
    <row r="216" spans="1:32" ht="13.5">
      <c r="A216" s="6018">
        <v>10650</v>
      </c>
      <c r="B216" s="6019">
        <v>10700</v>
      </c>
      <c r="C216" s="6020">
        <f t="shared" si="32"/>
        <v>1502</v>
      </c>
      <c r="D216" s="6018">
        <f t="shared" si="33"/>
        <v>3618</v>
      </c>
      <c r="E216" s="6018">
        <f t="shared" si="34"/>
        <v>4270</v>
      </c>
      <c r="F216" s="6019">
        <f t="shared" si="35"/>
        <v>4804</v>
      </c>
      <c r="G216" s="6020">
        <f t="shared" si="28"/>
        <v>1502</v>
      </c>
      <c r="H216" s="6018">
        <f t="shared" si="29"/>
        <v>3618</v>
      </c>
      <c r="I216" s="6018">
        <f t="shared" si="30"/>
        <v>4270</v>
      </c>
      <c r="J216" s="6019">
        <f t="shared" si="31"/>
        <v>4804</v>
      </c>
      <c r="K216" s="1732"/>
      <c r="L216" s="6018">
        <v>10675</v>
      </c>
      <c r="W216" s="6018">
        <v>10650</v>
      </c>
      <c r="X216" s="6019">
        <v>10700</v>
      </c>
      <c r="Y216" s="6018">
        <v>1502</v>
      </c>
      <c r="Z216" s="6018">
        <v>3618</v>
      </c>
      <c r="AA216" s="6018">
        <v>4270</v>
      </c>
      <c r="AB216" s="6019">
        <v>4804</v>
      </c>
      <c r="AC216" s="6018">
        <v>1502</v>
      </c>
      <c r="AD216" s="6018">
        <v>3618</v>
      </c>
      <c r="AE216" s="6018">
        <v>4270</v>
      </c>
      <c r="AF216" s="6019">
        <v>4804</v>
      </c>
    </row>
    <row r="217" spans="1:32" ht="13.5">
      <c r="A217" s="6018">
        <v>10700</v>
      </c>
      <c r="B217" s="6019">
        <v>10750</v>
      </c>
      <c r="C217" s="6020">
        <f t="shared" si="32"/>
        <v>1502</v>
      </c>
      <c r="D217" s="6018">
        <f t="shared" si="33"/>
        <v>3618</v>
      </c>
      <c r="E217" s="6018">
        <f t="shared" si="34"/>
        <v>4290</v>
      </c>
      <c r="F217" s="6019">
        <f t="shared" si="35"/>
        <v>4826</v>
      </c>
      <c r="G217" s="6020">
        <f t="shared" si="28"/>
        <v>1502</v>
      </c>
      <c r="H217" s="6018">
        <f t="shared" si="29"/>
        <v>3618</v>
      </c>
      <c r="I217" s="6018">
        <f t="shared" si="30"/>
        <v>4290</v>
      </c>
      <c r="J217" s="6019">
        <f t="shared" si="31"/>
        <v>4826</v>
      </c>
      <c r="K217" s="1732"/>
      <c r="L217" s="6018">
        <v>10725</v>
      </c>
      <c r="W217" s="6018">
        <v>10700</v>
      </c>
      <c r="X217" s="6019">
        <v>10750</v>
      </c>
      <c r="Y217" s="6018">
        <v>1502</v>
      </c>
      <c r="Z217" s="6018">
        <v>3618</v>
      </c>
      <c r="AA217" s="6018">
        <v>4290</v>
      </c>
      <c r="AB217" s="6019">
        <v>4826</v>
      </c>
      <c r="AC217" s="6018">
        <v>1502</v>
      </c>
      <c r="AD217" s="6018">
        <v>3618</v>
      </c>
      <c r="AE217" s="6018">
        <v>4290</v>
      </c>
      <c r="AF217" s="6019">
        <v>4826</v>
      </c>
    </row>
    <row r="218" spans="1:32" ht="13.5">
      <c r="A218" s="6018">
        <v>10750</v>
      </c>
      <c r="B218" s="6019">
        <v>10800</v>
      </c>
      <c r="C218" s="6020">
        <f t="shared" si="32"/>
        <v>1502</v>
      </c>
      <c r="D218" s="6018">
        <f t="shared" si="33"/>
        <v>3618</v>
      </c>
      <c r="E218" s="6018">
        <f t="shared" si="34"/>
        <v>4310</v>
      </c>
      <c r="F218" s="6019">
        <f t="shared" si="35"/>
        <v>4849</v>
      </c>
      <c r="G218" s="6020">
        <f t="shared" si="28"/>
        <v>1502</v>
      </c>
      <c r="H218" s="6018">
        <f t="shared" si="29"/>
        <v>3618</v>
      </c>
      <c r="I218" s="6018">
        <f t="shared" si="30"/>
        <v>4310</v>
      </c>
      <c r="J218" s="6019">
        <f t="shared" si="31"/>
        <v>4849</v>
      </c>
      <c r="K218" s="1732"/>
      <c r="L218" s="6018">
        <v>10775</v>
      </c>
      <c r="W218" s="6018">
        <v>10750</v>
      </c>
      <c r="X218" s="6019">
        <v>10800</v>
      </c>
      <c r="Y218" s="6018">
        <v>1502</v>
      </c>
      <c r="Z218" s="6018">
        <v>3618</v>
      </c>
      <c r="AA218" s="6018">
        <v>4310</v>
      </c>
      <c r="AB218" s="6019">
        <v>4849</v>
      </c>
      <c r="AC218" s="6018">
        <v>1502</v>
      </c>
      <c r="AD218" s="6018">
        <v>3618</v>
      </c>
      <c r="AE218" s="6018">
        <v>4310</v>
      </c>
      <c r="AF218" s="6019">
        <v>4849</v>
      </c>
    </row>
    <row r="219" spans="1:32" ht="13.5">
      <c r="A219" s="6018">
        <v>10800</v>
      </c>
      <c r="B219" s="6019">
        <v>10850</v>
      </c>
      <c r="C219" s="6020">
        <f t="shared" si="32"/>
        <v>1502</v>
      </c>
      <c r="D219" s="6018">
        <f t="shared" si="33"/>
        <v>3618</v>
      </c>
      <c r="E219" s="6018">
        <f t="shared" si="34"/>
        <v>4330</v>
      </c>
      <c r="F219" s="6019">
        <f t="shared" si="35"/>
        <v>4871</v>
      </c>
      <c r="G219" s="6020">
        <f t="shared" si="28"/>
        <v>1502</v>
      </c>
      <c r="H219" s="6018">
        <f t="shared" si="29"/>
        <v>3618</v>
      </c>
      <c r="I219" s="6018">
        <f t="shared" si="30"/>
        <v>4330</v>
      </c>
      <c r="J219" s="6019">
        <f t="shared" si="31"/>
        <v>4871</v>
      </c>
      <c r="K219" s="1732"/>
      <c r="L219" s="6018">
        <v>10825</v>
      </c>
      <c r="W219" s="6018">
        <v>10800</v>
      </c>
      <c r="X219" s="6019">
        <v>10850</v>
      </c>
      <c r="Y219" s="6018">
        <v>1502</v>
      </c>
      <c r="Z219" s="6018">
        <v>3618</v>
      </c>
      <c r="AA219" s="6018">
        <v>4330</v>
      </c>
      <c r="AB219" s="6019">
        <v>4871</v>
      </c>
      <c r="AC219" s="6018">
        <v>1502</v>
      </c>
      <c r="AD219" s="6018">
        <v>3618</v>
      </c>
      <c r="AE219" s="6018">
        <v>4330</v>
      </c>
      <c r="AF219" s="6019">
        <v>4871</v>
      </c>
    </row>
    <row r="220" spans="1:32" ht="13.5">
      <c r="A220" s="6018">
        <v>10850</v>
      </c>
      <c r="B220" s="6019">
        <v>10900</v>
      </c>
      <c r="C220" s="6020">
        <f t="shared" si="32"/>
        <v>1502</v>
      </c>
      <c r="D220" s="6018">
        <f t="shared" si="33"/>
        <v>3618</v>
      </c>
      <c r="E220" s="6018">
        <f t="shared" si="34"/>
        <v>4350</v>
      </c>
      <c r="F220" s="6019">
        <f t="shared" si="35"/>
        <v>4894</v>
      </c>
      <c r="G220" s="6020">
        <f t="shared" si="28"/>
        <v>1502</v>
      </c>
      <c r="H220" s="6018">
        <f t="shared" si="29"/>
        <v>3618</v>
      </c>
      <c r="I220" s="6018">
        <f t="shared" si="30"/>
        <v>4350</v>
      </c>
      <c r="J220" s="6019">
        <f t="shared" si="31"/>
        <v>4894</v>
      </c>
      <c r="K220" s="1732"/>
      <c r="L220" s="6018">
        <v>10875</v>
      </c>
      <c r="W220" s="6018">
        <v>10850</v>
      </c>
      <c r="X220" s="6019">
        <v>10900</v>
      </c>
      <c r="Y220" s="6018">
        <v>1502</v>
      </c>
      <c r="Z220" s="6018">
        <v>3618</v>
      </c>
      <c r="AA220" s="6018">
        <v>4350</v>
      </c>
      <c r="AB220" s="6019">
        <v>4894</v>
      </c>
      <c r="AC220" s="6018">
        <v>1502</v>
      </c>
      <c r="AD220" s="6018">
        <v>3618</v>
      </c>
      <c r="AE220" s="6018">
        <v>4350</v>
      </c>
      <c r="AF220" s="6019">
        <v>4894</v>
      </c>
    </row>
    <row r="221" spans="1:32" ht="13.5">
      <c r="A221" s="6018">
        <v>10900</v>
      </c>
      <c r="B221" s="6019">
        <v>10950</v>
      </c>
      <c r="C221" s="6020">
        <f t="shared" si="32"/>
        <v>1502</v>
      </c>
      <c r="D221" s="6018">
        <f t="shared" si="33"/>
        <v>3618</v>
      </c>
      <c r="E221" s="6018">
        <f t="shared" si="34"/>
        <v>4370</v>
      </c>
      <c r="F221" s="6019">
        <f t="shared" si="35"/>
        <v>4916</v>
      </c>
      <c r="G221" s="6020">
        <f t="shared" si="28"/>
        <v>1502</v>
      </c>
      <c r="H221" s="6018">
        <f t="shared" si="29"/>
        <v>3618</v>
      </c>
      <c r="I221" s="6018">
        <f t="shared" si="30"/>
        <v>4370</v>
      </c>
      <c r="J221" s="6019">
        <f t="shared" si="31"/>
        <v>4916</v>
      </c>
      <c r="K221" s="1732"/>
      <c r="L221" s="6018">
        <v>10925</v>
      </c>
      <c r="W221" s="6018">
        <v>10900</v>
      </c>
      <c r="X221" s="6019">
        <v>10950</v>
      </c>
      <c r="Y221" s="6018">
        <v>1502</v>
      </c>
      <c r="Z221" s="6018">
        <v>3618</v>
      </c>
      <c r="AA221" s="6018">
        <v>4370</v>
      </c>
      <c r="AB221" s="6019">
        <v>4916</v>
      </c>
      <c r="AC221" s="6018">
        <v>1502</v>
      </c>
      <c r="AD221" s="6018">
        <v>3618</v>
      </c>
      <c r="AE221" s="6018">
        <v>4370</v>
      </c>
      <c r="AF221" s="6019">
        <v>4916</v>
      </c>
    </row>
    <row r="222" spans="1:32" ht="13.5">
      <c r="A222" s="6018">
        <v>10950</v>
      </c>
      <c r="B222" s="6019">
        <v>11000</v>
      </c>
      <c r="C222" s="6020">
        <f t="shared" si="32"/>
        <v>1502</v>
      </c>
      <c r="D222" s="6018">
        <f t="shared" si="33"/>
        <v>3618</v>
      </c>
      <c r="E222" s="6018">
        <f t="shared" si="34"/>
        <v>4390</v>
      </c>
      <c r="F222" s="6019">
        <f t="shared" si="35"/>
        <v>4939</v>
      </c>
      <c r="G222" s="6020">
        <f t="shared" si="28"/>
        <v>1502</v>
      </c>
      <c r="H222" s="6018">
        <f t="shared" si="29"/>
        <v>3618</v>
      </c>
      <c r="I222" s="6018">
        <f t="shared" si="30"/>
        <v>4390</v>
      </c>
      <c r="J222" s="6019">
        <f t="shared" si="31"/>
        <v>4939</v>
      </c>
      <c r="K222" s="1732"/>
      <c r="L222" s="6018">
        <v>10975</v>
      </c>
      <c r="W222" s="6018">
        <v>10950</v>
      </c>
      <c r="X222" s="6019">
        <v>11000</v>
      </c>
      <c r="Y222" s="6018">
        <v>1502</v>
      </c>
      <c r="Z222" s="6018">
        <v>3618</v>
      </c>
      <c r="AA222" s="6018">
        <v>4390</v>
      </c>
      <c r="AB222" s="6019">
        <v>4939</v>
      </c>
      <c r="AC222" s="6018">
        <v>1502</v>
      </c>
      <c r="AD222" s="6018">
        <v>3618</v>
      </c>
      <c r="AE222" s="6018">
        <v>4390</v>
      </c>
      <c r="AF222" s="6019">
        <v>4939</v>
      </c>
    </row>
    <row r="223" spans="1:32" ht="13.5">
      <c r="A223" s="6018">
        <v>11000</v>
      </c>
      <c r="B223" s="6019">
        <v>11050</v>
      </c>
      <c r="C223" s="6020">
        <f t="shared" si="32"/>
        <v>1502</v>
      </c>
      <c r="D223" s="6018">
        <f t="shared" si="33"/>
        <v>3618</v>
      </c>
      <c r="E223" s="6018">
        <f t="shared" si="34"/>
        <v>4410</v>
      </c>
      <c r="F223" s="6019">
        <f t="shared" si="35"/>
        <v>4961</v>
      </c>
      <c r="G223" s="6020">
        <f t="shared" si="28"/>
        <v>1502</v>
      </c>
      <c r="H223" s="6018">
        <f t="shared" si="29"/>
        <v>3618</v>
      </c>
      <c r="I223" s="6018">
        <f t="shared" si="30"/>
        <v>4410</v>
      </c>
      <c r="J223" s="6019">
        <f t="shared" si="31"/>
        <v>4961</v>
      </c>
      <c r="K223" s="1732"/>
      <c r="L223" s="6018">
        <v>11025</v>
      </c>
      <c r="W223" s="6018">
        <v>11000</v>
      </c>
      <c r="X223" s="6019">
        <v>11050</v>
      </c>
      <c r="Y223" s="6018">
        <v>1502</v>
      </c>
      <c r="Z223" s="6018">
        <v>3618</v>
      </c>
      <c r="AA223" s="6018">
        <v>4410</v>
      </c>
      <c r="AB223" s="6019">
        <v>4961</v>
      </c>
      <c r="AC223" s="6018">
        <v>1502</v>
      </c>
      <c r="AD223" s="6018">
        <v>3618</v>
      </c>
      <c r="AE223" s="6018">
        <v>4410</v>
      </c>
      <c r="AF223" s="6019">
        <v>4961</v>
      </c>
    </row>
    <row r="224" spans="1:32" ht="13.5">
      <c r="A224" s="6018">
        <v>11050</v>
      </c>
      <c r="B224" s="6019">
        <v>11100</v>
      </c>
      <c r="C224" s="6020">
        <f t="shared" si="32"/>
        <v>1502</v>
      </c>
      <c r="D224" s="6018">
        <f t="shared" si="33"/>
        <v>3618</v>
      </c>
      <c r="E224" s="6018">
        <f t="shared" si="34"/>
        <v>4430</v>
      </c>
      <c r="F224" s="6019">
        <f t="shared" si="35"/>
        <v>4984</v>
      </c>
      <c r="G224" s="6020">
        <f t="shared" si="28"/>
        <v>1502</v>
      </c>
      <c r="H224" s="6018">
        <f t="shared" si="29"/>
        <v>3618</v>
      </c>
      <c r="I224" s="6018">
        <f t="shared" si="30"/>
        <v>4430</v>
      </c>
      <c r="J224" s="6019">
        <f t="shared" si="31"/>
        <v>4984</v>
      </c>
      <c r="K224" s="1732"/>
      <c r="L224" s="6018">
        <v>11075</v>
      </c>
      <c r="W224" s="6018">
        <v>11050</v>
      </c>
      <c r="X224" s="6019">
        <v>11100</v>
      </c>
      <c r="Y224" s="6018">
        <v>1502</v>
      </c>
      <c r="Z224" s="6018">
        <v>3618</v>
      </c>
      <c r="AA224" s="6018">
        <v>4430</v>
      </c>
      <c r="AB224" s="6019">
        <v>4984</v>
      </c>
      <c r="AC224" s="6018">
        <v>1502</v>
      </c>
      <c r="AD224" s="6018">
        <v>3618</v>
      </c>
      <c r="AE224" s="6018">
        <v>4430</v>
      </c>
      <c r="AF224" s="6019">
        <v>4984</v>
      </c>
    </row>
    <row r="225" spans="1:32" ht="13.5">
      <c r="A225" s="6018">
        <v>11100</v>
      </c>
      <c r="B225" s="6019">
        <v>11150</v>
      </c>
      <c r="C225" s="6020">
        <f t="shared" si="32"/>
        <v>1502</v>
      </c>
      <c r="D225" s="6018">
        <f t="shared" si="33"/>
        <v>3618</v>
      </c>
      <c r="E225" s="6018">
        <f t="shared" si="34"/>
        <v>4450</v>
      </c>
      <c r="F225" s="6019">
        <f t="shared" si="35"/>
        <v>5006</v>
      </c>
      <c r="G225" s="6020">
        <f t="shared" si="28"/>
        <v>1502</v>
      </c>
      <c r="H225" s="6018">
        <f t="shared" si="29"/>
        <v>3618</v>
      </c>
      <c r="I225" s="6018">
        <f t="shared" si="30"/>
        <v>4450</v>
      </c>
      <c r="J225" s="6019">
        <f t="shared" si="31"/>
        <v>5006</v>
      </c>
      <c r="K225" s="1732"/>
      <c r="L225" s="6018">
        <v>11125</v>
      </c>
      <c r="W225" s="6018">
        <v>11100</v>
      </c>
      <c r="X225" s="6019">
        <v>11150</v>
      </c>
      <c r="Y225" s="6018">
        <v>1502</v>
      </c>
      <c r="Z225" s="6018">
        <v>3618</v>
      </c>
      <c r="AA225" s="6018">
        <v>4450</v>
      </c>
      <c r="AB225" s="6019">
        <v>5006</v>
      </c>
      <c r="AC225" s="6018">
        <v>1502</v>
      </c>
      <c r="AD225" s="6018">
        <v>3618</v>
      </c>
      <c r="AE225" s="6018">
        <v>4450</v>
      </c>
      <c r="AF225" s="6019">
        <v>5006</v>
      </c>
    </row>
    <row r="226" spans="1:32" ht="13.5">
      <c r="A226" s="6018">
        <v>11150</v>
      </c>
      <c r="B226" s="6019">
        <v>11200</v>
      </c>
      <c r="C226" s="6020">
        <f t="shared" si="32"/>
        <v>1502</v>
      </c>
      <c r="D226" s="6018">
        <f t="shared" si="33"/>
        <v>3618</v>
      </c>
      <c r="E226" s="6018">
        <f t="shared" si="34"/>
        <v>4470</v>
      </c>
      <c r="F226" s="6019">
        <f t="shared" si="35"/>
        <v>5029</v>
      </c>
      <c r="G226" s="6020">
        <f t="shared" si="28"/>
        <v>1502</v>
      </c>
      <c r="H226" s="6018">
        <f t="shared" si="29"/>
        <v>3618</v>
      </c>
      <c r="I226" s="6018">
        <f t="shared" si="30"/>
        <v>4470</v>
      </c>
      <c r="J226" s="6019">
        <f t="shared" si="31"/>
        <v>5029</v>
      </c>
      <c r="K226" s="1732"/>
      <c r="L226" s="6018">
        <v>11175</v>
      </c>
      <c r="W226" s="6018">
        <v>11150</v>
      </c>
      <c r="X226" s="6019">
        <v>11200</v>
      </c>
      <c r="Y226" s="6018">
        <v>1502</v>
      </c>
      <c r="Z226" s="6018">
        <v>3618</v>
      </c>
      <c r="AA226" s="6018">
        <v>4470</v>
      </c>
      <c r="AB226" s="6019">
        <v>5029</v>
      </c>
      <c r="AC226" s="6018">
        <v>1502</v>
      </c>
      <c r="AD226" s="6018">
        <v>3618</v>
      </c>
      <c r="AE226" s="6018">
        <v>4470</v>
      </c>
      <c r="AF226" s="6019">
        <v>5029</v>
      </c>
    </row>
    <row r="227" spans="1:32" ht="13.5">
      <c r="A227" s="6018">
        <v>11200</v>
      </c>
      <c r="B227" s="6019">
        <v>11250</v>
      </c>
      <c r="C227" s="6020">
        <f t="shared" si="32"/>
        <v>1502</v>
      </c>
      <c r="D227" s="6018">
        <f t="shared" si="33"/>
        <v>3618</v>
      </c>
      <c r="E227" s="6018">
        <f t="shared" si="34"/>
        <v>4490</v>
      </c>
      <c r="F227" s="6019">
        <f t="shared" si="35"/>
        <v>5051</v>
      </c>
      <c r="G227" s="6020">
        <f t="shared" si="28"/>
        <v>1502</v>
      </c>
      <c r="H227" s="6018">
        <f t="shared" si="29"/>
        <v>3618</v>
      </c>
      <c r="I227" s="6018">
        <f t="shared" si="30"/>
        <v>4490</v>
      </c>
      <c r="J227" s="6019">
        <f t="shared" si="31"/>
        <v>5051</v>
      </c>
      <c r="K227" s="1732"/>
      <c r="L227" s="6018">
        <v>11225</v>
      </c>
      <c r="W227" s="6018">
        <v>11200</v>
      </c>
      <c r="X227" s="6019">
        <v>11250</v>
      </c>
      <c r="Y227" s="6018">
        <v>1502</v>
      </c>
      <c r="Z227" s="6018">
        <v>3618</v>
      </c>
      <c r="AA227" s="6018">
        <v>4490</v>
      </c>
      <c r="AB227" s="6019">
        <v>5051</v>
      </c>
      <c r="AC227" s="6018">
        <v>1502</v>
      </c>
      <c r="AD227" s="6018">
        <v>3618</v>
      </c>
      <c r="AE227" s="6018">
        <v>4490</v>
      </c>
      <c r="AF227" s="6019">
        <v>5051</v>
      </c>
    </row>
    <row r="228" spans="1:32" ht="13.5">
      <c r="A228" s="6018">
        <v>11250</v>
      </c>
      <c r="B228" s="6019">
        <v>11300</v>
      </c>
      <c r="C228" s="6020">
        <f t="shared" si="32"/>
        <v>1502</v>
      </c>
      <c r="D228" s="6018">
        <f t="shared" si="33"/>
        <v>3618</v>
      </c>
      <c r="E228" s="6018">
        <f t="shared" si="34"/>
        <v>4510</v>
      </c>
      <c r="F228" s="6019">
        <f t="shared" si="35"/>
        <v>5074</v>
      </c>
      <c r="G228" s="6020">
        <f t="shared" si="28"/>
        <v>1502</v>
      </c>
      <c r="H228" s="6018">
        <f t="shared" si="29"/>
        <v>3618</v>
      </c>
      <c r="I228" s="6018">
        <f t="shared" si="30"/>
        <v>4510</v>
      </c>
      <c r="J228" s="6019">
        <f t="shared" si="31"/>
        <v>5074</v>
      </c>
      <c r="K228" s="1732"/>
      <c r="L228" s="6018">
        <v>11275</v>
      </c>
      <c r="W228" s="6018">
        <v>11250</v>
      </c>
      <c r="X228" s="6019">
        <v>11300</v>
      </c>
      <c r="Y228" s="6018">
        <v>1502</v>
      </c>
      <c r="Z228" s="6018">
        <v>3618</v>
      </c>
      <c r="AA228" s="6018">
        <v>4510</v>
      </c>
      <c r="AB228" s="6019">
        <v>5074</v>
      </c>
      <c r="AC228" s="6018">
        <v>1502</v>
      </c>
      <c r="AD228" s="6018">
        <v>3618</v>
      </c>
      <c r="AE228" s="6018">
        <v>4510</v>
      </c>
      <c r="AF228" s="6019">
        <v>5074</v>
      </c>
    </row>
    <row r="229" spans="1:32" ht="13.5">
      <c r="A229" s="6018">
        <v>11300</v>
      </c>
      <c r="B229" s="6019">
        <v>11350</v>
      </c>
      <c r="C229" s="6020">
        <f t="shared" si="32"/>
        <v>1502</v>
      </c>
      <c r="D229" s="6018">
        <f t="shared" si="33"/>
        <v>3618</v>
      </c>
      <c r="E229" s="6018">
        <f t="shared" si="34"/>
        <v>4530</v>
      </c>
      <c r="F229" s="6019">
        <f t="shared" si="35"/>
        <v>5096</v>
      </c>
      <c r="G229" s="6020">
        <f t="shared" si="28"/>
        <v>1502</v>
      </c>
      <c r="H229" s="6018">
        <f t="shared" si="29"/>
        <v>3618</v>
      </c>
      <c r="I229" s="6018">
        <f t="shared" si="30"/>
        <v>4530</v>
      </c>
      <c r="J229" s="6019">
        <f t="shared" si="31"/>
        <v>5096</v>
      </c>
      <c r="K229" s="1732"/>
      <c r="L229" s="6018">
        <v>11325</v>
      </c>
      <c r="W229" s="6018">
        <v>11300</v>
      </c>
      <c r="X229" s="6019">
        <v>11350</v>
      </c>
      <c r="Y229" s="6018">
        <v>1502</v>
      </c>
      <c r="Z229" s="6018">
        <v>3618</v>
      </c>
      <c r="AA229" s="6018">
        <v>4530</v>
      </c>
      <c r="AB229" s="6019">
        <v>5096</v>
      </c>
      <c r="AC229" s="6018">
        <v>1502</v>
      </c>
      <c r="AD229" s="6018">
        <v>3618</v>
      </c>
      <c r="AE229" s="6018">
        <v>4530</v>
      </c>
      <c r="AF229" s="6019">
        <v>5096</v>
      </c>
    </row>
    <row r="230" spans="1:32" ht="13.5">
      <c r="A230" s="6018">
        <v>11350</v>
      </c>
      <c r="B230" s="6019">
        <v>11400</v>
      </c>
      <c r="C230" s="6020">
        <f t="shared" si="32"/>
        <v>1502</v>
      </c>
      <c r="D230" s="6018">
        <f t="shared" si="33"/>
        <v>3618</v>
      </c>
      <c r="E230" s="6018">
        <f t="shared" si="34"/>
        <v>4550</v>
      </c>
      <c r="F230" s="6019">
        <f t="shared" si="35"/>
        <v>5119</v>
      </c>
      <c r="G230" s="6020">
        <f t="shared" si="28"/>
        <v>1502</v>
      </c>
      <c r="H230" s="6018">
        <f t="shared" si="29"/>
        <v>3618</v>
      </c>
      <c r="I230" s="6018">
        <f t="shared" si="30"/>
        <v>4550</v>
      </c>
      <c r="J230" s="6019">
        <f t="shared" si="31"/>
        <v>5119</v>
      </c>
      <c r="K230" s="1732"/>
      <c r="L230" s="6018">
        <v>11375</v>
      </c>
      <c r="W230" s="6018">
        <v>11350</v>
      </c>
      <c r="X230" s="6019">
        <v>11400</v>
      </c>
      <c r="Y230" s="6018">
        <v>1502</v>
      </c>
      <c r="Z230" s="6018">
        <v>3618</v>
      </c>
      <c r="AA230" s="6018">
        <v>4550</v>
      </c>
      <c r="AB230" s="6019">
        <v>5119</v>
      </c>
      <c r="AC230" s="6018">
        <v>1502</v>
      </c>
      <c r="AD230" s="6018">
        <v>3618</v>
      </c>
      <c r="AE230" s="6018">
        <v>4550</v>
      </c>
      <c r="AF230" s="6019">
        <v>5119</v>
      </c>
    </row>
    <row r="231" spans="1:32" ht="13.5">
      <c r="A231" s="6018">
        <v>11400</v>
      </c>
      <c r="B231" s="6019">
        <v>11450</v>
      </c>
      <c r="C231" s="6020">
        <f t="shared" si="32"/>
        <v>1502</v>
      </c>
      <c r="D231" s="6018">
        <f t="shared" si="33"/>
        <v>3618</v>
      </c>
      <c r="E231" s="6018">
        <f t="shared" si="34"/>
        <v>4570</v>
      </c>
      <c r="F231" s="6019">
        <f t="shared" si="35"/>
        <v>5141</v>
      </c>
      <c r="G231" s="6020">
        <f t="shared" si="28"/>
        <v>1502</v>
      </c>
      <c r="H231" s="6018">
        <f t="shared" si="29"/>
        <v>3618</v>
      </c>
      <c r="I231" s="6018">
        <f t="shared" si="30"/>
        <v>4570</v>
      </c>
      <c r="J231" s="6019">
        <f t="shared" si="31"/>
        <v>5141</v>
      </c>
      <c r="K231" s="1732"/>
      <c r="L231" s="6018">
        <v>11425</v>
      </c>
      <c r="W231" s="6018">
        <v>11400</v>
      </c>
      <c r="X231" s="6019">
        <v>11450</v>
      </c>
      <c r="Y231" s="6018">
        <v>1502</v>
      </c>
      <c r="Z231" s="6018">
        <v>3618</v>
      </c>
      <c r="AA231" s="6018">
        <v>4570</v>
      </c>
      <c r="AB231" s="6019">
        <v>5141</v>
      </c>
      <c r="AC231" s="6018">
        <v>1502</v>
      </c>
      <c r="AD231" s="6018">
        <v>3618</v>
      </c>
      <c r="AE231" s="6018">
        <v>4570</v>
      </c>
      <c r="AF231" s="6019">
        <v>5141</v>
      </c>
    </row>
    <row r="232" spans="1:32" ht="13.5">
      <c r="A232" s="6018">
        <v>11450</v>
      </c>
      <c r="B232" s="6019">
        <v>11500</v>
      </c>
      <c r="C232" s="6020">
        <f t="shared" si="32"/>
        <v>1502</v>
      </c>
      <c r="D232" s="6018">
        <f t="shared" si="33"/>
        <v>3618</v>
      </c>
      <c r="E232" s="6018">
        <f t="shared" si="34"/>
        <v>4590</v>
      </c>
      <c r="F232" s="6019">
        <f t="shared" si="35"/>
        <v>5164</v>
      </c>
      <c r="G232" s="6020">
        <f t="shared" si="28"/>
        <v>1502</v>
      </c>
      <c r="H232" s="6018">
        <f t="shared" si="29"/>
        <v>3618</v>
      </c>
      <c r="I232" s="6018">
        <f t="shared" si="30"/>
        <v>4590</v>
      </c>
      <c r="J232" s="6019">
        <f t="shared" si="31"/>
        <v>5164</v>
      </c>
      <c r="K232" s="1732"/>
      <c r="L232" s="6018">
        <v>11475</v>
      </c>
      <c r="W232" s="6018">
        <v>11450</v>
      </c>
      <c r="X232" s="6019">
        <v>11500</v>
      </c>
      <c r="Y232" s="6018">
        <v>1502</v>
      </c>
      <c r="Z232" s="6018">
        <v>3618</v>
      </c>
      <c r="AA232" s="6018">
        <v>4590</v>
      </c>
      <c r="AB232" s="6019">
        <v>5164</v>
      </c>
      <c r="AC232" s="6018">
        <v>1502</v>
      </c>
      <c r="AD232" s="6018">
        <v>3618</v>
      </c>
      <c r="AE232" s="6018">
        <v>4590</v>
      </c>
      <c r="AF232" s="6019">
        <v>5164</v>
      </c>
    </row>
    <row r="233" spans="1:32" ht="13.5">
      <c r="A233" s="6018">
        <v>11500</v>
      </c>
      <c r="B233" s="6019">
        <v>11550</v>
      </c>
      <c r="C233" s="6020">
        <f t="shared" si="32"/>
        <v>1502</v>
      </c>
      <c r="D233" s="6018">
        <f t="shared" si="33"/>
        <v>3618</v>
      </c>
      <c r="E233" s="6018">
        <f t="shared" si="34"/>
        <v>4610</v>
      </c>
      <c r="F233" s="6019">
        <f t="shared" si="35"/>
        <v>5186</v>
      </c>
      <c r="G233" s="6020">
        <f t="shared" si="28"/>
        <v>1502</v>
      </c>
      <c r="H233" s="6018">
        <f t="shared" si="29"/>
        <v>3618</v>
      </c>
      <c r="I233" s="6018">
        <f t="shared" si="30"/>
        <v>4610</v>
      </c>
      <c r="J233" s="6019">
        <f t="shared" si="31"/>
        <v>5186</v>
      </c>
      <c r="K233" s="1732"/>
      <c r="L233" s="6018">
        <v>11525</v>
      </c>
      <c r="W233" s="6018">
        <v>11500</v>
      </c>
      <c r="X233" s="6019">
        <v>11550</v>
      </c>
      <c r="Y233" s="6018">
        <v>1502</v>
      </c>
      <c r="Z233" s="6018">
        <v>3618</v>
      </c>
      <c r="AA233" s="6018">
        <v>4610</v>
      </c>
      <c r="AB233" s="6019">
        <v>5186</v>
      </c>
      <c r="AC233" s="6018">
        <v>1502</v>
      </c>
      <c r="AD233" s="6018">
        <v>3618</v>
      </c>
      <c r="AE233" s="6018">
        <v>4610</v>
      </c>
      <c r="AF233" s="6019">
        <v>5186</v>
      </c>
    </row>
    <row r="234" spans="1:32" ht="13.5">
      <c r="A234" s="6018">
        <v>11550</v>
      </c>
      <c r="B234" s="6019">
        <v>11600</v>
      </c>
      <c r="C234" s="6020">
        <f t="shared" si="32"/>
        <v>1502</v>
      </c>
      <c r="D234" s="6018">
        <f t="shared" si="33"/>
        <v>3618</v>
      </c>
      <c r="E234" s="6018">
        <f t="shared" si="34"/>
        <v>4630</v>
      </c>
      <c r="F234" s="6019">
        <f t="shared" si="35"/>
        <v>5209</v>
      </c>
      <c r="G234" s="6020">
        <f t="shared" si="28"/>
        <v>1502</v>
      </c>
      <c r="H234" s="6018">
        <f t="shared" si="29"/>
        <v>3618</v>
      </c>
      <c r="I234" s="6018">
        <f t="shared" si="30"/>
        <v>4630</v>
      </c>
      <c r="J234" s="6019">
        <f t="shared" si="31"/>
        <v>5209</v>
      </c>
      <c r="K234" s="1732"/>
      <c r="L234" s="6018">
        <f>(A234+B234)/2</f>
        <v>11575</v>
      </c>
      <c r="W234" s="6018">
        <v>11550</v>
      </c>
      <c r="X234" s="6019">
        <v>11600</v>
      </c>
      <c r="Y234" s="6018">
        <v>1502</v>
      </c>
      <c r="Z234" s="6018">
        <v>3618</v>
      </c>
      <c r="AA234" s="6018">
        <v>4630</v>
      </c>
      <c r="AB234" s="6019">
        <v>5209</v>
      </c>
      <c r="AC234" s="6018">
        <v>1502</v>
      </c>
      <c r="AD234" s="6018">
        <v>3618</v>
      </c>
      <c r="AE234" s="6018">
        <v>4630</v>
      </c>
      <c r="AF234" s="6019">
        <v>5209</v>
      </c>
    </row>
    <row r="235" spans="1:32" ht="13.5">
      <c r="A235" s="6018">
        <v>11600</v>
      </c>
      <c r="B235" s="6019">
        <v>11650</v>
      </c>
      <c r="C235" s="6020">
        <v>1502</v>
      </c>
      <c r="D235" s="6018">
        <f t="shared" ref="D235:J235" si="36">IF($L235&gt;O$5,MAX(0,O$3+ROUND((O$9*($L235-O$5)),0)),IF($L235&gt;O$4,O$3,ROUND($L235*O$7,0)))</f>
        <v>3618</v>
      </c>
      <c r="E235" s="6018">
        <f t="shared" si="36"/>
        <v>4650</v>
      </c>
      <c r="F235" s="6019">
        <f t="shared" si="36"/>
        <v>5231</v>
      </c>
      <c r="G235" s="6020">
        <f t="shared" si="36"/>
        <v>1502</v>
      </c>
      <c r="H235" s="6018">
        <f t="shared" si="36"/>
        <v>3618</v>
      </c>
      <c r="I235" s="6018">
        <f t="shared" si="36"/>
        <v>4650</v>
      </c>
      <c r="J235" s="6019">
        <f t="shared" si="36"/>
        <v>5231</v>
      </c>
      <c r="K235" s="1732"/>
      <c r="L235" s="6018">
        <v>11625</v>
      </c>
      <c r="N235" s="3138"/>
      <c r="O235" s="6027"/>
      <c r="P235" s="6028"/>
      <c r="Q235" s="6028"/>
      <c r="W235" s="6018">
        <v>11600</v>
      </c>
      <c r="X235" s="6019">
        <v>11650</v>
      </c>
      <c r="Y235" s="6018">
        <v>1502</v>
      </c>
      <c r="Z235" s="6018">
        <v>3618</v>
      </c>
      <c r="AA235" s="6018">
        <v>4650</v>
      </c>
      <c r="AB235" s="6019">
        <v>5231</v>
      </c>
      <c r="AC235" s="6018">
        <v>1502</v>
      </c>
      <c r="AD235" s="6018">
        <v>3618</v>
      </c>
      <c r="AE235" s="6018">
        <v>4650</v>
      </c>
      <c r="AF235" s="6019">
        <v>5231</v>
      </c>
    </row>
    <row r="236" spans="1:32" ht="13.5">
      <c r="A236" s="6018">
        <v>11650</v>
      </c>
      <c r="B236" s="6019">
        <v>11700</v>
      </c>
      <c r="C236" s="6020">
        <v>1493</v>
      </c>
      <c r="D236" s="6018">
        <f t="shared" si="33"/>
        <v>3618</v>
      </c>
      <c r="E236" s="6018">
        <f t="shared" si="34"/>
        <v>4670</v>
      </c>
      <c r="F236" s="6019">
        <f t="shared" si="35"/>
        <v>5254</v>
      </c>
      <c r="G236" s="6020">
        <f t="shared" si="28"/>
        <v>1502</v>
      </c>
      <c r="H236" s="6018">
        <f t="shared" si="29"/>
        <v>3618</v>
      </c>
      <c r="I236" s="6018">
        <f t="shared" si="30"/>
        <v>4670</v>
      </c>
      <c r="J236" s="6019">
        <f t="shared" si="31"/>
        <v>5254</v>
      </c>
      <c r="K236" s="1732"/>
      <c r="L236" s="6018">
        <f>(B236+A236)/2</f>
        <v>11675</v>
      </c>
      <c r="N236" s="6029"/>
      <c r="W236" s="6018">
        <v>11650</v>
      </c>
      <c r="X236" s="6019">
        <v>11700</v>
      </c>
      <c r="Y236" s="6018">
        <v>1493</v>
      </c>
      <c r="Z236" s="6018">
        <v>3618</v>
      </c>
      <c r="AA236" s="6018">
        <v>4670</v>
      </c>
      <c r="AB236" s="6019">
        <v>5254</v>
      </c>
      <c r="AC236" s="6018">
        <v>1502</v>
      </c>
      <c r="AD236" s="6018">
        <v>3618</v>
      </c>
      <c r="AE236" s="6018">
        <v>4670</v>
      </c>
      <c r="AF236" s="6019">
        <v>5254</v>
      </c>
    </row>
    <row r="237" spans="1:32" ht="13.5">
      <c r="A237" s="6018">
        <v>11700</v>
      </c>
      <c r="B237" s="6019">
        <v>11750</v>
      </c>
      <c r="C237" s="6020">
        <v>1485</v>
      </c>
      <c r="D237" s="6018">
        <f t="shared" si="33"/>
        <v>3618</v>
      </c>
      <c r="E237" s="6018">
        <f t="shared" si="34"/>
        <v>4690</v>
      </c>
      <c r="F237" s="6019">
        <f t="shared" si="35"/>
        <v>5276</v>
      </c>
      <c r="G237" s="6020">
        <f t="shared" si="28"/>
        <v>1502</v>
      </c>
      <c r="H237" s="6018">
        <f t="shared" si="29"/>
        <v>3618</v>
      </c>
      <c r="I237" s="6018">
        <f t="shared" si="30"/>
        <v>4690</v>
      </c>
      <c r="J237" s="6019">
        <f t="shared" si="31"/>
        <v>5276</v>
      </c>
      <c r="K237" s="1732"/>
      <c r="L237" s="6018">
        <f>(B237+A237)/2</f>
        <v>11725</v>
      </c>
      <c r="N237" s="6029"/>
      <c r="W237" s="6018">
        <v>11700</v>
      </c>
      <c r="X237" s="6019">
        <v>11750</v>
      </c>
      <c r="Y237" s="6018">
        <v>1485</v>
      </c>
      <c r="Z237" s="6018">
        <v>3618</v>
      </c>
      <c r="AA237" s="6018">
        <v>4690</v>
      </c>
      <c r="AB237" s="6019">
        <v>5276</v>
      </c>
      <c r="AC237" s="6018">
        <v>1502</v>
      </c>
      <c r="AD237" s="6018">
        <v>3618</v>
      </c>
      <c r="AE237" s="6018">
        <v>4690</v>
      </c>
      <c r="AF237" s="6019">
        <v>5276</v>
      </c>
    </row>
    <row r="238" spans="1:32" ht="13.5">
      <c r="A238" s="6018">
        <v>11750</v>
      </c>
      <c r="B238" s="6019">
        <v>11800</v>
      </c>
      <c r="C238" s="6020">
        <v>1477</v>
      </c>
      <c r="D238" s="6018">
        <f t="shared" si="33"/>
        <v>3618</v>
      </c>
      <c r="E238" s="6018">
        <f t="shared" si="34"/>
        <v>4710</v>
      </c>
      <c r="F238" s="6019">
        <f t="shared" si="35"/>
        <v>5299</v>
      </c>
      <c r="G238" s="6020">
        <f t="shared" si="28"/>
        <v>1502</v>
      </c>
      <c r="H238" s="6018">
        <f t="shared" si="29"/>
        <v>3618</v>
      </c>
      <c r="I238" s="6018">
        <f t="shared" si="30"/>
        <v>4710</v>
      </c>
      <c r="J238" s="6019">
        <f t="shared" si="31"/>
        <v>5299</v>
      </c>
      <c r="K238" s="1732"/>
      <c r="L238" s="6018">
        <f>(B238+A238)/2</f>
        <v>11775</v>
      </c>
      <c r="N238" s="6029"/>
      <c r="W238" s="6018">
        <v>11750</v>
      </c>
      <c r="X238" s="6019">
        <v>11800</v>
      </c>
      <c r="Y238" s="6018">
        <v>1477</v>
      </c>
      <c r="Z238" s="6018">
        <v>3618</v>
      </c>
      <c r="AA238" s="6018">
        <v>4710</v>
      </c>
      <c r="AB238" s="6019">
        <v>5299</v>
      </c>
      <c r="AC238" s="6018">
        <v>1502</v>
      </c>
      <c r="AD238" s="6018">
        <v>3618</v>
      </c>
      <c r="AE238" s="6018">
        <v>4710</v>
      </c>
      <c r="AF238" s="6019">
        <v>5299</v>
      </c>
    </row>
    <row r="239" spans="1:32" ht="13.5">
      <c r="A239" s="6018">
        <v>11800</v>
      </c>
      <c r="B239" s="6019">
        <v>11850</v>
      </c>
      <c r="C239" s="6020">
        <v>1470</v>
      </c>
      <c r="D239" s="6018">
        <f t="shared" si="33"/>
        <v>3618</v>
      </c>
      <c r="E239" s="6018">
        <f t="shared" si="34"/>
        <v>4730</v>
      </c>
      <c r="F239" s="6019">
        <f t="shared" si="35"/>
        <v>5321</v>
      </c>
      <c r="G239" s="6020">
        <f t="shared" si="28"/>
        <v>1502</v>
      </c>
      <c r="H239" s="6018">
        <f t="shared" si="29"/>
        <v>3618</v>
      </c>
      <c r="I239" s="6018">
        <f t="shared" si="30"/>
        <v>4730</v>
      </c>
      <c r="J239" s="6019">
        <f t="shared" si="31"/>
        <v>5321</v>
      </c>
      <c r="K239" s="1732"/>
      <c r="L239" s="6018">
        <f>(B239+A239)/2</f>
        <v>11825</v>
      </c>
      <c r="N239" s="6029"/>
      <c r="W239" s="6018">
        <v>11800</v>
      </c>
      <c r="X239" s="6019">
        <v>11850</v>
      </c>
      <c r="Y239" s="6018">
        <v>1470</v>
      </c>
      <c r="Z239" s="6018">
        <v>3618</v>
      </c>
      <c r="AA239" s="6018">
        <v>4730</v>
      </c>
      <c r="AB239" s="6019">
        <v>5321</v>
      </c>
      <c r="AC239" s="6018">
        <v>1502</v>
      </c>
      <c r="AD239" s="6018">
        <v>3618</v>
      </c>
      <c r="AE239" s="6018">
        <v>4730</v>
      </c>
      <c r="AF239" s="6019">
        <v>5321</v>
      </c>
    </row>
    <row r="240" spans="1:32" ht="13.5">
      <c r="A240" s="6018">
        <v>11850</v>
      </c>
      <c r="B240" s="6019">
        <v>11900</v>
      </c>
      <c r="C240" s="6020">
        <v>1462</v>
      </c>
      <c r="D240" s="6018">
        <f t="shared" si="33"/>
        <v>3618</v>
      </c>
      <c r="E240" s="6018">
        <f t="shared" si="34"/>
        <v>4750</v>
      </c>
      <c r="F240" s="6019">
        <f t="shared" si="35"/>
        <v>5344</v>
      </c>
      <c r="G240" s="6020">
        <f t="shared" si="28"/>
        <v>1502</v>
      </c>
      <c r="H240" s="6018">
        <f t="shared" si="29"/>
        <v>3618</v>
      </c>
      <c r="I240" s="6018">
        <f t="shared" si="30"/>
        <v>4750</v>
      </c>
      <c r="J240" s="6019">
        <f t="shared" si="31"/>
        <v>5344</v>
      </c>
      <c r="K240" s="1732"/>
      <c r="L240" s="6018">
        <v>11875</v>
      </c>
      <c r="W240" s="6018">
        <v>11850</v>
      </c>
      <c r="X240" s="6019">
        <v>11900</v>
      </c>
      <c r="Y240" s="6018">
        <v>1462</v>
      </c>
      <c r="Z240" s="6018">
        <v>3618</v>
      </c>
      <c r="AA240" s="6018">
        <v>4750</v>
      </c>
      <c r="AB240" s="6019">
        <v>5344</v>
      </c>
      <c r="AC240" s="6018">
        <v>1502</v>
      </c>
      <c r="AD240" s="6018">
        <v>3618</v>
      </c>
      <c r="AE240" s="6018">
        <v>4750</v>
      </c>
      <c r="AF240" s="6019">
        <v>5344</v>
      </c>
    </row>
    <row r="241" spans="1:32" ht="13.5">
      <c r="A241" s="6018">
        <v>11900</v>
      </c>
      <c r="B241" s="6019">
        <v>11950</v>
      </c>
      <c r="C241" s="6020">
        <v>1454</v>
      </c>
      <c r="D241" s="6018">
        <f t="shared" si="33"/>
        <v>3618</v>
      </c>
      <c r="E241" s="6018">
        <f t="shared" si="34"/>
        <v>4770</v>
      </c>
      <c r="F241" s="6019">
        <f t="shared" si="35"/>
        <v>5366</v>
      </c>
      <c r="G241" s="6020">
        <f t="shared" si="28"/>
        <v>1502</v>
      </c>
      <c r="H241" s="6018">
        <f t="shared" si="29"/>
        <v>3618</v>
      </c>
      <c r="I241" s="6018">
        <f t="shared" si="30"/>
        <v>4770</v>
      </c>
      <c r="J241" s="6019">
        <f t="shared" si="31"/>
        <v>5366</v>
      </c>
      <c r="K241" s="1732"/>
      <c r="L241" s="6018">
        <v>11925</v>
      </c>
      <c r="W241" s="6018">
        <v>11900</v>
      </c>
      <c r="X241" s="6019">
        <v>11950</v>
      </c>
      <c r="Y241" s="6018">
        <v>1454</v>
      </c>
      <c r="Z241" s="6018">
        <v>3618</v>
      </c>
      <c r="AA241" s="6018">
        <v>4770</v>
      </c>
      <c r="AB241" s="6019">
        <v>5366</v>
      </c>
      <c r="AC241" s="6018">
        <v>1502</v>
      </c>
      <c r="AD241" s="6018">
        <v>3618</v>
      </c>
      <c r="AE241" s="6018">
        <v>4770</v>
      </c>
      <c r="AF241" s="6019">
        <v>5366</v>
      </c>
    </row>
    <row r="242" spans="1:32" ht="13.5">
      <c r="A242" s="6018">
        <v>11950</v>
      </c>
      <c r="B242" s="6019">
        <v>12000</v>
      </c>
      <c r="C242" s="6020">
        <v>1447</v>
      </c>
      <c r="D242" s="6018">
        <f t="shared" si="33"/>
        <v>3618</v>
      </c>
      <c r="E242" s="6018">
        <f t="shared" si="34"/>
        <v>4790</v>
      </c>
      <c r="F242" s="6019">
        <f t="shared" si="35"/>
        <v>5389</v>
      </c>
      <c r="G242" s="6020">
        <f t="shared" si="28"/>
        <v>1502</v>
      </c>
      <c r="H242" s="6018">
        <f t="shared" si="29"/>
        <v>3618</v>
      </c>
      <c r="I242" s="6018">
        <f t="shared" si="30"/>
        <v>4790</v>
      </c>
      <c r="J242" s="6019">
        <f t="shared" si="31"/>
        <v>5389</v>
      </c>
      <c r="K242" s="1732"/>
      <c r="L242" s="6018">
        <v>11975</v>
      </c>
      <c r="W242" s="6018">
        <v>11950</v>
      </c>
      <c r="X242" s="6019">
        <v>12000</v>
      </c>
      <c r="Y242" s="6018">
        <v>1447</v>
      </c>
      <c r="Z242" s="6018">
        <v>3618</v>
      </c>
      <c r="AA242" s="6018">
        <v>4790</v>
      </c>
      <c r="AB242" s="6019">
        <v>5389</v>
      </c>
      <c r="AC242" s="6018">
        <v>1502</v>
      </c>
      <c r="AD242" s="6018">
        <v>3618</v>
      </c>
      <c r="AE242" s="6018">
        <v>4790</v>
      </c>
      <c r="AF242" s="6019">
        <v>5389</v>
      </c>
    </row>
    <row r="243" spans="1:32" ht="13.5">
      <c r="A243" s="6018">
        <v>12000</v>
      </c>
      <c r="B243" s="6019">
        <v>12050</v>
      </c>
      <c r="C243" s="6020">
        <v>1439</v>
      </c>
      <c r="D243" s="6018">
        <f t="shared" si="33"/>
        <v>3618</v>
      </c>
      <c r="E243" s="6018">
        <f t="shared" si="34"/>
        <v>4810</v>
      </c>
      <c r="F243" s="6019">
        <f t="shared" si="35"/>
        <v>5411</v>
      </c>
      <c r="G243" s="6020">
        <f t="shared" si="28"/>
        <v>1502</v>
      </c>
      <c r="H243" s="6018">
        <f t="shared" si="29"/>
        <v>3618</v>
      </c>
      <c r="I243" s="6018">
        <f t="shared" si="30"/>
        <v>4810</v>
      </c>
      <c r="J243" s="6019">
        <f t="shared" si="31"/>
        <v>5411</v>
      </c>
      <c r="K243" s="1732"/>
      <c r="L243" s="6018">
        <v>12025</v>
      </c>
      <c r="W243" s="6018">
        <v>12000</v>
      </c>
      <c r="X243" s="6019">
        <v>12050</v>
      </c>
      <c r="Y243" s="6018">
        <v>1439</v>
      </c>
      <c r="Z243" s="6018">
        <v>3618</v>
      </c>
      <c r="AA243" s="6018">
        <v>4810</v>
      </c>
      <c r="AB243" s="6019">
        <v>5411</v>
      </c>
      <c r="AC243" s="6018">
        <v>1502</v>
      </c>
      <c r="AD243" s="6018">
        <v>3618</v>
      </c>
      <c r="AE243" s="6018">
        <v>4810</v>
      </c>
      <c r="AF243" s="6019">
        <v>5411</v>
      </c>
    </row>
    <row r="244" spans="1:32" ht="13.5">
      <c r="A244" s="6018">
        <v>12050</v>
      </c>
      <c r="B244" s="6019">
        <v>12100</v>
      </c>
      <c r="C244" s="6020">
        <v>1431</v>
      </c>
      <c r="D244" s="6018">
        <f t="shared" si="33"/>
        <v>3618</v>
      </c>
      <c r="E244" s="6018">
        <f t="shared" si="34"/>
        <v>4830</v>
      </c>
      <c r="F244" s="6019">
        <f t="shared" si="35"/>
        <v>5434</v>
      </c>
      <c r="G244" s="6020">
        <f t="shared" si="28"/>
        <v>1502</v>
      </c>
      <c r="H244" s="6018">
        <f t="shared" si="29"/>
        <v>3618</v>
      </c>
      <c r="I244" s="6018">
        <f t="shared" si="30"/>
        <v>4830</v>
      </c>
      <c r="J244" s="6019">
        <f t="shared" si="31"/>
        <v>5434</v>
      </c>
      <c r="K244" s="1732"/>
      <c r="L244" s="6018">
        <v>12075</v>
      </c>
      <c r="W244" s="6018">
        <v>12050</v>
      </c>
      <c r="X244" s="6019">
        <v>12100</v>
      </c>
      <c r="Y244" s="6018">
        <v>1431</v>
      </c>
      <c r="Z244" s="6018">
        <v>3618</v>
      </c>
      <c r="AA244" s="6018">
        <v>4830</v>
      </c>
      <c r="AB244" s="6019">
        <v>5434</v>
      </c>
      <c r="AC244" s="6018">
        <v>1502</v>
      </c>
      <c r="AD244" s="6018">
        <v>3618</v>
      </c>
      <c r="AE244" s="6018">
        <v>4830</v>
      </c>
      <c r="AF244" s="6019">
        <v>5434</v>
      </c>
    </row>
    <row r="245" spans="1:32" ht="13.5">
      <c r="A245" s="6018">
        <v>12100</v>
      </c>
      <c r="B245" s="6019">
        <v>12150</v>
      </c>
      <c r="C245" s="6020">
        <v>1424</v>
      </c>
      <c r="D245" s="6018">
        <f t="shared" si="33"/>
        <v>3618</v>
      </c>
      <c r="E245" s="6018">
        <f t="shared" si="34"/>
        <v>4850</v>
      </c>
      <c r="F245" s="6019">
        <f t="shared" si="35"/>
        <v>5456</v>
      </c>
      <c r="G245" s="6020">
        <f t="shared" si="28"/>
        <v>1502</v>
      </c>
      <c r="H245" s="6018">
        <f t="shared" si="29"/>
        <v>3618</v>
      </c>
      <c r="I245" s="6018">
        <f t="shared" si="30"/>
        <v>4850</v>
      </c>
      <c r="J245" s="6019">
        <f t="shared" si="31"/>
        <v>5456</v>
      </c>
      <c r="K245" s="1732"/>
      <c r="L245" s="6018">
        <v>12125</v>
      </c>
      <c r="W245" s="6018">
        <v>12100</v>
      </c>
      <c r="X245" s="6019">
        <v>12150</v>
      </c>
      <c r="Y245" s="6018">
        <v>1424</v>
      </c>
      <c r="Z245" s="6018">
        <v>3618</v>
      </c>
      <c r="AA245" s="6018">
        <v>4850</v>
      </c>
      <c r="AB245" s="6019">
        <v>5456</v>
      </c>
      <c r="AC245" s="6018">
        <v>1502</v>
      </c>
      <c r="AD245" s="6018">
        <v>3618</v>
      </c>
      <c r="AE245" s="6018">
        <v>4850</v>
      </c>
      <c r="AF245" s="6019">
        <v>5456</v>
      </c>
    </row>
    <row r="246" spans="1:32" ht="13.5">
      <c r="A246" s="6018">
        <v>12150</v>
      </c>
      <c r="B246" s="6019">
        <v>12200</v>
      </c>
      <c r="C246" s="6020">
        <v>1416</v>
      </c>
      <c r="D246" s="6018">
        <f t="shared" si="33"/>
        <v>3618</v>
      </c>
      <c r="E246" s="6018">
        <f t="shared" si="34"/>
        <v>4870</v>
      </c>
      <c r="F246" s="6019">
        <f t="shared" si="35"/>
        <v>5479</v>
      </c>
      <c r="G246" s="6020">
        <f t="shared" si="28"/>
        <v>1502</v>
      </c>
      <c r="H246" s="6018">
        <f t="shared" si="29"/>
        <v>3618</v>
      </c>
      <c r="I246" s="6018">
        <f t="shared" si="30"/>
        <v>4870</v>
      </c>
      <c r="J246" s="6019">
        <f t="shared" si="31"/>
        <v>5479</v>
      </c>
      <c r="K246" s="1732"/>
      <c r="L246" s="6018">
        <v>12175</v>
      </c>
      <c r="W246" s="6018">
        <v>12150</v>
      </c>
      <c r="X246" s="6019">
        <v>12200</v>
      </c>
      <c r="Y246" s="6018">
        <v>1416</v>
      </c>
      <c r="Z246" s="6018">
        <v>3618</v>
      </c>
      <c r="AA246" s="6018">
        <v>4870</v>
      </c>
      <c r="AB246" s="6019">
        <v>5479</v>
      </c>
      <c r="AC246" s="6018">
        <v>1502</v>
      </c>
      <c r="AD246" s="6018">
        <v>3618</v>
      </c>
      <c r="AE246" s="6018">
        <v>4870</v>
      </c>
      <c r="AF246" s="6019">
        <v>5479</v>
      </c>
    </row>
    <row r="247" spans="1:32" ht="13.5">
      <c r="A247" s="6018">
        <v>12200</v>
      </c>
      <c r="B247" s="6019">
        <v>12250</v>
      </c>
      <c r="C247" s="6020">
        <v>1408</v>
      </c>
      <c r="D247" s="6018">
        <f t="shared" si="33"/>
        <v>3618</v>
      </c>
      <c r="E247" s="6018">
        <f t="shared" si="34"/>
        <v>4890</v>
      </c>
      <c r="F247" s="6019">
        <f t="shared" si="35"/>
        <v>5501</v>
      </c>
      <c r="G247" s="6020">
        <f t="shared" si="28"/>
        <v>1502</v>
      </c>
      <c r="H247" s="6018">
        <f t="shared" si="29"/>
        <v>3618</v>
      </c>
      <c r="I247" s="6018">
        <f t="shared" si="30"/>
        <v>4890</v>
      </c>
      <c r="J247" s="6019">
        <f t="shared" si="31"/>
        <v>5501</v>
      </c>
      <c r="K247" s="1732"/>
      <c r="L247" s="6018">
        <v>12225</v>
      </c>
      <c r="W247" s="6018">
        <v>12200</v>
      </c>
      <c r="X247" s="6019">
        <v>12250</v>
      </c>
      <c r="Y247" s="6018">
        <v>1408</v>
      </c>
      <c r="Z247" s="6018">
        <v>3618</v>
      </c>
      <c r="AA247" s="6018">
        <v>4890</v>
      </c>
      <c r="AB247" s="6019">
        <v>5501</v>
      </c>
      <c r="AC247" s="6018">
        <v>1502</v>
      </c>
      <c r="AD247" s="6018">
        <v>3618</v>
      </c>
      <c r="AE247" s="6018">
        <v>4890</v>
      </c>
      <c r="AF247" s="6019">
        <v>5501</v>
      </c>
    </row>
    <row r="248" spans="1:32" ht="13.5">
      <c r="A248" s="6018">
        <v>12250</v>
      </c>
      <c r="B248" s="6019">
        <v>12300</v>
      </c>
      <c r="C248" s="6020">
        <v>1401</v>
      </c>
      <c r="D248" s="6018">
        <f t="shared" si="33"/>
        <v>3618</v>
      </c>
      <c r="E248" s="6018">
        <f t="shared" si="34"/>
        <v>4910</v>
      </c>
      <c r="F248" s="6019">
        <f t="shared" si="35"/>
        <v>5524</v>
      </c>
      <c r="G248" s="6020">
        <f t="shared" si="28"/>
        <v>1502</v>
      </c>
      <c r="H248" s="6018">
        <f t="shared" si="29"/>
        <v>3618</v>
      </c>
      <c r="I248" s="6018">
        <f t="shared" si="30"/>
        <v>4910</v>
      </c>
      <c r="J248" s="6019">
        <f t="shared" si="31"/>
        <v>5524</v>
      </c>
      <c r="K248" s="1732"/>
      <c r="L248" s="6018">
        <v>12275</v>
      </c>
      <c r="W248" s="6018">
        <v>12250</v>
      </c>
      <c r="X248" s="6019">
        <v>12300</v>
      </c>
      <c r="Y248" s="6018">
        <v>1401</v>
      </c>
      <c r="Z248" s="6018">
        <v>3618</v>
      </c>
      <c r="AA248" s="6018">
        <v>4910</v>
      </c>
      <c r="AB248" s="6019">
        <v>5524</v>
      </c>
      <c r="AC248" s="6018">
        <v>1502</v>
      </c>
      <c r="AD248" s="6018">
        <v>3618</v>
      </c>
      <c r="AE248" s="6018">
        <v>4910</v>
      </c>
      <c r="AF248" s="6019">
        <v>5524</v>
      </c>
    </row>
    <row r="249" spans="1:32" ht="13.5">
      <c r="A249" s="6018">
        <v>12300</v>
      </c>
      <c r="B249" s="6019">
        <v>12350</v>
      </c>
      <c r="C249" s="6020">
        <v>1393</v>
      </c>
      <c r="D249" s="6018">
        <f t="shared" si="33"/>
        <v>3618</v>
      </c>
      <c r="E249" s="6018">
        <f t="shared" si="34"/>
        <v>4930</v>
      </c>
      <c r="F249" s="6019">
        <f t="shared" si="35"/>
        <v>5546</v>
      </c>
      <c r="G249" s="6020">
        <f t="shared" si="28"/>
        <v>1502</v>
      </c>
      <c r="H249" s="6018">
        <f t="shared" si="29"/>
        <v>3618</v>
      </c>
      <c r="I249" s="6018">
        <f t="shared" si="30"/>
        <v>4930</v>
      </c>
      <c r="J249" s="6019">
        <f t="shared" si="31"/>
        <v>5546</v>
      </c>
      <c r="K249" s="1732"/>
      <c r="L249" s="6018">
        <v>12325</v>
      </c>
      <c r="W249" s="6018">
        <v>12300</v>
      </c>
      <c r="X249" s="6019">
        <v>12350</v>
      </c>
      <c r="Y249" s="6018">
        <v>1393</v>
      </c>
      <c r="Z249" s="6018">
        <v>3618</v>
      </c>
      <c r="AA249" s="6018">
        <v>4930</v>
      </c>
      <c r="AB249" s="6019">
        <v>5546</v>
      </c>
      <c r="AC249" s="6018">
        <v>1502</v>
      </c>
      <c r="AD249" s="6018">
        <v>3618</v>
      </c>
      <c r="AE249" s="6018">
        <v>4930</v>
      </c>
      <c r="AF249" s="6019">
        <v>5546</v>
      </c>
    </row>
    <row r="250" spans="1:32" ht="13.5">
      <c r="A250" s="6018">
        <v>12350</v>
      </c>
      <c r="B250" s="6019">
        <v>12400</v>
      </c>
      <c r="C250" s="6020">
        <v>1385</v>
      </c>
      <c r="D250" s="6018">
        <f t="shared" si="33"/>
        <v>3618</v>
      </c>
      <c r="E250" s="6018">
        <f t="shared" si="34"/>
        <v>4950</v>
      </c>
      <c r="F250" s="6019">
        <f t="shared" si="35"/>
        <v>5569</v>
      </c>
      <c r="G250" s="6020">
        <f t="shared" si="28"/>
        <v>1502</v>
      </c>
      <c r="H250" s="6018">
        <f t="shared" si="29"/>
        <v>3618</v>
      </c>
      <c r="I250" s="6018">
        <f t="shared" si="30"/>
        <v>4950</v>
      </c>
      <c r="J250" s="6019">
        <f t="shared" si="31"/>
        <v>5569</v>
      </c>
      <c r="K250" s="1732"/>
      <c r="L250" s="6018">
        <v>12375</v>
      </c>
      <c r="W250" s="6018">
        <v>12350</v>
      </c>
      <c r="X250" s="6019">
        <v>12400</v>
      </c>
      <c r="Y250" s="6018">
        <v>1385</v>
      </c>
      <c r="Z250" s="6018">
        <v>3618</v>
      </c>
      <c r="AA250" s="6018">
        <v>4950</v>
      </c>
      <c r="AB250" s="6019">
        <v>5569</v>
      </c>
      <c r="AC250" s="6018">
        <v>1502</v>
      </c>
      <c r="AD250" s="6018">
        <v>3618</v>
      </c>
      <c r="AE250" s="6018">
        <v>4950</v>
      </c>
      <c r="AF250" s="6019">
        <v>5569</v>
      </c>
    </row>
    <row r="251" spans="1:32" ht="13.5">
      <c r="A251" s="6018">
        <v>12400</v>
      </c>
      <c r="B251" s="6019">
        <v>12450</v>
      </c>
      <c r="C251" s="6020">
        <v>1378</v>
      </c>
      <c r="D251" s="6018">
        <f t="shared" si="33"/>
        <v>3618</v>
      </c>
      <c r="E251" s="6018">
        <f t="shared" si="34"/>
        <v>4970</v>
      </c>
      <c r="F251" s="6019">
        <f t="shared" si="35"/>
        <v>5591</v>
      </c>
      <c r="G251" s="6020">
        <f t="shared" si="28"/>
        <v>1502</v>
      </c>
      <c r="H251" s="6018">
        <f t="shared" si="29"/>
        <v>3618</v>
      </c>
      <c r="I251" s="6018">
        <f t="shared" si="30"/>
        <v>4970</v>
      </c>
      <c r="J251" s="6019">
        <f t="shared" si="31"/>
        <v>5591</v>
      </c>
      <c r="K251" s="1732"/>
      <c r="L251" s="6018">
        <v>12425</v>
      </c>
      <c r="W251" s="6018">
        <v>12400</v>
      </c>
      <c r="X251" s="6019">
        <v>12450</v>
      </c>
      <c r="Y251" s="6018">
        <v>1378</v>
      </c>
      <c r="Z251" s="6018">
        <v>3618</v>
      </c>
      <c r="AA251" s="6018">
        <v>4970</v>
      </c>
      <c r="AB251" s="6019">
        <v>5591</v>
      </c>
      <c r="AC251" s="6018">
        <v>1502</v>
      </c>
      <c r="AD251" s="6018">
        <v>3618</v>
      </c>
      <c r="AE251" s="6018">
        <v>4970</v>
      </c>
      <c r="AF251" s="6019">
        <v>5591</v>
      </c>
    </row>
    <row r="252" spans="1:32" ht="13.5">
      <c r="A252" s="6018">
        <v>12450</v>
      </c>
      <c r="B252" s="6019">
        <v>12500</v>
      </c>
      <c r="C252" s="6020">
        <v>1370</v>
      </c>
      <c r="D252" s="6018">
        <f t="shared" si="33"/>
        <v>3618</v>
      </c>
      <c r="E252" s="6018">
        <f t="shared" si="34"/>
        <v>4990</v>
      </c>
      <c r="F252" s="6019">
        <f t="shared" si="35"/>
        <v>5614</v>
      </c>
      <c r="G252" s="6020">
        <f t="shared" si="28"/>
        <v>1502</v>
      </c>
      <c r="H252" s="6018">
        <f t="shared" si="29"/>
        <v>3618</v>
      </c>
      <c r="I252" s="6018">
        <f t="shared" si="30"/>
        <v>4990</v>
      </c>
      <c r="J252" s="6019">
        <f t="shared" si="31"/>
        <v>5614</v>
      </c>
      <c r="K252" s="1732"/>
      <c r="L252" s="6018">
        <v>12475</v>
      </c>
      <c r="W252" s="6018">
        <v>12450</v>
      </c>
      <c r="X252" s="6019">
        <v>12500</v>
      </c>
      <c r="Y252" s="6018">
        <v>1370</v>
      </c>
      <c r="Z252" s="6018">
        <v>3618</v>
      </c>
      <c r="AA252" s="6018">
        <v>4990</v>
      </c>
      <c r="AB252" s="6019">
        <v>5614</v>
      </c>
      <c r="AC252" s="6018">
        <v>1502</v>
      </c>
      <c r="AD252" s="6018">
        <v>3618</v>
      </c>
      <c r="AE252" s="6018">
        <v>4990</v>
      </c>
      <c r="AF252" s="6019">
        <v>5614</v>
      </c>
    </row>
    <row r="253" spans="1:32" ht="13.5">
      <c r="A253" s="6018">
        <v>12500</v>
      </c>
      <c r="B253" s="6019">
        <v>12550</v>
      </c>
      <c r="C253" s="6020">
        <v>1362</v>
      </c>
      <c r="D253" s="6018">
        <f t="shared" si="33"/>
        <v>3618</v>
      </c>
      <c r="E253" s="6018">
        <f t="shared" si="34"/>
        <v>5010</v>
      </c>
      <c r="F253" s="6019">
        <f t="shared" si="35"/>
        <v>5636</v>
      </c>
      <c r="G253" s="6020">
        <f t="shared" si="28"/>
        <v>1502</v>
      </c>
      <c r="H253" s="6018">
        <f t="shared" si="29"/>
        <v>3618</v>
      </c>
      <c r="I253" s="6018">
        <f t="shared" si="30"/>
        <v>5010</v>
      </c>
      <c r="J253" s="6019">
        <f t="shared" si="31"/>
        <v>5636</v>
      </c>
      <c r="K253" s="1732"/>
      <c r="L253" s="6018">
        <v>12525</v>
      </c>
      <c r="W253" s="6018">
        <v>12500</v>
      </c>
      <c r="X253" s="6019">
        <v>12550</v>
      </c>
      <c r="Y253" s="6018">
        <v>1362</v>
      </c>
      <c r="Z253" s="6018">
        <v>3618</v>
      </c>
      <c r="AA253" s="6018">
        <v>5010</v>
      </c>
      <c r="AB253" s="6019">
        <v>5636</v>
      </c>
      <c r="AC253" s="6018">
        <v>1502</v>
      </c>
      <c r="AD253" s="6018">
        <v>3618</v>
      </c>
      <c r="AE253" s="6018">
        <v>5010</v>
      </c>
      <c r="AF253" s="6019">
        <v>5636</v>
      </c>
    </row>
    <row r="254" spans="1:32" ht="13.5">
      <c r="A254" s="6018">
        <v>12550</v>
      </c>
      <c r="B254" s="6019">
        <v>12600</v>
      </c>
      <c r="C254" s="6020">
        <v>1355</v>
      </c>
      <c r="D254" s="6018">
        <f t="shared" si="33"/>
        <v>3618</v>
      </c>
      <c r="E254" s="6018">
        <f t="shared" si="34"/>
        <v>5030</v>
      </c>
      <c r="F254" s="6019">
        <f t="shared" si="35"/>
        <v>5659</v>
      </c>
      <c r="G254" s="6020">
        <f t="shared" si="28"/>
        <v>1502</v>
      </c>
      <c r="H254" s="6018">
        <f t="shared" si="29"/>
        <v>3618</v>
      </c>
      <c r="I254" s="6018">
        <f t="shared" si="30"/>
        <v>5030</v>
      </c>
      <c r="J254" s="6019">
        <f t="shared" si="31"/>
        <v>5659</v>
      </c>
      <c r="K254" s="1732"/>
      <c r="L254" s="6018">
        <v>12575</v>
      </c>
      <c r="W254" s="6018">
        <v>12550</v>
      </c>
      <c r="X254" s="6019">
        <v>12600</v>
      </c>
      <c r="Y254" s="6018">
        <v>1355</v>
      </c>
      <c r="Z254" s="6018">
        <v>3618</v>
      </c>
      <c r="AA254" s="6018">
        <v>5030</v>
      </c>
      <c r="AB254" s="6019">
        <v>5659</v>
      </c>
      <c r="AC254" s="6018">
        <v>1502</v>
      </c>
      <c r="AD254" s="6018">
        <v>3618</v>
      </c>
      <c r="AE254" s="6018">
        <v>5030</v>
      </c>
      <c r="AF254" s="6019">
        <v>5659</v>
      </c>
    </row>
    <row r="255" spans="1:32" ht="13.5">
      <c r="A255" s="6018">
        <v>12600</v>
      </c>
      <c r="B255" s="6019">
        <v>12650</v>
      </c>
      <c r="C255" s="6020">
        <v>1347</v>
      </c>
      <c r="D255" s="6018">
        <f t="shared" si="33"/>
        <v>3618</v>
      </c>
      <c r="E255" s="6018">
        <f t="shared" si="34"/>
        <v>5050</v>
      </c>
      <c r="F255" s="6019">
        <f t="shared" si="35"/>
        <v>5681</v>
      </c>
      <c r="G255" s="6020">
        <f t="shared" si="28"/>
        <v>1502</v>
      </c>
      <c r="H255" s="6018">
        <f t="shared" si="29"/>
        <v>3618</v>
      </c>
      <c r="I255" s="6018">
        <f t="shared" si="30"/>
        <v>5050</v>
      </c>
      <c r="J255" s="6019">
        <f t="shared" si="31"/>
        <v>5681</v>
      </c>
      <c r="K255" s="1732"/>
      <c r="L255" s="6018">
        <v>12625</v>
      </c>
      <c r="W255" s="6018">
        <v>12600</v>
      </c>
      <c r="X255" s="6019">
        <v>12650</v>
      </c>
      <c r="Y255" s="6018">
        <v>1347</v>
      </c>
      <c r="Z255" s="6018">
        <v>3618</v>
      </c>
      <c r="AA255" s="6018">
        <v>5050</v>
      </c>
      <c r="AB255" s="6019">
        <v>5681</v>
      </c>
      <c r="AC255" s="6018">
        <v>1502</v>
      </c>
      <c r="AD255" s="6018">
        <v>3618</v>
      </c>
      <c r="AE255" s="6018">
        <v>5050</v>
      </c>
      <c r="AF255" s="6019">
        <v>5681</v>
      </c>
    </row>
    <row r="256" spans="1:32" ht="13.5">
      <c r="A256" s="6018">
        <v>12650</v>
      </c>
      <c r="B256" s="6019">
        <v>12700</v>
      </c>
      <c r="C256" s="6020">
        <v>1340</v>
      </c>
      <c r="D256" s="6018">
        <f t="shared" si="33"/>
        <v>3618</v>
      </c>
      <c r="E256" s="6018">
        <f t="shared" si="34"/>
        <v>5070</v>
      </c>
      <c r="F256" s="6019">
        <f t="shared" si="35"/>
        <v>5704</v>
      </c>
      <c r="G256" s="6020">
        <f t="shared" si="28"/>
        <v>1502</v>
      </c>
      <c r="H256" s="6018">
        <f t="shared" si="29"/>
        <v>3618</v>
      </c>
      <c r="I256" s="6018">
        <f t="shared" si="30"/>
        <v>5070</v>
      </c>
      <c r="J256" s="6019">
        <f t="shared" si="31"/>
        <v>5704</v>
      </c>
      <c r="K256" s="1732"/>
      <c r="L256" s="6018">
        <v>12675</v>
      </c>
      <c r="W256" s="6018">
        <v>12650</v>
      </c>
      <c r="X256" s="6019">
        <v>12700</v>
      </c>
      <c r="Y256" s="6018">
        <v>1340</v>
      </c>
      <c r="Z256" s="6018">
        <v>3618</v>
      </c>
      <c r="AA256" s="6018">
        <v>5070</v>
      </c>
      <c r="AB256" s="6019">
        <v>5704</v>
      </c>
      <c r="AC256" s="6018">
        <v>1502</v>
      </c>
      <c r="AD256" s="6018">
        <v>3618</v>
      </c>
      <c r="AE256" s="6018">
        <v>5070</v>
      </c>
      <c r="AF256" s="6019">
        <v>5704</v>
      </c>
    </row>
    <row r="257" spans="1:32" ht="13.5">
      <c r="A257" s="6018">
        <v>12700</v>
      </c>
      <c r="B257" s="6019">
        <v>12750</v>
      </c>
      <c r="C257" s="6020">
        <v>1332</v>
      </c>
      <c r="D257" s="6018">
        <f t="shared" si="33"/>
        <v>3618</v>
      </c>
      <c r="E257" s="6018">
        <f t="shared" si="34"/>
        <v>5090</v>
      </c>
      <c r="F257" s="6019">
        <f t="shared" si="35"/>
        <v>5726</v>
      </c>
      <c r="G257" s="6020">
        <f t="shared" si="28"/>
        <v>1502</v>
      </c>
      <c r="H257" s="6018">
        <f t="shared" si="29"/>
        <v>3618</v>
      </c>
      <c r="I257" s="6018">
        <f t="shared" si="30"/>
        <v>5090</v>
      </c>
      <c r="J257" s="6019">
        <f t="shared" si="31"/>
        <v>5726</v>
      </c>
      <c r="K257" s="1732"/>
      <c r="L257" s="6018">
        <v>12725</v>
      </c>
      <c r="W257" s="6018">
        <v>12700</v>
      </c>
      <c r="X257" s="6019">
        <v>12750</v>
      </c>
      <c r="Y257" s="6018">
        <v>1332</v>
      </c>
      <c r="Z257" s="6018">
        <v>3618</v>
      </c>
      <c r="AA257" s="6018">
        <v>5090</v>
      </c>
      <c r="AB257" s="6019">
        <v>5726</v>
      </c>
      <c r="AC257" s="6018">
        <v>1502</v>
      </c>
      <c r="AD257" s="6018">
        <v>3618</v>
      </c>
      <c r="AE257" s="6018">
        <v>5090</v>
      </c>
      <c r="AF257" s="6019">
        <v>5726</v>
      </c>
    </row>
    <row r="258" spans="1:32" ht="13.5">
      <c r="A258" s="6018">
        <v>12750</v>
      </c>
      <c r="B258" s="6019">
        <v>12800</v>
      </c>
      <c r="C258" s="6020">
        <v>1324</v>
      </c>
      <c r="D258" s="6018">
        <f t="shared" si="33"/>
        <v>3618</v>
      </c>
      <c r="E258" s="6018">
        <f t="shared" si="34"/>
        <v>5110</v>
      </c>
      <c r="F258" s="6019">
        <f t="shared" si="35"/>
        <v>5749</v>
      </c>
      <c r="G258" s="6020">
        <f t="shared" si="28"/>
        <v>1502</v>
      </c>
      <c r="H258" s="6018">
        <f t="shared" si="29"/>
        <v>3618</v>
      </c>
      <c r="I258" s="6018">
        <f t="shared" si="30"/>
        <v>5110</v>
      </c>
      <c r="J258" s="6019">
        <f t="shared" si="31"/>
        <v>5749</v>
      </c>
      <c r="K258" s="1732"/>
      <c r="L258" s="6018">
        <v>12775</v>
      </c>
      <c r="W258" s="6018">
        <v>12750</v>
      </c>
      <c r="X258" s="6019">
        <v>12800</v>
      </c>
      <c r="Y258" s="6018">
        <v>1324</v>
      </c>
      <c r="Z258" s="6018">
        <v>3618</v>
      </c>
      <c r="AA258" s="6018">
        <v>5110</v>
      </c>
      <c r="AB258" s="6019">
        <v>5749</v>
      </c>
      <c r="AC258" s="6018">
        <v>1502</v>
      </c>
      <c r="AD258" s="6018">
        <v>3618</v>
      </c>
      <c r="AE258" s="6018">
        <v>5110</v>
      </c>
      <c r="AF258" s="6019">
        <v>5749</v>
      </c>
    </row>
    <row r="259" spans="1:32" ht="13.5">
      <c r="A259" s="6018">
        <v>12800</v>
      </c>
      <c r="B259" s="6019">
        <v>12850</v>
      </c>
      <c r="C259" s="6020">
        <v>1317</v>
      </c>
      <c r="D259" s="6018">
        <f t="shared" si="33"/>
        <v>3618</v>
      </c>
      <c r="E259" s="6018">
        <f t="shared" si="34"/>
        <v>5130</v>
      </c>
      <c r="F259" s="6019">
        <f t="shared" si="35"/>
        <v>5771</v>
      </c>
      <c r="G259" s="6020">
        <f t="shared" si="28"/>
        <v>1502</v>
      </c>
      <c r="H259" s="6018">
        <f t="shared" si="29"/>
        <v>3618</v>
      </c>
      <c r="I259" s="6018">
        <f t="shared" si="30"/>
        <v>5130</v>
      </c>
      <c r="J259" s="6019">
        <f t="shared" si="31"/>
        <v>5771</v>
      </c>
      <c r="K259" s="1732"/>
      <c r="L259" s="6018">
        <v>12825</v>
      </c>
      <c r="W259" s="6018">
        <v>12800</v>
      </c>
      <c r="X259" s="6019">
        <v>12850</v>
      </c>
      <c r="Y259" s="6018">
        <v>1317</v>
      </c>
      <c r="Z259" s="6018">
        <v>3618</v>
      </c>
      <c r="AA259" s="6018">
        <v>5130</v>
      </c>
      <c r="AB259" s="6019">
        <v>5771</v>
      </c>
      <c r="AC259" s="6018">
        <v>1502</v>
      </c>
      <c r="AD259" s="6018">
        <v>3618</v>
      </c>
      <c r="AE259" s="6018">
        <v>5130</v>
      </c>
      <c r="AF259" s="6019">
        <v>5771</v>
      </c>
    </row>
    <row r="260" spans="1:32" ht="13.5">
      <c r="A260" s="6018">
        <v>12850</v>
      </c>
      <c r="B260" s="6019">
        <v>12900</v>
      </c>
      <c r="C260" s="6020">
        <v>1309</v>
      </c>
      <c r="D260" s="6018">
        <f t="shared" si="33"/>
        <v>3618</v>
      </c>
      <c r="E260" s="6018">
        <f t="shared" si="34"/>
        <v>5150</v>
      </c>
      <c r="F260" s="6019">
        <f t="shared" si="35"/>
        <v>5794</v>
      </c>
      <c r="G260" s="6020">
        <f t="shared" ref="G260:G323" si="37">IF($L260&gt;R$5,MAX(0,R$3+ROUND((R$9*($L260-R$5)),0)),IF($L260&gt;R$4,R$3,ROUND($L260*R$7,0)))</f>
        <v>1502</v>
      </c>
      <c r="H260" s="6018">
        <f t="shared" ref="H260:H323" si="38">IF($L260&gt;S$5,MAX(0,S$3+ROUND((S$9*($L260-S$5)),0)),IF($L260&gt;S$4,S$3,ROUND($L260*S$7,0)))</f>
        <v>3618</v>
      </c>
      <c r="I260" s="6018">
        <f t="shared" ref="I260:I323" si="39">IF($L260&gt;T$5,MAX(0,T$3+ROUND((T$9*($L260-T$5)),0)),IF($L260&gt;T$4,T$3,ROUND($L260*T$7,0)))</f>
        <v>5150</v>
      </c>
      <c r="J260" s="6019">
        <f t="shared" ref="J260:J323" si="40">IF($L260&gt;U$5,MAX(0,U$3+ROUND((U$9*($L260-U$5)),0)),IF($L260&gt;U$4,U$3,ROUND($L260*U$7,0)))</f>
        <v>5794</v>
      </c>
      <c r="K260" s="1732"/>
      <c r="L260" s="6018">
        <v>12875</v>
      </c>
      <c r="W260" s="6018">
        <v>12850</v>
      </c>
      <c r="X260" s="6019">
        <v>12900</v>
      </c>
      <c r="Y260" s="6018">
        <v>1309</v>
      </c>
      <c r="Z260" s="6018">
        <v>3618</v>
      </c>
      <c r="AA260" s="6018">
        <v>5150</v>
      </c>
      <c r="AB260" s="6019">
        <v>5794</v>
      </c>
      <c r="AC260" s="6018">
        <v>1502</v>
      </c>
      <c r="AD260" s="6018">
        <v>3618</v>
      </c>
      <c r="AE260" s="6018">
        <v>5150</v>
      </c>
      <c r="AF260" s="6019">
        <v>5794</v>
      </c>
    </row>
    <row r="261" spans="1:32" ht="13.5">
      <c r="A261" s="6018">
        <v>12900</v>
      </c>
      <c r="B261" s="6019">
        <v>12950</v>
      </c>
      <c r="C261" s="6020">
        <v>1301</v>
      </c>
      <c r="D261" s="6018">
        <f t="shared" si="33"/>
        <v>3618</v>
      </c>
      <c r="E261" s="6018">
        <f t="shared" si="34"/>
        <v>5170</v>
      </c>
      <c r="F261" s="6019">
        <f t="shared" si="35"/>
        <v>5816</v>
      </c>
      <c r="G261" s="6020">
        <f t="shared" si="37"/>
        <v>1502</v>
      </c>
      <c r="H261" s="6018">
        <f t="shared" si="38"/>
        <v>3618</v>
      </c>
      <c r="I261" s="6018">
        <f t="shared" si="39"/>
        <v>5170</v>
      </c>
      <c r="J261" s="6019">
        <f t="shared" si="40"/>
        <v>5816</v>
      </c>
      <c r="K261" s="1732"/>
      <c r="L261" s="6018">
        <v>12925</v>
      </c>
      <c r="W261" s="6018">
        <v>12900</v>
      </c>
      <c r="X261" s="6019">
        <v>12950</v>
      </c>
      <c r="Y261" s="6018">
        <v>1301</v>
      </c>
      <c r="Z261" s="6018">
        <v>3618</v>
      </c>
      <c r="AA261" s="6018">
        <v>5170</v>
      </c>
      <c r="AB261" s="6019">
        <v>5816</v>
      </c>
      <c r="AC261" s="6018">
        <v>1502</v>
      </c>
      <c r="AD261" s="6018">
        <v>3618</v>
      </c>
      <c r="AE261" s="6018">
        <v>5170</v>
      </c>
      <c r="AF261" s="6019">
        <v>5816</v>
      </c>
    </row>
    <row r="262" spans="1:32" ht="13.5">
      <c r="A262" s="6018">
        <v>12950</v>
      </c>
      <c r="B262" s="6019">
        <v>13000</v>
      </c>
      <c r="C262" s="6020">
        <v>1294</v>
      </c>
      <c r="D262" s="6018">
        <f t="shared" ref="D262:D325" si="41">IF($L262&gt;O$5,MAX(0,O$3+ROUND((O$9*($L262-O$5)),0)),IF($L262&gt;O$4,O$3,ROUND($L262*O$7,0)))</f>
        <v>3618</v>
      </c>
      <c r="E262" s="6018">
        <f t="shared" ref="E262:E325" si="42">IF($L262&gt;P$5,MAX(0,P$3+ROUND((P$9*($L262-P$5)),0)),IF($L262&gt;P$4,P$3,ROUND($L262*P$7,0)))</f>
        <v>5190</v>
      </c>
      <c r="F262" s="6019">
        <f t="shared" ref="F262:F325" si="43">IF($L262&gt;Q$5,MAX(0,Q$3+ROUND((Q$9*($L262-Q$5)),0)),IF($L262&gt;Q$4,Q$3,ROUND($L262*Q$7,0)))</f>
        <v>5839</v>
      </c>
      <c r="G262" s="6020">
        <f t="shared" si="37"/>
        <v>1502</v>
      </c>
      <c r="H262" s="6018">
        <f t="shared" si="38"/>
        <v>3618</v>
      </c>
      <c r="I262" s="6018">
        <f t="shared" si="39"/>
        <v>5190</v>
      </c>
      <c r="J262" s="6019">
        <f t="shared" si="40"/>
        <v>5839</v>
      </c>
      <c r="K262" s="1732"/>
      <c r="L262" s="6018">
        <v>12975</v>
      </c>
      <c r="W262" s="6018">
        <v>12950</v>
      </c>
      <c r="X262" s="6019">
        <v>13000</v>
      </c>
      <c r="Y262" s="6018">
        <v>1294</v>
      </c>
      <c r="Z262" s="6018">
        <v>3618</v>
      </c>
      <c r="AA262" s="6018">
        <v>5190</v>
      </c>
      <c r="AB262" s="6019">
        <v>5839</v>
      </c>
      <c r="AC262" s="6018">
        <v>1502</v>
      </c>
      <c r="AD262" s="6018">
        <v>3618</v>
      </c>
      <c r="AE262" s="6018">
        <v>5190</v>
      </c>
      <c r="AF262" s="6019">
        <v>5839</v>
      </c>
    </row>
    <row r="263" spans="1:32" ht="13.5">
      <c r="A263" s="6018">
        <v>13000</v>
      </c>
      <c r="B263" s="6019">
        <v>13050</v>
      </c>
      <c r="C263" s="6020">
        <v>1286</v>
      </c>
      <c r="D263" s="6018">
        <f t="shared" si="41"/>
        <v>3618</v>
      </c>
      <c r="E263" s="6018">
        <f t="shared" si="42"/>
        <v>5210</v>
      </c>
      <c r="F263" s="6019">
        <f t="shared" si="43"/>
        <v>5861</v>
      </c>
      <c r="G263" s="6020">
        <f t="shared" si="37"/>
        <v>1502</v>
      </c>
      <c r="H263" s="6018">
        <f t="shared" si="38"/>
        <v>3618</v>
      </c>
      <c r="I263" s="6018">
        <f t="shared" si="39"/>
        <v>5210</v>
      </c>
      <c r="J263" s="6019">
        <f t="shared" si="40"/>
        <v>5861</v>
      </c>
      <c r="K263" s="1732"/>
      <c r="L263" s="6018">
        <v>13025</v>
      </c>
      <c r="W263" s="6018">
        <v>13000</v>
      </c>
      <c r="X263" s="6019">
        <v>13050</v>
      </c>
      <c r="Y263" s="6018">
        <v>1286</v>
      </c>
      <c r="Z263" s="6018">
        <v>3618</v>
      </c>
      <c r="AA263" s="6018">
        <v>5210</v>
      </c>
      <c r="AB263" s="6019">
        <v>5861</v>
      </c>
      <c r="AC263" s="6018">
        <v>1502</v>
      </c>
      <c r="AD263" s="6018">
        <v>3618</v>
      </c>
      <c r="AE263" s="6018">
        <v>5210</v>
      </c>
      <c r="AF263" s="6019">
        <v>5861</v>
      </c>
    </row>
    <row r="264" spans="1:32" ht="13.5">
      <c r="A264" s="6018">
        <v>13050</v>
      </c>
      <c r="B264" s="6019">
        <v>13100</v>
      </c>
      <c r="C264" s="6020">
        <v>1278</v>
      </c>
      <c r="D264" s="6018">
        <f t="shared" si="41"/>
        <v>3618</v>
      </c>
      <c r="E264" s="6018">
        <f t="shared" si="42"/>
        <v>5230</v>
      </c>
      <c r="F264" s="6019">
        <f t="shared" si="43"/>
        <v>5884</v>
      </c>
      <c r="G264" s="6020">
        <f t="shared" si="37"/>
        <v>1502</v>
      </c>
      <c r="H264" s="6018">
        <f t="shared" si="38"/>
        <v>3618</v>
      </c>
      <c r="I264" s="6018">
        <f t="shared" si="39"/>
        <v>5230</v>
      </c>
      <c r="J264" s="6019">
        <f t="shared" si="40"/>
        <v>5884</v>
      </c>
      <c r="K264" s="1732"/>
      <c r="L264" s="6018">
        <v>13075</v>
      </c>
      <c r="W264" s="6018">
        <v>13050</v>
      </c>
      <c r="X264" s="6019">
        <v>13100</v>
      </c>
      <c r="Y264" s="6018">
        <v>1278</v>
      </c>
      <c r="Z264" s="6018">
        <v>3618</v>
      </c>
      <c r="AA264" s="6018">
        <v>5230</v>
      </c>
      <c r="AB264" s="6019">
        <v>5884</v>
      </c>
      <c r="AC264" s="6018">
        <v>1502</v>
      </c>
      <c r="AD264" s="6018">
        <v>3618</v>
      </c>
      <c r="AE264" s="6018">
        <v>5230</v>
      </c>
      <c r="AF264" s="6019">
        <v>5884</v>
      </c>
    </row>
    <row r="265" spans="1:32" ht="13.5">
      <c r="A265" s="6018">
        <v>13100</v>
      </c>
      <c r="B265" s="6019">
        <v>13150</v>
      </c>
      <c r="C265" s="6020">
        <v>1271</v>
      </c>
      <c r="D265" s="6018">
        <f t="shared" si="41"/>
        <v>3618</v>
      </c>
      <c r="E265" s="6018">
        <f t="shared" si="42"/>
        <v>5250</v>
      </c>
      <c r="F265" s="6019">
        <f t="shared" si="43"/>
        <v>5906</v>
      </c>
      <c r="G265" s="6020">
        <f t="shared" si="37"/>
        <v>1502</v>
      </c>
      <c r="H265" s="6018">
        <f t="shared" si="38"/>
        <v>3618</v>
      </c>
      <c r="I265" s="6018">
        <f t="shared" si="39"/>
        <v>5250</v>
      </c>
      <c r="J265" s="6019">
        <f t="shared" si="40"/>
        <v>5906</v>
      </c>
      <c r="K265" s="1732"/>
      <c r="L265" s="6018">
        <v>13125</v>
      </c>
      <c r="W265" s="6018">
        <v>13100</v>
      </c>
      <c r="X265" s="6019">
        <v>13150</v>
      </c>
      <c r="Y265" s="6018">
        <v>1271</v>
      </c>
      <c r="Z265" s="6018">
        <v>3618</v>
      </c>
      <c r="AA265" s="6018">
        <v>5250</v>
      </c>
      <c r="AB265" s="6019">
        <v>5906</v>
      </c>
      <c r="AC265" s="6018">
        <v>1502</v>
      </c>
      <c r="AD265" s="6018">
        <v>3618</v>
      </c>
      <c r="AE265" s="6018">
        <v>5250</v>
      </c>
      <c r="AF265" s="6019">
        <v>5906</v>
      </c>
    </row>
    <row r="266" spans="1:32" ht="13.5">
      <c r="A266" s="6018">
        <v>13150</v>
      </c>
      <c r="B266" s="6019">
        <v>13200</v>
      </c>
      <c r="C266" s="6020">
        <v>1263</v>
      </c>
      <c r="D266" s="6018">
        <f t="shared" si="41"/>
        <v>3618</v>
      </c>
      <c r="E266" s="6018">
        <f t="shared" si="42"/>
        <v>5270</v>
      </c>
      <c r="F266" s="6019">
        <f t="shared" si="43"/>
        <v>5929</v>
      </c>
      <c r="G266" s="6020">
        <f t="shared" si="37"/>
        <v>1502</v>
      </c>
      <c r="H266" s="6018">
        <f t="shared" si="38"/>
        <v>3618</v>
      </c>
      <c r="I266" s="6018">
        <f t="shared" si="39"/>
        <v>5270</v>
      </c>
      <c r="J266" s="6019">
        <f t="shared" si="40"/>
        <v>5929</v>
      </c>
      <c r="K266" s="1732"/>
      <c r="L266" s="6018">
        <v>13175</v>
      </c>
      <c r="W266" s="6018">
        <v>13150</v>
      </c>
      <c r="X266" s="6019">
        <v>13200</v>
      </c>
      <c r="Y266" s="6018">
        <v>1263</v>
      </c>
      <c r="Z266" s="6018">
        <v>3618</v>
      </c>
      <c r="AA266" s="6018">
        <v>5270</v>
      </c>
      <c r="AB266" s="6019">
        <v>5929</v>
      </c>
      <c r="AC266" s="6018">
        <v>1502</v>
      </c>
      <c r="AD266" s="6018">
        <v>3618</v>
      </c>
      <c r="AE266" s="6018">
        <v>5270</v>
      </c>
      <c r="AF266" s="6019">
        <v>5929</v>
      </c>
    </row>
    <row r="267" spans="1:32" ht="13.5">
      <c r="A267" s="6018">
        <v>13200</v>
      </c>
      <c r="B267" s="6019">
        <v>13250</v>
      </c>
      <c r="C267" s="6020">
        <v>1255</v>
      </c>
      <c r="D267" s="6018">
        <f t="shared" si="41"/>
        <v>3618</v>
      </c>
      <c r="E267" s="6018">
        <f t="shared" si="42"/>
        <v>5290</v>
      </c>
      <c r="F267" s="6019">
        <f t="shared" si="43"/>
        <v>5951</v>
      </c>
      <c r="G267" s="6020">
        <f t="shared" si="37"/>
        <v>1502</v>
      </c>
      <c r="H267" s="6018">
        <f t="shared" si="38"/>
        <v>3618</v>
      </c>
      <c r="I267" s="6018">
        <f t="shared" si="39"/>
        <v>5290</v>
      </c>
      <c r="J267" s="6019">
        <f t="shared" si="40"/>
        <v>5951</v>
      </c>
      <c r="K267" s="1732"/>
      <c r="L267" s="6018">
        <v>13225</v>
      </c>
      <c r="W267" s="6018">
        <v>13200</v>
      </c>
      <c r="X267" s="6019">
        <v>13250</v>
      </c>
      <c r="Y267" s="6018">
        <v>1255</v>
      </c>
      <c r="Z267" s="6018">
        <v>3618</v>
      </c>
      <c r="AA267" s="6018">
        <v>5290</v>
      </c>
      <c r="AB267" s="6019">
        <v>5951</v>
      </c>
      <c r="AC267" s="6018">
        <v>1502</v>
      </c>
      <c r="AD267" s="6018">
        <v>3618</v>
      </c>
      <c r="AE267" s="6018">
        <v>5290</v>
      </c>
      <c r="AF267" s="6019">
        <v>5951</v>
      </c>
    </row>
    <row r="268" spans="1:32" ht="13.5">
      <c r="A268" s="6018">
        <v>13250</v>
      </c>
      <c r="B268" s="6019">
        <v>13300</v>
      </c>
      <c r="C268" s="6020">
        <v>1248</v>
      </c>
      <c r="D268" s="6018">
        <f t="shared" si="41"/>
        <v>3618</v>
      </c>
      <c r="E268" s="6018">
        <f t="shared" si="42"/>
        <v>5310</v>
      </c>
      <c r="F268" s="6019">
        <f t="shared" si="43"/>
        <v>5974</v>
      </c>
      <c r="G268" s="6020">
        <f t="shared" si="37"/>
        <v>1502</v>
      </c>
      <c r="H268" s="6018">
        <f t="shared" si="38"/>
        <v>3618</v>
      </c>
      <c r="I268" s="6018">
        <f t="shared" si="39"/>
        <v>5310</v>
      </c>
      <c r="J268" s="6019">
        <f t="shared" si="40"/>
        <v>5974</v>
      </c>
      <c r="K268" s="1732"/>
      <c r="L268" s="6018">
        <v>13275</v>
      </c>
      <c r="W268" s="6018">
        <v>13250</v>
      </c>
      <c r="X268" s="6019">
        <v>13300</v>
      </c>
      <c r="Y268" s="6018">
        <v>1248</v>
      </c>
      <c r="Z268" s="6018">
        <v>3618</v>
      </c>
      <c r="AA268" s="6018">
        <v>5310</v>
      </c>
      <c r="AB268" s="6019">
        <v>5974</v>
      </c>
      <c r="AC268" s="6018">
        <v>1502</v>
      </c>
      <c r="AD268" s="6018">
        <v>3618</v>
      </c>
      <c r="AE268" s="6018">
        <v>5310</v>
      </c>
      <c r="AF268" s="6019">
        <v>5974</v>
      </c>
    </row>
    <row r="269" spans="1:32" ht="13.5">
      <c r="A269" s="6018">
        <v>13300</v>
      </c>
      <c r="B269" s="6019">
        <v>13350</v>
      </c>
      <c r="C269" s="6020">
        <v>1240</v>
      </c>
      <c r="D269" s="6018">
        <f t="shared" si="41"/>
        <v>3618</v>
      </c>
      <c r="E269" s="6018">
        <f t="shared" si="42"/>
        <v>5330</v>
      </c>
      <c r="F269" s="6019">
        <f t="shared" si="43"/>
        <v>5996</v>
      </c>
      <c r="G269" s="6020">
        <f t="shared" si="37"/>
        <v>1502</v>
      </c>
      <c r="H269" s="6018">
        <f t="shared" si="38"/>
        <v>3618</v>
      </c>
      <c r="I269" s="6018">
        <f t="shared" si="39"/>
        <v>5330</v>
      </c>
      <c r="J269" s="6019">
        <f t="shared" si="40"/>
        <v>5996</v>
      </c>
      <c r="K269" s="1732"/>
      <c r="L269" s="6018">
        <v>13325</v>
      </c>
      <c r="W269" s="6018">
        <v>13300</v>
      </c>
      <c r="X269" s="6019">
        <v>13350</v>
      </c>
      <c r="Y269" s="6018">
        <v>1240</v>
      </c>
      <c r="Z269" s="6018">
        <v>3618</v>
      </c>
      <c r="AA269" s="6018">
        <v>5330</v>
      </c>
      <c r="AB269" s="6019">
        <v>5996</v>
      </c>
      <c r="AC269" s="6018">
        <v>1502</v>
      </c>
      <c r="AD269" s="6018">
        <v>3618</v>
      </c>
      <c r="AE269" s="6018">
        <v>5330</v>
      </c>
      <c r="AF269" s="6019">
        <v>5996</v>
      </c>
    </row>
    <row r="270" spans="1:32" ht="13.5">
      <c r="A270" s="6018">
        <v>13350</v>
      </c>
      <c r="B270" s="6019">
        <v>13400</v>
      </c>
      <c r="C270" s="6020">
        <v>1232</v>
      </c>
      <c r="D270" s="6018">
        <f t="shared" si="41"/>
        <v>3618</v>
      </c>
      <c r="E270" s="6018">
        <f t="shared" si="42"/>
        <v>5350</v>
      </c>
      <c r="F270" s="6019">
        <f t="shared" si="43"/>
        <v>6019</v>
      </c>
      <c r="G270" s="6020">
        <f t="shared" si="37"/>
        <v>1502</v>
      </c>
      <c r="H270" s="6018">
        <f t="shared" si="38"/>
        <v>3618</v>
      </c>
      <c r="I270" s="6018">
        <f t="shared" si="39"/>
        <v>5350</v>
      </c>
      <c r="J270" s="6019">
        <f t="shared" si="40"/>
        <v>6019</v>
      </c>
      <c r="K270" s="1732"/>
      <c r="L270" s="6018">
        <v>13375</v>
      </c>
      <c r="W270" s="6018">
        <v>13350</v>
      </c>
      <c r="X270" s="6019">
        <v>13400</v>
      </c>
      <c r="Y270" s="6018">
        <v>1232</v>
      </c>
      <c r="Z270" s="6018">
        <v>3618</v>
      </c>
      <c r="AA270" s="6018">
        <v>5350</v>
      </c>
      <c r="AB270" s="6019">
        <v>6019</v>
      </c>
      <c r="AC270" s="6018">
        <v>1502</v>
      </c>
      <c r="AD270" s="6018">
        <v>3618</v>
      </c>
      <c r="AE270" s="6018">
        <v>5350</v>
      </c>
      <c r="AF270" s="6019">
        <v>6019</v>
      </c>
    </row>
    <row r="271" spans="1:32" ht="13.5">
      <c r="A271" s="6018">
        <v>13400</v>
      </c>
      <c r="B271" s="6019">
        <v>13450</v>
      </c>
      <c r="C271" s="6020">
        <v>1225</v>
      </c>
      <c r="D271" s="6018">
        <f t="shared" si="41"/>
        <v>3618</v>
      </c>
      <c r="E271" s="6018">
        <f t="shared" si="42"/>
        <v>5370</v>
      </c>
      <c r="F271" s="6019">
        <f t="shared" si="43"/>
        <v>6041</v>
      </c>
      <c r="G271" s="6020">
        <f t="shared" si="37"/>
        <v>1502</v>
      </c>
      <c r="H271" s="6018">
        <f t="shared" si="38"/>
        <v>3618</v>
      </c>
      <c r="I271" s="6018">
        <f t="shared" si="39"/>
        <v>5370</v>
      </c>
      <c r="J271" s="6019">
        <f t="shared" si="40"/>
        <v>6041</v>
      </c>
      <c r="K271" s="1732"/>
      <c r="L271" s="6018">
        <v>13425</v>
      </c>
      <c r="W271" s="6018">
        <v>13400</v>
      </c>
      <c r="X271" s="6019">
        <v>13450</v>
      </c>
      <c r="Y271" s="6018">
        <v>1225</v>
      </c>
      <c r="Z271" s="6018">
        <v>3618</v>
      </c>
      <c r="AA271" s="6018">
        <v>5370</v>
      </c>
      <c r="AB271" s="6019">
        <v>6041</v>
      </c>
      <c r="AC271" s="6018">
        <v>1502</v>
      </c>
      <c r="AD271" s="6018">
        <v>3618</v>
      </c>
      <c r="AE271" s="6018">
        <v>5370</v>
      </c>
      <c r="AF271" s="6019">
        <v>6041</v>
      </c>
    </row>
    <row r="272" spans="1:32" ht="13.5">
      <c r="A272" s="6018">
        <v>13450</v>
      </c>
      <c r="B272" s="6019">
        <v>13500</v>
      </c>
      <c r="C272" s="6020">
        <v>1217</v>
      </c>
      <c r="D272" s="6018">
        <f t="shared" si="41"/>
        <v>3618</v>
      </c>
      <c r="E272" s="6018">
        <f t="shared" si="42"/>
        <v>5390</v>
      </c>
      <c r="F272" s="6019">
        <f t="shared" si="43"/>
        <v>6064</v>
      </c>
      <c r="G272" s="6020">
        <f t="shared" si="37"/>
        <v>1502</v>
      </c>
      <c r="H272" s="6018">
        <f t="shared" si="38"/>
        <v>3618</v>
      </c>
      <c r="I272" s="6018">
        <f t="shared" si="39"/>
        <v>5390</v>
      </c>
      <c r="J272" s="6019">
        <f t="shared" si="40"/>
        <v>6064</v>
      </c>
      <c r="K272" s="1732"/>
      <c r="L272" s="6018">
        <v>13475</v>
      </c>
      <c r="W272" s="6018">
        <v>13450</v>
      </c>
      <c r="X272" s="6019">
        <v>13500</v>
      </c>
      <c r="Y272" s="6018">
        <v>1217</v>
      </c>
      <c r="Z272" s="6018">
        <v>3618</v>
      </c>
      <c r="AA272" s="6018">
        <v>5390</v>
      </c>
      <c r="AB272" s="6019">
        <v>6064</v>
      </c>
      <c r="AC272" s="6018">
        <v>1502</v>
      </c>
      <c r="AD272" s="6018">
        <v>3618</v>
      </c>
      <c r="AE272" s="6018">
        <v>5390</v>
      </c>
      <c r="AF272" s="6019">
        <v>6064</v>
      </c>
    </row>
    <row r="273" spans="1:32" ht="13.5">
      <c r="A273" s="6018">
        <v>13500</v>
      </c>
      <c r="B273" s="6019">
        <v>13550</v>
      </c>
      <c r="C273" s="6020">
        <v>1209</v>
      </c>
      <c r="D273" s="6018">
        <f t="shared" si="41"/>
        <v>3618</v>
      </c>
      <c r="E273" s="6018">
        <f t="shared" si="42"/>
        <v>5410</v>
      </c>
      <c r="F273" s="6019">
        <f t="shared" si="43"/>
        <v>6086</v>
      </c>
      <c r="G273" s="6020">
        <f t="shared" si="37"/>
        <v>1502</v>
      </c>
      <c r="H273" s="6018">
        <f t="shared" si="38"/>
        <v>3618</v>
      </c>
      <c r="I273" s="6018">
        <f t="shared" si="39"/>
        <v>5410</v>
      </c>
      <c r="J273" s="6019">
        <f t="shared" si="40"/>
        <v>6086</v>
      </c>
      <c r="K273" s="1732"/>
      <c r="L273" s="6018">
        <v>13525</v>
      </c>
      <c r="W273" s="6018">
        <v>13500</v>
      </c>
      <c r="X273" s="6019">
        <v>13550</v>
      </c>
      <c r="Y273" s="6018">
        <v>1209</v>
      </c>
      <c r="Z273" s="6018">
        <v>3618</v>
      </c>
      <c r="AA273" s="6018">
        <v>5410</v>
      </c>
      <c r="AB273" s="6019">
        <v>6086</v>
      </c>
      <c r="AC273" s="6018">
        <v>1502</v>
      </c>
      <c r="AD273" s="6018">
        <v>3618</v>
      </c>
      <c r="AE273" s="6018">
        <v>5410</v>
      </c>
      <c r="AF273" s="6019">
        <v>6086</v>
      </c>
    </row>
    <row r="274" spans="1:32" ht="13.5">
      <c r="A274" s="6018">
        <v>13550</v>
      </c>
      <c r="B274" s="6019">
        <v>13600</v>
      </c>
      <c r="C274" s="6020">
        <v>1202</v>
      </c>
      <c r="D274" s="6018">
        <f t="shared" si="41"/>
        <v>3618</v>
      </c>
      <c r="E274" s="6018">
        <f t="shared" si="42"/>
        <v>5430</v>
      </c>
      <c r="F274" s="6019">
        <f t="shared" si="43"/>
        <v>6109</v>
      </c>
      <c r="G274" s="6020">
        <f t="shared" si="37"/>
        <v>1502</v>
      </c>
      <c r="H274" s="6018">
        <f t="shared" si="38"/>
        <v>3618</v>
      </c>
      <c r="I274" s="6018">
        <f t="shared" si="39"/>
        <v>5430</v>
      </c>
      <c r="J274" s="6019">
        <f t="shared" si="40"/>
        <v>6109</v>
      </c>
      <c r="K274" s="1732"/>
      <c r="L274" s="6018">
        <v>13575</v>
      </c>
      <c r="W274" s="6018">
        <v>13550</v>
      </c>
      <c r="X274" s="6019">
        <v>13600</v>
      </c>
      <c r="Y274" s="6018">
        <v>1202</v>
      </c>
      <c r="Z274" s="6018">
        <v>3618</v>
      </c>
      <c r="AA274" s="6018">
        <v>5430</v>
      </c>
      <c r="AB274" s="6019">
        <v>6109</v>
      </c>
      <c r="AC274" s="6018">
        <v>1502</v>
      </c>
      <c r="AD274" s="6018">
        <v>3618</v>
      </c>
      <c r="AE274" s="6018">
        <v>5430</v>
      </c>
      <c r="AF274" s="6019">
        <v>6109</v>
      </c>
    </row>
    <row r="275" spans="1:32" ht="13.5">
      <c r="A275" s="6018">
        <v>13600</v>
      </c>
      <c r="B275" s="6019">
        <v>13650</v>
      </c>
      <c r="C275" s="6020">
        <v>1194</v>
      </c>
      <c r="D275" s="6018">
        <f t="shared" si="41"/>
        <v>3618</v>
      </c>
      <c r="E275" s="6018">
        <f t="shared" si="42"/>
        <v>5450</v>
      </c>
      <c r="F275" s="6019">
        <f t="shared" si="43"/>
        <v>6131</v>
      </c>
      <c r="G275" s="6020">
        <f t="shared" si="37"/>
        <v>1502</v>
      </c>
      <c r="H275" s="6018">
        <f t="shared" si="38"/>
        <v>3618</v>
      </c>
      <c r="I275" s="6018">
        <f t="shared" si="39"/>
        <v>5450</v>
      </c>
      <c r="J275" s="6019">
        <f t="shared" si="40"/>
        <v>6131</v>
      </c>
      <c r="K275" s="1732"/>
      <c r="L275" s="6018">
        <v>13625</v>
      </c>
      <c r="W275" s="6018">
        <v>13600</v>
      </c>
      <c r="X275" s="6019">
        <v>13650</v>
      </c>
      <c r="Y275" s="6018">
        <v>1194</v>
      </c>
      <c r="Z275" s="6018">
        <v>3618</v>
      </c>
      <c r="AA275" s="6018">
        <v>5450</v>
      </c>
      <c r="AB275" s="6019">
        <v>6131</v>
      </c>
      <c r="AC275" s="6018">
        <v>1502</v>
      </c>
      <c r="AD275" s="6018">
        <v>3618</v>
      </c>
      <c r="AE275" s="6018">
        <v>5450</v>
      </c>
      <c r="AF275" s="6019">
        <v>6131</v>
      </c>
    </row>
    <row r="276" spans="1:32" ht="13.5">
      <c r="A276" s="6018">
        <v>13650</v>
      </c>
      <c r="B276" s="6019">
        <v>13700</v>
      </c>
      <c r="C276" s="6020">
        <v>1187</v>
      </c>
      <c r="D276" s="6018">
        <f t="shared" si="41"/>
        <v>3618</v>
      </c>
      <c r="E276" s="6018">
        <f t="shared" si="42"/>
        <v>5470</v>
      </c>
      <c r="F276" s="6019">
        <f t="shared" si="43"/>
        <v>6154</v>
      </c>
      <c r="G276" s="6020">
        <f t="shared" si="37"/>
        <v>1502</v>
      </c>
      <c r="H276" s="6018">
        <f t="shared" si="38"/>
        <v>3618</v>
      </c>
      <c r="I276" s="6018">
        <f t="shared" si="39"/>
        <v>5470</v>
      </c>
      <c r="J276" s="6019">
        <f t="shared" si="40"/>
        <v>6154</v>
      </c>
      <c r="K276" s="1732"/>
      <c r="L276" s="6018">
        <v>13675</v>
      </c>
      <c r="W276" s="6018">
        <v>13650</v>
      </c>
      <c r="X276" s="6019">
        <v>13700</v>
      </c>
      <c r="Y276" s="6018">
        <v>1187</v>
      </c>
      <c r="Z276" s="6018">
        <v>3618</v>
      </c>
      <c r="AA276" s="6018">
        <v>5470</v>
      </c>
      <c r="AB276" s="6019">
        <v>6154</v>
      </c>
      <c r="AC276" s="6018">
        <v>1502</v>
      </c>
      <c r="AD276" s="6018">
        <v>3618</v>
      </c>
      <c r="AE276" s="6018">
        <v>5470</v>
      </c>
      <c r="AF276" s="6019">
        <v>6154</v>
      </c>
    </row>
    <row r="277" spans="1:32" ht="13.5">
      <c r="A277" s="6018">
        <v>13700</v>
      </c>
      <c r="B277" s="6019">
        <v>13750</v>
      </c>
      <c r="C277" s="6020">
        <v>1179</v>
      </c>
      <c r="D277" s="6018">
        <f t="shared" si="41"/>
        <v>3618</v>
      </c>
      <c r="E277" s="6018">
        <f t="shared" si="42"/>
        <v>5490</v>
      </c>
      <c r="F277" s="6019">
        <f t="shared" si="43"/>
        <v>6176</v>
      </c>
      <c r="G277" s="6020">
        <f t="shared" si="37"/>
        <v>1502</v>
      </c>
      <c r="H277" s="6018">
        <f t="shared" si="38"/>
        <v>3618</v>
      </c>
      <c r="I277" s="6018">
        <f t="shared" si="39"/>
        <v>5490</v>
      </c>
      <c r="J277" s="6019">
        <f t="shared" si="40"/>
        <v>6176</v>
      </c>
      <c r="K277" s="1732"/>
      <c r="L277" s="6018">
        <v>13725</v>
      </c>
      <c r="W277" s="6018">
        <v>13700</v>
      </c>
      <c r="X277" s="6019">
        <v>13750</v>
      </c>
      <c r="Y277" s="6018">
        <v>1179</v>
      </c>
      <c r="Z277" s="6018">
        <v>3618</v>
      </c>
      <c r="AA277" s="6018">
        <v>5490</v>
      </c>
      <c r="AB277" s="6019">
        <v>6176</v>
      </c>
      <c r="AC277" s="6018">
        <v>1502</v>
      </c>
      <c r="AD277" s="6018">
        <v>3618</v>
      </c>
      <c r="AE277" s="6018">
        <v>5490</v>
      </c>
      <c r="AF277" s="6019">
        <v>6176</v>
      </c>
    </row>
    <row r="278" spans="1:32" ht="13.5">
      <c r="A278" s="6018">
        <v>13750</v>
      </c>
      <c r="B278" s="6019">
        <v>13800</v>
      </c>
      <c r="C278" s="6020">
        <v>1171</v>
      </c>
      <c r="D278" s="6018">
        <f t="shared" si="41"/>
        <v>3618</v>
      </c>
      <c r="E278" s="6018">
        <f t="shared" si="42"/>
        <v>5510</v>
      </c>
      <c r="F278" s="6019">
        <f t="shared" si="43"/>
        <v>6199</v>
      </c>
      <c r="G278" s="6020">
        <f t="shared" si="37"/>
        <v>1502</v>
      </c>
      <c r="H278" s="6018">
        <f t="shared" si="38"/>
        <v>3618</v>
      </c>
      <c r="I278" s="6018">
        <f t="shared" si="39"/>
        <v>5510</v>
      </c>
      <c r="J278" s="6019">
        <f t="shared" si="40"/>
        <v>6199</v>
      </c>
      <c r="K278" s="1732"/>
      <c r="L278" s="6018">
        <v>13775</v>
      </c>
      <c r="W278" s="6018">
        <v>13750</v>
      </c>
      <c r="X278" s="6019">
        <v>13800</v>
      </c>
      <c r="Y278" s="6018">
        <v>1171</v>
      </c>
      <c r="Z278" s="6018">
        <v>3618</v>
      </c>
      <c r="AA278" s="6018">
        <v>5510</v>
      </c>
      <c r="AB278" s="6019">
        <v>6199</v>
      </c>
      <c r="AC278" s="6018">
        <v>1502</v>
      </c>
      <c r="AD278" s="6018">
        <v>3618</v>
      </c>
      <c r="AE278" s="6018">
        <v>5510</v>
      </c>
      <c r="AF278" s="6019">
        <v>6199</v>
      </c>
    </row>
    <row r="279" spans="1:32" ht="13.5">
      <c r="A279" s="6018">
        <v>13800</v>
      </c>
      <c r="B279" s="6019">
        <v>13850</v>
      </c>
      <c r="C279" s="6020">
        <v>1164</v>
      </c>
      <c r="D279" s="6018">
        <f t="shared" si="41"/>
        <v>3618</v>
      </c>
      <c r="E279" s="6018">
        <f t="shared" si="42"/>
        <v>5530</v>
      </c>
      <c r="F279" s="6019">
        <f t="shared" si="43"/>
        <v>6221</v>
      </c>
      <c r="G279" s="6020">
        <f t="shared" si="37"/>
        <v>1502</v>
      </c>
      <c r="H279" s="6018">
        <f t="shared" si="38"/>
        <v>3618</v>
      </c>
      <c r="I279" s="6018">
        <f t="shared" si="39"/>
        <v>5530</v>
      </c>
      <c r="J279" s="6019">
        <f t="shared" si="40"/>
        <v>6221</v>
      </c>
      <c r="K279" s="1732"/>
      <c r="L279" s="6018">
        <v>13825</v>
      </c>
      <c r="W279" s="6018">
        <v>13800</v>
      </c>
      <c r="X279" s="6019">
        <v>13850</v>
      </c>
      <c r="Y279" s="6018">
        <v>1164</v>
      </c>
      <c r="Z279" s="6018">
        <v>3618</v>
      </c>
      <c r="AA279" s="6018">
        <v>5530</v>
      </c>
      <c r="AB279" s="6019">
        <v>6221</v>
      </c>
      <c r="AC279" s="6018">
        <v>1502</v>
      </c>
      <c r="AD279" s="6018">
        <v>3618</v>
      </c>
      <c r="AE279" s="6018">
        <v>5530</v>
      </c>
      <c r="AF279" s="6019">
        <v>6221</v>
      </c>
    </row>
    <row r="280" spans="1:32" ht="13.5">
      <c r="A280" s="6018">
        <v>13850</v>
      </c>
      <c r="B280" s="6019">
        <v>13900</v>
      </c>
      <c r="C280" s="6020">
        <v>1156</v>
      </c>
      <c r="D280" s="6018">
        <f t="shared" si="41"/>
        <v>3618</v>
      </c>
      <c r="E280" s="6018">
        <f t="shared" si="42"/>
        <v>5550</v>
      </c>
      <c r="F280" s="6019">
        <f t="shared" si="43"/>
        <v>6244</v>
      </c>
      <c r="G280" s="6020">
        <f t="shared" si="37"/>
        <v>1502</v>
      </c>
      <c r="H280" s="6018">
        <f t="shared" si="38"/>
        <v>3618</v>
      </c>
      <c r="I280" s="6018">
        <f t="shared" si="39"/>
        <v>5550</v>
      </c>
      <c r="J280" s="6019">
        <f t="shared" si="40"/>
        <v>6244</v>
      </c>
      <c r="K280" s="1732"/>
      <c r="L280" s="6018">
        <v>13875</v>
      </c>
      <c r="W280" s="6018">
        <v>13850</v>
      </c>
      <c r="X280" s="6019">
        <v>13900</v>
      </c>
      <c r="Y280" s="6018">
        <v>1156</v>
      </c>
      <c r="Z280" s="6018">
        <v>3618</v>
      </c>
      <c r="AA280" s="6018">
        <v>5550</v>
      </c>
      <c r="AB280" s="6019">
        <v>6244</v>
      </c>
      <c r="AC280" s="6018">
        <v>1502</v>
      </c>
      <c r="AD280" s="6018">
        <v>3618</v>
      </c>
      <c r="AE280" s="6018">
        <v>5550</v>
      </c>
      <c r="AF280" s="6019">
        <v>6244</v>
      </c>
    </row>
    <row r="281" spans="1:32" ht="13.5">
      <c r="A281" s="6018">
        <v>13900</v>
      </c>
      <c r="B281" s="6019">
        <v>13950</v>
      </c>
      <c r="C281" s="6020">
        <v>1148</v>
      </c>
      <c r="D281" s="6018">
        <f t="shared" si="41"/>
        <v>3618</v>
      </c>
      <c r="E281" s="6018">
        <f t="shared" si="42"/>
        <v>5570</v>
      </c>
      <c r="F281" s="6019">
        <f t="shared" si="43"/>
        <v>6266</v>
      </c>
      <c r="G281" s="6020">
        <f t="shared" si="37"/>
        <v>1502</v>
      </c>
      <c r="H281" s="6018">
        <f t="shared" si="38"/>
        <v>3618</v>
      </c>
      <c r="I281" s="6018">
        <f t="shared" si="39"/>
        <v>5570</v>
      </c>
      <c r="J281" s="6019">
        <f t="shared" si="40"/>
        <v>6266</v>
      </c>
      <c r="K281" s="1732"/>
      <c r="L281" s="6018">
        <v>13925</v>
      </c>
      <c r="W281" s="6018">
        <v>13900</v>
      </c>
      <c r="X281" s="6019">
        <v>13950</v>
      </c>
      <c r="Y281" s="6018">
        <v>1148</v>
      </c>
      <c r="Z281" s="6018">
        <v>3618</v>
      </c>
      <c r="AA281" s="6018">
        <v>5570</v>
      </c>
      <c r="AB281" s="6019">
        <v>6266</v>
      </c>
      <c r="AC281" s="6018">
        <v>1502</v>
      </c>
      <c r="AD281" s="6018">
        <v>3618</v>
      </c>
      <c r="AE281" s="6018">
        <v>5570</v>
      </c>
      <c r="AF281" s="6019">
        <v>6266</v>
      </c>
    </row>
    <row r="282" spans="1:32" ht="13.5">
      <c r="A282" s="6018">
        <v>13950</v>
      </c>
      <c r="B282" s="6019">
        <v>14000</v>
      </c>
      <c r="C282" s="6020">
        <v>1141</v>
      </c>
      <c r="D282" s="6018">
        <f t="shared" si="41"/>
        <v>3618</v>
      </c>
      <c r="E282" s="6018">
        <f t="shared" si="42"/>
        <v>5590</v>
      </c>
      <c r="F282" s="6019">
        <f t="shared" si="43"/>
        <v>6289</v>
      </c>
      <c r="G282" s="6020">
        <f t="shared" si="37"/>
        <v>1502</v>
      </c>
      <c r="H282" s="6018">
        <f t="shared" si="38"/>
        <v>3618</v>
      </c>
      <c r="I282" s="6018">
        <f t="shared" si="39"/>
        <v>5590</v>
      </c>
      <c r="J282" s="6019">
        <f t="shared" si="40"/>
        <v>6289</v>
      </c>
      <c r="K282" s="1732"/>
      <c r="L282" s="6018">
        <v>13975</v>
      </c>
      <c r="W282" s="6018">
        <v>13950</v>
      </c>
      <c r="X282" s="6019">
        <v>14000</v>
      </c>
      <c r="Y282" s="6018">
        <v>1141</v>
      </c>
      <c r="Z282" s="6018">
        <v>3618</v>
      </c>
      <c r="AA282" s="6018">
        <v>5590</v>
      </c>
      <c r="AB282" s="6019">
        <v>6289</v>
      </c>
      <c r="AC282" s="6018">
        <v>1502</v>
      </c>
      <c r="AD282" s="6018">
        <v>3618</v>
      </c>
      <c r="AE282" s="6018">
        <v>5590</v>
      </c>
      <c r="AF282" s="6019">
        <v>6289</v>
      </c>
    </row>
    <row r="283" spans="1:32" ht="13.5">
      <c r="A283" s="6018">
        <v>14000</v>
      </c>
      <c r="B283" s="6019">
        <v>14050</v>
      </c>
      <c r="C283" s="6020">
        <v>1133</v>
      </c>
      <c r="D283" s="6018">
        <f t="shared" si="41"/>
        <v>3618</v>
      </c>
      <c r="E283" s="6018">
        <f t="shared" si="42"/>
        <v>5610</v>
      </c>
      <c r="F283" s="6019">
        <f t="shared" si="43"/>
        <v>6311</v>
      </c>
      <c r="G283" s="6020">
        <f t="shared" si="37"/>
        <v>1502</v>
      </c>
      <c r="H283" s="6018">
        <f t="shared" si="38"/>
        <v>3618</v>
      </c>
      <c r="I283" s="6018">
        <f t="shared" si="39"/>
        <v>5610</v>
      </c>
      <c r="J283" s="6019">
        <f t="shared" si="40"/>
        <v>6311</v>
      </c>
      <c r="K283" s="1732"/>
      <c r="L283" s="6018">
        <v>14025</v>
      </c>
      <c r="W283" s="6018">
        <v>14000</v>
      </c>
      <c r="X283" s="6019">
        <v>14050</v>
      </c>
      <c r="Y283" s="6018">
        <v>1133</v>
      </c>
      <c r="Z283" s="6018">
        <v>3618</v>
      </c>
      <c r="AA283" s="6018">
        <v>5610</v>
      </c>
      <c r="AB283" s="6019">
        <v>6311</v>
      </c>
      <c r="AC283" s="6018">
        <v>1502</v>
      </c>
      <c r="AD283" s="6018">
        <v>3618</v>
      </c>
      <c r="AE283" s="6018">
        <v>5610</v>
      </c>
      <c r="AF283" s="6019">
        <v>6311</v>
      </c>
    </row>
    <row r="284" spans="1:32" ht="13.5">
      <c r="A284" s="6018">
        <v>14050</v>
      </c>
      <c r="B284" s="6019">
        <v>14100</v>
      </c>
      <c r="C284" s="6020">
        <v>1125</v>
      </c>
      <c r="D284" s="6018">
        <f t="shared" si="41"/>
        <v>3618</v>
      </c>
      <c r="E284" s="6018">
        <f t="shared" si="42"/>
        <v>5630</v>
      </c>
      <c r="F284" s="6019">
        <f t="shared" si="43"/>
        <v>6334</v>
      </c>
      <c r="G284" s="6020">
        <f t="shared" si="37"/>
        <v>1502</v>
      </c>
      <c r="H284" s="6018">
        <f t="shared" si="38"/>
        <v>3618</v>
      </c>
      <c r="I284" s="6018">
        <f t="shared" si="39"/>
        <v>5630</v>
      </c>
      <c r="J284" s="6019">
        <f t="shared" si="40"/>
        <v>6334</v>
      </c>
      <c r="K284" s="1732"/>
      <c r="L284" s="6018">
        <v>14075</v>
      </c>
      <c r="W284" s="6018">
        <v>14050</v>
      </c>
      <c r="X284" s="6019">
        <v>14100</v>
      </c>
      <c r="Y284" s="6018">
        <v>1125</v>
      </c>
      <c r="Z284" s="6018">
        <v>3618</v>
      </c>
      <c r="AA284" s="6018">
        <v>5630</v>
      </c>
      <c r="AB284" s="6019">
        <v>6334</v>
      </c>
      <c r="AC284" s="6018">
        <v>1502</v>
      </c>
      <c r="AD284" s="6018">
        <v>3618</v>
      </c>
      <c r="AE284" s="6018">
        <v>5630</v>
      </c>
      <c r="AF284" s="6019">
        <v>6334</v>
      </c>
    </row>
    <row r="285" spans="1:32" ht="13.5">
      <c r="A285" s="6018">
        <v>14100</v>
      </c>
      <c r="B285" s="6019">
        <v>14150</v>
      </c>
      <c r="C285" s="6020">
        <v>1118</v>
      </c>
      <c r="D285" s="6018">
        <f t="shared" si="41"/>
        <v>3618</v>
      </c>
      <c r="E285" s="6018">
        <f t="shared" si="42"/>
        <v>5650</v>
      </c>
      <c r="F285" s="6019">
        <f t="shared" si="43"/>
        <v>6356</v>
      </c>
      <c r="G285" s="6020">
        <f t="shared" si="37"/>
        <v>1502</v>
      </c>
      <c r="H285" s="6018">
        <f t="shared" si="38"/>
        <v>3618</v>
      </c>
      <c r="I285" s="6018">
        <f t="shared" si="39"/>
        <v>5650</v>
      </c>
      <c r="J285" s="6019">
        <f t="shared" si="40"/>
        <v>6356</v>
      </c>
      <c r="K285" s="1732"/>
      <c r="L285" s="6018">
        <v>14125</v>
      </c>
      <c r="W285" s="6018">
        <v>14100</v>
      </c>
      <c r="X285" s="6019">
        <v>14150</v>
      </c>
      <c r="Y285" s="6018">
        <v>1118</v>
      </c>
      <c r="Z285" s="6018">
        <v>3618</v>
      </c>
      <c r="AA285" s="6018">
        <v>5650</v>
      </c>
      <c r="AB285" s="6019">
        <v>6356</v>
      </c>
      <c r="AC285" s="6018">
        <v>1502</v>
      </c>
      <c r="AD285" s="6018">
        <v>3618</v>
      </c>
      <c r="AE285" s="6018">
        <v>5650</v>
      </c>
      <c r="AF285" s="6019">
        <v>6356</v>
      </c>
    </row>
    <row r="286" spans="1:32" ht="13.5">
      <c r="A286" s="6018">
        <v>14150</v>
      </c>
      <c r="B286" s="6019">
        <v>14200</v>
      </c>
      <c r="C286" s="6020">
        <v>1110</v>
      </c>
      <c r="D286" s="6018">
        <f t="shared" si="41"/>
        <v>3618</v>
      </c>
      <c r="E286" s="6018">
        <f t="shared" si="42"/>
        <v>5670</v>
      </c>
      <c r="F286" s="6019">
        <f t="shared" si="43"/>
        <v>6379</v>
      </c>
      <c r="G286" s="6020">
        <f t="shared" si="37"/>
        <v>1502</v>
      </c>
      <c r="H286" s="6018">
        <f t="shared" si="38"/>
        <v>3618</v>
      </c>
      <c r="I286" s="6018">
        <f t="shared" si="39"/>
        <v>5670</v>
      </c>
      <c r="J286" s="6019">
        <f t="shared" si="40"/>
        <v>6379</v>
      </c>
      <c r="K286" s="1732"/>
      <c r="L286" s="6018">
        <v>14175</v>
      </c>
      <c r="W286" s="6018">
        <v>14150</v>
      </c>
      <c r="X286" s="6019">
        <v>14200</v>
      </c>
      <c r="Y286" s="6018">
        <v>1110</v>
      </c>
      <c r="Z286" s="6018">
        <v>3618</v>
      </c>
      <c r="AA286" s="6018">
        <v>5670</v>
      </c>
      <c r="AB286" s="6019">
        <v>6379</v>
      </c>
      <c r="AC286" s="6018">
        <v>1502</v>
      </c>
      <c r="AD286" s="6018">
        <v>3618</v>
      </c>
      <c r="AE286" s="6018">
        <v>5670</v>
      </c>
      <c r="AF286" s="6019">
        <v>6379</v>
      </c>
    </row>
    <row r="287" spans="1:32" ht="13.5">
      <c r="A287" s="6018">
        <v>14200</v>
      </c>
      <c r="B287" s="6019">
        <v>14250</v>
      </c>
      <c r="C287" s="6020">
        <v>1102</v>
      </c>
      <c r="D287" s="6018">
        <f t="shared" si="41"/>
        <v>3618</v>
      </c>
      <c r="E287" s="6018">
        <f t="shared" si="42"/>
        <v>5690</v>
      </c>
      <c r="F287" s="6019">
        <f t="shared" si="43"/>
        <v>6401</v>
      </c>
      <c r="G287" s="6020">
        <f t="shared" si="37"/>
        <v>1502</v>
      </c>
      <c r="H287" s="6018">
        <f t="shared" si="38"/>
        <v>3618</v>
      </c>
      <c r="I287" s="6018">
        <f t="shared" si="39"/>
        <v>5690</v>
      </c>
      <c r="J287" s="6019">
        <f t="shared" si="40"/>
        <v>6401</v>
      </c>
      <c r="K287" s="1732"/>
      <c r="L287" s="6018">
        <v>14225</v>
      </c>
      <c r="W287" s="6018">
        <v>14200</v>
      </c>
      <c r="X287" s="6019">
        <v>14250</v>
      </c>
      <c r="Y287" s="6018">
        <v>1102</v>
      </c>
      <c r="Z287" s="6018">
        <v>3618</v>
      </c>
      <c r="AA287" s="6018">
        <v>5690</v>
      </c>
      <c r="AB287" s="6019">
        <v>6401</v>
      </c>
      <c r="AC287" s="6018">
        <v>1502</v>
      </c>
      <c r="AD287" s="6018">
        <v>3618</v>
      </c>
      <c r="AE287" s="6018">
        <v>5690</v>
      </c>
      <c r="AF287" s="6019">
        <v>6401</v>
      </c>
    </row>
    <row r="288" spans="1:32" ht="13.5">
      <c r="A288" s="6018">
        <v>14250</v>
      </c>
      <c r="B288" s="6019">
        <v>14300</v>
      </c>
      <c r="C288" s="6020">
        <v>1095</v>
      </c>
      <c r="D288" s="6018">
        <f t="shared" si="41"/>
        <v>3618</v>
      </c>
      <c r="E288" s="6018">
        <f t="shared" si="42"/>
        <v>5710</v>
      </c>
      <c r="F288" s="6019">
        <f t="shared" si="43"/>
        <v>6424</v>
      </c>
      <c r="G288" s="6020">
        <f t="shared" si="37"/>
        <v>1502</v>
      </c>
      <c r="H288" s="6018">
        <f t="shared" si="38"/>
        <v>3618</v>
      </c>
      <c r="I288" s="6018">
        <f t="shared" si="39"/>
        <v>5710</v>
      </c>
      <c r="J288" s="6019">
        <f t="shared" si="40"/>
        <v>6424</v>
      </c>
      <c r="K288" s="1732"/>
      <c r="L288" s="6018">
        <v>14275</v>
      </c>
      <c r="W288" s="6018">
        <v>14250</v>
      </c>
      <c r="X288" s="6019">
        <v>14300</v>
      </c>
      <c r="Y288" s="6018">
        <v>1095</v>
      </c>
      <c r="Z288" s="6018">
        <v>3618</v>
      </c>
      <c r="AA288" s="6018">
        <v>5710</v>
      </c>
      <c r="AB288" s="6019">
        <v>6424</v>
      </c>
      <c r="AC288" s="6018">
        <v>1502</v>
      </c>
      <c r="AD288" s="6018">
        <v>3618</v>
      </c>
      <c r="AE288" s="6018">
        <v>5710</v>
      </c>
      <c r="AF288" s="6019">
        <v>6424</v>
      </c>
    </row>
    <row r="289" spans="1:32" ht="13.5">
      <c r="A289" s="6018">
        <v>14300</v>
      </c>
      <c r="B289" s="6019">
        <v>14350</v>
      </c>
      <c r="C289" s="6020">
        <v>1087</v>
      </c>
      <c r="D289" s="6018">
        <f t="shared" si="41"/>
        <v>3618</v>
      </c>
      <c r="E289" s="6018">
        <f t="shared" si="42"/>
        <v>5730</v>
      </c>
      <c r="F289" s="6019">
        <f t="shared" si="43"/>
        <v>6446</v>
      </c>
      <c r="G289" s="6020">
        <f t="shared" si="37"/>
        <v>1502</v>
      </c>
      <c r="H289" s="6018">
        <f t="shared" si="38"/>
        <v>3618</v>
      </c>
      <c r="I289" s="6018">
        <f t="shared" si="39"/>
        <v>5730</v>
      </c>
      <c r="J289" s="6019">
        <f t="shared" si="40"/>
        <v>6446</v>
      </c>
      <c r="K289" s="1732"/>
      <c r="L289" s="6018">
        <v>14325</v>
      </c>
      <c r="W289" s="6018">
        <v>14300</v>
      </c>
      <c r="X289" s="6019">
        <v>14350</v>
      </c>
      <c r="Y289" s="6018">
        <v>1087</v>
      </c>
      <c r="Z289" s="6018">
        <v>3618</v>
      </c>
      <c r="AA289" s="6018">
        <v>5730</v>
      </c>
      <c r="AB289" s="6019">
        <v>6446</v>
      </c>
      <c r="AC289" s="6018">
        <v>1502</v>
      </c>
      <c r="AD289" s="6018">
        <v>3618</v>
      </c>
      <c r="AE289" s="6018">
        <v>5730</v>
      </c>
      <c r="AF289" s="6019">
        <v>6446</v>
      </c>
    </row>
    <row r="290" spans="1:32" ht="13.5">
      <c r="A290" s="6018">
        <v>14350</v>
      </c>
      <c r="B290" s="6019">
        <v>14400</v>
      </c>
      <c r="C290" s="6020">
        <v>1079</v>
      </c>
      <c r="D290" s="6018">
        <f t="shared" si="41"/>
        <v>3618</v>
      </c>
      <c r="E290" s="6018">
        <f t="shared" si="42"/>
        <v>5750</v>
      </c>
      <c r="F290" s="6019">
        <f t="shared" si="43"/>
        <v>6469</v>
      </c>
      <c r="G290" s="6020">
        <f t="shared" si="37"/>
        <v>1502</v>
      </c>
      <c r="H290" s="6018">
        <f t="shared" si="38"/>
        <v>3618</v>
      </c>
      <c r="I290" s="6018">
        <f t="shared" si="39"/>
        <v>5750</v>
      </c>
      <c r="J290" s="6019">
        <f t="shared" si="40"/>
        <v>6469</v>
      </c>
      <c r="K290" s="1732"/>
      <c r="L290" s="6018">
        <v>14375</v>
      </c>
      <c r="W290" s="6018">
        <v>14350</v>
      </c>
      <c r="X290" s="6019">
        <v>14400</v>
      </c>
      <c r="Y290" s="6018">
        <v>1079</v>
      </c>
      <c r="Z290" s="6018">
        <v>3618</v>
      </c>
      <c r="AA290" s="6018">
        <v>5750</v>
      </c>
      <c r="AB290" s="6019">
        <v>6469</v>
      </c>
      <c r="AC290" s="6018">
        <v>1502</v>
      </c>
      <c r="AD290" s="6018">
        <v>3618</v>
      </c>
      <c r="AE290" s="6018">
        <v>5750</v>
      </c>
      <c r="AF290" s="6019">
        <v>6469</v>
      </c>
    </row>
    <row r="291" spans="1:32" ht="13.5">
      <c r="A291" s="6018">
        <v>14400</v>
      </c>
      <c r="B291" s="6019">
        <v>14450</v>
      </c>
      <c r="C291" s="6020">
        <v>1072</v>
      </c>
      <c r="D291" s="6018">
        <f t="shared" si="41"/>
        <v>3618</v>
      </c>
      <c r="E291" s="6018">
        <f t="shared" si="42"/>
        <v>5770</v>
      </c>
      <c r="F291" s="6019">
        <f t="shared" si="43"/>
        <v>6491</v>
      </c>
      <c r="G291" s="6020">
        <f t="shared" si="37"/>
        <v>1502</v>
      </c>
      <c r="H291" s="6018">
        <f t="shared" si="38"/>
        <v>3618</v>
      </c>
      <c r="I291" s="6018">
        <f t="shared" si="39"/>
        <v>5770</v>
      </c>
      <c r="J291" s="6019">
        <f t="shared" si="40"/>
        <v>6491</v>
      </c>
      <c r="K291" s="1732"/>
      <c r="L291" s="6018">
        <v>14425</v>
      </c>
      <c r="W291" s="6018">
        <v>14400</v>
      </c>
      <c r="X291" s="6019">
        <v>14450</v>
      </c>
      <c r="Y291" s="6018">
        <v>1072</v>
      </c>
      <c r="Z291" s="6018">
        <v>3618</v>
      </c>
      <c r="AA291" s="6018">
        <v>5770</v>
      </c>
      <c r="AB291" s="6019">
        <v>6491</v>
      </c>
      <c r="AC291" s="6018">
        <v>1502</v>
      </c>
      <c r="AD291" s="6018">
        <v>3618</v>
      </c>
      <c r="AE291" s="6018">
        <v>5770</v>
      </c>
      <c r="AF291" s="6019">
        <v>6491</v>
      </c>
    </row>
    <row r="292" spans="1:32" ht="13.5">
      <c r="A292" s="6018">
        <v>14450</v>
      </c>
      <c r="B292" s="6019">
        <v>14500</v>
      </c>
      <c r="C292" s="6020">
        <v>1064</v>
      </c>
      <c r="D292" s="6018">
        <f t="shared" si="41"/>
        <v>3618</v>
      </c>
      <c r="E292" s="6018">
        <f t="shared" si="42"/>
        <v>5790</v>
      </c>
      <c r="F292" s="6019">
        <f t="shared" si="43"/>
        <v>6514</v>
      </c>
      <c r="G292" s="6020">
        <f t="shared" si="37"/>
        <v>1502</v>
      </c>
      <c r="H292" s="6018">
        <f t="shared" si="38"/>
        <v>3618</v>
      </c>
      <c r="I292" s="6018">
        <f t="shared" si="39"/>
        <v>5790</v>
      </c>
      <c r="J292" s="6019">
        <f t="shared" si="40"/>
        <v>6514</v>
      </c>
      <c r="K292" s="1732"/>
      <c r="L292" s="6018">
        <v>14475</v>
      </c>
      <c r="W292" s="6018">
        <v>14450</v>
      </c>
      <c r="X292" s="6019">
        <v>14500</v>
      </c>
      <c r="Y292" s="6018">
        <v>1064</v>
      </c>
      <c r="Z292" s="6018">
        <v>3618</v>
      </c>
      <c r="AA292" s="6018">
        <v>5790</v>
      </c>
      <c r="AB292" s="6019">
        <v>6514</v>
      </c>
      <c r="AC292" s="6018">
        <v>1502</v>
      </c>
      <c r="AD292" s="6018">
        <v>3618</v>
      </c>
      <c r="AE292" s="6018">
        <v>5790</v>
      </c>
      <c r="AF292" s="6019">
        <v>6514</v>
      </c>
    </row>
    <row r="293" spans="1:32" ht="13.5">
      <c r="A293" s="6018">
        <v>14500</v>
      </c>
      <c r="B293" s="6019">
        <v>14550</v>
      </c>
      <c r="C293" s="6020">
        <v>1056</v>
      </c>
      <c r="D293" s="6018">
        <f t="shared" si="41"/>
        <v>3618</v>
      </c>
      <c r="E293" s="6018">
        <f t="shared" si="42"/>
        <v>5810</v>
      </c>
      <c r="F293" s="6019">
        <f t="shared" si="43"/>
        <v>6536</v>
      </c>
      <c r="G293" s="6020">
        <f t="shared" si="37"/>
        <v>1502</v>
      </c>
      <c r="H293" s="6018">
        <f t="shared" si="38"/>
        <v>3618</v>
      </c>
      <c r="I293" s="6018">
        <f t="shared" si="39"/>
        <v>5810</v>
      </c>
      <c r="J293" s="6019">
        <f t="shared" si="40"/>
        <v>6536</v>
      </c>
      <c r="K293" s="1732"/>
      <c r="L293" s="6018">
        <v>14525</v>
      </c>
      <c r="W293" s="6018">
        <v>14500</v>
      </c>
      <c r="X293" s="6019">
        <v>14550</v>
      </c>
      <c r="Y293" s="6018">
        <v>1056</v>
      </c>
      <c r="Z293" s="6018">
        <v>3618</v>
      </c>
      <c r="AA293" s="6018">
        <v>5810</v>
      </c>
      <c r="AB293" s="6019">
        <v>6536</v>
      </c>
      <c r="AC293" s="6018">
        <v>1502</v>
      </c>
      <c r="AD293" s="6018">
        <v>3618</v>
      </c>
      <c r="AE293" s="6018">
        <v>5810</v>
      </c>
      <c r="AF293" s="6019">
        <v>6536</v>
      </c>
    </row>
    <row r="294" spans="1:32" ht="13.5">
      <c r="A294" s="6018">
        <v>14550</v>
      </c>
      <c r="B294" s="6019">
        <v>14600</v>
      </c>
      <c r="C294" s="6020">
        <v>1049</v>
      </c>
      <c r="D294" s="6018">
        <f t="shared" si="41"/>
        <v>3618</v>
      </c>
      <c r="E294" s="6018">
        <f t="shared" si="42"/>
        <v>5830</v>
      </c>
      <c r="F294" s="6019">
        <f t="shared" si="43"/>
        <v>6559</v>
      </c>
      <c r="G294" s="6020">
        <f t="shared" si="37"/>
        <v>1502</v>
      </c>
      <c r="H294" s="6018">
        <f t="shared" si="38"/>
        <v>3618</v>
      </c>
      <c r="I294" s="6018">
        <f t="shared" si="39"/>
        <v>5830</v>
      </c>
      <c r="J294" s="6019">
        <f t="shared" si="40"/>
        <v>6559</v>
      </c>
      <c r="K294" s="1732"/>
      <c r="L294" s="6018">
        <v>14575</v>
      </c>
      <c r="W294" s="6018">
        <v>14550</v>
      </c>
      <c r="X294" s="6019">
        <v>14600</v>
      </c>
      <c r="Y294" s="6018">
        <v>1049</v>
      </c>
      <c r="Z294" s="6018">
        <v>3618</v>
      </c>
      <c r="AA294" s="6018">
        <v>5830</v>
      </c>
      <c r="AB294" s="6019">
        <v>6559</v>
      </c>
      <c r="AC294" s="6018">
        <v>1502</v>
      </c>
      <c r="AD294" s="6018">
        <v>3618</v>
      </c>
      <c r="AE294" s="6018">
        <v>5830</v>
      </c>
      <c r="AF294" s="6019">
        <v>6559</v>
      </c>
    </row>
    <row r="295" spans="1:32" ht="13.5">
      <c r="A295" s="6018">
        <v>14600</v>
      </c>
      <c r="B295" s="6019">
        <v>14650</v>
      </c>
      <c r="C295" s="6020">
        <v>1041</v>
      </c>
      <c r="D295" s="6018">
        <f t="shared" si="41"/>
        <v>3618</v>
      </c>
      <c r="E295" s="6018">
        <f t="shared" si="42"/>
        <v>5850</v>
      </c>
      <c r="F295" s="6019">
        <f t="shared" si="43"/>
        <v>6581</v>
      </c>
      <c r="G295" s="6020">
        <f t="shared" si="37"/>
        <v>1502</v>
      </c>
      <c r="H295" s="6018">
        <f t="shared" si="38"/>
        <v>3618</v>
      </c>
      <c r="I295" s="6018">
        <f t="shared" si="39"/>
        <v>5850</v>
      </c>
      <c r="J295" s="6019">
        <f t="shared" si="40"/>
        <v>6581</v>
      </c>
      <c r="K295" s="1732"/>
      <c r="L295" s="6018">
        <v>14625</v>
      </c>
      <c r="W295" s="6018">
        <v>14600</v>
      </c>
      <c r="X295" s="6019">
        <v>14650</v>
      </c>
      <c r="Y295" s="6018">
        <v>1041</v>
      </c>
      <c r="Z295" s="6018">
        <v>3618</v>
      </c>
      <c r="AA295" s="6018">
        <v>5850</v>
      </c>
      <c r="AB295" s="6019">
        <v>6581</v>
      </c>
      <c r="AC295" s="6018">
        <v>1502</v>
      </c>
      <c r="AD295" s="6018">
        <v>3618</v>
      </c>
      <c r="AE295" s="6018">
        <v>5850</v>
      </c>
      <c r="AF295" s="6019">
        <v>6581</v>
      </c>
    </row>
    <row r="296" spans="1:32" ht="13.5">
      <c r="A296" s="6018">
        <v>14650</v>
      </c>
      <c r="B296" s="6019">
        <v>14700</v>
      </c>
      <c r="C296" s="6020">
        <v>1034</v>
      </c>
      <c r="D296" s="6018">
        <f t="shared" si="41"/>
        <v>3618</v>
      </c>
      <c r="E296" s="6018">
        <f t="shared" si="42"/>
        <v>5870</v>
      </c>
      <c r="F296" s="6019">
        <f t="shared" si="43"/>
        <v>6604</v>
      </c>
      <c r="G296" s="6020">
        <f t="shared" si="37"/>
        <v>1502</v>
      </c>
      <c r="H296" s="6018">
        <f t="shared" si="38"/>
        <v>3618</v>
      </c>
      <c r="I296" s="6018">
        <f t="shared" si="39"/>
        <v>5870</v>
      </c>
      <c r="J296" s="6019">
        <f t="shared" si="40"/>
        <v>6604</v>
      </c>
      <c r="K296" s="1732"/>
      <c r="L296" s="6018">
        <v>14675</v>
      </c>
      <c r="W296" s="6018">
        <v>14650</v>
      </c>
      <c r="X296" s="6019">
        <v>14700</v>
      </c>
      <c r="Y296" s="6018">
        <v>1034</v>
      </c>
      <c r="Z296" s="6018">
        <v>3618</v>
      </c>
      <c r="AA296" s="6018">
        <v>5870</v>
      </c>
      <c r="AB296" s="6019">
        <v>6604</v>
      </c>
      <c r="AC296" s="6018">
        <v>1502</v>
      </c>
      <c r="AD296" s="6018">
        <v>3618</v>
      </c>
      <c r="AE296" s="6018">
        <v>5870</v>
      </c>
      <c r="AF296" s="6019">
        <v>6604</v>
      </c>
    </row>
    <row r="297" spans="1:32" ht="13.5">
      <c r="A297" s="6018">
        <v>14700</v>
      </c>
      <c r="B297" s="6019">
        <v>14750</v>
      </c>
      <c r="C297" s="6020">
        <v>1026</v>
      </c>
      <c r="D297" s="6018">
        <f t="shared" si="41"/>
        <v>3618</v>
      </c>
      <c r="E297" s="6018">
        <f t="shared" si="42"/>
        <v>5890</v>
      </c>
      <c r="F297" s="6019">
        <f t="shared" si="43"/>
        <v>6626</v>
      </c>
      <c r="G297" s="6020">
        <f t="shared" si="37"/>
        <v>1502</v>
      </c>
      <c r="H297" s="6018">
        <f t="shared" si="38"/>
        <v>3618</v>
      </c>
      <c r="I297" s="6018">
        <f t="shared" si="39"/>
        <v>5890</v>
      </c>
      <c r="J297" s="6019">
        <f t="shared" si="40"/>
        <v>6626</v>
      </c>
      <c r="K297" s="1732"/>
      <c r="L297" s="6018">
        <v>14725</v>
      </c>
      <c r="W297" s="6018">
        <v>14700</v>
      </c>
      <c r="X297" s="6019">
        <v>14750</v>
      </c>
      <c r="Y297" s="6018">
        <v>1026</v>
      </c>
      <c r="Z297" s="6018">
        <v>3618</v>
      </c>
      <c r="AA297" s="6018">
        <v>5890</v>
      </c>
      <c r="AB297" s="6019">
        <v>6626</v>
      </c>
      <c r="AC297" s="6018">
        <v>1502</v>
      </c>
      <c r="AD297" s="6018">
        <v>3618</v>
      </c>
      <c r="AE297" s="6018">
        <v>5890</v>
      </c>
      <c r="AF297" s="6019">
        <v>6626</v>
      </c>
    </row>
    <row r="298" spans="1:32" ht="13.5">
      <c r="A298" s="6018">
        <v>14750</v>
      </c>
      <c r="B298" s="6019">
        <v>14800</v>
      </c>
      <c r="C298" s="6020">
        <v>1018</v>
      </c>
      <c r="D298" s="6018">
        <f t="shared" si="41"/>
        <v>3618</v>
      </c>
      <c r="E298" s="6018">
        <f t="shared" si="42"/>
        <v>5910</v>
      </c>
      <c r="F298" s="6019">
        <f t="shared" si="43"/>
        <v>6649</v>
      </c>
      <c r="G298" s="6020">
        <f t="shared" si="37"/>
        <v>1502</v>
      </c>
      <c r="H298" s="6018">
        <f t="shared" si="38"/>
        <v>3618</v>
      </c>
      <c r="I298" s="6018">
        <f t="shared" si="39"/>
        <v>5910</v>
      </c>
      <c r="J298" s="6019">
        <f t="shared" si="40"/>
        <v>6649</v>
      </c>
      <c r="K298" s="1732"/>
      <c r="L298" s="6018">
        <v>14775</v>
      </c>
      <c r="W298" s="6018">
        <v>14750</v>
      </c>
      <c r="X298" s="6019">
        <v>14800</v>
      </c>
      <c r="Y298" s="6018">
        <v>1018</v>
      </c>
      <c r="Z298" s="6018">
        <v>3618</v>
      </c>
      <c r="AA298" s="6018">
        <v>5910</v>
      </c>
      <c r="AB298" s="6019">
        <v>6649</v>
      </c>
      <c r="AC298" s="6018">
        <v>1502</v>
      </c>
      <c r="AD298" s="6018">
        <v>3618</v>
      </c>
      <c r="AE298" s="6018">
        <v>5910</v>
      </c>
      <c r="AF298" s="6019">
        <v>6649</v>
      </c>
    </row>
    <row r="299" spans="1:32" ht="13.5">
      <c r="A299" s="6018">
        <v>14800</v>
      </c>
      <c r="B299" s="6019">
        <v>14850</v>
      </c>
      <c r="C299" s="6020">
        <v>1011</v>
      </c>
      <c r="D299" s="6018">
        <f t="shared" si="41"/>
        <v>3618</v>
      </c>
      <c r="E299" s="6018">
        <f t="shared" si="42"/>
        <v>5930</v>
      </c>
      <c r="F299" s="6019">
        <f t="shared" si="43"/>
        <v>6671</v>
      </c>
      <c r="G299" s="6020">
        <f t="shared" si="37"/>
        <v>1502</v>
      </c>
      <c r="H299" s="6018">
        <f t="shared" si="38"/>
        <v>3618</v>
      </c>
      <c r="I299" s="6018">
        <f t="shared" si="39"/>
        <v>5930</v>
      </c>
      <c r="J299" s="6019">
        <f t="shared" si="40"/>
        <v>6671</v>
      </c>
      <c r="K299" s="1732"/>
      <c r="L299" s="6018">
        <v>14825</v>
      </c>
      <c r="W299" s="6018">
        <v>14800</v>
      </c>
      <c r="X299" s="6019">
        <v>14850</v>
      </c>
      <c r="Y299" s="6018">
        <v>1011</v>
      </c>
      <c r="Z299" s="6018">
        <v>3618</v>
      </c>
      <c r="AA299" s="6018">
        <v>5930</v>
      </c>
      <c r="AB299" s="6019">
        <v>6671</v>
      </c>
      <c r="AC299" s="6018">
        <v>1502</v>
      </c>
      <c r="AD299" s="6018">
        <v>3618</v>
      </c>
      <c r="AE299" s="6018">
        <v>5930</v>
      </c>
      <c r="AF299" s="6019">
        <v>6671</v>
      </c>
    </row>
    <row r="300" spans="1:32" ht="13.5">
      <c r="A300" s="6018">
        <v>14850</v>
      </c>
      <c r="B300" s="6019">
        <v>14900</v>
      </c>
      <c r="C300" s="6020">
        <v>1003</v>
      </c>
      <c r="D300" s="6018">
        <f t="shared" si="41"/>
        <v>3618</v>
      </c>
      <c r="E300" s="6018">
        <f t="shared" si="42"/>
        <v>5950</v>
      </c>
      <c r="F300" s="6019">
        <f t="shared" si="43"/>
        <v>6694</v>
      </c>
      <c r="G300" s="6020">
        <f t="shared" si="37"/>
        <v>1502</v>
      </c>
      <c r="H300" s="6018">
        <f t="shared" si="38"/>
        <v>3618</v>
      </c>
      <c r="I300" s="6018">
        <f t="shared" si="39"/>
        <v>5950</v>
      </c>
      <c r="J300" s="6019">
        <f t="shared" si="40"/>
        <v>6694</v>
      </c>
      <c r="K300" s="1732"/>
      <c r="L300" s="6018">
        <v>14875</v>
      </c>
      <c r="W300" s="6018">
        <v>14850</v>
      </c>
      <c r="X300" s="6019">
        <v>14900</v>
      </c>
      <c r="Y300" s="6018">
        <v>1003</v>
      </c>
      <c r="Z300" s="6018">
        <v>3618</v>
      </c>
      <c r="AA300" s="6018">
        <v>5950</v>
      </c>
      <c r="AB300" s="6019">
        <v>6694</v>
      </c>
      <c r="AC300" s="6018">
        <v>1502</v>
      </c>
      <c r="AD300" s="6018">
        <v>3618</v>
      </c>
      <c r="AE300" s="6018">
        <v>5950</v>
      </c>
      <c r="AF300" s="6019">
        <v>6694</v>
      </c>
    </row>
    <row r="301" spans="1:32" ht="13.5">
      <c r="A301" s="6018">
        <v>14900</v>
      </c>
      <c r="B301" s="6019">
        <v>14950</v>
      </c>
      <c r="C301" s="6020">
        <v>995</v>
      </c>
      <c r="D301" s="6018">
        <f t="shared" si="41"/>
        <v>3618</v>
      </c>
      <c r="E301" s="6018">
        <f t="shared" si="42"/>
        <v>5970</v>
      </c>
      <c r="F301" s="6019">
        <f t="shared" si="43"/>
        <v>6716</v>
      </c>
      <c r="G301" s="6020">
        <f t="shared" si="37"/>
        <v>1502</v>
      </c>
      <c r="H301" s="6018">
        <f t="shared" si="38"/>
        <v>3618</v>
      </c>
      <c r="I301" s="6018">
        <f t="shared" si="39"/>
        <v>5970</v>
      </c>
      <c r="J301" s="6019">
        <f t="shared" si="40"/>
        <v>6716</v>
      </c>
      <c r="K301" s="1732"/>
      <c r="L301" s="6018">
        <v>14925</v>
      </c>
      <c r="W301" s="6018">
        <v>14900</v>
      </c>
      <c r="X301" s="6019">
        <v>14950</v>
      </c>
      <c r="Y301" s="6018">
        <v>995</v>
      </c>
      <c r="Z301" s="6018">
        <v>3618</v>
      </c>
      <c r="AA301" s="6018">
        <v>5970</v>
      </c>
      <c r="AB301" s="6019">
        <v>6716</v>
      </c>
      <c r="AC301" s="6018">
        <v>1502</v>
      </c>
      <c r="AD301" s="6018">
        <v>3618</v>
      </c>
      <c r="AE301" s="6018">
        <v>5970</v>
      </c>
      <c r="AF301" s="6019">
        <v>6716</v>
      </c>
    </row>
    <row r="302" spans="1:32" ht="13.5">
      <c r="A302" s="6018">
        <v>14950</v>
      </c>
      <c r="B302" s="6019">
        <v>15000</v>
      </c>
      <c r="C302" s="6020">
        <v>988</v>
      </c>
      <c r="D302" s="6018">
        <f t="shared" si="41"/>
        <v>3618</v>
      </c>
      <c r="E302" s="6018">
        <f t="shared" si="42"/>
        <v>5980</v>
      </c>
      <c r="F302" s="6019">
        <f t="shared" si="43"/>
        <v>6728</v>
      </c>
      <c r="G302" s="6020">
        <f t="shared" si="37"/>
        <v>1502</v>
      </c>
      <c r="H302" s="6018">
        <f t="shared" si="38"/>
        <v>3618</v>
      </c>
      <c r="I302" s="6018">
        <f t="shared" si="39"/>
        <v>5980</v>
      </c>
      <c r="J302" s="6019">
        <f t="shared" si="40"/>
        <v>6728</v>
      </c>
      <c r="K302" s="1732"/>
      <c r="L302" s="6018">
        <v>14975</v>
      </c>
      <c r="W302" s="6018">
        <v>14950</v>
      </c>
      <c r="X302" s="6019">
        <v>15000</v>
      </c>
      <c r="Y302" s="6018">
        <v>988</v>
      </c>
      <c r="Z302" s="6018">
        <v>3618</v>
      </c>
      <c r="AA302" s="6018">
        <v>5980</v>
      </c>
      <c r="AB302" s="6019">
        <v>6728</v>
      </c>
      <c r="AC302" s="6018">
        <v>1502</v>
      </c>
      <c r="AD302" s="6018">
        <v>3618</v>
      </c>
      <c r="AE302" s="6018">
        <v>5980</v>
      </c>
      <c r="AF302" s="6019">
        <v>6728</v>
      </c>
    </row>
    <row r="303" spans="1:32" ht="13.5">
      <c r="A303" s="6018">
        <v>15000</v>
      </c>
      <c r="B303" s="6019">
        <v>15050</v>
      </c>
      <c r="C303" s="6020">
        <v>980</v>
      </c>
      <c r="D303" s="6018">
        <f t="shared" si="41"/>
        <v>3618</v>
      </c>
      <c r="E303" s="6018">
        <f t="shared" si="42"/>
        <v>5980</v>
      </c>
      <c r="F303" s="6019">
        <f t="shared" si="43"/>
        <v>6728</v>
      </c>
      <c r="G303" s="6020">
        <f t="shared" si="37"/>
        <v>1502</v>
      </c>
      <c r="H303" s="6018">
        <f t="shared" si="38"/>
        <v>3618</v>
      </c>
      <c r="I303" s="6018">
        <f t="shared" si="39"/>
        <v>5980</v>
      </c>
      <c r="J303" s="6019">
        <f t="shared" si="40"/>
        <v>6728</v>
      </c>
      <c r="K303" s="1732"/>
      <c r="L303" s="6018">
        <v>15025</v>
      </c>
      <c r="W303" s="6018">
        <v>15000</v>
      </c>
      <c r="X303" s="6019">
        <v>15050</v>
      </c>
      <c r="Y303" s="6018">
        <v>980</v>
      </c>
      <c r="Z303" s="6018">
        <v>3618</v>
      </c>
      <c r="AA303" s="6018">
        <v>5980</v>
      </c>
      <c r="AB303" s="6019">
        <v>6728</v>
      </c>
      <c r="AC303" s="6018">
        <v>1502</v>
      </c>
      <c r="AD303" s="6018">
        <v>3618</v>
      </c>
      <c r="AE303" s="6018">
        <v>5980</v>
      </c>
      <c r="AF303" s="6019">
        <v>6728</v>
      </c>
    </row>
    <row r="304" spans="1:32" ht="13.5">
      <c r="A304" s="6018">
        <v>15050</v>
      </c>
      <c r="B304" s="6019">
        <v>15100</v>
      </c>
      <c r="C304" s="6020">
        <v>972</v>
      </c>
      <c r="D304" s="6018">
        <f t="shared" si="41"/>
        <v>3618</v>
      </c>
      <c r="E304" s="6018">
        <f t="shared" si="42"/>
        <v>5980</v>
      </c>
      <c r="F304" s="6019">
        <f t="shared" si="43"/>
        <v>6728</v>
      </c>
      <c r="G304" s="6020">
        <f t="shared" si="37"/>
        <v>1502</v>
      </c>
      <c r="H304" s="6018">
        <f t="shared" si="38"/>
        <v>3618</v>
      </c>
      <c r="I304" s="6018">
        <f t="shared" si="39"/>
        <v>5980</v>
      </c>
      <c r="J304" s="6019">
        <f t="shared" si="40"/>
        <v>6728</v>
      </c>
      <c r="K304" s="1732"/>
      <c r="L304" s="6018">
        <v>15075</v>
      </c>
      <c r="W304" s="6018">
        <v>15050</v>
      </c>
      <c r="X304" s="6019">
        <v>15100</v>
      </c>
      <c r="Y304" s="6018">
        <v>972</v>
      </c>
      <c r="Z304" s="6018">
        <v>3618</v>
      </c>
      <c r="AA304" s="6018">
        <v>5980</v>
      </c>
      <c r="AB304" s="6019">
        <v>6728</v>
      </c>
      <c r="AC304" s="6018">
        <v>1502</v>
      </c>
      <c r="AD304" s="6018">
        <v>3618</v>
      </c>
      <c r="AE304" s="6018">
        <v>5980</v>
      </c>
      <c r="AF304" s="6019">
        <v>6728</v>
      </c>
    </row>
    <row r="305" spans="1:32" ht="13.5">
      <c r="A305" s="6018">
        <v>15100</v>
      </c>
      <c r="B305" s="6019">
        <v>15150</v>
      </c>
      <c r="C305" s="6020">
        <v>965</v>
      </c>
      <c r="D305" s="6018">
        <f t="shared" si="41"/>
        <v>3618</v>
      </c>
      <c r="E305" s="6018">
        <f t="shared" si="42"/>
        <v>5980</v>
      </c>
      <c r="F305" s="6019">
        <f t="shared" si="43"/>
        <v>6728</v>
      </c>
      <c r="G305" s="6020">
        <f t="shared" si="37"/>
        <v>1502</v>
      </c>
      <c r="H305" s="6018">
        <f t="shared" si="38"/>
        <v>3618</v>
      </c>
      <c r="I305" s="6018">
        <f t="shared" si="39"/>
        <v>5980</v>
      </c>
      <c r="J305" s="6019">
        <f t="shared" si="40"/>
        <v>6728</v>
      </c>
      <c r="K305" s="1732"/>
      <c r="L305" s="6018">
        <v>15125</v>
      </c>
      <c r="W305" s="6018">
        <v>15100</v>
      </c>
      <c r="X305" s="6019">
        <v>15150</v>
      </c>
      <c r="Y305" s="6018">
        <v>965</v>
      </c>
      <c r="Z305" s="6018">
        <v>3618</v>
      </c>
      <c r="AA305" s="6018">
        <v>5980</v>
      </c>
      <c r="AB305" s="6019">
        <v>6728</v>
      </c>
      <c r="AC305" s="6018">
        <v>1502</v>
      </c>
      <c r="AD305" s="6018">
        <v>3618</v>
      </c>
      <c r="AE305" s="6018">
        <v>5980</v>
      </c>
      <c r="AF305" s="6019">
        <v>6728</v>
      </c>
    </row>
    <row r="306" spans="1:32" ht="13.5">
      <c r="A306" s="6018">
        <v>15150</v>
      </c>
      <c r="B306" s="6019">
        <v>15200</v>
      </c>
      <c r="C306" s="6020">
        <v>957</v>
      </c>
      <c r="D306" s="6018">
        <f t="shared" si="41"/>
        <v>3618</v>
      </c>
      <c r="E306" s="6018">
        <f t="shared" si="42"/>
        <v>5980</v>
      </c>
      <c r="F306" s="6019">
        <f t="shared" si="43"/>
        <v>6728</v>
      </c>
      <c r="G306" s="6020">
        <f t="shared" si="37"/>
        <v>1502</v>
      </c>
      <c r="H306" s="6018">
        <f t="shared" si="38"/>
        <v>3618</v>
      </c>
      <c r="I306" s="6018">
        <f t="shared" si="39"/>
        <v>5980</v>
      </c>
      <c r="J306" s="6019">
        <f t="shared" si="40"/>
        <v>6728</v>
      </c>
      <c r="K306" s="1732"/>
      <c r="L306" s="6018">
        <v>15175</v>
      </c>
      <c r="W306" s="6018">
        <v>15150</v>
      </c>
      <c r="X306" s="6019">
        <v>15200</v>
      </c>
      <c r="Y306" s="6018">
        <v>957</v>
      </c>
      <c r="Z306" s="6018">
        <v>3618</v>
      </c>
      <c r="AA306" s="6018">
        <v>5980</v>
      </c>
      <c r="AB306" s="6019">
        <v>6728</v>
      </c>
      <c r="AC306" s="6018">
        <v>1502</v>
      </c>
      <c r="AD306" s="6018">
        <v>3618</v>
      </c>
      <c r="AE306" s="6018">
        <v>5980</v>
      </c>
      <c r="AF306" s="6019">
        <v>6728</v>
      </c>
    </row>
    <row r="307" spans="1:32" ht="13.5">
      <c r="A307" s="6018">
        <v>15200</v>
      </c>
      <c r="B307" s="6019">
        <v>15250</v>
      </c>
      <c r="C307" s="6020">
        <v>949</v>
      </c>
      <c r="D307" s="6018">
        <f t="shared" si="41"/>
        <v>3618</v>
      </c>
      <c r="E307" s="6018">
        <f t="shared" si="42"/>
        <v>5980</v>
      </c>
      <c r="F307" s="6019">
        <f t="shared" si="43"/>
        <v>6728</v>
      </c>
      <c r="G307" s="6020">
        <f t="shared" si="37"/>
        <v>1502</v>
      </c>
      <c r="H307" s="6018">
        <f t="shared" si="38"/>
        <v>3618</v>
      </c>
      <c r="I307" s="6018">
        <f t="shared" si="39"/>
        <v>5980</v>
      </c>
      <c r="J307" s="6019">
        <f t="shared" si="40"/>
        <v>6728</v>
      </c>
      <c r="K307" s="1732"/>
      <c r="L307" s="6018">
        <v>15225</v>
      </c>
      <c r="W307" s="6018">
        <v>15200</v>
      </c>
      <c r="X307" s="6019">
        <v>15250</v>
      </c>
      <c r="Y307" s="6018">
        <v>949</v>
      </c>
      <c r="Z307" s="6018">
        <v>3618</v>
      </c>
      <c r="AA307" s="6018">
        <v>5980</v>
      </c>
      <c r="AB307" s="6019">
        <v>6728</v>
      </c>
      <c r="AC307" s="6018">
        <v>1502</v>
      </c>
      <c r="AD307" s="6018">
        <v>3618</v>
      </c>
      <c r="AE307" s="6018">
        <v>5980</v>
      </c>
      <c r="AF307" s="6019">
        <v>6728</v>
      </c>
    </row>
    <row r="308" spans="1:32" ht="13.5">
      <c r="A308" s="6018">
        <v>15250</v>
      </c>
      <c r="B308" s="6019">
        <v>15300</v>
      </c>
      <c r="C308" s="6020">
        <v>942</v>
      </c>
      <c r="D308" s="6018">
        <f t="shared" si="41"/>
        <v>3618</v>
      </c>
      <c r="E308" s="6018">
        <f t="shared" si="42"/>
        <v>5980</v>
      </c>
      <c r="F308" s="6019">
        <f t="shared" si="43"/>
        <v>6728</v>
      </c>
      <c r="G308" s="6020">
        <f t="shared" si="37"/>
        <v>1502</v>
      </c>
      <c r="H308" s="6018">
        <f t="shared" si="38"/>
        <v>3618</v>
      </c>
      <c r="I308" s="6018">
        <f t="shared" si="39"/>
        <v>5980</v>
      </c>
      <c r="J308" s="6019">
        <f t="shared" si="40"/>
        <v>6728</v>
      </c>
      <c r="K308" s="1732"/>
      <c r="L308" s="6018">
        <v>15275</v>
      </c>
      <c r="W308" s="6018">
        <v>15250</v>
      </c>
      <c r="X308" s="6019">
        <v>15300</v>
      </c>
      <c r="Y308" s="6018">
        <v>942</v>
      </c>
      <c r="Z308" s="6018">
        <v>3618</v>
      </c>
      <c r="AA308" s="6018">
        <v>5980</v>
      </c>
      <c r="AB308" s="6019">
        <v>6728</v>
      </c>
      <c r="AC308" s="6018">
        <v>1502</v>
      </c>
      <c r="AD308" s="6018">
        <v>3618</v>
      </c>
      <c r="AE308" s="6018">
        <v>5980</v>
      </c>
      <c r="AF308" s="6019">
        <v>6728</v>
      </c>
    </row>
    <row r="309" spans="1:32" ht="13.5">
      <c r="A309" s="6018">
        <v>15300</v>
      </c>
      <c r="B309" s="6019">
        <v>15350</v>
      </c>
      <c r="C309" s="6020">
        <v>934</v>
      </c>
      <c r="D309" s="6018">
        <f t="shared" si="41"/>
        <v>3618</v>
      </c>
      <c r="E309" s="6018">
        <f t="shared" si="42"/>
        <v>5980</v>
      </c>
      <c r="F309" s="6019">
        <f t="shared" si="43"/>
        <v>6728</v>
      </c>
      <c r="G309" s="6020">
        <f t="shared" si="37"/>
        <v>1502</v>
      </c>
      <c r="H309" s="6018">
        <f t="shared" si="38"/>
        <v>3618</v>
      </c>
      <c r="I309" s="6018">
        <f t="shared" si="39"/>
        <v>5980</v>
      </c>
      <c r="J309" s="6019">
        <f t="shared" si="40"/>
        <v>6728</v>
      </c>
      <c r="K309" s="1732"/>
      <c r="L309" s="6018">
        <v>15325</v>
      </c>
      <c r="W309" s="6018">
        <v>15300</v>
      </c>
      <c r="X309" s="6019">
        <v>15350</v>
      </c>
      <c r="Y309" s="6018">
        <v>934</v>
      </c>
      <c r="Z309" s="6018">
        <v>3618</v>
      </c>
      <c r="AA309" s="6018">
        <v>5980</v>
      </c>
      <c r="AB309" s="6019">
        <v>6728</v>
      </c>
      <c r="AC309" s="6018">
        <v>1502</v>
      </c>
      <c r="AD309" s="6018">
        <v>3618</v>
      </c>
      <c r="AE309" s="6018">
        <v>5980</v>
      </c>
      <c r="AF309" s="6019">
        <v>6728</v>
      </c>
    </row>
    <row r="310" spans="1:32" ht="13.5">
      <c r="A310" s="6018">
        <v>15350</v>
      </c>
      <c r="B310" s="6019">
        <v>15400</v>
      </c>
      <c r="C310" s="6020">
        <v>926</v>
      </c>
      <c r="D310" s="6018">
        <f t="shared" si="41"/>
        <v>3618</v>
      </c>
      <c r="E310" s="6018">
        <f t="shared" si="42"/>
        <v>5980</v>
      </c>
      <c r="F310" s="6019">
        <f t="shared" si="43"/>
        <v>6728</v>
      </c>
      <c r="G310" s="6020">
        <f t="shared" si="37"/>
        <v>1502</v>
      </c>
      <c r="H310" s="6018">
        <f t="shared" si="38"/>
        <v>3618</v>
      </c>
      <c r="I310" s="6018">
        <f t="shared" si="39"/>
        <v>5980</v>
      </c>
      <c r="J310" s="6019">
        <f t="shared" si="40"/>
        <v>6728</v>
      </c>
      <c r="K310" s="1732"/>
      <c r="L310" s="6018">
        <v>15375</v>
      </c>
      <c r="W310" s="6018">
        <v>15350</v>
      </c>
      <c r="X310" s="6019">
        <v>15400</v>
      </c>
      <c r="Y310" s="6018">
        <v>926</v>
      </c>
      <c r="Z310" s="6018">
        <v>3618</v>
      </c>
      <c r="AA310" s="6018">
        <v>5980</v>
      </c>
      <c r="AB310" s="6019">
        <v>6728</v>
      </c>
      <c r="AC310" s="6018">
        <v>1502</v>
      </c>
      <c r="AD310" s="6018">
        <v>3618</v>
      </c>
      <c r="AE310" s="6018">
        <v>5980</v>
      </c>
      <c r="AF310" s="6019">
        <v>6728</v>
      </c>
    </row>
    <row r="311" spans="1:32" ht="13.5">
      <c r="A311" s="6018">
        <v>15400</v>
      </c>
      <c r="B311" s="6019">
        <v>15450</v>
      </c>
      <c r="C311" s="6020">
        <v>919</v>
      </c>
      <c r="D311" s="6018">
        <f t="shared" si="41"/>
        <v>3618</v>
      </c>
      <c r="E311" s="6018">
        <f t="shared" si="42"/>
        <v>5980</v>
      </c>
      <c r="F311" s="6019">
        <f t="shared" si="43"/>
        <v>6728</v>
      </c>
      <c r="G311" s="6020">
        <f t="shared" si="37"/>
        <v>1502</v>
      </c>
      <c r="H311" s="6018">
        <f t="shared" si="38"/>
        <v>3618</v>
      </c>
      <c r="I311" s="6018">
        <f t="shared" si="39"/>
        <v>5980</v>
      </c>
      <c r="J311" s="6019">
        <f t="shared" si="40"/>
        <v>6728</v>
      </c>
      <c r="K311" s="1732"/>
      <c r="L311" s="6018">
        <v>15425</v>
      </c>
      <c r="W311" s="6018">
        <v>15400</v>
      </c>
      <c r="X311" s="6019">
        <v>15450</v>
      </c>
      <c r="Y311" s="6018">
        <v>919</v>
      </c>
      <c r="Z311" s="6018">
        <v>3618</v>
      </c>
      <c r="AA311" s="6018">
        <v>5980</v>
      </c>
      <c r="AB311" s="6019">
        <v>6728</v>
      </c>
      <c r="AC311" s="6018">
        <v>1502</v>
      </c>
      <c r="AD311" s="6018">
        <v>3618</v>
      </c>
      <c r="AE311" s="6018">
        <v>5980</v>
      </c>
      <c r="AF311" s="6019">
        <v>6728</v>
      </c>
    </row>
    <row r="312" spans="1:32" ht="13.5">
      <c r="A312" s="6018">
        <v>15450</v>
      </c>
      <c r="B312" s="6019">
        <v>15500</v>
      </c>
      <c r="C312" s="6020">
        <v>911</v>
      </c>
      <c r="D312" s="6018">
        <f t="shared" si="41"/>
        <v>3618</v>
      </c>
      <c r="E312" s="6018">
        <f t="shared" si="42"/>
        <v>5980</v>
      </c>
      <c r="F312" s="6019">
        <f t="shared" si="43"/>
        <v>6728</v>
      </c>
      <c r="G312" s="6020">
        <f t="shared" si="37"/>
        <v>1502</v>
      </c>
      <c r="H312" s="6018">
        <f t="shared" si="38"/>
        <v>3618</v>
      </c>
      <c r="I312" s="6018">
        <f t="shared" si="39"/>
        <v>5980</v>
      </c>
      <c r="J312" s="6019">
        <f t="shared" si="40"/>
        <v>6728</v>
      </c>
      <c r="K312" s="1732"/>
      <c r="L312" s="6018">
        <v>15475</v>
      </c>
      <c r="W312" s="6018">
        <v>15450</v>
      </c>
      <c r="X312" s="6019">
        <v>15500</v>
      </c>
      <c r="Y312" s="6018">
        <v>911</v>
      </c>
      <c r="Z312" s="6018">
        <v>3618</v>
      </c>
      <c r="AA312" s="6018">
        <v>5980</v>
      </c>
      <c r="AB312" s="6019">
        <v>6728</v>
      </c>
      <c r="AC312" s="6018">
        <v>1502</v>
      </c>
      <c r="AD312" s="6018">
        <v>3618</v>
      </c>
      <c r="AE312" s="6018">
        <v>5980</v>
      </c>
      <c r="AF312" s="6019">
        <v>6728</v>
      </c>
    </row>
    <row r="313" spans="1:32" ht="13.5">
      <c r="A313" s="6018">
        <v>15500</v>
      </c>
      <c r="B313" s="6019">
        <v>15550</v>
      </c>
      <c r="C313" s="6020">
        <v>903</v>
      </c>
      <c r="D313" s="6018">
        <f t="shared" si="41"/>
        <v>3618</v>
      </c>
      <c r="E313" s="6018">
        <f t="shared" si="42"/>
        <v>5980</v>
      </c>
      <c r="F313" s="6019">
        <f t="shared" si="43"/>
        <v>6728</v>
      </c>
      <c r="G313" s="6020">
        <f t="shared" si="37"/>
        <v>1502</v>
      </c>
      <c r="H313" s="6018">
        <f t="shared" si="38"/>
        <v>3618</v>
      </c>
      <c r="I313" s="6018">
        <f t="shared" si="39"/>
        <v>5980</v>
      </c>
      <c r="J313" s="6019">
        <f t="shared" si="40"/>
        <v>6728</v>
      </c>
      <c r="K313" s="1732"/>
      <c r="L313" s="6018">
        <v>15525</v>
      </c>
      <c r="W313" s="6018">
        <v>15500</v>
      </c>
      <c r="X313" s="6019">
        <v>15550</v>
      </c>
      <c r="Y313" s="6018">
        <v>903</v>
      </c>
      <c r="Z313" s="6018">
        <v>3618</v>
      </c>
      <c r="AA313" s="6018">
        <v>5980</v>
      </c>
      <c r="AB313" s="6019">
        <v>6728</v>
      </c>
      <c r="AC313" s="6018">
        <v>1502</v>
      </c>
      <c r="AD313" s="6018">
        <v>3618</v>
      </c>
      <c r="AE313" s="6018">
        <v>5980</v>
      </c>
      <c r="AF313" s="6019">
        <v>6728</v>
      </c>
    </row>
    <row r="314" spans="1:32" ht="13.5">
      <c r="A314" s="6018">
        <v>15550</v>
      </c>
      <c r="B314" s="6019">
        <v>15600</v>
      </c>
      <c r="C314" s="6020">
        <v>896</v>
      </c>
      <c r="D314" s="6018">
        <f t="shared" si="41"/>
        <v>3618</v>
      </c>
      <c r="E314" s="6018">
        <f t="shared" si="42"/>
        <v>5980</v>
      </c>
      <c r="F314" s="6019">
        <f t="shared" si="43"/>
        <v>6728</v>
      </c>
      <c r="G314" s="6020">
        <f t="shared" si="37"/>
        <v>1502</v>
      </c>
      <c r="H314" s="6018">
        <f t="shared" si="38"/>
        <v>3618</v>
      </c>
      <c r="I314" s="6018">
        <f t="shared" si="39"/>
        <v>5980</v>
      </c>
      <c r="J314" s="6019">
        <f t="shared" si="40"/>
        <v>6728</v>
      </c>
      <c r="K314" s="1732"/>
      <c r="L314" s="6018">
        <v>15575</v>
      </c>
      <c r="W314" s="6018">
        <v>15550</v>
      </c>
      <c r="X314" s="6019">
        <v>15600</v>
      </c>
      <c r="Y314" s="6018">
        <v>896</v>
      </c>
      <c r="Z314" s="6018">
        <v>3618</v>
      </c>
      <c r="AA314" s="6018">
        <v>5980</v>
      </c>
      <c r="AB314" s="6019">
        <v>6728</v>
      </c>
      <c r="AC314" s="6018">
        <v>1502</v>
      </c>
      <c r="AD314" s="6018">
        <v>3618</v>
      </c>
      <c r="AE314" s="6018">
        <v>5980</v>
      </c>
      <c r="AF314" s="6019">
        <v>6728</v>
      </c>
    </row>
    <row r="315" spans="1:32" ht="13.5">
      <c r="A315" s="6018">
        <v>15600</v>
      </c>
      <c r="B315" s="6019">
        <v>15650</v>
      </c>
      <c r="C315" s="6020">
        <v>888</v>
      </c>
      <c r="D315" s="6018">
        <f t="shared" si="41"/>
        <v>3618</v>
      </c>
      <c r="E315" s="6018">
        <f t="shared" si="42"/>
        <v>5980</v>
      </c>
      <c r="F315" s="6019">
        <f t="shared" si="43"/>
        <v>6728</v>
      </c>
      <c r="G315" s="6020">
        <f t="shared" si="37"/>
        <v>1502</v>
      </c>
      <c r="H315" s="6018">
        <f t="shared" si="38"/>
        <v>3618</v>
      </c>
      <c r="I315" s="6018">
        <f t="shared" si="39"/>
        <v>5980</v>
      </c>
      <c r="J315" s="6019">
        <f t="shared" si="40"/>
        <v>6728</v>
      </c>
      <c r="K315" s="1732"/>
      <c r="L315" s="6018">
        <v>15625</v>
      </c>
      <c r="W315" s="6018">
        <v>15600</v>
      </c>
      <c r="X315" s="6019">
        <v>15650</v>
      </c>
      <c r="Y315" s="6018">
        <v>888</v>
      </c>
      <c r="Z315" s="6018">
        <v>3618</v>
      </c>
      <c r="AA315" s="6018">
        <v>5980</v>
      </c>
      <c r="AB315" s="6019">
        <v>6728</v>
      </c>
      <c r="AC315" s="6018">
        <v>1502</v>
      </c>
      <c r="AD315" s="6018">
        <v>3618</v>
      </c>
      <c r="AE315" s="6018">
        <v>5980</v>
      </c>
      <c r="AF315" s="6019">
        <v>6728</v>
      </c>
    </row>
    <row r="316" spans="1:32" ht="13.5">
      <c r="A316" s="6018">
        <v>15650</v>
      </c>
      <c r="B316" s="6019">
        <v>15700</v>
      </c>
      <c r="C316" s="6020">
        <v>881</v>
      </c>
      <c r="D316" s="6018">
        <f t="shared" si="41"/>
        <v>3618</v>
      </c>
      <c r="E316" s="6018">
        <f t="shared" si="42"/>
        <v>5980</v>
      </c>
      <c r="F316" s="6019">
        <f t="shared" si="43"/>
        <v>6728</v>
      </c>
      <c r="G316" s="6020">
        <f t="shared" si="37"/>
        <v>1502</v>
      </c>
      <c r="H316" s="6018">
        <f t="shared" si="38"/>
        <v>3618</v>
      </c>
      <c r="I316" s="6018">
        <f t="shared" si="39"/>
        <v>5980</v>
      </c>
      <c r="J316" s="6019">
        <f t="shared" si="40"/>
        <v>6728</v>
      </c>
      <c r="K316" s="1732"/>
      <c r="L316" s="6018">
        <v>15675</v>
      </c>
      <c r="W316" s="6018">
        <v>15650</v>
      </c>
      <c r="X316" s="6019">
        <v>15700</v>
      </c>
      <c r="Y316" s="6018">
        <v>881</v>
      </c>
      <c r="Z316" s="6018">
        <v>3618</v>
      </c>
      <c r="AA316" s="6018">
        <v>5980</v>
      </c>
      <c r="AB316" s="6019">
        <v>6728</v>
      </c>
      <c r="AC316" s="6018">
        <v>1502</v>
      </c>
      <c r="AD316" s="6018">
        <v>3618</v>
      </c>
      <c r="AE316" s="6018">
        <v>5980</v>
      </c>
      <c r="AF316" s="6019">
        <v>6728</v>
      </c>
    </row>
    <row r="317" spans="1:32" ht="13.5">
      <c r="A317" s="6018">
        <v>15700</v>
      </c>
      <c r="B317" s="6019">
        <v>15750</v>
      </c>
      <c r="C317" s="6020">
        <v>873</v>
      </c>
      <c r="D317" s="6018">
        <f t="shared" si="41"/>
        <v>3618</v>
      </c>
      <c r="E317" s="6018">
        <f t="shared" si="42"/>
        <v>5980</v>
      </c>
      <c r="F317" s="6019">
        <f t="shared" si="43"/>
        <v>6728</v>
      </c>
      <c r="G317" s="6020">
        <f t="shared" si="37"/>
        <v>1502</v>
      </c>
      <c r="H317" s="6018">
        <f t="shared" si="38"/>
        <v>3618</v>
      </c>
      <c r="I317" s="6018">
        <f t="shared" si="39"/>
        <v>5980</v>
      </c>
      <c r="J317" s="6019">
        <f t="shared" si="40"/>
        <v>6728</v>
      </c>
      <c r="K317" s="1732"/>
      <c r="L317" s="6018">
        <v>15725</v>
      </c>
      <c r="W317" s="6018">
        <v>15700</v>
      </c>
      <c r="X317" s="6019">
        <v>15750</v>
      </c>
      <c r="Y317" s="6018">
        <v>873</v>
      </c>
      <c r="Z317" s="6018">
        <v>3618</v>
      </c>
      <c r="AA317" s="6018">
        <v>5980</v>
      </c>
      <c r="AB317" s="6019">
        <v>6728</v>
      </c>
      <c r="AC317" s="6018">
        <v>1502</v>
      </c>
      <c r="AD317" s="6018">
        <v>3618</v>
      </c>
      <c r="AE317" s="6018">
        <v>5980</v>
      </c>
      <c r="AF317" s="6019">
        <v>6728</v>
      </c>
    </row>
    <row r="318" spans="1:32" ht="13.5">
      <c r="A318" s="6018">
        <v>15750</v>
      </c>
      <c r="B318" s="6019">
        <v>15800</v>
      </c>
      <c r="C318" s="6020">
        <v>865</v>
      </c>
      <c r="D318" s="6018">
        <f t="shared" si="41"/>
        <v>3618</v>
      </c>
      <c r="E318" s="6018">
        <f t="shared" si="42"/>
        <v>5980</v>
      </c>
      <c r="F318" s="6019">
        <f t="shared" si="43"/>
        <v>6728</v>
      </c>
      <c r="G318" s="6020">
        <f t="shared" si="37"/>
        <v>1502</v>
      </c>
      <c r="H318" s="6018">
        <f t="shared" si="38"/>
        <v>3618</v>
      </c>
      <c r="I318" s="6018">
        <f t="shared" si="39"/>
        <v>5980</v>
      </c>
      <c r="J318" s="6019">
        <f t="shared" si="40"/>
        <v>6728</v>
      </c>
      <c r="K318" s="1732"/>
      <c r="L318" s="6018">
        <v>15775</v>
      </c>
      <c r="W318" s="6018">
        <v>15750</v>
      </c>
      <c r="X318" s="6019">
        <v>15800</v>
      </c>
      <c r="Y318" s="6018">
        <v>865</v>
      </c>
      <c r="Z318" s="6018">
        <v>3618</v>
      </c>
      <c r="AA318" s="6018">
        <v>5980</v>
      </c>
      <c r="AB318" s="6019">
        <v>6728</v>
      </c>
      <c r="AC318" s="6018">
        <v>1502</v>
      </c>
      <c r="AD318" s="6018">
        <v>3618</v>
      </c>
      <c r="AE318" s="6018">
        <v>5980</v>
      </c>
      <c r="AF318" s="6019">
        <v>6728</v>
      </c>
    </row>
    <row r="319" spans="1:32" ht="13.5">
      <c r="A319" s="6018">
        <v>15800</v>
      </c>
      <c r="B319" s="6019">
        <v>15850</v>
      </c>
      <c r="C319" s="6020">
        <v>858</v>
      </c>
      <c r="D319" s="6018">
        <f t="shared" si="41"/>
        <v>3618</v>
      </c>
      <c r="E319" s="6018">
        <f t="shared" si="42"/>
        <v>5980</v>
      </c>
      <c r="F319" s="6019">
        <f t="shared" si="43"/>
        <v>6728</v>
      </c>
      <c r="G319" s="6020">
        <f t="shared" si="37"/>
        <v>1502</v>
      </c>
      <c r="H319" s="6018">
        <f t="shared" si="38"/>
        <v>3618</v>
      </c>
      <c r="I319" s="6018">
        <f t="shared" si="39"/>
        <v>5980</v>
      </c>
      <c r="J319" s="6019">
        <f t="shared" si="40"/>
        <v>6728</v>
      </c>
      <c r="K319" s="1732"/>
      <c r="L319" s="6018">
        <v>15825</v>
      </c>
      <c r="W319" s="6018">
        <v>15800</v>
      </c>
      <c r="X319" s="6019">
        <v>15850</v>
      </c>
      <c r="Y319" s="6018">
        <v>858</v>
      </c>
      <c r="Z319" s="6018">
        <v>3618</v>
      </c>
      <c r="AA319" s="6018">
        <v>5980</v>
      </c>
      <c r="AB319" s="6019">
        <v>6728</v>
      </c>
      <c r="AC319" s="6018">
        <v>1502</v>
      </c>
      <c r="AD319" s="6018">
        <v>3618</v>
      </c>
      <c r="AE319" s="6018">
        <v>5980</v>
      </c>
      <c r="AF319" s="6019">
        <v>6728</v>
      </c>
    </row>
    <row r="320" spans="1:32" ht="13.5">
      <c r="A320" s="6018">
        <v>15850</v>
      </c>
      <c r="B320" s="6019">
        <v>15900</v>
      </c>
      <c r="C320" s="6020">
        <v>850</v>
      </c>
      <c r="D320" s="6018">
        <f t="shared" si="41"/>
        <v>3618</v>
      </c>
      <c r="E320" s="6018">
        <f t="shared" si="42"/>
        <v>5980</v>
      </c>
      <c r="F320" s="6019">
        <f t="shared" si="43"/>
        <v>6728</v>
      </c>
      <c r="G320" s="6020">
        <f t="shared" si="37"/>
        <v>1502</v>
      </c>
      <c r="H320" s="6018">
        <f t="shared" si="38"/>
        <v>3618</v>
      </c>
      <c r="I320" s="6018">
        <f t="shared" si="39"/>
        <v>5980</v>
      </c>
      <c r="J320" s="6019">
        <f t="shared" si="40"/>
        <v>6728</v>
      </c>
      <c r="K320" s="1732"/>
      <c r="L320" s="6018">
        <v>15875</v>
      </c>
      <c r="W320" s="6018">
        <v>15850</v>
      </c>
      <c r="X320" s="6019">
        <v>15900</v>
      </c>
      <c r="Y320" s="6018">
        <v>850</v>
      </c>
      <c r="Z320" s="6018">
        <v>3618</v>
      </c>
      <c r="AA320" s="6018">
        <v>5980</v>
      </c>
      <c r="AB320" s="6019">
        <v>6728</v>
      </c>
      <c r="AC320" s="6018">
        <v>1502</v>
      </c>
      <c r="AD320" s="6018">
        <v>3618</v>
      </c>
      <c r="AE320" s="6018">
        <v>5980</v>
      </c>
      <c r="AF320" s="6019">
        <v>6728</v>
      </c>
    </row>
    <row r="321" spans="1:32" ht="13.5">
      <c r="A321" s="6018">
        <v>15900</v>
      </c>
      <c r="B321" s="6019">
        <v>15950</v>
      </c>
      <c r="C321" s="6020">
        <v>842</v>
      </c>
      <c r="D321" s="6018">
        <f t="shared" si="41"/>
        <v>3618</v>
      </c>
      <c r="E321" s="6018">
        <f t="shared" si="42"/>
        <v>5980</v>
      </c>
      <c r="F321" s="6019">
        <f t="shared" si="43"/>
        <v>6728</v>
      </c>
      <c r="G321" s="6020">
        <f t="shared" si="37"/>
        <v>1502</v>
      </c>
      <c r="H321" s="6018">
        <f t="shared" si="38"/>
        <v>3618</v>
      </c>
      <c r="I321" s="6018">
        <f t="shared" si="39"/>
        <v>5980</v>
      </c>
      <c r="J321" s="6019">
        <f t="shared" si="40"/>
        <v>6728</v>
      </c>
      <c r="K321" s="1732"/>
      <c r="L321" s="6018">
        <v>15925</v>
      </c>
      <c r="W321" s="6018">
        <v>15900</v>
      </c>
      <c r="X321" s="6019">
        <v>15950</v>
      </c>
      <c r="Y321" s="6018">
        <v>842</v>
      </c>
      <c r="Z321" s="6018">
        <v>3618</v>
      </c>
      <c r="AA321" s="6018">
        <v>5980</v>
      </c>
      <c r="AB321" s="6019">
        <v>6728</v>
      </c>
      <c r="AC321" s="6018">
        <v>1502</v>
      </c>
      <c r="AD321" s="6018">
        <v>3618</v>
      </c>
      <c r="AE321" s="6018">
        <v>5980</v>
      </c>
      <c r="AF321" s="6019">
        <v>6728</v>
      </c>
    </row>
    <row r="322" spans="1:32" ht="13.5">
      <c r="A322" s="6018">
        <v>15950</v>
      </c>
      <c r="B322" s="6019">
        <v>16000</v>
      </c>
      <c r="C322" s="6020">
        <v>835</v>
      </c>
      <c r="D322" s="6018">
        <f t="shared" si="41"/>
        <v>3618</v>
      </c>
      <c r="E322" s="6018">
        <f t="shared" si="42"/>
        <v>5980</v>
      </c>
      <c r="F322" s="6019">
        <f t="shared" si="43"/>
        <v>6728</v>
      </c>
      <c r="G322" s="6020">
        <f t="shared" si="37"/>
        <v>1502</v>
      </c>
      <c r="H322" s="6018">
        <f t="shared" si="38"/>
        <v>3618</v>
      </c>
      <c r="I322" s="6018">
        <f t="shared" si="39"/>
        <v>5980</v>
      </c>
      <c r="J322" s="6019">
        <f t="shared" si="40"/>
        <v>6728</v>
      </c>
      <c r="K322" s="1732"/>
      <c r="L322" s="6018">
        <v>15975</v>
      </c>
      <c r="W322" s="6018">
        <v>15950</v>
      </c>
      <c r="X322" s="6019">
        <v>16000</v>
      </c>
      <c r="Y322" s="6018">
        <v>835</v>
      </c>
      <c r="Z322" s="6018">
        <v>3618</v>
      </c>
      <c r="AA322" s="6018">
        <v>5980</v>
      </c>
      <c r="AB322" s="6019">
        <v>6728</v>
      </c>
      <c r="AC322" s="6018">
        <v>1502</v>
      </c>
      <c r="AD322" s="6018">
        <v>3618</v>
      </c>
      <c r="AE322" s="6018">
        <v>5980</v>
      </c>
      <c r="AF322" s="6019">
        <v>6728</v>
      </c>
    </row>
    <row r="323" spans="1:32" ht="13.5">
      <c r="A323" s="6018">
        <v>16000</v>
      </c>
      <c r="B323" s="6019">
        <v>16050</v>
      </c>
      <c r="C323" s="6020">
        <v>827</v>
      </c>
      <c r="D323" s="6018">
        <f t="shared" si="41"/>
        <v>3618</v>
      </c>
      <c r="E323" s="6018">
        <f t="shared" si="42"/>
        <v>5980</v>
      </c>
      <c r="F323" s="6019">
        <f t="shared" si="43"/>
        <v>6728</v>
      </c>
      <c r="G323" s="6020">
        <f t="shared" si="37"/>
        <v>1502</v>
      </c>
      <c r="H323" s="6018">
        <f t="shared" si="38"/>
        <v>3618</v>
      </c>
      <c r="I323" s="6018">
        <f t="shared" si="39"/>
        <v>5980</v>
      </c>
      <c r="J323" s="6019">
        <f t="shared" si="40"/>
        <v>6728</v>
      </c>
      <c r="K323" s="1732"/>
      <c r="L323" s="6018">
        <v>16025</v>
      </c>
      <c r="W323" s="6018">
        <v>16000</v>
      </c>
      <c r="X323" s="6019">
        <v>16050</v>
      </c>
      <c r="Y323" s="6018">
        <v>827</v>
      </c>
      <c r="Z323" s="6018">
        <v>3618</v>
      </c>
      <c r="AA323" s="6018">
        <v>5980</v>
      </c>
      <c r="AB323" s="6019">
        <v>6728</v>
      </c>
      <c r="AC323" s="6018">
        <v>1502</v>
      </c>
      <c r="AD323" s="6018">
        <v>3618</v>
      </c>
      <c r="AE323" s="6018">
        <v>5980</v>
      </c>
      <c r="AF323" s="6019">
        <v>6728</v>
      </c>
    </row>
    <row r="324" spans="1:32" ht="13.5">
      <c r="A324" s="6018">
        <v>16050</v>
      </c>
      <c r="B324" s="6019">
        <v>16100</v>
      </c>
      <c r="C324" s="6020">
        <v>819</v>
      </c>
      <c r="D324" s="6018">
        <f t="shared" si="41"/>
        <v>3618</v>
      </c>
      <c r="E324" s="6018">
        <f t="shared" si="42"/>
        <v>5980</v>
      </c>
      <c r="F324" s="6019">
        <f t="shared" si="43"/>
        <v>6728</v>
      </c>
      <c r="G324" s="6020">
        <f t="shared" ref="G324:G353" si="44">IF($L324&gt;R$5,MAX(0,R$3+ROUND((R$9*($L324-R$5)),0)),IF($L324&gt;R$4,R$3,ROUND($L324*R$7,0)))</f>
        <v>1502</v>
      </c>
      <c r="H324" s="6018">
        <f t="shared" ref="H324:H387" si="45">IF($L324&gt;S$5,MAX(0,S$3+ROUND((S$9*($L324-S$5)),0)),IF($L324&gt;S$4,S$3,ROUND($L324*S$7,0)))</f>
        <v>3618</v>
      </c>
      <c r="I324" s="6018">
        <f t="shared" ref="I324:I387" si="46">IF($L324&gt;T$5,MAX(0,T$3+ROUND((T$9*($L324-T$5)),0)),IF($L324&gt;T$4,T$3,ROUND($L324*T$7,0)))</f>
        <v>5980</v>
      </c>
      <c r="J324" s="6019">
        <f t="shared" ref="J324:J387" si="47">IF($L324&gt;U$5,MAX(0,U$3+ROUND((U$9*($L324-U$5)),0)),IF($L324&gt;U$4,U$3,ROUND($L324*U$7,0)))</f>
        <v>6728</v>
      </c>
      <c r="K324" s="1732"/>
      <c r="L324" s="6018">
        <v>16075</v>
      </c>
      <c r="W324" s="6018">
        <v>16050</v>
      </c>
      <c r="X324" s="6019">
        <v>16100</v>
      </c>
      <c r="Y324" s="6018">
        <v>819</v>
      </c>
      <c r="Z324" s="6018">
        <v>3618</v>
      </c>
      <c r="AA324" s="6018">
        <v>5980</v>
      </c>
      <c r="AB324" s="6019">
        <v>6728</v>
      </c>
      <c r="AC324" s="6018">
        <v>1502</v>
      </c>
      <c r="AD324" s="6018">
        <v>3618</v>
      </c>
      <c r="AE324" s="6018">
        <v>5980</v>
      </c>
      <c r="AF324" s="6019">
        <v>6728</v>
      </c>
    </row>
    <row r="325" spans="1:32" ht="13.5">
      <c r="A325" s="6018">
        <v>16100</v>
      </c>
      <c r="B325" s="6019">
        <v>16150</v>
      </c>
      <c r="C325" s="6020">
        <v>812</v>
      </c>
      <c r="D325" s="6018">
        <f t="shared" si="41"/>
        <v>3618</v>
      </c>
      <c r="E325" s="6018">
        <f t="shared" si="42"/>
        <v>5980</v>
      </c>
      <c r="F325" s="6019">
        <f t="shared" si="43"/>
        <v>6728</v>
      </c>
      <c r="G325" s="6020">
        <f t="shared" si="44"/>
        <v>1502</v>
      </c>
      <c r="H325" s="6018">
        <f t="shared" si="45"/>
        <v>3618</v>
      </c>
      <c r="I325" s="6018">
        <f t="shared" si="46"/>
        <v>5980</v>
      </c>
      <c r="J325" s="6019">
        <f t="shared" si="47"/>
        <v>6728</v>
      </c>
      <c r="K325" s="1732"/>
      <c r="L325" s="6018">
        <v>16125</v>
      </c>
      <c r="W325" s="6018">
        <v>16100</v>
      </c>
      <c r="X325" s="6019">
        <v>16150</v>
      </c>
      <c r="Y325" s="6018">
        <v>812</v>
      </c>
      <c r="Z325" s="6018">
        <v>3618</v>
      </c>
      <c r="AA325" s="6018">
        <v>5980</v>
      </c>
      <c r="AB325" s="6019">
        <v>6728</v>
      </c>
      <c r="AC325" s="6018">
        <v>1502</v>
      </c>
      <c r="AD325" s="6018">
        <v>3618</v>
      </c>
      <c r="AE325" s="6018">
        <v>5980</v>
      </c>
      <c r="AF325" s="6019">
        <v>6728</v>
      </c>
    </row>
    <row r="326" spans="1:32" ht="13.5">
      <c r="A326" s="6018">
        <v>16150</v>
      </c>
      <c r="B326" s="6019">
        <v>16200</v>
      </c>
      <c r="C326" s="6020">
        <v>804</v>
      </c>
      <c r="D326" s="6018">
        <f t="shared" ref="D326:D389" si="48">IF($L326&gt;O$5,MAX(0,O$3+ROUND((O$9*($L326-O$5)),0)),IF($L326&gt;O$4,O$3,ROUND($L326*O$7,0)))</f>
        <v>3618</v>
      </c>
      <c r="E326" s="6018">
        <f t="shared" ref="E326:E389" si="49">IF($L326&gt;P$5,MAX(0,P$3+ROUND((P$9*($L326-P$5)),0)),IF($L326&gt;P$4,P$3,ROUND($L326*P$7,0)))</f>
        <v>5980</v>
      </c>
      <c r="F326" s="6019">
        <f t="shared" ref="F326:F389" si="50">IF($L326&gt;Q$5,MAX(0,Q$3+ROUND((Q$9*($L326-Q$5)),0)),IF($L326&gt;Q$4,Q$3,ROUND($L326*Q$7,0)))</f>
        <v>6728</v>
      </c>
      <c r="G326" s="6020">
        <f t="shared" si="44"/>
        <v>1502</v>
      </c>
      <c r="H326" s="6018">
        <f t="shared" si="45"/>
        <v>3618</v>
      </c>
      <c r="I326" s="6018">
        <f t="shared" si="46"/>
        <v>5980</v>
      </c>
      <c r="J326" s="6019">
        <f t="shared" si="47"/>
        <v>6728</v>
      </c>
      <c r="K326" s="1732"/>
      <c r="L326" s="6018">
        <v>16175</v>
      </c>
      <c r="W326" s="6018">
        <v>16150</v>
      </c>
      <c r="X326" s="6019">
        <v>16200</v>
      </c>
      <c r="Y326" s="6018">
        <v>804</v>
      </c>
      <c r="Z326" s="6018">
        <v>3618</v>
      </c>
      <c r="AA326" s="6018">
        <v>5980</v>
      </c>
      <c r="AB326" s="6019">
        <v>6728</v>
      </c>
      <c r="AC326" s="6018">
        <v>1502</v>
      </c>
      <c r="AD326" s="6018">
        <v>3618</v>
      </c>
      <c r="AE326" s="6018">
        <v>5980</v>
      </c>
      <c r="AF326" s="6019">
        <v>6728</v>
      </c>
    </row>
    <row r="327" spans="1:32" ht="13.5">
      <c r="A327" s="6018">
        <v>16200</v>
      </c>
      <c r="B327" s="6019">
        <v>16250</v>
      </c>
      <c r="C327" s="6020">
        <v>796</v>
      </c>
      <c r="D327" s="6018">
        <f t="shared" si="48"/>
        <v>3618</v>
      </c>
      <c r="E327" s="6018">
        <f t="shared" si="49"/>
        <v>5980</v>
      </c>
      <c r="F327" s="6019">
        <f t="shared" si="50"/>
        <v>6728</v>
      </c>
      <c r="G327" s="6020">
        <f t="shared" si="44"/>
        <v>1502</v>
      </c>
      <c r="H327" s="6018">
        <f t="shared" si="45"/>
        <v>3618</v>
      </c>
      <c r="I327" s="6018">
        <f t="shared" si="46"/>
        <v>5980</v>
      </c>
      <c r="J327" s="6019">
        <f t="shared" si="47"/>
        <v>6728</v>
      </c>
      <c r="K327" s="1732"/>
      <c r="L327" s="6018">
        <v>16225</v>
      </c>
      <c r="W327" s="6018">
        <v>16200</v>
      </c>
      <c r="X327" s="6019">
        <v>16250</v>
      </c>
      <c r="Y327" s="6018">
        <v>796</v>
      </c>
      <c r="Z327" s="6018">
        <v>3618</v>
      </c>
      <c r="AA327" s="6018">
        <v>5980</v>
      </c>
      <c r="AB327" s="6019">
        <v>6728</v>
      </c>
      <c r="AC327" s="6018">
        <v>1502</v>
      </c>
      <c r="AD327" s="6018">
        <v>3618</v>
      </c>
      <c r="AE327" s="6018">
        <v>5980</v>
      </c>
      <c r="AF327" s="6019">
        <v>6728</v>
      </c>
    </row>
    <row r="328" spans="1:32" ht="13.5">
      <c r="A328" s="6018">
        <v>16250</v>
      </c>
      <c r="B328" s="6019">
        <v>16300</v>
      </c>
      <c r="C328" s="6020">
        <v>789</v>
      </c>
      <c r="D328" s="6018">
        <f t="shared" si="48"/>
        <v>3618</v>
      </c>
      <c r="E328" s="6018">
        <f t="shared" si="49"/>
        <v>5980</v>
      </c>
      <c r="F328" s="6019">
        <f t="shared" si="50"/>
        <v>6728</v>
      </c>
      <c r="G328" s="6020">
        <f t="shared" si="44"/>
        <v>1502</v>
      </c>
      <c r="H328" s="6018">
        <f t="shared" si="45"/>
        <v>3618</v>
      </c>
      <c r="I328" s="6018">
        <f t="shared" si="46"/>
        <v>5980</v>
      </c>
      <c r="J328" s="6019">
        <f t="shared" si="47"/>
        <v>6728</v>
      </c>
      <c r="K328" s="1732"/>
      <c r="L328" s="6018">
        <v>16275</v>
      </c>
      <c r="W328" s="6018">
        <v>16250</v>
      </c>
      <c r="X328" s="6019">
        <v>16300</v>
      </c>
      <c r="Y328" s="6018">
        <v>789</v>
      </c>
      <c r="Z328" s="6018">
        <v>3618</v>
      </c>
      <c r="AA328" s="6018">
        <v>5980</v>
      </c>
      <c r="AB328" s="6019">
        <v>6728</v>
      </c>
      <c r="AC328" s="6018">
        <v>1502</v>
      </c>
      <c r="AD328" s="6018">
        <v>3618</v>
      </c>
      <c r="AE328" s="6018">
        <v>5980</v>
      </c>
      <c r="AF328" s="6019">
        <v>6728</v>
      </c>
    </row>
    <row r="329" spans="1:32" ht="13.5">
      <c r="A329" s="6018">
        <v>16300</v>
      </c>
      <c r="B329" s="6019">
        <v>16350</v>
      </c>
      <c r="C329" s="6020">
        <v>781</v>
      </c>
      <c r="D329" s="6018">
        <f t="shared" si="48"/>
        <v>3618</v>
      </c>
      <c r="E329" s="6018">
        <f t="shared" si="49"/>
        <v>5980</v>
      </c>
      <c r="F329" s="6019">
        <f t="shared" si="50"/>
        <v>6728</v>
      </c>
      <c r="G329" s="6020">
        <f t="shared" si="44"/>
        <v>1502</v>
      </c>
      <c r="H329" s="6018">
        <f t="shared" si="45"/>
        <v>3618</v>
      </c>
      <c r="I329" s="6018">
        <f t="shared" si="46"/>
        <v>5980</v>
      </c>
      <c r="J329" s="6019">
        <f t="shared" si="47"/>
        <v>6728</v>
      </c>
      <c r="K329" s="1732"/>
      <c r="L329" s="6018">
        <v>16325</v>
      </c>
      <c r="W329" s="6018">
        <v>16300</v>
      </c>
      <c r="X329" s="6019">
        <v>16350</v>
      </c>
      <c r="Y329" s="6018">
        <v>781</v>
      </c>
      <c r="Z329" s="6018">
        <v>3618</v>
      </c>
      <c r="AA329" s="6018">
        <v>5980</v>
      </c>
      <c r="AB329" s="6019">
        <v>6728</v>
      </c>
      <c r="AC329" s="6018">
        <v>1502</v>
      </c>
      <c r="AD329" s="6018">
        <v>3618</v>
      </c>
      <c r="AE329" s="6018">
        <v>5980</v>
      </c>
      <c r="AF329" s="6019">
        <v>6728</v>
      </c>
    </row>
    <row r="330" spans="1:32" ht="13.5">
      <c r="A330" s="6018">
        <v>16350</v>
      </c>
      <c r="B330" s="6019">
        <v>16400</v>
      </c>
      <c r="C330" s="6020">
        <v>773</v>
      </c>
      <c r="D330" s="6018">
        <f t="shared" si="48"/>
        <v>3618</v>
      </c>
      <c r="E330" s="6018">
        <f t="shared" si="49"/>
        <v>5980</v>
      </c>
      <c r="F330" s="6019">
        <f t="shared" si="50"/>
        <v>6728</v>
      </c>
      <c r="G330" s="6020">
        <f t="shared" si="44"/>
        <v>1502</v>
      </c>
      <c r="H330" s="6018">
        <f t="shared" si="45"/>
        <v>3618</v>
      </c>
      <c r="I330" s="6018">
        <f t="shared" si="46"/>
        <v>5980</v>
      </c>
      <c r="J330" s="6019">
        <f t="shared" si="47"/>
        <v>6728</v>
      </c>
      <c r="K330" s="1732"/>
      <c r="L330" s="6018">
        <v>16375</v>
      </c>
      <c r="W330" s="6018">
        <v>16350</v>
      </c>
      <c r="X330" s="6019">
        <v>16400</v>
      </c>
      <c r="Y330" s="6018">
        <v>773</v>
      </c>
      <c r="Z330" s="6018">
        <v>3618</v>
      </c>
      <c r="AA330" s="6018">
        <v>5980</v>
      </c>
      <c r="AB330" s="6019">
        <v>6728</v>
      </c>
      <c r="AC330" s="6018">
        <v>1502</v>
      </c>
      <c r="AD330" s="6018">
        <v>3618</v>
      </c>
      <c r="AE330" s="6018">
        <v>5980</v>
      </c>
      <c r="AF330" s="6019">
        <v>6728</v>
      </c>
    </row>
    <row r="331" spans="1:32" ht="13.5">
      <c r="A331" s="6018">
        <v>16400</v>
      </c>
      <c r="B331" s="6019">
        <v>16450</v>
      </c>
      <c r="C331" s="6020">
        <v>766</v>
      </c>
      <c r="D331" s="6018">
        <f t="shared" si="48"/>
        <v>3618</v>
      </c>
      <c r="E331" s="6018">
        <f t="shared" si="49"/>
        <v>5980</v>
      </c>
      <c r="F331" s="6019">
        <f t="shared" si="50"/>
        <v>6728</v>
      </c>
      <c r="G331" s="6020">
        <f t="shared" si="44"/>
        <v>1502</v>
      </c>
      <c r="H331" s="6018">
        <f t="shared" si="45"/>
        <v>3618</v>
      </c>
      <c r="I331" s="6018">
        <f t="shared" si="46"/>
        <v>5980</v>
      </c>
      <c r="J331" s="6019">
        <f t="shared" si="47"/>
        <v>6728</v>
      </c>
      <c r="K331" s="1732"/>
      <c r="L331" s="6018">
        <v>16425</v>
      </c>
      <c r="W331" s="6018">
        <v>16400</v>
      </c>
      <c r="X331" s="6019">
        <v>16450</v>
      </c>
      <c r="Y331" s="6018">
        <v>766</v>
      </c>
      <c r="Z331" s="6018">
        <v>3618</v>
      </c>
      <c r="AA331" s="6018">
        <v>5980</v>
      </c>
      <c r="AB331" s="6019">
        <v>6728</v>
      </c>
      <c r="AC331" s="6018">
        <v>1502</v>
      </c>
      <c r="AD331" s="6018">
        <v>3618</v>
      </c>
      <c r="AE331" s="6018">
        <v>5980</v>
      </c>
      <c r="AF331" s="6019">
        <v>6728</v>
      </c>
    </row>
    <row r="332" spans="1:32" ht="13.5">
      <c r="A332" s="6018">
        <v>16450</v>
      </c>
      <c r="B332" s="6019">
        <v>16500</v>
      </c>
      <c r="C332" s="6020">
        <v>758</v>
      </c>
      <c r="D332" s="6018">
        <f t="shared" si="48"/>
        <v>3618</v>
      </c>
      <c r="E332" s="6018">
        <f t="shared" si="49"/>
        <v>5980</v>
      </c>
      <c r="F332" s="6019">
        <f t="shared" si="50"/>
        <v>6728</v>
      </c>
      <c r="G332" s="6020">
        <f t="shared" si="44"/>
        <v>1502</v>
      </c>
      <c r="H332" s="6018">
        <f t="shared" si="45"/>
        <v>3618</v>
      </c>
      <c r="I332" s="6018">
        <f t="shared" si="46"/>
        <v>5980</v>
      </c>
      <c r="J332" s="6019">
        <f t="shared" si="47"/>
        <v>6728</v>
      </c>
      <c r="K332" s="1732"/>
      <c r="L332" s="6018">
        <v>16475</v>
      </c>
      <c r="W332" s="6018">
        <v>16450</v>
      </c>
      <c r="X332" s="6019">
        <v>16500</v>
      </c>
      <c r="Y332" s="6018">
        <v>758</v>
      </c>
      <c r="Z332" s="6018">
        <v>3618</v>
      </c>
      <c r="AA332" s="6018">
        <v>5980</v>
      </c>
      <c r="AB332" s="6019">
        <v>6728</v>
      </c>
      <c r="AC332" s="6018">
        <v>1502</v>
      </c>
      <c r="AD332" s="6018">
        <v>3618</v>
      </c>
      <c r="AE332" s="6018">
        <v>5980</v>
      </c>
      <c r="AF332" s="6019">
        <v>6728</v>
      </c>
    </row>
    <row r="333" spans="1:32" ht="13.5">
      <c r="A333" s="6018">
        <v>16500</v>
      </c>
      <c r="B333" s="6019">
        <v>16550</v>
      </c>
      <c r="C333" s="6020">
        <v>750</v>
      </c>
      <c r="D333" s="6018">
        <f t="shared" si="48"/>
        <v>3618</v>
      </c>
      <c r="E333" s="6018">
        <f t="shared" si="49"/>
        <v>5980</v>
      </c>
      <c r="F333" s="6019">
        <f t="shared" si="50"/>
        <v>6728</v>
      </c>
      <c r="G333" s="6020">
        <f t="shared" si="44"/>
        <v>1502</v>
      </c>
      <c r="H333" s="6018">
        <f t="shared" si="45"/>
        <v>3618</v>
      </c>
      <c r="I333" s="6018">
        <f t="shared" si="46"/>
        <v>5980</v>
      </c>
      <c r="J333" s="6019">
        <f t="shared" si="47"/>
        <v>6728</v>
      </c>
      <c r="K333" s="1732"/>
      <c r="L333" s="6018">
        <v>16525</v>
      </c>
      <c r="W333" s="6018">
        <v>16500</v>
      </c>
      <c r="X333" s="6019">
        <v>16550</v>
      </c>
      <c r="Y333" s="6018">
        <v>750</v>
      </c>
      <c r="Z333" s="6018">
        <v>3618</v>
      </c>
      <c r="AA333" s="6018">
        <v>5980</v>
      </c>
      <c r="AB333" s="6019">
        <v>6728</v>
      </c>
      <c r="AC333" s="6018">
        <v>1502</v>
      </c>
      <c r="AD333" s="6018">
        <v>3618</v>
      </c>
      <c r="AE333" s="6018">
        <v>5980</v>
      </c>
      <c r="AF333" s="6019">
        <v>6728</v>
      </c>
    </row>
    <row r="334" spans="1:32" ht="13.5">
      <c r="A334" s="6018">
        <v>16550</v>
      </c>
      <c r="B334" s="6019">
        <v>16600</v>
      </c>
      <c r="C334" s="6020">
        <v>743</v>
      </c>
      <c r="D334" s="6018">
        <f t="shared" si="48"/>
        <v>3618</v>
      </c>
      <c r="E334" s="6018">
        <f t="shared" si="49"/>
        <v>5980</v>
      </c>
      <c r="F334" s="6019">
        <f t="shared" si="50"/>
        <v>6728</v>
      </c>
      <c r="G334" s="6020">
        <f t="shared" si="44"/>
        <v>1502</v>
      </c>
      <c r="H334" s="6018">
        <f t="shared" si="45"/>
        <v>3618</v>
      </c>
      <c r="I334" s="6018">
        <f t="shared" si="46"/>
        <v>5980</v>
      </c>
      <c r="J334" s="6019">
        <f t="shared" si="47"/>
        <v>6728</v>
      </c>
      <c r="K334" s="1732"/>
      <c r="L334" s="6018">
        <v>16575</v>
      </c>
      <c r="W334" s="6018">
        <v>16550</v>
      </c>
      <c r="X334" s="6019">
        <v>16600</v>
      </c>
      <c r="Y334" s="6018">
        <v>743</v>
      </c>
      <c r="Z334" s="6018">
        <v>3618</v>
      </c>
      <c r="AA334" s="6018">
        <v>5980</v>
      </c>
      <c r="AB334" s="6019">
        <v>6728</v>
      </c>
      <c r="AC334" s="6018">
        <v>1502</v>
      </c>
      <c r="AD334" s="6018">
        <v>3618</v>
      </c>
      <c r="AE334" s="6018">
        <v>5980</v>
      </c>
      <c r="AF334" s="6019">
        <v>6728</v>
      </c>
    </row>
    <row r="335" spans="1:32" ht="13.5">
      <c r="A335" s="6018">
        <v>16600</v>
      </c>
      <c r="B335" s="6019">
        <v>16650</v>
      </c>
      <c r="C335" s="6020">
        <v>735</v>
      </c>
      <c r="D335" s="6018">
        <f t="shared" si="48"/>
        <v>3618</v>
      </c>
      <c r="E335" s="6018">
        <f t="shared" si="49"/>
        <v>5980</v>
      </c>
      <c r="F335" s="6019">
        <f t="shared" si="50"/>
        <v>6728</v>
      </c>
      <c r="G335" s="6020">
        <f t="shared" si="44"/>
        <v>1502</v>
      </c>
      <c r="H335" s="6018">
        <f t="shared" si="45"/>
        <v>3618</v>
      </c>
      <c r="I335" s="6018">
        <f t="shared" si="46"/>
        <v>5980</v>
      </c>
      <c r="J335" s="6019">
        <f t="shared" si="47"/>
        <v>6728</v>
      </c>
      <c r="K335" s="1732"/>
      <c r="L335" s="6018">
        <v>16625</v>
      </c>
      <c r="W335" s="6018">
        <v>16600</v>
      </c>
      <c r="X335" s="6019">
        <v>16650</v>
      </c>
      <c r="Y335" s="6018">
        <v>735</v>
      </c>
      <c r="Z335" s="6018">
        <v>3618</v>
      </c>
      <c r="AA335" s="6018">
        <v>5980</v>
      </c>
      <c r="AB335" s="6019">
        <v>6728</v>
      </c>
      <c r="AC335" s="6018">
        <v>1502</v>
      </c>
      <c r="AD335" s="6018">
        <v>3618</v>
      </c>
      <c r="AE335" s="6018">
        <v>5980</v>
      </c>
      <c r="AF335" s="6019">
        <v>6728</v>
      </c>
    </row>
    <row r="336" spans="1:32" ht="13.5">
      <c r="A336" s="6018">
        <v>16650</v>
      </c>
      <c r="B336" s="6019">
        <v>16700</v>
      </c>
      <c r="C336" s="6020">
        <v>728</v>
      </c>
      <c r="D336" s="6018">
        <f t="shared" si="48"/>
        <v>3618</v>
      </c>
      <c r="E336" s="6018">
        <f t="shared" si="49"/>
        <v>5980</v>
      </c>
      <c r="F336" s="6019">
        <f t="shared" si="50"/>
        <v>6728</v>
      </c>
      <c r="G336" s="6020">
        <f t="shared" si="44"/>
        <v>1502</v>
      </c>
      <c r="H336" s="6018">
        <f t="shared" si="45"/>
        <v>3618</v>
      </c>
      <c r="I336" s="6018">
        <f t="shared" si="46"/>
        <v>5980</v>
      </c>
      <c r="J336" s="6019">
        <f t="shared" si="47"/>
        <v>6728</v>
      </c>
      <c r="K336" s="1732"/>
      <c r="L336" s="6018">
        <v>16675</v>
      </c>
      <c r="W336" s="6018">
        <v>16650</v>
      </c>
      <c r="X336" s="6019">
        <v>16700</v>
      </c>
      <c r="Y336" s="6018">
        <v>728</v>
      </c>
      <c r="Z336" s="6018">
        <v>3618</v>
      </c>
      <c r="AA336" s="6018">
        <v>5980</v>
      </c>
      <c r="AB336" s="6019">
        <v>6728</v>
      </c>
      <c r="AC336" s="6018">
        <v>1502</v>
      </c>
      <c r="AD336" s="6018">
        <v>3618</v>
      </c>
      <c r="AE336" s="6018">
        <v>5980</v>
      </c>
      <c r="AF336" s="6019">
        <v>6728</v>
      </c>
    </row>
    <row r="337" spans="1:32" ht="13.5">
      <c r="A337" s="6018">
        <v>16700</v>
      </c>
      <c r="B337" s="6019">
        <v>16750</v>
      </c>
      <c r="C337" s="6020">
        <v>720</v>
      </c>
      <c r="D337" s="6018">
        <f t="shared" si="48"/>
        <v>3618</v>
      </c>
      <c r="E337" s="6018">
        <f t="shared" si="49"/>
        <v>5980</v>
      </c>
      <c r="F337" s="6019">
        <f t="shared" si="50"/>
        <v>6728</v>
      </c>
      <c r="G337" s="6020">
        <f t="shared" si="44"/>
        <v>1502</v>
      </c>
      <c r="H337" s="6018">
        <f t="shared" si="45"/>
        <v>3618</v>
      </c>
      <c r="I337" s="6018">
        <f t="shared" si="46"/>
        <v>5980</v>
      </c>
      <c r="J337" s="6019">
        <f t="shared" si="47"/>
        <v>6728</v>
      </c>
      <c r="K337" s="1732"/>
      <c r="L337" s="6018">
        <v>16725</v>
      </c>
      <c r="W337" s="6018">
        <v>16700</v>
      </c>
      <c r="X337" s="6019">
        <v>16750</v>
      </c>
      <c r="Y337" s="6018">
        <v>720</v>
      </c>
      <c r="Z337" s="6018">
        <v>3618</v>
      </c>
      <c r="AA337" s="6018">
        <v>5980</v>
      </c>
      <c r="AB337" s="6019">
        <v>6728</v>
      </c>
      <c r="AC337" s="6018">
        <v>1502</v>
      </c>
      <c r="AD337" s="6018">
        <v>3618</v>
      </c>
      <c r="AE337" s="6018">
        <v>5980</v>
      </c>
      <c r="AF337" s="6019">
        <v>6728</v>
      </c>
    </row>
    <row r="338" spans="1:32" ht="13.5">
      <c r="A338" s="6018">
        <v>16750</v>
      </c>
      <c r="B338" s="6019">
        <v>16800</v>
      </c>
      <c r="C338" s="6020">
        <v>712</v>
      </c>
      <c r="D338" s="6018">
        <f t="shared" si="48"/>
        <v>3618</v>
      </c>
      <c r="E338" s="6018">
        <f t="shared" si="49"/>
        <v>5980</v>
      </c>
      <c r="F338" s="6019">
        <f t="shared" si="50"/>
        <v>6728</v>
      </c>
      <c r="G338" s="6020">
        <f t="shared" si="44"/>
        <v>1502</v>
      </c>
      <c r="H338" s="6018">
        <f t="shared" si="45"/>
        <v>3618</v>
      </c>
      <c r="I338" s="6018">
        <f t="shared" si="46"/>
        <v>5980</v>
      </c>
      <c r="J338" s="6019">
        <f t="shared" si="47"/>
        <v>6728</v>
      </c>
      <c r="K338" s="1732"/>
      <c r="L338" s="6018">
        <v>16775</v>
      </c>
      <c r="W338" s="6018">
        <v>16750</v>
      </c>
      <c r="X338" s="6019">
        <v>16800</v>
      </c>
      <c r="Y338" s="6018">
        <v>712</v>
      </c>
      <c r="Z338" s="6018">
        <v>3618</v>
      </c>
      <c r="AA338" s="6018">
        <v>5980</v>
      </c>
      <c r="AB338" s="6019">
        <v>6728</v>
      </c>
      <c r="AC338" s="6018">
        <v>1502</v>
      </c>
      <c r="AD338" s="6018">
        <v>3618</v>
      </c>
      <c r="AE338" s="6018">
        <v>5980</v>
      </c>
      <c r="AF338" s="6019">
        <v>6728</v>
      </c>
    </row>
    <row r="339" spans="1:32" ht="13.5">
      <c r="A339" s="6018">
        <v>16800</v>
      </c>
      <c r="B339" s="6019">
        <v>16850</v>
      </c>
      <c r="C339" s="6020">
        <v>705</v>
      </c>
      <c r="D339" s="6018">
        <f t="shared" si="48"/>
        <v>3618</v>
      </c>
      <c r="E339" s="6018">
        <f t="shared" si="49"/>
        <v>5980</v>
      </c>
      <c r="F339" s="6019">
        <f t="shared" si="50"/>
        <v>6728</v>
      </c>
      <c r="G339" s="6020">
        <f t="shared" si="44"/>
        <v>1502</v>
      </c>
      <c r="H339" s="6018">
        <f t="shared" si="45"/>
        <v>3618</v>
      </c>
      <c r="I339" s="6018">
        <f t="shared" si="46"/>
        <v>5980</v>
      </c>
      <c r="J339" s="6019">
        <f t="shared" si="47"/>
        <v>6728</v>
      </c>
      <c r="K339" s="1732"/>
      <c r="L339" s="6018">
        <v>16825</v>
      </c>
      <c r="W339" s="6018">
        <v>16800</v>
      </c>
      <c r="X339" s="6019">
        <v>16850</v>
      </c>
      <c r="Y339" s="6018">
        <v>705</v>
      </c>
      <c r="Z339" s="6018">
        <v>3618</v>
      </c>
      <c r="AA339" s="6018">
        <v>5980</v>
      </c>
      <c r="AB339" s="6019">
        <v>6728</v>
      </c>
      <c r="AC339" s="6018">
        <v>1502</v>
      </c>
      <c r="AD339" s="6018">
        <v>3618</v>
      </c>
      <c r="AE339" s="6018">
        <v>5980</v>
      </c>
      <c r="AF339" s="6019">
        <v>6728</v>
      </c>
    </row>
    <row r="340" spans="1:32" ht="13.5">
      <c r="A340" s="6018">
        <v>16850</v>
      </c>
      <c r="B340" s="6019">
        <v>16900</v>
      </c>
      <c r="C340" s="6020">
        <v>697</v>
      </c>
      <c r="D340" s="6018">
        <f t="shared" si="48"/>
        <v>3618</v>
      </c>
      <c r="E340" s="6018">
        <f t="shared" si="49"/>
        <v>5980</v>
      </c>
      <c r="F340" s="6019">
        <f t="shared" si="50"/>
        <v>6728</v>
      </c>
      <c r="G340" s="6020">
        <f t="shared" si="44"/>
        <v>1502</v>
      </c>
      <c r="H340" s="6018">
        <f t="shared" si="45"/>
        <v>3618</v>
      </c>
      <c r="I340" s="6018">
        <f t="shared" si="46"/>
        <v>5980</v>
      </c>
      <c r="J340" s="6019">
        <f t="shared" si="47"/>
        <v>6728</v>
      </c>
      <c r="K340" s="1732"/>
      <c r="L340" s="6018">
        <v>16875</v>
      </c>
      <c r="W340" s="6018">
        <v>16850</v>
      </c>
      <c r="X340" s="6019">
        <v>16900</v>
      </c>
      <c r="Y340" s="6018">
        <v>697</v>
      </c>
      <c r="Z340" s="6018">
        <v>3618</v>
      </c>
      <c r="AA340" s="6018">
        <v>5980</v>
      </c>
      <c r="AB340" s="6019">
        <v>6728</v>
      </c>
      <c r="AC340" s="6018">
        <v>1502</v>
      </c>
      <c r="AD340" s="6018">
        <v>3618</v>
      </c>
      <c r="AE340" s="6018">
        <v>5980</v>
      </c>
      <c r="AF340" s="6019">
        <v>6728</v>
      </c>
    </row>
    <row r="341" spans="1:32" ht="13.5">
      <c r="A341" s="6018">
        <v>16900</v>
      </c>
      <c r="B341" s="6019">
        <v>16950</v>
      </c>
      <c r="C341" s="6020">
        <v>689</v>
      </c>
      <c r="D341" s="6018">
        <f t="shared" si="48"/>
        <v>3618</v>
      </c>
      <c r="E341" s="6018">
        <f t="shared" si="49"/>
        <v>5980</v>
      </c>
      <c r="F341" s="6019">
        <f t="shared" si="50"/>
        <v>6728</v>
      </c>
      <c r="G341" s="6020">
        <f t="shared" si="44"/>
        <v>1502</v>
      </c>
      <c r="H341" s="6018">
        <f t="shared" si="45"/>
        <v>3618</v>
      </c>
      <c r="I341" s="6018">
        <f t="shared" si="46"/>
        <v>5980</v>
      </c>
      <c r="J341" s="6019">
        <f t="shared" si="47"/>
        <v>6728</v>
      </c>
      <c r="K341" s="1732"/>
      <c r="L341" s="6018">
        <v>16925</v>
      </c>
      <c r="W341" s="6018">
        <v>16900</v>
      </c>
      <c r="X341" s="6019">
        <v>16950</v>
      </c>
      <c r="Y341" s="6018">
        <v>689</v>
      </c>
      <c r="Z341" s="6018">
        <v>3618</v>
      </c>
      <c r="AA341" s="6018">
        <v>5980</v>
      </c>
      <c r="AB341" s="6019">
        <v>6728</v>
      </c>
      <c r="AC341" s="6018">
        <v>1502</v>
      </c>
      <c r="AD341" s="6018">
        <v>3618</v>
      </c>
      <c r="AE341" s="6018">
        <v>5980</v>
      </c>
      <c r="AF341" s="6019">
        <v>6728</v>
      </c>
    </row>
    <row r="342" spans="1:32" ht="13.5">
      <c r="A342" s="6018">
        <v>16950</v>
      </c>
      <c r="B342" s="6019">
        <v>17000</v>
      </c>
      <c r="C342" s="6020">
        <v>682</v>
      </c>
      <c r="D342" s="6018">
        <f t="shared" si="48"/>
        <v>3618</v>
      </c>
      <c r="E342" s="6018">
        <f t="shared" si="49"/>
        <v>5980</v>
      </c>
      <c r="F342" s="6019">
        <f t="shared" si="50"/>
        <v>6728</v>
      </c>
      <c r="G342" s="6020">
        <f t="shared" si="44"/>
        <v>1502</v>
      </c>
      <c r="H342" s="6018">
        <f t="shared" si="45"/>
        <v>3618</v>
      </c>
      <c r="I342" s="6018">
        <f t="shared" si="46"/>
        <v>5980</v>
      </c>
      <c r="J342" s="6019">
        <f t="shared" si="47"/>
        <v>6728</v>
      </c>
      <c r="K342" s="1732"/>
      <c r="L342" s="6018">
        <v>16975</v>
      </c>
      <c r="W342" s="6018">
        <v>16950</v>
      </c>
      <c r="X342" s="6019">
        <v>17000</v>
      </c>
      <c r="Y342" s="6018">
        <v>682</v>
      </c>
      <c r="Z342" s="6018">
        <v>3618</v>
      </c>
      <c r="AA342" s="6018">
        <v>5980</v>
      </c>
      <c r="AB342" s="6019">
        <v>6728</v>
      </c>
      <c r="AC342" s="6018">
        <v>1502</v>
      </c>
      <c r="AD342" s="6018">
        <v>3618</v>
      </c>
      <c r="AE342" s="6018">
        <v>5980</v>
      </c>
      <c r="AF342" s="6019">
        <v>6728</v>
      </c>
    </row>
    <row r="343" spans="1:32" ht="13.5">
      <c r="A343" s="6018">
        <v>17000</v>
      </c>
      <c r="B343" s="6019">
        <v>17050</v>
      </c>
      <c r="C343" s="6020">
        <v>674</v>
      </c>
      <c r="D343" s="6018">
        <f t="shared" si="48"/>
        <v>3618</v>
      </c>
      <c r="E343" s="6018">
        <f t="shared" si="49"/>
        <v>5980</v>
      </c>
      <c r="F343" s="6019">
        <f t="shared" si="50"/>
        <v>6728</v>
      </c>
      <c r="G343" s="6020">
        <f t="shared" si="44"/>
        <v>1502</v>
      </c>
      <c r="H343" s="6018">
        <f t="shared" si="45"/>
        <v>3618</v>
      </c>
      <c r="I343" s="6018">
        <f t="shared" si="46"/>
        <v>5980</v>
      </c>
      <c r="J343" s="6019">
        <f t="shared" si="47"/>
        <v>6728</v>
      </c>
      <c r="K343" s="1732"/>
      <c r="L343" s="6018">
        <v>17025</v>
      </c>
      <c r="W343" s="6018">
        <v>17000</v>
      </c>
      <c r="X343" s="6019">
        <v>17050</v>
      </c>
      <c r="Y343" s="6018">
        <v>674</v>
      </c>
      <c r="Z343" s="6018">
        <v>3618</v>
      </c>
      <c r="AA343" s="6018">
        <v>5980</v>
      </c>
      <c r="AB343" s="6019">
        <v>6728</v>
      </c>
      <c r="AC343" s="6018">
        <v>1502</v>
      </c>
      <c r="AD343" s="6018">
        <v>3618</v>
      </c>
      <c r="AE343" s="6018">
        <v>5980</v>
      </c>
      <c r="AF343" s="6019">
        <v>6728</v>
      </c>
    </row>
    <row r="344" spans="1:32" ht="13.5">
      <c r="A344" s="6018">
        <v>17050</v>
      </c>
      <c r="B344" s="6019">
        <v>17100</v>
      </c>
      <c r="C344" s="6020">
        <v>666</v>
      </c>
      <c r="D344" s="6018">
        <f t="shared" si="48"/>
        <v>3618</v>
      </c>
      <c r="E344" s="6018">
        <f t="shared" si="49"/>
        <v>5980</v>
      </c>
      <c r="F344" s="6019">
        <f t="shared" si="50"/>
        <v>6728</v>
      </c>
      <c r="G344" s="6020">
        <f t="shared" si="44"/>
        <v>1502</v>
      </c>
      <c r="H344" s="6018">
        <f t="shared" si="45"/>
        <v>3618</v>
      </c>
      <c r="I344" s="6018">
        <f t="shared" si="46"/>
        <v>5980</v>
      </c>
      <c r="J344" s="6019">
        <f t="shared" si="47"/>
        <v>6728</v>
      </c>
      <c r="K344" s="1732"/>
      <c r="L344" s="6018">
        <v>17075</v>
      </c>
      <c r="W344" s="6018">
        <v>17050</v>
      </c>
      <c r="X344" s="6019">
        <v>17100</v>
      </c>
      <c r="Y344" s="6018">
        <v>666</v>
      </c>
      <c r="Z344" s="6018">
        <v>3618</v>
      </c>
      <c r="AA344" s="6018">
        <v>5980</v>
      </c>
      <c r="AB344" s="6019">
        <v>6728</v>
      </c>
      <c r="AC344" s="6018">
        <v>1502</v>
      </c>
      <c r="AD344" s="6018">
        <v>3618</v>
      </c>
      <c r="AE344" s="6018">
        <v>5980</v>
      </c>
      <c r="AF344" s="6019">
        <v>6728</v>
      </c>
    </row>
    <row r="345" spans="1:32" ht="13.5">
      <c r="A345" s="6018">
        <v>17100</v>
      </c>
      <c r="B345" s="6019">
        <v>17150</v>
      </c>
      <c r="C345" s="6020">
        <v>659</v>
      </c>
      <c r="D345" s="6018">
        <f t="shared" si="48"/>
        <v>3618</v>
      </c>
      <c r="E345" s="6018">
        <f t="shared" si="49"/>
        <v>5980</v>
      </c>
      <c r="F345" s="6019">
        <f t="shared" si="50"/>
        <v>6728</v>
      </c>
      <c r="G345" s="6020">
        <f t="shared" si="44"/>
        <v>1502</v>
      </c>
      <c r="H345" s="6018">
        <f t="shared" si="45"/>
        <v>3618</v>
      </c>
      <c r="I345" s="6018">
        <f t="shared" si="46"/>
        <v>5980</v>
      </c>
      <c r="J345" s="6019">
        <f t="shared" si="47"/>
        <v>6728</v>
      </c>
      <c r="K345" s="1732"/>
      <c r="L345" s="6018">
        <v>17125</v>
      </c>
      <c r="W345" s="6018">
        <v>17100</v>
      </c>
      <c r="X345" s="6019">
        <v>17150</v>
      </c>
      <c r="Y345" s="6018">
        <v>659</v>
      </c>
      <c r="Z345" s="6018">
        <v>3618</v>
      </c>
      <c r="AA345" s="6018">
        <v>5980</v>
      </c>
      <c r="AB345" s="6019">
        <v>6728</v>
      </c>
      <c r="AC345" s="6018">
        <v>1502</v>
      </c>
      <c r="AD345" s="6018">
        <v>3618</v>
      </c>
      <c r="AE345" s="6018">
        <v>5980</v>
      </c>
      <c r="AF345" s="6019">
        <v>6728</v>
      </c>
    </row>
    <row r="346" spans="1:32" ht="13.5">
      <c r="A346" s="6018">
        <v>17150</v>
      </c>
      <c r="B346" s="6019">
        <v>17200</v>
      </c>
      <c r="C346" s="6020">
        <v>651</v>
      </c>
      <c r="D346" s="6018">
        <f t="shared" si="48"/>
        <v>3618</v>
      </c>
      <c r="E346" s="6018">
        <f t="shared" si="49"/>
        <v>5980</v>
      </c>
      <c r="F346" s="6019">
        <f t="shared" si="50"/>
        <v>6728</v>
      </c>
      <c r="G346" s="6020">
        <f t="shared" si="44"/>
        <v>1502</v>
      </c>
      <c r="H346" s="6018">
        <f t="shared" si="45"/>
        <v>3618</v>
      </c>
      <c r="I346" s="6018">
        <f t="shared" si="46"/>
        <v>5980</v>
      </c>
      <c r="J346" s="6019">
        <f t="shared" si="47"/>
        <v>6728</v>
      </c>
      <c r="K346" s="1732"/>
      <c r="L346" s="6018">
        <v>17175</v>
      </c>
      <c r="W346" s="6018">
        <v>17150</v>
      </c>
      <c r="X346" s="6019">
        <v>17200</v>
      </c>
      <c r="Y346" s="6018">
        <v>651</v>
      </c>
      <c r="Z346" s="6018">
        <v>3618</v>
      </c>
      <c r="AA346" s="6018">
        <v>5980</v>
      </c>
      <c r="AB346" s="6019">
        <v>6728</v>
      </c>
      <c r="AC346" s="6018">
        <v>1502</v>
      </c>
      <c r="AD346" s="6018">
        <v>3618</v>
      </c>
      <c r="AE346" s="6018">
        <v>5980</v>
      </c>
      <c r="AF346" s="6019">
        <v>6728</v>
      </c>
    </row>
    <row r="347" spans="1:32" ht="13.5">
      <c r="A347" s="6018">
        <v>17200</v>
      </c>
      <c r="B347" s="6019">
        <v>17250</v>
      </c>
      <c r="C347" s="6020">
        <v>643</v>
      </c>
      <c r="D347" s="6018">
        <f t="shared" si="48"/>
        <v>3618</v>
      </c>
      <c r="E347" s="6018">
        <f t="shared" si="49"/>
        <v>5980</v>
      </c>
      <c r="F347" s="6019">
        <f t="shared" si="50"/>
        <v>6728</v>
      </c>
      <c r="G347" s="6020">
        <f t="shared" si="44"/>
        <v>1502</v>
      </c>
      <c r="H347" s="6018">
        <f t="shared" si="45"/>
        <v>3618</v>
      </c>
      <c r="I347" s="6018">
        <f t="shared" si="46"/>
        <v>5980</v>
      </c>
      <c r="J347" s="6019">
        <f t="shared" si="47"/>
        <v>6728</v>
      </c>
      <c r="K347" s="1732"/>
      <c r="L347" s="6018">
        <v>17225</v>
      </c>
      <c r="W347" s="6018">
        <v>17200</v>
      </c>
      <c r="X347" s="6019">
        <v>17250</v>
      </c>
      <c r="Y347" s="6018">
        <v>643</v>
      </c>
      <c r="Z347" s="6018">
        <v>3618</v>
      </c>
      <c r="AA347" s="6018">
        <v>5980</v>
      </c>
      <c r="AB347" s="6019">
        <v>6728</v>
      </c>
      <c r="AC347" s="6018">
        <v>1502</v>
      </c>
      <c r="AD347" s="6018">
        <v>3618</v>
      </c>
      <c r="AE347" s="6018">
        <v>5980</v>
      </c>
      <c r="AF347" s="6019">
        <v>6728</v>
      </c>
    </row>
    <row r="348" spans="1:32" ht="13.5">
      <c r="A348" s="6018">
        <v>17250</v>
      </c>
      <c r="B348" s="6019">
        <v>17300</v>
      </c>
      <c r="C348" s="6020">
        <v>636</v>
      </c>
      <c r="D348" s="6018">
        <f t="shared" si="48"/>
        <v>3618</v>
      </c>
      <c r="E348" s="6018">
        <f t="shared" si="49"/>
        <v>5980</v>
      </c>
      <c r="F348" s="6019">
        <f t="shared" si="50"/>
        <v>6728</v>
      </c>
      <c r="G348" s="6020">
        <f t="shared" si="44"/>
        <v>1502</v>
      </c>
      <c r="H348" s="6018">
        <f t="shared" si="45"/>
        <v>3618</v>
      </c>
      <c r="I348" s="6018">
        <f t="shared" si="46"/>
        <v>5980</v>
      </c>
      <c r="J348" s="6019">
        <f t="shared" si="47"/>
        <v>6728</v>
      </c>
      <c r="K348" s="1732"/>
      <c r="L348" s="6018">
        <v>17275</v>
      </c>
      <c r="W348" s="6018">
        <v>17250</v>
      </c>
      <c r="X348" s="6019">
        <v>17300</v>
      </c>
      <c r="Y348" s="6018">
        <v>636</v>
      </c>
      <c r="Z348" s="6018">
        <v>3618</v>
      </c>
      <c r="AA348" s="6018">
        <v>5980</v>
      </c>
      <c r="AB348" s="6019">
        <v>6728</v>
      </c>
      <c r="AC348" s="6018">
        <v>1502</v>
      </c>
      <c r="AD348" s="6018">
        <v>3618</v>
      </c>
      <c r="AE348" s="6018">
        <v>5980</v>
      </c>
      <c r="AF348" s="6019">
        <v>6728</v>
      </c>
    </row>
    <row r="349" spans="1:32" ht="13.5">
      <c r="A349" s="6018">
        <v>17300</v>
      </c>
      <c r="B349" s="6019">
        <v>17350</v>
      </c>
      <c r="C349" s="6020">
        <v>628</v>
      </c>
      <c r="D349" s="6018">
        <f t="shared" si="48"/>
        <v>3618</v>
      </c>
      <c r="E349" s="6018">
        <f t="shared" si="49"/>
        <v>5980</v>
      </c>
      <c r="F349" s="6019">
        <f t="shared" si="50"/>
        <v>6728</v>
      </c>
      <c r="G349" s="6020">
        <f t="shared" si="44"/>
        <v>1502</v>
      </c>
      <c r="H349" s="6018">
        <f t="shared" si="45"/>
        <v>3618</v>
      </c>
      <c r="I349" s="6018">
        <f t="shared" si="46"/>
        <v>5980</v>
      </c>
      <c r="J349" s="6019">
        <f t="shared" si="47"/>
        <v>6728</v>
      </c>
      <c r="K349" s="1732"/>
      <c r="L349" s="6018">
        <v>17325</v>
      </c>
      <c r="W349" s="6018">
        <v>17300</v>
      </c>
      <c r="X349" s="6019">
        <v>17350</v>
      </c>
      <c r="Y349" s="6018">
        <v>628</v>
      </c>
      <c r="Z349" s="6018">
        <v>3618</v>
      </c>
      <c r="AA349" s="6018">
        <v>5980</v>
      </c>
      <c r="AB349" s="6019">
        <v>6728</v>
      </c>
      <c r="AC349" s="6018">
        <v>1502</v>
      </c>
      <c r="AD349" s="6018">
        <v>3618</v>
      </c>
      <c r="AE349" s="6018">
        <v>5980</v>
      </c>
      <c r="AF349" s="6019">
        <v>6728</v>
      </c>
    </row>
    <row r="350" spans="1:32" ht="13.5">
      <c r="A350" s="6018">
        <v>17350</v>
      </c>
      <c r="B350" s="6019">
        <v>17400</v>
      </c>
      <c r="C350" s="6020">
        <v>620</v>
      </c>
      <c r="D350" s="6018">
        <f t="shared" si="48"/>
        <v>3618</v>
      </c>
      <c r="E350" s="6018">
        <f t="shared" si="49"/>
        <v>5980</v>
      </c>
      <c r="F350" s="6019">
        <f t="shared" si="50"/>
        <v>6728</v>
      </c>
      <c r="G350" s="6020">
        <f t="shared" si="44"/>
        <v>1502</v>
      </c>
      <c r="H350" s="6018">
        <f t="shared" si="45"/>
        <v>3618</v>
      </c>
      <c r="I350" s="6018">
        <f t="shared" si="46"/>
        <v>5980</v>
      </c>
      <c r="J350" s="6019">
        <f t="shared" si="47"/>
        <v>6728</v>
      </c>
      <c r="K350" s="1732"/>
      <c r="L350" s="6018">
        <v>17375</v>
      </c>
      <c r="W350" s="6018">
        <v>17350</v>
      </c>
      <c r="X350" s="6019">
        <v>17400</v>
      </c>
      <c r="Y350" s="6018">
        <v>620</v>
      </c>
      <c r="Z350" s="6018">
        <v>3618</v>
      </c>
      <c r="AA350" s="6018">
        <v>5980</v>
      </c>
      <c r="AB350" s="6019">
        <v>6728</v>
      </c>
      <c r="AC350" s="6018">
        <v>1502</v>
      </c>
      <c r="AD350" s="6018">
        <v>3618</v>
      </c>
      <c r="AE350" s="6018">
        <v>5980</v>
      </c>
      <c r="AF350" s="6019">
        <v>6728</v>
      </c>
    </row>
    <row r="351" spans="1:32" ht="13.5">
      <c r="A351" s="6018">
        <v>17400</v>
      </c>
      <c r="B351" s="6019">
        <v>17450</v>
      </c>
      <c r="C351" s="6020">
        <v>613</v>
      </c>
      <c r="D351" s="6018">
        <f t="shared" si="48"/>
        <v>3618</v>
      </c>
      <c r="E351" s="6018">
        <f t="shared" si="49"/>
        <v>5980</v>
      </c>
      <c r="F351" s="6019">
        <f t="shared" si="50"/>
        <v>6728</v>
      </c>
      <c r="G351" s="6020">
        <f t="shared" si="44"/>
        <v>1502</v>
      </c>
      <c r="H351" s="6018">
        <f t="shared" si="45"/>
        <v>3618</v>
      </c>
      <c r="I351" s="6018">
        <f t="shared" si="46"/>
        <v>5980</v>
      </c>
      <c r="J351" s="6019">
        <f t="shared" si="47"/>
        <v>6728</v>
      </c>
      <c r="K351" s="1732"/>
      <c r="L351" s="6018">
        <v>17425</v>
      </c>
      <c r="W351" s="6018">
        <v>17400</v>
      </c>
      <c r="X351" s="6019">
        <v>17450</v>
      </c>
      <c r="Y351" s="6018">
        <v>613</v>
      </c>
      <c r="Z351" s="6018">
        <v>3618</v>
      </c>
      <c r="AA351" s="6018">
        <v>5980</v>
      </c>
      <c r="AB351" s="6019">
        <v>6728</v>
      </c>
      <c r="AC351" s="6018">
        <v>1502</v>
      </c>
      <c r="AD351" s="6018">
        <v>3618</v>
      </c>
      <c r="AE351" s="6018">
        <v>5980</v>
      </c>
      <c r="AF351" s="6019">
        <v>6728</v>
      </c>
    </row>
    <row r="352" spans="1:32" ht="13.5">
      <c r="A352" s="6018">
        <v>17450</v>
      </c>
      <c r="B352" s="6019">
        <v>17500</v>
      </c>
      <c r="C352" s="6020">
        <v>605</v>
      </c>
      <c r="D352" s="6018">
        <f t="shared" si="48"/>
        <v>3618</v>
      </c>
      <c r="E352" s="6018">
        <f t="shared" si="49"/>
        <v>5980</v>
      </c>
      <c r="F352" s="6019">
        <f t="shared" si="50"/>
        <v>6728</v>
      </c>
      <c r="G352" s="6020">
        <f t="shared" si="44"/>
        <v>1502</v>
      </c>
      <c r="H352" s="6018">
        <f t="shared" si="45"/>
        <v>3618</v>
      </c>
      <c r="I352" s="6018">
        <f t="shared" si="46"/>
        <v>5980</v>
      </c>
      <c r="J352" s="6019">
        <f t="shared" si="47"/>
        <v>6728</v>
      </c>
      <c r="K352" s="1732"/>
      <c r="L352" s="6018">
        <v>17475</v>
      </c>
      <c r="W352" s="6018">
        <v>17450</v>
      </c>
      <c r="X352" s="6019">
        <v>17500</v>
      </c>
      <c r="Y352" s="6018">
        <v>605</v>
      </c>
      <c r="Z352" s="6018">
        <v>3618</v>
      </c>
      <c r="AA352" s="6018">
        <v>5980</v>
      </c>
      <c r="AB352" s="6019">
        <v>6728</v>
      </c>
      <c r="AC352" s="6018">
        <v>1502</v>
      </c>
      <c r="AD352" s="6018">
        <v>3618</v>
      </c>
      <c r="AE352" s="6018">
        <v>5980</v>
      </c>
      <c r="AF352" s="6019">
        <v>6728</v>
      </c>
    </row>
    <row r="353" spans="1:32" ht="13.5">
      <c r="A353" s="6018">
        <v>17500</v>
      </c>
      <c r="B353" s="6019">
        <v>17550</v>
      </c>
      <c r="C353" s="6020">
        <v>597</v>
      </c>
      <c r="D353" s="6018">
        <f t="shared" si="48"/>
        <v>3618</v>
      </c>
      <c r="E353" s="6018">
        <f t="shared" si="49"/>
        <v>5980</v>
      </c>
      <c r="F353" s="6019">
        <f t="shared" si="50"/>
        <v>6728</v>
      </c>
      <c r="G353" s="6020">
        <f t="shared" si="44"/>
        <v>1502</v>
      </c>
      <c r="H353" s="6018">
        <f t="shared" si="45"/>
        <v>3618</v>
      </c>
      <c r="I353" s="6018">
        <f t="shared" si="46"/>
        <v>5980</v>
      </c>
      <c r="J353" s="6019">
        <f t="shared" si="47"/>
        <v>6728</v>
      </c>
      <c r="K353" s="1732"/>
      <c r="L353" s="6018">
        <v>17525</v>
      </c>
      <c r="W353" s="6018">
        <v>17500</v>
      </c>
      <c r="X353" s="6019">
        <v>17550</v>
      </c>
      <c r="Y353" s="6018">
        <v>597</v>
      </c>
      <c r="Z353" s="6018">
        <v>3618</v>
      </c>
      <c r="AA353" s="6018">
        <v>5980</v>
      </c>
      <c r="AB353" s="6019">
        <v>6728</v>
      </c>
      <c r="AC353" s="6018">
        <v>1502</v>
      </c>
      <c r="AD353" s="6018">
        <v>3618</v>
      </c>
      <c r="AE353" s="6018">
        <v>5980</v>
      </c>
      <c r="AF353" s="6019">
        <v>6728</v>
      </c>
    </row>
    <row r="354" spans="1:32" ht="13.5">
      <c r="A354" s="6018">
        <v>17550</v>
      </c>
      <c r="B354" s="6019">
        <v>17600</v>
      </c>
      <c r="C354" s="6020">
        <v>590</v>
      </c>
      <c r="D354" s="6018">
        <f t="shared" si="48"/>
        <v>3618</v>
      </c>
      <c r="E354" s="6018">
        <f t="shared" si="49"/>
        <v>5980</v>
      </c>
      <c r="F354" s="6019">
        <f t="shared" si="50"/>
        <v>6728</v>
      </c>
      <c r="G354" s="6020">
        <v>1502</v>
      </c>
      <c r="H354" s="6018">
        <f t="shared" si="45"/>
        <v>3618</v>
      </c>
      <c r="I354" s="6018">
        <f t="shared" si="46"/>
        <v>5980</v>
      </c>
      <c r="J354" s="6019">
        <f t="shared" si="47"/>
        <v>6728</v>
      </c>
      <c r="K354" s="1732"/>
      <c r="L354" s="6018">
        <v>17575</v>
      </c>
      <c r="W354" s="6018">
        <v>17550</v>
      </c>
      <c r="X354" s="6019">
        <v>17600</v>
      </c>
      <c r="Y354" s="6018">
        <v>590</v>
      </c>
      <c r="Z354" s="6018">
        <v>3618</v>
      </c>
      <c r="AA354" s="6018">
        <v>5980</v>
      </c>
      <c r="AB354" s="6019">
        <v>6728</v>
      </c>
      <c r="AC354" s="6018">
        <v>1502</v>
      </c>
      <c r="AD354" s="6018">
        <v>3618</v>
      </c>
      <c r="AE354" s="6018">
        <v>5980</v>
      </c>
      <c r="AF354" s="6019">
        <v>6728</v>
      </c>
    </row>
    <row r="355" spans="1:32" ht="13.5">
      <c r="A355" s="6018">
        <v>17600</v>
      </c>
      <c r="B355" s="6019">
        <v>17650</v>
      </c>
      <c r="C355" s="6020">
        <v>582</v>
      </c>
      <c r="D355" s="6018">
        <f t="shared" si="48"/>
        <v>3618</v>
      </c>
      <c r="E355" s="6018">
        <f t="shared" si="49"/>
        <v>5980</v>
      </c>
      <c r="F355" s="6019">
        <f t="shared" si="50"/>
        <v>6728</v>
      </c>
      <c r="G355" s="6020">
        <v>1493</v>
      </c>
      <c r="H355" s="6018">
        <f t="shared" si="45"/>
        <v>3618</v>
      </c>
      <c r="I355" s="6018">
        <f t="shared" si="46"/>
        <v>5980</v>
      </c>
      <c r="J355" s="6019">
        <f t="shared" si="47"/>
        <v>6728</v>
      </c>
      <c r="K355" s="1732"/>
      <c r="L355" s="6018">
        <v>17625</v>
      </c>
      <c r="W355" s="6018">
        <v>17600</v>
      </c>
      <c r="X355" s="6019">
        <v>17650</v>
      </c>
      <c r="Y355" s="6018">
        <v>582</v>
      </c>
      <c r="Z355" s="6018">
        <v>3618</v>
      </c>
      <c r="AA355" s="6018">
        <v>5980</v>
      </c>
      <c r="AB355" s="6019">
        <v>6728</v>
      </c>
      <c r="AC355" s="6018">
        <v>1493</v>
      </c>
      <c r="AD355" s="6018">
        <v>3618</v>
      </c>
      <c r="AE355" s="6018">
        <v>5980</v>
      </c>
      <c r="AF355" s="6019">
        <v>6728</v>
      </c>
    </row>
    <row r="356" spans="1:32" ht="13.5">
      <c r="A356" s="6018">
        <v>17650</v>
      </c>
      <c r="B356" s="6019">
        <v>17700</v>
      </c>
      <c r="C356" s="6020">
        <v>575</v>
      </c>
      <c r="D356" s="6018">
        <f t="shared" si="48"/>
        <v>3618</v>
      </c>
      <c r="E356" s="6018">
        <f t="shared" si="49"/>
        <v>5980</v>
      </c>
      <c r="F356" s="6019">
        <f t="shared" si="50"/>
        <v>6728</v>
      </c>
      <c r="G356" s="6020">
        <v>1485</v>
      </c>
      <c r="H356" s="6018">
        <f t="shared" si="45"/>
        <v>3618</v>
      </c>
      <c r="I356" s="6018">
        <f t="shared" si="46"/>
        <v>5980</v>
      </c>
      <c r="J356" s="6019">
        <f t="shared" si="47"/>
        <v>6728</v>
      </c>
      <c r="K356" s="1732"/>
      <c r="L356" s="6018">
        <v>17675</v>
      </c>
      <c r="W356" s="6018">
        <v>17650</v>
      </c>
      <c r="X356" s="6019">
        <v>17700</v>
      </c>
      <c r="Y356" s="6018">
        <v>575</v>
      </c>
      <c r="Z356" s="6018">
        <v>3618</v>
      </c>
      <c r="AA356" s="6018">
        <v>5980</v>
      </c>
      <c r="AB356" s="6019">
        <v>6728</v>
      </c>
      <c r="AC356" s="6018">
        <v>1485</v>
      </c>
      <c r="AD356" s="6018">
        <v>3618</v>
      </c>
      <c r="AE356" s="6018">
        <v>5980</v>
      </c>
      <c r="AF356" s="6019">
        <v>6728</v>
      </c>
    </row>
    <row r="357" spans="1:32" ht="13.5">
      <c r="A357" s="6018">
        <v>17700</v>
      </c>
      <c r="B357" s="6019">
        <v>17750</v>
      </c>
      <c r="C357" s="6020">
        <v>567</v>
      </c>
      <c r="D357" s="6018">
        <f t="shared" si="48"/>
        <v>3618</v>
      </c>
      <c r="E357" s="6018">
        <f t="shared" si="49"/>
        <v>5980</v>
      </c>
      <c r="F357" s="6019">
        <f t="shared" si="50"/>
        <v>6728</v>
      </c>
      <c r="G357" s="6020">
        <v>1477</v>
      </c>
      <c r="H357" s="6018">
        <f t="shared" si="45"/>
        <v>3618</v>
      </c>
      <c r="I357" s="6018">
        <f t="shared" si="46"/>
        <v>5980</v>
      </c>
      <c r="J357" s="6019">
        <f t="shared" si="47"/>
        <v>6728</v>
      </c>
      <c r="K357" s="1732"/>
      <c r="L357" s="6018">
        <v>17725</v>
      </c>
      <c r="W357" s="6018">
        <v>17700</v>
      </c>
      <c r="X357" s="6019">
        <v>17750</v>
      </c>
      <c r="Y357" s="6018">
        <v>567</v>
      </c>
      <c r="Z357" s="6018">
        <v>3618</v>
      </c>
      <c r="AA357" s="6018">
        <v>5980</v>
      </c>
      <c r="AB357" s="6019">
        <v>6728</v>
      </c>
      <c r="AC357" s="6018">
        <v>1477</v>
      </c>
      <c r="AD357" s="6018">
        <v>3618</v>
      </c>
      <c r="AE357" s="6018">
        <v>5980</v>
      </c>
      <c r="AF357" s="6019">
        <v>6728</v>
      </c>
    </row>
    <row r="358" spans="1:32" ht="13.5">
      <c r="A358" s="6018">
        <v>17750</v>
      </c>
      <c r="B358" s="6019">
        <v>17800</v>
      </c>
      <c r="C358" s="6020">
        <v>559</v>
      </c>
      <c r="D358" s="6018">
        <f t="shared" si="48"/>
        <v>3618</v>
      </c>
      <c r="E358" s="6018">
        <f t="shared" si="49"/>
        <v>5980</v>
      </c>
      <c r="F358" s="6019">
        <f t="shared" si="50"/>
        <v>6728</v>
      </c>
      <c r="G358" s="6020">
        <v>1470</v>
      </c>
      <c r="H358" s="6018">
        <f t="shared" si="45"/>
        <v>3618</v>
      </c>
      <c r="I358" s="6018">
        <f t="shared" si="46"/>
        <v>5980</v>
      </c>
      <c r="J358" s="6019">
        <f t="shared" si="47"/>
        <v>6728</v>
      </c>
      <c r="K358" s="1732"/>
      <c r="L358" s="6018">
        <v>17775</v>
      </c>
      <c r="W358" s="6018">
        <v>17750</v>
      </c>
      <c r="X358" s="6019">
        <v>17800</v>
      </c>
      <c r="Y358" s="6018">
        <v>559</v>
      </c>
      <c r="Z358" s="6018">
        <v>3618</v>
      </c>
      <c r="AA358" s="6018">
        <v>5980</v>
      </c>
      <c r="AB358" s="6019">
        <v>6728</v>
      </c>
      <c r="AC358" s="6018">
        <v>1470</v>
      </c>
      <c r="AD358" s="6018">
        <v>3618</v>
      </c>
      <c r="AE358" s="6018">
        <v>5980</v>
      </c>
      <c r="AF358" s="6019">
        <v>6728</v>
      </c>
    </row>
    <row r="359" spans="1:32" ht="13.5">
      <c r="A359" s="6018">
        <v>17800</v>
      </c>
      <c r="B359" s="6019">
        <v>17850</v>
      </c>
      <c r="C359" s="6020">
        <v>552</v>
      </c>
      <c r="D359" s="6018">
        <f t="shared" si="48"/>
        <v>3618</v>
      </c>
      <c r="E359" s="6018">
        <f t="shared" si="49"/>
        <v>5980</v>
      </c>
      <c r="F359" s="6019">
        <f t="shared" si="50"/>
        <v>6728</v>
      </c>
      <c r="G359" s="6020">
        <v>1462</v>
      </c>
      <c r="H359" s="6018">
        <f t="shared" si="45"/>
        <v>3618</v>
      </c>
      <c r="I359" s="6018">
        <f t="shared" si="46"/>
        <v>5980</v>
      </c>
      <c r="J359" s="6019">
        <f t="shared" si="47"/>
        <v>6728</v>
      </c>
      <c r="K359" s="1732"/>
      <c r="L359" s="6018">
        <v>17825</v>
      </c>
      <c r="W359" s="6018">
        <v>17800</v>
      </c>
      <c r="X359" s="6019">
        <v>17850</v>
      </c>
      <c r="Y359" s="6018">
        <v>552</v>
      </c>
      <c r="Z359" s="6018">
        <v>3618</v>
      </c>
      <c r="AA359" s="6018">
        <v>5980</v>
      </c>
      <c r="AB359" s="6019">
        <v>6728</v>
      </c>
      <c r="AC359" s="6018">
        <v>1462</v>
      </c>
      <c r="AD359" s="6018">
        <v>3618</v>
      </c>
      <c r="AE359" s="6018">
        <v>5980</v>
      </c>
      <c r="AF359" s="6019">
        <v>6728</v>
      </c>
    </row>
    <row r="360" spans="1:32" ht="13.5">
      <c r="A360" s="6018">
        <v>17850</v>
      </c>
      <c r="B360" s="6019">
        <v>17900</v>
      </c>
      <c r="C360" s="6020">
        <v>544</v>
      </c>
      <c r="D360" s="6018">
        <f t="shared" si="48"/>
        <v>3618</v>
      </c>
      <c r="E360" s="6018">
        <f t="shared" si="49"/>
        <v>5980</v>
      </c>
      <c r="F360" s="6019">
        <f t="shared" si="50"/>
        <v>6728</v>
      </c>
      <c r="G360" s="6020">
        <v>1454</v>
      </c>
      <c r="H360" s="6018">
        <f t="shared" si="45"/>
        <v>3618</v>
      </c>
      <c r="I360" s="6018">
        <f t="shared" si="46"/>
        <v>5980</v>
      </c>
      <c r="J360" s="6019">
        <f t="shared" si="47"/>
        <v>6728</v>
      </c>
      <c r="K360" s="1732"/>
      <c r="L360" s="6018">
        <v>17875</v>
      </c>
      <c r="W360" s="6018">
        <v>17850</v>
      </c>
      <c r="X360" s="6019">
        <v>17900</v>
      </c>
      <c r="Y360" s="6018">
        <v>544</v>
      </c>
      <c r="Z360" s="6018">
        <v>3618</v>
      </c>
      <c r="AA360" s="6018">
        <v>5980</v>
      </c>
      <c r="AB360" s="6019">
        <v>6728</v>
      </c>
      <c r="AC360" s="6018">
        <v>1454</v>
      </c>
      <c r="AD360" s="6018">
        <v>3618</v>
      </c>
      <c r="AE360" s="6018">
        <v>5980</v>
      </c>
      <c r="AF360" s="6019">
        <v>6728</v>
      </c>
    </row>
    <row r="361" spans="1:32" ht="13.5">
      <c r="A361" s="6018">
        <v>17900</v>
      </c>
      <c r="B361" s="6019">
        <v>17950</v>
      </c>
      <c r="C361" s="6020">
        <v>536</v>
      </c>
      <c r="D361" s="6018">
        <f t="shared" si="48"/>
        <v>3618</v>
      </c>
      <c r="E361" s="6018">
        <f t="shared" si="49"/>
        <v>5980</v>
      </c>
      <c r="F361" s="6019">
        <f t="shared" si="50"/>
        <v>6728</v>
      </c>
      <c r="G361" s="6020">
        <v>1447</v>
      </c>
      <c r="H361" s="6018">
        <f t="shared" si="45"/>
        <v>3618</v>
      </c>
      <c r="I361" s="6018">
        <f t="shared" si="46"/>
        <v>5980</v>
      </c>
      <c r="J361" s="6019">
        <f t="shared" si="47"/>
        <v>6728</v>
      </c>
      <c r="K361" s="1732"/>
      <c r="L361" s="6018">
        <v>17925</v>
      </c>
      <c r="W361" s="6018">
        <v>17900</v>
      </c>
      <c r="X361" s="6019">
        <v>17950</v>
      </c>
      <c r="Y361" s="6018">
        <v>536</v>
      </c>
      <c r="Z361" s="6018">
        <v>3618</v>
      </c>
      <c r="AA361" s="6018">
        <v>5980</v>
      </c>
      <c r="AB361" s="6019">
        <v>6728</v>
      </c>
      <c r="AC361" s="6018">
        <v>1447</v>
      </c>
      <c r="AD361" s="6018">
        <v>3618</v>
      </c>
      <c r="AE361" s="6018">
        <v>5980</v>
      </c>
      <c r="AF361" s="6019">
        <v>6728</v>
      </c>
    </row>
    <row r="362" spans="1:32" ht="13.5">
      <c r="A362" s="6018">
        <v>17950</v>
      </c>
      <c r="B362" s="6019">
        <v>18000</v>
      </c>
      <c r="C362" s="6020">
        <v>529</v>
      </c>
      <c r="D362" s="6018">
        <f t="shared" si="48"/>
        <v>3618</v>
      </c>
      <c r="E362" s="6018">
        <f t="shared" si="49"/>
        <v>5980</v>
      </c>
      <c r="F362" s="6019">
        <f t="shared" si="50"/>
        <v>6728</v>
      </c>
      <c r="G362" s="6020">
        <v>1439</v>
      </c>
      <c r="H362" s="6018">
        <f t="shared" si="45"/>
        <v>3618</v>
      </c>
      <c r="I362" s="6018">
        <f t="shared" si="46"/>
        <v>5980</v>
      </c>
      <c r="J362" s="6019">
        <f t="shared" si="47"/>
        <v>6728</v>
      </c>
      <c r="K362" s="1732"/>
      <c r="L362" s="6018">
        <v>17975</v>
      </c>
      <c r="W362" s="6018">
        <v>17950</v>
      </c>
      <c r="X362" s="6019">
        <v>18000</v>
      </c>
      <c r="Y362" s="6018">
        <v>529</v>
      </c>
      <c r="Z362" s="6018">
        <v>3618</v>
      </c>
      <c r="AA362" s="6018">
        <v>5980</v>
      </c>
      <c r="AB362" s="6019">
        <v>6728</v>
      </c>
      <c r="AC362" s="6018">
        <v>1439</v>
      </c>
      <c r="AD362" s="6018">
        <v>3618</v>
      </c>
      <c r="AE362" s="6018">
        <v>5980</v>
      </c>
      <c r="AF362" s="6019">
        <v>6728</v>
      </c>
    </row>
    <row r="363" spans="1:32" ht="13.5">
      <c r="A363" s="6018">
        <v>18000</v>
      </c>
      <c r="B363" s="6019">
        <v>18050</v>
      </c>
      <c r="C363" s="6020">
        <v>521</v>
      </c>
      <c r="D363" s="6018">
        <f t="shared" si="48"/>
        <v>3618</v>
      </c>
      <c r="E363" s="6018">
        <f t="shared" si="49"/>
        <v>5980</v>
      </c>
      <c r="F363" s="6019">
        <f t="shared" si="50"/>
        <v>6728</v>
      </c>
      <c r="G363" s="6020">
        <v>1431</v>
      </c>
      <c r="H363" s="6018">
        <f t="shared" si="45"/>
        <v>3618</v>
      </c>
      <c r="I363" s="6018">
        <f t="shared" si="46"/>
        <v>5980</v>
      </c>
      <c r="J363" s="6019">
        <f t="shared" si="47"/>
        <v>6728</v>
      </c>
      <c r="K363" s="1732"/>
      <c r="L363" s="6018">
        <v>18025</v>
      </c>
      <c r="W363" s="6018">
        <v>18000</v>
      </c>
      <c r="X363" s="6019">
        <v>18050</v>
      </c>
      <c r="Y363" s="6018">
        <v>521</v>
      </c>
      <c r="Z363" s="6018">
        <v>3618</v>
      </c>
      <c r="AA363" s="6018">
        <v>5980</v>
      </c>
      <c r="AB363" s="6019">
        <v>6728</v>
      </c>
      <c r="AC363" s="6018">
        <v>1431</v>
      </c>
      <c r="AD363" s="6018">
        <v>3618</v>
      </c>
      <c r="AE363" s="6018">
        <v>5980</v>
      </c>
      <c r="AF363" s="6019">
        <v>6728</v>
      </c>
    </row>
    <row r="364" spans="1:32" ht="13.5">
      <c r="A364" s="6018">
        <v>18050</v>
      </c>
      <c r="B364" s="6019">
        <v>18100</v>
      </c>
      <c r="C364" s="6020">
        <v>513</v>
      </c>
      <c r="D364" s="6018">
        <f t="shared" si="48"/>
        <v>3618</v>
      </c>
      <c r="E364" s="6018">
        <f t="shared" si="49"/>
        <v>5980</v>
      </c>
      <c r="F364" s="6019">
        <f t="shared" si="50"/>
        <v>6728</v>
      </c>
      <c r="G364" s="6020">
        <v>1424</v>
      </c>
      <c r="H364" s="6018">
        <f t="shared" si="45"/>
        <v>3618</v>
      </c>
      <c r="I364" s="6018">
        <f t="shared" si="46"/>
        <v>5980</v>
      </c>
      <c r="J364" s="6019">
        <f t="shared" si="47"/>
        <v>6728</v>
      </c>
      <c r="K364" s="1732"/>
      <c r="L364" s="6018">
        <v>18075</v>
      </c>
      <c r="W364" s="6018">
        <v>18050</v>
      </c>
      <c r="X364" s="6019">
        <v>18100</v>
      </c>
      <c r="Y364" s="6018">
        <v>513</v>
      </c>
      <c r="Z364" s="6018">
        <v>3618</v>
      </c>
      <c r="AA364" s="6018">
        <v>5980</v>
      </c>
      <c r="AB364" s="6019">
        <v>6728</v>
      </c>
      <c r="AC364" s="6018">
        <v>1424</v>
      </c>
      <c r="AD364" s="6018">
        <v>3618</v>
      </c>
      <c r="AE364" s="6018">
        <v>5980</v>
      </c>
      <c r="AF364" s="6019">
        <v>6728</v>
      </c>
    </row>
    <row r="365" spans="1:32" ht="13.5">
      <c r="A365" s="6018">
        <v>18100</v>
      </c>
      <c r="B365" s="6019">
        <v>18150</v>
      </c>
      <c r="C365" s="6020">
        <v>506</v>
      </c>
      <c r="D365" s="6018">
        <f t="shared" si="48"/>
        <v>3618</v>
      </c>
      <c r="E365" s="6018">
        <f t="shared" si="49"/>
        <v>5980</v>
      </c>
      <c r="F365" s="6019">
        <f t="shared" si="50"/>
        <v>6728</v>
      </c>
      <c r="G365" s="6020">
        <v>1416</v>
      </c>
      <c r="H365" s="6018">
        <f t="shared" si="45"/>
        <v>3618</v>
      </c>
      <c r="I365" s="6018">
        <f t="shared" si="46"/>
        <v>5980</v>
      </c>
      <c r="J365" s="6019">
        <f t="shared" si="47"/>
        <v>6728</v>
      </c>
      <c r="K365" s="1732"/>
      <c r="L365" s="6018">
        <v>18125</v>
      </c>
      <c r="W365" s="6018">
        <v>18100</v>
      </c>
      <c r="X365" s="6019">
        <v>18150</v>
      </c>
      <c r="Y365" s="6018">
        <v>506</v>
      </c>
      <c r="Z365" s="6018">
        <v>3618</v>
      </c>
      <c r="AA365" s="6018">
        <v>5980</v>
      </c>
      <c r="AB365" s="6019">
        <v>6728</v>
      </c>
      <c r="AC365" s="6018">
        <v>1416</v>
      </c>
      <c r="AD365" s="6018">
        <v>3618</v>
      </c>
      <c r="AE365" s="6018">
        <v>5980</v>
      </c>
      <c r="AF365" s="6019">
        <v>6728</v>
      </c>
    </row>
    <row r="366" spans="1:32" ht="13.5">
      <c r="A366" s="6018">
        <v>18150</v>
      </c>
      <c r="B366" s="6019">
        <v>18200</v>
      </c>
      <c r="C366" s="6020">
        <v>498</v>
      </c>
      <c r="D366" s="6018">
        <f t="shared" si="48"/>
        <v>3618</v>
      </c>
      <c r="E366" s="6018">
        <f t="shared" si="49"/>
        <v>5980</v>
      </c>
      <c r="F366" s="6019">
        <f t="shared" si="50"/>
        <v>6728</v>
      </c>
      <c r="G366" s="6020">
        <v>1408</v>
      </c>
      <c r="H366" s="6018">
        <f t="shared" si="45"/>
        <v>3618</v>
      </c>
      <c r="I366" s="6018">
        <f t="shared" si="46"/>
        <v>5980</v>
      </c>
      <c r="J366" s="6019">
        <f t="shared" si="47"/>
        <v>6728</v>
      </c>
      <c r="K366" s="1732"/>
      <c r="L366" s="6018">
        <v>18175</v>
      </c>
      <c r="W366" s="6018">
        <v>18150</v>
      </c>
      <c r="X366" s="6019">
        <v>18200</v>
      </c>
      <c r="Y366" s="6018">
        <v>498</v>
      </c>
      <c r="Z366" s="6018">
        <v>3618</v>
      </c>
      <c r="AA366" s="6018">
        <v>5980</v>
      </c>
      <c r="AB366" s="6019">
        <v>6728</v>
      </c>
      <c r="AC366" s="6018">
        <v>1408</v>
      </c>
      <c r="AD366" s="6018">
        <v>3618</v>
      </c>
      <c r="AE366" s="6018">
        <v>5980</v>
      </c>
      <c r="AF366" s="6019">
        <v>6728</v>
      </c>
    </row>
    <row r="367" spans="1:32" ht="13.5">
      <c r="A367" s="6018">
        <v>18200</v>
      </c>
      <c r="B367" s="6019">
        <v>18250</v>
      </c>
      <c r="C367" s="6020">
        <v>490</v>
      </c>
      <c r="D367" s="6018">
        <f t="shared" si="48"/>
        <v>3618</v>
      </c>
      <c r="E367" s="6018">
        <f t="shared" si="49"/>
        <v>5980</v>
      </c>
      <c r="F367" s="6019">
        <f t="shared" si="50"/>
        <v>6728</v>
      </c>
      <c r="G367" s="6020">
        <v>1401</v>
      </c>
      <c r="H367" s="6018">
        <f t="shared" si="45"/>
        <v>3618</v>
      </c>
      <c r="I367" s="6018">
        <f t="shared" si="46"/>
        <v>5980</v>
      </c>
      <c r="J367" s="6019">
        <f t="shared" si="47"/>
        <v>6728</v>
      </c>
      <c r="K367" s="1732"/>
      <c r="L367" s="6018">
        <v>18225</v>
      </c>
      <c r="W367" s="6018">
        <v>18200</v>
      </c>
      <c r="X367" s="6019">
        <v>18250</v>
      </c>
      <c r="Y367" s="6018">
        <v>490</v>
      </c>
      <c r="Z367" s="6018">
        <v>3618</v>
      </c>
      <c r="AA367" s="6018">
        <v>5980</v>
      </c>
      <c r="AB367" s="6019">
        <v>6728</v>
      </c>
      <c r="AC367" s="6018">
        <v>1401</v>
      </c>
      <c r="AD367" s="6018">
        <v>3618</v>
      </c>
      <c r="AE367" s="6018">
        <v>5980</v>
      </c>
      <c r="AF367" s="6019">
        <v>6728</v>
      </c>
    </row>
    <row r="368" spans="1:32" ht="13.5">
      <c r="A368" s="6018">
        <v>18250</v>
      </c>
      <c r="B368" s="6019">
        <v>18300</v>
      </c>
      <c r="C368" s="6020">
        <v>483</v>
      </c>
      <c r="D368" s="6018">
        <f t="shared" si="48"/>
        <v>3618</v>
      </c>
      <c r="E368" s="6018">
        <f t="shared" si="49"/>
        <v>5980</v>
      </c>
      <c r="F368" s="6019">
        <f t="shared" si="50"/>
        <v>6728</v>
      </c>
      <c r="G368" s="6020">
        <v>1393</v>
      </c>
      <c r="H368" s="6018">
        <f t="shared" si="45"/>
        <v>3618</v>
      </c>
      <c r="I368" s="6018">
        <f t="shared" si="46"/>
        <v>5980</v>
      </c>
      <c r="J368" s="6019">
        <f t="shared" si="47"/>
        <v>6728</v>
      </c>
      <c r="K368" s="1732"/>
      <c r="L368" s="6018">
        <v>18275</v>
      </c>
      <c r="W368" s="6018">
        <v>18250</v>
      </c>
      <c r="X368" s="6019">
        <v>18300</v>
      </c>
      <c r="Y368" s="6018">
        <v>483</v>
      </c>
      <c r="Z368" s="6018">
        <v>3618</v>
      </c>
      <c r="AA368" s="6018">
        <v>5980</v>
      </c>
      <c r="AB368" s="6019">
        <v>6728</v>
      </c>
      <c r="AC368" s="6018">
        <v>1393</v>
      </c>
      <c r="AD368" s="6018">
        <v>3618</v>
      </c>
      <c r="AE368" s="6018">
        <v>5980</v>
      </c>
      <c r="AF368" s="6019">
        <v>6728</v>
      </c>
    </row>
    <row r="369" spans="1:32" ht="13.5">
      <c r="A369" s="6018">
        <v>18300</v>
      </c>
      <c r="B369" s="6019">
        <v>18350</v>
      </c>
      <c r="C369" s="6020">
        <v>475</v>
      </c>
      <c r="D369" s="6018">
        <f t="shared" si="48"/>
        <v>3618</v>
      </c>
      <c r="E369" s="6018">
        <f t="shared" si="49"/>
        <v>5980</v>
      </c>
      <c r="F369" s="6019">
        <f t="shared" si="50"/>
        <v>6728</v>
      </c>
      <c r="G369" s="6020">
        <v>1385</v>
      </c>
      <c r="H369" s="6018">
        <f t="shared" si="45"/>
        <v>3618</v>
      </c>
      <c r="I369" s="6018">
        <f t="shared" si="46"/>
        <v>5980</v>
      </c>
      <c r="J369" s="6019">
        <f t="shared" si="47"/>
        <v>6728</v>
      </c>
      <c r="K369" s="1732"/>
      <c r="L369" s="6018">
        <v>18325</v>
      </c>
      <c r="W369" s="6018">
        <v>18300</v>
      </c>
      <c r="X369" s="6019">
        <v>18350</v>
      </c>
      <c r="Y369" s="6018">
        <v>475</v>
      </c>
      <c r="Z369" s="6018">
        <v>3618</v>
      </c>
      <c r="AA369" s="6018">
        <v>5980</v>
      </c>
      <c r="AB369" s="6019">
        <v>6728</v>
      </c>
      <c r="AC369" s="6018">
        <v>1385</v>
      </c>
      <c r="AD369" s="6018">
        <v>3618</v>
      </c>
      <c r="AE369" s="6018">
        <v>5980</v>
      </c>
      <c r="AF369" s="6019">
        <v>6728</v>
      </c>
    </row>
    <row r="370" spans="1:32" ht="13.5">
      <c r="A370" s="6018">
        <v>18350</v>
      </c>
      <c r="B370" s="6019">
        <v>18400</v>
      </c>
      <c r="C370" s="6020">
        <v>467</v>
      </c>
      <c r="D370" s="6018">
        <f t="shared" si="48"/>
        <v>3618</v>
      </c>
      <c r="E370" s="6018">
        <f t="shared" si="49"/>
        <v>5980</v>
      </c>
      <c r="F370" s="6019">
        <f t="shared" si="50"/>
        <v>6728</v>
      </c>
      <c r="G370" s="6020">
        <v>1378</v>
      </c>
      <c r="H370" s="6018">
        <f t="shared" si="45"/>
        <v>3618</v>
      </c>
      <c r="I370" s="6018">
        <f t="shared" si="46"/>
        <v>5980</v>
      </c>
      <c r="J370" s="6019">
        <f t="shared" si="47"/>
        <v>6728</v>
      </c>
      <c r="K370" s="1732"/>
      <c r="L370" s="6018">
        <v>18375</v>
      </c>
      <c r="W370" s="6018">
        <v>18350</v>
      </c>
      <c r="X370" s="6019">
        <v>18400</v>
      </c>
      <c r="Y370" s="6018">
        <v>467</v>
      </c>
      <c r="Z370" s="6018">
        <v>3618</v>
      </c>
      <c r="AA370" s="6018">
        <v>5980</v>
      </c>
      <c r="AB370" s="6019">
        <v>6728</v>
      </c>
      <c r="AC370" s="6018">
        <v>1378</v>
      </c>
      <c r="AD370" s="6018">
        <v>3618</v>
      </c>
      <c r="AE370" s="6018">
        <v>5980</v>
      </c>
      <c r="AF370" s="6019">
        <v>6728</v>
      </c>
    </row>
    <row r="371" spans="1:32" ht="13.5">
      <c r="A371" s="6018">
        <v>18400</v>
      </c>
      <c r="B371" s="6019">
        <v>18450</v>
      </c>
      <c r="C371" s="6020">
        <v>460</v>
      </c>
      <c r="D371" s="6018">
        <f t="shared" si="48"/>
        <v>3618</v>
      </c>
      <c r="E371" s="6018">
        <f t="shared" si="49"/>
        <v>5980</v>
      </c>
      <c r="F371" s="6019">
        <f t="shared" si="50"/>
        <v>6728</v>
      </c>
      <c r="G371" s="6020">
        <v>1370</v>
      </c>
      <c r="H371" s="6018">
        <f t="shared" si="45"/>
        <v>3618</v>
      </c>
      <c r="I371" s="6018">
        <f t="shared" si="46"/>
        <v>5980</v>
      </c>
      <c r="J371" s="6019">
        <f t="shared" si="47"/>
        <v>6728</v>
      </c>
      <c r="K371" s="1732"/>
      <c r="L371" s="6018">
        <v>18425</v>
      </c>
      <c r="W371" s="6018">
        <v>18400</v>
      </c>
      <c r="X371" s="6019">
        <v>18450</v>
      </c>
      <c r="Y371" s="6018">
        <v>460</v>
      </c>
      <c r="Z371" s="6018">
        <v>3618</v>
      </c>
      <c r="AA371" s="6018">
        <v>5980</v>
      </c>
      <c r="AB371" s="6019">
        <v>6728</v>
      </c>
      <c r="AC371" s="6018">
        <v>1370</v>
      </c>
      <c r="AD371" s="6018">
        <v>3618</v>
      </c>
      <c r="AE371" s="6018">
        <v>5980</v>
      </c>
      <c r="AF371" s="6019">
        <v>6728</v>
      </c>
    </row>
    <row r="372" spans="1:32" ht="13.5">
      <c r="A372" s="6018">
        <v>18450</v>
      </c>
      <c r="B372" s="6019">
        <v>18500</v>
      </c>
      <c r="C372" s="6020">
        <v>452</v>
      </c>
      <c r="D372" s="6018">
        <f t="shared" si="48"/>
        <v>3618</v>
      </c>
      <c r="E372" s="6018">
        <f t="shared" si="49"/>
        <v>5980</v>
      </c>
      <c r="F372" s="6019">
        <f t="shared" si="50"/>
        <v>6728</v>
      </c>
      <c r="G372" s="6020">
        <v>1362</v>
      </c>
      <c r="H372" s="6018">
        <f t="shared" si="45"/>
        <v>3618</v>
      </c>
      <c r="I372" s="6018">
        <f t="shared" si="46"/>
        <v>5980</v>
      </c>
      <c r="J372" s="6019">
        <f t="shared" si="47"/>
        <v>6728</v>
      </c>
      <c r="K372" s="1732"/>
      <c r="L372" s="6018">
        <v>18475</v>
      </c>
      <c r="W372" s="6018">
        <v>18450</v>
      </c>
      <c r="X372" s="6019">
        <v>18500</v>
      </c>
      <c r="Y372" s="6018">
        <v>452</v>
      </c>
      <c r="Z372" s="6018">
        <v>3618</v>
      </c>
      <c r="AA372" s="6018">
        <v>5980</v>
      </c>
      <c r="AB372" s="6019">
        <v>6728</v>
      </c>
      <c r="AC372" s="6018">
        <v>1362</v>
      </c>
      <c r="AD372" s="6018">
        <v>3618</v>
      </c>
      <c r="AE372" s="6018">
        <v>5980</v>
      </c>
      <c r="AF372" s="6019">
        <v>6728</v>
      </c>
    </row>
    <row r="373" spans="1:32" ht="13.5">
      <c r="A373" s="6018">
        <v>18500</v>
      </c>
      <c r="B373" s="6019">
        <v>18550</v>
      </c>
      <c r="C373" s="6020">
        <v>444</v>
      </c>
      <c r="D373" s="6018">
        <f t="shared" si="48"/>
        <v>3618</v>
      </c>
      <c r="E373" s="6018">
        <f t="shared" si="49"/>
        <v>5980</v>
      </c>
      <c r="F373" s="6019">
        <f t="shared" si="50"/>
        <v>6728</v>
      </c>
      <c r="G373" s="6020">
        <v>1355</v>
      </c>
      <c r="H373" s="6018">
        <f t="shared" si="45"/>
        <v>3618</v>
      </c>
      <c r="I373" s="6018">
        <f t="shared" si="46"/>
        <v>5980</v>
      </c>
      <c r="J373" s="6019">
        <f t="shared" si="47"/>
        <v>6728</v>
      </c>
      <c r="K373" s="1732"/>
      <c r="L373" s="6018">
        <v>18525</v>
      </c>
      <c r="W373" s="6018">
        <v>18500</v>
      </c>
      <c r="X373" s="6019">
        <v>18550</v>
      </c>
      <c r="Y373" s="6018">
        <v>444</v>
      </c>
      <c r="Z373" s="6018">
        <v>3618</v>
      </c>
      <c r="AA373" s="6018">
        <v>5980</v>
      </c>
      <c r="AB373" s="6019">
        <v>6728</v>
      </c>
      <c r="AC373" s="6018">
        <v>1355</v>
      </c>
      <c r="AD373" s="6018">
        <v>3618</v>
      </c>
      <c r="AE373" s="6018">
        <v>5980</v>
      </c>
      <c r="AF373" s="6019">
        <v>6728</v>
      </c>
    </row>
    <row r="374" spans="1:32" ht="13.5">
      <c r="A374" s="6018">
        <v>18550</v>
      </c>
      <c r="B374" s="6019">
        <v>18600</v>
      </c>
      <c r="C374" s="6020">
        <v>437</v>
      </c>
      <c r="D374" s="6018">
        <f t="shared" si="48"/>
        <v>3618</v>
      </c>
      <c r="E374" s="6018">
        <f t="shared" si="49"/>
        <v>5980</v>
      </c>
      <c r="F374" s="6019">
        <f t="shared" si="50"/>
        <v>6728</v>
      </c>
      <c r="G374" s="6020">
        <v>1347</v>
      </c>
      <c r="H374" s="6018">
        <f t="shared" si="45"/>
        <v>3618</v>
      </c>
      <c r="I374" s="6018">
        <f t="shared" si="46"/>
        <v>5980</v>
      </c>
      <c r="J374" s="6019">
        <f t="shared" si="47"/>
        <v>6728</v>
      </c>
      <c r="K374" s="1732"/>
      <c r="L374" s="6018">
        <v>18575</v>
      </c>
      <c r="W374" s="6018">
        <v>18550</v>
      </c>
      <c r="X374" s="6019">
        <v>18600</v>
      </c>
      <c r="Y374" s="6018">
        <v>437</v>
      </c>
      <c r="Z374" s="6018">
        <v>3618</v>
      </c>
      <c r="AA374" s="6018">
        <v>5980</v>
      </c>
      <c r="AB374" s="6019">
        <v>6728</v>
      </c>
      <c r="AC374" s="6018">
        <v>1347</v>
      </c>
      <c r="AD374" s="6018">
        <v>3618</v>
      </c>
      <c r="AE374" s="6018">
        <v>5980</v>
      </c>
      <c r="AF374" s="6019">
        <v>6728</v>
      </c>
    </row>
    <row r="375" spans="1:32" ht="13.5">
      <c r="A375" s="6018">
        <v>18600</v>
      </c>
      <c r="B375" s="6019">
        <v>18650</v>
      </c>
      <c r="C375" s="6020">
        <v>429</v>
      </c>
      <c r="D375" s="6018">
        <f t="shared" si="48"/>
        <v>3618</v>
      </c>
      <c r="E375" s="6018">
        <f t="shared" si="49"/>
        <v>5980</v>
      </c>
      <c r="F375" s="6019">
        <f t="shared" si="50"/>
        <v>6728</v>
      </c>
      <c r="G375" s="6020">
        <v>1340</v>
      </c>
      <c r="H375" s="6018">
        <f t="shared" si="45"/>
        <v>3618</v>
      </c>
      <c r="I375" s="6018">
        <f t="shared" si="46"/>
        <v>5980</v>
      </c>
      <c r="J375" s="6019">
        <f t="shared" si="47"/>
        <v>6728</v>
      </c>
      <c r="K375" s="1732"/>
      <c r="L375" s="6018">
        <v>18625</v>
      </c>
      <c r="W375" s="6018">
        <v>18600</v>
      </c>
      <c r="X375" s="6019">
        <v>18650</v>
      </c>
      <c r="Y375" s="6018">
        <v>429</v>
      </c>
      <c r="Z375" s="6018">
        <v>3618</v>
      </c>
      <c r="AA375" s="6018">
        <v>5980</v>
      </c>
      <c r="AB375" s="6019">
        <v>6728</v>
      </c>
      <c r="AC375" s="6018">
        <v>1340</v>
      </c>
      <c r="AD375" s="6018">
        <v>3618</v>
      </c>
      <c r="AE375" s="6018">
        <v>5980</v>
      </c>
      <c r="AF375" s="6019">
        <v>6728</v>
      </c>
    </row>
    <row r="376" spans="1:32" ht="13.5">
      <c r="A376" s="6018">
        <v>18650</v>
      </c>
      <c r="B376" s="6019">
        <v>18700</v>
      </c>
      <c r="C376" s="6020">
        <v>422</v>
      </c>
      <c r="D376" s="6018">
        <f t="shared" si="48"/>
        <v>3618</v>
      </c>
      <c r="E376" s="6018">
        <f t="shared" si="49"/>
        <v>5980</v>
      </c>
      <c r="F376" s="6019">
        <f t="shared" si="50"/>
        <v>6728</v>
      </c>
      <c r="G376" s="6020">
        <v>1332</v>
      </c>
      <c r="H376" s="6018">
        <f t="shared" si="45"/>
        <v>3618</v>
      </c>
      <c r="I376" s="6018">
        <f t="shared" si="46"/>
        <v>5980</v>
      </c>
      <c r="J376" s="6019">
        <f t="shared" si="47"/>
        <v>6728</v>
      </c>
      <c r="K376" s="1732"/>
      <c r="L376" s="6018">
        <v>18675</v>
      </c>
      <c r="W376" s="6018">
        <v>18650</v>
      </c>
      <c r="X376" s="6019">
        <v>18700</v>
      </c>
      <c r="Y376" s="6018">
        <v>422</v>
      </c>
      <c r="Z376" s="6018">
        <v>3618</v>
      </c>
      <c r="AA376" s="6018">
        <v>5980</v>
      </c>
      <c r="AB376" s="6019">
        <v>6728</v>
      </c>
      <c r="AC376" s="6018">
        <v>1332</v>
      </c>
      <c r="AD376" s="6018">
        <v>3618</v>
      </c>
      <c r="AE376" s="6018">
        <v>5980</v>
      </c>
      <c r="AF376" s="6019">
        <v>6728</v>
      </c>
    </row>
    <row r="377" spans="1:32" ht="13.5">
      <c r="A377" s="6018">
        <v>18700</v>
      </c>
      <c r="B377" s="6019">
        <v>18750</v>
      </c>
      <c r="C377" s="6020">
        <v>414</v>
      </c>
      <c r="D377" s="6018">
        <f t="shared" si="48"/>
        <v>3618</v>
      </c>
      <c r="E377" s="6018">
        <f t="shared" si="49"/>
        <v>5980</v>
      </c>
      <c r="F377" s="6019">
        <f t="shared" si="50"/>
        <v>6728</v>
      </c>
      <c r="G377" s="6020">
        <v>1324</v>
      </c>
      <c r="H377" s="6018">
        <f t="shared" si="45"/>
        <v>3618</v>
      </c>
      <c r="I377" s="6018">
        <f t="shared" si="46"/>
        <v>5980</v>
      </c>
      <c r="J377" s="6019">
        <f t="shared" si="47"/>
        <v>6728</v>
      </c>
      <c r="K377" s="1732"/>
      <c r="L377" s="6018">
        <v>18725</v>
      </c>
      <c r="W377" s="6018">
        <v>18700</v>
      </c>
      <c r="X377" s="6019">
        <v>18750</v>
      </c>
      <c r="Y377" s="6018">
        <v>414</v>
      </c>
      <c r="Z377" s="6018">
        <v>3618</v>
      </c>
      <c r="AA377" s="6018">
        <v>5980</v>
      </c>
      <c r="AB377" s="6019">
        <v>6728</v>
      </c>
      <c r="AC377" s="6018">
        <v>1324</v>
      </c>
      <c r="AD377" s="6018">
        <v>3618</v>
      </c>
      <c r="AE377" s="6018">
        <v>5980</v>
      </c>
      <c r="AF377" s="6019">
        <v>6728</v>
      </c>
    </row>
    <row r="378" spans="1:32" ht="13.5">
      <c r="A378" s="6018">
        <v>18750</v>
      </c>
      <c r="B378" s="6019">
        <v>18800</v>
      </c>
      <c r="C378" s="6020">
        <v>406</v>
      </c>
      <c r="D378" s="6018">
        <f t="shared" si="48"/>
        <v>3618</v>
      </c>
      <c r="E378" s="6018">
        <f t="shared" si="49"/>
        <v>5980</v>
      </c>
      <c r="F378" s="6019">
        <f t="shared" si="50"/>
        <v>6728</v>
      </c>
      <c r="G378" s="6020">
        <v>1317</v>
      </c>
      <c r="H378" s="6018">
        <f t="shared" si="45"/>
        <v>3618</v>
      </c>
      <c r="I378" s="6018">
        <f t="shared" si="46"/>
        <v>5980</v>
      </c>
      <c r="J378" s="6019">
        <f t="shared" si="47"/>
        <v>6728</v>
      </c>
      <c r="K378" s="1732"/>
      <c r="L378" s="6018">
        <v>18775</v>
      </c>
      <c r="W378" s="6018">
        <v>18750</v>
      </c>
      <c r="X378" s="6019">
        <v>18800</v>
      </c>
      <c r="Y378" s="6018">
        <v>406</v>
      </c>
      <c r="Z378" s="6018">
        <v>3618</v>
      </c>
      <c r="AA378" s="6018">
        <v>5980</v>
      </c>
      <c r="AB378" s="6019">
        <v>6728</v>
      </c>
      <c r="AC378" s="6018">
        <v>1317</v>
      </c>
      <c r="AD378" s="6018">
        <v>3618</v>
      </c>
      <c r="AE378" s="6018">
        <v>5980</v>
      </c>
      <c r="AF378" s="6019">
        <v>6728</v>
      </c>
    </row>
    <row r="379" spans="1:32" ht="13.5">
      <c r="A379" s="6018">
        <v>18800</v>
      </c>
      <c r="B379" s="6019">
        <v>18850</v>
      </c>
      <c r="C379" s="6020">
        <v>399</v>
      </c>
      <c r="D379" s="6018">
        <f t="shared" si="48"/>
        <v>3618</v>
      </c>
      <c r="E379" s="6018">
        <f t="shared" si="49"/>
        <v>5980</v>
      </c>
      <c r="F379" s="6019">
        <f t="shared" si="50"/>
        <v>6728</v>
      </c>
      <c r="G379" s="6020">
        <v>1309</v>
      </c>
      <c r="H379" s="6018">
        <f t="shared" si="45"/>
        <v>3618</v>
      </c>
      <c r="I379" s="6018">
        <f t="shared" si="46"/>
        <v>5980</v>
      </c>
      <c r="J379" s="6019">
        <f t="shared" si="47"/>
        <v>6728</v>
      </c>
      <c r="K379" s="1732"/>
      <c r="L379" s="6018">
        <v>18825</v>
      </c>
      <c r="W379" s="6018">
        <v>18800</v>
      </c>
      <c r="X379" s="6019">
        <v>18850</v>
      </c>
      <c r="Y379" s="6018">
        <v>399</v>
      </c>
      <c r="Z379" s="6018">
        <v>3618</v>
      </c>
      <c r="AA379" s="6018">
        <v>5980</v>
      </c>
      <c r="AB379" s="6019">
        <v>6728</v>
      </c>
      <c r="AC379" s="6018">
        <v>1309</v>
      </c>
      <c r="AD379" s="6018">
        <v>3618</v>
      </c>
      <c r="AE379" s="6018">
        <v>5980</v>
      </c>
      <c r="AF379" s="6019">
        <v>6728</v>
      </c>
    </row>
    <row r="380" spans="1:32" ht="13.5">
      <c r="A380" s="6018">
        <v>18850</v>
      </c>
      <c r="B380" s="6019">
        <v>18900</v>
      </c>
      <c r="C380" s="6020">
        <v>391</v>
      </c>
      <c r="D380" s="6018">
        <f t="shared" si="48"/>
        <v>3618</v>
      </c>
      <c r="E380" s="6018">
        <f t="shared" si="49"/>
        <v>5980</v>
      </c>
      <c r="F380" s="6019">
        <f t="shared" si="50"/>
        <v>6728</v>
      </c>
      <c r="G380" s="6020">
        <v>1301</v>
      </c>
      <c r="H380" s="6018">
        <f t="shared" si="45"/>
        <v>3618</v>
      </c>
      <c r="I380" s="6018">
        <f t="shared" si="46"/>
        <v>5980</v>
      </c>
      <c r="J380" s="6019">
        <f t="shared" si="47"/>
        <v>6728</v>
      </c>
      <c r="K380" s="1732"/>
      <c r="L380" s="6018">
        <v>18875</v>
      </c>
      <c r="W380" s="6018">
        <v>18850</v>
      </c>
      <c r="X380" s="6019">
        <v>18900</v>
      </c>
      <c r="Y380" s="6018">
        <v>391</v>
      </c>
      <c r="Z380" s="6018">
        <v>3618</v>
      </c>
      <c r="AA380" s="6018">
        <v>5980</v>
      </c>
      <c r="AB380" s="6019">
        <v>6728</v>
      </c>
      <c r="AC380" s="6018">
        <v>1301</v>
      </c>
      <c r="AD380" s="6018">
        <v>3618</v>
      </c>
      <c r="AE380" s="6018">
        <v>5980</v>
      </c>
      <c r="AF380" s="6019">
        <v>6728</v>
      </c>
    </row>
    <row r="381" spans="1:32" ht="13.5">
      <c r="A381" s="6018">
        <v>18900</v>
      </c>
      <c r="B381" s="6019">
        <v>18950</v>
      </c>
      <c r="C381" s="6020">
        <v>383</v>
      </c>
      <c r="D381" s="6018">
        <f t="shared" si="48"/>
        <v>3618</v>
      </c>
      <c r="E381" s="6018">
        <f t="shared" si="49"/>
        <v>5980</v>
      </c>
      <c r="F381" s="6019">
        <f t="shared" si="50"/>
        <v>6728</v>
      </c>
      <c r="G381" s="6020">
        <v>1294</v>
      </c>
      <c r="H381" s="6018">
        <f t="shared" si="45"/>
        <v>3618</v>
      </c>
      <c r="I381" s="6018">
        <f t="shared" si="46"/>
        <v>5980</v>
      </c>
      <c r="J381" s="6019">
        <f t="shared" si="47"/>
        <v>6728</v>
      </c>
      <c r="K381" s="1732"/>
      <c r="L381" s="6018">
        <v>18925</v>
      </c>
      <c r="W381" s="6018">
        <v>18900</v>
      </c>
      <c r="X381" s="6019">
        <v>18950</v>
      </c>
      <c r="Y381" s="6018">
        <v>383</v>
      </c>
      <c r="Z381" s="6018">
        <v>3618</v>
      </c>
      <c r="AA381" s="6018">
        <v>5980</v>
      </c>
      <c r="AB381" s="6019">
        <v>6728</v>
      </c>
      <c r="AC381" s="6018">
        <v>1294</v>
      </c>
      <c r="AD381" s="6018">
        <v>3618</v>
      </c>
      <c r="AE381" s="6018">
        <v>5980</v>
      </c>
      <c r="AF381" s="6019">
        <v>6728</v>
      </c>
    </row>
    <row r="382" spans="1:32" ht="13.5">
      <c r="A382" s="6018">
        <v>18950</v>
      </c>
      <c r="B382" s="6019">
        <v>19000</v>
      </c>
      <c r="C382" s="6020">
        <v>376</v>
      </c>
      <c r="D382" s="6018">
        <f t="shared" si="48"/>
        <v>3618</v>
      </c>
      <c r="E382" s="6018">
        <f t="shared" si="49"/>
        <v>5980</v>
      </c>
      <c r="F382" s="6019">
        <f t="shared" si="50"/>
        <v>6728</v>
      </c>
      <c r="G382" s="6020">
        <v>1286</v>
      </c>
      <c r="H382" s="6018">
        <f t="shared" si="45"/>
        <v>3618</v>
      </c>
      <c r="I382" s="6018">
        <f t="shared" si="46"/>
        <v>5980</v>
      </c>
      <c r="J382" s="6019">
        <f t="shared" si="47"/>
        <v>6728</v>
      </c>
      <c r="K382" s="1732"/>
      <c r="L382" s="6018">
        <v>18975</v>
      </c>
      <c r="W382" s="6018">
        <v>18950</v>
      </c>
      <c r="X382" s="6019">
        <v>19000</v>
      </c>
      <c r="Y382" s="6018">
        <v>376</v>
      </c>
      <c r="Z382" s="6018">
        <v>3618</v>
      </c>
      <c r="AA382" s="6018">
        <v>5980</v>
      </c>
      <c r="AB382" s="6019">
        <v>6728</v>
      </c>
      <c r="AC382" s="6018">
        <v>1286</v>
      </c>
      <c r="AD382" s="6018">
        <v>3618</v>
      </c>
      <c r="AE382" s="6018">
        <v>5980</v>
      </c>
      <c r="AF382" s="6019">
        <v>6728</v>
      </c>
    </row>
    <row r="383" spans="1:32" ht="13.5">
      <c r="A383" s="6018">
        <v>19000</v>
      </c>
      <c r="B383" s="6019">
        <v>19050</v>
      </c>
      <c r="C383" s="6020">
        <v>368</v>
      </c>
      <c r="D383" s="6018">
        <f t="shared" si="48"/>
        <v>3618</v>
      </c>
      <c r="E383" s="6018">
        <f t="shared" si="49"/>
        <v>5980</v>
      </c>
      <c r="F383" s="6019">
        <f t="shared" si="50"/>
        <v>6728</v>
      </c>
      <c r="G383" s="6020">
        <v>1278</v>
      </c>
      <c r="H383" s="6018">
        <f t="shared" si="45"/>
        <v>3618</v>
      </c>
      <c r="I383" s="6018">
        <f t="shared" si="46"/>
        <v>5980</v>
      </c>
      <c r="J383" s="6019">
        <f t="shared" si="47"/>
        <v>6728</v>
      </c>
      <c r="K383" s="1732"/>
      <c r="L383" s="6018">
        <v>19025</v>
      </c>
      <c r="W383" s="6018">
        <v>19000</v>
      </c>
      <c r="X383" s="6019">
        <v>19050</v>
      </c>
      <c r="Y383" s="6018">
        <v>368</v>
      </c>
      <c r="Z383" s="6018">
        <v>3618</v>
      </c>
      <c r="AA383" s="6018">
        <v>5980</v>
      </c>
      <c r="AB383" s="6019">
        <v>6728</v>
      </c>
      <c r="AC383" s="6018">
        <v>1278</v>
      </c>
      <c r="AD383" s="6018">
        <v>3618</v>
      </c>
      <c r="AE383" s="6018">
        <v>5980</v>
      </c>
      <c r="AF383" s="6019">
        <v>6728</v>
      </c>
    </row>
    <row r="384" spans="1:32" ht="13.5">
      <c r="A384" s="6018">
        <v>19050</v>
      </c>
      <c r="B384" s="6019">
        <v>19100</v>
      </c>
      <c r="C384" s="6020">
        <v>360</v>
      </c>
      <c r="D384" s="6018">
        <f t="shared" si="48"/>
        <v>3618</v>
      </c>
      <c r="E384" s="6018">
        <f t="shared" si="49"/>
        <v>5980</v>
      </c>
      <c r="F384" s="6019">
        <f t="shared" si="50"/>
        <v>6728</v>
      </c>
      <c r="G384" s="6020">
        <v>1271</v>
      </c>
      <c r="H384" s="6018">
        <f t="shared" si="45"/>
        <v>3618</v>
      </c>
      <c r="I384" s="6018">
        <f t="shared" si="46"/>
        <v>5980</v>
      </c>
      <c r="J384" s="6019">
        <f t="shared" si="47"/>
        <v>6728</v>
      </c>
      <c r="K384" s="1732"/>
      <c r="L384" s="6018">
        <v>19075</v>
      </c>
      <c r="W384" s="6018">
        <v>19050</v>
      </c>
      <c r="X384" s="6019">
        <v>19100</v>
      </c>
      <c r="Y384" s="6018">
        <v>360</v>
      </c>
      <c r="Z384" s="6018">
        <v>3618</v>
      </c>
      <c r="AA384" s="6018">
        <v>5980</v>
      </c>
      <c r="AB384" s="6019">
        <v>6728</v>
      </c>
      <c r="AC384" s="6018">
        <v>1271</v>
      </c>
      <c r="AD384" s="6018">
        <v>3618</v>
      </c>
      <c r="AE384" s="6018">
        <v>5980</v>
      </c>
      <c r="AF384" s="6019">
        <v>6728</v>
      </c>
    </row>
    <row r="385" spans="1:32" ht="13.5">
      <c r="A385" s="6018">
        <v>19100</v>
      </c>
      <c r="B385" s="6019">
        <v>19150</v>
      </c>
      <c r="C385" s="6020">
        <v>353</v>
      </c>
      <c r="D385" s="6018">
        <f t="shared" si="48"/>
        <v>3618</v>
      </c>
      <c r="E385" s="6018">
        <f t="shared" si="49"/>
        <v>5980</v>
      </c>
      <c r="F385" s="6019">
        <f t="shared" si="50"/>
        <v>6728</v>
      </c>
      <c r="G385" s="6020">
        <v>1263</v>
      </c>
      <c r="H385" s="6018">
        <f t="shared" si="45"/>
        <v>3618</v>
      </c>
      <c r="I385" s="6018">
        <f t="shared" si="46"/>
        <v>5980</v>
      </c>
      <c r="J385" s="6019">
        <f t="shared" si="47"/>
        <v>6728</v>
      </c>
      <c r="K385" s="1732"/>
      <c r="L385" s="6018">
        <v>19125</v>
      </c>
      <c r="W385" s="6018">
        <v>19100</v>
      </c>
      <c r="X385" s="6019">
        <v>19150</v>
      </c>
      <c r="Y385" s="6018">
        <v>353</v>
      </c>
      <c r="Z385" s="6018">
        <v>3618</v>
      </c>
      <c r="AA385" s="6018">
        <v>5980</v>
      </c>
      <c r="AB385" s="6019">
        <v>6728</v>
      </c>
      <c r="AC385" s="6018">
        <v>1263</v>
      </c>
      <c r="AD385" s="6018">
        <v>3618</v>
      </c>
      <c r="AE385" s="6018">
        <v>5980</v>
      </c>
      <c r="AF385" s="6019">
        <v>6728</v>
      </c>
    </row>
    <row r="386" spans="1:32" ht="13.5">
      <c r="A386" s="6018">
        <v>19150</v>
      </c>
      <c r="B386" s="6019">
        <v>19200</v>
      </c>
      <c r="C386" s="6020">
        <v>345</v>
      </c>
      <c r="D386" s="6018">
        <f t="shared" si="48"/>
        <v>3618</v>
      </c>
      <c r="E386" s="6018">
        <f t="shared" si="49"/>
        <v>5980</v>
      </c>
      <c r="F386" s="6019">
        <f t="shared" si="50"/>
        <v>6728</v>
      </c>
      <c r="G386" s="6020">
        <v>1255</v>
      </c>
      <c r="H386" s="6018">
        <f t="shared" si="45"/>
        <v>3618</v>
      </c>
      <c r="I386" s="6018">
        <f t="shared" si="46"/>
        <v>5980</v>
      </c>
      <c r="J386" s="6019">
        <f t="shared" si="47"/>
        <v>6728</v>
      </c>
      <c r="K386" s="1732"/>
      <c r="L386" s="6018">
        <v>19175</v>
      </c>
      <c r="W386" s="6018">
        <v>19150</v>
      </c>
      <c r="X386" s="6019">
        <v>19200</v>
      </c>
      <c r="Y386" s="6018">
        <v>345</v>
      </c>
      <c r="Z386" s="6018">
        <v>3618</v>
      </c>
      <c r="AA386" s="6018">
        <v>5980</v>
      </c>
      <c r="AB386" s="6019">
        <v>6728</v>
      </c>
      <c r="AC386" s="6018">
        <v>1255</v>
      </c>
      <c r="AD386" s="6018">
        <v>3618</v>
      </c>
      <c r="AE386" s="6018">
        <v>5980</v>
      </c>
      <c r="AF386" s="6019">
        <v>6728</v>
      </c>
    </row>
    <row r="387" spans="1:32" ht="13.5">
      <c r="A387" s="6018">
        <v>19200</v>
      </c>
      <c r="B387" s="6019">
        <v>19250</v>
      </c>
      <c r="C387" s="6020">
        <v>337</v>
      </c>
      <c r="D387" s="6018">
        <f t="shared" si="48"/>
        <v>3618</v>
      </c>
      <c r="E387" s="6018">
        <f t="shared" si="49"/>
        <v>5980</v>
      </c>
      <c r="F387" s="6019">
        <f t="shared" si="50"/>
        <v>6728</v>
      </c>
      <c r="G387" s="6020">
        <v>1248</v>
      </c>
      <c r="H387" s="6018">
        <f t="shared" si="45"/>
        <v>3618</v>
      </c>
      <c r="I387" s="6018">
        <f t="shared" si="46"/>
        <v>5980</v>
      </c>
      <c r="J387" s="6019">
        <f t="shared" si="47"/>
        <v>6728</v>
      </c>
      <c r="K387" s="1732"/>
      <c r="L387" s="6018">
        <v>19225</v>
      </c>
      <c r="W387" s="6018">
        <v>19200</v>
      </c>
      <c r="X387" s="6019">
        <v>19250</v>
      </c>
      <c r="Y387" s="6018">
        <v>337</v>
      </c>
      <c r="Z387" s="6018">
        <v>3618</v>
      </c>
      <c r="AA387" s="6018">
        <v>5980</v>
      </c>
      <c r="AB387" s="6019">
        <v>6728</v>
      </c>
      <c r="AC387" s="6018">
        <v>1248</v>
      </c>
      <c r="AD387" s="6018">
        <v>3618</v>
      </c>
      <c r="AE387" s="6018">
        <v>5980</v>
      </c>
      <c r="AF387" s="6019">
        <v>6728</v>
      </c>
    </row>
    <row r="388" spans="1:32" ht="13.5">
      <c r="A388" s="6018">
        <v>19250</v>
      </c>
      <c r="B388" s="6019">
        <v>19300</v>
      </c>
      <c r="C388" s="6020">
        <v>330</v>
      </c>
      <c r="D388" s="6018">
        <f t="shared" si="48"/>
        <v>3618</v>
      </c>
      <c r="E388" s="6018">
        <f t="shared" si="49"/>
        <v>5980</v>
      </c>
      <c r="F388" s="6019">
        <f t="shared" si="50"/>
        <v>6728</v>
      </c>
      <c r="G388" s="6020">
        <v>1240</v>
      </c>
      <c r="H388" s="6018">
        <f t="shared" ref="H388:H451" si="51">IF($L388&gt;S$5,MAX(0,S$3+ROUND((S$9*($L388-S$5)),0)),IF($L388&gt;S$4,S$3,ROUND($L388*S$7,0)))</f>
        <v>3618</v>
      </c>
      <c r="I388" s="6018">
        <f t="shared" ref="I388:I451" si="52">IF($L388&gt;T$5,MAX(0,T$3+ROUND((T$9*($L388-T$5)),0)),IF($L388&gt;T$4,T$3,ROUND($L388*T$7,0)))</f>
        <v>5980</v>
      </c>
      <c r="J388" s="6019">
        <f t="shared" ref="J388:J451" si="53">IF($L388&gt;U$5,MAX(0,U$3+ROUND((U$9*($L388-U$5)),0)),IF($L388&gt;U$4,U$3,ROUND($L388*U$7,0)))</f>
        <v>6728</v>
      </c>
      <c r="K388" s="1732"/>
      <c r="L388" s="6018">
        <v>19275</v>
      </c>
      <c r="W388" s="6018">
        <v>19250</v>
      </c>
      <c r="X388" s="6019">
        <v>19300</v>
      </c>
      <c r="Y388" s="6018">
        <v>330</v>
      </c>
      <c r="Z388" s="6018">
        <v>3618</v>
      </c>
      <c r="AA388" s="6018">
        <v>5980</v>
      </c>
      <c r="AB388" s="6019">
        <v>6728</v>
      </c>
      <c r="AC388" s="6018">
        <v>1240</v>
      </c>
      <c r="AD388" s="6018">
        <v>3618</v>
      </c>
      <c r="AE388" s="6018">
        <v>5980</v>
      </c>
      <c r="AF388" s="6019">
        <v>6728</v>
      </c>
    </row>
    <row r="389" spans="1:32" ht="13.5">
      <c r="A389" s="6018">
        <v>19300</v>
      </c>
      <c r="B389" s="6019">
        <v>19350</v>
      </c>
      <c r="C389" s="6020">
        <v>322</v>
      </c>
      <c r="D389" s="6018">
        <f t="shared" si="48"/>
        <v>3618</v>
      </c>
      <c r="E389" s="6018">
        <f t="shared" si="49"/>
        <v>5980</v>
      </c>
      <c r="F389" s="6019">
        <f t="shared" si="50"/>
        <v>6728</v>
      </c>
      <c r="G389" s="6020">
        <v>1232</v>
      </c>
      <c r="H389" s="6018">
        <f t="shared" si="51"/>
        <v>3618</v>
      </c>
      <c r="I389" s="6018">
        <f t="shared" si="52"/>
        <v>5980</v>
      </c>
      <c r="J389" s="6019">
        <f t="shared" si="53"/>
        <v>6728</v>
      </c>
      <c r="K389" s="1732"/>
      <c r="L389" s="6018">
        <v>19325</v>
      </c>
      <c r="W389" s="6018">
        <v>19300</v>
      </c>
      <c r="X389" s="6019">
        <v>19350</v>
      </c>
      <c r="Y389" s="6018">
        <v>322</v>
      </c>
      <c r="Z389" s="6018">
        <v>3618</v>
      </c>
      <c r="AA389" s="6018">
        <v>5980</v>
      </c>
      <c r="AB389" s="6019">
        <v>6728</v>
      </c>
      <c r="AC389" s="6018">
        <v>1232</v>
      </c>
      <c r="AD389" s="6018">
        <v>3618</v>
      </c>
      <c r="AE389" s="6018">
        <v>5980</v>
      </c>
      <c r="AF389" s="6019">
        <v>6728</v>
      </c>
    </row>
    <row r="390" spans="1:32" ht="13.5">
      <c r="A390" s="6018">
        <v>19350</v>
      </c>
      <c r="B390" s="6019">
        <v>19400</v>
      </c>
      <c r="C390" s="6020">
        <v>314</v>
      </c>
      <c r="D390" s="6018">
        <f t="shared" ref="D390:D426" si="54">IF($L390&gt;O$5,MAX(0,O$3+ROUND((O$9*($L390-O$5)),0)),IF($L390&gt;O$4,O$3,ROUND($L390*O$7,0)))</f>
        <v>3618</v>
      </c>
      <c r="E390" s="6018">
        <f t="shared" ref="E390:E453" si="55">IF($L390&gt;P$5,MAX(0,P$3+ROUND((P$9*($L390-P$5)),0)),IF($L390&gt;P$4,P$3,ROUND($L390*P$7,0)))</f>
        <v>5980</v>
      </c>
      <c r="F390" s="6019">
        <f>IF($L390&gt;Q$5,MAX(0,Q$3+ROUND((Q$9*($L390-Q$5)),0)),IF($L390&gt;Q$4,Q$3,ROUND($L390*Q$7,0)))</f>
        <v>6728</v>
      </c>
      <c r="G390" s="6020">
        <v>1225</v>
      </c>
      <c r="H390" s="6018">
        <f t="shared" si="51"/>
        <v>3618</v>
      </c>
      <c r="I390" s="6018">
        <f t="shared" si="52"/>
        <v>5980</v>
      </c>
      <c r="J390" s="6019">
        <f t="shared" si="53"/>
        <v>6728</v>
      </c>
      <c r="K390" s="1732"/>
      <c r="L390" s="6018">
        <v>19375</v>
      </c>
      <c r="W390" s="6018">
        <v>19350</v>
      </c>
      <c r="X390" s="6019">
        <v>19400</v>
      </c>
      <c r="Y390" s="6018">
        <v>314</v>
      </c>
      <c r="Z390" s="6018">
        <v>3618</v>
      </c>
      <c r="AA390" s="6018">
        <v>5980</v>
      </c>
      <c r="AB390" s="6019">
        <v>6728</v>
      </c>
      <c r="AC390" s="6018">
        <v>1225</v>
      </c>
      <c r="AD390" s="6018">
        <v>3618</v>
      </c>
      <c r="AE390" s="6018">
        <v>5980</v>
      </c>
      <c r="AF390" s="6019">
        <v>6728</v>
      </c>
    </row>
    <row r="391" spans="1:32" ht="13.5">
      <c r="A391" s="6018">
        <v>19400</v>
      </c>
      <c r="B391" s="6019">
        <v>19450</v>
      </c>
      <c r="C391" s="6020">
        <v>307</v>
      </c>
      <c r="D391" s="6018">
        <f t="shared" si="54"/>
        <v>3618</v>
      </c>
      <c r="E391" s="6018">
        <f t="shared" si="55"/>
        <v>5980</v>
      </c>
      <c r="F391" s="6019">
        <f>IF($L391&gt;Q$5,MAX(0,Q$3+ROUND((Q$9*($L391-Q$5)),0)),IF($L391&gt;Q$4,Q$3,ROUND($L391*Q$7,0)))</f>
        <v>6728</v>
      </c>
      <c r="G391" s="6020">
        <v>1217</v>
      </c>
      <c r="H391" s="6018">
        <f t="shared" si="51"/>
        <v>3618</v>
      </c>
      <c r="I391" s="6018">
        <f t="shared" si="52"/>
        <v>5980</v>
      </c>
      <c r="J391" s="6019">
        <f t="shared" si="53"/>
        <v>6728</v>
      </c>
      <c r="K391" s="1732"/>
      <c r="L391" s="6018">
        <v>19425</v>
      </c>
      <c r="W391" s="6018">
        <v>19400</v>
      </c>
      <c r="X391" s="6019">
        <v>19450</v>
      </c>
      <c r="Y391" s="6018">
        <v>307</v>
      </c>
      <c r="Z391" s="6018">
        <v>3618</v>
      </c>
      <c r="AA391" s="6018">
        <v>5980</v>
      </c>
      <c r="AB391" s="6019">
        <v>6728</v>
      </c>
      <c r="AC391" s="6018">
        <v>1217</v>
      </c>
      <c r="AD391" s="6018">
        <v>3618</v>
      </c>
      <c r="AE391" s="6018">
        <v>5980</v>
      </c>
      <c r="AF391" s="6019">
        <v>6728</v>
      </c>
    </row>
    <row r="392" spans="1:32" ht="13.5">
      <c r="A392" s="6018">
        <v>19450</v>
      </c>
      <c r="B392" s="6019">
        <v>19500</v>
      </c>
      <c r="C392" s="6020">
        <v>299</v>
      </c>
      <c r="D392" s="6018">
        <f t="shared" si="54"/>
        <v>3618</v>
      </c>
      <c r="E392" s="6018">
        <f t="shared" si="55"/>
        <v>5980</v>
      </c>
      <c r="F392" s="6019">
        <f>IF($L392&gt;Q$5,MAX(0,Q$3+ROUND((Q$9*($L392-Q$5)),0)),IF($L392&gt;Q$4,Q$3,ROUND($L392*Q$7,0)))</f>
        <v>6728</v>
      </c>
      <c r="G392" s="6020">
        <v>1209</v>
      </c>
      <c r="H392" s="6018">
        <f t="shared" si="51"/>
        <v>3618</v>
      </c>
      <c r="I392" s="6018">
        <f t="shared" si="52"/>
        <v>5980</v>
      </c>
      <c r="J392" s="6019">
        <f t="shared" si="53"/>
        <v>6728</v>
      </c>
      <c r="K392" s="1732"/>
      <c r="L392" s="6018">
        <v>19475</v>
      </c>
      <c r="W392" s="6018">
        <v>19450</v>
      </c>
      <c r="X392" s="6019">
        <v>19500</v>
      </c>
      <c r="Y392" s="6018">
        <v>299</v>
      </c>
      <c r="Z392" s="6018">
        <v>3618</v>
      </c>
      <c r="AA392" s="6018">
        <v>5980</v>
      </c>
      <c r="AB392" s="6019">
        <v>6728</v>
      </c>
      <c r="AC392" s="6018">
        <v>1209</v>
      </c>
      <c r="AD392" s="6018">
        <v>3618</v>
      </c>
      <c r="AE392" s="6018">
        <v>5980</v>
      </c>
      <c r="AF392" s="6019">
        <v>6728</v>
      </c>
    </row>
    <row r="393" spans="1:32" ht="13.5">
      <c r="A393" s="6018">
        <v>19500</v>
      </c>
      <c r="B393" s="6019">
        <v>19550</v>
      </c>
      <c r="C393" s="6020">
        <v>291</v>
      </c>
      <c r="D393" s="6018">
        <v>3618</v>
      </c>
      <c r="E393" s="6018">
        <v>5980</v>
      </c>
      <c r="F393" s="6019">
        <v>6728</v>
      </c>
      <c r="G393" s="6020">
        <v>1202</v>
      </c>
      <c r="H393" s="6018">
        <f t="shared" si="51"/>
        <v>3618</v>
      </c>
      <c r="I393" s="6018">
        <f t="shared" si="52"/>
        <v>5980</v>
      </c>
      <c r="J393" s="6019">
        <f t="shared" si="53"/>
        <v>6728</v>
      </c>
      <c r="K393" s="1732"/>
      <c r="L393" s="6018">
        <v>19525</v>
      </c>
      <c r="M393" s="6030"/>
      <c r="N393" s="6030"/>
      <c r="O393" s="6026"/>
      <c r="Q393" s="6018"/>
      <c r="R393" s="6018"/>
      <c r="W393" s="6018">
        <v>19500</v>
      </c>
      <c r="X393" s="6019">
        <v>19550</v>
      </c>
      <c r="Y393" s="6018">
        <v>291</v>
      </c>
      <c r="Z393" s="6018">
        <v>3618</v>
      </c>
      <c r="AA393" s="6018">
        <v>5980</v>
      </c>
      <c r="AB393" s="6019">
        <v>6728</v>
      </c>
      <c r="AC393" s="6018">
        <v>1202</v>
      </c>
      <c r="AD393" s="6018">
        <v>3618</v>
      </c>
      <c r="AE393" s="6018">
        <v>5980</v>
      </c>
      <c r="AF393" s="6019">
        <v>6728</v>
      </c>
    </row>
    <row r="394" spans="1:32" ht="13.5">
      <c r="A394" s="6018">
        <v>19550</v>
      </c>
      <c r="B394" s="6019">
        <v>19600</v>
      </c>
      <c r="C394" s="6020">
        <v>284</v>
      </c>
      <c r="D394" s="6018">
        <f t="shared" si="54"/>
        <v>3609</v>
      </c>
      <c r="E394" s="6018">
        <f t="shared" si="55"/>
        <v>5968</v>
      </c>
      <c r="F394" s="6019">
        <f>IF($L394&gt;Q$5,MAX(0,Q$3+ROUND((Q$9*($L394-Q$5)),0)),IF($L394&gt;Q$4,Q$3,ROUND($L394*Q$7,0)))</f>
        <v>6716</v>
      </c>
      <c r="G394" s="6020">
        <v>1194</v>
      </c>
      <c r="H394" s="6018">
        <f t="shared" si="51"/>
        <v>3618</v>
      </c>
      <c r="I394" s="6018">
        <f t="shared" si="52"/>
        <v>5980</v>
      </c>
      <c r="J394" s="6019">
        <f t="shared" si="53"/>
        <v>6728</v>
      </c>
      <c r="K394" s="1732"/>
      <c r="L394" s="6018">
        <v>19575</v>
      </c>
      <c r="M394" s="6030"/>
      <c r="N394" s="6030"/>
      <c r="O394" s="6026"/>
      <c r="Q394" s="6018"/>
      <c r="R394" s="6018"/>
      <c r="W394" s="6018">
        <v>19550</v>
      </c>
      <c r="X394" s="6019">
        <v>19600</v>
      </c>
      <c r="Y394" s="6018">
        <v>284</v>
      </c>
      <c r="Z394" s="6018">
        <v>3609</v>
      </c>
      <c r="AA394" s="6018">
        <v>5968</v>
      </c>
      <c r="AB394" s="6019">
        <v>6716</v>
      </c>
      <c r="AC394" s="6018">
        <v>1194</v>
      </c>
      <c r="AD394" s="6018">
        <v>3618</v>
      </c>
      <c r="AE394" s="6018">
        <v>5980</v>
      </c>
      <c r="AF394" s="6019">
        <v>6728</v>
      </c>
    </row>
    <row r="395" spans="1:32" ht="13.5">
      <c r="A395" s="6018">
        <v>19600</v>
      </c>
      <c r="B395" s="6019">
        <v>19650</v>
      </c>
      <c r="C395" s="6020">
        <v>276</v>
      </c>
      <c r="D395" s="6018">
        <f t="shared" si="54"/>
        <v>3601</v>
      </c>
      <c r="E395" s="6018">
        <f t="shared" si="55"/>
        <v>5958</v>
      </c>
      <c r="F395" s="6019">
        <v>6705</v>
      </c>
      <c r="G395" s="6020">
        <v>1187</v>
      </c>
      <c r="H395" s="6018">
        <f t="shared" si="51"/>
        <v>3618</v>
      </c>
      <c r="I395" s="6018">
        <f t="shared" si="52"/>
        <v>5980</v>
      </c>
      <c r="J395" s="6019">
        <f t="shared" si="53"/>
        <v>6728</v>
      </c>
      <c r="K395" s="1732"/>
      <c r="L395" s="6018">
        <v>19625</v>
      </c>
      <c r="M395" s="6030"/>
      <c r="N395" s="6030"/>
      <c r="O395" s="6026"/>
      <c r="Q395" s="6018"/>
      <c r="R395" s="6018"/>
      <c r="W395" s="6018">
        <v>19600</v>
      </c>
      <c r="X395" s="6019">
        <v>19650</v>
      </c>
      <c r="Y395" s="6018">
        <v>276</v>
      </c>
      <c r="Z395" s="6018">
        <v>3601</v>
      </c>
      <c r="AA395" s="6018">
        <v>5958</v>
      </c>
      <c r="AB395" s="6019">
        <v>6705</v>
      </c>
      <c r="AC395" s="6018">
        <v>1187</v>
      </c>
      <c r="AD395" s="6018">
        <v>3618</v>
      </c>
      <c r="AE395" s="6018">
        <v>5980</v>
      </c>
      <c r="AF395" s="6019">
        <v>6728</v>
      </c>
    </row>
    <row r="396" spans="1:32" ht="13.5">
      <c r="A396" s="6018">
        <v>19650</v>
      </c>
      <c r="B396" s="6019">
        <v>19700</v>
      </c>
      <c r="C396" s="6020">
        <v>269</v>
      </c>
      <c r="D396" s="6018">
        <f t="shared" si="54"/>
        <v>3593</v>
      </c>
      <c r="E396" s="6018">
        <f t="shared" si="55"/>
        <v>5947</v>
      </c>
      <c r="F396" s="6019">
        <v>6695</v>
      </c>
      <c r="G396" s="6020">
        <v>1179</v>
      </c>
      <c r="H396" s="6018">
        <f t="shared" si="51"/>
        <v>3618</v>
      </c>
      <c r="I396" s="6018">
        <f t="shared" si="52"/>
        <v>5980</v>
      </c>
      <c r="J396" s="6019">
        <f t="shared" si="53"/>
        <v>6728</v>
      </c>
      <c r="K396" s="1732"/>
      <c r="L396" s="6018">
        <v>19675</v>
      </c>
      <c r="M396" s="6030"/>
      <c r="N396" s="6030"/>
      <c r="O396" s="6026"/>
      <c r="Q396" s="6018"/>
      <c r="R396" s="6018"/>
      <c r="W396" s="6018">
        <v>19650</v>
      </c>
      <c r="X396" s="6019">
        <v>19700</v>
      </c>
      <c r="Y396" s="6018">
        <v>269</v>
      </c>
      <c r="Z396" s="6018">
        <v>3593</v>
      </c>
      <c r="AA396" s="6018">
        <v>5947</v>
      </c>
      <c r="AB396" s="6019">
        <v>6695</v>
      </c>
      <c r="AC396" s="6018">
        <v>1179</v>
      </c>
      <c r="AD396" s="6018">
        <v>3618</v>
      </c>
      <c r="AE396" s="6018">
        <v>5980</v>
      </c>
      <c r="AF396" s="6019">
        <v>6728</v>
      </c>
    </row>
    <row r="397" spans="1:32" ht="13.5">
      <c r="A397" s="6018">
        <v>19700</v>
      </c>
      <c r="B397" s="6019">
        <v>19750</v>
      </c>
      <c r="C397" s="6020">
        <v>261</v>
      </c>
      <c r="D397" s="6018">
        <f t="shared" si="54"/>
        <v>3585</v>
      </c>
      <c r="E397" s="6018">
        <f t="shared" si="55"/>
        <v>5937</v>
      </c>
      <c r="F397" s="6019">
        <v>6684</v>
      </c>
      <c r="G397" s="6020">
        <v>1171</v>
      </c>
      <c r="H397" s="6018">
        <f t="shared" si="51"/>
        <v>3618</v>
      </c>
      <c r="I397" s="6018">
        <f t="shared" si="52"/>
        <v>5980</v>
      </c>
      <c r="J397" s="6019">
        <f t="shared" si="53"/>
        <v>6728</v>
      </c>
      <c r="K397" s="1732"/>
      <c r="L397" s="6018">
        <v>19725</v>
      </c>
      <c r="M397" s="6030"/>
      <c r="N397" s="6030"/>
      <c r="O397" s="6026"/>
      <c r="Q397" s="6018"/>
      <c r="R397" s="6018"/>
      <c r="W397" s="6018">
        <v>19700</v>
      </c>
      <c r="X397" s="6019">
        <v>19750</v>
      </c>
      <c r="Y397" s="6018">
        <v>261</v>
      </c>
      <c r="Z397" s="6018">
        <v>3585</v>
      </c>
      <c r="AA397" s="6018">
        <v>5937</v>
      </c>
      <c r="AB397" s="6019">
        <v>6684</v>
      </c>
      <c r="AC397" s="6018">
        <v>1171</v>
      </c>
      <c r="AD397" s="6018">
        <v>3618</v>
      </c>
      <c r="AE397" s="6018">
        <v>5980</v>
      </c>
      <c r="AF397" s="6019">
        <v>6728</v>
      </c>
    </row>
    <row r="398" spans="1:32" ht="13.5">
      <c r="A398" s="6018">
        <v>19750</v>
      </c>
      <c r="B398" s="6019">
        <v>19800</v>
      </c>
      <c r="C398" s="6020">
        <v>253</v>
      </c>
      <c r="D398" s="6018">
        <f t="shared" si="54"/>
        <v>3577</v>
      </c>
      <c r="E398" s="6018">
        <f t="shared" si="55"/>
        <v>5926</v>
      </c>
      <c r="F398" s="6019">
        <v>6674</v>
      </c>
      <c r="G398" s="6020">
        <v>1164</v>
      </c>
      <c r="H398" s="6018">
        <f t="shared" si="51"/>
        <v>3618</v>
      </c>
      <c r="I398" s="6018">
        <f t="shared" si="52"/>
        <v>5980</v>
      </c>
      <c r="J398" s="6019">
        <f t="shared" si="53"/>
        <v>6728</v>
      </c>
      <c r="K398" s="1732"/>
      <c r="L398" s="6018">
        <v>19775</v>
      </c>
      <c r="M398" s="6030"/>
      <c r="N398" s="6030"/>
      <c r="O398" s="6026"/>
      <c r="Q398" s="6018"/>
      <c r="R398" s="6018"/>
      <c r="W398" s="6018">
        <v>19750</v>
      </c>
      <c r="X398" s="6019">
        <v>19800</v>
      </c>
      <c r="Y398" s="6018">
        <v>253</v>
      </c>
      <c r="Z398" s="6018">
        <v>3577</v>
      </c>
      <c r="AA398" s="6018">
        <v>5926</v>
      </c>
      <c r="AB398" s="6019">
        <v>6674</v>
      </c>
      <c r="AC398" s="6018">
        <v>1164</v>
      </c>
      <c r="AD398" s="6018">
        <v>3618</v>
      </c>
      <c r="AE398" s="6018">
        <v>5980</v>
      </c>
      <c r="AF398" s="6019">
        <v>6728</v>
      </c>
    </row>
    <row r="399" spans="1:32" ht="13.5">
      <c r="A399" s="6018">
        <v>19800</v>
      </c>
      <c r="B399" s="6019">
        <v>19850</v>
      </c>
      <c r="C399" s="6020">
        <v>246</v>
      </c>
      <c r="D399" s="6018">
        <f t="shared" si="54"/>
        <v>3569</v>
      </c>
      <c r="E399" s="6018">
        <f t="shared" si="55"/>
        <v>5916</v>
      </c>
      <c r="F399" s="6019">
        <v>6663</v>
      </c>
      <c r="G399" s="6020">
        <v>1156</v>
      </c>
      <c r="H399" s="6018">
        <f t="shared" si="51"/>
        <v>3618</v>
      </c>
      <c r="I399" s="6018">
        <f t="shared" si="52"/>
        <v>5980</v>
      </c>
      <c r="J399" s="6019">
        <f t="shared" si="53"/>
        <v>6728</v>
      </c>
      <c r="K399" s="1732"/>
      <c r="L399" s="6018">
        <v>19825</v>
      </c>
      <c r="M399" s="6030"/>
      <c r="N399" s="6030"/>
      <c r="O399" s="6026"/>
      <c r="Q399" s="6018"/>
      <c r="R399" s="6018"/>
      <c r="W399" s="6018">
        <v>19800</v>
      </c>
      <c r="X399" s="6019">
        <v>19850</v>
      </c>
      <c r="Y399" s="6018">
        <v>246</v>
      </c>
      <c r="Z399" s="6018">
        <v>3569</v>
      </c>
      <c r="AA399" s="6018">
        <v>5916</v>
      </c>
      <c r="AB399" s="6019">
        <v>6663</v>
      </c>
      <c r="AC399" s="6018">
        <v>1156</v>
      </c>
      <c r="AD399" s="6018">
        <v>3618</v>
      </c>
      <c r="AE399" s="6018">
        <v>5980</v>
      </c>
      <c r="AF399" s="6019">
        <v>6728</v>
      </c>
    </row>
    <row r="400" spans="1:32" ht="13.5">
      <c r="A400" s="6018">
        <v>19850</v>
      </c>
      <c r="B400" s="6019">
        <v>19900</v>
      </c>
      <c r="C400" s="6020">
        <v>238</v>
      </c>
      <c r="D400" s="6018">
        <f t="shared" si="54"/>
        <v>3561</v>
      </c>
      <c r="E400" s="6018">
        <f t="shared" si="55"/>
        <v>5905</v>
      </c>
      <c r="F400" s="6019">
        <v>6653</v>
      </c>
      <c r="G400" s="6020">
        <v>1148</v>
      </c>
      <c r="H400" s="6018">
        <f t="shared" si="51"/>
        <v>3618</v>
      </c>
      <c r="I400" s="6018">
        <f t="shared" si="52"/>
        <v>5980</v>
      </c>
      <c r="J400" s="6019">
        <f t="shared" si="53"/>
        <v>6728</v>
      </c>
      <c r="K400" s="1732"/>
      <c r="L400" s="6018">
        <v>19875</v>
      </c>
      <c r="M400" s="6030"/>
      <c r="N400" s="6030"/>
      <c r="O400" s="6026"/>
      <c r="Q400" s="6018"/>
      <c r="R400" s="6018"/>
      <c r="W400" s="6018">
        <v>19850</v>
      </c>
      <c r="X400" s="6019">
        <v>19900</v>
      </c>
      <c r="Y400" s="6018">
        <v>238</v>
      </c>
      <c r="Z400" s="6018">
        <v>3561</v>
      </c>
      <c r="AA400" s="6018">
        <v>5905</v>
      </c>
      <c r="AB400" s="6019">
        <v>6653</v>
      </c>
      <c r="AC400" s="6018">
        <v>1148</v>
      </c>
      <c r="AD400" s="6018">
        <v>3618</v>
      </c>
      <c r="AE400" s="6018">
        <v>5980</v>
      </c>
      <c r="AF400" s="6019">
        <v>6728</v>
      </c>
    </row>
    <row r="401" spans="1:32" ht="13.5">
      <c r="A401" s="6018">
        <v>19900</v>
      </c>
      <c r="B401" s="6019">
        <v>19950</v>
      </c>
      <c r="C401" s="6020">
        <v>230</v>
      </c>
      <c r="D401" s="6018">
        <f t="shared" si="54"/>
        <v>3553</v>
      </c>
      <c r="E401" s="6018">
        <f t="shared" si="55"/>
        <v>5895</v>
      </c>
      <c r="F401" s="6019">
        <v>6642</v>
      </c>
      <c r="G401" s="6020">
        <v>1141</v>
      </c>
      <c r="H401" s="6018">
        <f t="shared" si="51"/>
        <v>3618</v>
      </c>
      <c r="I401" s="6018">
        <f t="shared" si="52"/>
        <v>5980</v>
      </c>
      <c r="J401" s="6019">
        <f t="shared" si="53"/>
        <v>6728</v>
      </c>
      <c r="K401" s="1732"/>
      <c r="L401" s="6018">
        <v>19925</v>
      </c>
      <c r="M401" s="6030"/>
      <c r="N401" s="6030"/>
      <c r="O401" s="6026"/>
      <c r="Q401" s="6018"/>
      <c r="R401" s="6018"/>
      <c r="W401" s="6018">
        <v>19900</v>
      </c>
      <c r="X401" s="6019">
        <v>19950</v>
      </c>
      <c r="Y401" s="6018">
        <v>230</v>
      </c>
      <c r="Z401" s="6018">
        <v>3553</v>
      </c>
      <c r="AA401" s="6018">
        <v>5895</v>
      </c>
      <c r="AB401" s="6019">
        <v>6642</v>
      </c>
      <c r="AC401" s="6018">
        <v>1141</v>
      </c>
      <c r="AD401" s="6018">
        <v>3618</v>
      </c>
      <c r="AE401" s="6018">
        <v>5980</v>
      </c>
      <c r="AF401" s="6019">
        <v>6728</v>
      </c>
    </row>
    <row r="402" spans="1:32" ht="13.5">
      <c r="A402" s="6018">
        <v>19950</v>
      </c>
      <c r="B402" s="6019">
        <v>20000</v>
      </c>
      <c r="C402" s="6020">
        <v>223</v>
      </c>
      <c r="D402" s="6018">
        <f t="shared" si="54"/>
        <v>3545</v>
      </c>
      <c r="E402" s="6018">
        <f t="shared" si="55"/>
        <v>5884</v>
      </c>
      <c r="F402" s="6019">
        <v>6632</v>
      </c>
      <c r="G402" s="6020">
        <v>1133</v>
      </c>
      <c r="H402" s="6018">
        <f t="shared" si="51"/>
        <v>3618</v>
      </c>
      <c r="I402" s="6018">
        <f t="shared" si="52"/>
        <v>5980</v>
      </c>
      <c r="J402" s="6019">
        <f t="shared" si="53"/>
        <v>6728</v>
      </c>
      <c r="K402" s="1732"/>
      <c r="L402" s="6018">
        <v>19975</v>
      </c>
      <c r="M402" s="6030"/>
      <c r="N402" s="6030"/>
      <c r="O402" s="6026"/>
      <c r="Q402" s="6018"/>
      <c r="R402" s="6018"/>
      <c r="W402" s="6018">
        <v>19950</v>
      </c>
      <c r="X402" s="6019">
        <v>20000</v>
      </c>
      <c r="Y402" s="6018">
        <v>223</v>
      </c>
      <c r="Z402" s="6018">
        <v>3545</v>
      </c>
      <c r="AA402" s="6018">
        <v>5884</v>
      </c>
      <c r="AB402" s="6019">
        <v>6632</v>
      </c>
      <c r="AC402" s="6018">
        <v>1133</v>
      </c>
      <c r="AD402" s="6018">
        <v>3618</v>
      </c>
      <c r="AE402" s="6018">
        <v>5980</v>
      </c>
      <c r="AF402" s="6019">
        <v>6728</v>
      </c>
    </row>
    <row r="403" spans="1:32" ht="13.5">
      <c r="A403" s="6018">
        <v>20000</v>
      </c>
      <c r="B403" s="6019">
        <v>20050</v>
      </c>
      <c r="C403" s="6020">
        <v>215</v>
      </c>
      <c r="D403" s="6018">
        <f t="shared" si="54"/>
        <v>3537</v>
      </c>
      <c r="E403" s="6018">
        <f t="shared" si="55"/>
        <v>5874</v>
      </c>
      <c r="F403" s="6019">
        <v>6621</v>
      </c>
      <c r="G403" s="6020">
        <v>1125</v>
      </c>
      <c r="H403" s="6018">
        <f t="shared" si="51"/>
        <v>3618</v>
      </c>
      <c r="I403" s="6018">
        <f t="shared" si="52"/>
        <v>5980</v>
      </c>
      <c r="J403" s="6019">
        <f t="shared" si="53"/>
        <v>6728</v>
      </c>
      <c r="K403" s="1732"/>
      <c r="L403" s="6018">
        <v>20025</v>
      </c>
      <c r="M403" s="6030"/>
      <c r="N403" s="6030"/>
      <c r="O403" s="6026"/>
      <c r="Q403" s="6018"/>
      <c r="R403" s="6018"/>
      <c r="W403" s="6018">
        <v>20000</v>
      </c>
      <c r="X403" s="6019">
        <v>20050</v>
      </c>
      <c r="Y403" s="6018">
        <v>215</v>
      </c>
      <c r="Z403" s="6018">
        <v>3537</v>
      </c>
      <c r="AA403" s="6018">
        <v>5874</v>
      </c>
      <c r="AB403" s="6019">
        <v>6621</v>
      </c>
      <c r="AC403" s="6018">
        <v>1125</v>
      </c>
      <c r="AD403" s="6018">
        <v>3618</v>
      </c>
      <c r="AE403" s="6018">
        <v>5980</v>
      </c>
      <c r="AF403" s="6019">
        <v>6728</v>
      </c>
    </row>
    <row r="404" spans="1:32" ht="13.5">
      <c r="A404" s="6018">
        <v>20050</v>
      </c>
      <c r="B404" s="6019">
        <v>20100</v>
      </c>
      <c r="C404" s="6020">
        <v>207</v>
      </c>
      <c r="D404" s="6018">
        <f t="shared" si="54"/>
        <v>3529</v>
      </c>
      <c r="E404" s="6018">
        <f t="shared" si="55"/>
        <v>5863</v>
      </c>
      <c r="F404" s="6019">
        <v>6611</v>
      </c>
      <c r="G404" s="6020">
        <v>1118</v>
      </c>
      <c r="H404" s="6018">
        <f t="shared" si="51"/>
        <v>3618</v>
      </c>
      <c r="I404" s="6018">
        <f t="shared" si="52"/>
        <v>5980</v>
      </c>
      <c r="J404" s="6019">
        <f t="shared" si="53"/>
        <v>6728</v>
      </c>
      <c r="K404" s="1732"/>
      <c r="L404" s="6018">
        <v>20075</v>
      </c>
      <c r="M404" s="6030"/>
      <c r="N404" s="6030"/>
      <c r="O404" s="6026"/>
      <c r="Q404" s="6018"/>
      <c r="R404" s="6018"/>
      <c r="W404" s="6018">
        <v>20050</v>
      </c>
      <c r="X404" s="6019">
        <v>20100</v>
      </c>
      <c r="Y404" s="6018">
        <v>207</v>
      </c>
      <c r="Z404" s="6018">
        <v>3529</v>
      </c>
      <c r="AA404" s="6018">
        <v>5863</v>
      </c>
      <c r="AB404" s="6019">
        <v>6611</v>
      </c>
      <c r="AC404" s="6018">
        <v>1118</v>
      </c>
      <c r="AD404" s="6018">
        <v>3618</v>
      </c>
      <c r="AE404" s="6018">
        <v>5980</v>
      </c>
      <c r="AF404" s="6019">
        <v>6728</v>
      </c>
    </row>
    <row r="405" spans="1:32" ht="13.5">
      <c r="A405" s="6018">
        <v>20100</v>
      </c>
      <c r="B405" s="6019">
        <v>20150</v>
      </c>
      <c r="C405" s="6020">
        <v>200</v>
      </c>
      <c r="D405" s="6018">
        <f t="shared" si="54"/>
        <v>3521</v>
      </c>
      <c r="E405" s="6018">
        <f t="shared" si="55"/>
        <v>5853</v>
      </c>
      <c r="F405" s="6019">
        <v>6600</v>
      </c>
      <c r="G405" s="6020">
        <v>1110</v>
      </c>
      <c r="H405" s="6018">
        <f t="shared" si="51"/>
        <v>3618</v>
      </c>
      <c r="I405" s="6018">
        <f t="shared" si="52"/>
        <v>5980</v>
      </c>
      <c r="J405" s="6019">
        <f t="shared" si="53"/>
        <v>6728</v>
      </c>
      <c r="K405" s="1732"/>
      <c r="L405" s="6018">
        <v>20125</v>
      </c>
      <c r="M405" s="6030"/>
      <c r="N405" s="6030"/>
      <c r="O405" s="6026"/>
      <c r="Q405" s="6018"/>
      <c r="R405" s="6018"/>
      <c r="W405" s="6018">
        <v>20100</v>
      </c>
      <c r="X405" s="6019">
        <v>20150</v>
      </c>
      <c r="Y405" s="6018">
        <v>200</v>
      </c>
      <c r="Z405" s="6018">
        <v>3521</v>
      </c>
      <c r="AA405" s="6018">
        <v>5853</v>
      </c>
      <c r="AB405" s="6019">
        <v>6600</v>
      </c>
      <c r="AC405" s="6018">
        <v>1110</v>
      </c>
      <c r="AD405" s="6018">
        <v>3618</v>
      </c>
      <c r="AE405" s="6018">
        <v>5980</v>
      </c>
      <c r="AF405" s="6019">
        <v>6728</v>
      </c>
    </row>
    <row r="406" spans="1:32" ht="13.5">
      <c r="A406" s="6018">
        <v>20150</v>
      </c>
      <c r="B406" s="6019">
        <v>20200</v>
      </c>
      <c r="C406" s="6020">
        <v>192</v>
      </c>
      <c r="D406" s="6018">
        <f t="shared" si="54"/>
        <v>3513</v>
      </c>
      <c r="E406" s="6018">
        <f t="shared" si="55"/>
        <v>5842</v>
      </c>
      <c r="F406" s="6019">
        <v>6590</v>
      </c>
      <c r="G406" s="6020">
        <v>1102</v>
      </c>
      <c r="H406" s="6018">
        <f t="shared" si="51"/>
        <v>3618</v>
      </c>
      <c r="I406" s="6018">
        <f t="shared" si="52"/>
        <v>5980</v>
      </c>
      <c r="J406" s="6019">
        <f t="shared" si="53"/>
        <v>6728</v>
      </c>
      <c r="K406" s="1732"/>
      <c r="L406" s="6018">
        <v>20175</v>
      </c>
      <c r="M406" s="6030"/>
      <c r="N406" s="6030"/>
      <c r="O406" s="6026"/>
      <c r="Q406" s="6018"/>
      <c r="R406" s="6018"/>
      <c r="W406" s="6018">
        <v>20150</v>
      </c>
      <c r="X406" s="6019">
        <v>20200</v>
      </c>
      <c r="Y406" s="6018">
        <v>192</v>
      </c>
      <c r="Z406" s="6018">
        <v>3513</v>
      </c>
      <c r="AA406" s="6018">
        <v>5842</v>
      </c>
      <c r="AB406" s="6019">
        <v>6590</v>
      </c>
      <c r="AC406" s="6018">
        <v>1102</v>
      </c>
      <c r="AD406" s="6018">
        <v>3618</v>
      </c>
      <c r="AE406" s="6018">
        <v>5980</v>
      </c>
      <c r="AF406" s="6019">
        <v>6728</v>
      </c>
    </row>
    <row r="407" spans="1:32" ht="13.5">
      <c r="A407" s="6018">
        <v>20200</v>
      </c>
      <c r="B407" s="6019">
        <v>20250</v>
      </c>
      <c r="C407" s="6020">
        <v>184</v>
      </c>
      <c r="D407" s="6018">
        <f t="shared" si="54"/>
        <v>3505</v>
      </c>
      <c r="E407" s="6018">
        <f t="shared" si="55"/>
        <v>5832</v>
      </c>
      <c r="F407" s="6019">
        <v>6579</v>
      </c>
      <c r="G407" s="6020">
        <v>1095</v>
      </c>
      <c r="H407" s="6018">
        <f t="shared" si="51"/>
        <v>3618</v>
      </c>
      <c r="I407" s="6018">
        <f t="shared" si="52"/>
        <v>5980</v>
      </c>
      <c r="J407" s="6019">
        <f t="shared" si="53"/>
        <v>6728</v>
      </c>
      <c r="K407" s="1732"/>
      <c r="L407" s="6018">
        <v>20225</v>
      </c>
      <c r="M407" s="6030"/>
      <c r="N407" s="6030"/>
      <c r="O407" s="6026"/>
      <c r="Q407" s="6018"/>
      <c r="R407" s="6018"/>
      <c r="W407" s="6018">
        <v>20200</v>
      </c>
      <c r="X407" s="6019">
        <v>20250</v>
      </c>
      <c r="Y407" s="6018">
        <v>184</v>
      </c>
      <c r="Z407" s="6018">
        <v>3505</v>
      </c>
      <c r="AA407" s="6018">
        <v>5832</v>
      </c>
      <c r="AB407" s="6019">
        <v>6579</v>
      </c>
      <c r="AC407" s="6018">
        <v>1095</v>
      </c>
      <c r="AD407" s="6018">
        <v>3618</v>
      </c>
      <c r="AE407" s="6018">
        <v>5980</v>
      </c>
      <c r="AF407" s="6019">
        <v>6728</v>
      </c>
    </row>
    <row r="408" spans="1:32" ht="13.5">
      <c r="A408" s="6018">
        <v>20250</v>
      </c>
      <c r="B408" s="6019">
        <v>20300</v>
      </c>
      <c r="C408" s="6020">
        <v>177</v>
      </c>
      <c r="D408" s="6018">
        <f t="shared" si="54"/>
        <v>3497</v>
      </c>
      <c r="E408" s="6018">
        <f t="shared" si="55"/>
        <v>5821</v>
      </c>
      <c r="F408" s="6019">
        <v>6568</v>
      </c>
      <c r="G408" s="6020">
        <v>1087</v>
      </c>
      <c r="H408" s="6018">
        <f t="shared" si="51"/>
        <v>3618</v>
      </c>
      <c r="I408" s="6018">
        <f t="shared" si="52"/>
        <v>5980</v>
      </c>
      <c r="J408" s="6019">
        <f t="shared" si="53"/>
        <v>6728</v>
      </c>
      <c r="K408" s="1732"/>
      <c r="L408" s="6018">
        <v>20275</v>
      </c>
      <c r="M408" s="6030"/>
      <c r="N408" s="6030"/>
      <c r="O408" s="6026"/>
      <c r="Q408" s="6018"/>
      <c r="R408" s="6018"/>
      <c r="W408" s="6018">
        <v>20250</v>
      </c>
      <c r="X408" s="6019">
        <v>20300</v>
      </c>
      <c r="Y408" s="6018">
        <v>177</v>
      </c>
      <c r="Z408" s="6018">
        <v>3497</v>
      </c>
      <c r="AA408" s="6018">
        <v>5821</v>
      </c>
      <c r="AB408" s="6019">
        <v>6568</v>
      </c>
      <c r="AC408" s="6018">
        <v>1087</v>
      </c>
      <c r="AD408" s="6018">
        <v>3618</v>
      </c>
      <c r="AE408" s="6018">
        <v>5980</v>
      </c>
      <c r="AF408" s="6019">
        <v>6728</v>
      </c>
    </row>
    <row r="409" spans="1:32" ht="13.5">
      <c r="A409" s="6018">
        <v>20300</v>
      </c>
      <c r="B409" s="6019">
        <v>20350</v>
      </c>
      <c r="C409" s="6020">
        <v>169</v>
      </c>
      <c r="D409" s="6018">
        <f t="shared" si="54"/>
        <v>3489</v>
      </c>
      <c r="E409" s="6018">
        <f t="shared" si="55"/>
        <v>5810</v>
      </c>
      <c r="F409" s="6019">
        <v>6558</v>
      </c>
      <c r="G409" s="6020">
        <v>1079</v>
      </c>
      <c r="H409" s="6018">
        <f t="shared" si="51"/>
        <v>3618</v>
      </c>
      <c r="I409" s="6018">
        <f t="shared" si="52"/>
        <v>5980</v>
      </c>
      <c r="J409" s="6019">
        <f t="shared" si="53"/>
        <v>6728</v>
      </c>
      <c r="K409" s="1732"/>
      <c r="L409" s="6018">
        <v>20325</v>
      </c>
      <c r="M409" s="6030"/>
      <c r="N409" s="6030"/>
      <c r="O409" s="6026"/>
      <c r="Q409" s="6018"/>
      <c r="R409" s="6018"/>
      <c r="W409" s="6018">
        <v>20300</v>
      </c>
      <c r="X409" s="6019">
        <v>20350</v>
      </c>
      <c r="Y409" s="6018">
        <v>169</v>
      </c>
      <c r="Z409" s="6018">
        <v>3489</v>
      </c>
      <c r="AA409" s="6018">
        <v>5810</v>
      </c>
      <c r="AB409" s="6019">
        <v>6558</v>
      </c>
      <c r="AC409" s="6018">
        <v>1079</v>
      </c>
      <c r="AD409" s="6018">
        <v>3618</v>
      </c>
      <c r="AE409" s="6018">
        <v>5980</v>
      </c>
      <c r="AF409" s="6019">
        <v>6728</v>
      </c>
    </row>
    <row r="410" spans="1:32" ht="13.5">
      <c r="A410" s="6018">
        <v>20350</v>
      </c>
      <c r="B410" s="6019">
        <v>20400</v>
      </c>
      <c r="C410" s="6020">
        <v>161</v>
      </c>
      <c r="D410" s="6018">
        <f t="shared" si="54"/>
        <v>3481</v>
      </c>
      <c r="E410" s="6018">
        <f t="shared" si="55"/>
        <v>5800</v>
      </c>
      <c r="F410" s="6019">
        <v>6547</v>
      </c>
      <c r="G410" s="6020">
        <v>1072</v>
      </c>
      <c r="H410" s="6018">
        <f t="shared" si="51"/>
        <v>3618</v>
      </c>
      <c r="I410" s="6018">
        <f t="shared" si="52"/>
        <v>5980</v>
      </c>
      <c r="J410" s="6019">
        <f t="shared" si="53"/>
        <v>6728</v>
      </c>
      <c r="K410" s="1732"/>
      <c r="L410" s="6018">
        <v>20375</v>
      </c>
      <c r="M410" s="6030"/>
      <c r="N410" s="6030"/>
      <c r="O410" s="6026"/>
      <c r="Q410" s="6018"/>
      <c r="R410" s="6018"/>
      <c r="W410" s="6018">
        <v>20350</v>
      </c>
      <c r="X410" s="6019">
        <v>20400</v>
      </c>
      <c r="Y410" s="6018">
        <v>161</v>
      </c>
      <c r="Z410" s="6018">
        <v>3481</v>
      </c>
      <c r="AA410" s="6018">
        <v>5800</v>
      </c>
      <c r="AB410" s="6019">
        <v>6547</v>
      </c>
      <c r="AC410" s="6018">
        <v>1072</v>
      </c>
      <c r="AD410" s="6018">
        <v>3618</v>
      </c>
      <c r="AE410" s="6018">
        <v>5980</v>
      </c>
      <c r="AF410" s="6019">
        <v>6728</v>
      </c>
    </row>
    <row r="411" spans="1:32" ht="13.5">
      <c r="A411" s="6018">
        <v>20400</v>
      </c>
      <c r="B411" s="6019">
        <v>20450</v>
      </c>
      <c r="C411" s="6020">
        <v>154</v>
      </c>
      <c r="D411" s="6018">
        <f t="shared" si="54"/>
        <v>3473</v>
      </c>
      <c r="E411" s="6018">
        <f t="shared" si="55"/>
        <v>5789</v>
      </c>
      <c r="F411" s="6019">
        <v>6537</v>
      </c>
      <c r="G411" s="6020">
        <v>1064</v>
      </c>
      <c r="H411" s="6018">
        <f t="shared" si="51"/>
        <v>3618</v>
      </c>
      <c r="I411" s="6018">
        <f t="shared" si="52"/>
        <v>5980</v>
      </c>
      <c r="J411" s="6019">
        <f t="shared" si="53"/>
        <v>6728</v>
      </c>
      <c r="K411" s="1732"/>
      <c r="L411" s="6018">
        <v>20425</v>
      </c>
      <c r="M411" s="6030"/>
      <c r="N411" s="6030"/>
      <c r="O411" s="6026"/>
      <c r="Q411" s="6018"/>
      <c r="R411" s="6018"/>
      <c r="W411" s="6018">
        <v>20400</v>
      </c>
      <c r="X411" s="6019">
        <v>20450</v>
      </c>
      <c r="Y411" s="6018">
        <v>154</v>
      </c>
      <c r="Z411" s="6018">
        <v>3473</v>
      </c>
      <c r="AA411" s="6018">
        <v>5789</v>
      </c>
      <c r="AB411" s="6019">
        <v>6537</v>
      </c>
      <c r="AC411" s="6018">
        <v>1064</v>
      </c>
      <c r="AD411" s="6018">
        <v>3618</v>
      </c>
      <c r="AE411" s="6018">
        <v>5980</v>
      </c>
      <c r="AF411" s="6019">
        <v>6728</v>
      </c>
    </row>
    <row r="412" spans="1:32" ht="13.5">
      <c r="A412" s="6018">
        <v>20450</v>
      </c>
      <c r="B412" s="6019">
        <v>20500</v>
      </c>
      <c r="C412" s="6020">
        <v>146</v>
      </c>
      <c r="D412" s="6018">
        <f t="shared" si="54"/>
        <v>3465</v>
      </c>
      <c r="E412" s="6018">
        <f t="shared" si="55"/>
        <v>5779</v>
      </c>
      <c r="F412" s="6019">
        <v>6526</v>
      </c>
      <c r="G412" s="6020">
        <v>1056</v>
      </c>
      <c r="H412" s="6018">
        <f t="shared" si="51"/>
        <v>3618</v>
      </c>
      <c r="I412" s="6018">
        <f t="shared" si="52"/>
        <v>5980</v>
      </c>
      <c r="J412" s="6019">
        <f t="shared" si="53"/>
        <v>6728</v>
      </c>
      <c r="K412" s="1732"/>
      <c r="L412" s="6018">
        <v>20475</v>
      </c>
      <c r="M412" s="6030"/>
      <c r="N412" s="6030"/>
      <c r="O412" s="6026"/>
      <c r="Q412" s="6018"/>
      <c r="R412" s="6018"/>
      <c r="W412" s="6018">
        <v>20450</v>
      </c>
      <c r="X412" s="6019">
        <v>20500</v>
      </c>
      <c r="Y412" s="6018">
        <v>146</v>
      </c>
      <c r="Z412" s="6018">
        <v>3465</v>
      </c>
      <c r="AA412" s="6018">
        <v>5779</v>
      </c>
      <c r="AB412" s="6019">
        <v>6526</v>
      </c>
      <c r="AC412" s="6018">
        <v>1056</v>
      </c>
      <c r="AD412" s="6018">
        <v>3618</v>
      </c>
      <c r="AE412" s="6018">
        <v>5980</v>
      </c>
      <c r="AF412" s="6019">
        <v>6728</v>
      </c>
    </row>
    <row r="413" spans="1:32" ht="13.5">
      <c r="A413" s="6018">
        <v>20500</v>
      </c>
      <c r="B413" s="6019">
        <v>20550</v>
      </c>
      <c r="C413" s="6020">
        <v>138</v>
      </c>
      <c r="D413" s="6018">
        <f t="shared" si="54"/>
        <v>3457</v>
      </c>
      <c r="E413" s="6018">
        <f t="shared" si="55"/>
        <v>5768</v>
      </c>
      <c r="F413" s="6019">
        <v>6516</v>
      </c>
      <c r="G413" s="6020">
        <v>1049</v>
      </c>
      <c r="H413" s="6018">
        <f t="shared" si="51"/>
        <v>3618</v>
      </c>
      <c r="I413" s="6018">
        <f t="shared" si="52"/>
        <v>5980</v>
      </c>
      <c r="J413" s="6019">
        <f t="shared" si="53"/>
        <v>6728</v>
      </c>
      <c r="K413" s="1732"/>
      <c r="L413" s="6018">
        <v>20525</v>
      </c>
      <c r="M413" s="6030"/>
      <c r="N413" s="6030"/>
      <c r="O413" s="6026"/>
      <c r="Q413" s="6018"/>
      <c r="R413" s="6018"/>
      <c r="W413" s="6018">
        <v>20500</v>
      </c>
      <c r="X413" s="6019">
        <v>20550</v>
      </c>
      <c r="Y413" s="6018">
        <v>138</v>
      </c>
      <c r="Z413" s="6018">
        <v>3457</v>
      </c>
      <c r="AA413" s="6018">
        <v>5768</v>
      </c>
      <c r="AB413" s="6019">
        <v>6516</v>
      </c>
      <c r="AC413" s="6018">
        <v>1049</v>
      </c>
      <c r="AD413" s="6018">
        <v>3618</v>
      </c>
      <c r="AE413" s="6018">
        <v>5980</v>
      </c>
      <c r="AF413" s="6019">
        <v>6728</v>
      </c>
    </row>
    <row r="414" spans="1:32" ht="13.5">
      <c r="A414" s="6018">
        <v>20550</v>
      </c>
      <c r="B414" s="6019">
        <v>20600</v>
      </c>
      <c r="C414" s="6020">
        <v>131</v>
      </c>
      <c r="D414" s="6018">
        <f t="shared" si="54"/>
        <v>3449</v>
      </c>
      <c r="E414" s="6018">
        <f t="shared" si="55"/>
        <v>5758</v>
      </c>
      <c r="F414" s="6019">
        <v>6505</v>
      </c>
      <c r="G414" s="6020">
        <v>1041</v>
      </c>
      <c r="H414" s="6018">
        <f t="shared" si="51"/>
        <v>3618</v>
      </c>
      <c r="I414" s="6018">
        <f t="shared" si="52"/>
        <v>5980</v>
      </c>
      <c r="J414" s="6019">
        <f t="shared" si="53"/>
        <v>6728</v>
      </c>
      <c r="K414" s="1732"/>
      <c r="L414" s="6018">
        <v>20575</v>
      </c>
      <c r="M414" s="6030"/>
      <c r="N414" s="6030"/>
      <c r="O414" s="6026"/>
      <c r="Q414" s="6018"/>
      <c r="R414" s="6018"/>
      <c r="W414" s="6018">
        <v>20550</v>
      </c>
      <c r="X414" s="6019">
        <v>20600</v>
      </c>
      <c r="Y414" s="6018">
        <v>131</v>
      </c>
      <c r="Z414" s="6018">
        <v>3449</v>
      </c>
      <c r="AA414" s="6018">
        <v>5758</v>
      </c>
      <c r="AB414" s="6019">
        <v>6505</v>
      </c>
      <c r="AC414" s="6018">
        <v>1041</v>
      </c>
      <c r="AD414" s="6018">
        <v>3618</v>
      </c>
      <c r="AE414" s="6018">
        <v>5980</v>
      </c>
      <c r="AF414" s="6019">
        <v>6728</v>
      </c>
    </row>
    <row r="415" spans="1:32" ht="13.5">
      <c r="A415" s="6018">
        <v>20600</v>
      </c>
      <c r="B415" s="6019">
        <v>20650</v>
      </c>
      <c r="C415" s="6020">
        <v>123</v>
      </c>
      <c r="D415" s="6018">
        <f t="shared" si="54"/>
        <v>3441</v>
      </c>
      <c r="E415" s="6018">
        <f t="shared" si="55"/>
        <v>5747</v>
      </c>
      <c r="F415" s="6019">
        <v>6495</v>
      </c>
      <c r="G415" s="6020">
        <v>1034</v>
      </c>
      <c r="H415" s="6018">
        <f t="shared" si="51"/>
        <v>3618</v>
      </c>
      <c r="I415" s="6018">
        <f t="shared" si="52"/>
        <v>5980</v>
      </c>
      <c r="J415" s="6019">
        <f t="shared" si="53"/>
        <v>6728</v>
      </c>
      <c r="K415" s="1732"/>
      <c r="L415" s="6018">
        <v>20625</v>
      </c>
      <c r="M415" s="6030"/>
      <c r="N415" s="6030"/>
      <c r="O415" s="6026"/>
      <c r="Q415" s="6018"/>
      <c r="R415" s="6018"/>
      <c r="W415" s="6018">
        <v>20600</v>
      </c>
      <c r="X415" s="6019">
        <v>20650</v>
      </c>
      <c r="Y415" s="6018">
        <v>123</v>
      </c>
      <c r="Z415" s="6018">
        <v>3441</v>
      </c>
      <c r="AA415" s="6018">
        <v>5747</v>
      </c>
      <c r="AB415" s="6019">
        <v>6495</v>
      </c>
      <c r="AC415" s="6018">
        <v>1034</v>
      </c>
      <c r="AD415" s="6018">
        <v>3618</v>
      </c>
      <c r="AE415" s="6018">
        <v>5980</v>
      </c>
      <c r="AF415" s="6019">
        <v>6728</v>
      </c>
    </row>
    <row r="416" spans="1:32" ht="13.5">
      <c r="A416" s="6018">
        <v>20650</v>
      </c>
      <c r="B416" s="6019">
        <v>20700</v>
      </c>
      <c r="C416" s="6020">
        <v>116</v>
      </c>
      <c r="D416" s="6018">
        <f t="shared" si="54"/>
        <v>3433</v>
      </c>
      <c r="E416" s="6018">
        <f t="shared" si="55"/>
        <v>5737</v>
      </c>
      <c r="F416" s="6019">
        <v>6484</v>
      </c>
      <c r="G416" s="6020">
        <v>1026</v>
      </c>
      <c r="H416" s="6018">
        <f t="shared" si="51"/>
        <v>3618</v>
      </c>
      <c r="I416" s="6018">
        <f t="shared" si="52"/>
        <v>5980</v>
      </c>
      <c r="J416" s="6019">
        <f t="shared" si="53"/>
        <v>6728</v>
      </c>
      <c r="K416" s="1732"/>
      <c r="L416" s="6018">
        <v>20675</v>
      </c>
      <c r="M416" s="6030"/>
      <c r="N416" s="6030"/>
      <c r="O416" s="6026"/>
      <c r="Q416" s="6018"/>
      <c r="R416" s="6018"/>
      <c r="W416" s="6018">
        <v>20650</v>
      </c>
      <c r="X416" s="6019">
        <v>20700</v>
      </c>
      <c r="Y416" s="6018">
        <v>116</v>
      </c>
      <c r="Z416" s="6018">
        <v>3433</v>
      </c>
      <c r="AA416" s="6018">
        <v>5737</v>
      </c>
      <c r="AB416" s="6019">
        <v>6484</v>
      </c>
      <c r="AC416" s="6018">
        <v>1026</v>
      </c>
      <c r="AD416" s="6018">
        <v>3618</v>
      </c>
      <c r="AE416" s="6018">
        <v>5980</v>
      </c>
      <c r="AF416" s="6019">
        <v>6728</v>
      </c>
    </row>
    <row r="417" spans="1:32" ht="13.5">
      <c r="A417" s="6018">
        <v>20700</v>
      </c>
      <c r="B417" s="6019">
        <v>20750</v>
      </c>
      <c r="C417" s="6020">
        <v>108</v>
      </c>
      <c r="D417" s="6018">
        <f t="shared" si="54"/>
        <v>3425</v>
      </c>
      <c r="E417" s="6018">
        <f t="shared" si="55"/>
        <v>5726</v>
      </c>
      <c r="F417" s="6019">
        <v>6474</v>
      </c>
      <c r="G417" s="6020">
        <v>1018</v>
      </c>
      <c r="H417" s="6018">
        <f t="shared" si="51"/>
        <v>3618</v>
      </c>
      <c r="I417" s="6018">
        <f t="shared" si="52"/>
        <v>5980</v>
      </c>
      <c r="J417" s="6019">
        <f t="shared" si="53"/>
        <v>6728</v>
      </c>
      <c r="K417" s="1732"/>
      <c r="L417" s="6018">
        <v>20725</v>
      </c>
      <c r="M417" s="6030"/>
      <c r="N417" s="6030"/>
      <c r="O417" s="6026"/>
      <c r="Q417" s="6018"/>
      <c r="R417" s="6018"/>
      <c r="W417" s="6018">
        <v>20700</v>
      </c>
      <c r="X417" s="6019">
        <v>20750</v>
      </c>
      <c r="Y417" s="6018">
        <v>108</v>
      </c>
      <c r="Z417" s="6018">
        <v>3425</v>
      </c>
      <c r="AA417" s="6018">
        <v>5726</v>
      </c>
      <c r="AB417" s="6019">
        <v>6474</v>
      </c>
      <c r="AC417" s="6018">
        <v>1018</v>
      </c>
      <c r="AD417" s="6018">
        <v>3618</v>
      </c>
      <c r="AE417" s="6018">
        <v>5980</v>
      </c>
      <c r="AF417" s="6019">
        <v>6728</v>
      </c>
    </row>
    <row r="418" spans="1:32" ht="13.5">
      <c r="A418" s="6018">
        <v>20750</v>
      </c>
      <c r="B418" s="6019">
        <v>20800</v>
      </c>
      <c r="C418" s="6020">
        <v>100</v>
      </c>
      <c r="D418" s="6018">
        <f t="shared" si="54"/>
        <v>3417</v>
      </c>
      <c r="E418" s="6018">
        <f t="shared" si="55"/>
        <v>5716</v>
      </c>
      <c r="F418" s="6019">
        <v>6463</v>
      </c>
      <c r="G418" s="6020">
        <v>1011</v>
      </c>
      <c r="H418" s="6018">
        <f t="shared" si="51"/>
        <v>3618</v>
      </c>
      <c r="I418" s="6018">
        <f t="shared" si="52"/>
        <v>5980</v>
      </c>
      <c r="J418" s="6019">
        <f t="shared" si="53"/>
        <v>6728</v>
      </c>
      <c r="K418" s="1732"/>
      <c r="L418" s="6018">
        <v>20775</v>
      </c>
      <c r="W418" s="6018">
        <v>20750</v>
      </c>
      <c r="X418" s="6019">
        <v>20800</v>
      </c>
      <c r="Y418" s="6018">
        <v>100</v>
      </c>
      <c r="Z418" s="6018">
        <v>3417</v>
      </c>
      <c r="AA418" s="6018">
        <v>5716</v>
      </c>
      <c r="AB418" s="6019">
        <v>6463</v>
      </c>
      <c r="AC418" s="6018">
        <v>1011</v>
      </c>
      <c r="AD418" s="6018">
        <v>3618</v>
      </c>
      <c r="AE418" s="6018">
        <v>5980</v>
      </c>
      <c r="AF418" s="6019">
        <v>6728</v>
      </c>
    </row>
    <row r="419" spans="1:32" ht="13.5">
      <c r="A419" s="6018">
        <v>20800</v>
      </c>
      <c r="B419" s="6019">
        <v>20850</v>
      </c>
      <c r="C419" s="6020">
        <v>93</v>
      </c>
      <c r="D419" s="6018">
        <f t="shared" si="54"/>
        <v>3409</v>
      </c>
      <c r="E419" s="6018">
        <f t="shared" si="55"/>
        <v>5705</v>
      </c>
      <c r="F419" s="6019">
        <v>6453</v>
      </c>
      <c r="G419" s="6020">
        <v>1003</v>
      </c>
      <c r="H419" s="6018">
        <f t="shared" si="51"/>
        <v>3618</v>
      </c>
      <c r="I419" s="6018">
        <f t="shared" si="52"/>
        <v>5980</v>
      </c>
      <c r="J419" s="6019">
        <f t="shared" si="53"/>
        <v>6728</v>
      </c>
      <c r="K419" s="1732"/>
      <c r="L419" s="6018">
        <v>20825</v>
      </c>
      <c r="W419" s="6018">
        <v>20800</v>
      </c>
      <c r="X419" s="6019">
        <v>20850</v>
      </c>
      <c r="Y419" s="6018">
        <v>93</v>
      </c>
      <c r="Z419" s="6018">
        <v>3409</v>
      </c>
      <c r="AA419" s="6018">
        <v>5705</v>
      </c>
      <c r="AB419" s="6019">
        <v>6453</v>
      </c>
      <c r="AC419" s="6018">
        <v>1003</v>
      </c>
      <c r="AD419" s="6018">
        <v>3618</v>
      </c>
      <c r="AE419" s="6018">
        <v>5980</v>
      </c>
      <c r="AF419" s="6019">
        <v>6728</v>
      </c>
    </row>
    <row r="420" spans="1:32" ht="13.5">
      <c r="A420" s="6018">
        <v>20850</v>
      </c>
      <c r="B420" s="6019">
        <v>20900</v>
      </c>
      <c r="C420" s="6020">
        <v>85</v>
      </c>
      <c r="D420" s="6018">
        <f t="shared" si="54"/>
        <v>3401</v>
      </c>
      <c r="E420" s="6018">
        <f t="shared" si="55"/>
        <v>5695</v>
      </c>
      <c r="F420" s="6019">
        <v>6442</v>
      </c>
      <c r="G420" s="6020">
        <v>995</v>
      </c>
      <c r="H420" s="6018">
        <f t="shared" si="51"/>
        <v>3618</v>
      </c>
      <c r="I420" s="6018">
        <f t="shared" si="52"/>
        <v>5980</v>
      </c>
      <c r="J420" s="6019">
        <f t="shared" si="53"/>
        <v>6728</v>
      </c>
      <c r="K420" s="1732"/>
      <c r="L420" s="6018">
        <v>20875</v>
      </c>
      <c r="W420" s="6018">
        <v>20850</v>
      </c>
      <c r="X420" s="6019">
        <v>20900</v>
      </c>
      <c r="Y420" s="6018">
        <v>85</v>
      </c>
      <c r="Z420" s="6018">
        <v>3401</v>
      </c>
      <c r="AA420" s="6018">
        <v>5695</v>
      </c>
      <c r="AB420" s="6019">
        <v>6442</v>
      </c>
      <c r="AC420" s="6018">
        <v>995</v>
      </c>
      <c r="AD420" s="6018">
        <v>3618</v>
      </c>
      <c r="AE420" s="6018">
        <v>5980</v>
      </c>
      <c r="AF420" s="6019">
        <v>6728</v>
      </c>
    </row>
    <row r="421" spans="1:32" ht="13.5">
      <c r="A421" s="6018">
        <v>20900</v>
      </c>
      <c r="B421" s="6019">
        <v>20950</v>
      </c>
      <c r="C421" s="6020">
        <v>77</v>
      </c>
      <c r="D421" s="6018">
        <f t="shared" si="54"/>
        <v>3393</v>
      </c>
      <c r="E421" s="6018">
        <f t="shared" si="55"/>
        <v>5684</v>
      </c>
      <c r="F421" s="6019">
        <v>6432</v>
      </c>
      <c r="G421" s="6020">
        <v>988</v>
      </c>
      <c r="H421" s="6018">
        <f t="shared" si="51"/>
        <v>3618</v>
      </c>
      <c r="I421" s="6018">
        <f t="shared" si="52"/>
        <v>5980</v>
      </c>
      <c r="J421" s="6019">
        <f t="shared" si="53"/>
        <v>6728</v>
      </c>
      <c r="K421" s="1732"/>
      <c r="L421" s="6018">
        <v>20925</v>
      </c>
      <c r="W421" s="6018">
        <v>20900</v>
      </c>
      <c r="X421" s="6019">
        <v>20950</v>
      </c>
      <c r="Y421" s="6018">
        <v>77</v>
      </c>
      <c r="Z421" s="6018">
        <v>3393</v>
      </c>
      <c r="AA421" s="6018">
        <v>5684</v>
      </c>
      <c r="AB421" s="6019">
        <v>6432</v>
      </c>
      <c r="AC421" s="6018">
        <v>988</v>
      </c>
      <c r="AD421" s="6018">
        <v>3618</v>
      </c>
      <c r="AE421" s="6018">
        <v>5980</v>
      </c>
      <c r="AF421" s="6019">
        <v>6728</v>
      </c>
    </row>
    <row r="422" spans="1:32" ht="13.5">
      <c r="A422" s="6018">
        <v>20950</v>
      </c>
      <c r="B422" s="6019">
        <v>21000</v>
      </c>
      <c r="C422" s="6020">
        <v>70</v>
      </c>
      <c r="D422" s="6018">
        <f t="shared" si="54"/>
        <v>3385</v>
      </c>
      <c r="E422" s="6018">
        <f t="shared" si="55"/>
        <v>5674</v>
      </c>
      <c r="F422" s="6019">
        <v>6421</v>
      </c>
      <c r="G422" s="6020">
        <v>980</v>
      </c>
      <c r="H422" s="6018">
        <f t="shared" si="51"/>
        <v>3618</v>
      </c>
      <c r="I422" s="6018">
        <f t="shared" si="52"/>
        <v>5980</v>
      </c>
      <c r="J422" s="6019">
        <f t="shared" si="53"/>
        <v>6728</v>
      </c>
      <c r="K422" s="1732"/>
      <c r="L422" s="6018">
        <v>20975</v>
      </c>
      <c r="W422" s="6018">
        <v>20950</v>
      </c>
      <c r="X422" s="6019">
        <v>21000</v>
      </c>
      <c r="Y422" s="6018">
        <v>70</v>
      </c>
      <c r="Z422" s="6018">
        <v>3385</v>
      </c>
      <c r="AA422" s="6018">
        <v>5674</v>
      </c>
      <c r="AB422" s="6019">
        <v>6421</v>
      </c>
      <c r="AC422" s="6018">
        <v>980</v>
      </c>
      <c r="AD422" s="6018">
        <v>3618</v>
      </c>
      <c r="AE422" s="6018">
        <v>5980</v>
      </c>
      <c r="AF422" s="6019">
        <v>6728</v>
      </c>
    </row>
    <row r="423" spans="1:32" ht="13.5">
      <c r="A423" s="6018">
        <v>21000</v>
      </c>
      <c r="B423" s="6019">
        <v>21050</v>
      </c>
      <c r="C423" s="6020">
        <v>62</v>
      </c>
      <c r="D423" s="6018">
        <f t="shared" si="54"/>
        <v>3377</v>
      </c>
      <c r="E423" s="6018">
        <f t="shared" si="55"/>
        <v>5663</v>
      </c>
      <c r="F423" s="6019">
        <v>6411</v>
      </c>
      <c r="G423" s="6020">
        <v>972</v>
      </c>
      <c r="H423" s="6018">
        <f t="shared" si="51"/>
        <v>3618</v>
      </c>
      <c r="I423" s="6018">
        <f t="shared" si="52"/>
        <v>5980</v>
      </c>
      <c r="J423" s="6019">
        <f t="shared" si="53"/>
        <v>6728</v>
      </c>
      <c r="K423" s="1732"/>
      <c r="L423" s="6018">
        <v>21025</v>
      </c>
      <c r="W423" s="6018">
        <v>21000</v>
      </c>
      <c r="X423" s="6019">
        <v>21050</v>
      </c>
      <c r="Y423" s="6018">
        <v>62</v>
      </c>
      <c r="Z423" s="6018">
        <v>3377</v>
      </c>
      <c r="AA423" s="6018">
        <v>5663</v>
      </c>
      <c r="AB423" s="6019">
        <v>6411</v>
      </c>
      <c r="AC423" s="6018">
        <v>972</v>
      </c>
      <c r="AD423" s="6018">
        <v>3618</v>
      </c>
      <c r="AE423" s="6018">
        <v>5980</v>
      </c>
      <c r="AF423" s="6019">
        <v>6728</v>
      </c>
    </row>
    <row r="424" spans="1:32" ht="13.5">
      <c r="A424" s="6018">
        <v>21050</v>
      </c>
      <c r="B424" s="6019">
        <v>21100</v>
      </c>
      <c r="C424" s="6020">
        <v>54</v>
      </c>
      <c r="D424" s="6018">
        <f t="shared" si="54"/>
        <v>3369</v>
      </c>
      <c r="E424" s="6018">
        <f t="shared" si="55"/>
        <v>5653</v>
      </c>
      <c r="F424" s="6019">
        <v>6400</v>
      </c>
      <c r="G424" s="6020">
        <v>965</v>
      </c>
      <c r="H424" s="6018">
        <f t="shared" si="51"/>
        <v>3618</v>
      </c>
      <c r="I424" s="6018">
        <f t="shared" si="52"/>
        <v>5980</v>
      </c>
      <c r="J424" s="6019">
        <f t="shared" si="53"/>
        <v>6728</v>
      </c>
      <c r="K424" s="1732"/>
      <c r="L424" s="6018">
        <v>21075</v>
      </c>
      <c r="W424" s="6018">
        <v>21050</v>
      </c>
      <c r="X424" s="6019">
        <v>21100</v>
      </c>
      <c r="Y424" s="6018">
        <v>54</v>
      </c>
      <c r="Z424" s="6018">
        <v>3369</v>
      </c>
      <c r="AA424" s="6018">
        <v>5653</v>
      </c>
      <c r="AB424" s="6019">
        <v>6400</v>
      </c>
      <c r="AC424" s="6018">
        <v>965</v>
      </c>
      <c r="AD424" s="6018">
        <v>3618</v>
      </c>
      <c r="AE424" s="6018">
        <v>5980</v>
      </c>
      <c r="AF424" s="6019">
        <v>6728</v>
      </c>
    </row>
    <row r="425" spans="1:32" ht="13.5">
      <c r="A425" s="6018">
        <v>21100</v>
      </c>
      <c r="B425" s="6019">
        <v>21150</v>
      </c>
      <c r="C425" s="6020">
        <v>47</v>
      </c>
      <c r="D425" s="6018">
        <f t="shared" si="54"/>
        <v>3361</v>
      </c>
      <c r="E425" s="6018">
        <f t="shared" si="55"/>
        <v>5642</v>
      </c>
      <c r="F425" s="6019">
        <v>6389</v>
      </c>
      <c r="G425" s="6020">
        <v>957</v>
      </c>
      <c r="H425" s="6018">
        <f t="shared" si="51"/>
        <v>3618</v>
      </c>
      <c r="I425" s="6018">
        <f t="shared" si="52"/>
        <v>5980</v>
      </c>
      <c r="J425" s="6019">
        <f t="shared" si="53"/>
        <v>6728</v>
      </c>
      <c r="K425" s="1732"/>
      <c r="L425" s="6018">
        <v>21125</v>
      </c>
      <c r="W425" s="6018">
        <v>21100</v>
      </c>
      <c r="X425" s="6019">
        <v>21150</v>
      </c>
      <c r="Y425" s="6018">
        <v>47</v>
      </c>
      <c r="Z425" s="6018">
        <v>3361</v>
      </c>
      <c r="AA425" s="6018">
        <v>5642</v>
      </c>
      <c r="AB425" s="6019">
        <v>6389</v>
      </c>
      <c r="AC425" s="6018">
        <v>957</v>
      </c>
      <c r="AD425" s="6018">
        <v>3618</v>
      </c>
      <c r="AE425" s="6018">
        <v>5980</v>
      </c>
      <c r="AF425" s="6019">
        <v>6728</v>
      </c>
    </row>
    <row r="426" spans="1:32" ht="13.5">
      <c r="A426" s="6018">
        <v>21150</v>
      </c>
      <c r="B426" s="6019">
        <v>21200</v>
      </c>
      <c r="C426" s="6020">
        <v>39</v>
      </c>
      <c r="D426" s="6018">
        <f t="shared" si="54"/>
        <v>3353</v>
      </c>
      <c r="E426" s="6018">
        <f t="shared" si="55"/>
        <v>5631</v>
      </c>
      <c r="F426" s="6019">
        <v>6379</v>
      </c>
      <c r="G426" s="6020">
        <v>949</v>
      </c>
      <c r="H426" s="6018">
        <f t="shared" si="51"/>
        <v>3618</v>
      </c>
      <c r="I426" s="6018">
        <f t="shared" si="52"/>
        <v>5980</v>
      </c>
      <c r="J426" s="6019">
        <f t="shared" si="53"/>
        <v>6728</v>
      </c>
      <c r="K426" s="1732"/>
      <c r="L426" s="6018">
        <v>21175</v>
      </c>
      <c r="W426" s="6018">
        <v>21150</v>
      </c>
      <c r="X426" s="6019">
        <v>21200</v>
      </c>
      <c r="Y426" s="6018">
        <v>39</v>
      </c>
      <c r="Z426" s="6018">
        <v>3353</v>
      </c>
      <c r="AA426" s="6018">
        <v>5631</v>
      </c>
      <c r="AB426" s="6019">
        <v>6379</v>
      </c>
      <c r="AC426" s="6018">
        <v>949</v>
      </c>
      <c r="AD426" s="6018">
        <v>3618</v>
      </c>
      <c r="AE426" s="6018">
        <v>5980</v>
      </c>
      <c r="AF426" s="6019">
        <v>6728</v>
      </c>
    </row>
    <row r="427" spans="1:32" ht="13.5">
      <c r="A427" s="6018">
        <v>21200</v>
      </c>
      <c r="B427" s="6019">
        <v>21250</v>
      </c>
      <c r="C427" s="6020">
        <v>31</v>
      </c>
      <c r="D427" s="6018">
        <v>3345</v>
      </c>
      <c r="E427" s="6018">
        <f t="shared" si="55"/>
        <v>5621</v>
      </c>
      <c r="F427" s="6019">
        <v>6368</v>
      </c>
      <c r="G427" s="6020">
        <v>942</v>
      </c>
      <c r="H427" s="6018">
        <f t="shared" si="51"/>
        <v>3618</v>
      </c>
      <c r="I427" s="6018">
        <f t="shared" si="52"/>
        <v>5980</v>
      </c>
      <c r="J427" s="6019">
        <f t="shared" si="53"/>
        <v>6728</v>
      </c>
      <c r="K427" s="1732"/>
      <c r="L427" s="6018">
        <v>21225</v>
      </c>
      <c r="W427" s="6018">
        <v>21200</v>
      </c>
      <c r="X427" s="6019">
        <v>21250</v>
      </c>
      <c r="Y427" s="6018">
        <v>31</v>
      </c>
      <c r="Z427" s="6018">
        <v>3345</v>
      </c>
      <c r="AA427" s="6018">
        <v>5621</v>
      </c>
      <c r="AB427" s="6019">
        <v>6368</v>
      </c>
      <c r="AC427" s="6018">
        <v>942</v>
      </c>
      <c r="AD427" s="6018">
        <v>3618</v>
      </c>
      <c r="AE427" s="6018">
        <v>5980</v>
      </c>
      <c r="AF427" s="6019">
        <v>6728</v>
      </c>
    </row>
    <row r="428" spans="1:32" ht="13.5">
      <c r="A428" s="6018">
        <v>21250</v>
      </c>
      <c r="B428" s="6019">
        <v>21300</v>
      </c>
      <c r="C428" s="6020">
        <v>24</v>
      </c>
      <c r="D428" s="6018">
        <v>3337</v>
      </c>
      <c r="E428" s="6018">
        <f t="shared" si="55"/>
        <v>5610</v>
      </c>
      <c r="F428" s="6019">
        <v>6358</v>
      </c>
      <c r="G428" s="6020">
        <v>934</v>
      </c>
      <c r="H428" s="6018">
        <f t="shared" si="51"/>
        <v>3618</v>
      </c>
      <c r="I428" s="6018">
        <f t="shared" si="52"/>
        <v>5980</v>
      </c>
      <c r="J428" s="6019">
        <f t="shared" si="53"/>
        <v>6728</v>
      </c>
      <c r="K428" s="1732"/>
      <c r="L428" s="6018">
        <v>21275</v>
      </c>
      <c r="W428" s="6018">
        <v>21250</v>
      </c>
      <c r="X428" s="6019">
        <v>21300</v>
      </c>
      <c r="Y428" s="6018">
        <v>24</v>
      </c>
      <c r="Z428" s="6018">
        <v>3337</v>
      </c>
      <c r="AA428" s="6018">
        <v>5610</v>
      </c>
      <c r="AB428" s="6019">
        <v>6358</v>
      </c>
      <c r="AC428" s="6018">
        <v>934</v>
      </c>
      <c r="AD428" s="6018">
        <v>3618</v>
      </c>
      <c r="AE428" s="6018">
        <v>5980</v>
      </c>
      <c r="AF428" s="6019">
        <v>6728</v>
      </c>
    </row>
    <row r="429" spans="1:32" ht="13.5">
      <c r="A429" s="6018">
        <v>21300</v>
      </c>
      <c r="B429" s="6019">
        <v>21350</v>
      </c>
      <c r="C429" s="6020">
        <v>16</v>
      </c>
      <c r="D429" s="6018">
        <v>3329</v>
      </c>
      <c r="E429" s="6018">
        <f t="shared" si="55"/>
        <v>5600</v>
      </c>
      <c r="F429" s="6019">
        <v>6347</v>
      </c>
      <c r="G429" s="6020">
        <v>926</v>
      </c>
      <c r="H429" s="6018">
        <f t="shared" si="51"/>
        <v>3618</v>
      </c>
      <c r="I429" s="6018">
        <f t="shared" si="52"/>
        <v>5980</v>
      </c>
      <c r="J429" s="6019">
        <f t="shared" si="53"/>
        <v>6728</v>
      </c>
      <c r="K429" s="1732"/>
      <c r="L429" s="6018">
        <v>21325</v>
      </c>
      <c r="W429" s="6018">
        <v>21300</v>
      </c>
      <c r="X429" s="6019">
        <v>21350</v>
      </c>
      <c r="Y429" s="6018">
        <v>16</v>
      </c>
      <c r="Z429" s="6018">
        <v>3329</v>
      </c>
      <c r="AA429" s="6018">
        <v>5600</v>
      </c>
      <c r="AB429" s="6019">
        <v>6347</v>
      </c>
      <c r="AC429" s="6018">
        <v>926</v>
      </c>
      <c r="AD429" s="6018">
        <v>3618</v>
      </c>
      <c r="AE429" s="6018">
        <v>5980</v>
      </c>
      <c r="AF429" s="6019">
        <v>6728</v>
      </c>
    </row>
    <row r="430" spans="1:32" ht="13.5">
      <c r="A430" s="6018">
        <v>21350</v>
      </c>
      <c r="B430" s="6019">
        <v>21400</v>
      </c>
      <c r="C430" s="6020">
        <v>8</v>
      </c>
      <c r="D430" s="6018">
        <v>3321</v>
      </c>
      <c r="E430" s="6018">
        <f t="shared" si="55"/>
        <v>5589</v>
      </c>
      <c r="F430" s="6019">
        <v>6337</v>
      </c>
      <c r="G430" s="6020">
        <v>919</v>
      </c>
      <c r="H430" s="6018">
        <f t="shared" si="51"/>
        <v>3618</v>
      </c>
      <c r="I430" s="6018">
        <f t="shared" si="52"/>
        <v>5980</v>
      </c>
      <c r="J430" s="6019">
        <f t="shared" si="53"/>
        <v>6728</v>
      </c>
      <c r="K430" s="1732"/>
      <c r="L430" s="6018">
        <v>21375</v>
      </c>
      <c r="W430" s="6018">
        <v>21350</v>
      </c>
      <c r="X430" s="6019">
        <v>21400</v>
      </c>
      <c r="Y430" s="6018">
        <v>8</v>
      </c>
      <c r="Z430" s="6018">
        <v>3321</v>
      </c>
      <c r="AA430" s="6018">
        <v>5589</v>
      </c>
      <c r="AB430" s="6019">
        <v>6337</v>
      </c>
      <c r="AC430" s="6018">
        <v>919</v>
      </c>
      <c r="AD430" s="6018">
        <v>3618</v>
      </c>
      <c r="AE430" s="6018">
        <v>5980</v>
      </c>
      <c r="AF430" s="6019">
        <v>6728</v>
      </c>
    </row>
    <row r="431" spans="1:32" ht="13.5">
      <c r="A431" s="6018">
        <v>21400</v>
      </c>
      <c r="B431" s="6019">
        <v>21430</v>
      </c>
      <c r="C431" s="6020">
        <v>2</v>
      </c>
      <c r="D431" s="6018">
        <v>3313</v>
      </c>
      <c r="E431" s="6018">
        <v>5579</v>
      </c>
      <c r="F431" s="6019">
        <v>6326</v>
      </c>
      <c r="G431" s="6020">
        <v>911</v>
      </c>
      <c r="H431" s="6018">
        <f t="shared" si="51"/>
        <v>3618</v>
      </c>
      <c r="I431" s="6018">
        <f t="shared" si="52"/>
        <v>5980</v>
      </c>
      <c r="J431" s="6019">
        <f t="shared" si="53"/>
        <v>6728</v>
      </c>
      <c r="K431" s="1732"/>
      <c r="L431" s="6018">
        <v>21415</v>
      </c>
      <c r="W431" s="6018">
        <v>21400</v>
      </c>
      <c r="X431" s="6019">
        <v>21430</v>
      </c>
      <c r="Y431" s="6018">
        <v>2</v>
      </c>
      <c r="Z431" s="6018">
        <v>3313</v>
      </c>
      <c r="AA431" s="6018">
        <v>5579</v>
      </c>
      <c r="AB431" s="6019">
        <v>6326</v>
      </c>
      <c r="AC431" s="6018">
        <v>911</v>
      </c>
      <c r="AD431" s="6018">
        <v>3618</v>
      </c>
      <c r="AE431" s="6018">
        <v>5980</v>
      </c>
      <c r="AF431" s="6019">
        <v>6728</v>
      </c>
    </row>
    <row r="432" spans="1:32" ht="13.5">
      <c r="A432" s="6018">
        <v>21430</v>
      </c>
      <c r="B432" s="6019">
        <v>21450</v>
      </c>
      <c r="C432" s="6020">
        <f t="shared" ref="C432:C453" si="56">IF($L432&gt;N$5,MAX(0,N$3+ROUND((N$9*($L432-N$5)),0)),IF($L432&gt;N$4,N$3,ROUND($L432*N$7,0)))</f>
        <v>0</v>
      </c>
      <c r="D432" s="6018">
        <v>3313</v>
      </c>
      <c r="E432" s="6018">
        <v>5579</v>
      </c>
      <c r="F432" s="6019">
        <v>6326</v>
      </c>
      <c r="G432" s="6020">
        <v>911</v>
      </c>
      <c r="H432" s="6018">
        <f t="shared" si="51"/>
        <v>3618</v>
      </c>
      <c r="I432" s="6018">
        <f t="shared" si="52"/>
        <v>5980</v>
      </c>
      <c r="J432" s="6019">
        <f t="shared" si="53"/>
        <v>6728</v>
      </c>
      <c r="K432" s="1732"/>
      <c r="L432" s="6018">
        <v>21440</v>
      </c>
      <c r="W432" s="6018">
        <v>21430</v>
      </c>
      <c r="X432" s="6019">
        <v>21450</v>
      </c>
      <c r="Y432" s="6018">
        <v>0</v>
      </c>
      <c r="Z432" s="6018">
        <v>3313</v>
      </c>
      <c r="AA432" s="6018">
        <v>5579</v>
      </c>
      <c r="AB432" s="6019">
        <v>6326</v>
      </c>
      <c r="AC432" s="6018">
        <v>911</v>
      </c>
      <c r="AD432" s="6018">
        <v>3618</v>
      </c>
      <c r="AE432" s="6018">
        <v>5980</v>
      </c>
      <c r="AF432" s="6019">
        <v>6728</v>
      </c>
    </row>
    <row r="433" spans="1:32" ht="13.5">
      <c r="A433" s="6018">
        <v>21450</v>
      </c>
      <c r="B433" s="6019">
        <v>21500</v>
      </c>
      <c r="C433" s="6020">
        <f t="shared" si="56"/>
        <v>0</v>
      </c>
      <c r="D433" s="6018">
        <v>3305</v>
      </c>
      <c r="E433" s="6018">
        <f t="shared" si="55"/>
        <v>5568</v>
      </c>
      <c r="F433" s="6019">
        <v>6316</v>
      </c>
      <c r="G433" s="6020">
        <v>903</v>
      </c>
      <c r="H433" s="6018">
        <f t="shared" si="51"/>
        <v>3618</v>
      </c>
      <c r="I433" s="6018">
        <f t="shared" si="52"/>
        <v>5980</v>
      </c>
      <c r="J433" s="6019">
        <f t="shared" si="53"/>
        <v>6728</v>
      </c>
      <c r="K433" s="1732"/>
      <c r="L433" s="6018">
        <v>21475</v>
      </c>
      <c r="W433" s="6018">
        <v>21450</v>
      </c>
      <c r="X433" s="6019">
        <v>21500</v>
      </c>
      <c r="Y433" s="6018">
        <v>0</v>
      </c>
      <c r="Z433" s="6018">
        <v>3305</v>
      </c>
      <c r="AA433" s="6018">
        <v>5568</v>
      </c>
      <c r="AB433" s="6019">
        <v>6316</v>
      </c>
      <c r="AC433" s="6018">
        <v>903</v>
      </c>
      <c r="AD433" s="6018">
        <v>3618</v>
      </c>
      <c r="AE433" s="6018">
        <v>5980</v>
      </c>
      <c r="AF433" s="6019">
        <v>6728</v>
      </c>
    </row>
    <row r="434" spans="1:32" ht="13.5">
      <c r="A434" s="6018">
        <v>21500</v>
      </c>
      <c r="B434" s="6019">
        <v>21550</v>
      </c>
      <c r="C434" s="6020">
        <f t="shared" si="56"/>
        <v>0</v>
      </c>
      <c r="D434" s="6018">
        <v>3297</v>
      </c>
      <c r="E434" s="6018">
        <f t="shared" si="55"/>
        <v>5558</v>
      </c>
      <c r="F434" s="6019">
        <v>6305</v>
      </c>
      <c r="G434" s="6020">
        <v>896</v>
      </c>
      <c r="H434" s="6018">
        <f t="shared" si="51"/>
        <v>3618</v>
      </c>
      <c r="I434" s="6018">
        <f t="shared" si="52"/>
        <v>5980</v>
      </c>
      <c r="J434" s="6019">
        <f t="shared" si="53"/>
        <v>6728</v>
      </c>
      <c r="K434" s="1732"/>
      <c r="L434" s="6018">
        <v>21525</v>
      </c>
      <c r="W434" s="6018">
        <v>21500</v>
      </c>
      <c r="X434" s="6019">
        <v>21550</v>
      </c>
      <c r="Y434" s="6018">
        <v>0</v>
      </c>
      <c r="Z434" s="6018">
        <v>3297</v>
      </c>
      <c r="AA434" s="6018">
        <v>5558</v>
      </c>
      <c r="AB434" s="6019">
        <v>6305</v>
      </c>
      <c r="AC434" s="6018">
        <v>896</v>
      </c>
      <c r="AD434" s="6018">
        <v>3618</v>
      </c>
      <c r="AE434" s="6018">
        <v>5980</v>
      </c>
      <c r="AF434" s="6019">
        <v>6728</v>
      </c>
    </row>
    <row r="435" spans="1:32" ht="13.5">
      <c r="A435" s="6018">
        <v>21550</v>
      </c>
      <c r="B435" s="6019">
        <v>21600</v>
      </c>
      <c r="C435" s="6020">
        <f t="shared" si="56"/>
        <v>0</v>
      </c>
      <c r="D435" s="6018">
        <v>3289</v>
      </c>
      <c r="E435" s="6018">
        <f t="shared" si="55"/>
        <v>5547</v>
      </c>
      <c r="F435" s="6019">
        <v>6295</v>
      </c>
      <c r="G435" s="6020">
        <v>888</v>
      </c>
      <c r="H435" s="6018">
        <f t="shared" si="51"/>
        <v>3618</v>
      </c>
      <c r="I435" s="6018">
        <f t="shared" si="52"/>
        <v>5980</v>
      </c>
      <c r="J435" s="6019">
        <f t="shared" si="53"/>
        <v>6728</v>
      </c>
      <c r="K435" s="1732"/>
      <c r="L435" s="6018">
        <v>21575</v>
      </c>
      <c r="W435" s="6018">
        <v>21550</v>
      </c>
      <c r="X435" s="6019">
        <v>21600</v>
      </c>
      <c r="Y435" s="6018">
        <v>0</v>
      </c>
      <c r="Z435" s="6018">
        <v>3289</v>
      </c>
      <c r="AA435" s="6018">
        <v>5547</v>
      </c>
      <c r="AB435" s="6019">
        <v>6295</v>
      </c>
      <c r="AC435" s="6018">
        <v>888</v>
      </c>
      <c r="AD435" s="6018">
        <v>3618</v>
      </c>
      <c r="AE435" s="6018">
        <v>5980</v>
      </c>
      <c r="AF435" s="6019">
        <v>6728</v>
      </c>
    </row>
    <row r="436" spans="1:32" ht="13.5">
      <c r="A436" s="6018">
        <v>21600</v>
      </c>
      <c r="B436" s="6019">
        <v>21650</v>
      </c>
      <c r="C436" s="6020">
        <f t="shared" si="56"/>
        <v>0</v>
      </c>
      <c r="D436" s="6018">
        <v>3281</v>
      </c>
      <c r="E436" s="6018">
        <f t="shared" si="55"/>
        <v>5537</v>
      </c>
      <c r="F436" s="6019">
        <v>6284</v>
      </c>
      <c r="G436" s="6020">
        <v>881</v>
      </c>
      <c r="H436" s="6018">
        <f t="shared" si="51"/>
        <v>3618</v>
      </c>
      <c r="I436" s="6018">
        <f t="shared" si="52"/>
        <v>5980</v>
      </c>
      <c r="J436" s="6019">
        <f t="shared" si="53"/>
        <v>6728</v>
      </c>
      <c r="K436" s="1732"/>
      <c r="L436" s="6018">
        <v>21625</v>
      </c>
      <c r="W436" s="6018">
        <v>21600</v>
      </c>
      <c r="X436" s="6019">
        <v>21650</v>
      </c>
      <c r="Y436" s="6018">
        <v>0</v>
      </c>
      <c r="Z436" s="6018">
        <v>3281</v>
      </c>
      <c r="AA436" s="6018">
        <v>5537</v>
      </c>
      <c r="AB436" s="6019">
        <v>6284</v>
      </c>
      <c r="AC436" s="6018">
        <v>881</v>
      </c>
      <c r="AD436" s="6018">
        <v>3618</v>
      </c>
      <c r="AE436" s="6018">
        <v>5980</v>
      </c>
      <c r="AF436" s="6019">
        <v>6728</v>
      </c>
    </row>
    <row r="437" spans="1:32" ht="13.5">
      <c r="A437" s="6018">
        <v>21650</v>
      </c>
      <c r="B437" s="6019">
        <v>21700</v>
      </c>
      <c r="C437" s="6020">
        <f t="shared" si="56"/>
        <v>0</v>
      </c>
      <c r="D437" s="6018">
        <v>3273</v>
      </c>
      <c r="E437" s="6018">
        <f t="shared" si="55"/>
        <v>5526</v>
      </c>
      <c r="F437" s="6019">
        <v>6274</v>
      </c>
      <c r="G437" s="6020">
        <v>873</v>
      </c>
      <c r="H437" s="6018">
        <f t="shared" si="51"/>
        <v>3618</v>
      </c>
      <c r="I437" s="6018">
        <f t="shared" si="52"/>
        <v>5980</v>
      </c>
      <c r="J437" s="6019">
        <f t="shared" si="53"/>
        <v>6728</v>
      </c>
      <c r="K437" s="1732"/>
      <c r="L437" s="6018">
        <v>21675</v>
      </c>
      <c r="W437" s="6018">
        <v>21650</v>
      </c>
      <c r="X437" s="6019">
        <v>21700</v>
      </c>
      <c r="Y437" s="6018">
        <v>0</v>
      </c>
      <c r="Z437" s="6018">
        <v>3273</v>
      </c>
      <c r="AA437" s="6018">
        <v>5526</v>
      </c>
      <c r="AB437" s="6019">
        <v>6274</v>
      </c>
      <c r="AC437" s="6018">
        <v>873</v>
      </c>
      <c r="AD437" s="6018">
        <v>3618</v>
      </c>
      <c r="AE437" s="6018">
        <v>5980</v>
      </c>
      <c r="AF437" s="6019">
        <v>6728</v>
      </c>
    </row>
    <row r="438" spans="1:32" ht="13.5">
      <c r="A438" s="6018">
        <v>21700</v>
      </c>
      <c r="B438" s="6019">
        <v>21750</v>
      </c>
      <c r="C438" s="6020">
        <f t="shared" si="56"/>
        <v>0</v>
      </c>
      <c r="D438" s="6018">
        <v>3265</v>
      </c>
      <c r="E438" s="6018">
        <f t="shared" si="55"/>
        <v>5516</v>
      </c>
      <c r="F438" s="6019">
        <v>6263</v>
      </c>
      <c r="G438" s="6020">
        <v>865</v>
      </c>
      <c r="H438" s="6018">
        <f t="shared" si="51"/>
        <v>3618</v>
      </c>
      <c r="I438" s="6018">
        <f t="shared" si="52"/>
        <v>5980</v>
      </c>
      <c r="J438" s="6019">
        <f t="shared" si="53"/>
        <v>6728</v>
      </c>
      <c r="K438" s="1732"/>
      <c r="L438" s="6018">
        <v>21725</v>
      </c>
      <c r="W438" s="6018">
        <v>21700</v>
      </c>
      <c r="X438" s="6019">
        <v>21750</v>
      </c>
      <c r="Y438" s="6018">
        <v>0</v>
      </c>
      <c r="Z438" s="6018">
        <v>3265</v>
      </c>
      <c r="AA438" s="6018">
        <v>5516</v>
      </c>
      <c r="AB438" s="6019">
        <v>6263</v>
      </c>
      <c r="AC438" s="6018">
        <v>865</v>
      </c>
      <c r="AD438" s="6018">
        <v>3618</v>
      </c>
      <c r="AE438" s="6018">
        <v>5980</v>
      </c>
      <c r="AF438" s="6019">
        <v>6728</v>
      </c>
    </row>
    <row r="439" spans="1:32" ht="13.5">
      <c r="A439" s="6018">
        <v>21750</v>
      </c>
      <c r="B439" s="6019">
        <v>21800</v>
      </c>
      <c r="C439" s="6020">
        <f t="shared" si="56"/>
        <v>0</v>
      </c>
      <c r="D439" s="6018">
        <v>3257</v>
      </c>
      <c r="E439" s="6018">
        <f t="shared" si="55"/>
        <v>5505</v>
      </c>
      <c r="F439" s="6019">
        <v>6253</v>
      </c>
      <c r="G439" s="6020">
        <v>858</v>
      </c>
      <c r="H439" s="6018">
        <f t="shared" si="51"/>
        <v>3618</v>
      </c>
      <c r="I439" s="6018">
        <f t="shared" si="52"/>
        <v>5980</v>
      </c>
      <c r="J439" s="6019">
        <f t="shared" si="53"/>
        <v>6728</v>
      </c>
      <c r="K439" s="1732"/>
      <c r="L439" s="6018">
        <v>21775</v>
      </c>
      <c r="W439" s="6018">
        <v>21750</v>
      </c>
      <c r="X439" s="6019">
        <v>21800</v>
      </c>
      <c r="Y439" s="6018">
        <v>0</v>
      </c>
      <c r="Z439" s="6018">
        <v>3257</v>
      </c>
      <c r="AA439" s="6018">
        <v>5505</v>
      </c>
      <c r="AB439" s="6019">
        <v>6253</v>
      </c>
      <c r="AC439" s="6018">
        <v>858</v>
      </c>
      <c r="AD439" s="6018">
        <v>3618</v>
      </c>
      <c r="AE439" s="6018">
        <v>5980</v>
      </c>
      <c r="AF439" s="6019">
        <v>6728</v>
      </c>
    </row>
    <row r="440" spans="1:32" ht="13.5">
      <c r="A440" s="6018">
        <v>21800</v>
      </c>
      <c r="B440" s="6019">
        <v>21850</v>
      </c>
      <c r="C440" s="6020">
        <f t="shared" si="56"/>
        <v>0</v>
      </c>
      <c r="D440" s="6018">
        <v>3249</v>
      </c>
      <c r="E440" s="6018">
        <f t="shared" si="55"/>
        <v>5495</v>
      </c>
      <c r="F440" s="6019">
        <v>6242</v>
      </c>
      <c r="G440" s="6020">
        <v>850</v>
      </c>
      <c r="H440" s="6018">
        <f t="shared" si="51"/>
        <v>3618</v>
      </c>
      <c r="I440" s="6018">
        <f t="shared" si="52"/>
        <v>5980</v>
      </c>
      <c r="J440" s="6019">
        <f t="shared" si="53"/>
        <v>6728</v>
      </c>
      <c r="K440" s="1732"/>
      <c r="L440" s="6018">
        <v>21825</v>
      </c>
      <c r="W440" s="6018">
        <v>21800</v>
      </c>
      <c r="X440" s="6019">
        <v>21850</v>
      </c>
      <c r="Y440" s="6018">
        <v>0</v>
      </c>
      <c r="Z440" s="6018">
        <v>3249</v>
      </c>
      <c r="AA440" s="6018">
        <v>5495</v>
      </c>
      <c r="AB440" s="6019">
        <v>6242</v>
      </c>
      <c r="AC440" s="6018">
        <v>850</v>
      </c>
      <c r="AD440" s="6018">
        <v>3618</v>
      </c>
      <c r="AE440" s="6018">
        <v>5980</v>
      </c>
      <c r="AF440" s="6019">
        <v>6728</v>
      </c>
    </row>
    <row r="441" spans="1:32" ht="13.5">
      <c r="A441" s="6018">
        <v>21850</v>
      </c>
      <c r="B441" s="6019">
        <v>21900</v>
      </c>
      <c r="C441" s="6020">
        <f t="shared" si="56"/>
        <v>0</v>
      </c>
      <c r="D441" s="6018">
        <v>3241</v>
      </c>
      <c r="E441" s="6018">
        <f t="shared" si="55"/>
        <v>5484</v>
      </c>
      <c r="F441" s="6019">
        <v>6232</v>
      </c>
      <c r="G441" s="6020">
        <v>842</v>
      </c>
      <c r="H441" s="6018">
        <f t="shared" si="51"/>
        <v>3618</v>
      </c>
      <c r="I441" s="6018">
        <f t="shared" si="52"/>
        <v>5980</v>
      </c>
      <c r="J441" s="6019">
        <f t="shared" si="53"/>
        <v>6728</v>
      </c>
      <c r="K441" s="1732"/>
      <c r="L441" s="6018">
        <v>21875</v>
      </c>
      <c r="W441" s="6018">
        <v>21850</v>
      </c>
      <c r="X441" s="6019">
        <v>21900</v>
      </c>
      <c r="Y441" s="6018">
        <v>0</v>
      </c>
      <c r="Z441" s="6018">
        <v>3241</v>
      </c>
      <c r="AA441" s="6018">
        <v>5484</v>
      </c>
      <c r="AB441" s="6019">
        <v>6232</v>
      </c>
      <c r="AC441" s="6018">
        <v>842</v>
      </c>
      <c r="AD441" s="6018">
        <v>3618</v>
      </c>
      <c r="AE441" s="6018">
        <v>5980</v>
      </c>
      <c r="AF441" s="6019">
        <v>6728</v>
      </c>
    </row>
    <row r="442" spans="1:32" ht="13.5">
      <c r="A442" s="6018">
        <v>21900</v>
      </c>
      <c r="B442" s="6019">
        <v>21950</v>
      </c>
      <c r="C442" s="6020">
        <f t="shared" si="56"/>
        <v>0</v>
      </c>
      <c r="D442" s="6018">
        <v>3233</v>
      </c>
      <c r="E442" s="6018">
        <f t="shared" si="55"/>
        <v>5474</v>
      </c>
      <c r="F442" s="6019">
        <v>6221</v>
      </c>
      <c r="G442" s="6020">
        <v>835</v>
      </c>
      <c r="H442" s="6018">
        <f t="shared" si="51"/>
        <v>3618</v>
      </c>
      <c r="I442" s="6018">
        <f t="shared" si="52"/>
        <v>5980</v>
      </c>
      <c r="J442" s="6019">
        <f t="shared" si="53"/>
        <v>6728</v>
      </c>
      <c r="K442" s="1732"/>
      <c r="L442" s="6018">
        <v>21925</v>
      </c>
      <c r="W442" s="6018">
        <v>21900</v>
      </c>
      <c r="X442" s="6019">
        <v>21950</v>
      </c>
      <c r="Y442" s="6018">
        <v>0</v>
      </c>
      <c r="Z442" s="6018">
        <v>3233</v>
      </c>
      <c r="AA442" s="6018">
        <v>5474</v>
      </c>
      <c r="AB442" s="6019">
        <v>6221</v>
      </c>
      <c r="AC442" s="6018">
        <v>835</v>
      </c>
      <c r="AD442" s="6018">
        <v>3618</v>
      </c>
      <c r="AE442" s="6018">
        <v>5980</v>
      </c>
      <c r="AF442" s="6019">
        <v>6728</v>
      </c>
    </row>
    <row r="443" spans="1:32" ht="13.5">
      <c r="A443" s="6018">
        <v>21950</v>
      </c>
      <c r="B443" s="6019">
        <v>22000</v>
      </c>
      <c r="C443" s="6020">
        <f t="shared" si="56"/>
        <v>0</v>
      </c>
      <c r="D443" s="6018">
        <v>3225</v>
      </c>
      <c r="E443" s="6018">
        <f t="shared" si="55"/>
        <v>5463</v>
      </c>
      <c r="F443" s="6019">
        <v>6210</v>
      </c>
      <c r="G443" s="6020">
        <v>827</v>
      </c>
      <c r="H443" s="6018">
        <f t="shared" si="51"/>
        <v>3618</v>
      </c>
      <c r="I443" s="6018">
        <f t="shared" si="52"/>
        <v>5980</v>
      </c>
      <c r="J443" s="6019">
        <f t="shared" si="53"/>
        <v>6728</v>
      </c>
      <c r="K443" s="1732"/>
      <c r="L443" s="6018">
        <v>21975</v>
      </c>
      <c r="W443" s="6018">
        <v>21950</v>
      </c>
      <c r="X443" s="6019">
        <v>22000</v>
      </c>
      <c r="Y443" s="6018">
        <v>0</v>
      </c>
      <c r="Z443" s="6018">
        <v>3225</v>
      </c>
      <c r="AA443" s="6018">
        <v>5463</v>
      </c>
      <c r="AB443" s="6019">
        <v>6210</v>
      </c>
      <c r="AC443" s="6018">
        <v>827</v>
      </c>
      <c r="AD443" s="6018">
        <v>3618</v>
      </c>
      <c r="AE443" s="6018">
        <v>5980</v>
      </c>
      <c r="AF443" s="6019">
        <v>6728</v>
      </c>
    </row>
    <row r="444" spans="1:32" ht="13.5">
      <c r="A444" s="6018">
        <v>22000</v>
      </c>
      <c r="B444" s="6019">
        <v>22050</v>
      </c>
      <c r="C444" s="6020">
        <f t="shared" si="56"/>
        <v>0</v>
      </c>
      <c r="D444" s="6018">
        <v>3217</v>
      </c>
      <c r="E444" s="6018">
        <f t="shared" si="55"/>
        <v>5452</v>
      </c>
      <c r="F444" s="6019">
        <v>6200</v>
      </c>
      <c r="G444" s="6020">
        <v>819</v>
      </c>
      <c r="H444" s="6018">
        <f t="shared" si="51"/>
        <v>3618</v>
      </c>
      <c r="I444" s="6018">
        <f t="shared" si="52"/>
        <v>5980</v>
      </c>
      <c r="J444" s="6019">
        <f t="shared" si="53"/>
        <v>6728</v>
      </c>
      <c r="K444" s="1732"/>
      <c r="L444" s="6018">
        <v>22025</v>
      </c>
      <c r="W444" s="6018">
        <v>22000</v>
      </c>
      <c r="X444" s="6019">
        <v>22050</v>
      </c>
      <c r="Y444" s="6018">
        <v>0</v>
      </c>
      <c r="Z444" s="6018">
        <v>3217</v>
      </c>
      <c r="AA444" s="6018">
        <v>5452</v>
      </c>
      <c r="AB444" s="6019">
        <v>6200</v>
      </c>
      <c r="AC444" s="6018">
        <v>819</v>
      </c>
      <c r="AD444" s="6018">
        <v>3618</v>
      </c>
      <c r="AE444" s="6018">
        <v>5980</v>
      </c>
      <c r="AF444" s="6019">
        <v>6728</v>
      </c>
    </row>
    <row r="445" spans="1:32" ht="13.5">
      <c r="A445" s="6018">
        <v>22050</v>
      </c>
      <c r="B445" s="6019">
        <v>22100</v>
      </c>
      <c r="C445" s="6020">
        <f t="shared" si="56"/>
        <v>0</v>
      </c>
      <c r="D445" s="6018">
        <v>3209</v>
      </c>
      <c r="E445" s="6018">
        <f t="shared" si="55"/>
        <v>5442</v>
      </c>
      <c r="F445" s="6019">
        <v>6189</v>
      </c>
      <c r="G445" s="6020">
        <v>812</v>
      </c>
      <c r="H445" s="6018">
        <f t="shared" si="51"/>
        <v>3618</v>
      </c>
      <c r="I445" s="6018">
        <f t="shared" si="52"/>
        <v>5980</v>
      </c>
      <c r="J445" s="6019">
        <f t="shared" si="53"/>
        <v>6728</v>
      </c>
      <c r="K445" s="1732"/>
      <c r="L445" s="6018">
        <v>22075</v>
      </c>
      <c r="W445" s="6018">
        <v>22050</v>
      </c>
      <c r="X445" s="6019">
        <v>22100</v>
      </c>
      <c r="Y445" s="6018">
        <v>0</v>
      </c>
      <c r="Z445" s="6018">
        <v>3209</v>
      </c>
      <c r="AA445" s="6018">
        <v>5442</v>
      </c>
      <c r="AB445" s="6019">
        <v>6189</v>
      </c>
      <c r="AC445" s="6018">
        <v>812</v>
      </c>
      <c r="AD445" s="6018">
        <v>3618</v>
      </c>
      <c r="AE445" s="6018">
        <v>5980</v>
      </c>
      <c r="AF445" s="6019">
        <v>6728</v>
      </c>
    </row>
    <row r="446" spans="1:32" ht="13.5">
      <c r="A446" s="6018">
        <v>22100</v>
      </c>
      <c r="B446" s="6019">
        <v>22150</v>
      </c>
      <c r="C446" s="6020">
        <f t="shared" si="56"/>
        <v>0</v>
      </c>
      <c r="D446" s="6018">
        <v>3201</v>
      </c>
      <c r="E446" s="6018">
        <f t="shared" si="55"/>
        <v>5431</v>
      </c>
      <c r="F446" s="6019">
        <v>6179</v>
      </c>
      <c r="G446" s="6020">
        <v>804</v>
      </c>
      <c r="H446" s="6018">
        <f t="shared" si="51"/>
        <v>3618</v>
      </c>
      <c r="I446" s="6018">
        <f t="shared" si="52"/>
        <v>5980</v>
      </c>
      <c r="J446" s="6019">
        <f t="shared" si="53"/>
        <v>6728</v>
      </c>
      <c r="K446" s="1732"/>
      <c r="L446" s="6018">
        <v>22125</v>
      </c>
      <c r="W446" s="6018">
        <v>22100</v>
      </c>
      <c r="X446" s="6019">
        <v>22150</v>
      </c>
      <c r="Y446" s="6018">
        <v>0</v>
      </c>
      <c r="Z446" s="6018">
        <v>3201</v>
      </c>
      <c r="AA446" s="6018">
        <v>5431</v>
      </c>
      <c r="AB446" s="6019">
        <v>6179</v>
      </c>
      <c r="AC446" s="6018">
        <v>804</v>
      </c>
      <c r="AD446" s="6018">
        <v>3618</v>
      </c>
      <c r="AE446" s="6018">
        <v>5980</v>
      </c>
      <c r="AF446" s="6019">
        <v>6728</v>
      </c>
    </row>
    <row r="447" spans="1:32" ht="13.5">
      <c r="A447" s="6018">
        <v>22150</v>
      </c>
      <c r="B447" s="6019">
        <v>22200</v>
      </c>
      <c r="C447" s="6020">
        <f t="shared" si="56"/>
        <v>0</v>
      </c>
      <c r="D447" s="6018">
        <v>3193</v>
      </c>
      <c r="E447" s="6018">
        <f t="shared" si="55"/>
        <v>5421</v>
      </c>
      <c r="F447" s="6019">
        <v>6168</v>
      </c>
      <c r="G447" s="6020">
        <v>796</v>
      </c>
      <c r="H447" s="6018">
        <f t="shared" si="51"/>
        <v>3618</v>
      </c>
      <c r="I447" s="6018">
        <f t="shared" si="52"/>
        <v>5980</v>
      </c>
      <c r="J447" s="6019">
        <f t="shared" si="53"/>
        <v>6728</v>
      </c>
      <c r="K447" s="1732"/>
      <c r="L447" s="6018">
        <v>22175</v>
      </c>
      <c r="W447" s="6018">
        <v>22150</v>
      </c>
      <c r="X447" s="6019">
        <v>22200</v>
      </c>
      <c r="Y447" s="6018">
        <v>0</v>
      </c>
      <c r="Z447" s="6018">
        <v>3193</v>
      </c>
      <c r="AA447" s="6018">
        <v>5421</v>
      </c>
      <c r="AB447" s="6019">
        <v>6168</v>
      </c>
      <c r="AC447" s="6018">
        <v>796</v>
      </c>
      <c r="AD447" s="6018">
        <v>3618</v>
      </c>
      <c r="AE447" s="6018">
        <v>5980</v>
      </c>
      <c r="AF447" s="6019">
        <v>6728</v>
      </c>
    </row>
    <row r="448" spans="1:32" ht="13.5">
      <c r="A448" s="6018">
        <v>22200</v>
      </c>
      <c r="B448" s="6019">
        <v>22250</v>
      </c>
      <c r="C448" s="6020">
        <f t="shared" si="56"/>
        <v>0</v>
      </c>
      <c r="D448" s="6018">
        <v>3185</v>
      </c>
      <c r="E448" s="6018">
        <f t="shared" si="55"/>
        <v>5410</v>
      </c>
      <c r="F448" s="6019">
        <v>6158</v>
      </c>
      <c r="G448" s="6020">
        <v>789</v>
      </c>
      <c r="H448" s="6018">
        <f t="shared" si="51"/>
        <v>3618</v>
      </c>
      <c r="I448" s="6018">
        <f t="shared" si="52"/>
        <v>5980</v>
      </c>
      <c r="J448" s="6019">
        <f t="shared" si="53"/>
        <v>6728</v>
      </c>
      <c r="K448" s="1732"/>
      <c r="L448" s="6018">
        <v>22225</v>
      </c>
      <c r="W448" s="6018">
        <v>22200</v>
      </c>
      <c r="X448" s="6019">
        <v>22250</v>
      </c>
      <c r="Y448" s="6018">
        <v>0</v>
      </c>
      <c r="Z448" s="6018">
        <v>3185</v>
      </c>
      <c r="AA448" s="6018">
        <v>5410</v>
      </c>
      <c r="AB448" s="6019">
        <v>6158</v>
      </c>
      <c r="AC448" s="6018">
        <v>789</v>
      </c>
      <c r="AD448" s="6018">
        <v>3618</v>
      </c>
      <c r="AE448" s="6018">
        <v>5980</v>
      </c>
      <c r="AF448" s="6019">
        <v>6728</v>
      </c>
    </row>
    <row r="449" spans="1:32" ht="13.5">
      <c r="A449" s="6018">
        <v>22250</v>
      </c>
      <c r="B449" s="6019">
        <v>22300</v>
      </c>
      <c r="C449" s="6020">
        <f t="shared" si="56"/>
        <v>0</v>
      </c>
      <c r="D449" s="6018">
        <v>3177</v>
      </c>
      <c r="E449" s="6018">
        <f t="shared" si="55"/>
        <v>5400</v>
      </c>
      <c r="F449" s="6019">
        <v>6147</v>
      </c>
      <c r="G449" s="6020">
        <v>781</v>
      </c>
      <c r="H449" s="6018">
        <f t="shared" si="51"/>
        <v>3618</v>
      </c>
      <c r="I449" s="6018">
        <f t="shared" si="52"/>
        <v>5980</v>
      </c>
      <c r="J449" s="6019">
        <f t="shared" si="53"/>
        <v>6728</v>
      </c>
      <c r="K449" s="1732"/>
      <c r="L449" s="6018">
        <v>22275</v>
      </c>
      <c r="W449" s="6018">
        <v>22250</v>
      </c>
      <c r="X449" s="6019">
        <v>22300</v>
      </c>
      <c r="Y449" s="6018">
        <v>0</v>
      </c>
      <c r="Z449" s="6018">
        <v>3177</v>
      </c>
      <c r="AA449" s="6018">
        <v>5400</v>
      </c>
      <c r="AB449" s="6019">
        <v>6147</v>
      </c>
      <c r="AC449" s="6018">
        <v>781</v>
      </c>
      <c r="AD449" s="6018">
        <v>3618</v>
      </c>
      <c r="AE449" s="6018">
        <v>5980</v>
      </c>
      <c r="AF449" s="6019">
        <v>6728</v>
      </c>
    </row>
    <row r="450" spans="1:32" ht="13.5">
      <c r="A450" s="6018">
        <v>22300</v>
      </c>
      <c r="B450" s="6019">
        <v>22350</v>
      </c>
      <c r="C450" s="6020">
        <f t="shared" si="56"/>
        <v>0</v>
      </c>
      <c r="D450" s="6018">
        <v>3169</v>
      </c>
      <c r="E450" s="6018">
        <f t="shared" si="55"/>
        <v>5389</v>
      </c>
      <c r="F450" s="6019">
        <v>6137</v>
      </c>
      <c r="G450" s="6020">
        <v>773</v>
      </c>
      <c r="H450" s="6018">
        <f t="shared" si="51"/>
        <v>3618</v>
      </c>
      <c r="I450" s="6018">
        <f t="shared" si="52"/>
        <v>5980</v>
      </c>
      <c r="J450" s="6019">
        <f t="shared" si="53"/>
        <v>6728</v>
      </c>
      <c r="K450" s="1732"/>
      <c r="L450" s="6018">
        <v>22325</v>
      </c>
      <c r="W450" s="6018">
        <v>22300</v>
      </c>
      <c r="X450" s="6019">
        <v>22350</v>
      </c>
      <c r="Y450" s="6018">
        <v>0</v>
      </c>
      <c r="Z450" s="6018">
        <v>3169</v>
      </c>
      <c r="AA450" s="6018">
        <v>5389</v>
      </c>
      <c r="AB450" s="6019">
        <v>6137</v>
      </c>
      <c r="AC450" s="6018">
        <v>773</v>
      </c>
      <c r="AD450" s="6018">
        <v>3618</v>
      </c>
      <c r="AE450" s="6018">
        <v>5980</v>
      </c>
      <c r="AF450" s="6019">
        <v>6728</v>
      </c>
    </row>
    <row r="451" spans="1:32" ht="13.5">
      <c r="A451" s="6018">
        <v>22350</v>
      </c>
      <c r="B451" s="6019">
        <v>22400</v>
      </c>
      <c r="C451" s="6020">
        <f t="shared" si="56"/>
        <v>0</v>
      </c>
      <c r="D451" s="6018">
        <v>3161</v>
      </c>
      <c r="E451" s="6018">
        <f t="shared" si="55"/>
        <v>5379</v>
      </c>
      <c r="F451" s="6019">
        <v>6126</v>
      </c>
      <c r="G451" s="6020">
        <v>766</v>
      </c>
      <c r="H451" s="6018">
        <f t="shared" si="51"/>
        <v>3618</v>
      </c>
      <c r="I451" s="6018">
        <f t="shared" si="52"/>
        <v>5980</v>
      </c>
      <c r="J451" s="6019">
        <f t="shared" si="53"/>
        <v>6728</v>
      </c>
      <c r="K451" s="1732"/>
      <c r="L451" s="6018">
        <v>22375</v>
      </c>
      <c r="W451" s="6018">
        <v>22350</v>
      </c>
      <c r="X451" s="6019">
        <v>22400</v>
      </c>
      <c r="Y451" s="6018">
        <v>0</v>
      </c>
      <c r="Z451" s="6018">
        <v>3161</v>
      </c>
      <c r="AA451" s="6018">
        <v>5379</v>
      </c>
      <c r="AB451" s="6019">
        <v>6126</v>
      </c>
      <c r="AC451" s="6018">
        <v>766</v>
      </c>
      <c r="AD451" s="6018">
        <v>3618</v>
      </c>
      <c r="AE451" s="6018">
        <v>5980</v>
      </c>
      <c r="AF451" s="6019">
        <v>6728</v>
      </c>
    </row>
    <row r="452" spans="1:32" ht="13.5">
      <c r="A452" s="6018">
        <v>22400</v>
      </c>
      <c r="B452" s="6019">
        <v>22450</v>
      </c>
      <c r="C452" s="6020">
        <f t="shared" si="56"/>
        <v>0</v>
      </c>
      <c r="D452" s="6018">
        <v>3153</v>
      </c>
      <c r="E452" s="6018">
        <f t="shared" si="55"/>
        <v>5368</v>
      </c>
      <c r="F452" s="6019">
        <v>6116</v>
      </c>
      <c r="G452" s="6020">
        <v>758</v>
      </c>
      <c r="H452" s="6018">
        <f t="shared" ref="H452:H515" si="57">IF($L452&gt;S$5,MAX(0,S$3+ROUND((S$9*($L452-S$5)),0)),IF($L452&gt;S$4,S$3,ROUND($L452*S$7,0)))</f>
        <v>3618</v>
      </c>
      <c r="I452" s="6018">
        <f t="shared" ref="I452:I515" si="58">IF($L452&gt;T$5,MAX(0,T$3+ROUND((T$9*($L452-T$5)),0)),IF($L452&gt;T$4,T$3,ROUND($L452*T$7,0)))</f>
        <v>5980</v>
      </c>
      <c r="J452" s="6019">
        <f t="shared" ref="J452:J514" si="59">IF($L452&gt;U$5,MAX(0,U$3+ROUND((U$9*($L452-U$5)),0)),IF($L452&gt;U$4,U$3,ROUND($L452*U$7,0)))</f>
        <v>6728</v>
      </c>
      <c r="K452" s="1732"/>
      <c r="L452" s="6018">
        <v>22425</v>
      </c>
      <c r="W452" s="6018">
        <v>22400</v>
      </c>
      <c r="X452" s="6019">
        <v>22450</v>
      </c>
      <c r="Y452" s="6018">
        <v>0</v>
      </c>
      <c r="Z452" s="6018">
        <v>3153</v>
      </c>
      <c r="AA452" s="6018">
        <v>5368</v>
      </c>
      <c r="AB452" s="6019">
        <v>6116</v>
      </c>
      <c r="AC452" s="6018">
        <v>758</v>
      </c>
      <c r="AD452" s="6018">
        <v>3618</v>
      </c>
      <c r="AE452" s="6018">
        <v>5980</v>
      </c>
      <c r="AF452" s="6019">
        <v>6728</v>
      </c>
    </row>
    <row r="453" spans="1:32" ht="13.5">
      <c r="A453" s="6018">
        <v>22450</v>
      </c>
      <c r="B453" s="6019">
        <v>22500</v>
      </c>
      <c r="C453" s="6020">
        <f t="shared" si="56"/>
        <v>0</v>
      </c>
      <c r="D453" s="6018">
        <v>3145</v>
      </c>
      <c r="E453" s="6018">
        <f t="shared" si="55"/>
        <v>5358</v>
      </c>
      <c r="F453" s="6019">
        <v>6105</v>
      </c>
      <c r="G453" s="6020">
        <v>750</v>
      </c>
      <c r="H453" s="6018">
        <f t="shared" si="57"/>
        <v>3618</v>
      </c>
      <c r="I453" s="6018">
        <f t="shared" si="58"/>
        <v>5980</v>
      </c>
      <c r="J453" s="6019">
        <f t="shared" si="59"/>
        <v>6728</v>
      </c>
      <c r="K453" s="1732"/>
      <c r="L453" s="6018">
        <v>22475</v>
      </c>
      <c r="W453" s="6018">
        <v>22450</v>
      </c>
      <c r="X453" s="6019">
        <v>22500</v>
      </c>
      <c r="Y453" s="6018">
        <v>0</v>
      </c>
      <c r="Z453" s="6018">
        <v>3145</v>
      </c>
      <c r="AA453" s="6018">
        <v>5358</v>
      </c>
      <c r="AB453" s="6019">
        <v>6105</v>
      </c>
      <c r="AC453" s="6018">
        <v>750</v>
      </c>
      <c r="AD453" s="6018">
        <v>3618</v>
      </c>
      <c r="AE453" s="6018">
        <v>5980</v>
      </c>
      <c r="AF453" s="6019">
        <v>6728</v>
      </c>
    </row>
    <row r="454" spans="1:32" ht="13.5">
      <c r="A454" s="6018">
        <v>22500</v>
      </c>
      <c r="B454" s="6019">
        <v>22550</v>
      </c>
      <c r="C454" s="6020">
        <f t="shared" ref="C454:C517" si="60">IF($L454&gt;N$5,MAX(0,N$3+ROUND((N$9*($L454-N$5)),0)),IF($L454&gt;N$4,N$3,ROUND($L454*N$7,0)))</f>
        <v>0</v>
      </c>
      <c r="D454" s="6018">
        <v>3137</v>
      </c>
      <c r="E454" s="6018">
        <f t="shared" ref="E454:E517" si="61">IF($L454&gt;P$5,MAX(0,P$3+ROUND((P$9*($L454-P$5)),0)),IF($L454&gt;P$4,P$3,ROUND($L454*P$7,0)))</f>
        <v>5347</v>
      </c>
      <c r="F454" s="6019">
        <v>6095</v>
      </c>
      <c r="G454" s="6020">
        <v>743</v>
      </c>
      <c r="H454" s="6018">
        <f t="shared" si="57"/>
        <v>3618</v>
      </c>
      <c r="I454" s="6018">
        <f t="shared" si="58"/>
        <v>5980</v>
      </c>
      <c r="J454" s="6019">
        <f t="shared" si="59"/>
        <v>6728</v>
      </c>
      <c r="K454" s="1732"/>
      <c r="L454" s="6018">
        <v>22525</v>
      </c>
      <c r="W454" s="6018">
        <v>22500</v>
      </c>
      <c r="X454" s="6019">
        <v>22550</v>
      </c>
      <c r="Y454" s="6018">
        <v>0</v>
      </c>
      <c r="Z454" s="6018">
        <v>3137</v>
      </c>
      <c r="AA454" s="6018">
        <v>5347</v>
      </c>
      <c r="AB454" s="6019">
        <v>6095</v>
      </c>
      <c r="AC454" s="6018">
        <v>743</v>
      </c>
      <c r="AD454" s="6018">
        <v>3618</v>
      </c>
      <c r="AE454" s="6018">
        <v>5980</v>
      </c>
      <c r="AF454" s="6019">
        <v>6728</v>
      </c>
    </row>
    <row r="455" spans="1:32" ht="13.5">
      <c r="A455" s="6018">
        <v>22550</v>
      </c>
      <c r="B455" s="6019">
        <v>22600</v>
      </c>
      <c r="C455" s="6020">
        <f t="shared" si="60"/>
        <v>0</v>
      </c>
      <c r="D455" s="6018">
        <v>3129</v>
      </c>
      <c r="E455" s="6018">
        <f t="shared" si="61"/>
        <v>5337</v>
      </c>
      <c r="F455" s="6019">
        <v>6084</v>
      </c>
      <c r="G455" s="6020">
        <v>735</v>
      </c>
      <c r="H455" s="6018">
        <f t="shared" si="57"/>
        <v>3618</v>
      </c>
      <c r="I455" s="6018">
        <f t="shared" si="58"/>
        <v>5980</v>
      </c>
      <c r="J455" s="6019">
        <f t="shared" si="59"/>
        <v>6728</v>
      </c>
      <c r="K455" s="1732"/>
      <c r="L455" s="6018">
        <v>22575</v>
      </c>
      <c r="W455" s="6018">
        <v>22550</v>
      </c>
      <c r="X455" s="6019">
        <v>22600</v>
      </c>
      <c r="Y455" s="6018">
        <v>0</v>
      </c>
      <c r="Z455" s="6018">
        <v>3129</v>
      </c>
      <c r="AA455" s="6018">
        <v>5337</v>
      </c>
      <c r="AB455" s="6019">
        <v>6084</v>
      </c>
      <c r="AC455" s="6018">
        <v>735</v>
      </c>
      <c r="AD455" s="6018">
        <v>3618</v>
      </c>
      <c r="AE455" s="6018">
        <v>5980</v>
      </c>
      <c r="AF455" s="6019">
        <v>6728</v>
      </c>
    </row>
    <row r="456" spans="1:32" ht="13.5">
      <c r="A456" s="6018">
        <v>22600</v>
      </c>
      <c r="B456" s="6019">
        <v>22650</v>
      </c>
      <c r="C456" s="6020">
        <f t="shared" si="60"/>
        <v>0</v>
      </c>
      <c r="D456" s="6018">
        <v>3121</v>
      </c>
      <c r="E456" s="6018">
        <f t="shared" si="61"/>
        <v>5326</v>
      </c>
      <c r="F456" s="6019">
        <v>6074</v>
      </c>
      <c r="G456" s="6020">
        <v>728</v>
      </c>
      <c r="H456" s="6018">
        <f t="shared" si="57"/>
        <v>3618</v>
      </c>
      <c r="I456" s="6018">
        <f t="shared" si="58"/>
        <v>5980</v>
      </c>
      <c r="J456" s="6019">
        <f t="shared" si="59"/>
        <v>6728</v>
      </c>
      <c r="K456" s="1732"/>
      <c r="L456" s="6018">
        <v>22625</v>
      </c>
      <c r="W456" s="6018">
        <v>22600</v>
      </c>
      <c r="X456" s="6019">
        <v>22650</v>
      </c>
      <c r="Y456" s="6018">
        <v>0</v>
      </c>
      <c r="Z456" s="6018">
        <v>3121</v>
      </c>
      <c r="AA456" s="6018">
        <v>5326</v>
      </c>
      <c r="AB456" s="6019">
        <v>6074</v>
      </c>
      <c r="AC456" s="6018">
        <v>728</v>
      </c>
      <c r="AD456" s="6018">
        <v>3618</v>
      </c>
      <c r="AE456" s="6018">
        <v>5980</v>
      </c>
      <c r="AF456" s="6019">
        <v>6728</v>
      </c>
    </row>
    <row r="457" spans="1:32" ht="13.5">
      <c r="A457" s="6018">
        <v>22650</v>
      </c>
      <c r="B457" s="6019">
        <v>22700</v>
      </c>
      <c r="C457" s="6020">
        <f t="shared" si="60"/>
        <v>0</v>
      </c>
      <c r="D457" s="6018">
        <v>3113</v>
      </c>
      <c r="E457" s="6018">
        <f t="shared" si="61"/>
        <v>5316</v>
      </c>
      <c r="F457" s="6019">
        <v>6063</v>
      </c>
      <c r="G457" s="6020">
        <v>720</v>
      </c>
      <c r="H457" s="6018">
        <f t="shared" si="57"/>
        <v>3618</v>
      </c>
      <c r="I457" s="6018">
        <f t="shared" si="58"/>
        <v>5980</v>
      </c>
      <c r="J457" s="6019">
        <f t="shared" si="59"/>
        <v>6728</v>
      </c>
      <c r="K457" s="1732"/>
      <c r="L457" s="6018">
        <v>22675</v>
      </c>
      <c r="W457" s="6018">
        <v>22650</v>
      </c>
      <c r="X457" s="6019">
        <v>22700</v>
      </c>
      <c r="Y457" s="6018">
        <v>0</v>
      </c>
      <c r="Z457" s="6018">
        <v>3113</v>
      </c>
      <c r="AA457" s="6018">
        <v>5316</v>
      </c>
      <c r="AB457" s="6019">
        <v>6063</v>
      </c>
      <c r="AC457" s="6018">
        <v>720</v>
      </c>
      <c r="AD457" s="6018">
        <v>3618</v>
      </c>
      <c r="AE457" s="6018">
        <v>5980</v>
      </c>
      <c r="AF457" s="6019">
        <v>6728</v>
      </c>
    </row>
    <row r="458" spans="1:32" ht="13.5">
      <c r="A458" s="6018">
        <v>22700</v>
      </c>
      <c r="B458" s="6019">
        <v>22750</v>
      </c>
      <c r="C458" s="6020">
        <f t="shared" si="60"/>
        <v>0</v>
      </c>
      <c r="D458" s="6018">
        <v>3105</v>
      </c>
      <c r="E458" s="6018">
        <f t="shared" si="61"/>
        <v>5305</v>
      </c>
      <c r="F458" s="6019">
        <v>6053</v>
      </c>
      <c r="G458" s="6020">
        <v>712</v>
      </c>
      <c r="H458" s="6018">
        <f t="shared" si="57"/>
        <v>3618</v>
      </c>
      <c r="I458" s="6018">
        <f t="shared" si="58"/>
        <v>5980</v>
      </c>
      <c r="J458" s="6019">
        <f t="shared" si="59"/>
        <v>6728</v>
      </c>
      <c r="K458" s="1732"/>
      <c r="L458" s="6018">
        <v>22725</v>
      </c>
      <c r="W458" s="6018">
        <v>22700</v>
      </c>
      <c r="X458" s="6019">
        <v>22750</v>
      </c>
      <c r="Y458" s="6018">
        <v>0</v>
      </c>
      <c r="Z458" s="6018">
        <v>3105</v>
      </c>
      <c r="AA458" s="6018">
        <v>5305</v>
      </c>
      <c r="AB458" s="6019">
        <v>6053</v>
      </c>
      <c r="AC458" s="6018">
        <v>712</v>
      </c>
      <c r="AD458" s="6018">
        <v>3618</v>
      </c>
      <c r="AE458" s="6018">
        <v>5980</v>
      </c>
      <c r="AF458" s="6019">
        <v>6728</v>
      </c>
    </row>
    <row r="459" spans="1:32" ht="13.5">
      <c r="A459" s="6018">
        <v>22750</v>
      </c>
      <c r="B459" s="6019">
        <v>22800</v>
      </c>
      <c r="C459" s="6020">
        <f t="shared" si="60"/>
        <v>0</v>
      </c>
      <c r="D459" s="6018">
        <v>3097</v>
      </c>
      <c r="E459" s="6018">
        <f t="shared" si="61"/>
        <v>5294</v>
      </c>
      <c r="F459" s="6019">
        <v>6042</v>
      </c>
      <c r="G459" s="6020">
        <v>705</v>
      </c>
      <c r="H459" s="6018">
        <f t="shared" si="57"/>
        <v>3618</v>
      </c>
      <c r="I459" s="6018">
        <f t="shared" si="58"/>
        <v>5980</v>
      </c>
      <c r="J459" s="6019">
        <f t="shared" si="59"/>
        <v>6728</v>
      </c>
      <c r="K459" s="1732"/>
      <c r="L459" s="6018">
        <v>22775</v>
      </c>
      <c r="W459" s="6018">
        <v>22750</v>
      </c>
      <c r="X459" s="6019">
        <v>22800</v>
      </c>
      <c r="Y459" s="6018">
        <v>0</v>
      </c>
      <c r="Z459" s="6018">
        <v>3097</v>
      </c>
      <c r="AA459" s="6018">
        <v>5294</v>
      </c>
      <c r="AB459" s="6019">
        <v>6042</v>
      </c>
      <c r="AC459" s="6018">
        <v>705</v>
      </c>
      <c r="AD459" s="6018">
        <v>3618</v>
      </c>
      <c r="AE459" s="6018">
        <v>5980</v>
      </c>
      <c r="AF459" s="6019">
        <v>6728</v>
      </c>
    </row>
    <row r="460" spans="1:32" ht="13.5">
      <c r="A460" s="6018">
        <v>22800</v>
      </c>
      <c r="B460" s="6019">
        <v>22850</v>
      </c>
      <c r="C460" s="6020">
        <f t="shared" si="60"/>
        <v>0</v>
      </c>
      <c r="D460" s="6018">
        <v>3089</v>
      </c>
      <c r="E460" s="6018">
        <f t="shared" si="61"/>
        <v>5284</v>
      </c>
      <c r="F460" s="6019">
        <v>6031</v>
      </c>
      <c r="G460" s="6020">
        <v>697</v>
      </c>
      <c r="H460" s="6018">
        <f t="shared" si="57"/>
        <v>3618</v>
      </c>
      <c r="I460" s="6018">
        <f t="shared" si="58"/>
        <v>5980</v>
      </c>
      <c r="J460" s="6019">
        <f t="shared" si="59"/>
        <v>6728</v>
      </c>
      <c r="K460" s="1732"/>
      <c r="L460" s="6018">
        <v>22825</v>
      </c>
      <c r="W460" s="6018">
        <v>22800</v>
      </c>
      <c r="X460" s="6019">
        <v>22850</v>
      </c>
      <c r="Y460" s="6018">
        <v>0</v>
      </c>
      <c r="Z460" s="6018">
        <v>3089</v>
      </c>
      <c r="AA460" s="6018">
        <v>5284</v>
      </c>
      <c r="AB460" s="6019">
        <v>6031</v>
      </c>
      <c r="AC460" s="6018">
        <v>697</v>
      </c>
      <c r="AD460" s="6018">
        <v>3618</v>
      </c>
      <c r="AE460" s="6018">
        <v>5980</v>
      </c>
      <c r="AF460" s="6019">
        <v>6728</v>
      </c>
    </row>
    <row r="461" spans="1:32" ht="13.5">
      <c r="A461" s="6018">
        <v>22850</v>
      </c>
      <c r="B461" s="6019">
        <v>22900</v>
      </c>
      <c r="C461" s="6020">
        <f t="shared" si="60"/>
        <v>0</v>
      </c>
      <c r="D461" s="6018">
        <v>3081</v>
      </c>
      <c r="E461" s="6018">
        <f t="shared" si="61"/>
        <v>5273</v>
      </c>
      <c r="F461" s="6019">
        <v>6021</v>
      </c>
      <c r="G461" s="6020">
        <v>689</v>
      </c>
      <c r="H461" s="6018">
        <f t="shared" si="57"/>
        <v>3618</v>
      </c>
      <c r="I461" s="6018">
        <f t="shared" si="58"/>
        <v>5980</v>
      </c>
      <c r="J461" s="6019">
        <f t="shared" si="59"/>
        <v>6728</v>
      </c>
      <c r="K461" s="1732"/>
      <c r="L461" s="6018">
        <v>22875</v>
      </c>
      <c r="W461" s="6018">
        <v>22850</v>
      </c>
      <c r="X461" s="6019">
        <v>22900</v>
      </c>
      <c r="Y461" s="6018">
        <v>0</v>
      </c>
      <c r="Z461" s="6018">
        <v>3081</v>
      </c>
      <c r="AA461" s="6018">
        <v>5273</v>
      </c>
      <c r="AB461" s="6019">
        <v>6021</v>
      </c>
      <c r="AC461" s="6018">
        <v>689</v>
      </c>
      <c r="AD461" s="6018">
        <v>3618</v>
      </c>
      <c r="AE461" s="6018">
        <v>5980</v>
      </c>
      <c r="AF461" s="6019">
        <v>6728</v>
      </c>
    </row>
    <row r="462" spans="1:32" ht="13.5">
      <c r="A462" s="6018">
        <v>22900</v>
      </c>
      <c r="B462" s="6019">
        <v>22950</v>
      </c>
      <c r="C462" s="6020">
        <f t="shared" si="60"/>
        <v>0</v>
      </c>
      <c r="D462" s="6018">
        <v>3073</v>
      </c>
      <c r="E462" s="6018">
        <f t="shared" si="61"/>
        <v>5263</v>
      </c>
      <c r="F462" s="6019">
        <v>6010</v>
      </c>
      <c r="G462" s="6020">
        <v>682</v>
      </c>
      <c r="H462" s="6018">
        <f t="shared" si="57"/>
        <v>3618</v>
      </c>
      <c r="I462" s="6018">
        <f t="shared" si="58"/>
        <v>5980</v>
      </c>
      <c r="J462" s="6019">
        <f t="shared" si="59"/>
        <v>6728</v>
      </c>
      <c r="K462" s="1732"/>
      <c r="L462" s="6018">
        <v>22925</v>
      </c>
      <c r="W462" s="6018">
        <v>22900</v>
      </c>
      <c r="X462" s="6019">
        <v>22950</v>
      </c>
      <c r="Y462" s="6018">
        <v>0</v>
      </c>
      <c r="Z462" s="6018">
        <v>3073</v>
      </c>
      <c r="AA462" s="6018">
        <v>5263</v>
      </c>
      <c r="AB462" s="6019">
        <v>6010</v>
      </c>
      <c r="AC462" s="6018">
        <v>682</v>
      </c>
      <c r="AD462" s="6018">
        <v>3618</v>
      </c>
      <c r="AE462" s="6018">
        <v>5980</v>
      </c>
      <c r="AF462" s="6019">
        <v>6728</v>
      </c>
    </row>
    <row r="463" spans="1:32" ht="13.5">
      <c r="A463" s="6018">
        <v>22950</v>
      </c>
      <c r="B463" s="6019">
        <v>23000</v>
      </c>
      <c r="C463" s="6020">
        <f t="shared" si="60"/>
        <v>0</v>
      </c>
      <c r="D463" s="6018">
        <v>3065</v>
      </c>
      <c r="E463" s="6018">
        <f t="shared" si="61"/>
        <v>5252</v>
      </c>
      <c r="F463" s="6019">
        <v>6000</v>
      </c>
      <c r="G463" s="6020">
        <v>674</v>
      </c>
      <c r="H463" s="6018">
        <f t="shared" si="57"/>
        <v>3618</v>
      </c>
      <c r="I463" s="6018">
        <f t="shared" si="58"/>
        <v>5980</v>
      </c>
      <c r="J463" s="6019">
        <f t="shared" si="59"/>
        <v>6728</v>
      </c>
      <c r="K463" s="1732"/>
      <c r="L463" s="6018">
        <v>22975</v>
      </c>
      <c r="W463" s="6018">
        <v>22950</v>
      </c>
      <c r="X463" s="6019">
        <v>23000</v>
      </c>
      <c r="Y463" s="6018">
        <v>0</v>
      </c>
      <c r="Z463" s="6018">
        <v>3065</v>
      </c>
      <c r="AA463" s="6018">
        <v>5252</v>
      </c>
      <c r="AB463" s="6019">
        <v>6000</v>
      </c>
      <c r="AC463" s="6018">
        <v>674</v>
      </c>
      <c r="AD463" s="6018">
        <v>3618</v>
      </c>
      <c r="AE463" s="6018">
        <v>5980</v>
      </c>
      <c r="AF463" s="6019">
        <v>6728</v>
      </c>
    </row>
    <row r="464" spans="1:32" ht="13.5">
      <c r="A464" s="6018">
        <v>23000</v>
      </c>
      <c r="B464" s="6019">
        <v>23050</v>
      </c>
      <c r="C464" s="6020">
        <f t="shared" si="60"/>
        <v>0</v>
      </c>
      <c r="D464" s="6018">
        <f t="shared" ref="D464:D517" si="62">IF($L464&gt;O$5,MAX(0,O$3+ROUND((O$9*($L464-O$5)),0)),IF($L464&gt;O$4,O$3,ROUND($L464*O$7,0)))</f>
        <v>3058</v>
      </c>
      <c r="E464" s="6018">
        <f t="shared" si="61"/>
        <v>5242</v>
      </c>
      <c r="F464" s="6019">
        <v>5989</v>
      </c>
      <c r="G464" s="6020">
        <v>666</v>
      </c>
      <c r="H464" s="6018">
        <f t="shared" si="57"/>
        <v>3618</v>
      </c>
      <c r="I464" s="6018">
        <f t="shared" si="58"/>
        <v>5980</v>
      </c>
      <c r="J464" s="6019">
        <f t="shared" si="59"/>
        <v>6728</v>
      </c>
      <c r="K464" s="1732"/>
      <c r="L464" s="6018">
        <v>23025</v>
      </c>
      <c r="W464" s="6018">
        <v>23000</v>
      </c>
      <c r="X464" s="6019">
        <v>23050</v>
      </c>
      <c r="Y464" s="6018">
        <v>0</v>
      </c>
      <c r="Z464" s="6018">
        <v>3058</v>
      </c>
      <c r="AA464" s="6018">
        <v>5242</v>
      </c>
      <c r="AB464" s="6019">
        <v>5989</v>
      </c>
      <c r="AC464" s="6018">
        <v>666</v>
      </c>
      <c r="AD464" s="6018">
        <v>3618</v>
      </c>
      <c r="AE464" s="6018">
        <v>5980</v>
      </c>
      <c r="AF464" s="6019">
        <v>6728</v>
      </c>
    </row>
    <row r="465" spans="1:32" ht="13.5">
      <c r="A465" s="6018">
        <v>23050</v>
      </c>
      <c r="B465" s="6019">
        <v>23100</v>
      </c>
      <c r="C465" s="6020">
        <f t="shared" si="60"/>
        <v>0</v>
      </c>
      <c r="D465" s="6018">
        <f t="shared" si="62"/>
        <v>3050</v>
      </c>
      <c r="E465" s="6018">
        <f t="shared" si="61"/>
        <v>5231</v>
      </c>
      <c r="F465" s="6019">
        <v>5979</v>
      </c>
      <c r="G465" s="6020">
        <v>659</v>
      </c>
      <c r="H465" s="6018">
        <f t="shared" si="57"/>
        <v>3618</v>
      </c>
      <c r="I465" s="6018">
        <f t="shared" si="58"/>
        <v>5980</v>
      </c>
      <c r="J465" s="6019">
        <f t="shared" si="59"/>
        <v>6728</v>
      </c>
      <c r="K465" s="1732"/>
      <c r="L465" s="6018">
        <v>23075</v>
      </c>
      <c r="W465" s="6018">
        <v>23050</v>
      </c>
      <c r="X465" s="6019">
        <v>23100</v>
      </c>
      <c r="Y465" s="6018">
        <v>0</v>
      </c>
      <c r="Z465" s="6018">
        <v>3050</v>
      </c>
      <c r="AA465" s="6018">
        <v>5231</v>
      </c>
      <c r="AB465" s="6019">
        <v>5979</v>
      </c>
      <c r="AC465" s="6018">
        <v>659</v>
      </c>
      <c r="AD465" s="6018">
        <v>3618</v>
      </c>
      <c r="AE465" s="6018">
        <v>5980</v>
      </c>
      <c r="AF465" s="6019">
        <v>6728</v>
      </c>
    </row>
    <row r="466" spans="1:32" ht="13.5">
      <c r="A466" s="6018">
        <v>23100</v>
      </c>
      <c r="B466" s="6019">
        <v>23150</v>
      </c>
      <c r="C466" s="6020">
        <f t="shared" si="60"/>
        <v>0</v>
      </c>
      <c r="D466" s="6018">
        <f t="shared" si="62"/>
        <v>3042</v>
      </c>
      <c r="E466" s="6018">
        <f t="shared" si="61"/>
        <v>5221</v>
      </c>
      <c r="F466" s="6019">
        <v>5968</v>
      </c>
      <c r="G466" s="6020">
        <v>651</v>
      </c>
      <c r="H466" s="6018">
        <f t="shared" si="57"/>
        <v>3618</v>
      </c>
      <c r="I466" s="6018">
        <f t="shared" si="58"/>
        <v>5980</v>
      </c>
      <c r="J466" s="6019">
        <f t="shared" si="59"/>
        <v>6728</v>
      </c>
      <c r="K466" s="1732"/>
      <c r="L466" s="6018">
        <v>23125</v>
      </c>
      <c r="W466" s="6018">
        <v>23100</v>
      </c>
      <c r="X466" s="6019">
        <v>23150</v>
      </c>
      <c r="Y466" s="6018">
        <v>0</v>
      </c>
      <c r="Z466" s="6018">
        <v>3042</v>
      </c>
      <c r="AA466" s="6018">
        <v>5221</v>
      </c>
      <c r="AB466" s="6019">
        <v>5968</v>
      </c>
      <c r="AC466" s="6018">
        <v>651</v>
      </c>
      <c r="AD466" s="6018">
        <v>3618</v>
      </c>
      <c r="AE466" s="6018">
        <v>5980</v>
      </c>
      <c r="AF466" s="6019">
        <v>6728</v>
      </c>
    </row>
    <row r="467" spans="1:32" ht="13.5">
      <c r="A467" s="6018">
        <v>23150</v>
      </c>
      <c r="B467" s="6019">
        <v>23200</v>
      </c>
      <c r="C467" s="6020">
        <f t="shared" si="60"/>
        <v>0</v>
      </c>
      <c r="D467" s="6018">
        <f t="shared" si="62"/>
        <v>3034</v>
      </c>
      <c r="E467" s="6018">
        <f t="shared" si="61"/>
        <v>5210</v>
      </c>
      <c r="F467" s="6019">
        <v>5958</v>
      </c>
      <c r="G467" s="6020">
        <v>643</v>
      </c>
      <c r="H467" s="6018">
        <f t="shared" si="57"/>
        <v>3618</v>
      </c>
      <c r="I467" s="6018">
        <f t="shared" si="58"/>
        <v>5980</v>
      </c>
      <c r="J467" s="6019">
        <f t="shared" si="59"/>
        <v>6728</v>
      </c>
      <c r="K467" s="1732"/>
      <c r="L467" s="6018">
        <v>23175</v>
      </c>
      <c r="W467" s="6018">
        <v>23150</v>
      </c>
      <c r="X467" s="6019">
        <v>23200</v>
      </c>
      <c r="Y467" s="6018">
        <v>0</v>
      </c>
      <c r="Z467" s="6018">
        <v>3034</v>
      </c>
      <c r="AA467" s="6018">
        <v>5210</v>
      </c>
      <c r="AB467" s="6019">
        <v>5958</v>
      </c>
      <c r="AC467" s="6018">
        <v>643</v>
      </c>
      <c r="AD467" s="6018">
        <v>3618</v>
      </c>
      <c r="AE467" s="6018">
        <v>5980</v>
      </c>
      <c r="AF467" s="6019">
        <v>6728</v>
      </c>
    </row>
    <row r="468" spans="1:32" ht="13.5">
      <c r="A468" s="6018">
        <v>23200</v>
      </c>
      <c r="B468" s="6019">
        <v>23250</v>
      </c>
      <c r="C468" s="6020">
        <f t="shared" si="60"/>
        <v>0</v>
      </c>
      <c r="D468" s="6018">
        <f t="shared" si="62"/>
        <v>3026</v>
      </c>
      <c r="E468" s="6018">
        <f t="shared" si="61"/>
        <v>5200</v>
      </c>
      <c r="F468" s="6019">
        <v>5947</v>
      </c>
      <c r="G468" s="6020">
        <v>636</v>
      </c>
      <c r="H468" s="6018">
        <f t="shared" si="57"/>
        <v>3618</v>
      </c>
      <c r="I468" s="6018">
        <f t="shared" si="58"/>
        <v>5980</v>
      </c>
      <c r="J468" s="6019">
        <f t="shared" si="59"/>
        <v>6728</v>
      </c>
      <c r="K468" s="1732"/>
      <c r="L468" s="6018">
        <v>23225</v>
      </c>
      <c r="W468" s="6018">
        <v>23200</v>
      </c>
      <c r="X468" s="6019">
        <v>23250</v>
      </c>
      <c r="Y468" s="6018">
        <v>0</v>
      </c>
      <c r="Z468" s="6018">
        <v>3026</v>
      </c>
      <c r="AA468" s="6018">
        <v>5200</v>
      </c>
      <c r="AB468" s="6019">
        <v>5947</v>
      </c>
      <c r="AC468" s="6018">
        <v>636</v>
      </c>
      <c r="AD468" s="6018">
        <v>3618</v>
      </c>
      <c r="AE468" s="6018">
        <v>5980</v>
      </c>
      <c r="AF468" s="6019">
        <v>6728</v>
      </c>
    </row>
    <row r="469" spans="1:32" ht="13.5">
      <c r="A469" s="6018">
        <v>23250</v>
      </c>
      <c r="B469" s="6019">
        <v>23300</v>
      </c>
      <c r="C469" s="6020">
        <f t="shared" si="60"/>
        <v>0</v>
      </c>
      <c r="D469" s="6018">
        <f t="shared" si="62"/>
        <v>3018</v>
      </c>
      <c r="E469" s="6018">
        <f t="shared" si="61"/>
        <v>5189</v>
      </c>
      <c r="F469" s="6019">
        <v>5937</v>
      </c>
      <c r="G469" s="6020">
        <v>628</v>
      </c>
      <c r="H469" s="6018">
        <f t="shared" si="57"/>
        <v>3618</v>
      </c>
      <c r="I469" s="6018">
        <f t="shared" si="58"/>
        <v>5980</v>
      </c>
      <c r="J469" s="6019">
        <f t="shared" si="59"/>
        <v>6728</v>
      </c>
      <c r="K469" s="1732"/>
      <c r="L469" s="6018">
        <v>23275</v>
      </c>
      <c r="W469" s="6018">
        <v>23250</v>
      </c>
      <c r="X469" s="6019">
        <v>23300</v>
      </c>
      <c r="Y469" s="6018">
        <v>0</v>
      </c>
      <c r="Z469" s="6018">
        <v>3018</v>
      </c>
      <c r="AA469" s="6018">
        <v>5189</v>
      </c>
      <c r="AB469" s="6019">
        <v>5937</v>
      </c>
      <c r="AC469" s="6018">
        <v>628</v>
      </c>
      <c r="AD469" s="6018">
        <v>3618</v>
      </c>
      <c r="AE469" s="6018">
        <v>5980</v>
      </c>
      <c r="AF469" s="6019">
        <v>6728</v>
      </c>
    </row>
    <row r="470" spans="1:32" ht="13.5">
      <c r="A470" s="6018">
        <v>23300</v>
      </c>
      <c r="B470" s="6019">
        <v>23350</v>
      </c>
      <c r="C470" s="6020">
        <f t="shared" si="60"/>
        <v>0</v>
      </c>
      <c r="D470" s="6018">
        <f t="shared" si="62"/>
        <v>3010</v>
      </c>
      <c r="E470" s="6018">
        <f t="shared" si="61"/>
        <v>5179</v>
      </c>
      <c r="F470" s="6019">
        <v>5926</v>
      </c>
      <c r="G470" s="6020">
        <v>620</v>
      </c>
      <c r="H470" s="6018">
        <f t="shared" si="57"/>
        <v>3618</v>
      </c>
      <c r="I470" s="6018">
        <f t="shared" si="58"/>
        <v>5980</v>
      </c>
      <c r="J470" s="6019">
        <f t="shared" si="59"/>
        <v>6728</v>
      </c>
      <c r="K470" s="1732"/>
      <c r="L470" s="6018">
        <v>23325</v>
      </c>
      <c r="W470" s="6018">
        <v>23300</v>
      </c>
      <c r="X470" s="6019">
        <v>23350</v>
      </c>
      <c r="Y470" s="6018">
        <v>0</v>
      </c>
      <c r="Z470" s="6018">
        <v>3010</v>
      </c>
      <c r="AA470" s="6018">
        <v>5179</v>
      </c>
      <c r="AB470" s="6019">
        <v>5926</v>
      </c>
      <c r="AC470" s="6018">
        <v>620</v>
      </c>
      <c r="AD470" s="6018">
        <v>3618</v>
      </c>
      <c r="AE470" s="6018">
        <v>5980</v>
      </c>
      <c r="AF470" s="6019">
        <v>6728</v>
      </c>
    </row>
    <row r="471" spans="1:32" ht="13.5">
      <c r="A471" s="6018">
        <v>23350</v>
      </c>
      <c r="B471" s="6019">
        <v>23400</v>
      </c>
      <c r="C471" s="6020">
        <f t="shared" si="60"/>
        <v>0</v>
      </c>
      <c r="D471" s="6018">
        <f t="shared" si="62"/>
        <v>3002</v>
      </c>
      <c r="E471" s="6018">
        <f t="shared" si="61"/>
        <v>5168</v>
      </c>
      <c r="F471" s="6019">
        <v>5916</v>
      </c>
      <c r="G471" s="6020">
        <v>613</v>
      </c>
      <c r="H471" s="6018">
        <f t="shared" si="57"/>
        <v>3618</v>
      </c>
      <c r="I471" s="6018">
        <f t="shared" si="58"/>
        <v>5980</v>
      </c>
      <c r="J471" s="6019">
        <f t="shared" si="59"/>
        <v>6728</v>
      </c>
      <c r="K471" s="1732"/>
      <c r="L471" s="6018">
        <v>23375</v>
      </c>
      <c r="W471" s="6018">
        <v>23350</v>
      </c>
      <c r="X471" s="6019">
        <v>23400</v>
      </c>
      <c r="Y471" s="6018">
        <v>0</v>
      </c>
      <c r="Z471" s="6018">
        <v>3002</v>
      </c>
      <c r="AA471" s="6018">
        <v>5168</v>
      </c>
      <c r="AB471" s="6019">
        <v>5916</v>
      </c>
      <c r="AC471" s="6018">
        <v>613</v>
      </c>
      <c r="AD471" s="6018">
        <v>3618</v>
      </c>
      <c r="AE471" s="6018">
        <v>5980</v>
      </c>
      <c r="AF471" s="6019">
        <v>6728</v>
      </c>
    </row>
    <row r="472" spans="1:32" ht="13.5">
      <c r="A472" s="6018">
        <v>23400</v>
      </c>
      <c r="B472" s="6019">
        <v>23450</v>
      </c>
      <c r="C472" s="6020">
        <f t="shared" si="60"/>
        <v>0</v>
      </c>
      <c r="D472" s="6018">
        <f t="shared" si="62"/>
        <v>2994</v>
      </c>
      <c r="E472" s="6018">
        <f t="shared" si="61"/>
        <v>5158</v>
      </c>
      <c r="F472" s="6019">
        <v>5905</v>
      </c>
      <c r="G472" s="6020">
        <v>605</v>
      </c>
      <c r="H472" s="6018">
        <f t="shared" si="57"/>
        <v>3618</v>
      </c>
      <c r="I472" s="6018">
        <f t="shared" si="58"/>
        <v>5980</v>
      </c>
      <c r="J472" s="6019">
        <f t="shared" si="59"/>
        <v>6728</v>
      </c>
      <c r="K472" s="1732"/>
      <c r="L472" s="6018">
        <v>23425</v>
      </c>
      <c r="W472" s="6018">
        <v>23400</v>
      </c>
      <c r="X472" s="6019">
        <v>23450</v>
      </c>
      <c r="Y472" s="6018">
        <v>0</v>
      </c>
      <c r="Z472" s="6018">
        <v>2994</v>
      </c>
      <c r="AA472" s="6018">
        <v>5158</v>
      </c>
      <c r="AB472" s="6019">
        <v>5905</v>
      </c>
      <c r="AC472" s="6018">
        <v>605</v>
      </c>
      <c r="AD472" s="6018">
        <v>3618</v>
      </c>
      <c r="AE472" s="6018">
        <v>5980</v>
      </c>
      <c r="AF472" s="6019">
        <v>6728</v>
      </c>
    </row>
    <row r="473" spans="1:32" ht="13.5">
      <c r="A473" s="6018">
        <v>23450</v>
      </c>
      <c r="B473" s="6019">
        <v>23500</v>
      </c>
      <c r="C473" s="6020">
        <f t="shared" si="60"/>
        <v>0</v>
      </c>
      <c r="D473" s="6018">
        <f t="shared" si="62"/>
        <v>2986</v>
      </c>
      <c r="E473" s="6018">
        <f t="shared" si="61"/>
        <v>5147</v>
      </c>
      <c r="F473" s="6019">
        <v>5895</v>
      </c>
      <c r="G473" s="6020">
        <v>597</v>
      </c>
      <c r="H473" s="6018">
        <f t="shared" si="57"/>
        <v>3618</v>
      </c>
      <c r="I473" s="6018">
        <f t="shared" si="58"/>
        <v>5980</v>
      </c>
      <c r="J473" s="6019">
        <f t="shared" si="59"/>
        <v>6728</v>
      </c>
      <c r="K473" s="1732"/>
      <c r="L473" s="6018">
        <v>23475</v>
      </c>
      <c r="W473" s="6018">
        <v>23450</v>
      </c>
      <c r="X473" s="6019">
        <v>23500</v>
      </c>
      <c r="Y473" s="6018">
        <v>0</v>
      </c>
      <c r="Z473" s="6018">
        <v>2986</v>
      </c>
      <c r="AA473" s="6018">
        <v>5147</v>
      </c>
      <c r="AB473" s="6019">
        <v>5895</v>
      </c>
      <c r="AC473" s="6018">
        <v>597</v>
      </c>
      <c r="AD473" s="6018">
        <v>3618</v>
      </c>
      <c r="AE473" s="6018">
        <v>5980</v>
      </c>
      <c r="AF473" s="6019">
        <v>6728</v>
      </c>
    </row>
    <row r="474" spans="1:32" ht="13.5">
      <c r="A474" s="6018">
        <v>23500</v>
      </c>
      <c r="B474" s="6019">
        <v>23550</v>
      </c>
      <c r="C474" s="6020">
        <f t="shared" si="60"/>
        <v>0</v>
      </c>
      <c r="D474" s="6018">
        <f t="shared" si="62"/>
        <v>2978</v>
      </c>
      <c r="E474" s="6018">
        <f t="shared" si="61"/>
        <v>5137</v>
      </c>
      <c r="F474" s="6019">
        <v>5884</v>
      </c>
      <c r="G474" s="6020">
        <v>590</v>
      </c>
      <c r="H474" s="6018">
        <f t="shared" si="57"/>
        <v>3618</v>
      </c>
      <c r="I474" s="6018">
        <f t="shared" si="58"/>
        <v>5980</v>
      </c>
      <c r="J474" s="6019">
        <f t="shared" si="59"/>
        <v>6728</v>
      </c>
      <c r="K474" s="1732"/>
      <c r="L474" s="6018">
        <v>23525</v>
      </c>
      <c r="W474" s="6018">
        <v>23500</v>
      </c>
      <c r="X474" s="6019">
        <v>23550</v>
      </c>
      <c r="Y474" s="6018">
        <v>0</v>
      </c>
      <c r="Z474" s="6018">
        <v>2978</v>
      </c>
      <c r="AA474" s="6018">
        <v>5137</v>
      </c>
      <c r="AB474" s="6019">
        <v>5884</v>
      </c>
      <c r="AC474" s="6018">
        <v>590</v>
      </c>
      <c r="AD474" s="6018">
        <v>3618</v>
      </c>
      <c r="AE474" s="6018">
        <v>5980</v>
      </c>
      <c r="AF474" s="6019">
        <v>6728</v>
      </c>
    </row>
    <row r="475" spans="1:32" ht="13.5">
      <c r="A475" s="6018">
        <v>23550</v>
      </c>
      <c r="B475" s="6019">
        <v>23600</v>
      </c>
      <c r="C475" s="6020">
        <f t="shared" si="60"/>
        <v>0</v>
      </c>
      <c r="D475" s="6018">
        <f t="shared" si="62"/>
        <v>2970</v>
      </c>
      <c r="E475" s="6018">
        <f t="shared" si="61"/>
        <v>5126</v>
      </c>
      <c r="F475" s="6019">
        <v>5874</v>
      </c>
      <c r="G475" s="6020">
        <v>582</v>
      </c>
      <c r="H475" s="6018">
        <f t="shared" si="57"/>
        <v>3618</v>
      </c>
      <c r="I475" s="6018">
        <f t="shared" si="58"/>
        <v>5980</v>
      </c>
      <c r="J475" s="6019">
        <f t="shared" si="59"/>
        <v>6728</v>
      </c>
      <c r="K475" s="1732"/>
      <c r="L475" s="6018">
        <v>23575</v>
      </c>
      <c r="W475" s="6018">
        <v>23550</v>
      </c>
      <c r="X475" s="6019">
        <v>23600</v>
      </c>
      <c r="Y475" s="6018">
        <v>0</v>
      </c>
      <c r="Z475" s="6018">
        <v>2970</v>
      </c>
      <c r="AA475" s="6018">
        <v>5126</v>
      </c>
      <c r="AB475" s="6019">
        <v>5874</v>
      </c>
      <c r="AC475" s="6018">
        <v>582</v>
      </c>
      <c r="AD475" s="6018">
        <v>3618</v>
      </c>
      <c r="AE475" s="6018">
        <v>5980</v>
      </c>
      <c r="AF475" s="6019">
        <v>6728</v>
      </c>
    </row>
    <row r="476" spans="1:32" ht="13.5">
      <c r="A476" s="6018">
        <v>23600</v>
      </c>
      <c r="B476" s="6019">
        <v>23650</v>
      </c>
      <c r="C476" s="6020">
        <f t="shared" si="60"/>
        <v>0</v>
      </c>
      <c r="D476" s="6018">
        <f t="shared" si="62"/>
        <v>2962</v>
      </c>
      <c r="E476" s="6018">
        <f t="shared" si="61"/>
        <v>5115</v>
      </c>
      <c r="F476" s="6019">
        <v>5863</v>
      </c>
      <c r="G476" s="6020">
        <v>575</v>
      </c>
      <c r="H476" s="6018">
        <f t="shared" si="57"/>
        <v>3618</v>
      </c>
      <c r="I476" s="6018">
        <f t="shared" si="58"/>
        <v>5980</v>
      </c>
      <c r="J476" s="6019">
        <f t="shared" si="59"/>
        <v>6728</v>
      </c>
      <c r="K476" s="1732"/>
      <c r="L476" s="6018">
        <v>23625</v>
      </c>
      <c r="W476" s="6018">
        <v>23600</v>
      </c>
      <c r="X476" s="6019">
        <v>23650</v>
      </c>
      <c r="Y476" s="6018">
        <v>0</v>
      </c>
      <c r="Z476" s="6018">
        <v>2962</v>
      </c>
      <c r="AA476" s="6018">
        <v>5115</v>
      </c>
      <c r="AB476" s="6019">
        <v>5863</v>
      </c>
      <c r="AC476" s="6018">
        <v>575</v>
      </c>
      <c r="AD476" s="6018">
        <v>3618</v>
      </c>
      <c r="AE476" s="6018">
        <v>5980</v>
      </c>
      <c r="AF476" s="6019">
        <v>6728</v>
      </c>
    </row>
    <row r="477" spans="1:32" ht="13.5">
      <c r="A477" s="6018">
        <v>23650</v>
      </c>
      <c r="B477" s="6019">
        <v>23700</v>
      </c>
      <c r="C477" s="6020">
        <f t="shared" si="60"/>
        <v>0</v>
      </c>
      <c r="D477" s="6018">
        <f t="shared" si="62"/>
        <v>2954</v>
      </c>
      <c r="E477" s="6018">
        <f t="shared" si="61"/>
        <v>5105</v>
      </c>
      <c r="F477" s="6019">
        <v>5852</v>
      </c>
      <c r="G477" s="6020">
        <v>567</v>
      </c>
      <c r="H477" s="6018">
        <f t="shared" si="57"/>
        <v>3618</v>
      </c>
      <c r="I477" s="6018">
        <f t="shared" si="58"/>
        <v>5980</v>
      </c>
      <c r="J477" s="6019">
        <f t="shared" si="59"/>
        <v>6728</v>
      </c>
      <c r="K477" s="1732"/>
      <c r="L477" s="6018">
        <v>23675</v>
      </c>
      <c r="W477" s="6018">
        <v>23650</v>
      </c>
      <c r="X477" s="6019">
        <v>23700</v>
      </c>
      <c r="Y477" s="6018">
        <v>0</v>
      </c>
      <c r="Z477" s="6018">
        <v>2954</v>
      </c>
      <c r="AA477" s="6018">
        <v>5105</v>
      </c>
      <c r="AB477" s="6019">
        <v>5852</v>
      </c>
      <c r="AC477" s="6018">
        <v>567</v>
      </c>
      <c r="AD477" s="6018">
        <v>3618</v>
      </c>
      <c r="AE477" s="6018">
        <v>5980</v>
      </c>
      <c r="AF477" s="6019">
        <v>6728</v>
      </c>
    </row>
    <row r="478" spans="1:32" ht="13.5">
      <c r="A478" s="6018">
        <v>23700</v>
      </c>
      <c r="B478" s="6019">
        <v>23750</v>
      </c>
      <c r="C478" s="6020">
        <f t="shared" si="60"/>
        <v>0</v>
      </c>
      <c r="D478" s="6018">
        <f t="shared" si="62"/>
        <v>2946</v>
      </c>
      <c r="E478" s="6018">
        <f t="shared" si="61"/>
        <v>5094</v>
      </c>
      <c r="F478" s="6019">
        <v>5842</v>
      </c>
      <c r="G478" s="6020">
        <v>559</v>
      </c>
      <c r="H478" s="6018">
        <f t="shared" si="57"/>
        <v>3618</v>
      </c>
      <c r="I478" s="6018">
        <f t="shared" si="58"/>
        <v>5980</v>
      </c>
      <c r="J478" s="6019">
        <f t="shared" si="59"/>
        <v>6728</v>
      </c>
      <c r="K478" s="1732"/>
      <c r="L478" s="6018">
        <v>23725</v>
      </c>
      <c r="W478" s="6018">
        <v>23700</v>
      </c>
      <c r="X478" s="6019">
        <v>23750</v>
      </c>
      <c r="Y478" s="6018">
        <v>0</v>
      </c>
      <c r="Z478" s="6018">
        <v>2946</v>
      </c>
      <c r="AA478" s="6018">
        <v>5094</v>
      </c>
      <c r="AB478" s="6019">
        <v>5842</v>
      </c>
      <c r="AC478" s="6018">
        <v>559</v>
      </c>
      <c r="AD478" s="6018">
        <v>3618</v>
      </c>
      <c r="AE478" s="6018">
        <v>5980</v>
      </c>
      <c r="AF478" s="6019">
        <v>6728</v>
      </c>
    </row>
    <row r="479" spans="1:32" ht="13.5">
      <c r="A479" s="6018">
        <v>23750</v>
      </c>
      <c r="B479" s="6019">
        <v>23800</v>
      </c>
      <c r="C479" s="6020">
        <f t="shared" si="60"/>
        <v>0</v>
      </c>
      <c r="D479" s="6018">
        <f t="shared" si="62"/>
        <v>2938</v>
      </c>
      <c r="E479" s="6018">
        <f t="shared" si="61"/>
        <v>5084</v>
      </c>
      <c r="F479" s="6019">
        <v>5831</v>
      </c>
      <c r="G479" s="6020">
        <v>552</v>
      </c>
      <c r="H479" s="6018">
        <f t="shared" si="57"/>
        <v>3618</v>
      </c>
      <c r="I479" s="6018">
        <f t="shared" si="58"/>
        <v>5980</v>
      </c>
      <c r="J479" s="6019">
        <f t="shared" si="59"/>
        <v>6728</v>
      </c>
      <c r="K479" s="1732"/>
      <c r="L479" s="6018">
        <v>23775</v>
      </c>
      <c r="W479" s="6018">
        <v>23750</v>
      </c>
      <c r="X479" s="6019">
        <v>23800</v>
      </c>
      <c r="Y479" s="6018">
        <v>0</v>
      </c>
      <c r="Z479" s="6018">
        <v>2938</v>
      </c>
      <c r="AA479" s="6018">
        <v>5084</v>
      </c>
      <c r="AB479" s="6019">
        <v>5831</v>
      </c>
      <c r="AC479" s="6018">
        <v>552</v>
      </c>
      <c r="AD479" s="6018">
        <v>3618</v>
      </c>
      <c r="AE479" s="6018">
        <v>5980</v>
      </c>
      <c r="AF479" s="6019">
        <v>6728</v>
      </c>
    </row>
    <row r="480" spans="1:32" ht="13.5">
      <c r="A480" s="6018">
        <v>23800</v>
      </c>
      <c r="B480" s="6019">
        <v>23850</v>
      </c>
      <c r="C480" s="6020">
        <f t="shared" si="60"/>
        <v>0</v>
      </c>
      <c r="D480" s="6018">
        <f t="shared" si="62"/>
        <v>2930</v>
      </c>
      <c r="E480" s="6018">
        <f t="shared" si="61"/>
        <v>5073</v>
      </c>
      <c r="F480" s="6019">
        <v>5821</v>
      </c>
      <c r="G480" s="6020">
        <v>544</v>
      </c>
      <c r="H480" s="6018">
        <f t="shared" si="57"/>
        <v>3618</v>
      </c>
      <c r="I480" s="6018">
        <f t="shared" si="58"/>
        <v>5980</v>
      </c>
      <c r="J480" s="6019">
        <f t="shared" si="59"/>
        <v>6728</v>
      </c>
      <c r="K480" s="1732"/>
      <c r="L480" s="6018">
        <v>23825</v>
      </c>
      <c r="W480" s="6018">
        <v>23800</v>
      </c>
      <c r="X480" s="6019">
        <v>23850</v>
      </c>
      <c r="Y480" s="6018">
        <v>0</v>
      </c>
      <c r="Z480" s="6018">
        <v>2930</v>
      </c>
      <c r="AA480" s="6018">
        <v>5073</v>
      </c>
      <c r="AB480" s="6019">
        <v>5821</v>
      </c>
      <c r="AC480" s="6018">
        <v>544</v>
      </c>
      <c r="AD480" s="6018">
        <v>3618</v>
      </c>
      <c r="AE480" s="6018">
        <v>5980</v>
      </c>
      <c r="AF480" s="6019">
        <v>6728</v>
      </c>
    </row>
    <row r="481" spans="1:32" ht="13.5">
      <c r="A481" s="6018">
        <v>23850</v>
      </c>
      <c r="B481" s="6019">
        <v>23900</v>
      </c>
      <c r="C481" s="6020">
        <f t="shared" si="60"/>
        <v>0</v>
      </c>
      <c r="D481" s="6018">
        <f t="shared" si="62"/>
        <v>2922</v>
      </c>
      <c r="E481" s="6018">
        <f t="shared" si="61"/>
        <v>5063</v>
      </c>
      <c r="F481" s="6019">
        <v>5810</v>
      </c>
      <c r="G481" s="6020">
        <v>536</v>
      </c>
      <c r="H481" s="6018">
        <f t="shared" si="57"/>
        <v>3618</v>
      </c>
      <c r="I481" s="6018">
        <f t="shared" si="58"/>
        <v>5980</v>
      </c>
      <c r="J481" s="6019">
        <f t="shared" si="59"/>
        <v>6728</v>
      </c>
      <c r="K481" s="1732"/>
      <c r="L481" s="6018">
        <v>23875</v>
      </c>
      <c r="W481" s="6018">
        <v>23850</v>
      </c>
      <c r="X481" s="6019">
        <v>23900</v>
      </c>
      <c r="Y481" s="6018">
        <v>0</v>
      </c>
      <c r="Z481" s="6018">
        <v>2922</v>
      </c>
      <c r="AA481" s="6018">
        <v>5063</v>
      </c>
      <c r="AB481" s="6019">
        <v>5810</v>
      </c>
      <c r="AC481" s="6018">
        <v>536</v>
      </c>
      <c r="AD481" s="6018">
        <v>3618</v>
      </c>
      <c r="AE481" s="6018">
        <v>5980</v>
      </c>
      <c r="AF481" s="6019">
        <v>6728</v>
      </c>
    </row>
    <row r="482" spans="1:32" ht="13.5">
      <c r="A482" s="6018">
        <v>23900</v>
      </c>
      <c r="B482" s="6019">
        <v>23950</v>
      </c>
      <c r="C482" s="6020">
        <f t="shared" si="60"/>
        <v>0</v>
      </c>
      <c r="D482" s="6018">
        <f t="shared" si="62"/>
        <v>2914</v>
      </c>
      <c r="E482" s="6018">
        <f t="shared" si="61"/>
        <v>5052</v>
      </c>
      <c r="F482" s="6019">
        <v>5800</v>
      </c>
      <c r="G482" s="6020">
        <v>529</v>
      </c>
      <c r="H482" s="6018">
        <f t="shared" si="57"/>
        <v>3618</v>
      </c>
      <c r="I482" s="6018">
        <f t="shared" si="58"/>
        <v>5980</v>
      </c>
      <c r="J482" s="6019">
        <f t="shared" si="59"/>
        <v>6728</v>
      </c>
      <c r="K482" s="1732"/>
      <c r="L482" s="6018">
        <v>23925</v>
      </c>
      <c r="W482" s="6018">
        <v>23900</v>
      </c>
      <c r="X482" s="6019">
        <v>23950</v>
      </c>
      <c r="Y482" s="6018">
        <v>0</v>
      </c>
      <c r="Z482" s="6018">
        <v>2914</v>
      </c>
      <c r="AA482" s="6018">
        <v>5052</v>
      </c>
      <c r="AB482" s="6019">
        <v>5800</v>
      </c>
      <c r="AC482" s="6018">
        <v>529</v>
      </c>
      <c r="AD482" s="6018">
        <v>3618</v>
      </c>
      <c r="AE482" s="6018">
        <v>5980</v>
      </c>
      <c r="AF482" s="6019">
        <v>6728</v>
      </c>
    </row>
    <row r="483" spans="1:32" ht="13.5">
      <c r="A483" s="6018">
        <v>23950</v>
      </c>
      <c r="B483" s="6019">
        <v>24000</v>
      </c>
      <c r="C483" s="6020">
        <f t="shared" si="60"/>
        <v>0</v>
      </c>
      <c r="D483" s="6018">
        <f t="shared" si="62"/>
        <v>2906</v>
      </c>
      <c r="E483" s="6018">
        <f t="shared" si="61"/>
        <v>5042</v>
      </c>
      <c r="F483" s="6019">
        <v>5789</v>
      </c>
      <c r="G483" s="6020">
        <v>521</v>
      </c>
      <c r="H483" s="6018">
        <f t="shared" si="57"/>
        <v>3618</v>
      </c>
      <c r="I483" s="6018">
        <f t="shared" si="58"/>
        <v>5980</v>
      </c>
      <c r="J483" s="6019">
        <f t="shared" si="59"/>
        <v>6728</v>
      </c>
      <c r="K483" s="1732"/>
      <c r="L483" s="6018">
        <v>23975</v>
      </c>
      <c r="W483" s="6018">
        <v>23950</v>
      </c>
      <c r="X483" s="6019">
        <v>24000</v>
      </c>
      <c r="Y483" s="6018">
        <v>0</v>
      </c>
      <c r="Z483" s="6018">
        <v>2906</v>
      </c>
      <c r="AA483" s="6018">
        <v>5042</v>
      </c>
      <c r="AB483" s="6019">
        <v>5789</v>
      </c>
      <c r="AC483" s="6018">
        <v>521</v>
      </c>
      <c r="AD483" s="6018">
        <v>3618</v>
      </c>
      <c r="AE483" s="6018">
        <v>5980</v>
      </c>
      <c r="AF483" s="6019">
        <v>6728</v>
      </c>
    </row>
    <row r="484" spans="1:32" ht="13.5">
      <c r="A484" s="6018">
        <v>24000</v>
      </c>
      <c r="B484" s="6019">
        <v>24050</v>
      </c>
      <c r="C484" s="6020">
        <f t="shared" si="60"/>
        <v>0</v>
      </c>
      <c r="D484" s="6018">
        <f t="shared" si="62"/>
        <v>2898</v>
      </c>
      <c r="E484" s="6018">
        <f t="shared" si="61"/>
        <v>5031</v>
      </c>
      <c r="F484" s="6019">
        <v>5779</v>
      </c>
      <c r="G484" s="6020">
        <v>513</v>
      </c>
      <c r="H484" s="6018">
        <f t="shared" si="57"/>
        <v>3618</v>
      </c>
      <c r="I484" s="6018">
        <f t="shared" si="58"/>
        <v>5980</v>
      </c>
      <c r="J484" s="6019">
        <f t="shared" si="59"/>
        <v>6728</v>
      </c>
      <c r="K484" s="1732"/>
      <c r="L484" s="6018">
        <v>24025</v>
      </c>
      <c r="W484" s="6018">
        <v>24000</v>
      </c>
      <c r="X484" s="6019">
        <v>24050</v>
      </c>
      <c r="Y484" s="6018">
        <v>0</v>
      </c>
      <c r="Z484" s="6018">
        <v>2898</v>
      </c>
      <c r="AA484" s="6018">
        <v>5031</v>
      </c>
      <c r="AB484" s="6019">
        <v>5779</v>
      </c>
      <c r="AC484" s="6018">
        <v>513</v>
      </c>
      <c r="AD484" s="6018">
        <v>3618</v>
      </c>
      <c r="AE484" s="6018">
        <v>5980</v>
      </c>
      <c r="AF484" s="6019">
        <v>6728</v>
      </c>
    </row>
    <row r="485" spans="1:32" ht="13.5">
      <c r="A485" s="6018">
        <v>24050</v>
      </c>
      <c r="B485" s="6019">
        <v>24100</v>
      </c>
      <c r="C485" s="6020">
        <f t="shared" si="60"/>
        <v>0</v>
      </c>
      <c r="D485" s="6018">
        <f t="shared" si="62"/>
        <v>2890</v>
      </c>
      <c r="E485" s="6018">
        <f t="shared" si="61"/>
        <v>5021</v>
      </c>
      <c r="F485" s="6019">
        <v>5768</v>
      </c>
      <c r="G485" s="6020">
        <v>506</v>
      </c>
      <c r="H485" s="6018">
        <f t="shared" si="57"/>
        <v>3618</v>
      </c>
      <c r="I485" s="6018">
        <f t="shared" si="58"/>
        <v>5980</v>
      </c>
      <c r="J485" s="6019">
        <f t="shared" si="59"/>
        <v>6728</v>
      </c>
      <c r="K485" s="1732"/>
      <c r="L485" s="6018">
        <v>24075</v>
      </c>
      <c r="W485" s="6018">
        <v>24050</v>
      </c>
      <c r="X485" s="6019">
        <v>24100</v>
      </c>
      <c r="Y485" s="6018">
        <v>0</v>
      </c>
      <c r="Z485" s="6018">
        <v>2890</v>
      </c>
      <c r="AA485" s="6018">
        <v>5021</v>
      </c>
      <c r="AB485" s="6019">
        <v>5768</v>
      </c>
      <c r="AC485" s="6018">
        <v>506</v>
      </c>
      <c r="AD485" s="6018">
        <v>3618</v>
      </c>
      <c r="AE485" s="6018">
        <v>5980</v>
      </c>
      <c r="AF485" s="6019">
        <v>6728</v>
      </c>
    </row>
    <row r="486" spans="1:32" ht="13.5">
      <c r="A486" s="6018">
        <v>24100</v>
      </c>
      <c r="B486" s="6019">
        <v>24150</v>
      </c>
      <c r="C486" s="6020">
        <f t="shared" si="60"/>
        <v>0</v>
      </c>
      <c r="D486" s="6018">
        <f t="shared" si="62"/>
        <v>2882</v>
      </c>
      <c r="E486" s="6018">
        <f t="shared" si="61"/>
        <v>5010</v>
      </c>
      <c r="F486" s="6019">
        <v>5758</v>
      </c>
      <c r="G486" s="6020">
        <v>498</v>
      </c>
      <c r="H486" s="6018">
        <f t="shared" si="57"/>
        <v>3618</v>
      </c>
      <c r="I486" s="6018">
        <f t="shared" si="58"/>
        <v>5980</v>
      </c>
      <c r="J486" s="6019">
        <f t="shared" si="59"/>
        <v>6728</v>
      </c>
      <c r="K486" s="1732"/>
      <c r="L486" s="6018">
        <v>24125</v>
      </c>
      <c r="W486" s="6018">
        <v>24100</v>
      </c>
      <c r="X486" s="6019">
        <v>24150</v>
      </c>
      <c r="Y486" s="6018">
        <v>0</v>
      </c>
      <c r="Z486" s="6018">
        <v>2882</v>
      </c>
      <c r="AA486" s="6018">
        <v>5010</v>
      </c>
      <c r="AB486" s="6019">
        <v>5758</v>
      </c>
      <c r="AC486" s="6018">
        <v>498</v>
      </c>
      <c r="AD486" s="6018">
        <v>3618</v>
      </c>
      <c r="AE486" s="6018">
        <v>5980</v>
      </c>
      <c r="AF486" s="6019">
        <v>6728</v>
      </c>
    </row>
    <row r="487" spans="1:32" ht="13.5">
      <c r="A487" s="6018">
        <v>24150</v>
      </c>
      <c r="B487" s="6019">
        <v>24200</v>
      </c>
      <c r="C487" s="6020">
        <f t="shared" si="60"/>
        <v>0</v>
      </c>
      <c r="D487" s="6018">
        <f t="shared" si="62"/>
        <v>2874</v>
      </c>
      <c r="E487" s="6018">
        <f t="shared" si="61"/>
        <v>5000</v>
      </c>
      <c r="F487" s="6019">
        <v>5747</v>
      </c>
      <c r="G487" s="6020">
        <v>490</v>
      </c>
      <c r="H487" s="6018">
        <f t="shared" si="57"/>
        <v>3618</v>
      </c>
      <c r="I487" s="6018">
        <f t="shared" si="58"/>
        <v>5980</v>
      </c>
      <c r="J487" s="6019">
        <f t="shared" si="59"/>
        <v>6728</v>
      </c>
      <c r="K487" s="1732"/>
      <c r="L487" s="6018">
        <v>24175</v>
      </c>
      <c r="W487" s="6018">
        <v>24150</v>
      </c>
      <c r="X487" s="6019">
        <v>24200</v>
      </c>
      <c r="Y487" s="6018">
        <v>0</v>
      </c>
      <c r="Z487" s="6018">
        <v>2874</v>
      </c>
      <c r="AA487" s="6018">
        <v>5000</v>
      </c>
      <c r="AB487" s="6019">
        <v>5747</v>
      </c>
      <c r="AC487" s="6018">
        <v>490</v>
      </c>
      <c r="AD487" s="6018">
        <v>3618</v>
      </c>
      <c r="AE487" s="6018">
        <v>5980</v>
      </c>
      <c r="AF487" s="6019">
        <v>6728</v>
      </c>
    </row>
    <row r="488" spans="1:32" ht="13.5">
      <c r="A488" s="6018">
        <v>24200</v>
      </c>
      <c r="B488" s="6019">
        <v>24250</v>
      </c>
      <c r="C488" s="6020">
        <f t="shared" si="60"/>
        <v>0</v>
      </c>
      <c r="D488" s="6018">
        <f t="shared" si="62"/>
        <v>2866</v>
      </c>
      <c r="E488" s="6018">
        <f t="shared" si="61"/>
        <v>4989</v>
      </c>
      <c r="F488" s="6019">
        <v>5737</v>
      </c>
      <c r="G488" s="6020">
        <v>483</v>
      </c>
      <c r="H488" s="6018">
        <f t="shared" si="57"/>
        <v>3618</v>
      </c>
      <c r="I488" s="6018">
        <f t="shared" si="58"/>
        <v>5980</v>
      </c>
      <c r="J488" s="6019">
        <f t="shared" si="59"/>
        <v>6728</v>
      </c>
      <c r="K488" s="1732"/>
      <c r="L488" s="6018">
        <v>24225</v>
      </c>
      <c r="W488" s="6018">
        <v>24200</v>
      </c>
      <c r="X488" s="6019">
        <v>24250</v>
      </c>
      <c r="Y488" s="6018">
        <v>0</v>
      </c>
      <c r="Z488" s="6018">
        <v>2866</v>
      </c>
      <c r="AA488" s="6018">
        <v>4989</v>
      </c>
      <c r="AB488" s="6019">
        <v>5737</v>
      </c>
      <c r="AC488" s="6018">
        <v>483</v>
      </c>
      <c r="AD488" s="6018">
        <v>3618</v>
      </c>
      <c r="AE488" s="6018">
        <v>5980</v>
      </c>
      <c r="AF488" s="6019">
        <v>6728</v>
      </c>
    </row>
    <row r="489" spans="1:32" ht="13.5">
      <c r="A489" s="6018">
        <v>24250</v>
      </c>
      <c r="B489" s="6019">
        <v>24300</v>
      </c>
      <c r="C489" s="6020">
        <f t="shared" si="60"/>
        <v>0</v>
      </c>
      <c r="D489" s="6018">
        <f t="shared" si="62"/>
        <v>2858</v>
      </c>
      <c r="E489" s="6018">
        <f t="shared" si="61"/>
        <v>4979</v>
      </c>
      <c r="F489" s="6019">
        <v>5726</v>
      </c>
      <c r="G489" s="6020">
        <v>475</v>
      </c>
      <c r="H489" s="6018">
        <f t="shared" si="57"/>
        <v>3618</v>
      </c>
      <c r="I489" s="6018">
        <f t="shared" si="58"/>
        <v>5980</v>
      </c>
      <c r="J489" s="6019">
        <f t="shared" si="59"/>
        <v>6728</v>
      </c>
      <c r="K489" s="1732"/>
      <c r="L489" s="6018">
        <v>24275</v>
      </c>
      <c r="W489" s="6018">
        <v>24250</v>
      </c>
      <c r="X489" s="6019">
        <v>24300</v>
      </c>
      <c r="Y489" s="6018">
        <v>0</v>
      </c>
      <c r="Z489" s="6018">
        <v>2858</v>
      </c>
      <c r="AA489" s="6018">
        <v>4979</v>
      </c>
      <c r="AB489" s="6019">
        <v>5726</v>
      </c>
      <c r="AC489" s="6018">
        <v>475</v>
      </c>
      <c r="AD489" s="6018">
        <v>3618</v>
      </c>
      <c r="AE489" s="6018">
        <v>5980</v>
      </c>
      <c r="AF489" s="6019">
        <v>6728</v>
      </c>
    </row>
    <row r="490" spans="1:32" ht="13.5">
      <c r="A490" s="6018">
        <v>24300</v>
      </c>
      <c r="B490" s="6019">
        <v>24350</v>
      </c>
      <c r="C490" s="6020">
        <f t="shared" si="60"/>
        <v>0</v>
      </c>
      <c r="D490" s="6018">
        <f t="shared" si="62"/>
        <v>2850</v>
      </c>
      <c r="E490" s="6018">
        <f t="shared" si="61"/>
        <v>4968</v>
      </c>
      <c r="F490" s="6019">
        <v>5716</v>
      </c>
      <c r="G490" s="6020">
        <v>467</v>
      </c>
      <c r="H490" s="6018">
        <f t="shared" si="57"/>
        <v>3618</v>
      </c>
      <c r="I490" s="6018">
        <f t="shared" si="58"/>
        <v>5980</v>
      </c>
      <c r="J490" s="6019">
        <f t="shared" si="59"/>
        <v>6728</v>
      </c>
      <c r="K490" s="1732"/>
      <c r="L490" s="6018">
        <v>24325</v>
      </c>
      <c r="W490" s="6018">
        <v>24300</v>
      </c>
      <c r="X490" s="6019">
        <v>24350</v>
      </c>
      <c r="Y490" s="6018">
        <v>0</v>
      </c>
      <c r="Z490" s="6018">
        <v>2850</v>
      </c>
      <c r="AA490" s="6018">
        <v>4968</v>
      </c>
      <c r="AB490" s="6019">
        <v>5716</v>
      </c>
      <c r="AC490" s="6018">
        <v>467</v>
      </c>
      <c r="AD490" s="6018">
        <v>3618</v>
      </c>
      <c r="AE490" s="6018">
        <v>5980</v>
      </c>
      <c r="AF490" s="6019">
        <v>6728</v>
      </c>
    </row>
    <row r="491" spans="1:32" ht="13.5">
      <c r="A491" s="6018">
        <v>24350</v>
      </c>
      <c r="B491" s="6019">
        <v>24400</v>
      </c>
      <c r="C491" s="6020">
        <f t="shared" si="60"/>
        <v>0</v>
      </c>
      <c r="D491" s="6018">
        <f t="shared" si="62"/>
        <v>2842</v>
      </c>
      <c r="E491" s="6018">
        <f t="shared" si="61"/>
        <v>4958</v>
      </c>
      <c r="F491" s="6019">
        <v>5705</v>
      </c>
      <c r="G491" s="6020">
        <v>460</v>
      </c>
      <c r="H491" s="6018">
        <f t="shared" si="57"/>
        <v>3618</v>
      </c>
      <c r="I491" s="6018">
        <f t="shared" si="58"/>
        <v>5980</v>
      </c>
      <c r="J491" s="6019">
        <f t="shared" si="59"/>
        <v>6728</v>
      </c>
      <c r="K491" s="1732"/>
      <c r="L491" s="6018">
        <v>24375</v>
      </c>
      <c r="W491" s="6018">
        <v>24350</v>
      </c>
      <c r="X491" s="6019">
        <v>24400</v>
      </c>
      <c r="Y491" s="6018">
        <v>0</v>
      </c>
      <c r="Z491" s="6018">
        <v>2842</v>
      </c>
      <c r="AA491" s="6018">
        <v>4958</v>
      </c>
      <c r="AB491" s="6019">
        <v>5705</v>
      </c>
      <c r="AC491" s="6018">
        <v>460</v>
      </c>
      <c r="AD491" s="6018">
        <v>3618</v>
      </c>
      <c r="AE491" s="6018">
        <v>5980</v>
      </c>
      <c r="AF491" s="6019">
        <v>6728</v>
      </c>
    </row>
    <row r="492" spans="1:32" ht="13.5">
      <c r="A492" s="6018">
        <v>24400</v>
      </c>
      <c r="B492" s="6019">
        <v>24450</v>
      </c>
      <c r="C492" s="6020">
        <f t="shared" si="60"/>
        <v>0</v>
      </c>
      <c r="D492" s="6018">
        <f t="shared" si="62"/>
        <v>2834</v>
      </c>
      <c r="E492" s="6018">
        <f t="shared" si="61"/>
        <v>4947</v>
      </c>
      <c r="F492" s="6019">
        <v>5695</v>
      </c>
      <c r="G492" s="6020">
        <v>452</v>
      </c>
      <c r="H492" s="6018">
        <f t="shared" si="57"/>
        <v>3618</v>
      </c>
      <c r="I492" s="6018">
        <f t="shared" si="58"/>
        <v>5980</v>
      </c>
      <c r="J492" s="6019">
        <f t="shared" si="59"/>
        <v>6728</v>
      </c>
      <c r="K492" s="1732"/>
      <c r="L492" s="6018">
        <v>24425</v>
      </c>
      <c r="W492" s="6018">
        <v>24400</v>
      </c>
      <c r="X492" s="6019">
        <v>24450</v>
      </c>
      <c r="Y492" s="6018">
        <v>0</v>
      </c>
      <c r="Z492" s="6018">
        <v>2834</v>
      </c>
      <c r="AA492" s="6018">
        <v>4947</v>
      </c>
      <c r="AB492" s="6019">
        <v>5695</v>
      </c>
      <c r="AC492" s="6018">
        <v>452</v>
      </c>
      <c r="AD492" s="6018">
        <v>3618</v>
      </c>
      <c r="AE492" s="6018">
        <v>5980</v>
      </c>
      <c r="AF492" s="6019">
        <v>6728</v>
      </c>
    </row>
    <row r="493" spans="1:32" ht="13.5">
      <c r="A493" s="6018">
        <v>24450</v>
      </c>
      <c r="B493" s="6019">
        <v>24500</v>
      </c>
      <c r="C493" s="6020">
        <f t="shared" si="60"/>
        <v>0</v>
      </c>
      <c r="D493" s="6018">
        <f t="shared" si="62"/>
        <v>2826</v>
      </c>
      <c r="E493" s="6018">
        <f t="shared" si="61"/>
        <v>4936</v>
      </c>
      <c r="F493" s="6019">
        <v>5684</v>
      </c>
      <c r="G493" s="6020">
        <v>444</v>
      </c>
      <c r="H493" s="6018">
        <f t="shared" si="57"/>
        <v>3618</v>
      </c>
      <c r="I493" s="6018">
        <f t="shared" si="58"/>
        <v>5980</v>
      </c>
      <c r="J493" s="6019">
        <f t="shared" si="59"/>
        <v>6728</v>
      </c>
      <c r="K493" s="1732"/>
      <c r="L493" s="6018">
        <v>24475</v>
      </c>
      <c r="W493" s="6018">
        <v>24450</v>
      </c>
      <c r="X493" s="6019">
        <v>24500</v>
      </c>
      <c r="Y493" s="6018">
        <v>0</v>
      </c>
      <c r="Z493" s="6018">
        <v>2826</v>
      </c>
      <c r="AA493" s="6018">
        <v>4936</v>
      </c>
      <c r="AB493" s="6019">
        <v>5684</v>
      </c>
      <c r="AC493" s="6018">
        <v>444</v>
      </c>
      <c r="AD493" s="6018">
        <v>3618</v>
      </c>
      <c r="AE493" s="6018">
        <v>5980</v>
      </c>
      <c r="AF493" s="6019">
        <v>6728</v>
      </c>
    </row>
    <row r="494" spans="1:32" ht="13.5">
      <c r="A494" s="6018">
        <v>24500</v>
      </c>
      <c r="B494" s="6019">
        <v>24550</v>
      </c>
      <c r="C494" s="6020">
        <f t="shared" si="60"/>
        <v>0</v>
      </c>
      <c r="D494" s="6018">
        <f t="shared" si="62"/>
        <v>2818</v>
      </c>
      <c r="E494" s="6018">
        <f t="shared" si="61"/>
        <v>4926</v>
      </c>
      <c r="F494" s="6019">
        <v>5673</v>
      </c>
      <c r="G494" s="6020">
        <v>437</v>
      </c>
      <c r="H494" s="6018">
        <f t="shared" si="57"/>
        <v>3618</v>
      </c>
      <c r="I494" s="6018">
        <f t="shared" si="58"/>
        <v>5980</v>
      </c>
      <c r="J494" s="6019">
        <f t="shared" si="59"/>
        <v>6728</v>
      </c>
      <c r="K494" s="1732"/>
      <c r="L494" s="6018">
        <v>24525</v>
      </c>
      <c r="W494" s="6018">
        <v>24500</v>
      </c>
      <c r="X494" s="6019">
        <v>24550</v>
      </c>
      <c r="Y494" s="6018">
        <v>0</v>
      </c>
      <c r="Z494" s="6018">
        <v>2818</v>
      </c>
      <c r="AA494" s="6018">
        <v>4926</v>
      </c>
      <c r="AB494" s="6019">
        <v>5673</v>
      </c>
      <c r="AC494" s="6018">
        <v>437</v>
      </c>
      <c r="AD494" s="6018">
        <v>3618</v>
      </c>
      <c r="AE494" s="6018">
        <v>5980</v>
      </c>
      <c r="AF494" s="6019">
        <v>6728</v>
      </c>
    </row>
    <row r="495" spans="1:32" ht="13.5">
      <c r="A495" s="6018">
        <v>24550</v>
      </c>
      <c r="B495" s="6019">
        <v>24600</v>
      </c>
      <c r="C495" s="6020">
        <f t="shared" si="60"/>
        <v>0</v>
      </c>
      <c r="D495" s="6018">
        <f t="shared" si="62"/>
        <v>2810</v>
      </c>
      <c r="E495" s="6018">
        <f t="shared" si="61"/>
        <v>4915</v>
      </c>
      <c r="F495" s="6019">
        <v>5663</v>
      </c>
      <c r="G495" s="6020">
        <v>429</v>
      </c>
      <c r="H495" s="6018">
        <f t="shared" si="57"/>
        <v>3618</v>
      </c>
      <c r="I495" s="6018">
        <f t="shared" si="58"/>
        <v>5980</v>
      </c>
      <c r="J495" s="6019">
        <f t="shared" si="59"/>
        <v>6728</v>
      </c>
      <c r="K495" s="1732"/>
      <c r="L495" s="6018">
        <v>24575</v>
      </c>
      <c r="W495" s="6018">
        <v>24550</v>
      </c>
      <c r="X495" s="6019">
        <v>24600</v>
      </c>
      <c r="Y495" s="6018">
        <v>0</v>
      </c>
      <c r="Z495" s="6018">
        <v>2810</v>
      </c>
      <c r="AA495" s="6018">
        <v>4915</v>
      </c>
      <c r="AB495" s="6019">
        <v>5663</v>
      </c>
      <c r="AC495" s="6018">
        <v>429</v>
      </c>
      <c r="AD495" s="6018">
        <v>3618</v>
      </c>
      <c r="AE495" s="6018">
        <v>5980</v>
      </c>
      <c r="AF495" s="6019">
        <v>6728</v>
      </c>
    </row>
    <row r="496" spans="1:32" ht="13.5">
      <c r="A496" s="6018">
        <v>24600</v>
      </c>
      <c r="B496" s="6019">
        <v>24650</v>
      </c>
      <c r="C496" s="6020">
        <f t="shared" si="60"/>
        <v>0</v>
      </c>
      <c r="D496" s="6018">
        <f t="shared" si="62"/>
        <v>2802</v>
      </c>
      <c r="E496" s="6018">
        <f t="shared" si="61"/>
        <v>4905</v>
      </c>
      <c r="F496" s="6019">
        <v>5652</v>
      </c>
      <c r="G496" s="6020">
        <v>422</v>
      </c>
      <c r="H496" s="6018">
        <f t="shared" si="57"/>
        <v>3618</v>
      </c>
      <c r="I496" s="6018">
        <f t="shared" si="58"/>
        <v>5980</v>
      </c>
      <c r="J496" s="6019">
        <f t="shared" si="59"/>
        <v>6728</v>
      </c>
      <c r="K496" s="1732"/>
      <c r="L496" s="6018">
        <v>24625</v>
      </c>
      <c r="W496" s="6018">
        <v>24600</v>
      </c>
      <c r="X496" s="6019">
        <v>24650</v>
      </c>
      <c r="Y496" s="6018">
        <v>0</v>
      </c>
      <c r="Z496" s="6018">
        <v>2802</v>
      </c>
      <c r="AA496" s="6018">
        <v>4905</v>
      </c>
      <c r="AB496" s="6019">
        <v>5652</v>
      </c>
      <c r="AC496" s="6018">
        <v>422</v>
      </c>
      <c r="AD496" s="6018">
        <v>3618</v>
      </c>
      <c r="AE496" s="6018">
        <v>5980</v>
      </c>
      <c r="AF496" s="6019">
        <v>6728</v>
      </c>
    </row>
    <row r="497" spans="1:32" ht="13.5">
      <c r="A497" s="6018">
        <v>24650</v>
      </c>
      <c r="B497" s="6019">
        <v>24700</v>
      </c>
      <c r="C497" s="6020">
        <f t="shared" si="60"/>
        <v>0</v>
      </c>
      <c r="D497" s="6018">
        <f t="shared" si="62"/>
        <v>2794</v>
      </c>
      <c r="E497" s="6018">
        <f t="shared" si="61"/>
        <v>4894</v>
      </c>
      <c r="F497" s="6019">
        <v>5642</v>
      </c>
      <c r="G497" s="6020">
        <v>414</v>
      </c>
      <c r="H497" s="6018">
        <f t="shared" si="57"/>
        <v>3618</v>
      </c>
      <c r="I497" s="6018">
        <f t="shared" si="58"/>
        <v>5980</v>
      </c>
      <c r="J497" s="6019">
        <f t="shared" si="59"/>
        <v>6728</v>
      </c>
      <c r="K497" s="1732"/>
      <c r="L497" s="6018">
        <v>24675</v>
      </c>
      <c r="W497" s="6018">
        <v>24650</v>
      </c>
      <c r="X497" s="6019">
        <v>24700</v>
      </c>
      <c r="Y497" s="6018">
        <v>0</v>
      </c>
      <c r="Z497" s="6018">
        <v>2794</v>
      </c>
      <c r="AA497" s="6018">
        <v>4894</v>
      </c>
      <c r="AB497" s="6019">
        <v>5642</v>
      </c>
      <c r="AC497" s="6018">
        <v>414</v>
      </c>
      <c r="AD497" s="6018">
        <v>3618</v>
      </c>
      <c r="AE497" s="6018">
        <v>5980</v>
      </c>
      <c r="AF497" s="6019">
        <v>6728</v>
      </c>
    </row>
    <row r="498" spans="1:32" ht="13.5">
      <c r="A498" s="6018">
        <v>24700</v>
      </c>
      <c r="B498" s="6019">
        <v>24750</v>
      </c>
      <c r="C498" s="6020">
        <f t="shared" si="60"/>
        <v>0</v>
      </c>
      <c r="D498" s="6018">
        <f t="shared" si="62"/>
        <v>2786</v>
      </c>
      <c r="E498" s="6018">
        <f t="shared" si="61"/>
        <v>4884</v>
      </c>
      <c r="F498" s="6019">
        <v>5631</v>
      </c>
      <c r="G498" s="6020">
        <v>406</v>
      </c>
      <c r="H498" s="6018">
        <f t="shared" si="57"/>
        <v>3618</v>
      </c>
      <c r="I498" s="6018">
        <f t="shared" si="58"/>
        <v>5980</v>
      </c>
      <c r="J498" s="6019">
        <f t="shared" si="59"/>
        <v>6728</v>
      </c>
      <c r="K498" s="1732"/>
      <c r="L498" s="6018">
        <v>24725</v>
      </c>
      <c r="W498" s="6018">
        <v>24700</v>
      </c>
      <c r="X498" s="6019">
        <v>24750</v>
      </c>
      <c r="Y498" s="6018">
        <v>0</v>
      </c>
      <c r="Z498" s="6018">
        <v>2786</v>
      </c>
      <c r="AA498" s="6018">
        <v>4884</v>
      </c>
      <c r="AB498" s="6019">
        <v>5631</v>
      </c>
      <c r="AC498" s="6018">
        <v>406</v>
      </c>
      <c r="AD498" s="6018">
        <v>3618</v>
      </c>
      <c r="AE498" s="6018">
        <v>5980</v>
      </c>
      <c r="AF498" s="6019">
        <v>6728</v>
      </c>
    </row>
    <row r="499" spans="1:32" ht="13.5">
      <c r="A499" s="6018">
        <v>24750</v>
      </c>
      <c r="B499" s="6019">
        <v>24800</v>
      </c>
      <c r="C499" s="6020">
        <f t="shared" si="60"/>
        <v>0</v>
      </c>
      <c r="D499" s="6018">
        <f t="shared" si="62"/>
        <v>2778</v>
      </c>
      <c r="E499" s="6018">
        <f t="shared" si="61"/>
        <v>4873</v>
      </c>
      <c r="F499" s="6019">
        <v>5621</v>
      </c>
      <c r="G499" s="6020">
        <v>399</v>
      </c>
      <c r="H499" s="6018">
        <f t="shared" si="57"/>
        <v>3618</v>
      </c>
      <c r="I499" s="6018">
        <f t="shared" si="58"/>
        <v>5980</v>
      </c>
      <c r="J499" s="6019">
        <f t="shared" si="59"/>
        <v>6728</v>
      </c>
      <c r="K499" s="1732"/>
      <c r="L499" s="6018">
        <v>24775</v>
      </c>
      <c r="W499" s="6018">
        <v>24750</v>
      </c>
      <c r="X499" s="6019">
        <v>24800</v>
      </c>
      <c r="Y499" s="6018">
        <v>0</v>
      </c>
      <c r="Z499" s="6018">
        <v>2778</v>
      </c>
      <c r="AA499" s="6018">
        <v>4873</v>
      </c>
      <c r="AB499" s="6019">
        <v>5621</v>
      </c>
      <c r="AC499" s="6018">
        <v>399</v>
      </c>
      <c r="AD499" s="6018">
        <v>3618</v>
      </c>
      <c r="AE499" s="6018">
        <v>5980</v>
      </c>
      <c r="AF499" s="6019">
        <v>6728</v>
      </c>
    </row>
    <row r="500" spans="1:32" ht="13.5">
      <c r="A500" s="6018">
        <v>24800</v>
      </c>
      <c r="B500" s="6019">
        <v>24850</v>
      </c>
      <c r="C500" s="6020">
        <f t="shared" si="60"/>
        <v>0</v>
      </c>
      <c r="D500" s="6018">
        <f t="shared" si="62"/>
        <v>2770</v>
      </c>
      <c r="E500" s="6018">
        <f t="shared" si="61"/>
        <v>4863</v>
      </c>
      <c r="F500" s="6019">
        <v>5610</v>
      </c>
      <c r="G500" s="6020">
        <v>391</v>
      </c>
      <c r="H500" s="6018">
        <f t="shared" si="57"/>
        <v>3618</v>
      </c>
      <c r="I500" s="6018">
        <f t="shared" si="58"/>
        <v>5980</v>
      </c>
      <c r="J500" s="6019">
        <f t="shared" si="59"/>
        <v>6728</v>
      </c>
      <c r="K500" s="1732"/>
      <c r="L500" s="6018">
        <v>24825</v>
      </c>
      <c r="W500" s="6018">
        <v>24800</v>
      </c>
      <c r="X500" s="6019">
        <v>24850</v>
      </c>
      <c r="Y500" s="6018">
        <v>0</v>
      </c>
      <c r="Z500" s="6018">
        <v>2770</v>
      </c>
      <c r="AA500" s="6018">
        <v>4863</v>
      </c>
      <c r="AB500" s="6019">
        <v>5610</v>
      </c>
      <c r="AC500" s="6018">
        <v>391</v>
      </c>
      <c r="AD500" s="6018">
        <v>3618</v>
      </c>
      <c r="AE500" s="6018">
        <v>5980</v>
      </c>
      <c r="AF500" s="6019">
        <v>6728</v>
      </c>
    </row>
    <row r="501" spans="1:32" ht="13.5">
      <c r="A501" s="6018">
        <v>24850</v>
      </c>
      <c r="B501" s="6019">
        <v>24900</v>
      </c>
      <c r="C501" s="6020">
        <f t="shared" si="60"/>
        <v>0</v>
      </c>
      <c r="D501" s="6018">
        <f t="shared" si="62"/>
        <v>2762</v>
      </c>
      <c r="E501" s="6018">
        <f t="shared" si="61"/>
        <v>4852</v>
      </c>
      <c r="F501" s="6019">
        <v>5600</v>
      </c>
      <c r="G501" s="6020">
        <v>383</v>
      </c>
      <c r="H501" s="6018">
        <f t="shared" si="57"/>
        <v>3618</v>
      </c>
      <c r="I501" s="6018">
        <f t="shared" si="58"/>
        <v>5980</v>
      </c>
      <c r="J501" s="6019">
        <f t="shared" si="59"/>
        <v>6728</v>
      </c>
      <c r="K501" s="1732"/>
      <c r="L501" s="6018">
        <v>24875</v>
      </c>
      <c r="W501" s="6018">
        <v>24850</v>
      </c>
      <c r="X501" s="6019">
        <v>24900</v>
      </c>
      <c r="Y501" s="6018">
        <v>0</v>
      </c>
      <c r="Z501" s="6018">
        <v>2762</v>
      </c>
      <c r="AA501" s="6018">
        <v>4852</v>
      </c>
      <c r="AB501" s="6019">
        <v>5600</v>
      </c>
      <c r="AC501" s="6018">
        <v>383</v>
      </c>
      <c r="AD501" s="6018">
        <v>3618</v>
      </c>
      <c r="AE501" s="6018">
        <v>5980</v>
      </c>
      <c r="AF501" s="6019">
        <v>6728</v>
      </c>
    </row>
    <row r="502" spans="1:32" ht="13.5">
      <c r="A502" s="6018">
        <v>24900</v>
      </c>
      <c r="B502" s="6019">
        <v>24950</v>
      </c>
      <c r="C502" s="6020">
        <f t="shared" si="60"/>
        <v>0</v>
      </c>
      <c r="D502" s="6018">
        <f t="shared" si="62"/>
        <v>2754</v>
      </c>
      <c r="E502" s="6018">
        <f t="shared" si="61"/>
        <v>4842</v>
      </c>
      <c r="F502" s="6019">
        <v>5589</v>
      </c>
      <c r="G502" s="6020">
        <v>376</v>
      </c>
      <c r="H502" s="6018">
        <f t="shared" si="57"/>
        <v>3618</v>
      </c>
      <c r="I502" s="6018">
        <f t="shared" si="58"/>
        <v>5980</v>
      </c>
      <c r="J502" s="6019">
        <f t="shared" si="59"/>
        <v>6728</v>
      </c>
      <c r="K502" s="1732"/>
      <c r="L502" s="6018">
        <v>24925</v>
      </c>
      <c r="W502" s="6018">
        <v>24900</v>
      </c>
      <c r="X502" s="6019">
        <v>24950</v>
      </c>
      <c r="Y502" s="6018">
        <v>0</v>
      </c>
      <c r="Z502" s="6018">
        <v>2754</v>
      </c>
      <c r="AA502" s="6018">
        <v>4842</v>
      </c>
      <c r="AB502" s="6019">
        <v>5589</v>
      </c>
      <c r="AC502" s="6018">
        <v>376</v>
      </c>
      <c r="AD502" s="6018">
        <v>3618</v>
      </c>
      <c r="AE502" s="6018">
        <v>5980</v>
      </c>
      <c r="AF502" s="6019">
        <v>6728</v>
      </c>
    </row>
    <row r="503" spans="1:32" ht="13.5">
      <c r="A503" s="6018">
        <v>24950</v>
      </c>
      <c r="B503" s="6019">
        <v>25000</v>
      </c>
      <c r="C503" s="6020">
        <f t="shared" si="60"/>
        <v>0</v>
      </c>
      <c r="D503" s="6018">
        <f t="shared" si="62"/>
        <v>2746</v>
      </c>
      <c r="E503" s="6018">
        <f t="shared" si="61"/>
        <v>4831</v>
      </c>
      <c r="F503" s="6019">
        <v>5579</v>
      </c>
      <c r="G503" s="6020">
        <v>368</v>
      </c>
      <c r="H503" s="6018">
        <f t="shared" si="57"/>
        <v>3618</v>
      </c>
      <c r="I503" s="6018">
        <f t="shared" si="58"/>
        <v>5980</v>
      </c>
      <c r="J503" s="6019">
        <f t="shared" si="59"/>
        <v>6728</v>
      </c>
      <c r="K503" s="1732"/>
      <c r="L503" s="6018">
        <v>24975</v>
      </c>
      <c r="W503" s="6018">
        <v>24950</v>
      </c>
      <c r="X503" s="6019">
        <v>25000</v>
      </c>
      <c r="Y503" s="6018">
        <v>0</v>
      </c>
      <c r="Z503" s="6018">
        <v>2746</v>
      </c>
      <c r="AA503" s="6018">
        <v>4831</v>
      </c>
      <c r="AB503" s="6019">
        <v>5579</v>
      </c>
      <c r="AC503" s="6018">
        <v>368</v>
      </c>
      <c r="AD503" s="6018">
        <v>3618</v>
      </c>
      <c r="AE503" s="6018">
        <v>5980</v>
      </c>
      <c r="AF503" s="6019">
        <v>6728</v>
      </c>
    </row>
    <row r="504" spans="1:32" ht="13.5">
      <c r="A504" s="6018">
        <v>25000</v>
      </c>
      <c r="B504" s="6019">
        <v>25050</v>
      </c>
      <c r="C504" s="6020">
        <f t="shared" si="60"/>
        <v>0</v>
      </c>
      <c r="D504" s="6018">
        <f t="shared" si="62"/>
        <v>2738</v>
      </c>
      <c r="E504" s="6018">
        <f t="shared" si="61"/>
        <v>4821</v>
      </c>
      <c r="F504" s="6019">
        <v>5568</v>
      </c>
      <c r="G504" s="6020">
        <v>360</v>
      </c>
      <c r="H504" s="6018">
        <f t="shared" si="57"/>
        <v>3618</v>
      </c>
      <c r="I504" s="6018">
        <f t="shared" si="58"/>
        <v>5980</v>
      </c>
      <c r="J504" s="6019">
        <f t="shared" si="59"/>
        <v>6728</v>
      </c>
      <c r="K504" s="1732"/>
      <c r="L504" s="6018">
        <v>25025</v>
      </c>
      <c r="W504" s="6018">
        <v>25000</v>
      </c>
      <c r="X504" s="6019">
        <v>25050</v>
      </c>
      <c r="Y504" s="6018">
        <v>0</v>
      </c>
      <c r="Z504" s="6018">
        <v>2738</v>
      </c>
      <c r="AA504" s="6018">
        <v>4821</v>
      </c>
      <c r="AB504" s="6019">
        <v>5568</v>
      </c>
      <c r="AC504" s="6018">
        <v>360</v>
      </c>
      <c r="AD504" s="6018">
        <v>3618</v>
      </c>
      <c r="AE504" s="6018">
        <v>5980</v>
      </c>
      <c r="AF504" s="6019">
        <v>6728</v>
      </c>
    </row>
    <row r="505" spans="1:32" ht="13.5">
      <c r="A505" s="6018">
        <v>25050</v>
      </c>
      <c r="B505" s="6019">
        <v>25100</v>
      </c>
      <c r="C505" s="6020">
        <f t="shared" si="60"/>
        <v>0</v>
      </c>
      <c r="D505" s="6018">
        <f t="shared" si="62"/>
        <v>2730</v>
      </c>
      <c r="E505" s="6018">
        <f t="shared" si="61"/>
        <v>4810</v>
      </c>
      <c r="F505" s="6019">
        <v>5558</v>
      </c>
      <c r="G505" s="6020">
        <v>353</v>
      </c>
      <c r="H505" s="6018">
        <f t="shared" si="57"/>
        <v>3618</v>
      </c>
      <c r="I505" s="6018">
        <f t="shared" si="58"/>
        <v>5980</v>
      </c>
      <c r="J505" s="6019">
        <f t="shared" si="59"/>
        <v>6728</v>
      </c>
      <c r="K505" s="1732"/>
      <c r="L505" s="6018">
        <v>25075</v>
      </c>
      <c r="W505" s="6018">
        <v>25050</v>
      </c>
      <c r="X505" s="6019">
        <v>25100</v>
      </c>
      <c r="Y505" s="6018">
        <v>0</v>
      </c>
      <c r="Z505" s="6018">
        <v>2730</v>
      </c>
      <c r="AA505" s="6018">
        <v>4810</v>
      </c>
      <c r="AB505" s="6019">
        <v>5558</v>
      </c>
      <c r="AC505" s="6018">
        <v>353</v>
      </c>
      <c r="AD505" s="6018">
        <v>3618</v>
      </c>
      <c r="AE505" s="6018">
        <v>5980</v>
      </c>
      <c r="AF505" s="6019">
        <v>6728</v>
      </c>
    </row>
    <row r="506" spans="1:32" ht="13.5">
      <c r="A506" s="6018">
        <v>25100</v>
      </c>
      <c r="B506" s="6019">
        <v>25150</v>
      </c>
      <c r="C506" s="6020">
        <f t="shared" si="60"/>
        <v>0</v>
      </c>
      <c r="D506" s="6018">
        <f t="shared" si="62"/>
        <v>2722</v>
      </c>
      <c r="E506" s="6018">
        <f t="shared" si="61"/>
        <v>4800</v>
      </c>
      <c r="F506" s="6019">
        <v>5547</v>
      </c>
      <c r="G506" s="6020">
        <v>345</v>
      </c>
      <c r="H506" s="6018">
        <f t="shared" si="57"/>
        <v>3618</v>
      </c>
      <c r="I506" s="6018">
        <f t="shared" si="58"/>
        <v>5980</v>
      </c>
      <c r="J506" s="6019">
        <f t="shared" si="59"/>
        <v>6728</v>
      </c>
      <c r="K506" s="1732"/>
      <c r="L506" s="6018">
        <v>25125</v>
      </c>
      <c r="W506" s="6018">
        <v>25100</v>
      </c>
      <c r="X506" s="6019">
        <v>25150</v>
      </c>
      <c r="Y506" s="6018">
        <v>0</v>
      </c>
      <c r="Z506" s="6018">
        <v>2722</v>
      </c>
      <c r="AA506" s="6018">
        <v>4800</v>
      </c>
      <c r="AB506" s="6019">
        <v>5547</v>
      </c>
      <c r="AC506" s="6018">
        <v>345</v>
      </c>
      <c r="AD506" s="6018">
        <v>3618</v>
      </c>
      <c r="AE506" s="6018">
        <v>5980</v>
      </c>
      <c r="AF506" s="6019">
        <v>6728</v>
      </c>
    </row>
    <row r="507" spans="1:32" ht="13.5">
      <c r="A507" s="6018">
        <v>25150</v>
      </c>
      <c r="B507" s="6019">
        <v>25200</v>
      </c>
      <c r="C507" s="6020">
        <f t="shared" si="60"/>
        <v>0</v>
      </c>
      <c r="D507" s="6018">
        <f t="shared" si="62"/>
        <v>2714</v>
      </c>
      <c r="E507" s="6018">
        <f t="shared" si="61"/>
        <v>4789</v>
      </c>
      <c r="F507" s="6019">
        <v>5537</v>
      </c>
      <c r="G507" s="6020">
        <v>337</v>
      </c>
      <c r="H507" s="6018">
        <f t="shared" si="57"/>
        <v>3618</v>
      </c>
      <c r="I507" s="6018">
        <f t="shared" si="58"/>
        <v>5980</v>
      </c>
      <c r="J507" s="6019">
        <f t="shared" si="59"/>
        <v>6728</v>
      </c>
      <c r="K507" s="1732"/>
      <c r="L507" s="6018">
        <v>25175</v>
      </c>
      <c r="W507" s="6018">
        <v>25150</v>
      </c>
      <c r="X507" s="6019">
        <v>25200</v>
      </c>
      <c r="Y507" s="6018">
        <v>0</v>
      </c>
      <c r="Z507" s="6018">
        <v>2714</v>
      </c>
      <c r="AA507" s="6018">
        <v>4789</v>
      </c>
      <c r="AB507" s="6019">
        <v>5537</v>
      </c>
      <c r="AC507" s="6018">
        <v>337</v>
      </c>
      <c r="AD507" s="6018">
        <v>3618</v>
      </c>
      <c r="AE507" s="6018">
        <v>5980</v>
      </c>
      <c r="AF507" s="6019">
        <v>6728</v>
      </c>
    </row>
    <row r="508" spans="1:32" ht="13.5">
      <c r="A508" s="6018">
        <v>25200</v>
      </c>
      <c r="B508" s="6019">
        <v>25250</v>
      </c>
      <c r="C508" s="6020">
        <f t="shared" si="60"/>
        <v>0</v>
      </c>
      <c r="D508" s="6018">
        <f t="shared" si="62"/>
        <v>2706</v>
      </c>
      <c r="E508" s="6018">
        <f t="shared" si="61"/>
        <v>4779</v>
      </c>
      <c r="F508" s="6019">
        <v>5526</v>
      </c>
      <c r="G508" s="6020">
        <v>330</v>
      </c>
      <c r="H508" s="6018">
        <f t="shared" si="57"/>
        <v>3618</v>
      </c>
      <c r="I508" s="6018">
        <f t="shared" si="58"/>
        <v>5980</v>
      </c>
      <c r="J508" s="6019">
        <f t="shared" si="59"/>
        <v>6728</v>
      </c>
      <c r="K508" s="1732"/>
      <c r="L508" s="6018">
        <v>25225</v>
      </c>
      <c r="W508" s="6018">
        <v>25200</v>
      </c>
      <c r="X508" s="6019">
        <v>25250</v>
      </c>
      <c r="Y508" s="6018">
        <v>0</v>
      </c>
      <c r="Z508" s="6018">
        <v>2706</v>
      </c>
      <c r="AA508" s="6018">
        <v>4779</v>
      </c>
      <c r="AB508" s="6019">
        <v>5526</v>
      </c>
      <c r="AC508" s="6018">
        <v>330</v>
      </c>
      <c r="AD508" s="6018">
        <v>3618</v>
      </c>
      <c r="AE508" s="6018">
        <v>5980</v>
      </c>
      <c r="AF508" s="6019">
        <v>6728</v>
      </c>
    </row>
    <row r="509" spans="1:32" ht="13.5">
      <c r="A509" s="6018">
        <v>25250</v>
      </c>
      <c r="B509" s="6019">
        <v>25300</v>
      </c>
      <c r="C509" s="6020">
        <f t="shared" si="60"/>
        <v>0</v>
      </c>
      <c r="D509" s="6018">
        <f t="shared" si="62"/>
        <v>2698</v>
      </c>
      <c r="E509" s="6018">
        <f t="shared" si="61"/>
        <v>4768</v>
      </c>
      <c r="F509" s="6019">
        <v>5515</v>
      </c>
      <c r="G509" s="6020">
        <v>322</v>
      </c>
      <c r="H509" s="6018">
        <f t="shared" si="57"/>
        <v>3618</v>
      </c>
      <c r="I509" s="6018">
        <f t="shared" si="58"/>
        <v>5980</v>
      </c>
      <c r="J509" s="6019">
        <f t="shared" si="59"/>
        <v>6728</v>
      </c>
      <c r="K509" s="1732"/>
      <c r="L509" s="6018">
        <v>25275</v>
      </c>
      <c r="W509" s="6018">
        <v>25250</v>
      </c>
      <c r="X509" s="6019">
        <v>25300</v>
      </c>
      <c r="Y509" s="6018">
        <v>0</v>
      </c>
      <c r="Z509" s="6018">
        <v>2698</v>
      </c>
      <c r="AA509" s="6018">
        <v>4768</v>
      </c>
      <c r="AB509" s="6019">
        <v>5515</v>
      </c>
      <c r="AC509" s="6018">
        <v>322</v>
      </c>
      <c r="AD509" s="6018">
        <v>3618</v>
      </c>
      <c r="AE509" s="6018">
        <v>5980</v>
      </c>
      <c r="AF509" s="6019">
        <v>6728</v>
      </c>
    </row>
    <row r="510" spans="1:32" ht="13.5">
      <c r="A510" s="6018">
        <v>25300</v>
      </c>
      <c r="B510" s="6019">
        <v>25350</v>
      </c>
      <c r="C510" s="6020">
        <f t="shared" si="60"/>
        <v>0</v>
      </c>
      <c r="D510" s="6018">
        <f t="shared" si="62"/>
        <v>2690</v>
      </c>
      <c r="E510" s="6018">
        <f t="shared" si="61"/>
        <v>4757</v>
      </c>
      <c r="F510" s="6019">
        <v>5505</v>
      </c>
      <c r="G510" s="6020">
        <v>314</v>
      </c>
      <c r="H510" s="6018">
        <f t="shared" si="57"/>
        <v>3618</v>
      </c>
      <c r="I510" s="6018">
        <f t="shared" si="58"/>
        <v>5980</v>
      </c>
      <c r="J510" s="6019">
        <f t="shared" si="59"/>
        <v>6728</v>
      </c>
      <c r="K510" s="1732"/>
      <c r="L510" s="6018">
        <v>25325</v>
      </c>
      <c r="W510" s="6018">
        <v>25300</v>
      </c>
      <c r="X510" s="6019">
        <v>25350</v>
      </c>
      <c r="Y510" s="6018">
        <v>0</v>
      </c>
      <c r="Z510" s="6018">
        <v>2690</v>
      </c>
      <c r="AA510" s="6018">
        <v>4757</v>
      </c>
      <c r="AB510" s="6019">
        <v>5505</v>
      </c>
      <c r="AC510" s="6018">
        <v>314</v>
      </c>
      <c r="AD510" s="6018">
        <v>3618</v>
      </c>
      <c r="AE510" s="6018">
        <v>5980</v>
      </c>
      <c r="AF510" s="6019">
        <v>6728</v>
      </c>
    </row>
    <row r="511" spans="1:32" ht="13.5">
      <c r="A511" s="6018">
        <v>25350</v>
      </c>
      <c r="B511" s="6019">
        <v>25400</v>
      </c>
      <c r="C511" s="6020">
        <f t="shared" si="60"/>
        <v>0</v>
      </c>
      <c r="D511" s="6018">
        <f t="shared" si="62"/>
        <v>2682</v>
      </c>
      <c r="E511" s="6018">
        <f t="shared" si="61"/>
        <v>4747</v>
      </c>
      <c r="F511" s="6019">
        <v>5494</v>
      </c>
      <c r="G511" s="6020">
        <v>307</v>
      </c>
      <c r="H511" s="6018">
        <f t="shared" si="57"/>
        <v>3618</v>
      </c>
      <c r="I511" s="6018">
        <f t="shared" si="58"/>
        <v>5980</v>
      </c>
      <c r="J511" s="6019">
        <f t="shared" si="59"/>
        <v>6728</v>
      </c>
      <c r="K511" s="1732"/>
      <c r="L511" s="6018">
        <v>25375</v>
      </c>
      <c r="W511" s="6018">
        <v>25350</v>
      </c>
      <c r="X511" s="6019">
        <v>25400</v>
      </c>
      <c r="Y511" s="6018">
        <v>0</v>
      </c>
      <c r="Z511" s="6018">
        <v>2682</v>
      </c>
      <c r="AA511" s="6018">
        <v>4747</v>
      </c>
      <c r="AB511" s="6019">
        <v>5494</v>
      </c>
      <c r="AC511" s="6018">
        <v>307</v>
      </c>
      <c r="AD511" s="6018">
        <v>3618</v>
      </c>
      <c r="AE511" s="6018">
        <v>5980</v>
      </c>
      <c r="AF511" s="6019">
        <v>6728</v>
      </c>
    </row>
    <row r="512" spans="1:32" ht="13.5">
      <c r="A512" s="6018">
        <v>25400</v>
      </c>
      <c r="B512" s="6019">
        <v>25450</v>
      </c>
      <c r="C512" s="6020">
        <f t="shared" si="60"/>
        <v>0</v>
      </c>
      <c r="D512" s="6018">
        <f t="shared" si="62"/>
        <v>2674</v>
      </c>
      <c r="E512" s="6018">
        <f t="shared" si="61"/>
        <v>4736</v>
      </c>
      <c r="F512" s="6019">
        <v>5484</v>
      </c>
      <c r="G512" s="6020">
        <v>299</v>
      </c>
      <c r="H512" s="6018">
        <f t="shared" si="57"/>
        <v>3618</v>
      </c>
      <c r="I512" s="6018">
        <f t="shared" si="58"/>
        <v>5980</v>
      </c>
      <c r="J512" s="6019">
        <f t="shared" si="59"/>
        <v>6728</v>
      </c>
      <c r="K512" s="1732"/>
      <c r="L512" s="6018">
        <v>25425</v>
      </c>
      <c r="W512" s="6018">
        <v>25400</v>
      </c>
      <c r="X512" s="6019">
        <v>25450</v>
      </c>
      <c r="Y512" s="6018">
        <v>0</v>
      </c>
      <c r="Z512" s="6018">
        <v>2674</v>
      </c>
      <c r="AA512" s="6018">
        <v>4736</v>
      </c>
      <c r="AB512" s="6019">
        <v>5484</v>
      </c>
      <c r="AC512" s="6018">
        <v>299</v>
      </c>
      <c r="AD512" s="6018">
        <v>3618</v>
      </c>
      <c r="AE512" s="6018">
        <v>5980</v>
      </c>
      <c r="AF512" s="6019">
        <v>6728</v>
      </c>
    </row>
    <row r="513" spans="1:32" ht="13.5">
      <c r="A513" s="6018">
        <v>25450</v>
      </c>
      <c r="B513" s="6019">
        <v>25500</v>
      </c>
      <c r="C513" s="6020">
        <f t="shared" si="60"/>
        <v>0</v>
      </c>
      <c r="D513" s="6018">
        <f t="shared" si="62"/>
        <v>2666</v>
      </c>
      <c r="E513" s="6018">
        <f t="shared" si="61"/>
        <v>4726</v>
      </c>
      <c r="F513" s="6019">
        <v>5473</v>
      </c>
      <c r="G513" s="6020">
        <v>291</v>
      </c>
      <c r="H513" s="6018">
        <v>3618</v>
      </c>
      <c r="I513" s="6018">
        <v>5980</v>
      </c>
      <c r="J513" s="6019">
        <v>6728</v>
      </c>
      <c r="K513" s="1732"/>
      <c r="L513" s="6018">
        <v>25475</v>
      </c>
      <c r="W513" s="6018">
        <v>25450</v>
      </c>
      <c r="X513" s="6019">
        <v>25500</v>
      </c>
      <c r="Y513" s="6018">
        <v>0</v>
      </c>
      <c r="Z513" s="6018">
        <v>2666</v>
      </c>
      <c r="AA513" s="6018">
        <v>4726</v>
      </c>
      <c r="AB513" s="6019">
        <v>5473</v>
      </c>
      <c r="AC513" s="6018">
        <v>291</v>
      </c>
      <c r="AD513" s="6018">
        <v>3618</v>
      </c>
      <c r="AE513" s="6018">
        <v>5980</v>
      </c>
      <c r="AF513" s="6019">
        <v>6728</v>
      </c>
    </row>
    <row r="514" spans="1:32" ht="13.5">
      <c r="A514" s="6018">
        <v>25500</v>
      </c>
      <c r="B514" s="6019">
        <v>25550</v>
      </c>
      <c r="C514" s="6020">
        <f t="shared" si="60"/>
        <v>0</v>
      </c>
      <c r="D514" s="6018">
        <f t="shared" si="62"/>
        <v>2658</v>
      </c>
      <c r="E514" s="6018">
        <f t="shared" si="61"/>
        <v>4715</v>
      </c>
      <c r="F514" s="6019">
        <v>5463</v>
      </c>
      <c r="G514" s="6020">
        <v>284</v>
      </c>
      <c r="H514" s="6018">
        <f t="shared" si="57"/>
        <v>3609</v>
      </c>
      <c r="I514" s="6018">
        <f t="shared" si="58"/>
        <v>5968</v>
      </c>
      <c r="J514" s="6019">
        <f t="shared" si="59"/>
        <v>6716</v>
      </c>
      <c r="K514" s="1732"/>
      <c r="L514" s="6018">
        <v>25525</v>
      </c>
      <c r="W514" s="6018">
        <v>25500</v>
      </c>
      <c r="X514" s="6019">
        <v>25550</v>
      </c>
      <c r="Y514" s="6018">
        <v>0</v>
      </c>
      <c r="Z514" s="6018">
        <v>2658</v>
      </c>
      <c r="AA514" s="6018">
        <v>4715</v>
      </c>
      <c r="AB514" s="6019">
        <v>5463</v>
      </c>
      <c r="AC514" s="6018">
        <v>284</v>
      </c>
      <c r="AD514" s="6018">
        <v>3609</v>
      </c>
      <c r="AE514" s="6018">
        <v>5968</v>
      </c>
      <c r="AF514" s="6019">
        <v>6716</v>
      </c>
    </row>
    <row r="515" spans="1:32" ht="13.5">
      <c r="A515" s="6018">
        <v>25550</v>
      </c>
      <c r="B515" s="6019">
        <v>25600</v>
      </c>
      <c r="C515" s="6020">
        <f t="shared" si="60"/>
        <v>0</v>
      </c>
      <c r="D515" s="6018">
        <f t="shared" si="62"/>
        <v>2650</v>
      </c>
      <c r="E515" s="6018">
        <f t="shared" si="61"/>
        <v>4705</v>
      </c>
      <c r="F515" s="6019">
        <v>5452</v>
      </c>
      <c r="G515" s="6020">
        <v>276</v>
      </c>
      <c r="H515" s="6018">
        <f t="shared" si="57"/>
        <v>3601</v>
      </c>
      <c r="I515" s="6018">
        <f t="shared" si="58"/>
        <v>5958</v>
      </c>
      <c r="J515" s="6019">
        <v>6705</v>
      </c>
      <c r="K515" s="1732"/>
      <c r="L515" s="6018">
        <v>25575</v>
      </c>
      <c r="W515" s="6018">
        <v>25550</v>
      </c>
      <c r="X515" s="6019">
        <v>25600</v>
      </c>
      <c r="Y515" s="6018">
        <v>0</v>
      </c>
      <c r="Z515" s="6018">
        <v>2650</v>
      </c>
      <c r="AA515" s="6018">
        <v>4705</v>
      </c>
      <c r="AB515" s="6019">
        <v>5452</v>
      </c>
      <c r="AC515" s="6018">
        <v>276</v>
      </c>
      <c r="AD515" s="6018">
        <v>3601</v>
      </c>
      <c r="AE515" s="6018">
        <v>5958</v>
      </c>
      <c r="AF515" s="6019">
        <v>6705</v>
      </c>
    </row>
    <row r="516" spans="1:32" ht="13.5">
      <c r="A516" s="6018">
        <v>25600</v>
      </c>
      <c r="B516" s="6019">
        <v>25650</v>
      </c>
      <c r="C516" s="6020">
        <f t="shared" si="60"/>
        <v>0</v>
      </c>
      <c r="D516" s="6018">
        <f t="shared" si="62"/>
        <v>2642</v>
      </c>
      <c r="E516" s="6018">
        <f t="shared" si="61"/>
        <v>4694</v>
      </c>
      <c r="F516" s="6019">
        <v>5442</v>
      </c>
      <c r="G516" s="6020">
        <v>269</v>
      </c>
      <c r="H516" s="6018">
        <f t="shared" ref="H516:H546" si="63">IF($L516&gt;S$5,MAX(0,S$3+ROUND((S$9*($L516-S$5)),0)),IF($L516&gt;S$4,S$3,ROUND($L516*S$7,0)))</f>
        <v>3593</v>
      </c>
      <c r="I516" s="6018">
        <f t="shared" ref="I516:I579" si="64">IF($L516&gt;T$5,MAX(0,T$3+ROUND((T$9*($L516-T$5)),0)),IF($L516&gt;T$4,T$3,ROUND($L516*T$7,0)))</f>
        <v>5947</v>
      </c>
      <c r="J516" s="6019">
        <v>6695</v>
      </c>
      <c r="K516" s="1732"/>
      <c r="L516" s="6018">
        <v>25625</v>
      </c>
      <c r="W516" s="6018">
        <v>25600</v>
      </c>
      <c r="X516" s="6019">
        <v>25650</v>
      </c>
      <c r="Y516" s="6018">
        <v>0</v>
      </c>
      <c r="Z516" s="6018">
        <v>2642</v>
      </c>
      <c r="AA516" s="6018">
        <v>4694</v>
      </c>
      <c r="AB516" s="6019">
        <v>5442</v>
      </c>
      <c r="AC516" s="6018">
        <v>269</v>
      </c>
      <c r="AD516" s="6018">
        <v>3593</v>
      </c>
      <c r="AE516" s="6018">
        <v>5947</v>
      </c>
      <c r="AF516" s="6019">
        <v>6695</v>
      </c>
    </row>
    <row r="517" spans="1:32" ht="13.5">
      <c r="A517" s="6018">
        <v>25650</v>
      </c>
      <c r="B517" s="6019">
        <v>25700</v>
      </c>
      <c r="C517" s="6020">
        <f t="shared" si="60"/>
        <v>0</v>
      </c>
      <c r="D517" s="6018">
        <f t="shared" si="62"/>
        <v>2634</v>
      </c>
      <c r="E517" s="6018">
        <f t="shared" si="61"/>
        <v>4684</v>
      </c>
      <c r="F517" s="6019">
        <v>5431</v>
      </c>
      <c r="G517" s="6020">
        <v>261</v>
      </c>
      <c r="H517" s="6018">
        <f t="shared" si="63"/>
        <v>3585</v>
      </c>
      <c r="I517" s="6018">
        <f t="shared" si="64"/>
        <v>5937</v>
      </c>
      <c r="J517" s="6019">
        <v>6684</v>
      </c>
      <c r="K517" s="1732"/>
      <c r="L517" s="6018">
        <v>25675</v>
      </c>
      <c r="W517" s="6018">
        <v>25650</v>
      </c>
      <c r="X517" s="6019">
        <v>25700</v>
      </c>
      <c r="Y517" s="6018">
        <v>0</v>
      </c>
      <c r="Z517" s="6018">
        <v>2634</v>
      </c>
      <c r="AA517" s="6018">
        <v>4684</v>
      </c>
      <c r="AB517" s="6019">
        <v>5431</v>
      </c>
      <c r="AC517" s="6018">
        <v>261</v>
      </c>
      <c r="AD517" s="6018">
        <v>3585</v>
      </c>
      <c r="AE517" s="6018">
        <v>5937</v>
      </c>
      <c r="AF517" s="6019">
        <v>6684</v>
      </c>
    </row>
    <row r="518" spans="1:32" ht="13.5">
      <c r="A518" s="6018">
        <v>25700</v>
      </c>
      <c r="B518" s="6019">
        <v>25750</v>
      </c>
      <c r="C518" s="6020">
        <f t="shared" ref="C518:C581" si="65">IF($L518&gt;N$5,MAX(0,N$3+ROUND((N$9*($L518-N$5)),0)),IF($L518&gt;N$4,N$3,ROUND($L518*N$7,0)))</f>
        <v>0</v>
      </c>
      <c r="D518" s="6018">
        <f t="shared" ref="D518:D581" si="66">IF($L518&gt;O$5,MAX(0,O$3+ROUND((O$9*($L518-O$5)),0)),IF($L518&gt;O$4,O$3,ROUND($L518*O$7,0)))</f>
        <v>2626</v>
      </c>
      <c r="E518" s="6018">
        <f t="shared" ref="E518:E581" si="67">IF($L518&gt;P$5,MAX(0,P$3+ROUND((P$9*($L518-P$5)),0)),IF($L518&gt;P$4,P$3,ROUND($L518*P$7,0)))</f>
        <v>4673</v>
      </c>
      <c r="F518" s="6019">
        <v>5421</v>
      </c>
      <c r="G518" s="6020">
        <v>253</v>
      </c>
      <c r="H518" s="6018">
        <f t="shared" si="63"/>
        <v>3577</v>
      </c>
      <c r="I518" s="6018">
        <f t="shared" si="64"/>
        <v>5926</v>
      </c>
      <c r="J518" s="6019">
        <v>6674</v>
      </c>
      <c r="K518" s="1732"/>
      <c r="L518" s="6018">
        <v>25725</v>
      </c>
      <c r="W518" s="6018">
        <v>25700</v>
      </c>
      <c r="X518" s="6019">
        <v>25750</v>
      </c>
      <c r="Y518" s="6018">
        <v>0</v>
      </c>
      <c r="Z518" s="6018">
        <v>2626</v>
      </c>
      <c r="AA518" s="6018">
        <v>4673</v>
      </c>
      <c r="AB518" s="6019">
        <v>5421</v>
      </c>
      <c r="AC518" s="6018">
        <v>253</v>
      </c>
      <c r="AD518" s="6018">
        <v>3577</v>
      </c>
      <c r="AE518" s="6018">
        <v>5926</v>
      </c>
      <c r="AF518" s="6019">
        <v>6674</v>
      </c>
    </row>
    <row r="519" spans="1:32" ht="13.5">
      <c r="A519" s="6018">
        <v>25750</v>
      </c>
      <c r="B519" s="6019">
        <v>25800</v>
      </c>
      <c r="C519" s="6020">
        <f t="shared" si="65"/>
        <v>0</v>
      </c>
      <c r="D519" s="6018">
        <f t="shared" si="66"/>
        <v>2618</v>
      </c>
      <c r="E519" s="6018">
        <f t="shared" si="67"/>
        <v>4663</v>
      </c>
      <c r="F519" s="6019">
        <v>5410</v>
      </c>
      <c r="G519" s="6020">
        <v>246</v>
      </c>
      <c r="H519" s="6018">
        <f t="shared" si="63"/>
        <v>3569</v>
      </c>
      <c r="I519" s="6018">
        <f t="shared" si="64"/>
        <v>5916</v>
      </c>
      <c r="J519" s="6019">
        <v>6663</v>
      </c>
      <c r="K519" s="1732"/>
      <c r="L519" s="6018">
        <v>25775</v>
      </c>
      <c r="W519" s="6018">
        <v>25750</v>
      </c>
      <c r="X519" s="6019">
        <v>25800</v>
      </c>
      <c r="Y519" s="6018">
        <v>0</v>
      </c>
      <c r="Z519" s="6018">
        <v>2618</v>
      </c>
      <c r="AA519" s="6018">
        <v>4663</v>
      </c>
      <c r="AB519" s="6019">
        <v>5410</v>
      </c>
      <c r="AC519" s="6018">
        <v>246</v>
      </c>
      <c r="AD519" s="6018">
        <v>3569</v>
      </c>
      <c r="AE519" s="6018">
        <v>5916</v>
      </c>
      <c r="AF519" s="6019">
        <v>6663</v>
      </c>
    </row>
    <row r="520" spans="1:32" ht="13.5">
      <c r="A520" s="6018">
        <v>25800</v>
      </c>
      <c r="B520" s="6019">
        <v>25850</v>
      </c>
      <c r="C520" s="6020">
        <f t="shared" si="65"/>
        <v>0</v>
      </c>
      <c r="D520" s="6018">
        <f t="shared" si="66"/>
        <v>2610</v>
      </c>
      <c r="E520" s="6018">
        <f t="shared" si="67"/>
        <v>4652</v>
      </c>
      <c r="F520" s="6019">
        <v>5400</v>
      </c>
      <c r="G520" s="6020">
        <v>238</v>
      </c>
      <c r="H520" s="6018">
        <f t="shared" si="63"/>
        <v>3561</v>
      </c>
      <c r="I520" s="6018">
        <f t="shared" si="64"/>
        <v>5905</v>
      </c>
      <c r="J520" s="6019">
        <v>6653</v>
      </c>
      <c r="K520" s="1732"/>
      <c r="L520" s="6018">
        <v>25825</v>
      </c>
      <c r="W520" s="6018">
        <v>25800</v>
      </c>
      <c r="X520" s="6019">
        <v>25850</v>
      </c>
      <c r="Y520" s="6018">
        <v>0</v>
      </c>
      <c r="Z520" s="6018">
        <v>2610</v>
      </c>
      <c r="AA520" s="6018">
        <v>4652</v>
      </c>
      <c r="AB520" s="6019">
        <v>5400</v>
      </c>
      <c r="AC520" s="6018">
        <v>238</v>
      </c>
      <c r="AD520" s="6018">
        <v>3561</v>
      </c>
      <c r="AE520" s="6018">
        <v>5905</v>
      </c>
      <c r="AF520" s="6019">
        <v>6653</v>
      </c>
    </row>
    <row r="521" spans="1:32" ht="13.5">
      <c r="A521" s="6018">
        <v>25850</v>
      </c>
      <c r="B521" s="6019">
        <v>25900</v>
      </c>
      <c r="C521" s="6020">
        <f t="shared" si="65"/>
        <v>0</v>
      </c>
      <c r="D521" s="6018">
        <f t="shared" si="66"/>
        <v>2602</v>
      </c>
      <c r="E521" s="6018">
        <f t="shared" si="67"/>
        <v>4642</v>
      </c>
      <c r="F521" s="6019">
        <v>5389</v>
      </c>
      <c r="G521" s="6020">
        <v>230</v>
      </c>
      <c r="H521" s="6018">
        <f t="shared" si="63"/>
        <v>3553</v>
      </c>
      <c r="I521" s="6018">
        <f t="shared" si="64"/>
        <v>5895</v>
      </c>
      <c r="J521" s="6019">
        <v>6642</v>
      </c>
      <c r="K521" s="1732"/>
      <c r="L521" s="6018">
        <v>25875</v>
      </c>
      <c r="W521" s="6018">
        <v>25850</v>
      </c>
      <c r="X521" s="6019">
        <v>25900</v>
      </c>
      <c r="Y521" s="6018">
        <v>0</v>
      </c>
      <c r="Z521" s="6018">
        <v>2602</v>
      </c>
      <c r="AA521" s="6018">
        <v>4642</v>
      </c>
      <c r="AB521" s="6019">
        <v>5389</v>
      </c>
      <c r="AC521" s="6018">
        <v>230</v>
      </c>
      <c r="AD521" s="6018">
        <v>3553</v>
      </c>
      <c r="AE521" s="6018">
        <v>5895</v>
      </c>
      <c r="AF521" s="6019">
        <v>6642</v>
      </c>
    </row>
    <row r="522" spans="1:32" ht="13.5">
      <c r="A522" s="6018">
        <v>25900</v>
      </c>
      <c r="B522" s="6019">
        <v>25950</v>
      </c>
      <c r="C522" s="6020">
        <f t="shared" si="65"/>
        <v>0</v>
      </c>
      <c r="D522" s="6018">
        <f t="shared" si="66"/>
        <v>2594</v>
      </c>
      <c r="E522" s="6018">
        <f t="shared" si="67"/>
        <v>4631</v>
      </c>
      <c r="F522" s="6019">
        <v>5379</v>
      </c>
      <c r="G522" s="6020">
        <v>223</v>
      </c>
      <c r="H522" s="6018">
        <f t="shared" si="63"/>
        <v>3545</v>
      </c>
      <c r="I522" s="6018">
        <f t="shared" si="64"/>
        <v>5884</v>
      </c>
      <c r="J522" s="6019">
        <v>6632</v>
      </c>
      <c r="K522" s="1732"/>
      <c r="L522" s="6018">
        <v>25925</v>
      </c>
      <c r="W522" s="6018">
        <v>25900</v>
      </c>
      <c r="X522" s="6019">
        <v>25950</v>
      </c>
      <c r="Y522" s="6018">
        <v>0</v>
      </c>
      <c r="Z522" s="6018">
        <v>2594</v>
      </c>
      <c r="AA522" s="6018">
        <v>4631</v>
      </c>
      <c r="AB522" s="6019">
        <v>5379</v>
      </c>
      <c r="AC522" s="6018">
        <v>223</v>
      </c>
      <c r="AD522" s="6018">
        <v>3545</v>
      </c>
      <c r="AE522" s="6018">
        <v>5884</v>
      </c>
      <c r="AF522" s="6019">
        <v>6632</v>
      </c>
    </row>
    <row r="523" spans="1:32" ht="13.5">
      <c r="A523" s="6018">
        <v>25950</v>
      </c>
      <c r="B523" s="6019">
        <v>26000</v>
      </c>
      <c r="C523" s="6020">
        <f t="shared" si="65"/>
        <v>0</v>
      </c>
      <c r="D523" s="6018">
        <f t="shared" si="66"/>
        <v>2586</v>
      </c>
      <c r="E523" s="6018">
        <f t="shared" si="67"/>
        <v>4621</v>
      </c>
      <c r="F523" s="6019">
        <v>5368</v>
      </c>
      <c r="G523" s="6020">
        <v>215</v>
      </c>
      <c r="H523" s="6018">
        <f t="shared" si="63"/>
        <v>3537</v>
      </c>
      <c r="I523" s="6018">
        <f t="shared" si="64"/>
        <v>5874</v>
      </c>
      <c r="J523" s="6019">
        <v>6621</v>
      </c>
      <c r="K523" s="1732"/>
      <c r="L523" s="6018">
        <v>25975</v>
      </c>
      <c r="W523" s="6018">
        <v>25950</v>
      </c>
      <c r="X523" s="6019">
        <v>26000</v>
      </c>
      <c r="Y523" s="6018">
        <v>0</v>
      </c>
      <c r="Z523" s="6018">
        <v>2586</v>
      </c>
      <c r="AA523" s="6018">
        <v>4621</v>
      </c>
      <c r="AB523" s="6019">
        <v>5368</v>
      </c>
      <c r="AC523" s="6018">
        <v>215</v>
      </c>
      <c r="AD523" s="6018">
        <v>3537</v>
      </c>
      <c r="AE523" s="6018">
        <v>5874</v>
      </c>
      <c r="AF523" s="6019">
        <v>6621</v>
      </c>
    </row>
    <row r="524" spans="1:32" ht="13.5">
      <c r="A524" s="6018">
        <v>26000</v>
      </c>
      <c r="B524" s="6019">
        <v>26050</v>
      </c>
      <c r="C524" s="6020">
        <f t="shared" si="65"/>
        <v>0</v>
      </c>
      <c r="D524" s="6018">
        <f t="shared" si="66"/>
        <v>2578</v>
      </c>
      <c r="E524" s="6018">
        <f t="shared" si="67"/>
        <v>4610</v>
      </c>
      <c r="F524" s="6019">
        <v>5358</v>
      </c>
      <c r="G524" s="6020">
        <v>207</v>
      </c>
      <c r="H524" s="6018">
        <f t="shared" si="63"/>
        <v>3529</v>
      </c>
      <c r="I524" s="6018">
        <f t="shared" si="64"/>
        <v>5863</v>
      </c>
      <c r="J524" s="6019">
        <v>6611</v>
      </c>
      <c r="K524" s="1732"/>
      <c r="L524" s="6018">
        <v>26025</v>
      </c>
      <c r="W524" s="6018">
        <v>26000</v>
      </c>
      <c r="X524" s="6019">
        <v>26050</v>
      </c>
      <c r="Y524" s="6018">
        <v>0</v>
      </c>
      <c r="Z524" s="6018">
        <v>2578</v>
      </c>
      <c r="AA524" s="6018">
        <v>4610</v>
      </c>
      <c r="AB524" s="6019">
        <v>5358</v>
      </c>
      <c r="AC524" s="6018">
        <v>207</v>
      </c>
      <c r="AD524" s="6018">
        <v>3529</v>
      </c>
      <c r="AE524" s="6018">
        <v>5863</v>
      </c>
      <c r="AF524" s="6019">
        <v>6611</v>
      </c>
    </row>
    <row r="525" spans="1:32" ht="13.5">
      <c r="A525" s="6018">
        <v>26050</v>
      </c>
      <c r="B525" s="6019">
        <v>26100</v>
      </c>
      <c r="C525" s="6020">
        <f t="shared" si="65"/>
        <v>0</v>
      </c>
      <c r="D525" s="6018">
        <f t="shared" si="66"/>
        <v>2570</v>
      </c>
      <c r="E525" s="6018">
        <f t="shared" si="67"/>
        <v>4600</v>
      </c>
      <c r="F525" s="6019">
        <v>5347</v>
      </c>
      <c r="G525" s="6020">
        <v>200</v>
      </c>
      <c r="H525" s="6018">
        <f t="shared" si="63"/>
        <v>3521</v>
      </c>
      <c r="I525" s="6018">
        <f t="shared" si="64"/>
        <v>5853</v>
      </c>
      <c r="J525" s="6019">
        <v>6600</v>
      </c>
      <c r="K525" s="1732"/>
      <c r="L525" s="6018">
        <v>26075</v>
      </c>
      <c r="W525" s="6018">
        <v>26050</v>
      </c>
      <c r="X525" s="6019">
        <v>26100</v>
      </c>
      <c r="Y525" s="6018">
        <v>0</v>
      </c>
      <c r="Z525" s="6018">
        <v>2570</v>
      </c>
      <c r="AA525" s="6018">
        <v>4600</v>
      </c>
      <c r="AB525" s="6019">
        <v>5347</v>
      </c>
      <c r="AC525" s="6018">
        <v>200</v>
      </c>
      <c r="AD525" s="6018">
        <v>3521</v>
      </c>
      <c r="AE525" s="6018">
        <v>5853</v>
      </c>
      <c r="AF525" s="6019">
        <v>6600</v>
      </c>
    </row>
    <row r="526" spans="1:32" ht="13.5">
      <c r="A526" s="6018">
        <v>26100</v>
      </c>
      <c r="B526" s="6019">
        <v>26150</v>
      </c>
      <c r="C526" s="6020">
        <f t="shared" si="65"/>
        <v>0</v>
      </c>
      <c r="D526" s="6018">
        <f t="shared" si="66"/>
        <v>2562</v>
      </c>
      <c r="E526" s="6018">
        <f t="shared" si="67"/>
        <v>4589</v>
      </c>
      <c r="F526" s="6019">
        <v>5336</v>
      </c>
      <c r="G526" s="6020">
        <v>192</v>
      </c>
      <c r="H526" s="6018">
        <f t="shared" si="63"/>
        <v>3513</v>
      </c>
      <c r="I526" s="6018">
        <f t="shared" si="64"/>
        <v>5842</v>
      </c>
      <c r="J526" s="6019">
        <v>6590</v>
      </c>
      <c r="K526" s="1732"/>
      <c r="L526" s="6018">
        <v>26125</v>
      </c>
      <c r="W526" s="6018">
        <v>26100</v>
      </c>
      <c r="X526" s="6019">
        <v>26150</v>
      </c>
      <c r="Y526" s="6018">
        <v>0</v>
      </c>
      <c r="Z526" s="6018">
        <v>2562</v>
      </c>
      <c r="AA526" s="6018">
        <v>4589</v>
      </c>
      <c r="AB526" s="6019">
        <v>5336</v>
      </c>
      <c r="AC526" s="6018">
        <v>192</v>
      </c>
      <c r="AD526" s="6018">
        <v>3513</v>
      </c>
      <c r="AE526" s="6018">
        <v>5842</v>
      </c>
      <c r="AF526" s="6019">
        <v>6590</v>
      </c>
    </row>
    <row r="527" spans="1:32" ht="13.5">
      <c r="A527" s="6018">
        <v>26150</v>
      </c>
      <c r="B527" s="6019">
        <v>26200</v>
      </c>
      <c r="C527" s="6020">
        <f t="shared" si="65"/>
        <v>0</v>
      </c>
      <c r="D527" s="6018">
        <f t="shared" si="66"/>
        <v>2554</v>
      </c>
      <c r="E527" s="6018">
        <f t="shared" si="67"/>
        <v>4578</v>
      </c>
      <c r="F527" s="6019">
        <v>5326</v>
      </c>
      <c r="G527" s="6020">
        <v>184</v>
      </c>
      <c r="H527" s="6018">
        <f t="shared" si="63"/>
        <v>3505</v>
      </c>
      <c r="I527" s="6018">
        <f t="shared" si="64"/>
        <v>5832</v>
      </c>
      <c r="J527" s="6019">
        <v>6579</v>
      </c>
      <c r="K527" s="1732"/>
      <c r="L527" s="6018">
        <v>26175</v>
      </c>
      <c r="W527" s="6018">
        <v>26150</v>
      </c>
      <c r="X527" s="6019">
        <v>26200</v>
      </c>
      <c r="Y527" s="6018">
        <v>0</v>
      </c>
      <c r="Z527" s="6018">
        <v>2554</v>
      </c>
      <c r="AA527" s="6018">
        <v>4578</v>
      </c>
      <c r="AB527" s="6019">
        <v>5326</v>
      </c>
      <c r="AC527" s="6018">
        <v>184</v>
      </c>
      <c r="AD527" s="6018">
        <v>3505</v>
      </c>
      <c r="AE527" s="6018">
        <v>5832</v>
      </c>
      <c r="AF527" s="6019">
        <v>6579</v>
      </c>
    </row>
    <row r="528" spans="1:32" ht="13.5">
      <c r="A528" s="6018">
        <v>26200</v>
      </c>
      <c r="B528" s="6019">
        <v>26250</v>
      </c>
      <c r="C528" s="6020">
        <f t="shared" si="65"/>
        <v>0</v>
      </c>
      <c r="D528" s="6018">
        <f t="shared" si="66"/>
        <v>2546</v>
      </c>
      <c r="E528" s="6018">
        <f t="shared" si="67"/>
        <v>4568</v>
      </c>
      <c r="F528" s="6019">
        <v>5315</v>
      </c>
      <c r="G528" s="6020">
        <v>177</v>
      </c>
      <c r="H528" s="6018">
        <f t="shared" si="63"/>
        <v>3497</v>
      </c>
      <c r="I528" s="6018">
        <f t="shared" si="64"/>
        <v>5821</v>
      </c>
      <c r="J528" s="6019">
        <v>6568</v>
      </c>
      <c r="K528" s="1732"/>
      <c r="L528" s="6018">
        <v>26225</v>
      </c>
      <c r="W528" s="6018">
        <v>26200</v>
      </c>
      <c r="X528" s="6019">
        <v>26250</v>
      </c>
      <c r="Y528" s="6018">
        <v>0</v>
      </c>
      <c r="Z528" s="6018">
        <v>2546</v>
      </c>
      <c r="AA528" s="6018">
        <v>4568</v>
      </c>
      <c r="AB528" s="6019">
        <v>5315</v>
      </c>
      <c r="AC528" s="6018">
        <v>177</v>
      </c>
      <c r="AD528" s="6018">
        <v>3497</v>
      </c>
      <c r="AE528" s="6018">
        <v>5821</v>
      </c>
      <c r="AF528" s="6019">
        <v>6568</v>
      </c>
    </row>
    <row r="529" spans="1:32" ht="13.5">
      <c r="A529" s="6018">
        <v>26250</v>
      </c>
      <c r="B529" s="6019">
        <v>26300</v>
      </c>
      <c r="C529" s="6020">
        <f t="shared" si="65"/>
        <v>0</v>
      </c>
      <c r="D529" s="6018">
        <f t="shared" si="66"/>
        <v>2538</v>
      </c>
      <c r="E529" s="6018">
        <f t="shared" si="67"/>
        <v>4557</v>
      </c>
      <c r="F529" s="6019">
        <v>5305</v>
      </c>
      <c r="G529" s="6020">
        <v>169</v>
      </c>
      <c r="H529" s="6018">
        <f t="shared" si="63"/>
        <v>3489</v>
      </c>
      <c r="I529" s="6018">
        <f t="shared" si="64"/>
        <v>5810</v>
      </c>
      <c r="J529" s="6019">
        <v>6558</v>
      </c>
      <c r="K529" s="1732"/>
      <c r="L529" s="6018">
        <v>26275</v>
      </c>
      <c r="W529" s="6018">
        <v>26250</v>
      </c>
      <c r="X529" s="6019">
        <v>26300</v>
      </c>
      <c r="Y529" s="6018">
        <v>0</v>
      </c>
      <c r="Z529" s="6018">
        <v>2538</v>
      </c>
      <c r="AA529" s="6018">
        <v>4557</v>
      </c>
      <c r="AB529" s="6019">
        <v>5305</v>
      </c>
      <c r="AC529" s="6018">
        <v>169</v>
      </c>
      <c r="AD529" s="6018">
        <v>3489</v>
      </c>
      <c r="AE529" s="6018">
        <v>5810</v>
      </c>
      <c r="AF529" s="6019">
        <v>6558</v>
      </c>
    </row>
    <row r="530" spans="1:32" ht="13.5">
      <c r="A530" s="6018">
        <v>26300</v>
      </c>
      <c r="B530" s="6019">
        <v>26350</v>
      </c>
      <c r="C530" s="6020">
        <f t="shared" si="65"/>
        <v>0</v>
      </c>
      <c r="D530" s="6018">
        <f t="shared" si="66"/>
        <v>2530</v>
      </c>
      <c r="E530" s="6018">
        <f t="shared" si="67"/>
        <v>4547</v>
      </c>
      <c r="F530" s="6019">
        <v>5294</v>
      </c>
      <c r="G530" s="6020">
        <v>161</v>
      </c>
      <c r="H530" s="6018">
        <f t="shared" si="63"/>
        <v>3481</v>
      </c>
      <c r="I530" s="6018">
        <f t="shared" si="64"/>
        <v>5800</v>
      </c>
      <c r="J530" s="6019">
        <v>6547</v>
      </c>
      <c r="K530" s="1732"/>
      <c r="L530" s="6018">
        <v>26325</v>
      </c>
      <c r="W530" s="6018">
        <v>26300</v>
      </c>
      <c r="X530" s="6019">
        <v>26350</v>
      </c>
      <c r="Y530" s="6018">
        <v>0</v>
      </c>
      <c r="Z530" s="6018">
        <v>2530</v>
      </c>
      <c r="AA530" s="6018">
        <v>4547</v>
      </c>
      <c r="AB530" s="6019">
        <v>5294</v>
      </c>
      <c r="AC530" s="6018">
        <v>161</v>
      </c>
      <c r="AD530" s="6018">
        <v>3481</v>
      </c>
      <c r="AE530" s="6018">
        <v>5800</v>
      </c>
      <c r="AF530" s="6019">
        <v>6547</v>
      </c>
    </row>
    <row r="531" spans="1:32" ht="13.5">
      <c r="A531" s="6018">
        <v>26350</v>
      </c>
      <c r="B531" s="6019">
        <v>26400</v>
      </c>
      <c r="C531" s="6020">
        <f t="shared" si="65"/>
        <v>0</v>
      </c>
      <c r="D531" s="6018">
        <f t="shared" si="66"/>
        <v>2522</v>
      </c>
      <c r="E531" s="6018">
        <f t="shared" si="67"/>
        <v>4536</v>
      </c>
      <c r="F531" s="6019">
        <v>5284</v>
      </c>
      <c r="G531" s="6020">
        <v>154</v>
      </c>
      <c r="H531" s="6018">
        <f t="shared" si="63"/>
        <v>3473</v>
      </c>
      <c r="I531" s="6018">
        <f t="shared" si="64"/>
        <v>5789</v>
      </c>
      <c r="J531" s="6019">
        <v>6537</v>
      </c>
      <c r="K531" s="1732"/>
      <c r="L531" s="6018">
        <v>26375</v>
      </c>
      <c r="W531" s="6018">
        <v>26350</v>
      </c>
      <c r="X531" s="6019">
        <v>26400</v>
      </c>
      <c r="Y531" s="6018">
        <v>0</v>
      </c>
      <c r="Z531" s="6018">
        <v>2522</v>
      </c>
      <c r="AA531" s="6018">
        <v>4536</v>
      </c>
      <c r="AB531" s="6019">
        <v>5284</v>
      </c>
      <c r="AC531" s="6018">
        <v>154</v>
      </c>
      <c r="AD531" s="6018">
        <v>3473</v>
      </c>
      <c r="AE531" s="6018">
        <v>5789</v>
      </c>
      <c r="AF531" s="6019">
        <v>6537</v>
      </c>
    </row>
    <row r="532" spans="1:32" ht="13.5">
      <c r="A532" s="6018">
        <v>26400</v>
      </c>
      <c r="B532" s="6019">
        <v>26450</v>
      </c>
      <c r="C532" s="6020">
        <f t="shared" si="65"/>
        <v>0</v>
      </c>
      <c r="D532" s="6018">
        <f t="shared" si="66"/>
        <v>2514</v>
      </c>
      <c r="E532" s="6018">
        <f t="shared" si="67"/>
        <v>4526</v>
      </c>
      <c r="F532" s="6019">
        <v>5273</v>
      </c>
      <c r="G532" s="6020">
        <v>146</v>
      </c>
      <c r="H532" s="6018">
        <f t="shared" si="63"/>
        <v>3465</v>
      </c>
      <c r="I532" s="6018">
        <f t="shared" si="64"/>
        <v>5779</v>
      </c>
      <c r="J532" s="6019">
        <v>6526</v>
      </c>
      <c r="K532" s="1732"/>
      <c r="L532" s="6018">
        <v>26425</v>
      </c>
      <c r="W532" s="6018">
        <v>26400</v>
      </c>
      <c r="X532" s="6019">
        <v>26450</v>
      </c>
      <c r="Y532" s="6018">
        <v>0</v>
      </c>
      <c r="Z532" s="6018">
        <v>2514</v>
      </c>
      <c r="AA532" s="6018">
        <v>4526</v>
      </c>
      <c r="AB532" s="6019">
        <v>5273</v>
      </c>
      <c r="AC532" s="6018">
        <v>146</v>
      </c>
      <c r="AD532" s="6018">
        <v>3465</v>
      </c>
      <c r="AE532" s="6018">
        <v>5779</v>
      </c>
      <c r="AF532" s="6019">
        <v>6526</v>
      </c>
    </row>
    <row r="533" spans="1:32" ht="13.5">
      <c r="A533" s="6018">
        <v>26450</v>
      </c>
      <c r="B533" s="6019">
        <v>26500</v>
      </c>
      <c r="C533" s="6020">
        <f t="shared" si="65"/>
        <v>0</v>
      </c>
      <c r="D533" s="6018">
        <f t="shared" si="66"/>
        <v>2506</v>
      </c>
      <c r="E533" s="6018">
        <f t="shared" si="67"/>
        <v>4515</v>
      </c>
      <c r="F533" s="6019">
        <v>5263</v>
      </c>
      <c r="G533" s="6020">
        <v>138</v>
      </c>
      <c r="H533" s="6018">
        <f t="shared" si="63"/>
        <v>3457</v>
      </c>
      <c r="I533" s="6018">
        <f t="shared" si="64"/>
        <v>5768</v>
      </c>
      <c r="J533" s="6019">
        <v>6516</v>
      </c>
      <c r="K533" s="1732"/>
      <c r="L533" s="6018">
        <v>26475</v>
      </c>
      <c r="W533" s="6018">
        <v>26450</v>
      </c>
      <c r="X533" s="6019">
        <v>26500</v>
      </c>
      <c r="Y533" s="6018">
        <v>0</v>
      </c>
      <c r="Z533" s="6018">
        <v>2506</v>
      </c>
      <c r="AA533" s="6018">
        <v>4515</v>
      </c>
      <c r="AB533" s="6019">
        <v>5263</v>
      </c>
      <c r="AC533" s="6018">
        <v>138</v>
      </c>
      <c r="AD533" s="6018">
        <v>3457</v>
      </c>
      <c r="AE533" s="6018">
        <v>5768</v>
      </c>
      <c r="AF533" s="6019">
        <v>6516</v>
      </c>
    </row>
    <row r="534" spans="1:32" ht="13.5">
      <c r="A534" s="6018">
        <v>26500</v>
      </c>
      <c r="B534" s="6019">
        <v>26550</v>
      </c>
      <c r="C534" s="6020">
        <f t="shared" si="65"/>
        <v>0</v>
      </c>
      <c r="D534" s="6018">
        <f t="shared" si="66"/>
        <v>2498</v>
      </c>
      <c r="E534" s="6018">
        <f t="shared" si="67"/>
        <v>4505</v>
      </c>
      <c r="F534" s="6019">
        <v>5252</v>
      </c>
      <c r="G534" s="6020">
        <v>131</v>
      </c>
      <c r="H534" s="6018">
        <f t="shared" si="63"/>
        <v>3449</v>
      </c>
      <c r="I534" s="6018">
        <f t="shared" si="64"/>
        <v>5758</v>
      </c>
      <c r="J534" s="6019">
        <v>6505</v>
      </c>
      <c r="K534" s="1732"/>
      <c r="L534" s="6018">
        <v>26525</v>
      </c>
      <c r="W534" s="6018">
        <v>26500</v>
      </c>
      <c r="X534" s="6019">
        <v>26550</v>
      </c>
      <c r="Y534" s="6018">
        <v>0</v>
      </c>
      <c r="Z534" s="6018">
        <v>2498</v>
      </c>
      <c r="AA534" s="6018">
        <v>4505</v>
      </c>
      <c r="AB534" s="6019">
        <v>5252</v>
      </c>
      <c r="AC534" s="6018">
        <v>131</v>
      </c>
      <c r="AD534" s="6018">
        <v>3449</v>
      </c>
      <c r="AE534" s="6018">
        <v>5758</v>
      </c>
      <c r="AF534" s="6019">
        <v>6505</v>
      </c>
    </row>
    <row r="535" spans="1:32" ht="13.5">
      <c r="A535" s="6018">
        <v>26550</v>
      </c>
      <c r="B535" s="6019">
        <v>26600</v>
      </c>
      <c r="C535" s="6020">
        <f t="shared" si="65"/>
        <v>0</v>
      </c>
      <c r="D535" s="6018">
        <f t="shared" si="66"/>
        <v>2490</v>
      </c>
      <c r="E535" s="6018">
        <f t="shared" si="67"/>
        <v>4494</v>
      </c>
      <c r="F535" s="6019">
        <v>5242</v>
      </c>
      <c r="G535" s="6020">
        <v>123</v>
      </c>
      <c r="H535" s="6018">
        <f t="shared" si="63"/>
        <v>3441</v>
      </c>
      <c r="I535" s="6018">
        <f t="shared" si="64"/>
        <v>5747</v>
      </c>
      <c r="J535" s="6019">
        <v>6495</v>
      </c>
      <c r="K535" s="1732"/>
      <c r="L535" s="6018">
        <v>26575</v>
      </c>
      <c r="W535" s="6018">
        <v>26550</v>
      </c>
      <c r="X535" s="6019">
        <v>26600</v>
      </c>
      <c r="Y535" s="6018">
        <v>0</v>
      </c>
      <c r="Z535" s="6018">
        <v>2490</v>
      </c>
      <c r="AA535" s="6018">
        <v>4494</v>
      </c>
      <c r="AB535" s="6019">
        <v>5242</v>
      </c>
      <c r="AC535" s="6018">
        <v>123</v>
      </c>
      <c r="AD535" s="6018">
        <v>3441</v>
      </c>
      <c r="AE535" s="6018">
        <v>5747</v>
      </c>
      <c r="AF535" s="6019">
        <v>6495</v>
      </c>
    </row>
    <row r="536" spans="1:32" ht="13.5">
      <c r="A536" s="6018">
        <v>26600</v>
      </c>
      <c r="B536" s="6019">
        <v>26650</v>
      </c>
      <c r="C536" s="6020">
        <f t="shared" si="65"/>
        <v>0</v>
      </c>
      <c r="D536" s="6018">
        <f t="shared" si="66"/>
        <v>2482</v>
      </c>
      <c r="E536" s="6018">
        <f t="shared" si="67"/>
        <v>4484</v>
      </c>
      <c r="F536" s="6019">
        <v>5231</v>
      </c>
      <c r="G536" s="6020">
        <v>116</v>
      </c>
      <c r="H536" s="6018">
        <f t="shared" si="63"/>
        <v>3433</v>
      </c>
      <c r="I536" s="6018">
        <f t="shared" si="64"/>
        <v>5737</v>
      </c>
      <c r="J536" s="6019">
        <v>6484</v>
      </c>
      <c r="K536" s="1732"/>
      <c r="L536" s="6018">
        <v>26625</v>
      </c>
      <c r="W536" s="6018">
        <v>26600</v>
      </c>
      <c r="X536" s="6019">
        <v>26650</v>
      </c>
      <c r="Y536" s="6018">
        <v>0</v>
      </c>
      <c r="Z536" s="6018">
        <v>2482</v>
      </c>
      <c r="AA536" s="6018">
        <v>4484</v>
      </c>
      <c r="AB536" s="6019">
        <v>5231</v>
      </c>
      <c r="AC536" s="6018">
        <v>116</v>
      </c>
      <c r="AD536" s="6018">
        <v>3433</v>
      </c>
      <c r="AE536" s="6018">
        <v>5737</v>
      </c>
      <c r="AF536" s="6019">
        <v>6484</v>
      </c>
    </row>
    <row r="537" spans="1:32" ht="13.5">
      <c r="A537" s="6018">
        <v>26650</v>
      </c>
      <c r="B537" s="6019">
        <v>26700</v>
      </c>
      <c r="C537" s="6020">
        <f t="shared" si="65"/>
        <v>0</v>
      </c>
      <c r="D537" s="6018">
        <f t="shared" si="66"/>
        <v>2474</v>
      </c>
      <c r="E537" s="6018">
        <f t="shared" si="67"/>
        <v>4473</v>
      </c>
      <c r="F537" s="6019">
        <v>5221</v>
      </c>
      <c r="G537" s="6020">
        <v>108</v>
      </c>
      <c r="H537" s="6018">
        <f t="shared" si="63"/>
        <v>3425</v>
      </c>
      <c r="I537" s="6018">
        <f t="shared" si="64"/>
        <v>5726</v>
      </c>
      <c r="J537" s="6019">
        <v>6474</v>
      </c>
      <c r="K537" s="1732"/>
      <c r="L537" s="6018">
        <v>26675</v>
      </c>
      <c r="W537" s="6018">
        <v>26650</v>
      </c>
      <c r="X537" s="6019">
        <v>26700</v>
      </c>
      <c r="Y537" s="6018">
        <v>0</v>
      </c>
      <c r="Z537" s="6018">
        <v>2474</v>
      </c>
      <c r="AA537" s="6018">
        <v>4473</v>
      </c>
      <c r="AB537" s="6019">
        <v>5221</v>
      </c>
      <c r="AC537" s="6018">
        <v>108</v>
      </c>
      <c r="AD537" s="6018">
        <v>3425</v>
      </c>
      <c r="AE537" s="6018">
        <v>5726</v>
      </c>
      <c r="AF537" s="6019">
        <v>6474</v>
      </c>
    </row>
    <row r="538" spans="1:32" ht="13.5">
      <c r="A538" s="6018">
        <v>26700</v>
      </c>
      <c r="B538" s="6019">
        <v>26750</v>
      </c>
      <c r="C538" s="6020">
        <f t="shared" si="65"/>
        <v>0</v>
      </c>
      <c r="D538" s="6018">
        <f t="shared" si="66"/>
        <v>2466</v>
      </c>
      <c r="E538" s="6018">
        <f t="shared" si="67"/>
        <v>4463</v>
      </c>
      <c r="F538" s="6019">
        <v>5210</v>
      </c>
      <c r="G538" s="6020">
        <v>100</v>
      </c>
      <c r="H538" s="6018">
        <f t="shared" si="63"/>
        <v>3417</v>
      </c>
      <c r="I538" s="6018">
        <f t="shared" si="64"/>
        <v>5716</v>
      </c>
      <c r="J538" s="6019">
        <v>6463</v>
      </c>
      <c r="K538" s="1732"/>
      <c r="L538" s="6018">
        <v>26725</v>
      </c>
      <c r="W538" s="6018">
        <v>26700</v>
      </c>
      <c r="X538" s="6019">
        <v>26750</v>
      </c>
      <c r="Y538" s="6018">
        <v>0</v>
      </c>
      <c r="Z538" s="6018">
        <v>2466</v>
      </c>
      <c r="AA538" s="6018">
        <v>4463</v>
      </c>
      <c r="AB538" s="6019">
        <v>5210</v>
      </c>
      <c r="AC538" s="6018">
        <v>100</v>
      </c>
      <c r="AD538" s="6018">
        <v>3417</v>
      </c>
      <c r="AE538" s="6018">
        <v>5716</v>
      </c>
      <c r="AF538" s="6019">
        <v>6463</v>
      </c>
    </row>
    <row r="539" spans="1:32" ht="13.5">
      <c r="A539" s="6018">
        <v>26750</v>
      </c>
      <c r="B539" s="6019">
        <v>26800</v>
      </c>
      <c r="C539" s="6020">
        <f t="shared" si="65"/>
        <v>0</v>
      </c>
      <c r="D539" s="6018">
        <v>2458</v>
      </c>
      <c r="E539" s="6018">
        <f t="shared" si="67"/>
        <v>4452</v>
      </c>
      <c r="F539" s="6019">
        <v>5200</v>
      </c>
      <c r="G539" s="6020">
        <v>93</v>
      </c>
      <c r="H539" s="6018">
        <f t="shared" si="63"/>
        <v>3409</v>
      </c>
      <c r="I539" s="6018">
        <f t="shared" si="64"/>
        <v>5705</v>
      </c>
      <c r="J539" s="6019">
        <v>6453</v>
      </c>
      <c r="K539" s="1732"/>
      <c r="L539" s="6018">
        <v>26775</v>
      </c>
      <c r="W539" s="6018">
        <v>26750</v>
      </c>
      <c r="X539" s="6019">
        <v>26800</v>
      </c>
      <c r="Y539" s="6018">
        <v>0</v>
      </c>
      <c r="Z539" s="6018">
        <v>2458</v>
      </c>
      <c r="AA539" s="6018">
        <v>4452</v>
      </c>
      <c r="AB539" s="6019">
        <v>5200</v>
      </c>
      <c r="AC539" s="6018">
        <v>93</v>
      </c>
      <c r="AD539" s="6018">
        <v>3409</v>
      </c>
      <c r="AE539" s="6018">
        <v>5705</v>
      </c>
      <c r="AF539" s="6019">
        <v>6453</v>
      </c>
    </row>
    <row r="540" spans="1:32" ht="13.5">
      <c r="A540" s="6018">
        <v>26800</v>
      </c>
      <c r="B540" s="6019">
        <v>26850</v>
      </c>
      <c r="C540" s="6020">
        <f t="shared" si="65"/>
        <v>0</v>
      </c>
      <c r="D540" s="6018">
        <v>2450</v>
      </c>
      <c r="E540" s="6018">
        <f t="shared" si="67"/>
        <v>4442</v>
      </c>
      <c r="F540" s="6019">
        <v>5189</v>
      </c>
      <c r="G540" s="6020">
        <v>85</v>
      </c>
      <c r="H540" s="6018">
        <f t="shared" si="63"/>
        <v>3401</v>
      </c>
      <c r="I540" s="6018">
        <f t="shared" si="64"/>
        <v>5695</v>
      </c>
      <c r="J540" s="6019">
        <v>6442</v>
      </c>
      <c r="K540" s="1732"/>
      <c r="L540" s="6018">
        <v>26825</v>
      </c>
      <c r="W540" s="6018">
        <v>26800</v>
      </c>
      <c r="X540" s="6019">
        <v>26850</v>
      </c>
      <c r="Y540" s="6018">
        <v>0</v>
      </c>
      <c r="Z540" s="6018">
        <v>2450</v>
      </c>
      <c r="AA540" s="6018">
        <v>4442</v>
      </c>
      <c r="AB540" s="6019">
        <v>5189</v>
      </c>
      <c r="AC540" s="6018">
        <v>85</v>
      </c>
      <c r="AD540" s="6018">
        <v>3401</v>
      </c>
      <c r="AE540" s="6018">
        <v>5695</v>
      </c>
      <c r="AF540" s="6019">
        <v>6442</v>
      </c>
    </row>
    <row r="541" spans="1:32" ht="13.5">
      <c r="A541" s="6018">
        <v>26850</v>
      </c>
      <c r="B541" s="6019">
        <v>26900</v>
      </c>
      <c r="C541" s="6020">
        <f t="shared" si="65"/>
        <v>0</v>
      </c>
      <c r="D541" s="6018">
        <v>2442</v>
      </c>
      <c r="E541" s="6018">
        <f t="shared" si="67"/>
        <v>4431</v>
      </c>
      <c r="F541" s="6019">
        <v>5179</v>
      </c>
      <c r="G541" s="6020">
        <v>77</v>
      </c>
      <c r="H541" s="6018">
        <f t="shared" si="63"/>
        <v>3393</v>
      </c>
      <c r="I541" s="6018">
        <f t="shared" si="64"/>
        <v>5684</v>
      </c>
      <c r="J541" s="6019">
        <v>6432</v>
      </c>
      <c r="K541" s="1732"/>
      <c r="L541" s="6018">
        <v>26875</v>
      </c>
      <c r="W541" s="6018">
        <v>26850</v>
      </c>
      <c r="X541" s="6019">
        <v>26900</v>
      </c>
      <c r="Y541" s="6018">
        <v>0</v>
      </c>
      <c r="Z541" s="6018">
        <v>2442</v>
      </c>
      <c r="AA541" s="6018">
        <v>4431</v>
      </c>
      <c r="AB541" s="6019">
        <v>5179</v>
      </c>
      <c r="AC541" s="6018">
        <v>77</v>
      </c>
      <c r="AD541" s="6018">
        <v>3393</v>
      </c>
      <c r="AE541" s="6018">
        <v>5684</v>
      </c>
      <c r="AF541" s="6019">
        <v>6432</v>
      </c>
    </row>
    <row r="542" spans="1:32" ht="13.5">
      <c r="A542" s="6018">
        <v>26900</v>
      </c>
      <c r="B542" s="6019">
        <v>26950</v>
      </c>
      <c r="C542" s="6020">
        <f t="shared" si="65"/>
        <v>0</v>
      </c>
      <c r="D542" s="6018">
        <v>2434</v>
      </c>
      <c r="E542" s="6018">
        <f t="shared" si="67"/>
        <v>4421</v>
      </c>
      <c r="F542" s="6019">
        <v>5168</v>
      </c>
      <c r="G542" s="6020">
        <v>70</v>
      </c>
      <c r="H542" s="6018">
        <f t="shared" si="63"/>
        <v>3385</v>
      </c>
      <c r="I542" s="6018">
        <f t="shared" si="64"/>
        <v>5674</v>
      </c>
      <c r="J542" s="6019">
        <v>6421</v>
      </c>
      <c r="K542" s="1732"/>
      <c r="L542" s="6018">
        <v>26925</v>
      </c>
      <c r="W542" s="6018">
        <v>26900</v>
      </c>
      <c r="X542" s="6019">
        <v>26950</v>
      </c>
      <c r="Y542" s="6018">
        <v>0</v>
      </c>
      <c r="Z542" s="6018">
        <v>2434</v>
      </c>
      <c r="AA542" s="6018">
        <v>4421</v>
      </c>
      <c r="AB542" s="6019">
        <v>5168</v>
      </c>
      <c r="AC542" s="6018">
        <v>70</v>
      </c>
      <c r="AD542" s="6018">
        <v>3385</v>
      </c>
      <c r="AE542" s="6018">
        <v>5674</v>
      </c>
      <c r="AF542" s="6019">
        <v>6421</v>
      </c>
    </row>
    <row r="543" spans="1:32" ht="13.5">
      <c r="A543" s="6018">
        <v>26950</v>
      </c>
      <c r="B543" s="6019">
        <v>27000</v>
      </c>
      <c r="C543" s="6020">
        <f t="shared" si="65"/>
        <v>0</v>
      </c>
      <c r="D543" s="6018">
        <v>2426</v>
      </c>
      <c r="E543" s="6018">
        <f t="shared" si="67"/>
        <v>4410</v>
      </c>
      <c r="F543" s="6019">
        <v>5157</v>
      </c>
      <c r="G543" s="6020">
        <v>62</v>
      </c>
      <c r="H543" s="6018">
        <f t="shared" si="63"/>
        <v>3377</v>
      </c>
      <c r="I543" s="6018">
        <f t="shared" si="64"/>
        <v>5663</v>
      </c>
      <c r="J543" s="6019">
        <v>6411</v>
      </c>
      <c r="K543" s="1732"/>
      <c r="L543" s="6018">
        <v>26975</v>
      </c>
      <c r="W543" s="6018">
        <v>26950</v>
      </c>
      <c r="X543" s="6019">
        <v>27000</v>
      </c>
      <c r="Y543" s="6018">
        <v>0</v>
      </c>
      <c r="Z543" s="6018">
        <v>2426</v>
      </c>
      <c r="AA543" s="6018">
        <v>4410</v>
      </c>
      <c r="AB543" s="6019">
        <v>5157</v>
      </c>
      <c r="AC543" s="6018">
        <v>62</v>
      </c>
      <c r="AD543" s="6018">
        <v>3377</v>
      </c>
      <c r="AE543" s="6018">
        <v>5663</v>
      </c>
      <c r="AF543" s="6019">
        <v>6411</v>
      </c>
    </row>
    <row r="544" spans="1:32" ht="13.5">
      <c r="A544" s="6018">
        <v>27000</v>
      </c>
      <c r="B544" s="6019">
        <v>27050</v>
      </c>
      <c r="C544" s="6020">
        <f t="shared" si="65"/>
        <v>0</v>
      </c>
      <c r="D544" s="6018">
        <v>2418</v>
      </c>
      <c r="E544" s="6018">
        <f t="shared" si="67"/>
        <v>4399</v>
      </c>
      <c r="F544" s="6019">
        <v>5147</v>
      </c>
      <c r="G544" s="6020">
        <v>54</v>
      </c>
      <c r="H544" s="6018">
        <f t="shared" si="63"/>
        <v>3369</v>
      </c>
      <c r="I544" s="6018">
        <f t="shared" si="64"/>
        <v>5653</v>
      </c>
      <c r="J544" s="6019">
        <v>6400</v>
      </c>
      <c r="K544" s="1732"/>
      <c r="L544" s="6018">
        <v>27025</v>
      </c>
      <c r="W544" s="6018">
        <v>27000</v>
      </c>
      <c r="X544" s="6019">
        <v>27050</v>
      </c>
      <c r="Y544" s="6018">
        <v>0</v>
      </c>
      <c r="Z544" s="6018">
        <v>2418</v>
      </c>
      <c r="AA544" s="6018">
        <v>4399</v>
      </c>
      <c r="AB544" s="6019">
        <v>5147</v>
      </c>
      <c r="AC544" s="6018">
        <v>54</v>
      </c>
      <c r="AD544" s="6018">
        <v>3369</v>
      </c>
      <c r="AE544" s="6018">
        <v>5653</v>
      </c>
      <c r="AF544" s="6019">
        <v>6400</v>
      </c>
    </row>
    <row r="545" spans="1:32" ht="13.5">
      <c r="A545" s="6018">
        <v>27050</v>
      </c>
      <c r="B545" s="6019">
        <v>27100</v>
      </c>
      <c r="C545" s="6020">
        <f t="shared" si="65"/>
        <v>0</v>
      </c>
      <c r="D545" s="6018">
        <v>2410</v>
      </c>
      <c r="E545" s="6018">
        <f t="shared" si="67"/>
        <v>4389</v>
      </c>
      <c r="F545" s="6019">
        <v>5136</v>
      </c>
      <c r="G545" s="6020">
        <v>47</v>
      </c>
      <c r="H545" s="6018">
        <f t="shared" si="63"/>
        <v>3361</v>
      </c>
      <c r="I545" s="6018">
        <f t="shared" si="64"/>
        <v>5642</v>
      </c>
      <c r="J545" s="6019">
        <v>6389</v>
      </c>
      <c r="K545" s="1732"/>
      <c r="L545" s="6018">
        <v>27075</v>
      </c>
      <c r="W545" s="6018">
        <v>27050</v>
      </c>
      <c r="X545" s="6019">
        <v>27100</v>
      </c>
      <c r="Y545" s="6018">
        <v>0</v>
      </c>
      <c r="Z545" s="6018">
        <v>2410</v>
      </c>
      <c r="AA545" s="6018">
        <v>4389</v>
      </c>
      <c r="AB545" s="6019">
        <v>5136</v>
      </c>
      <c r="AC545" s="6018">
        <v>47</v>
      </c>
      <c r="AD545" s="6018">
        <v>3361</v>
      </c>
      <c r="AE545" s="6018">
        <v>5642</v>
      </c>
      <c r="AF545" s="6019">
        <v>6389</v>
      </c>
    </row>
    <row r="546" spans="1:32" ht="13.5">
      <c r="A546" s="6018">
        <v>27100</v>
      </c>
      <c r="B546" s="6019">
        <v>27150</v>
      </c>
      <c r="C546" s="6020">
        <f t="shared" si="65"/>
        <v>0</v>
      </c>
      <c r="D546" s="6018">
        <v>2402</v>
      </c>
      <c r="E546" s="6018">
        <f t="shared" si="67"/>
        <v>4378</v>
      </c>
      <c r="F546" s="6019">
        <v>5126</v>
      </c>
      <c r="G546" s="6020">
        <v>39</v>
      </c>
      <c r="H546" s="6018">
        <f t="shared" si="63"/>
        <v>3353</v>
      </c>
      <c r="I546" s="6018">
        <f t="shared" si="64"/>
        <v>5631</v>
      </c>
      <c r="J546" s="6019">
        <v>6379</v>
      </c>
      <c r="K546" s="1732"/>
      <c r="L546" s="6018">
        <v>27125</v>
      </c>
      <c r="W546" s="6018">
        <v>27100</v>
      </c>
      <c r="X546" s="6019">
        <v>27150</v>
      </c>
      <c r="Y546" s="6018">
        <v>0</v>
      </c>
      <c r="Z546" s="6018">
        <v>2402</v>
      </c>
      <c r="AA546" s="6018">
        <v>4378</v>
      </c>
      <c r="AB546" s="6019">
        <v>5126</v>
      </c>
      <c r="AC546" s="6018">
        <v>39</v>
      </c>
      <c r="AD546" s="6018">
        <v>3353</v>
      </c>
      <c r="AE546" s="6018">
        <v>5631</v>
      </c>
      <c r="AF546" s="6019">
        <v>6379</v>
      </c>
    </row>
    <row r="547" spans="1:32" ht="13.5">
      <c r="A547" s="6018">
        <v>27150</v>
      </c>
      <c r="B547" s="6019">
        <v>27200</v>
      </c>
      <c r="C547" s="6020">
        <f t="shared" si="65"/>
        <v>0</v>
      </c>
      <c r="D547" s="6018">
        <v>2394</v>
      </c>
      <c r="E547" s="6018">
        <f t="shared" si="67"/>
        <v>4368</v>
      </c>
      <c r="F547" s="6019">
        <v>5115</v>
      </c>
      <c r="G547" s="6020">
        <v>31</v>
      </c>
      <c r="H547" s="6018">
        <v>3345</v>
      </c>
      <c r="I547" s="6018">
        <f t="shared" si="64"/>
        <v>5621</v>
      </c>
      <c r="J547" s="6019">
        <v>6368</v>
      </c>
      <c r="K547" s="1732"/>
      <c r="L547" s="6018">
        <v>27175</v>
      </c>
      <c r="W547" s="6018">
        <v>27150</v>
      </c>
      <c r="X547" s="6019">
        <v>27200</v>
      </c>
      <c r="Y547" s="6018">
        <v>0</v>
      </c>
      <c r="Z547" s="6018">
        <v>2394</v>
      </c>
      <c r="AA547" s="6018">
        <v>4368</v>
      </c>
      <c r="AB547" s="6019">
        <v>5115</v>
      </c>
      <c r="AC547" s="6018">
        <v>31</v>
      </c>
      <c r="AD547" s="6018">
        <v>3345</v>
      </c>
      <c r="AE547" s="6018">
        <v>5621</v>
      </c>
      <c r="AF547" s="6019">
        <v>6368</v>
      </c>
    </row>
    <row r="548" spans="1:32" ht="13.5">
      <c r="A548" s="6018">
        <v>27200</v>
      </c>
      <c r="B548" s="6019">
        <v>27250</v>
      </c>
      <c r="C548" s="6020">
        <f t="shared" si="65"/>
        <v>0</v>
      </c>
      <c r="D548" s="6018">
        <v>2386</v>
      </c>
      <c r="E548" s="6018">
        <f t="shared" si="67"/>
        <v>4357</v>
      </c>
      <c r="F548" s="6019">
        <v>5105</v>
      </c>
      <c r="G548" s="6020">
        <v>24</v>
      </c>
      <c r="H548" s="6018">
        <v>3337</v>
      </c>
      <c r="I548" s="6018">
        <f t="shared" si="64"/>
        <v>5610</v>
      </c>
      <c r="J548" s="6019">
        <v>6358</v>
      </c>
      <c r="K548" s="1732"/>
      <c r="L548" s="6018">
        <v>27225</v>
      </c>
      <c r="W548" s="6018">
        <v>27200</v>
      </c>
      <c r="X548" s="6019">
        <v>27250</v>
      </c>
      <c r="Y548" s="6018">
        <v>0</v>
      </c>
      <c r="Z548" s="6018">
        <v>2386</v>
      </c>
      <c r="AA548" s="6018">
        <v>4357</v>
      </c>
      <c r="AB548" s="6019">
        <v>5105</v>
      </c>
      <c r="AC548" s="6018">
        <v>24</v>
      </c>
      <c r="AD548" s="6018">
        <v>3337</v>
      </c>
      <c r="AE548" s="6018">
        <v>5610</v>
      </c>
      <c r="AF548" s="6019">
        <v>6358</v>
      </c>
    </row>
    <row r="549" spans="1:32" ht="13.5">
      <c r="A549" s="6018">
        <v>27250</v>
      </c>
      <c r="B549" s="6019">
        <v>27300</v>
      </c>
      <c r="C549" s="6020">
        <f t="shared" si="65"/>
        <v>0</v>
      </c>
      <c r="D549" s="6018">
        <v>2378</v>
      </c>
      <c r="E549" s="6018">
        <f t="shared" si="67"/>
        <v>4347</v>
      </c>
      <c r="F549" s="6019">
        <v>5094</v>
      </c>
      <c r="G549" s="6020">
        <v>16</v>
      </c>
      <c r="H549" s="6018">
        <v>3329</v>
      </c>
      <c r="I549" s="6018">
        <f t="shared" si="64"/>
        <v>5600</v>
      </c>
      <c r="J549" s="6019">
        <v>6347</v>
      </c>
      <c r="K549" s="1732"/>
      <c r="L549" s="6018">
        <v>27275</v>
      </c>
      <c r="W549" s="6018">
        <v>27250</v>
      </c>
      <c r="X549" s="6019">
        <v>27300</v>
      </c>
      <c r="Y549" s="6018">
        <v>0</v>
      </c>
      <c r="Z549" s="6018">
        <v>2378</v>
      </c>
      <c r="AA549" s="6018">
        <v>4347</v>
      </c>
      <c r="AB549" s="6019">
        <v>5094</v>
      </c>
      <c r="AC549" s="6018">
        <v>16</v>
      </c>
      <c r="AD549" s="6018">
        <v>3329</v>
      </c>
      <c r="AE549" s="6018">
        <v>5600</v>
      </c>
      <c r="AF549" s="6019">
        <v>6347</v>
      </c>
    </row>
    <row r="550" spans="1:32" ht="13.5">
      <c r="A550" s="6018">
        <v>27300</v>
      </c>
      <c r="B550" s="6019">
        <v>27350</v>
      </c>
      <c r="C550" s="6020">
        <f t="shared" si="65"/>
        <v>0</v>
      </c>
      <c r="D550" s="6018">
        <v>2370</v>
      </c>
      <c r="E550" s="6018">
        <f t="shared" si="67"/>
        <v>4336</v>
      </c>
      <c r="F550" s="6019">
        <v>5084</v>
      </c>
      <c r="G550" s="6020">
        <v>8</v>
      </c>
      <c r="H550" s="6018">
        <v>3321</v>
      </c>
      <c r="I550" s="6018">
        <f t="shared" si="64"/>
        <v>5589</v>
      </c>
      <c r="J550" s="6019">
        <v>6337</v>
      </c>
      <c r="K550" s="1732"/>
      <c r="L550" s="6018">
        <v>27325</v>
      </c>
      <c r="W550" s="6018">
        <v>27300</v>
      </c>
      <c r="X550" s="6019">
        <v>27350</v>
      </c>
      <c r="Y550" s="6018">
        <v>0</v>
      </c>
      <c r="Z550" s="6018">
        <v>2370</v>
      </c>
      <c r="AA550" s="6018">
        <v>4336</v>
      </c>
      <c r="AB550" s="6019">
        <v>5084</v>
      </c>
      <c r="AC550" s="6018">
        <v>8</v>
      </c>
      <c r="AD550" s="6018">
        <v>3321</v>
      </c>
      <c r="AE550" s="6018">
        <v>5589</v>
      </c>
      <c r="AF550" s="6019">
        <v>6337</v>
      </c>
    </row>
    <row r="551" spans="1:32" ht="13.5">
      <c r="A551" s="6018">
        <v>27350</v>
      </c>
      <c r="B551" s="6019">
        <v>27380</v>
      </c>
      <c r="C551" s="6020">
        <f t="shared" si="65"/>
        <v>0</v>
      </c>
      <c r="D551" s="6018">
        <v>2362</v>
      </c>
      <c r="E551" s="6018">
        <v>4326</v>
      </c>
      <c r="F551" s="6019">
        <v>5073</v>
      </c>
      <c r="G551" s="6020">
        <v>2</v>
      </c>
      <c r="H551" s="6018">
        <v>3313</v>
      </c>
      <c r="I551" s="6018">
        <v>5579</v>
      </c>
      <c r="J551" s="6019">
        <v>6326</v>
      </c>
      <c r="K551" s="1732"/>
      <c r="L551" s="6018">
        <v>27365</v>
      </c>
      <c r="W551" s="6018">
        <v>27350</v>
      </c>
      <c r="X551" s="6019">
        <v>27380</v>
      </c>
      <c r="Y551" s="6018">
        <v>0</v>
      </c>
      <c r="Z551" s="6018">
        <v>2362</v>
      </c>
      <c r="AA551" s="6018">
        <v>4326</v>
      </c>
      <c r="AB551" s="6019">
        <v>5073</v>
      </c>
      <c r="AC551" s="6018">
        <v>2</v>
      </c>
      <c r="AD551" s="6018">
        <v>3313</v>
      </c>
      <c r="AE551" s="6018">
        <v>5579</v>
      </c>
      <c r="AF551" s="6019">
        <v>6326</v>
      </c>
    </row>
    <row r="552" spans="1:32" ht="13.5">
      <c r="A552" s="6018">
        <v>27380</v>
      </c>
      <c r="B552" s="6019">
        <v>27400</v>
      </c>
      <c r="C552" s="6020">
        <f t="shared" si="65"/>
        <v>0</v>
      </c>
      <c r="D552" s="6018">
        <v>2362</v>
      </c>
      <c r="E552" s="6018">
        <v>4326</v>
      </c>
      <c r="F552" s="6019">
        <v>5073</v>
      </c>
      <c r="G552" s="6020">
        <f t="shared" ref="G552:G579" si="68">IF($L552&gt;R$5,MAX(0,R$3+ROUND((R$9*($L552-R$5)),0)),IF($L552&gt;R$4,R$3,ROUND($L552*R$7,0)))</f>
        <v>0</v>
      </c>
      <c r="H552" s="6018">
        <v>3313</v>
      </c>
      <c r="I552" s="6018">
        <v>5579</v>
      </c>
      <c r="J552" s="6019">
        <v>6326</v>
      </c>
      <c r="K552" s="1732"/>
      <c r="L552" s="6018">
        <v>27390</v>
      </c>
      <c r="W552" s="6018">
        <v>27380</v>
      </c>
      <c r="X552" s="6019">
        <v>27400</v>
      </c>
      <c r="Y552" s="6018">
        <v>0</v>
      </c>
      <c r="Z552" s="6018">
        <v>2362</v>
      </c>
      <c r="AA552" s="6018">
        <v>4326</v>
      </c>
      <c r="AB552" s="6019">
        <v>5073</v>
      </c>
      <c r="AC552" s="6018">
        <v>0</v>
      </c>
      <c r="AD552" s="6018">
        <v>3313</v>
      </c>
      <c r="AE552" s="6018">
        <v>5579</v>
      </c>
      <c r="AF552" s="6019">
        <v>6326</v>
      </c>
    </row>
    <row r="553" spans="1:32" ht="13.5">
      <c r="A553" s="6018">
        <v>27400</v>
      </c>
      <c r="B553" s="6019">
        <v>27450</v>
      </c>
      <c r="C553" s="6020">
        <f t="shared" si="65"/>
        <v>0</v>
      </c>
      <c r="D553" s="6018">
        <v>2354</v>
      </c>
      <c r="E553" s="6018">
        <v>4315</v>
      </c>
      <c r="F553" s="6019">
        <v>5063</v>
      </c>
      <c r="G553" s="6020">
        <f t="shared" si="68"/>
        <v>0</v>
      </c>
      <c r="H553" s="6018">
        <v>3305</v>
      </c>
      <c r="I553" s="6018">
        <f t="shared" si="64"/>
        <v>5568</v>
      </c>
      <c r="J553" s="6019">
        <v>6316</v>
      </c>
      <c r="K553" s="1732"/>
      <c r="L553" s="6018">
        <v>27425</v>
      </c>
      <c r="W553" s="6018">
        <v>27400</v>
      </c>
      <c r="X553" s="6019">
        <v>27450</v>
      </c>
      <c r="Y553" s="6018">
        <v>0</v>
      </c>
      <c r="Z553" s="6018">
        <v>2354</v>
      </c>
      <c r="AA553" s="6018">
        <v>4315</v>
      </c>
      <c r="AB553" s="6019">
        <v>5063</v>
      </c>
      <c r="AC553" s="6018">
        <v>0</v>
      </c>
      <c r="AD553" s="6018">
        <v>3305</v>
      </c>
      <c r="AE553" s="6018">
        <v>5568</v>
      </c>
      <c r="AF553" s="6019">
        <v>6316</v>
      </c>
    </row>
    <row r="554" spans="1:32" ht="13.5">
      <c r="A554" s="6018">
        <v>27450</v>
      </c>
      <c r="B554" s="6019">
        <v>27500</v>
      </c>
      <c r="C554" s="6020">
        <f t="shared" si="65"/>
        <v>0</v>
      </c>
      <c r="D554" s="6018">
        <v>2346</v>
      </c>
      <c r="E554" s="6018">
        <f t="shared" si="67"/>
        <v>4305</v>
      </c>
      <c r="F554" s="6019">
        <v>5052</v>
      </c>
      <c r="G554" s="6020">
        <f t="shared" si="68"/>
        <v>0</v>
      </c>
      <c r="H554" s="6018">
        <v>3297</v>
      </c>
      <c r="I554" s="6018">
        <f t="shared" si="64"/>
        <v>5558</v>
      </c>
      <c r="J554" s="6019">
        <v>6305</v>
      </c>
      <c r="K554" s="1732"/>
      <c r="L554" s="6018">
        <v>27475</v>
      </c>
      <c r="W554" s="6018">
        <v>27450</v>
      </c>
      <c r="X554" s="6019">
        <v>27500</v>
      </c>
      <c r="Y554" s="6018">
        <v>0</v>
      </c>
      <c r="Z554" s="6018">
        <v>2346</v>
      </c>
      <c r="AA554" s="6018">
        <v>4305</v>
      </c>
      <c r="AB554" s="6019">
        <v>5052</v>
      </c>
      <c r="AC554" s="6018">
        <v>0</v>
      </c>
      <c r="AD554" s="6018">
        <v>3297</v>
      </c>
      <c r="AE554" s="6018">
        <v>5558</v>
      </c>
      <c r="AF554" s="6019">
        <v>6305</v>
      </c>
    </row>
    <row r="555" spans="1:32" ht="13.5">
      <c r="A555" s="6018">
        <v>27500</v>
      </c>
      <c r="B555" s="6019">
        <v>27550</v>
      </c>
      <c r="C555" s="6020">
        <f t="shared" si="65"/>
        <v>0</v>
      </c>
      <c r="D555" s="6018">
        <v>2338</v>
      </c>
      <c r="E555" s="6018">
        <f t="shared" si="67"/>
        <v>4294</v>
      </c>
      <c r="F555" s="6019">
        <v>5042</v>
      </c>
      <c r="G555" s="6020">
        <f t="shared" si="68"/>
        <v>0</v>
      </c>
      <c r="H555" s="6018">
        <v>3289</v>
      </c>
      <c r="I555" s="6018">
        <f t="shared" si="64"/>
        <v>5547</v>
      </c>
      <c r="J555" s="6019">
        <v>6295</v>
      </c>
      <c r="K555" s="1732"/>
      <c r="L555" s="6018">
        <v>27525</v>
      </c>
      <c r="W555" s="6018">
        <v>27500</v>
      </c>
      <c r="X555" s="6019">
        <v>27550</v>
      </c>
      <c r="Y555" s="6018">
        <v>0</v>
      </c>
      <c r="Z555" s="6018">
        <v>2338</v>
      </c>
      <c r="AA555" s="6018">
        <v>4294</v>
      </c>
      <c r="AB555" s="6019">
        <v>5042</v>
      </c>
      <c r="AC555" s="6018">
        <v>0</v>
      </c>
      <c r="AD555" s="6018">
        <v>3289</v>
      </c>
      <c r="AE555" s="6018">
        <v>5547</v>
      </c>
      <c r="AF555" s="6019">
        <v>6295</v>
      </c>
    </row>
    <row r="556" spans="1:32" ht="13.5">
      <c r="A556" s="6018">
        <v>27550</v>
      </c>
      <c r="B556" s="6019">
        <v>27600</v>
      </c>
      <c r="C556" s="6020">
        <f t="shared" si="65"/>
        <v>0</v>
      </c>
      <c r="D556" s="6018">
        <v>2330</v>
      </c>
      <c r="E556" s="6018">
        <f t="shared" si="67"/>
        <v>4284</v>
      </c>
      <c r="F556" s="6019">
        <v>5031</v>
      </c>
      <c r="G556" s="6020">
        <f t="shared" si="68"/>
        <v>0</v>
      </c>
      <c r="H556" s="6018">
        <v>3281</v>
      </c>
      <c r="I556" s="6018">
        <f t="shared" si="64"/>
        <v>5537</v>
      </c>
      <c r="J556" s="6019">
        <v>6284</v>
      </c>
      <c r="K556" s="1732"/>
      <c r="L556" s="6018">
        <v>27575</v>
      </c>
      <c r="W556" s="6018">
        <v>27550</v>
      </c>
      <c r="X556" s="6019">
        <v>27600</v>
      </c>
      <c r="Y556" s="6018">
        <v>0</v>
      </c>
      <c r="Z556" s="6018">
        <v>2330</v>
      </c>
      <c r="AA556" s="6018">
        <v>4284</v>
      </c>
      <c r="AB556" s="6019">
        <v>5031</v>
      </c>
      <c r="AC556" s="6018">
        <v>0</v>
      </c>
      <c r="AD556" s="6018">
        <v>3281</v>
      </c>
      <c r="AE556" s="6018">
        <v>5537</v>
      </c>
      <c r="AF556" s="6019">
        <v>6284</v>
      </c>
    </row>
    <row r="557" spans="1:32" ht="13.5">
      <c r="A557" s="6018">
        <v>27600</v>
      </c>
      <c r="B557" s="6019">
        <v>27650</v>
      </c>
      <c r="C557" s="6020">
        <f t="shared" si="65"/>
        <v>0</v>
      </c>
      <c r="D557" s="6018">
        <v>2322</v>
      </c>
      <c r="E557" s="6018">
        <f t="shared" si="67"/>
        <v>4273</v>
      </c>
      <c r="F557" s="6019">
        <v>5021</v>
      </c>
      <c r="G557" s="6020">
        <f t="shared" si="68"/>
        <v>0</v>
      </c>
      <c r="H557" s="6018">
        <v>3273</v>
      </c>
      <c r="I557" s="6018">
        <f t="shared" si="64"/>
        <v>5526</v>
      </c>
      <c r="J557" s="6019">
        <v>6274</v>
      </c>
      <c r="K557" s="1732"/>
      <c r="L557" s="6018">
        <v>27625</v>
      </c>
      <c r="W557" s="6018">
        <v>27600</v>
      </c>
      <c r="X557" s="6019">
        <v>27650</v>
      </c>
      <c r="Y557" s="6018">
        <v>0</v>
      </c>
      <c r="Z557" s="6018">
        <v>2322</v>
      </c>
      <c r="AA557" s="6018">
        <v>4273</v>
      </c>
      <c r="AB557" s="6019">
        <v>5021</v>
      </c>
      <c r="AC557" s="6018">
        <v>0</v>
      </c>
      <c r="AD557" s="6018">
        <v>3273</v>
      </c>
      <c r="AE557" s="6018">
        <v>5526</v>
      </c>
      <c r="AF557" s="6019">
        <v>6274</v>
      </c>
    </row>
    <row r="558" spans="1:32" ht="13.5">
      <c r="A558" s="6018">
        <v>27650</v>
      </c>
      <c r="B558" s="6019">
        <v>27700</v>
      </c>
      <c r="C558" s="6020">
        <f t="shared" si="65"/>
        <v>0</v>
      </c>
      <c r="D558" s="6018">
        <v>2314</v>
      </c>
      <c r="E558" s="6018">
        <f t="shared" si="67"/>
        <v>4263</v>
      </c>
      <c r="F558" s="6019">
        <v>5010</v>
      </c>
      <c r="G558" s="6020">
        <f t="shared" si="68"/>
        <v>0</v>
      </c>
      <c r="H558" s="6018">
        <v>3265</v>
      </c>
      <c r="I558" s="6018">
        <f t="shared" si="64"/>
        <v>5516</v>
      </c>
      <c r="J558" s="6019">
        <v>6263</v>
      </c>
      <c r="K558" s="1732"/>
      <c r="L558" s="6018">
        <v>27675</v>
      </c>
      <c r="W558" s="6018">
        <v>27650</v>
      </c>
      <c r="X558" s="6019">
        <v>27700</v>
      </c>
      <c r="Y558" s="6018">
        <v>0</v>
      </c>
      <c r="Z558" s="6018">
        <v>2314</v>
      </c>
      <c r="AA558" s="6018">
        <v>4263</v>
      </c>
      <c r="AB558" s="6019">
        <v>5010</v>
      </c>
      <c r="AC558" s="6018">
        <v>0</v>
      </c>
      <c r="AD558" s="6018">
        <v>3265</v>
      </c>
      <c r="AE558" s="6018">
        <v>5516</v>
      </c>
      <c r="AF558" s="6019">
        <v>6263</v>
      </c>
    </row>
    <row r="559" spans="1:32" ht="13.5">
      <c r="A559" s="6018">
        <v>27700</v>
      </c>
      <c r="B559" s="6019">
        <v>27750</v>
      </c>
      <c r="C559" s="6020">
        <f t="shared" si="65"/>
        <v>0</v>
      </c>
      <c r="D559" s="6018">
        <v>2306</v>
      </c>
      <c r="E559" s="6018">
        <f t="shared" si="67"/>
        <v>4252</v>
      </c>
      <c r="F559" s="6019">
        <v>5000</v>
      </c>
      <c r="G559" s="6020">
        <f t="shared" si="68"/>
        <v>0</v>
      </c>
      <c r="H559" s="6018">
        <v>3257</v>
      </c>
      <c r="I559" s="6018">
        <f t="shared" si="64"/>
        <v>5505</v>
      </c>
      <c r="J559" s="6019">
        <v>6253</v>
      </c>
      <c r="K559" s="1732"/>
      <c r="L559" s="6018">
        <v>27725</v>
      </c>
      <c r="W559" s="6018">
        <v>27700</v>
      </c>
      <c r="X559" s="6019">
        <v>27750</v>
      </c>
      <c r="Y559" s="6018">
        <v>0</v>
      </c>
      <c r="Z559" s="6018">
        <v>2306</v>
      </c>
      <c r="AA559" s="6018">
        <v>4252</v>
      </c>
      <c r="AB559" s="6019">
        <v>5000</v>
      </c>
      <c r="AC559" s="6018">
        <v>0</v>
      </c>
      <c r="AD559" s="6018">
        <v>3257</v>
      </c>
      <c r="AE559" s="6018">
        <v>5505</v>
      </c>
      <c r="AF559" s="6019">
        <v>6253</v>
      </c>
    </row>
    <row r="560" spans="1:32" ht="13.5">
      <c r="A560" s="6018">
        <v>27750</v>
      </c>
      <c r="B560" s="6019">
        <v>27800</v>
      </c>
      <c r="C560" s="6020">
        <f t="shared" si="65"/>
        <v>0</v>
      </c>
      <c r="D560" s="6018">
        <v>2298</v>
      </c>
      <c r="E560" s="6018">
        <f t="shared" si="67"/>
        <v>4241</v>
      </c>
      <c r="F560" s="6019">
        <v>4989</v>
      </c>
      <c r="G560" s="6020">
        <f t="shared" si="68"/>
        <v>0</v>
      </c>
      <c r="H560" s="6018">
        <v>3249</v>
      </c>
      <c r="I560" s="6018">
        <f t="shared" si="64"/>
        <v>5495</v>
      </c>
      <c r="J560" s="6019">
        <v>6242</v>
      </c>
      <c r="K560" s="1732"/>
      <c r="L560" s="6018">
        <v>27775</v>
      </c>
      <c r="W560" s="6018">
        <v>27750</v>
      </c>
      <c r="X560" s="6019">
        <v>27800</v>
      </c>
      <c r="Y560" s="6018">
        <v>0</v>
      </c>
      <c r="Z560" s="6018">
        <v>2298</v>
      </c>
      <c r="AA560" s="6018">
        <v>4241</v>
      </c>
      <c r="AB560" s="6019">
        <v>4989</v>
      </c>
      <c r="AC560" s="6018">
        <v>0</v>
      </c>
      <c r="AD560" s="6018">
        <v>3249</v>
      </c>
      <c r="AE560" s="6018">
        <v>5495</v>
      </c>
      <c r="AF560" s="6019">
        <v>6242</v>
      </c>
    </row>
    <row r="561" spans="1:32" ht="13.5">
      <c r="A561" s="6018">
        <v>27800</v>
      </c>
      <c r="B561" s="6019">
        <v>27850</v>
      </c>
      <c r="C561" s="6020">
        <f t="shared" si="65"/>
        <v>0</v>
      </c>
      <c r="D561" s="6018">
        <v>2290</v>
      </c>
      <c r="E561" s="6018">
        <f t="shared" si="67"/>
        <v>4231</v>
      </c>
      <c r="F561" s="6019">
        <v>4978</v>
      </c>
      <c r="G561" s="6020">
        <f t="shared" si="68"/>
        <v>0</v>
      </c>
      <c r="H561" s="6018">
        <v>3241</v>
      </c>
      <c r="I561" s="6018">
        <f t="shared" si="64"/>
        <v>5484</v>
      </c>
      <c r="J561" s="6019">
        <v>6232</v>
      </c>
      <c r="K561" s="1732"/>
      <c r="L561" s="6018">
        <v>27825</v>
      </c>
      <c r="W561" s="6018">
        <v>27800</v>
      </c>
      <c r="X561" s="6019">
        <v>27850</v>
      </c>
      <c r="Y561" s="6018">
        <v>0</v>
      </c>
      <c r="Z561" s="6018">
        <v>2290</v>
      </c>
      <c r="AA561" s="6018">
        <v>4231</v>
      </c>
      <c r="AB561" s="6019">
        <v>4978</v>
      </c>
      <c r="AC561" s="6018">
        <v>0</v>
      </c>
      <c r="AD561" s="6018">
        <v>3241</v>
      </c>
      <c r="AE561" s="6018">
        <v>5484</v>
      </c>
      <c r="AF561" s="6019">
        <v>6232</v>
      </c>
    </row>
    <row r="562" spans="1:32" ht="13.5">
      <c r="A562" s="6018">
        <v>27850</v>
      </c>
      <c r="B562" s="6019">
        <v>27900</v>
      </c>
      <c r="C562" s="6020">
        <f t="shared" si="65"/>
        <v>0</v>
      </c>
      <c r="D562" s="6018">
        <v>2282</v>
      </c>
      <c r="E562" s="6018">
        <f t="shared" si="67"/>
        <v>4220</v>
      </c>
      <c r="F562" s="6019">
        <v>4968</v>
      </c>
      <c r="G562" s="6020">
        <f t="shared" si="68"/>
        <v>0</v>
      </c>
      <c r="H562" s="6018">
        <v>3233</v>
      </c>
      <c r="I562" s="6018">
        <f t="shared" si="64"/>
        <v>5474</v>
      </c>
      <c r="J562" s="6019">
        <v>6221</v>
      </c>
      <c r="K562" s="1732"/>
      <c r="L562" s="6018">
        <v>27875</v>
      </c>
      <c r="W562" s="6018">
        <v>27850</v>
      </c>
      <c r="X562" s="6019">
        <v>27900</v>
      </c>
      <c r="Y562" s="6018">
        <v>0</v>
      </c>
      <c r="Z562" s="6018">
        <v>2282</v>
      </c>
      <c r="AA562" s="6018">
        <v>4220</v>
      </c>
      <c r="AB562" s="6019">
        <v>4968</v>
      </c>
      <c r="AC562" s="6018">
        <v>0</v>
      </c>
      <c r="AD562" s="6018">
        <v>3233</v>
      </c>
      <c r="AE562" s="6018">
        <v>5474</v>
      </c>
      <c r="AF562" s="6019">
        <v>6221</v>
      </c>
    </row>
    <row r="563" spans="1:32" ht="13.5">
      <c r="A563" s="6018">
        <v>27900</v>
      </c>
      <c r="B563" s="6019">
        <v>27950</v>
      </c>
      <c r="C563" s="6020">
        <f t="shared" si="65"/>
        <v>0</v>
      </c>
      <c r="D563" s="6018">
        <v>2274</v>
      </c>
      <c r="E563" s="6018">
        <f t="shared" si="67"/>
        <v>4210</v>
      </c>
      <c r="F563" s="6019">
        <v>4957</v>
      </c>
      <c r="G563" s="6020">
        <f t="shared" si="68"/>
        <v>0</v>
      </c>
      <c r="H563" s="6018">
        <v>3225</v>
      </c>
      <c r="I563" s="6018">
        <f t="shared" si="64"/>
        <v>5463</v>
      </c>
      <c r="J563" s="6019">
        <v>6210</v>
      </c>
      <c r="K563" s="1732"/>
      <c r="L563" s="6018">
        <v>27925</v>
      </c>
      <c r="W563" s="6018">
        <v>27900</v>
      </c>
      <c r="X563" s="6019">
        <v>27950</v>
      </c>
      <c r="Y563" s="6018">
        <v>0</v>
      </c>
      <c r="Z563" s="6018">
        <v>2274</v>
      </c>
      <c r="AA563" s="6018">
        <v>4210</v>
      </c>
      <c r="AB563" s="6019">
        <v>4957</v>
      </c>
      <c r="AC563" s="6018">
        <v>0</v>
      </c>
      <c r="AD563" s="6018">
        <v>3225</v>
      </c>
      <c r="AE563" s="6018">
        <v>5463</v>
      </c>
      <c r="AF563" s="6019">
        <v>6210</v>
      </c>
    </row>
    <row r="564" spans="1:32" ht="13.5">
      <c r="A564" s="6018">
        <v>27950</v>
      </c>
      <c r="B564" s="6019">
        <v>28000</v>
      </c>
      <c r="C564" s="6020">
        <f t="shared" si="65"/>
        <v>0</v>
      </c>
      <c r="D564" s="6018">
        <v>2266</v>
      </c>
      <c r="E564" s="6018">
        <f t="shared" si="67"/>
        <v>4199</v>
      </c>
      <c r="F564" s="6019">
        <v>4947</v>
      </c>
      <c r="G564" s="6020">
        <f t="shared" si="68"/>
        <v>0</v>
      </c>
      <c r="H564" s="6018">
        <v>3217</v>
      </c>
      <c r="I564" s="6018">
        <f t="shared" si="64"/>
        <v>5452</v>
      </c>
      <c r="J564" s="6019">
        <v>6200</v>
      </c>
      <c r="K564" s="1732"/>
      <c r="L564" s="6018">
        <v>27975</v>
      </c>
      <c r="W564" s="6018">
        <v>27950</v>
      </c>
      <c r="X564" s="6019">
        <v>28000</v>
      </c>
      <c r="Y564" s="6018">
        <v>0</v>
      </c>
      <c r="Z564" s="6018">
        <v>2266</v>
      </c>
      <c r="AA564" s="6018">
        <v>4199</v>
      </c>
      <c r="AB564" s="6019">
        <v>4947</v>
      </c>
      <c r="AC564" s="6018">
        <v>0</v>
      </c>
      <c r="AD564" s="6018">
        <v>3217</v>
      </c>
      <c r="AE564" s="6018">
        <v>5452</v>
      </c>
      <c r="AF564" s="6019">
        <v>6200</v>
      </c>
    </row>
    <row r="565" spans="1:32" ht="13.5">
      <c r="A565" s="6018">
        <v>28000</v>
      </c>
      <c r="B565" s="6019">
        <v>28050</v>
      </c>
      <c r="C565" s="6020">
        <f t="shared" si="65"/>
        <v>0</v>
      </c>
      <c r="D565" s="6018">
        <f t="shared" si="66"/>
        <v>2259</v>
      </c>
      <c r="E565" s="6018">
        <f t="shared" si="67"/>
        <v>4189</v>
      </c>
      <c r="F565" s="6019">
        <v>4936</v>
      </c>
      <c r="G565" s="6020">
        <f t="shared" si="68"/>
        <v>0</v>
      </c>
      <c r="H565" s="6018">
        <v>3209</v>
      </c>
      <c r="I565" s="6018">
        <f t="shared" si="64"/>
        <v>5442</v>
      </c>
      <c r="J565" s="6019">
        <v>6189</v>
      </c>
      <c r="K565" s="1732"/>
      <c r="L565" s="6018">
        <v>28025</v>
      </c>
      <c r="W565" s="6018">
        <v>28000</v>
      </c>
      <c r="X565" s="6019">
        <v>28050</v>
      </c>
      <c r="Y565" s="6018">
        <v>0</v>
      </c>
      <c r="Z565" s="6018">
        <v>2259</v>
      </c>
      <c r="AA565" s="6018">
        <v>4189</v>
      </c>
      <c r="AB565" s="6019">
        <v>4936</v>
      </c>
      <c r="AC565" s="6018">
        <v>0</v>
      </c>
      <c r="AD565" s="6018">
        <v>3209</v>
      </c>
      <c r="AE565" s="6018">
        <v>5442</v>
      </c>
      <c r="AF565" s="6019">
        <v>6189</v>
      </c>
    </row>
    <row r="566" spans="1:32" ht="13.5">
      <c r="A566" s="6018">
        <v>28050</v>
      </c>
      <c r="B566" s="6019">
        <v>28100</v>
      </c>
      <c r="C566" s="6020">
        <f t="shared" si="65"/>
        <v>0</v>
      </c>
      <c r="D566" s="6018">
        <f t="shared" si="66"/>
        <v>2251</v>
      </c>
      <c r="E566" s="6018">
        <f t="shared" si="67"/>
        <v>4178</v>
      </c>
      <c r="F566" s="6019">
        <v>4926</v>
      </c>
      <c r="G566" s="6020">
        <f t="shared" si="68"/>
        <v>0</v>
      </c>
      <c r="H566" s="6018">
        <v>3201</v>
      </c>
      <c r="I566" s="6018">
        <f t="shared" si="64"/>
        <v>5431</v>
      </c>
      <c r="J566" s="6019">
        <v>6179</v>
      </c>
      <c r="K566" s="1732"/>
      <c r="L566" s="6018">
        <v>28075</v>
      </c>
      <c r="W566" s="6018">
        <v>28050</v>
      </c>
      <c r="X566" s="6019">
        <v>28100</v>
      </c>
      <c r="Y566" s="6018">
        <v>0</v>
      </c>
      <c r="Z566" s="6018">
        <v>2251</v>
      </c>
      <c r="AA566" s="6018">
        <v>4178</v>
      </c>
      <c r="AB566" s="6019">
        <v>4926</v>
      </c>
      <c r="AC566" s="6018">
        <v>0</v>
      </c>
      <c r="AD566" s="6018">
        <v>3201</v>
      </c>
      <c r="AE566" s="6018">
        <v>5431</v>
      </c>
      <c r="AF566" s="6019">
        <v>6179</v>
      </c>
    </row>
    <row r="567" spans="1:32" ht="13.5">
      <c r="A567" s="6018">
        <v>28100</v>
      </c>
      <c r="B567" s="6019">
        <v>28150</v>
      </c>
      <c r="C567" s="6020">
        <f t="shared" si="65"/>
        <v>0</v>
      </c>
      <c r="D567" s="6018">
        <f t="shared" si="66"/>
        <v>2243</v>
      </c>
      <c r="E567" s="6018">
        <f t="shared" si="67"/>
        <v>4168</v>
      </c>
      <c r="F567" s="6019">
        <v>4915</v>
      </c>
      <c r="G567" s="6020">
        <f t="shared" si="68"/>
        <v>0</v>
      </c>
      <c r="H567" s="6018">
        <v>3193</v>
      </c>
      <c r="I567" s="6018">
        <f t="shared" si="64"/>
        <v>5421</v>
      </c>
      <c r="J567" s="6019">
        <v>6168</v>
      </c>
      <c r="K567" s="1732"/>
      <c r="L567" s="6018">
        <v>28125</v>
      </c>
      <c r="W567" s="6018">
        <v>28100</v>
      </c>
      <c r="X567" s="6019">
        <v>28150</v>
      </c>
      <c r="Y567" s="6018">
        <v>0</v>
      </c>
      <c r="Z567" s="6018">
        <v>2243</v>
      </c>
      <c r="AA567" s="6018">
        <v>4168</v>
      </c>
      <c r="AB567" s="6019">
        <v>4915</v>
      </c>
      <c r="AC567" s="6018">
        <v>0</v>
      </c>
      <c r="AD567" s="6018">
        <v>3193</v>
      </c>
      <c r="AE567" s="6018">
        <v>5421</v>
      </c>
      <c r="AF567" s="6019">
        <v>6168</v>
      </c>
    </row>
    <row r="568" spans="1:32" ht="13.5">
      <c r="A568" s="6018">
        <v>28150</v>
      </c>
      <c r="B568" s="6019">
        <v>28200</v>
      </c>
      <c r="C568" s="6020">
        <f t="shared" si="65"/>
        <v>0</v>
      </c>
      <c r="D568" s="6018">
        <f t="shared" si="66"/>
        <v>2235</v>
      </c>
      <c r="E568" s="6018">
        <f t="shared" si="67"/>
        <v>4157</v>
      </c>
      <c r="F568" s="6019">
        <v>4905</v>
      </c>
      <c r="G568" s="6020">
        <f t="shared" si="68"/>
        <v>0</v>
      </c>
      <c r="H568" s="6018">
        <v>3185</v>
      </c>
      <c r="I568" s="6018">
        <f t="shared" si="64"/>
        <v>5410</v>
      </c>
      <c r="J568" s="6019">
        <v>6158</v>
      </c>
      <c r="K568" s="1732"/>
      <c r="L568" s="6018">
        <v>28175</v>
      </c>
      <c r="W568" s="6018">
        <v>28150</v>
      </c>
      <c r="X568" s="6019">
        <v>28200</v>
      </c>
      <c r="Y568" s="6018">
        <v>0</v>
      </c>
      <c r="Z568" s="6018">
        <v>2235</v>
      </c>
      <c r="AA568" s="6018">
        <v>4157</v>
      </c>
      <c r="AB568" s="6019">
        <v>4905</v>
      </c>
      <c r="AC568" s="6018">
        <v>0</v>
      </c>
      <c r="AD568" s="6018">
        <v>3185</v>
      </c>
      <c r="AE568" s="6018">
        <v>5410</v>
      </c>
      <c r="AF568" s="6019">
        <v>6158</v>
      </c>
    </row>
    <row r="569" spans="1:32" ht="13.5">
      <c r="A569" s="6018">
        <v>28200</v>
      </c>
      <c r="B569" s="6019">
        <v>28250</v>
      </c>
      <c r="C569" s="6020">
        <f t="shared" si="65"/>
        <v>0</v>
      </c>
      <c r="D569" s="6018">
        <f t="shared" si="66"/>
        <v>2227</v>
      </c>
      <c r="E569" s="6018">
        <f t="shared" si="67"/>
        <v>4147</v>
      </c>
      <c r="F569" s="6019">
        <v>4894</v>
      </c>
      <c r="G569" s="6020">
        <f t="shared" si="68"/>
        <v>0</v>
      </c>
      <c r="H569" s="6018">
        <v>3177</v>
      </c>
      <c r="I569" s="6018">
        <f t="shared" si="64"/>
        <v>5400</v>
      </c>
      <c r="J569" s="6019">
        <v>6147</v>
      </c>
      <c r="K569" s="1732"/>
      <c r="L569" s="6018">
        <v>28225</v>
      </c>
      <c r="W569" s="6018">
        <v>28200</v>
      </c>
      <c r="X569" s="6019">
        <v>28250</v>
      </c>
      <c r="Y569" s="6018">
        <v>0</v>
      </c>
      <c r="Z569" s="6018">
        <v>2227</v>
      </c>
      <c r="AA569" s="6018">
        <v>4147</v>
      </c>
      <c r="AB569" s="6019">
        <v>4894</v>
      </c>
      <c r="AC569" s="6018">
        <v>0</v>
      </c>
      <c r="AD569" s="6018">
        <v>3177</v>
      </c>
      <c r="AE569" s="6018">
        <v>5400</v>
      </c>
      <c r="AF569" s="6019">
        <v>6147</v>
      </c>
    </row>
    <row r="570" spans="1:32" ht="13.5">
      <c r="A570" s="6018">
        <v>28250</v>
      </c>
      <c r="B570" s="6019">
        <v>28300</v>
      </c>
      <c r="C570" s="6020">
        <f t="shared" si="65"/>
        <v>0</v>
      </c>
      <c r="D570" s="6018">
        <f t="shared" si="66"/>
        <v>2219</v>
      </c>
      <c r="E570" s="6018">
        <f t="shared" si="67"/>
        <v>4136</v>
      </c>
      <c r="F570" s="6019">
        <v>4884</v>
      </c>
      <c r="G570" s="6020">
        <f t="shared" si="68"/>
        <v>0</v>
      </c>
      <c r="H570" s="6018">
        <v>3169</v>
      </c>
      <c r="I570" s="6018">
        <f t="shared" si="64"/>
        <v>5389</v>
      </c>
      <c r="J570" s="6019">
        <v>6137</v>
      </c>
      <c r="K570" s="1732"/>
      <c r="L570" s="6018">
        <v>28275</v>
      </c>
      <c r="W570" s="6018">
        <v>28250</v>
      </c>
      <c r="X570" s="6019">
        <v>28300</v>
      </c>
      <c r="Y570" s="6018">
        <v>0</v>
      </c>
      <c r="Z570" s="6018">
        <v>2219</v>
      </c>
      <c r="AA570" s="6018">
        <v>4136</v>
      </c>
      <c r="AB570" s="6019">
        <v>4884</v>
      </c>
      <c r="AC570" s="6018">
        <v>0</v>
      </c>
      <c r="AD570" s="6018">
        <v>3169</v>
      </c>
      <c r="AE570" s="6018">
        <v>5389</v>
      </c>
      <c r="AF570" s="6019">
        <v>6137</v>
      </c>
    </row>
    <row r="571" spans="1:32" ht="13.5">
      <c r="A571" s="6018">
        <v>28300</v>
      </c>
      <c r="B571" s="6019">
        <v>28350</v>
      </c>
      <c r="C571" s="6020">
        <f t="shared" si="65"/>
        <v>0</v>
      </c>
      <c r="D571" s="6018">
        <f t="shared" si="66"/>
        <v>2211</v>
      </c>
      <c r="E571" s="6018">
        <f t="shared" si="67"/>
        <v>4126</v>
      </c>
      <c r="F571" s="6019">
        <v>4873</v>
      </c>
      <c r="G571" s="6020">
        <f t="shared" si="68"/>
        <v>0</v>
      </c>
      <c r="H571" s="6018">
        <v>3161</v>
      </c>
      <c r="I571" s="6018">
        <f t="shared" si="64"/>
        <v>5379</v>
      </c>
      <c r="J571" s="6019">
        <v>6126</v>
      </c>
      <c r="K571" s="1732"/>
      <c r="L571" s="6018">
        <v>28325</v>
      </c>
      <c r="W571" s="6018">
        <v>28300</v>
      </c>
      <c r="X571" s="6019">
        <v>28350</v>
      </c>
      <c r="Y571" s="6018">
        <v>0</v>
      </c>
      <c r="Z571" s="6018">
        <v>2211</v>
      </c>
      <c r="AA571" s="6018">
        <v>4126</v>
      </c>
      <c r="AB571" s="6019">
        <v>4873</v>
      </c>
      <c r="AC571" s="6018">
        <v>0</v>
      </c>
      <c r="AD571" s="6018">
        <v>3161</v>
      </c>
      <c r="AE571" s="6018">
        <v>5379</v>
      </c>
      <c r="AF571" s="6019">
        <v>6126</v>
      </c>
    </row>
    <row r="572" spans="1:32" ht="13.5">
      <c r="A572" s="6018">
        <v>28350</v>
      </c>
      <c r="B572" s="6019">
        <v>28400</v>
      </c>
      <c r="C572" s="6020">
        <f t="shared" si="65"/>
        <v>0</v>
      </c>
      <c r="D572" s="6018">
        <f t="shared" si="66"/>
        <v>2203</v>
      </c>
      <c r="E572" s="6018">
        <f t="shared" si="67"/>
        <v>4115</v>
      </c>
      <c r="F572" s="6019">
        <v>4863</v>
      </c>
      <c r="G572" s="6020">
        <f t="shared" si="68"/>
        <v>0</v>
      </c>
      <c r="H572" s="6018">
        <v>3153</v>
      </c>
      <c r="I572" s="6018">
        <f t="shared" si="64"/>
        <v>5368</v>
      </c>
      <c r="J572" s="6019">
        <v>6116</v>
      </c>
      <c r="K572" s="1732"/>
      <c r="L572" s="6018">
        <v>28375</v>
      </c>
      <c r="W572" s="6018">
        <v>28350</v>
      </c>
      <c r="X572" s="6019">
        <v>28400</v>
      </c>
      <c r="Y572" s="6018">
        <v>0</v>
      </c>
      <c r="Z572" s="6018">
        <v>2203</v>
      </c>
      <c r="AA572" s="6018">
        <v>4115</v>
      </c>
      <c r="AB572" s="6019">
        <v>4863</v>
      </c>
      <c r="AC572" s="6018">
        <v>0</v>
      </c>
      <c r="AD572" s="6018">
        <v>3153</v>
      </c>
      <c r="AE572" s="6018">
        <v>5368</v>
      </c>
      <c r="AF572" s="6019">
        <v>6116</v>
      </c>
    </row>
    <row r="573" spans="1:32" ht="13.5">
      <c r="A573" s="6018">
        <v>28400</v>
      </c>
      <c r="B573" s="6019">
        <v>28450</v>
      </c>
      <c r="C573" s="6020">
        <f t="shared" si="65"/>
        <v>0</v>
      </c>
      <c r="D573" s="6018">
        <f t="shared" si="66"/>
        <v>2195</v>
      </c>
      <c r="E573" s="6018">
        <f t="shared" si="67"/>
        <v>4105</v>
      </c>
      <c r="F573" s="6019">
        <v>4852</v>
      </c>
      <c r="G573" s="6020">
        <f t="shared" si="68"/>
        <v>0</v>
      </c>
      <c r="H573" s="6018">
        <v>3145</v>
      </c>
      <c r="I573" s="6018">
        <f t="shared" si="64"/>
        <v>5358</v>
      </c>
      <c r="J573" s="6019">
        <v>6105</v>
      </c>
      <c r="K573" s="1732"/>
      <c r="L573" s="6018">
        <v>28425</v>
      </c>
      <c r="W573" s="6018">
        <v>28400</v>
      </c>
      <c r="X573" s="6019">
        <v>28450</v>
      </c>
      <c r="Y573" s="6018">
        <v>0</v>
      </c>
      <c r="Z573" s="6018">
        <v>2195</v>
      </c>
      <c r="AA573" s="6018">
        <v>4105</v>
      </c>
      <c r="AB573" s="6019">
        <v>4852</v>
      </c>
      <c r="AC573" s="6018">
        <v>0</v>
      </c>
      <c r="AD573" s="6018">
        <v>3145</v>
      </c>
      <c r="AE573" s="6018">
        <v>5358</v>
      </c>
      <c r="AF573" s="6019">
        <v>6105</v>
      </c>
    </row>
    <row r="574" spans="1:32" ht="13.5">
      <c r="A574" s="6018">
        <v>28450</v>
      </c>
      <c r="B574" s="6019">
        <v>28500</v>
      </c>
      <c r="C574" s="6020">
        <f t="shared" si="65"/>
        <v>0</v>
      </c>
      <c r="D574" s="6018">
        <f t="shared" si="66"/>
        <v>2187</v>
      </c>
      <c r="E574" s="6018">
        <f t="shared" si="67"/>
        <v>4094</v>
      </c>
      <c r="F574" s="6019">
        <v>4842</v>
      </c>
      <c r="G574" s="6020">
        <f t="shared" si="68"/>
        <v>0</v>
      </c>
      <c r="H574" s="6018">
        <v>3137</v>
      </c>
      <c r="I574" s="6018">
        <f t="shared" si="64"/>
        <v>5347</v>
      </c>
      <c r="J574" s="6019">
        <v>6095</v>
      </c>
      <c r="K574" s="1732"/>
      <c r="L574" s="6018">
        <v>28475</v>
      </c>
      <c r="W574" s="6018">
        <v>28450</v>
      </c>
      <c r="X574" s="6019">
        <v>28500</v>
      </c>
      <c r="Y574" s="6018">
        <v>0</v>
      </c>
      <c r="Z574" s="6018">
        <v>2187</v>
      </c>
      <c r="AA574" s="6018">
        <v>4094</v>
      </c>
      <c r="AB574" s="6019">
        <v>4842</v>
      </c>
      <c r="AC574" s="6018">
        <v>0</v>
      </c>
      <c r="AD574" s="6018">
        <v>3137</v>
      </c>
      <c r="AE574" s="6018">
        <v>5347</v>
      </c>
      <c r="AF574" s="6019">
        <v>6095</v>
      </c>
    </row>
    <row r="575" spans="1:32" ht="13.5">
      <c r="A575" s="6018">
        <v>28500</v>
      </c>
      <c r="B575" s="6019">
        <v>28550</v>
      </c>
      <c r="C575" s="6020">
        <f t="shared" si="65"/>
        <v>0</v>
      </c>
      <c r="D575" s="6018">
        <f t="shared" si="66"/>
        <v>2179</v>
      </c>
      <c r="E575" s="6018">
        <f t="shared" si="67"/>
        <v>4084</v>
      </c>
      <c r="F575" s="6019">
        <v>4831</v>
      </c>
      <c r="G575" s="6020">
        <f t="shared" si="68"/>
        <v>0</v>
      </c>
      <c r="H575" s="6018">
        <v>3129</v>
      </c>
      <c r="I575" s="6018">
        <f t="shared" si="64"/>
        <v>5337</v>
      </c>
      <c r="J575" s="6019">
        <v>6084</v>
      </c>
      <c r="K575" s="1732"/>
      <c r="L575" s="6018">
        <v>28525</v>
      </c>
      <c r="W575" s="6018">
        <v>28500</v>
      </c>
      <c r="X575" s="6019">
        <v>28550</v>
      </c>
      <c r="Y575" s="6018">
        <v>0</v>
      </c>
      <c r="Z575" s="6018">
        <v>2179</v>
      </c>
      <c r="AA575" s="6018">
        <v>4084</v>
      </c>
      <c r="AB575" s="6019">
        <v>4831</v>
      </c>
      <c r="AC575" s="6018">
        <v>0</v>
      </c>
      <c r="AD575" s="6018">
        <v>3129</v>
      </c>
      <c r="AE575" s="6018">
        <v>5337</v>
      </c>
      <c r="AF575" s="6019">
        <v>6084</v>
      </c>
    </row>
    <row r="576" spans="1:32" ht="13.5">
      <c r="A576" s="6018">
        <v>28550</v>
      </c>
      <c r="B576" s="6019">
        <v>28600</v>
      </c>
      <c r="C576" s="6020">
        <f t="shared" si="65"/>
        <v>0</v>
      </c>
      <c r="D576" s="6018">
        <f t="shared" si="66"/>
        <v>2171</v>
      </c>
      <c r="E576" s="6018">
        <f t="shared" si="67"/>
        <v>4073</v>
      </c>
      <c r="F576" s="6019">
        <v>4821</v>
      </c>
      <c r="G576" s="6020">
        <f t="shared" si="68"/>
        <v>0</v>
      </c>
      <c r="H576" s="6018">
        <v>3121</v>
      </c>
      <c r="I576" s="6018">
        <f t="shared" si="64"/>
        <v>5326</v>
      </c>
      <c r="J576" s="6019">
        <v>6074</v>
      </c>
      <c r="K576" s="1732"/>
      <c r="L576" s="6018">
        <v>28575</v>
      </c>
      <c r="W576" s="6018">
        <v>28550</v>
      </c>
      <c r="X576" s="6019">
        <v>28600</v>
      </c>
      <c r="Y576" s="6018">
        <v>0</v>
      </c>
      <c r="Z576" s="6018">
        <v>2171</v>
      </c>
      <c r="AA576" s="6018">
        <v>4073</v>
      </c>
      <c r="AB576" s="6019">
        <v>4821</v>
      </c>
      <c r="AC576" s="6018">
        <v>0</v>
      </c>
      <c r="AD576" s="6018">
        <v>3121</v>
      </c>
      <c r="AE576" s="6018">
        <v>5326</v>
      </c>
      <c r="AF576" s="6019">
        <v>6074</v>
      </c>
    </row>
    <row r="577" spans="1:32" ht="13.5">
      <c r="A577" s="6018">
        <v>28600</v>
      </c>
      <c r="B577" s="6019">
        <v>28650</v>
      </c>
      <c r="C577" s="6020">
        <f t="shared" si="65"/>
        <v>0</v>
      </c>
      <c r="D577" s="6018">
        <f t="shared" si="66"/>
        <v>2163</v>
      </c>
      <c r="E577" s="6018">
        <f t="shared" si="67"/>
        <v>4062</v>
      </c>
      <c r="F577" s="6019">
        <v>4810</v>
      </c>
      <c r="G577" s="6020">
        <f t="shared" si="68"/>
        <v>0</v>
      </c>
      <c r="H577" s="6018">
        <v>3113</v>
      </c>
      <c r="I577" s="6018">
        <f t="shared" si="64"/>
        <v>5316</v>
      </c>
      <c r="J577" s="6019">
        <v>6063</v>
      </c>
      <c r="K577" s="1732"/>
      <c r="L577" s="6018">
        <v>28625</v>
      </c>
      <c r="W577" s="6018">
        <v>28600</v>
      </c>
      <c r="X577" s="6019">
        <v>28650</v>
      </c>
      <c r="Y577" s="6018">
        <v>0</v>
      </c>
      <c r="Z577" s="6018">
        <v>2163</v>
      </c>
      <c r="AA577" s="6018">
        <v>4062</v>
      </c>
      <c r="AB577" s="6019">
        <v>4810</v>
      </c>
      <c r="AC577" s="6018">
        <v>0</v>
      </c>
      <c r="AD577" s="6018">
        <v>3113</v>
      </c>
      <c r="AE577" s="6018">
        <v>5316</v>
      </c>
      <c r="AF577" s="6019">
        <v>6063</v>
      </c>
    </row>
    <row r="578" spans="1:32" ht="13.5">
      <c r="A578" s="6018">
        <v>28650</v>
      </c>
      <c r="B578" s="6019">
        <v>28700</v>
      </c>
      <c r="C578" s="6020">
        <f t="shared" si="65"/>
        <v>0</v>
      </c>
      <c r="D578" s="6018">
        <f t="shared" si="66"/>
        <v>2155</v>
      </c>
      <c r="E578" s="6018">
        <f t="shared" si="67"/>
        <v>4052</v>
      </c>
      <c r="F578" s="6019">
        <v>4799</v>
      </c>
      <c r="G578" s="6020">
        <f t="shared" si="68"/>
        <v>0</v>
      </c>
      <c r="H578" s="6018">
        <v>3105</v>
      </c>
      <c r="I578" s="6018">
        <f t="shared" si="64"/>
        <v>5305</v>
      </c>
      <c r="J578" s="6019">
        <v>6053</v>
      </c>
      <c r="K578" s="1732"/>
      <c r="L578" s="6018">
        <v>28675</v>
      </c>
      <c r="W578" s="6018">
        <v>28650</v>
      </c>
      <c r="X578" s="6019">
        <v>28700</v>
      </c>
      <c r="Y578" s="6018">
        <v>0</v>
      </c>
      <c r="Z578" s="6018">
        <v>2155</v>
      </c>
      <c r="AA578" s="6018">
        <v>4052</v>
      </c>
      <c r="AB578" s="6019">
        <v>4799</v>
      </c>
      <c r="AC578" s="6018">
        <v>0</v>
      </c>
      <c r="AD578" s="6018">
        <v>3105</v>
      </c>
      <c r="AE578" s="6018">
        <v>5305</v>
      </c>
      <c r="AF578" s="6019">
        <v>6053</v>
      </c>
    </row>
    <row r="579" spans="1:32" ht="13.5">
      <c r="A579" s="6018">
        <v>28700</v>
      </c>
      <c r="B579" s="6019">
        <v>28750</v>
      </c>
      <c r="C579" s="6020">
        <f t="shared" si="65"/>
        <v>0</v>
      </c>
      <c r="D579" s="6018">
        <f t="shared" si="66"/>
        <v>2147</v>
      </c>
      <c r="E579" s="6018">
        <f t="shared" si="67"/>
        <v>4041</v>
      </c>
      <c r="F579" s="6019">
        <v>4789</v>
      </c>
      <c r="G579" s="6020">
        <f t="shared" si="68"/>
        <v>0</v>
      </c>
      <c r="H579" s="6018">
        <v>3097</v>
      </c>
      <c r="I579" s="6018">
        <f t="shared" si="64"/>
        <v>5294</v>
      </c>
      <c r="J579" s="6019">
        <v>6042</v>
      </c>
      <c r="K579" s="1732"/>
      <c r="L579" s="6018">
        <v>28725</v>
      </c>
      <c r="W579" s="6018">
        <v>28700</v>
      </c>
      <c r="X579" s="6019">
        <v>28750</v>
      </c>
      <c r="Y579" s="6018">
        <v>0</v>
      </c>
      <c r="Z579" s="6018">
        <v>2147</v>
      </c>
      <c r="AA579" s="6018">
        <v>4041</v>
      </c>
      <c r="AB579" s="6019">
        <v>4789</v>
      </c>
      <c r="AC579" s="6018">
        <v>0</v>
      </c>
      <c r="AD579" s="6018">
        <v>3097</v>
      </c>
      <c r="AE579" s="6018">
        <v>5294</v>
      </c>
      <c r="AF579" s="6019">
        <v>6042</v>
      </c>
    </row>
    <row r="580" spans="1:32" ht="13.5">
      <c r="A580" s="6018">
        <v>28750</v>
      </c>
      <c r="B580" s="6019">
        <v>28800</v>
      </c>
      <c r="C580" s="6020">
        <f t="shared" si="65"/>
        <v>0</v>
      </c>
      <c r="D580" s="6018">
        <f t="shared" si="66"/>
        <v>2139</v>
      </c>
      <c r="E580" s="6018">
        <f t="shared" si="67"/>
        <v>4031</v>
      </c>
      <c r="F580" s="6019">
        <v>4778</v>
      </c>
      <c r="G580" s="6020">
        <f t="shared" ref="G580:G643" si="69">IF($L580&gt;R$5,MAX(0,R$3+ROUND((R$9*($L580-R$5)),0)),IF($L580&gt;R$4,R$3,ROUND($L580*R$7,0)))</f>
        <v>0</v>
      </c>
      <c r="H580" s="6018">
        <v>3089</v>
      </c>
      <c r="I580" s="6018">
        <f t="shared" ref="I580:I643" si="70">IF($L580&gt;T$5,MAX(0,T$3+ROUND((T$9*($L580-T$5)),0)),IF($L580&gt;T$4,T$3,ROUND($L580*T$7,0)))</f>
        <v>5284</v>
      </c>
      <c r="J580" s="6019">
        <v>6031</v>
      </c>
      <c r="K580" s="1732"/>
      <c r="L580" s="6018">
        <v>28775</v>
      </c>
      <c r="W580" s="6018">
        <v>28750</v>
      </c>
      <c r="X580" s="6019">
        <v>28800</v>
      </c>
      <c r="Y580" s="6018">
        <v>0</v>
      </c>
      <c r="Z580" s="6018">
        <v>2139</v>
      </c>
      <c r="AA580" s="6018">
        <v>4031</v>
      </c>
      <c r="AB580" s="6019">
        <v>4778</v>
      </c>
      <c r="AC580" s="6018">
        <v>0</v>
      </c>
      <c r="AD580" s="6018">
        <v>3089</v>
      </c>
      <c r="AE580" s="6018">
        <v>5284</v>
      </c>
      <c r="AF580" s="6019">
        <v>6031</v>
      </c>
    </row>
    <row r="581" spans="1:32" ht="13.5">
      <c r="A581" s="6018">
        <v>28800</v>
      </c>
      <c r="B581" s="6019">
        <v>28850</v>
      </c>
      <c r="C581" s="6020">
        <f t="shared" si="65"/>
        <v>0</v>
      </c>
      <c r="D581" s="6018">
        <f t="shared" si="66"/>
        <v>2131</v>
      </c>
      <c r="E581" s="6018">
        <f t="shared" si="67"/>
        <v>4020</v>
      </c>
      <c r="F581" s="6019">
        <v>4768</v>
      </c>
      <c r="G581" s="6020">
        <f t="shared" si="69"/>
        <v>0</v>
      </c>
      <c r="H581" s="6018">
        <v>3081</v>
      </c>
      <c r="I581" s="6018">
        <f t="shared" si="70"/>
        <v>5273</v>
      </c>
      <c r="J581" s="6019">
        <v>6021</v>
      </c>
      <c r="K581" s="1732"/>
      <c r="L581" s="6018">
        <v>28825</v>
      </c>
      <c r="W581" s="6018">
        <v>28800</v>
      </c>
      <c r="X581" s="6019">
        <v>28850</v>
      </c>
      <c r="Y581" s="6018">
        <v>0</v>
      </c>
      <c r="Z581" s="6018">
        <v>2131</v>
      </c>
      <c r="AA581" s="6018">
        <v>4020</v>
      </c>
      <c r="AB581" s="6019">
        <v>4768</v>
      </c>
      <c r="AC581" s="6018">
        <v>0</v>
      </c>
      <c r="AD581" s="6018">
        <v>3081</v>
      </c>
      <c r="AE581" s="6018">
        <v>5273</v>
      </c>
      <c r="AF581" s="6019">
        <v>6021</v>
      </c>
    </row>
    <row r="582" spans="1:32" ht="13.5">
      <c r="A582" s="6018">
        <v>28850</v>
      </c>
      <c r="B582" s="6019">
        <v>28900</v>
      </c>
      <c r="C582" s="6020">
        <f t="shared" ref="C582:C645" si="71">IF($L582&gt;N$5,MAX(0,N$3+ROUND((N$9*($L582-N$5)),0)),IF($L582&gt;N$4,N$3,ROUND($L582*N$7,0)))</f>
        <v>0</v>
      </c>
      <c r="D582" s="6018">
        <f t="shared" ref="D582:D645" si="72">IF($L582&gt;O$5,MAX(0,O$3+ROUND((O$9*($L582-O$5)),0)),IF($L582&gt;O$4,O$3,ROUND($L582*O$7,0)))</f>
        <v>2123</v>
      </c>
      <c r="E582" s="6018">
        <f t="shared" ref="E582:E645" si="73">IF($L582&gt;P$5,MAX(0,P$3+ROUND((P$9*($L582-P$5)),0)),IF($L582&gt;P$4,P$3,ROUND($L582*P$7,0)))</f>
        <v>4010</v>
      </c>
      <c r="F582" s="6019">
        <v>4757</v>
      </c>
      <c r="G582" s="6020">
        <f t="shared" si="69"/>
        <v>0</v>
      </c>
      <c r="H582" s="6018">
        <v>3073</v>
      </c>
      <c r="I582" s="6018">
        <f t="shared" si="70"/>
        <v>5263</v>
      </c>
      <c r="J582" s="6019">
        <v>6010</v>
      </c>
      <c r="K582" s="1732"/>
      <c r="L582" s="6018">
        <v>28875</v>
      </c>
      <c r="W582" s="6018">
        <v>28850</v>
      </c>
      <c r="X582" s="6019">
        <v>28900</v>
      </c>
      <c r="Y582" s="6018">
        <v>0</v>
      </c>
      <c r="Z582" s="6018">
        <v>2123</v>
      </c>
      <c r="AA582" s="6018">
        <v>4010</v>
      </c>
      <c r="AB582" s="6019">
        <v>4757</v>
      </c>
      <c r="AC582" s="6018">
        <v>0</v>
      </c>
      <c r="AD582" s="6018">
        <v>3073</v>
      </c>
      <c r="AE582" s="6018">
        <v>5263</v>
      </c>
      <c r="AF582" s="6019">
        <v>6010</v>
      </c>
    </row>
    <row r="583" spans="1:32" ht="13.5">
      <c r="A583" s="6018">
        <v>28900</v>
      </c>
      <c r="B583" s="6019">
        <v>28950</v>
      </c>
      <c r="C583" s="6020">
        <f t="shared" si="71"/>
        <v>0</v>
      </c>
      <c r="D583" s="6018">
        <f t="shared" si="72"/>
        <v>2115</v>
      </c>
      <c r="E583" s="6018">
        <f t="shared" si="73"/>
        <v>3999</v>
      </c>
      <c r="F583" s="6019">
        <v>4747</v>
      </c>
      <c r="G583" s="6020">
        <f t="shared" si="69"/>
        <v>0</v>
      </c>
      <c r="H583" s="6018">
        <v>3065</v>
      </c>
      <c r="I583" s="6018">
        <f t="shared" si="70"/>
        <v>5252</v>
      </c>
      <c r="J583" s="6019">
        <v>6000</v>
      </c>
      <c r="K583" s="1732"/>
      <c r="L583" s="6018">
        <v>28925</v>
      </c>
      <c r="W583" s="6018">
        <v>28900</v>
      </c>
      <c r="X583" s="6019">
        <v>28950</v>
      </c>
      <c r="Y583" s="6018">
        <v>0</v>
      </c>
      <c r="Z583" s="6018">
        <v>2115</v>
      </c>
      <c r="AA583" s="6018">
        <v>3999</v>
      </c>
      <c r="AB583" s="6019">
        <v>4747</v>
      </c>
      <c r="AC583" s="6018">
        <v>0</v>
      </c>
      <c r="AD583" s="6018">
        <v>3065</v>
      </c>
      <c r="AE583" s="6018">
        <v>5252</v>
      </c>
      <c r="AF583" s="6019">
        <v>6000</v>
      </c>
    </row>
    <row r="584" spans="1:32" ht="13.5">
      <c r="A584" s="6018">
        <v>28950</v>
      </c>
      <c r="B584" s="6019">
        <v>29000</v>
      </c>
      <c r="C584" s="6020">
        <f t="shared" si="71"/>
        <v>0</v>
      </c>
      <c r="D584" s="6018">
        <f t="shared" si="72"/>
        <v>2107</v>
      </c>
      <c r="E584" s="6018">
        <f t="shared" si="73"/>
        <v>3989</v>
      </c>
      <c r="F584" s="6019">
        <v>4736</v>
      </c>
      <c r="G584" s="6020">
        <f t="shared" si="69"/>
        <v>0</v>
      </c>
      <c r="H584" s="6018">
        <f t="shared" ref="H584:H643" si="74">IF($L584&gt;S$5,MAX(0,S$3+ROUND((S$9*($L584-S$5)),0)),IF($L584&gt;S$4,S$3,ROUND($L584*S$7,0)))</f>
        <v>3058</v>
      </c>
      <c r="I584" s="6018">
        <f t="shared" si="70"/>
        <v>5242</v>
      </c>
      <c r="J584" s="6019">
        <v>5989</v>
      </c>
      <c r="K584" s="1732"/>
      <c r="L584" s="6018">
        <v>28975</v>
      </c>
      <c r="W584" s="6018">
        <v>28950</v>
      </c>
      <c r="X584" s="6019">
        <v>29000</v>
      </c>
      <c r="Y584" s="6018">
        <v>0</v>
      </c>
      <c r="Z584" s="6018">
        <v>2107</v>
      </c>
      <c r="AA584" s="6018">
        <v>3989</v>
      </c>
      <c r="AB584" s="6019">
        <v>4736</v>
      </c>
      <c r="AC584" s="6018">
        <v>0</v>
      </c>
      <c r="AD584" s="6018">
        <v>3058</v>
      </c>
      <c r="AE584" s="6018">
        <v>5242</v>
      </c>
      <c r="AF584" s="6019">
        <v>5989</v>
      </c>
    </row>
    <row r="585" spans="1:32" ht="13.5">
      <c r="A585" s="6018">
        <v>29000</v>
      </c>
      <c r="B585" s="6019">
        <v>29050</v>
      </c>
      <c r="C585" s="6020">
        <f t="shared" si="71"/>
        <v>0</v>
      </c>
      <c r="D585" s="6018">
        <f t="shared" si="72"/>
        <v>2099</v>
      </c>
      <c r="E585" s="6018">
        <f t="shared" si="73"/>
        <v>3978</v>
      </c>
      <c r="F585" s="6019">
        <v>4726</v>
      </c>
      <c r="G585" s="6020">
        <f t="shared" si="69"/>
        <v>0</v>
      </c>
      <c r="H585" s="6018">
        <f t="shared" si="74"/>
        <v>3050</v>
      </c>
      <c r="I585" s="6018">
        <f t="shared" si="70"/>
        <v>5231</v>
      </c>
      <c r="J585" s="6019">
        <v>5979</v>
      </c>
      <c r="K585" s="1732"/>
      <c r="L585" s="6018">
        <v>29025</v>
      </c>
      <c r="W585" s="6018">
        <v>29000</v>
      </c>
      <c r="X585" s="6019">
        <v>29050</v>
      </c>
      <c r="Y585" s="6018">
        <v>0</v>
      </c>
      <c r="Z585" s="6018">
        <v>2099</v>
      </c>
      <c r="AA585" s="6018">
        <v>3978</v>
      </c>
      <c r="AB585" s="6019">
        <v>4726</v>
      </c>
      <c r="AC585" s="6018">
        <v>0</v>
      </c>
      <c r="AD585" s="6018">
        <v>3050</v>
      </c>
      <c r="AE585" s="6018">
        <v>5231</v>
      </c>
      <c r="AF585" s="6019">
        <v>5979</v>
      </c>
    </row>
    <row r="586" spans="1:32" ht="13.5">
      <c r="A586" s="6018">
        <v>29050</v>
      </c>
      <c r="B586" s="6019">
        <v>29100</v>
      </c>
      <c r="C586" s="6020">
        <f t="shared" si="71"/>
        <v>0</v>
      </c>
      <c r="D586" s="6018">
        <f t="shared" si="72"/>
        <v>2091</v>
      </c>
      <c r="E586" s="6018">
        <f t="shared" si="73"/>
        <v>3968</v>
      </c>
      <c r="F586" s="6019">
        <v>4715</v>
      </c>
      <c r="G586" s="6020">
        <f t="shared" si="69"/>
        <v>0</v>
      </c>
      <c r="H586" s="6018">
        <f t="shared" si="74"/>
        <v>3042</v>
      </c>
      <c r="I586" s="6018">
        <f t="shared" si="70"/>
        <v>5221</v>
      </c>
      <c r="J586" s="6019">
        <v>5968</v>
      </c>
      <c r="K586" s="1732"/>
      <c r="L586" s="6018">
        <v>29075</v>
      </c>
      <c r="W586" s="6018">
        <v>29050</v>
      </c>
      <c r="X586" s="6019">
        <v>29100</v>
      </c>
      <c r="Y586" s="6018">
        <v>0</v>
      </c>
      <c r="Z586" s="6018">
        <v>2091</v>
      </c>
      <c r="AA586" s="6018">
        <v>3968</v>
      </c>
      <c r="AB586" s="6019">
        <v>4715</v>
      </c>
      <c r="AC586" s="6018">
        <v>0</v>
      </c>
      <c r="AD586" s="6018">
        <v>3042</v>
      </c>
      <c r="AE586" s="6018">
        <v>5221</v>
      </c>
      <c r="AF586" s="6019">
        <v>5968</v>
      </c>
    </row>
    <row r="587" spans="1:32" ht="13.5">
      <c r="A587" s="6018">
        <v>29100</v>
      </c>
      <c r="B587" s="6019">
        <v>29150</v>
      </c>
      <c r="C587" s="6020">
        <f t="shared" si="71"/>
        <v>0</v>
      </c>
      <c r="D587" s="6018">
        <f t="shared" si="72"/>
        <v>2083</v>
      </c>
      <c r="E587" s="6018">
        <f t="shared" si="73"/>
        <v>3957</v>
      </c>
      <c r="F587" s="6019">
        <v>4705</v>
      </c>
      <c r="G587" s="6020">
        <f t="shared" si="69"/>
        <v>0</v>
      </c>
      <c r="H587" s="6018">
        <f t="shared" si="74"/>
        <v>3034</v>
      </c>
      <c r="I587" s="6018">
        <f t="shared" si="70"/>
        <v>5210</v>
      </c>
      <c r="J587" s="6019">
        <v>5958</v>
      </c>
      <c r="K587" s="1732"/>
      <c r="L587" s="6018">
        <v>29125</v>
      </c>
      <c r="W587" s="6018">
        <v>29100</v>
      </c>
      <c r="X587" s="6019">
        <v>29150</v>
      </c>
      <c r="Y587" s="6018">
        <v>0</v>
      </c>
      <c r="Z587" s="6018">
        <v>2083</v>
      </c>
      <c r="AA587" s="6018">
        <v>3957</v>
      </c>
      <c r="AB587" s="6019">
        <v>4705</v>
      </c>
      <c r="AC587" s="6018">
        <v>0</v>
      </c>
      <c r="AD587" s="6018">
        <v>3034</v>
      </c>
      <c r="AE587" s="6018">
        <v>5210</v>
      </c>
      <c r="AF587" s="6019">
        <v>5958</v>
      </c>
    </row>
    <row r="588" spans="1:32" ht="13.5">
      <c r="A588" s="6018">
        <v>29150</v>
      </c>
      <c r="B588" s="6019">
        <v>29200</v>
      </c>
      <c r="C588" s="6020">
        <f t="shared" si="71"/>
        <v>0</v>
      </c>
      <c r="D588" s="6018">
        <f t="shared" si="72"/>
        <v>2075</v>
      </c>
      <c r="E588" s="6018">
        <f t="shared" si="73"/>
        <v>3947</v>
      </c>
      <c r="F588" s="6019">
        <v>4694</v>
      </c>
      <c r="G588" s="6020">
        <f t="shared" si="69"/>
        <v>0</v>
      </c>
      <c r="H588" s="6018">
        <f t="shared" si="74"/>
        <v>3026</v>
      </c>
      <c r="I588" s="6018">
        <f t="shared" si="70"/>
        <v>5200</v>
      </c>
      <c r="J588" s="6019">
        <v>5947</v>
      </c>
      <c r="K588" s="1732"/>
      <c r="L588" s="6018">
        <v>29175</v>
      </c>
      <c r="W588" s="6018">
        <v>29150</v>
      </c>
      <c r="X588" s="6019">
        <v>29200</v>
      </c>
      <c r="Y588" s="6018">
        <v>0</v>
      </c>
      <c r="Z588" s="6018">
        <v>2075</v>
      </c>
      <c r="AA588" s="6018">
        <v>3947</v>
      </c>
      <c r="AB588" s="6019">
        <v>4694</v>
      </c>
      <c r="AC588" s="6018">
        <v>0</v>
      </c>
      <c r="AD588" s="6018">
        <v>3026</v>
      </c>
      <c r="AE588" s="6018">
        <v>5200</v>
      </c>
      <c r="AF588" s="6019">
        <v>5947</v>
      </c>
    </row>
    <row r="589" spans="1:32" ht="13.5">
      <c r="A589" s="6018">
        <v>29200</v>
      </c>
      <c r="B589" s="6019">
        <v>29250</v>
      </c>
      <c r="C589" s="6020">
        <f t="shared" si="71"/>
        <v>0</v>
      </c>
      <c r="D589" s="6018">
        <f t="shared" si="72"/>
        <v>2067</v>
      </c>
      <c r="E589" s="6018">
        <f t="shared" si="73"/>
        <v>3936</v>
      </c>
      <c r="F589" s="6019">
        <v>4684</v>
      </c>
      <c r="G589" s="6020">
        <f t="shared" si="69"/>
        <v>0</v>
      </c>
      <c r="H589" s="6018">
        <f t="shared" si="74"/>
        <v>3018</v>
      </c>
      <c r="I589" s="6018">
        <f t="shared" si="70"/>
        <v>5189</v>
      </c>
      <c r="J589" s="6019">
        <v>5937</v>
      </c>
      <c r="K589" s="1732"/>
      <c r="L589" s="6018">
        <v>29225</v>
      </c>
      <c r="W589" s="6018">
        <v>29200</v>
      </c>
      <c r="X589" s="6019">
        <v>29250</v>
      </c>
      <c r="Y589" s="6018">
        <v>0</v>
      </c>
      <c r="Z589" s="6018">
        <v>2067</v>
      </c>
      <c r="AA589" s="6018">
        <v>3936</v>
      </c>
      <c r="AB589" s="6019">
        <v>4684</v>
      </c>
      <c r="AC589" s="6018">
        <v>0</v>
      </c>
      <c r="AD589" s="6018">
        <v>3018</v>
      </c>
      <c r="AE589" s="6018">
        <v>5189</v>
      </c>
      <c r="AF589" s="6019">
        <v>5937</v>
      </c>
    </row>
    <row r="590" spans="1:32" ht="13.5">
      <c r="A590" s="6018">
        <v>29250</v>
      </c>
      <c r="B590" s="6019">
        <v>29300</v>
      </c>
      <c r="C590" s="6020">
        <f t="shared" si="71"/>
        <v>0</v>
      </c>
      <c r="D590" s="6018">
        <f t="shared" si="72"/>
        <v>2059</v>
      </c>
      <c r="E590" s="6018">
        <f t="shared" si="73"/>
        <v>3926</v>
      </c>
      <c r="F590" s="6019">
        <v>4673</v>
      </c>
      <c r="G590" s="6020">
        <f t="shared" si="69"/>
        <v>0</v>
      </c>
      <c r="H590" s="6018">
        <f t="shared" si="74"/>
        <v>3010</v>
      </c>
      <c r="I590" s="6018">
        <f t="shared" si="70"/>
        <v>5179</v>
      </c>
      <c r="J590" s="6019">
        <v>5926</v>
      </c>
      <c r="K590" s="1732"/>
      <c r="L590" s="6018">
        <v>29275</v>
      </c>
      <c r="W590" s="6018">
        <v>29250</v>
      </c>
      <c r="X590" s="6019">
        <v>29300</v>
      </c>
      <c r="Y590" s="6018">
        <v>0</v>
      </c>
      <c r="Z590" s="6018">
        <v>2059</v>
      </c>
      <c r="AA590" s="6018">
        <v>3926</v>
      </c>
      <c r="AB590" s="6019">
        <v>4673</v>
      </c>
      <c r="AC590" s="6018">
        <v>0</v>
      </c>
      <c r="AD590" s="6018">
        <v>3010</v>
      </c>
      <c r="AE590" s="6018">
        <v>5179</v>
      </c>
      <c r="AF590" s="6019">
        <v>5926</v>
      </c>
    </row>
    <row r="591" spans="1:32" ht="13.5">
      <c r="A591" s="6018">
        <v>29300</v>
      </c>
      <c r="B591" s="6019">
        <v>29350</v>
      </c>
      <c r="C591" s="6020">
        <f t="shared" si="71"/>
        <v>0</v>
      </c>
      <c r="D591" s="6018">
        <f t="shared" si="72"/>
        <v>2051</v>
      </c>
      <c r="E591" s="6018">
        <f t="shared" si="73"/>
        <v>3915</v>
      </c>
      <c r="F591" s="6019">
        <v>4663</v>
      </c>
      <c r="G591" s="6020">
        <f t="shared" si="69"/>
        <v>0</v>
      </c>
      <c r="H591" s="6018">
        <f t="shared" si="74"/>
        <v>3002</v>
      </c>
      <c r="I591" s="6018">
        <f t="shared" si="70"/>
        <v>5168</v>
      </c>
      <c r="J591" s="6019">
        <v>5916</v>
      </c>
      <c r="K591" s="1732"/>
      <c r="L591" s="6018">
        <v>29325</v>
      </c>
      <c r="W591" s="6018">
        <v>29300</v>
      </c>
      <c r="X591" s="6019">
        <v>29350</v>
      </c>
      <c r="Y591" s="6018">
        <v>0</v>
      </c>
      <c r="Z591" s="6018">
        <v>2051</v>
      </c>
      <c r="AA591" s="6018">
        <v>3915</v>
      </c>
      <c r="AB591" s="6019">
        <v>4663</v>
      </c>
      <c r="AC591" s="6018">
        <v>0</v>
      </c>
      <c r="AD591" s="6018">
        <v>3002</v>
      </c>
      <c r="AE591" s="6018">
        <v>5168</v>
      </c>
      <c r="AF591" s="6019">
        <v>5916</v>
      </c>
    </row>
    <row r="592" spans="1:32" ht="13.5">
      <c r="A592" s="6018">
        <v>29350</v>
      </c>
      <c r="B592" s="6019">
        <v>29400</v>
      </c>
      <c r="C592" s="6020">
        <f t="shared" si="71"/>
        <v>0</v>
      </c>
      <c r="D592" s="6018">
        <f t="shared" si="72"/>
        <v>2043</v>
      </c>
      <c r="E592" s="6018">
        <f t="shared" si="73"/>
        <v>3905</v>
      </c>
      <c r="F592" s="6019">
        <v>4652</v>
      </c>
      <c r="G592" s="6020">
        <f t="shared" si="69"/>
        <v>0</v>
      </c>
      <c r="H592" s="6018">
        <f t="shared" si="74"/>
        <v>2994</v>
      </c>
      <c r="I592" s="6018">
        <f t="shared" si="70"/>
        <v>5158</v>
      </c>
      <c r="J592" s="6019">
        <v>5905</v>
      </c>
      <c r="K592" s="1732"/>
      <c r="L592" s="6018">
        <v>29375</v>
      </c>
      <c r="W592" s="6018">
        <v>29350</v>
      </c>
      <c r="X592" s="6019">
        <v>29400</v>
      </c>
      <c r="Y592" s="6018">
        <v>0</v>
      </c>
      <c r="Z592" s="6018">
        <v>2043</v>
      </c>
      <c r="AA592" s="6018">
        <v>3905</v>
      </c>
      <c r="AB592" s="6019">
        <v>4652</v>
      </c>
      <c r="AC592" s="6018">
        <v>0</v>
      </c>
      <c r="AD592" s="6018">
        <v>2994</v>
      </c>
      <c r="AE592" s="6018">
        <v>5158</v>
      </c>
      <c r="AF592" s="6019">
        <v>5905</v>
      </c>
    </row>
    <row r="593" spans="1:32" ht="13.5">
      <c r="A593" s="6018">
        <v>29400</v>
      </c>
      <c r="B593" s="6019">
        <v>29450</v>
      </c>
      <c r="C593" s="6020">
        <f t="shared" si="71"/>
        <v>0</v>
      </c>
      <c r="D593" s="6018">
        <f t="shared" si="72"/>
        <v>2035</v>
      </c>
      <c r="E593" s="6018">
        <f t="shared" si="73"/>
        <v>3894</v>
      </c>
      <c r="F593" s="6019">
        <v>4642</v>
      </c>
      <c r="G593" s="6020">
        <f t="shared" si="69"/>
        <v>0</v>
      </c>
      <c r="H593" s="6018">
        <f t="shared" si="74"/>
        <v>2986</v>
      </c>
      <c r="I593" s="6018">
        <f t="shared" si="70"/>
        <v>5147</v>
      </c>
      <c r="J593" s="6019">
        <v>5895</v>
      </c>
      <c r="K593" s="1732"/>
      <c r="L593" s="6018">
        <v>29425</v>
      </c>
      <c r="W593" s="6018">
        <v>29400</v>
      </c>
      <c r="X593" s="6019">
        <v>29450</v>
      </c>
      <c r="Y593" s="6018">
        <v>0</v>
      </c>
      <c r="Z593" s="6018">
        <v>2035</v>
      </c>
      <c r="AA593" s="6018">
        <v>3894</v>
      </c>
      <c r="AB593" s="6019">
        <v>4642</v>
      </c>
      <c r="AC593" s="6018">
        <v>0</v>
      </c>
      <c r="AD593" s="6018">
        <v>2986</v>
      </c>
      <c r="AE593" s="6018">
        <v>5147</v>
      </c>
      <c r="AF593" s="6019">
        <v>5895</v>
      </c>
    </row>
    <row r="594" spans="1:32" ht="13.5">
      <c r="A594" s="6018">
        <v>29450</v>
      </c>
      <c r="B594" s="6019">
        <v>29500</v>
      </c>
      <c r="C594" s="6020">
        <f t="shared" si="71"/>
        <v>0</v>
      </c>
      <c r="D594" s="6018">
        <f t="shared" si="72"/>
        <v>2027</v>
      </c>
      <c r="E594" s="6018">
        <f t="shared" si="73"/>
        <v>3883</v>
      </c>
      <c r="F594" s="6019">
        <v>4631</v>
      </c>
      <c r="G594" s="6020">
        <f t="shared" si="69"/>
        <v>0</v>
      </c>
      <c r="H594" s="6018">
        <f t="shared" si="74"/>
        <v>2978</v>
      </c>
      <c r="I594" s="6018">
        <f t="shared" si="70"/>
        <v>5137</v>
      </c>
      <c r="J594" s="6019">
        <v>5884</v>
      </c>
      <c r="K594" s="1732"/>
      <c r="L594" s="6018">
        <v>29475</v>
      </c>
      <c r="W594" s="6018">
        <v>29450</v>
      </c>
      <c r="X594" s="6019">
        <v>29500</v>
      </c>
      <c r="Y594" s="6018">
        <v>0</v>
      </c>
      <c r="Z594" s="6018">
        <v>2027</v>
      </c>
      <c r="AA594" s="6018">
        <v>3883</v>
      </c>
      <c r="AB594" s="6019">
        <v>4631</v>
      </c>
      <c r="AC594" s="6018">
        <v>0</v>
      </c>
      <c r="AD594" s="6018">
        <v>2978</v>
      </c>
      <c r="AE594" s="6018">
        <v>5137</v>
      </c>
      <c r="AF594" s="6019">
        <v>5884</v>
      </c>
    </row>
    <row r="595" spans="1:32" ht="13.5">
      <c r="A595" s="6018">
        <v>29500</v>
      </c>
      <c r="B595" s="6019">
        <v>29550</v>
      </c>
      <c r="C595" s="6020">
        <f t="shared" si="71"/>
        <v>0</v>
      </c>
      <c r="D595" s="6018">
        <f t="shared" si="72"/>
        <v>2019</v>
      </c>
      <c r="E595" s="6018">
        <f t="shared" si="73"/>
        <v>3873</v>
      </c>
      <c r="F595" s="6019">
        <v>4620</v>
      </c>
      <c r="G595" s="6020">
        <f t="shared" si="69"/>
        <v>0</v>
      </c>
      <c r="H595" s="6018">
        <f t="shared" si="74"/>
        <v>2970</v>
      </c>
      <c r="I595" s="6018">
        <f t="shared" si="70"/>
        <v>5126</v>
      </c>
      <c r="J595" s="6019">
        <v>5874</v>
      </c>
      <c r="K595" s="1732"/>
      <c r="L595" s="6018">
        <v>29525</v>
      </c>
      <c r="W595" s="6018">
        <v>29500</v>
      </c>
      <c r="X595" s="6019">
        <v>29550</v>
      </c>
      <c r="Y595" s="6018">
        <v>0</v>
      </c>
      <c r="Z595" s="6018">
        <v>2019</v>
      </c>
      <c r="AA595" s="6018">
        <v>3873</v>
      </c>
      <c r="AB595" s="6019">
        <v>4620</v>
      </c>
      <c r="AC595" s="6018">
        <v>0</v>
      </c>
      <c r="AD595" s="6018">
        <v>2970</v>
      </c>
      <c r="AE595" s="6018">
        <v>5126</v>
      </c>
      <c r="AF595" s="6019">
        <v>5874</v>
      </c>
    </row>
    <row r="596" spans="1:32" ht="13.5">
      <c r="A596" s="6018">
        <v>29550</v>
      </c>
      <c r="B596" s="6019">
        <v>29600</v>
      </c>
      <c r="C596" s="6020">
        <f t="shared" si="71"/>
        <v>0</v>
      </c>
      <c r="D596" s="6018">
        <f t="shared" si="72"/>
        <v>2011</v>
      </c>
      <c r="E596" s="6018">
        <f t="shared" si="73"/>
        <v>3862</v>
      </c>
      <c r="F596" s="6019">
        <v>4610</v>
      </c>
      <c r="G596" s="6020">
        <f t="shared" si="69"/>
        <v>0</v>
      </c>
      <c r="H596" s="6018">
        <f t="shared" si="74"/>
        <v>2962</v>
      </c>
      <c r="I596" s="6018">
        <f t="shared" si="70"/>
        <v>5115</v>
      </c>
      <c r="J596" s="6019">
        <v>5863</v>
      </c>
      <c r="K596" s="1732"/>
      <c r="L596" s="6018">
        <v>29575</v>
      </c>
      <c r="W596" s="6018">
        <v>29550</v>
      </c>
      <c r="X596" s="6019">
        <v>29600</v>
      </c>
      <c r="Y596" s="6018">
        <v>0</v>
      </c>
      <c r="Z596" s="6018">
        <v>2011</v>
      </c>
      <c r="AA596" s="6018">
        <v>3862</v>
      </c>
      <c r="AB596" s="6019">
        <v>4610</v>
      </c>
      <c r="AC596" s="6018">
        <v>0</v>
      </c>
      <c r="AD596" s="6018">
        <v>2962</v>
      </c>
      <c r="AE596" s="6018">
        <v>5115</v>
      </c>
      <c r="AF596" s="6019">
        <v>5863</v>
      </c>
    </row>
    <row r="597" spans="1:32" ht="13.5">
      <c r="A597" s="6018">
        <v>29600</v>
      </c>
      <c r="B597" s="6019">
        <v>29650</v>
      </c>
      <c r="C597" s="6020">
        <f t="shared" si="71"/>
        <v>0</v>
      </c>
      <c r="D597" s="6018">
        <f t="shared" si="72"/>
        <v>2003</v>
      </c>
      <c r="E597" s="6018">
        <f t="shared" si="73"/>
        <v>3852</v>
      </c>
      <c r="F597" s="6019">
        <v>4599</v>
      </c>
      <c r="G597" s="6020">
        <f t="shared" si="69"/>
        <v>0</v>
      </c>
      <c r="H597" s="6018">
        <f t="shared" si="74"/>
        <v>2954</v>
      </c>
      <c r="I597" s="6018">
        <f t="shared" si="70"/>
        <v>5105</v>
      </c>
      <c r="J597" s="6019">
        <v>5852</v>
      </c>
      <c r="K597" s="1732"/>
      <c r="L597" s="6018">
        <v>29625</v>
      </c>
      <c r="W597" s="6018">
        <v>29600</v>
      </c>
      <c r="X597" s="6019">
        <v>29650</v>
      </c>
      <c r="Y597" s="6018">
        <v>0</v>
      </c>
      <c r="Z597" s="6018">
        <v>2003</v>
      </c>
      <c r="AA597" s="6018">
        <v>3852</v>
      </c>
      <c r="AB597" s="6019">
        <v>4599</v>
      </c>
      <c r="AC597" s="6018">
        <v>0</v>
      </c>
      <c r="AD597" s="6018">
        <v>2954</v>
      </c>
      <c r="AE597" s="6018">
        <v>5105</v>
      </c>
      <c r="AF597" s="6019">
        <v>5852</v>
      </c>
    </row>
    <row r="598" spans="1:32" ht="13.5">
      <c r="A598" s="6018">
        <v>29650</v>
      </c>
      <c r="B598" s="6019">
        <v>29700</v>
      </c>
      <c r="C598" s="6020">
        <f t="shared" si="71"/>
        <v>0</v>
      </c>
      <c r="D598" s="6018">
        <f t="shared" si="72"/>
        <v>1995</v>
      </c>
      <c r="E598" s="6018">
        <f t="shared" si="73"/>
        <v>3841</v>
      </c>
      <c r="F598" s="6019">
        <v>4589</v>
      </c>
      <c r="G598" s="6020">
        <f t="shared" si="69"/>
        <v>0</v>
      </c>
      <c r="H598" s="6018">
        <f t="shared" si="74"/>
        <v>2946</v>
      </c>
      <c r="I598" s="6018">
        <f t="shared" si="70"/>
        <v>5094</v>
      </c>
      <c r="J598" s="6019">
        <v>5842</v>
      </c>
      <c r="K598" s="1732"/>
      <c r="L598" s="6018">
        <v>29675</v>
      </c>
      <c r="W598" s="6018">
        <v>29650</v>
      </c>
      <c r="X598" s="6019">
        <v>29700</v>
      </c>
      <c r="Y598" s="6018">
        <v>0</v>
      </c>
      <c r="Z598" s="6018">
        <v>1995</v>
      </c>
      <c r="AA598" s="6018">
        <v>3841</v>
      </c>
      <c r="AB598" s="6019">
        <v>4589</v>
      </c>
      <c r="AC598" s="6018">
        <v>0</v>
      </c>
      <c r="AD598" s="6018">
        <v>2946</v>
      </c>
      <c r="AE598" s="6018">
        <v>5094</v>
      </c>
      <c r="AF598" s="6019">
        <v>5842</v>
      </c>
    </row>
    <row r="599" spans="1:32" ht="13.5">
      <c r="A599" s="6018">
        <v>29700</v>
      </c>
      <c r="B599" s="6019">
        <v>29750</v>
      </c>
      <c r="C599" s="6020">
        <f t="shared" si="71"/>
        <v>0</v>
      </c>
      <c r="D599" s="6018">
        <f t="shared" si="72"/>
        <v>1987</v>
      </c>
      <c r="E599" s="6018">
        <f t="shared" si="73"/>
        <v>3831</v>
      </c>
      <c r="F599" s="6019">
        <v>4578</v>
      </c>
      <c r="G599" s="6020">
        <f t="shared" si="69"/>
        <v>0</v>
      </c>
      <c r="H599" s="6018">
        <f t="shared" si="74"/>
        <v>2938</v>
      </c>
      <c r="I599" s="6018">
        <f t="shared" si="70"/>
        <v>5084</v>
      </c>
      <c r="J599" s="6019">
        <v>5831</v>
      </c>
      <c r="K599" s="1732"/>
      <c r="L599" s="6018">
        <v>29725</v>
      </c>
      <c r="W599" s="6018">
        <v>29700</v>
      </c>
      <c r="X599" s="6019">
        <v>29750</v>
      </c>
      <c r="Y599" s="6018">
        <v>0</v>
      </c>
      <c r="Z599" s="6018">
        <v>1987</v>
      </c>
      <c r="AA599" s="6018">
        <v>3831</v>
      </c>
      <c r="AB599" s="6019">
        <v>4578</v>
      </c>
      <c r="AC599" s="6018">
        <v>0</v>
      </c>
      <c r="AD599" s="6018">
        <v>2938</v>
      </c>
      <c r="AE599" s="6018">
        <v>5084</v>
      </c>
      <c r="AF599" s="6019">
        <v>5831</v>
      </c>
    </row>
    <row r="600" spans="1:32" ht="13.5">
      <c r="A600" s="6018">
        <v>29750</v>
      </c>
      <c r="B600" s="6019">
        <v>29800</v>
      </c>
      <c r="C600" s="6020">
        <f t="shared" si="71"/>
        <v>0</v>
      </c>
      <c r="D600" s="6018">
        <f t="shared" si="72"/>
        <v>1979</v>
      </c>
      <c r="E600" s="6018">
        <f t="shared" si="73"/>
        <v>3820</v>
      </c>
      <c r="F600" s="6019">
        <v>4568</v>
      </c>
      <c r="G600" s="6020">
        <f t="shared" si="69"/>
        <v>0</v>
      </c>
      <c r="H600" s="6018">
        <f t="shared" si="74"/>
        <v>2930</v>
      </c>
      <c r="I600" s="6018">
        <f t="shared" si="70"/>
        <v>5073</v>
      </c>
      <c r="J600" s="6019">
        <v>5821</v>
      </c>
      <c r="K600" s="1732"/>
      <c r="L600" s="6018">
        <v>29775</v>
      </c>
      <c r="W600" s="6018">
        <v>29750</v>
      </c>
      <c r="X600" s="6019">
        <v>29800</v>
      </c>
      <c r="Y600" s="6018">
        <v>0</v>
      </c>
      <c r="Z600" s="6018">
        <v>1979</v>
      </c>
      <c r="AA600" s="6018">
        <v>3820</v>
      </c>
      <c r="AB600" s="6019">
        <v>4568</v>
      </c>
      <c r="AC600" s="6018">
        <v>0</v>
      </c>
      <c r="AD600" s="6018">
        <v>2930</v>
      </c>
      <c r="AE600" s="6018">
        <v>5073</v>
      </c>
      <c r="AF600" s="6019">
        <v>5821</v>
      </c>
    </row>
    <row r="601" spans="1:32" ht="13.5">
      <c r="A601" s="6018">
        <v>29800</v>
      </c>
      <c r="B601" s="6019">
        <v>29850</v>
      </c>
      <c r="C601" s="6020">
        <f t="shared" si="71"/>
        <v>0</v>
      </c>
      <c r="D601" s="6018">
        <f t="shared" si="72"/>
        <v>1971</v>
      </c>
      <c r="E601" s="6018">
        <f t="shared" si="73"/>
        <v>3810</v>
      </c>
      <c r="F601" s="6019">
        <v>4557</v>
      </c>
      <c r="G601" s="6020">
        <f t="shared" si="69"/>
        <v>0</v>
      </c>
      <c r="H601" s="6018">
        <f t="shared" si="74"/>
        <v>2922</v>
      </c>
      <c r="I601" s="6018">
        <f t="shared" si="70"/>
        <v>5063</v>
      </c>
      <c r="J601" s="6019">
        <v>5810</v>
      </c>
      <c r="K601" s="1732"/>
      <c r="L601" s="6018">
        <v>29825</v>
      </c>
      <c r="W601" s="6018">
        <v>29800</v>
      </c>
      <c r="X601" s="6019">
        <v>29850</v>
      </c>
      <c r="Y601" s="6018">
        <v>0</v>
      </c>
      <c r="Z601" s="6018">
        <v>1971</v>
      </c>
      <c r="AA601" s="6018">
        <v>3810</v>
      </c>
      <c r="AB601" s="6019">
        <v>4557</v>
      </c>
      <c r="AC601" s="6018">
        <v>0</v>
      </c>
      <c r="AD601" s="6018">
        <v>2922</v>
      </c>
      <c r="AE601" s="6018">
        <v>5063</v>
      </c>
      <c r="AF601" s="6019">
        <v>5810</v>
      </c>
    </row>
    <row r="602" spans="1:32" ht="13.5">
      <c r="A602" s="6018">
        <v>29850</v>
      </c>
      <c r="B602" s="6019">
        <v>29900</v>
      </c>
      <c r="C602" s="6020">
        <f t="shared" si="71"/>
        <v>0</v>
      </c>
      <c r="D602" s="6018">
        <f t="shared" si="72"/>
        <v>1963</v>
      </c>
      <c r="E602" s="6018">
        <f t="shared" si="73"/>
        <v>3799</v>
      </c>
      <c r="F602" s="6019">
        <v>4547</v>
      </c>
      <c r="G602" s="6020">
        <f t="shared" si="69"/>
        <v>0</v>
      </c>
      <c r="H602" s="6018">
        <f t="shared" si="74"/>
        <v>2914</v>
      </c>
      <c r="I602" s="6018">
        <f t="shared" si="70"/>
        <v>5052</v>
      </c>
      <c r="J602" s="6019">
        <v>5800</v>
      </c>
      <c r="K602" s="1732"/>
      <c r="L602" s="6018">
        <v>29875</v>
      </c>
      <c r="W602" s="6018">
        <v>29850</v>
      </c>
      <c r="X602" s="6019">
        <v>29900</v>
      </c>
      <c r="Y602" s="6018">
        <v>0</v>
      </c>
      <c r="Z602" s="6018">
        <v>1963</v>
      </c>
      <c r="AA602" s="6018">
        <v>3799</v>
      </c>
      <c r="AB602" s="6019">
        <v>4547</v>
      </c>
      <c r="AC602" s="6018">
        <v>0</v>
      </c>
      <c r="AD602" s="6018">
        <v>2914</v>
      </c>
      <c r="AE602" s="6018">
        <v>5052</v>
      </c>
      <c r="AF602" s="6019">
        <v>5800</v>
      </c>
    </row>
    <row r="603" spans="1:32" ht="13.5">
      <c r="A603" s="6018">
        <v>29900</v>
      </c>
      <c r="B603" s="6019">
        <v>29950</v>
      </c>
      <c r="C603" s="6020">
        <f t="shared" si="71"/>
        <v>0</v>
      </c>
      <c r="D603" s="6018">
        <f t="shared" si="72"/>
        <v>1955</v>
      </c>
      <c r="E603" s="6018">
        <f t="shared" si="73"/>
        <v>3789</v>
      </c>
      <c r="F603" s="6019">
        <v>4536</v>
      </c>
      <c r="G603" s="6020">
        <f t="shared" si="69"/>
        <v>0</v>
      </c>
      <c r="H603" s="6018">
        <f t="shared" si="74"/>
        <v>2906</v>
      </c>
      <c r="I603" s="6018">
        <f t="shared" si="70"/>
        <v>5042</v>
      </c>
      <c r="J603" s="6019">
        <v>5789</v>
      </c>
      <c r="K603" s="1732"/>
      <c r="L603" s="6018">
        <v>29925</v>
      </c>
      <c r="W603" s="6018">
        <v>29900</v>
      </c>
      <c r="X603" s="6019">
        <v>29950</v>
      </c>
      <c r="Y603" s="6018">
        <v>0</v>
      </c>
      <c r="Z603" s="6018">
        <v>1955</v>
      </c>
      <c r="AA603" s="6018">
        <v>3789</v>
      </c>
      <c r="AB603" s="6019">
        <v>4536</v>
      </c>
      <c r="AC603" s="6018">
        <v>0</v>
      </c>
      <c r="AD603" s="6018">
        <v>2906</v>
      </c>
      <c r="AE603" s="6018">
        <v>5042</v>
      </c>
      <c r="AF603" s="6019">
        <v>5789</v>
      </c>
    </row>
    <row r="604" spans="1:32" ht="13.5">
      <c r="A604" s="6018">
        <v>29950</v>
      </c>
      <c r="B604" s="6019">
        <v>30000</v>
      </c>
      <c r="C604" s="6020">
        <f t="shared" si="71"/>
        <v>0</v>
      </c>
      <c r="D604" s="6018">
        <f t="shared" si="72"/>
        <v>1947</v>
      </c>
      <c r="E604" s="6018">
        <f t="shared" si="73"/>
        <v>3778</v>
      </c>
      <c r="F604" s="6019">
        <v>4526</v>
      </c>
      <c r="G604" s="6020">
        <f t="shared" si="69"/>
        <v>0</v>
      </c>
      <c r="H604" s="6018">
        <f t="shared" si="74"/>
        <v>2898</v>
      </c>
      <c r="I604" s="6018">
        <f t="shared" si="70"/>
        <v>5031</v>
      </c>
      <c r="J604" s="6019">
        <v>5779</v>
      </c>
      <c r="K604" s="1732"/>
      <c r="L604" s="6018">
        <v>29975</v>
      </c>
      <c r="W604" s="6018">
        <v>29950</v>
      </c>
      <c r="X604" s="6019">
        <v>30000</v>
      </c>
      <c r="Y604" s="6018">
        <v>0</v>
      </c>
      <c r="Z604" s="6018">
        <v>1947</v>
      </c>
      <c r="AA604" s="6018">
        <v>3778</v>
      </c>
      <c r="AB604" s="6019">
        <v>4526</v>
      </c>
      <c r="AC604" s="6018">
        <v>0</v>
      </c>
      <c r="AD604" s="6018">
        <v>2898</v>
      </c>
      <c r="AE604" s="6018">
        <v>5031</v>
      </c>
      <c r="AF604" s="6019">
        <v>5779</v>
      </c>
    </row>
    <row r="605" spans="1:32" ht="13.5">
      <c r="A605" s="6018">
        <v>30000</v>
      </c>
      <c r="B605" s="6019">
        <v>30050</v>
      </c>
      <c r="C605" s="6020">
        <f t="shared" si="71"/>
        <v>0</v>
      </c>
      <c r="D605" s="6018">
        <f t="shared" si="72"/>
        <v>1939</v>
      </c>
      <c r="E605" s="6018">
        <f t="shared" si="73"/>
        <v>3768</v>
      </c>
      <c r="F605" s="6019">
        <v>4515</v>
      </c>
      <c r="G605" s="6020">
        <f t="shared" si="69"/>
        <v>0</v>
      </c>
      <c r="H605" s="6018">
        <f t="shared" si="74"/>
        <v>2890</v>
      </c>
      <c r="I605" s="6018">
        <f t="shared" si="70"/>
        <v>5021</v>
      </c>
      <c r="J605" s="6019">
        <v>5768</v>
      </c>
      <c r="K605" s="1732"/>
      <c r="L605" s="6018">
        <v>30025</v>
      </c>
      <c r="W605" s="6018">
        <v>30000</v>
      </c>
      <c r="X605" s="6019">
        <v>30050</v>
      </c>
      <c r="Y605" s="6018">
        <v>0</v>
      </c>
      <c r="Z605" s="6018">
        <v>1939</v>
      </c>
      <c r="AA605" s="6018">
        <v>3768</v>
      </c>
      <c r="AB605" s="6019">
        <v>4515</v>
      </c>
      <c r="AC605" s="6018">
        <v>0</v>
      </c>
      <c r="AD605" s="6018">
        <v>2890</v>
      </c>
      <c r="AE605" s="6018">
        <v>5021</v>
      </c>
      <c r="AF605" s="6019">
        <v>5768</v>
      </c>
    </row>
    <row r="606" spans="1:32" ht="13.5">
      <c r="A606" s="6018">
        <v>30050</v>
      </c>
      <c r="B606" s="6019">
        <v>30100</v>
      </c>
      <c r="C606" s="6020">
        <f t="shared" si="71"/>
        <v>0</v>
      </c>
      <c r="D606" s="6018">
        <f t="shared" si="72"/>
        <v>1931</v>
      </c>
      <c r="E606" s="6018">
        <f t="shared" si="73"/>
        <v>3757</v>
      </c>
      <c r="F606" s="6019">
        <v>4505</v>
      </c>
      <c r="G606" s="6020">
        <f t="shared" si="69"/>
        <v>0</v>
      </c>
      <c r="H606" s="6018">
        <f t="shared" si="74"/>
        <v>2882</v>
      </c>
      <c r="I606" s="6018">
        <f t="shared" si="70"/>
        <v>5010</v>
      </c>
      <c r="J606" s="6019">
        <v>5758</v>
      </c>
      <c r="K606" s="1732"/>
      <c r="L606" s="6018">
        <v>30075</v>
      </c>
      <c r="W606" s="6018">
        <v>30050</v>
      </c>
      <c r="X606" s="6019">
        <v>30100</v>
      </c>
      <c r="Y606" s="6018">
        <v>0</v>
      </c>
      <c r="Z606" s="6018">
        <v>1931</v>
      </c>
      <c r="AA606" s="6018">
        <v>3757</v>
      </c>
      <c r="AB606" s="6019">
        <v>4505</v>
      </c>
      <c r="AC606" s="6018">
        <v>0</v>
      </c>
      <c r="AD606" s="6018">
        <v>2882</v>
      </c>
      <c r="AE606" s="6018">
        <v>5010</v>
      </c>
      <c r="AF606" s="6019">
        <v>5758</v>
      </c>
    </row>
    <row r="607" spans="1:32" ht="13.5">
      <c r="A607" s="6018">
        <v>30100</v>
      </c>
      <c r="B607" s="6019">
        <v>30150</v>
      </c>
      <c r="C607" s="6020">
        <f t="shared" si="71"/>
        <v>0</v>
      </c>
      <c r="D607" s="6018">
        <f t="shared" si="72"/>
        <v>1923</v>
      </c>
      <c r="E607" s="6018">
        <f t="shared" si="73"/>
        <v>3747</v>
      </c>
      <c r="F607" s="6019">
        <v>4494</v>
      </c>
      <c r="G607" s="6020">
        <f t="shared" si="69"/>
        <v>0</v>
      </c>
      <c r="H607" s="6018">
        <f t="shared" si="74"/>
        <v>2874</v>
      </c>
      <c r="I607" s="6018">
        <f t="shared" si="70"/>
        <v>5000</v>
      </c>
      <c r="J607" s="6019">
        <v>5747</v>
      </c>
      <c r="K607" s="1732"/>
      <c r="L607" s="6018">
        <v>30125</v>
      </c>
      <c r="W607" s="6018">
        <v>30100</v>
      </c>
      <c r="X607" s="6019">
        <v>30150</v>
      </c>
      <c r="Y607" s="6018">
        <v>0</v>
      </c>
      <c r="Z607" s="6018">
        <v>1923</v>
      </c>
      <c r="AA607" s="6018">
        <v>3747</v>
      </c>
      <c r="AB607" s="6019">
        <v>4494</v>
      </c>
      <c r="AC607" s="6018">
        <v>0</v>
      </c>
      <c r="AD607" s="6018">
        <v>2874</v>
      </c>
      <c r="AE607" s="6018">
        <v>5000</v>
      </c>
      <c r="AF607" s="6019">
        <v>5747</v>
      </c>
    </row>
    <row r="608" spans="1:32" ht="13.5">
      <c r="A608" s="6018">
        <v>30150</v>
      </c>
      <c r="B608" s="6019">
        <v>30200</v>
      </c>
      <c r="C608" s="6020">
        <f t="shared" si="71"/>
        <v>0</v>
      </c>
      <c r="D608" s="6018">
        <f t="shared" si="72"/>
        <v>1915</v>
      </c>
      <c r="E608" s="6018">
        <f t="shared" si="73"/>
        <v>3736</v>
      </c>
      <c r="F608" s="6019">
        <v>4484</v>
      </c>
      <c r="G608" s="6020">
        <f t="shared" si="69"/>
        <v>0</v>
      </c>
      <c r="H608" s="6018">
        <f t="shared" si="74"/>
        <v>2866</v>
      </c>
      <c r="I608" s="6018">
        <f t="shared" si="70"/>
        <v>4989</v>
      </c>
      <c r="J608" s="6019">
        <v>5737</v>
      </c>
      <c r="K608" s="1732"/>
      <c r="L608" s="6018">
        <v>30175</v>
      </c>
      <c r="W608" s="6018">
        <v>30150</v>
      </c>
      <c r="X608" s="6019">
        <v>30200</v>
      </c>
      <c r="Y608" s="6018">
        <v>0</v>
      </c>
      <c r="Z608" s="6018">
        <v>1915</v>
      </c>
      <c r="AA608" s="6018">
        <v>3736</v>
      </c>
      <c r="AB608" s="6019">
        <v>4484</v>
      </c>
      <c r="AC608" s="6018">
        <v>0</v>
      </c>
      <c r="AD608" s="6018">
        <v>2866</v>
      </c>
      <c r="AE608" s="6018">
        <v>4989</v>
      </c>
      <c r="AF608" s="6019">
        <v>5737</v>
      </c>
    </row>
    <row r="609" spans="1:32" ht="13.5">
      <c r="A609" s="6018">
        <v>30200</v>
      </c>
      <c r="B609" s="6019">
        <v>30250</v>
      </c>
      <c r="C609" s="6020">
        <f t="shared" si="71"/>
        <v>0</v>
      </c>
      <c r="D609" s="6018">
        <f t="shared" si="72"/>
        <v>1907</v>
      </c>
      <c r="E609" s="6018">
        <f t="shared" si="73"/>
        <v>3726</v>
      </c>
      <c r="F609" s="6019">
        <v>4473</v>
      </c>
      <c r="G609" s="6020">
        <f t="shared" si="69"/>
        <v>0</v>
      </c>
      <c r="H609" s="6018">
        <f t="shared" si="74"/>
        <v>2858</v>
      </c>
      <c r="I609" s="6018">
        <f t="shared" si="70"/>
        <v>4979</v>
      </c>
      <c r="J609" s="6019">
        <v>5726</v>
      </c>
      <c r="K609" s="1732"/>
      <c r="L609" s="6018">
        <v>30225</v>
      </c>
      <c r="W609" s="6018">
        <v>30200</v>
      </c>
      <c r="X609" s="6019">
        <v>30250</v>
      </c>
      <c r="Y609" s="6018">
        <v>0</v>
      </c>
      <c r="Z609" s="6018">
        <v>1907</v>
      </c>
      <c r="AA609" s="6018">
        <v>3726</v>
      </c>
      <c r="AB609" s="6019">
        <v>4473</v>
      </c>
      <c r="AC609" s="6018">
        <v>0</v>
      </c>
      <c r="AD609" s="6018">
        <v>2858</v>
      </c>
      <c r="AE609" s="6018">
        <v>4979</v>
      </c>
      <c r="AF609" s="6019">
        <v>5726</v>
      </c>
    </row>
    <row r="610" spans="1:32" ht="13.5">
      <c r="A610" s="6018">
        <v>30250</v>
      </c>
      <c r="B610" s="6019">
        <v>30300</v>
      </c>
      <c r="C610" s="6020">
        <f t="shared" si="71"/>
        <v>0</v>
      </c>
      <c r="D610" s="6018">
        <f t="shared" si="72"/>
        <v>1899</v>
      </c>
      <c r="E610" s="6018">
        <f t="shared" si="73"/>
        <v>3715</v>
      </c>
      <c r="F610" s="6019">
        <v>4462</v>
      </c>
      <c r="G610" s="6020">
        <f t="shared" si="69"/>
        <v>0</v>
      </c>
      <c r="H610" s="6018">
        <f t="shared" si="74"/>
        <v>2850</v>
      </c>
      <c r="I610" s="6018">
        <f t="shared" si="70"/>
        <v>4968</v>
      </c>
      <c r="J610" s="6019">
        <v>5716</v>
      </c>
      <c r="K610" s="1732"/>
      <c r="L610" s="6018">
        <v>30275</v>
      </c>
      <c r="W610" s="6018">
        <v>30250</v>
      </c>
      <c r="X610" s="6019">
        <v>30300</v>
      </c>
      <c r="Y610" s="6018">
        <v>0</v>
      </c>
      <c r="Z610" s="6018">
        <v>1899</v>
      </c>
      <c r="AA610" s="6018">
        <v>3715</v>
      </c>
      <c r="AB610" s="6019">
        <v>4462</v>
      </c>
      <c r="AC610" s="6018">
        <v>0</v>
      </c>
      <c r="AD610" s="6018">
        <v>2850</v>
      </c>
      <c r="AE610" s="6018">
        <v>4968</v>
      </c>
      <c r="AF610" s="6019">
        <v>5716</v>
      </c>
    </row>
    <row r="611" spans="1:32" ht="13.5">
      <c r="A611" s="6018">
        <v>30300</v>
      </c>
      <c r="B611" s="6019">
        <v>30350</v>
      </c>
      <c r="C611" s="6020">
        <f t="shared" si="71"/>
        <v>0</v>
      </c>
      <c r="D611" s="6018">
        <f t="shared" si="72"/>
        <v>1891</v>
      </c>
      <c r="E611" s="6018">
        <f t="shared" si="73"/>
        <v>3704</v>
      </c>
      <c r="F611" s="6019">
        <v>4452</v>
      </c>
      <c r="G611" s="6020">
        <f t="shared" si="69"/>
        <v>0</v>
      </c>
      <c r="H611" s="6018">
        <f t="shared" si="74"/>
        <v>2842</v>
      </c>
      <c r="I611" s="6018">
        <f t="shared" si="70"/>
        <v>4958</v>
      </c>
      <c r="J611" s="6019">
        <v>5705</v>
      </c>
      <c r="K611" s="1732"/>
      <c r="L611" s="6018">
        <v>30325</v>
      </c>
      <c r="W611" s="6018">
        <v>30300</v>
      </c>
      <c r="X611" s="6019">
        <v>30350</v>
      </c>
      <c r="Y611" s="6018">
        <v>0</v>
      </c>
      <c r="Z611" s="6018">
        <v>1891</v>
      </c>
      <c r="AA611" s="6018">
        <v>3704</v>
      </c>
      <c r="AB611" s="6019">
        <v>4452</v>
      </c>
      <c r="AC611" s="6018">
        <v>0</v>
      </c>
      <c r="AD611" s="6018">
        <v>2842</v>
      </c>
      <c r="AE611" s="6018">
        <v>4958</v>
      </c>
      <c r="AF611" s="6019">
        <v>5705</v>
      </c>
    </row>
    <row r="612" spans="1:32" ht="13.5">
      <c r="A612" s="6018">
        <v>30350</v>
      </c>
      <c r="B612" s="6019">
        <v>30400</v>
      </c>
      <c r="C612" s="6020">
        <f t="shared" si="71"/>
        <v>0</v>
      </c>
      <c r="D612" s="6018">
        <f t="shared" si="72"/>
        <v>1883</v>
      </c>
      <c r="E612" s="6018">
        <f t="shared" si="73"/>
        <v>3694</v>
      </c>
      <c r="F612" s="6019">
        <v>4441</v>
      </c>
      <c r="G612" s="6020">
        <f t="shared" si="69"/>
        <v>0</v>
      </c>
      <c r="H612" s="6018">
        <f t="shared" si="74"/>
        <v>2834</v>
      </c>
      <c r="I612" s="6018">
        <f t="shared" si="70"/>
        <v>4947</v>
      </c>
      <c r="J612" s="6019">
        <v>5695</v>
      </c>
      <c r="K612" s="1732"/>
      <c r="L612" s="6018">
        <v>30375</v>
      </c>
      <c r="W612" s="6018">
        <v>30350</v>
      </c>
      <c r="X612" s="6019">
        <v>30400</v>
      </c>
      <c r="Y612" s="6018">
        <v>0</v>
      </c>
      <c r="Z612" s="6018">
        <v>1883</v>
      </c>
      <c r="AA612" s="6018">
        <v>3694</v>
      </c>
      <c r="AB612" s="6019">
        <v>4441</v>
      </c>
      <c r="AC612" s="6018">
        <v>0</v>
      </c>
      <c r="AD612" s="6018">
        <v>2834</v>
      </c>
      <c r="AE612" s="6018">
        <v>4947</v>
      </c>
      <c r="AF612" s="6019">
        <v>5695</v>
      </c>
    </row>
    <row r="613" spans="1:32" ht="13.5">
      <c r="A613" s="6018">
        <v>30400</v>
      </c>
      <c r="B613" s="6019">
        <v>30450</v>
      </c>
      <c r="C613" s="6020">
        <f t="shared" si="71"/>
        <v>0</v>
      </c>
      <c r="D613" s="6018">
        <f t="shared" si="72"/>
        <v>1875</v>
      </c>
      <c r="E613" s="6018">
        <f t="shared" si="73"/>
        <v>3683</v>
      </c>
      <c r="F613" s="6019">
        <v>4431</v>
      </c>
      <c r="G613" s="6020">
        <f t="shared" si="69"/>
        <v>0</v>
      </c>
      <c r="H613" s="6018">
        <f t="shared" si="74"/>
        <v>2826</v>
      </c>
      <c r="I613" s="6018">
        <f t="shared" si="70"/>
        <v>4936</v>
      </c>
      <c r="J613" s="6019">
        <v>5684</v>
      </c>
      <c r="K613" s="1732"/>
      <c r="L613" s="6018">
        <v>30425</v>
      </c>
      <c r="W613" s="6018">
        <v>30400</v>
      </c>
      <c r="X613" s="6019">
        <v>30450</v>
      </c>
      <c r="Y613" s="6018">
        <v>0</v>
      </c>
      <c r="Z613" s="6018">
        <v>1875</v>
      </c>
      <c r="AA613" s="6018">
        <v>3683</v>
      </c>
      <c r="AB613" s="6019">
        <v>4431</v>
      </c>
      <c r="AC613" s="6018">
        <v>0</v>
      </c>
      <c r="AD613" s="6018">
        <v>2826</v>
      </c>
      <c r="AE613" s="6018">
        <v>4936</v>
      </c>
      <c r="AF613" s="6019">
        <v>5684</v>
      </c>
    </row>
    <row r="614" spans="1:32" ht="13.5">
      <c r="A614" s="6018">
        <v>30450</v>
      </c>
      <c r="B614" s="6019">
        <v>30500</v>
      </c>
      <c r="C614" s="6020">
        <f t="shared" si="71"/>
        <v>0</v>
      </c>
      <c r="D614" s="6018">
        <f t="shared" si="72"/>
        <v>1867</v>
      </c>
      <c r="E614" s="6018">
        <f t="shared" si="73"/>
        <v>3673</v>
      </c>
      <c r="F614" s="6019">
        <v>4420</v>
      </c>
      <c r="G614" s="6020">
        <f t="shared" si="69"/>
        <v>0</v>
      </c>
      <c r="H614" s="6018">
        <f t="shared" si="74"/>
        <v>2818</v>
      </c>
      <c r="I614" s="6018">
        <f t="shared" si="70"/>
        <v>4926</v>
      </c>
      <c r="J614" s="6019">
        <v>5673</v>
      </c>
      <c r="K614" s="1732"/>
      <c r="L614" s="6018">
        <v>30475</v>
      </c>
      <c r="W614" s="6018">
        <v>30450</v>
      </c>
      <c r="X614" s="6019">
        <v>30500</v>
      </c>
      <c r="Y614" s="6018">
        <v>0</v>
      </c>
      <c r="Z614" s="6018">
        <v>1867</v>
      </c>
      <c r="AA614" s="6018">
        <v>3673</v>
      </c>
      <c r="AB614" s="6019">
        <v>4420</v>
      </c>
      <c r="AC614" s="6018">
        <v>0</v>
      </c>
      <c r="AD614" s="6018">
        <v>2818</v>
      </c>
      <c r="AE614" s="6018">
        <v>4926</v>
      </c>
      <c r="AF614" s="6019">
        <v>5673</v>
      </c>
    </row>
    <row r="615" spans="1:32" ht="13.5">
      <c r="A615" s="6018">
        <v>30500</v>
      </c>
      <c r="B615" s="6019">
        <v>30550</v>
      </c>
      <c r="C615" s="6020">
        <f t="shared" si="71"/>
        <v>0</v>
      </c>
      <c r="D615" s="6018">
        <f t="shared" si="72"/>
        <v>1859</v>
      </c>
      <c r="E615" s="6018">
        <f t="shared" si="73"/>
        <v>3662</v>
      </c>
      <c r="F615" s="6019">
        <v>4410</v>
      </c>
      <c r="G615" s="6020">
        <f t="shared" si="69"/>
        <v>0</v>
      </c>
      <c r="H615" s="6018">
        <f t="shared" si="74"/>
        <v>2810</v>
      </c>
      <c r="I615" s="6018">
        <f t="shared" si="70"/>
        <v>4915</v>
      </c>
      <c r="J615" s="6019">
        <v>5663</v>
      </c>
      <c r="K615" s="1732"/>
      <c r="L615" s="6018">
        <v>30525</v>
      </c>
      <c r="W615" s="6018">
        <v>30500</v>
      </c>
      <c r="X615" s="6019">
        <v>30550</v>
      </c>
      <c r="Y615" s="6018">
        <v>0</v>
      </c>
      <c r="Z615" s="6018">
        <v>1859</v>
      </c>
      <c r="AA615" s="6018">
        <v>3662</v>
      </c>
      <c r="AB615" s="6019">
        <v>4410</v>
      </c>
      <c r="AC615" s="6018">
        <v>0</v>
      </c>
      <c r="AD615" s="6018">
        <v>2810</v>
      </c>
      <c r="AE615" s="6018">
        <v>4915</v>
      </c>
      <c r="AF615" s="6019">
        <v>5663</v>
      </c>
    </row>
    <row r="616" spans="1:32" ht="13.5">
      <c r="A616" s="6018">
        <v>30550</v>
      </c>
      <c r="B616" s="6019">
        <v>30600</v>
      </c>
      <c r="C616" s="6020">
        <f t="shared" si="71"/>
        <v>0</v>
      </c>
      <c r="D616" s="6018">
        <f t="shared" si="72"/>
        <v>1851</v>
      </c>
      <c r="E616" s="6018">
        <f t="shared" si="73"/>
        <v>3652</v>
      </c>
      <c r="F616" s="6019">
        <v>4399</v>
      </c>
      <c r="G616" s="6020">
        <f t="shared" si="69"/>
        <v>0</v>
      </c>
      <c r="H616" s="6018">
        <f t="shared" si="74"/>
        <v>2802</v>
      </c>
      <c r="I616" s="6018">
        <f t="shared" si="70"/>
        <v>4905</v>
      </c>
      <c r="J616" s="6019">
        <v>5652</v>
      </c>
      <c r="K616" s="1732"/>
      <c r="L616" s="6018">
        <v>30575</v>
      </c>
      <c r="W616" s="6018">
        <v>30550</v>
      </c>
      <c r="X616" s="6019">
        <v>30600</v>
      </c>
      <c r="Y616" s="6018">
        <v>0</v>
      </c>
      <c r="Z616" s="6018">
        <v>1851</v>
      </c>
      <c r="AA616" s="6018">
        <v>3652</v>
      </c>
      <c r="AB616" s="6019">
        <v>4399</v>
      </c>
      <c r="AC616" s="6018">
        <v>0</v>
      </c>
      <c r="AD616" s="6018">
        <v>2802</v>
      </c>
      <c r="AE616" s="6018">
        <v>4905</v>
      </c>
      <c r="AF616" s="6019">
        <v>5652</v>
      </c>
    </row>
    <row r="617" spans="1:32" ht="13.5">
      <c r="A617" s="6018">
        <v>30600</v>
      </c>
      <c r="B617" s="6019">
        <v>30650</v>
      </c>
      <c r="C617" s="6020">
        <f t="shared" si="71"/>
        <v>0</v>
      </c>
      <c r="D617" s="6018">
        <f t="shared" si="72"/>
        <v>1843</v>
      </c>
      <c r="E617" s="6018">
        <f t="shared" si="73"/>
        <v>3641</v>
      </c>
      <c r="F617" s="6019">
        <v>4389</v>
      </c>
      <c r="G617" s="6020">
        <f t="shared" si="69"/>
        <v>0</v>
      </c>
      <c r="H617" s="6018">
        <f t="shared" si="74"/>
        <v>2794</v>
      </c>
      <c r="I617" s="6018">
        <f t="shared" si="70"/>
        <v>4894</v>
      </c>
      <c r="J617" s="6019">
        <v>5642</v>
      </c>
      <c r="K617" s="1732"/>
      <c r="L617" s="6018">
        <v>30625</v>
      </c>
      <c r="W617" s="6018">
        <v>30600</v>
      </c>
      <c r="X617" s="6019">
        <v>30650</v>
      </c>
      <c r="Y617" s="6018">
        <v>0</v>
      </c>
      <c r="Z617" s="6018">
        <v>1843</v>
      </c>
      <c r="AA617" s="6018">
        <v>3641</v>
      </c>
      <c r="AB617" s="6019">
        <v>4389</v>
      </c>
      <c r="AC617" s="6018">
        <v>0</v>
      </c>
      <c r="AD617" s="6018">
        <v>2794</v>
      </c>
      <c r="AE617" s="6018">
        <v>4894</v>
      </c>
      <c r="AF617" s="6019">
        <v>5642</v>
      </c>
    </row>
    <row r="618" spans="1:32" ht="13.5">
      <c r="A618" s="6018">
        <v>30650</v>
      </c>
      <c r="B618" s="6019">
        <v>30700</v>
      </c>
      <c r="C618" s="6020">
        <f t="shared" si="71"/>
        <v>0</v>
      </c>
      <c r="D618" s="6018">
        <f t="shared" si="72"/>
        <v>1835</v>
      </c>
      <c r="E618" s="6018">
        <f t="shared" si="73"/>
        <v>3631</v>
      </c>
      <c r="F618" s="6019">
        <v>4378</v>
      </c>
      <c r="G618" s="6020">
        <f t="shared" si="69"/>
        <v>0</v>
      </c>
      <c r="H618" s="6018">
        <f t="shared" si="74"/>
        <v>2786</v>
      </c>
      <c r="I618" s="6018">
        <f t="shared" si="70"/>
        <v>4884</v>
      </c>
      <c r="J618" s="6019">
        <v>5631</v>
      </c>
      <c r="K618" s="1732"/>
      <c r="L618" s="6018">
        <v>30675</v>
      </c>
      <c r="W618" s="6018">
        <v>30650</v>
      </c>
      <c r="X618" s="6019">
        <v>30700</v>
      </c>
      <c r="Y618" s="6018">
        <v>0</v>
      </c>
      <c r="Z618" s="6018">
        <v>1835</v>
      </c>
      <c r="AA618" s="6018">
        <v>3631</v>
      </c>
      <c r="AB618" s="6019">
        <v>4378</v>
      </c>
      <c r="AC618" s="6018">
        <v>0</v>
      </c>
      <c r="AD618" s="6018">
        <v>2786</v>
      </c>
      <c r="AE618" s="6018">
        <v>4884</v>
      </c>
      <c r="AF618" s="6019">
        <v>5631</v>
      </c>
    </row>
    <row r="619" spans="1:32" ht="13.5">
      <c r="A619" s="6018">
        <v>30700</v>
      </c>
      <c r="B619" s="6019">
        <v>30750</v>
      </c>
      <c r="C619" s="6020">
        <f t="shared" si="71"/>
        <v>0</v>
      </c>
      <c r="D619" s="6018">
        <f t="shared" si="72"/>
        <v>1827</v>
      </c>
      <c r="E619" s="6018">
        <f t="shared" si="73"/>
        <v>3620</v>
      </c>
      <c r="F619" s="6019">
        <v>4368</v>
      </c>
      <c r="G619" s="6020">
        <f t="shared" si="69"/>
        <v>0</v>
      </c>
      <c r="H619" s="6018">
        <f t="shared" si="74"/>
        <v>2778</v>
      </c>
      <c r="I619" s="6018">
        <f t="shared" si="70"/>
        <v>4873</v>
      </c>
      <c r="J619" s="6019">
        <v>5621</v>
      </c>
      <c r="K619" s="1732"/>
      <c r="L619" s="6018">
        <v>30725</v>
      </c>
      <c r="W619" s="6018">
        <v>30700</v>
      </c>
      <c r="X619" s="6019">
        <v>30750</v>
      </c>
      <c r="Y619" s="6018">
        <v>0</v>
      </c>
      <c r="Z619" s="6018">
        <v>1827</v>
      </c>
      <c r="AA619" s="6018">
        <v>3620</v>
      </c>
      <c r="AB619" s="6019">
        <v>4368</v>
      </c>
      <c r="AC619" s="6018">
        <v>0</v>
      </c>
      <c r="AD619" s="6018">
        <v>2778</v>
      </c>
      <c r="AE619" s="6018">
        <v>4873</v>
      </c>
      <c r="AF619" s="6019">
        <v>5621</v>
      </c>
    </row>
    <row r="620" spans="1:32" ht="13.5">
      <c r="A620" s="6018">
        <v>30750</v>
      </c>
      <c r="B620" s="6019">
        <v>30800</v>
      </c>
      <c r="C620" s="6020">
        <f t="shared" si="71"/>
        <v>0</v>
      </c>
      <c r="D620" s="6018">
        <f t="shared" si="72"/>
        <v>1819</v>
      </c>
      <c r="E620" s="6018">
        <f t="shared" si="73"/>
        <v>3610</v>
      </c>
      <c r="F620" s="6019">
        <v>4357</v>
      </c>
      <c r="G620" s="6020">
        <f t="shared" si="69"/>
        <v>0</v>
      </c>
      <c r="H620" s="6018">
        <f t="shared" si="74"/>
        <v>2770</v>
      </c>
      <c r="I620" s="6018">
        <f t="shared" si="70"/>
        <v>4863</v>
      </c>
      <c r="J620" s="6019">
        <v>5610</v>
      </c>
      <c r="K620" s="1732"/>
      <c r="L620" s="6018">
        <v>30775</v>
      </c>
      <c r="W620" s="6018">
        <v>30750</v>
      </c>
      <c r="X620" s="6019">
        <v>30800</v>
      </c>
      <c r="Y620" s="6018">
        <v>0</v>
      </c>
      <c r="Z620" s="6018">
        <v>1819</v>
      </c>
      <c r="AA620" s="6018">
        <v>3610</v>
      </c>
      <c r="AB620" s="6019">
        <v>4357</v>
      </c>
      <c r="AC620" s="6018">
        <v>0</v>
      </c>
      <c r="AD620" s="6018">
        <v>2770</v>
      </c>
      <c r="AE620" s="6018">
        <v>4863</v>
      </c>
      <c r="AF620" s="6019">
        <v>5610</v>
      </c>
    </row>
    <row r="621" spans="1:32" ht="13.5">
      <c r="A621" s="6018">
        <v>30800</v>
      </c>
      <c r="B621" s="6019">
        <v>30850</v>
      </c>
      <c r="C621" s="6020">
        <f t="shared" si="71"/>
        <v>0</v>
      </c>
      <c r="D621" s="6018">
        <f t="shared" si="72"/>
        <v>1811</v>
      </c>
      <c r="E621" s="6018">
        <f t="shared" si="73"/>
        <v>3599</v>
      </c>
      <c r="F621" s="6019">
        <v>4347</v>
      </c>
      <c r="G621" s="6020">
        <f t="shared" si="69"/>
        <v>0</v>
      </c>
      <c r="H621" s="6018">
        <f t="shared" si="74"/>
        <v>2762</v>
      </c>
      <c r="I621" s="6018">
        <f t="shared" si="70"/>
        <v>4852</v>
      </c>
      <c r="J621" s="6019">
        <v>5600</v>
      </c>
      <c r="K621" s="1732"/>
      <c r="L621" s="6018">
        <v>30825</v>
      </c>
      <c r="W621" s="6018">
        <v>30800</v>
      </c>
      <c r="X621" s="6019">
        <v>30850</v>
      </c>
      <c r="Y621" s="6018">
        <v>0</v>
      </c>
      <c r="Z621" s="6018">
        <v>1811</v>
      </c>
      <c r="AA621" s="6018">
        <v>3599</v>
      </c>
      <c r="AB621" s="6019">
        <v>4347</v>
      </c>
      <c r="AC621" s="6018">
        <v>0</v>
      </c>
      <c r="AD621" s="6018">
        <v>2762</v>
      </c>
      <c r="AE621" s="6018">
        <v>4852</v>
      </c>
      <c r="AF621" s="6019">
        <v>5600</v>
      </c>
    </row>
    <row r="622" spans="1:32" ht="13.5">
      <c r="A622" s="6018">
        <v>30850</v>
      </c>
      <c r="B622" s="6019">
        <v>30900</v>
      </c>
      <c r="C622" s="6020">
        <f t="shared" si="71"/>
        <v>0</v>
      </c>
      <c r="D622" s="6018">
        <f t="shared" si="72"/>
        <v>1803</v>
      </c>
      <c r="E622" s="6018">
        <f t="shared" si="73"/>
        <v>3589</v>
      </c>
      <c r="F622" s="6019">
        <v>4336</v>
      </c>
      <c r="G622" s="6020">
        <f t="shared" si="69"/>
        <v>0</v>
      </c>
      <c r="H622" s="6018">
        <f t="shared" si="74"/>
        <v>2754</v>
      </c>
      <c r="I622" s="6018">
        <f t="shared" si="70"/>
        <v>4842</v>
      </c>
      <c r="J622" s="6019">
        <v>5589</v>
      </c>
      <c r="K622" s="1732"/>
      <c r="L622" s="6018">
        <v>30875</v>
      </c>
      <c r="W622" s="6018">
        <v>30850</v>
      </c>
      <c r="X622" s="6019">
        <v>30900</v>
      </c>
      <c r="Y622" s="6018">
        <v>0</v>
      </c>
      <c r="Z622" s="6018">
        <v>1803</v>
      </c>
      <c r="AA622" s="6018">
        <v>3589</v>
      </c>
      <c r="AB622" s="6019">
        <v>4336</v>
      </c>
      <c r="AC622" s="6018">
        <v>0</v>
      </c>
      <c r="AD622" s="6018">
        <v>2754</v>
      </c>
      <c r="AE622" s="6018">
        <v>4842</v>
      </c>
      <c r="AF622" s="6019">
        <v>5589</v>
      </c>
    </row>
    <row r="623" spans="1:32" ht="13.5">
      <c r="A623" s="6018">
        <v>30900</v>
      </c>
      <c r="B623" s="6019">
        <v>30950</v>
      </c>
      <c r="C623" s="6020">
        <f t="shared" si="71"/>
        <v>0</v>
      </c>
      <c r="D623" s="6018">
        <f t="shared" si="72"/>
        <v>1795</v>
      </c>
      <c r="E623" s="6018">
        <f t="shared" si="73"/>
        <v>3578</v>
      </c>
      <c r="F623" s="6019">
        <v>4326</v>
      </c>
      <c r="G623" s="6020">
        <f t="shared" si="69"/>
        <v>0</v>
      </c>
      <c r="H623" s="6018">
        <f t="shared" si="74"/>
        <v>2746</v>
      </c>
      <c r="I623" s="6018">
        <f t="shared" si="70"/>
        <v>4831</v>
      </c>
      <c r="J623" s="6019">
        <v>5579</v>
      </c>
      <c r="K623" s="1732"/>
      <c r="L623" s="6018">
        <v>30925</v>
      </c>
      <c r="W623" s="6018">
        <v>30900</v>
      </c>
      <c r="X623" s="6019">
        <v>30950</v>
      </c>
      <c r="Y623" s="6018">
        <v>0</v>
      </c>
      <c r="Z623" s="6018">
        <v>1795</v>
      </c>
      <c r="AA623" s="6018">
        <v>3578</v>
      </c>
      <c r="AB623" s="6019">
        <v>4326</v>
      </c>
      <c r="AC623" s="6018">
        <v>0</v>
      </c>
      <c r="AD623" s="6018">
        <v>2746</v>
      </c>
      <c r="AE623" s="6018">
        <v>4831</v>
      </c>
      <c r="AF623" s="6019">
        <v>5579</v>
      </c>
    </row>
    <row r="624" spans="1:32" ht="13.5">
      <c r="A624" s="6018">
        <v>30950</v>
      </c>
      <c r="B624" s="6019">
        <v>31000</v>
      </c>
      <c r="C624" s="6020">
        <f t="shared" si="71"/>
        <v>0</v>
      </c>
      <c r="D624" s="6018">
        <f t="shared" si="72"/>
        <v>1787</v>
      </c>
      <c r="E624" s="6018">
        <f t="shared" si="73"/>
        <v>3568</v>
      </c>
      <c r="F624" s="6019">
        <v>4315</v>
      </c>
      <c r="G624" s="6020">
        <f t="shared" si="69"/>
        <v>0</v>
      </c>
      <c r="H624" s="6018">
        <f t="shared" si="74"/>
        <v>2738</v>
      </c>
      <c r="I624" s="6018">
        <f t="shared" si="70"/>
        <v>4821</v>
      </c>
      <c r="J624" s="6019">
        <v>5568</v>
      </c>
      <c r="K624" s="1732"/>
      <c r="L624" s="6018">
        <v>30975</v>
      </c>
      <c r="W624" s="6018">
        <v>30950</v>
      </c>
      <c r="X624" s="6019">
        <v>31000</v>
      </c>
      <c r="Y624" s="6018">
        <v>0</v>
      </c>
      <c r="Z624" s="6018">
        <v>1787</v>
      </c>
      <c r="AA624" s="6018">
        <v>3568</v>
      </c>
      <c r="AB624" s="6019">
        <v>4315</v>
      </c>
      <c r="AC624" s="6018">
        <v>0</v>
      </c>
      <c r="AD624" s="6018">
        <v>2738</v>
      </c>
      <c r="AE624" s="6018">
        <v>4821</v>
      </c>
      <c r="AF624" s="6019">
        <v>5568</v>
      </c>
    </row>
    <row r="625" spans="1:32" ht="13.5">
      <c r="A625" s="6018">
        <v>31000</v>
      </c>
      <c r="B625" s="6019">
        <v>31050</v>
      </c>
      <c r="C625" s="6020">
        <f t="shared" si="71"/>
        <v>0</v>
      </c>
      <c r="D625" s="6018">
        <f t="shared" si="72"/>
        <v>1779</v>
      </c>
      <c r="E625" s="6018">
        <f t="shared" si="73"/>
        <v>3557</v>
      </c>
      <c r="F625" s="6019">
        <v>4305</v>
      </c>
      <c r="G625" s="6020">
        <f t="shared" si="69"/>
        <v>0</v>
      </c>
      <c r="H625" s="6018">
        <f t="shared" si="74"/>
        <v>2730</v>
      </c>
      <c r="I625" s="6018">
        <f t="shared" si="70"/>
        <v>4810</v>
      </c>
      <c r="J625" s="6019">
        <v>5558</v>
      </c>
      <c r="K625" s="1732"/>
      <c r="L625" s="6018">
        <v>31025</v>
      </c>
      <c r="W625" s="6018">
        <v>31000</v>
      </c>
      <c r="X625" s="6019">
        <v>31050</v>
      </c>
      <c r="Y625" s="6018">
        <v>0</v>
      </c>
      <c r="Z625" s="6018">
        <v>1779</v>
      </c>
      <c r="AA625" s="6018">
        <v>3557</v>
      </c>
      <c r="AB625" s="6019">
        <v>4305</v>
      </c>
      <c r="AC625" s="6018">
        <v>0</v>
      </c>
      <c r="AD625" s="6018">
        <v>2730</v>
      </c>
      <c r="AE625" s="6018">
        <v>4810</v>
      </c>
      <c r="AF625" s="6019">
        <v>5558</v>
      </c>
    </row>
    <row r="626" spans="1:32" ht="13.5">
      <c r="A626" s="6018">
        <v>31050</v>
      </c>
      <c r="B626" s="6019">
        <v>31100</v>
      </c>
      <c r="C626" s="6020">
        <f t="shared" si="71"/>
        <v>0</v>
      </c>
      <c r="D626" s="6018">
        <f t="shared" si="72"/>
        <v>1771</v>
      </c>
      <c r="E626" s="6018">
        <f t="shared" si="73"/>
        <v>3547</v>
      </c>
      <c r="F626" s="6019">
        <v>4294</v>
      </c>
      <c r="G626" s="6020">
        <f t="shared" si="69"/>
        <v>0</v>
      </c>
      <c r="H626" s="6018">
        <f t="shared" si="74"/>
        <v>2722</v>
      </c>
      <c r="I626" s="6018">
        <f t="shared" si="70"/>
        <v>4800</v>
      </c>
      <c r="J626" s="6019">
        <v>5547</v>
      </c>
      <c r="K626" s="1732"/>
      <c r="L626" s="6018">
        <v>31075</v>
      </c>
      <c r="W626" s="6018">
        <v>31050</v>
      </c>
      <c r="X626" s="6019">
        <v>31100</v>
      </c>
      <c r="Y626" s="6018">
        <v>0</v>
      </c>
      <c r="Z626" s="6018">
        <v>1771</v>
      </c>
      <c r="AA626" s="6018">
        <v>3547</v>
      </c>
      <c r="AB626" s="6019">
        <v>4294</v>
      </c>
      <c r="AC626" s="6018">
        <v>0</v>
      </c>
      <c r="AD626" s="6018">
        <v>2722</v>
      </c>
      <c r="AE626" s="6018">
        <v>4800</v>
      </c>
      <c r="AF626" s="6019">
        <v>5547</v>
      </c>
    </row>
    <row r="627" spans="1:32" ht="13.5">
      <c r="A627" s="6018">
        <v>31100</v>
      </c>
      <c r="B627" s="6019">
        <v>31150</v>
      </c>
      <c r="C627" s="6020">
        <f t="shared" si="71"/>
        <v>0</v>
      </c>
      <c r="D627" s="6018">
        <f t="shared" si="72"/>
        <v>1763</v>
      </c>
      <c r="E627" s="6018">
        <f t="shared" si="73"/>
        <v>3536</v>
      </c>
      <c r="F627" s="6019">
        <v>4283</v>
      </c>
      <c r="G627" s="6020">
        <f t="shared" si="69"/>
        <v>0</v>
      </c>
      <c r="H627" s="6018">
        <f t="shared" si="74"/>
        <v>2714</v>
      </c>
      <c r="I627" s="6018">
        <f t="shared" si="70"/>
        <v>4789</v>
      </c>
      <c r="J627" s="6019">
        <v>5537</v>
      </c>
      <c r="K627" s="1732"/>
      <c r="L627" s="6018">
        <v>31125</v>
      </c>
      <c r="W627" s="6018">
        <v>31100</v>
      </c>
      <c r="X627" s="6019">
        <v>31150</v>
      </c>
      <c r="Y627" s="6018">
        <v>0</v>
      </c>
      <c r="Z627" s="6018">
        <v>1763</v>
      </c>
      <c r="AA627" s="6018">
        <v>3536</v>
      </c>
      <c r="AB627" s="6019">
        <v>4283</v>
      </c>
      <c r="AC627" s="6018">
        <v>0</v>
      </c>
      <c r="AD627" s="6018">
        <v>2714</v>
      </c>
      <c r="AE627" s="6018">
        <v>4789</v>
      </c>
      <c r="AF627" s="6019">
        <v>5537</v>
      </c>
    </row>
    <row r="628" spans="1:32" ht="13.5">
      <c r="A628" s="6018">
        <v>31150</v>
      </c>
      <c r="B628" s="6019">
        <v>31200</v>
      </c>
      <c r="C628" s="6020">
        <f t="shared" si="71"/>
        <v>0</v>
      </c>
      <c r="D628" s="6018">
        <f t="shared" si="72"/>
        <v>1755</v>
      </c>
      <c r="E628" s="6018">
        <f t="shared" si="73"/>
        <v>3525</v>
      </c>
      <c r="F628" s="6019">
        <v>4273</v>
      </c>
      <c r="G628" s="6020">
        <f t="shared" si="69"/>
        <v>0</v>
      </c>
      <c r="H628" s="6018">
        <f t="shared" si="74"/>
        <v>2706</v>
      </c>
      <c r="I628" s="6018">
        <f t="shared" si="70"/>
        <v>4779</v>
      </c>
      <c r="J628" s="6019">
        <v>5526</v>
      </c>
      <c r="K628" s="1732"/>
      <c r="L628" s="6018">
        <v>31175</v>
      </c>
      <c r="W628" s="6018">
        <v>31150</v>
      </c>
      <c r="X628" s="6019">
        <v>31200</v>
      </c>
      <c r="Y628" s="6018">
        <v>0</v>
      </c>
      <c r="Z628" s="6018">
        <v>1755</v>
      </c>
      <c r="AA628" s="6018">
        <v>3525</v>
      </c>
      <c r="AB628" s="6019">
        <v>4273</v>
      </c>
      <c r="AC628" s="6018">
        <v>0</v>
      </c>
      <c r="AD628" s="6018">
        <v>2706</v>
      </c>
      <c r="AE628" s="6018">
        <v>4779</v>
      </c>
      <c r="AF628" s="6019">
        <v>5526</v>
      </c>
    </row>
    <row r="629" spans="1:32" ht="13.5">
      <c r="A629" s="6018">
        <v>31200</v>
      </c>
      <c r="B629" s="6019">
        <v>31250</v>
      </c>
      <c r="C629" s="6020">
        <f t="shared" si="71"/>
        <v>0</v>
      </c>
      <c r="D629" s="6018">
        <f t="shared" si="72"/>
        <v>1747</v>
      </c>
      <c r="E629" s="6018">
        <f t="shared" si="73"/>
        <v>3515</v>
      </c>
      <c r="F629" s="6019">
        <v>4262</v>
      </c>
      <c r="G629" s="6020">
        <f t="shared" si="69"/>
        <v>0</v>
      </c>
      <c r="H629" s="6018">
        <f t="shared" si="74"/>
        <v>2698</v>
      </c>
      <c r="I629" s="6018">
        <f t="shared" si="70"/>
        <v>4768</v>
      </c>
      <c r="J629" s="6019">
        <v>5515</v>
      </c>
      <c r="K629" s="1732"/>
      <c r="L629" s="6018">
        <v>31225</v>
      </c>
      <c r="W629" s="6018">
        <v>31200</v>
      </c>
      <c r="X629" s="6019">
        <v>31250</v>
      </c>
      <c r="Y629" s="6018">
        <v>0</v>
      </c>
      <c r="Z629" s="6018">
        <v>1747</v>
      </c>
      <c r="AA629" s="6018">
        <v>3515</v>
      </c>
      <c r="AB629" s="6019">
        <v>4262</v>
      </c>
      <c r="AC629" s="6018">
        <v>0</v>
      </c>
      <c r="AD629" s="6018">
        <v>2698</v>
      </c>
      <c r="AE629" s="6018">
        <v>4768</v>
      </c>
      <c r="AF629" s="6019">
        <v>5515</v>
      </c>
    </row>
    <row r="630" spans="1:32" ht="13.5">
      <c r="A630" s="6018">
        <v>31250</v>
      </c>
      <c r="B630" s="6019">
        <v>31300</v>
      </c>
      <c r="C630" s="6020">
        <f t="shared" si="71"/>
        <v>0</v>
      </c>
      <c r="D630" s="6018">
        <f t="shared" si="72"/>
        <v>1739</v>
      </c>
      <c r="E630" s="6018">
        <f t="shared" si="73"/>
        <v>3504</v>
      </c>
      <c r="F630" s="6019">
        <v>4252</v>
      </c>
      <c r="G630" s="6020">
        <f t="shared" si="69"/>
        <v>0</v>
      </c>
      <c r="H630" s="6018">
        <f t="shared" si="74"/>
        <v>2690</v>
      </c>
      <c r="I630" s="6018">
        <f t="shared" si="70"/>
        <v>4757</v>
      </c>
      <c r="J630" s="6019">
        <v>5505</v>
      </c>
      <c r="K630" s="1732"/>
      <c r="L630" s="6018">
        <v>31275</v>
      </c>
      <c r="W630" s="6018">
        <v>31250</v>
      </c>
      <c r="X630" s="6019">
        <v>31300</v>
      </c>
      <c r="Y630" s="6018">
        <v>0</v>
      </c>
      <c r="Z630" s="6018">
        <v>1739</v>
      </c>
      <c r="AA630" s="6018">
        <v>3504</v>
      </c>
      <c r="AB630" s="6019">
        <v>4252</v>
      </c>
      <c r="AC630" s="6018">
        <v>0</v>
      </c>
      <c r="AD630" s="6018">
        <v>2690</v>
      </c>
      <c r="AE630" s="6018">
        <v>4757</v>
      </c>
      <c r="AF630" s="6019">
        <v>5505</v>
      </c>
    </row>
    <row r="631" spans="1:32" ht="13.5">
      <c r="A631" s="6018">
        <v>31300</v>
      </c>
      <c r="B631" s="6019">
        <v>31350</v>
      </c>
      <c r="C631" s="6020">
        <f t="shared" si="71"/>
        <v>0</v>
      </c>
      <c r="D631" s="6018">
        <f t="shared" si="72"/>
        <v>1731</v>
      </c>
      <c r="E631" s="6018">
        <f t="shared" si="73"/>
        <v>3494</v>
      </c>
      <c r="F631" s="6019">
        <v>4241</v>
      </c>
      <c r="G631" s="6020">
        <f t="shared" si="69"/>
        <v>0</v>
      </c>
      <c r="H631" s="6018">
        <f t="shared" si="74"/>
        <v>2682</v>
      </c>
      <c r="I631" s="6018">
        <f t="shared" si="70"/>
        <v>4747</v>
      </c>
      <c r="J631" s="6019">
        <v>5494</v>
      </c>
      <c r="K631" s="1732"/>
      <c r="L631" s="6018">
        <v>31325</v>
      </c>
      <c r="W631" s="6018">
        <v>31300</v>
      </c>
      <c r="X631" s="6019">
        <v>31350</v>
      </c>
      <c r="Y631" s="6018">
        <v>0</v>
      </c>
      <c r="Z631" s="6018">
        <v>1731</v>
      </c>
      <c r="AA631" s="6018">
        <v>3494</v>
      </c>
      <c r="AB631" s="6019">
        <v>4241</v>
      </c>
      <c r="AC631" s="6018">
        <v>0</v>
      </c>
      <c r="AD631" s="6018">
        <v>2682</v>
      </c>
      <c r="AE631" s="6018">
        <v>4747</v>
      </c>
      <c r="AF631" s="6019">
        <v>5494</v>
      </c>
    </row>
    <row r="632" spans="1:32" ht="13.5">
      <c r="A632" s="6018">
        <v>31350</v>
      </c>
      <c r="B632" s="6019">
        <v>31400</v>
      </c>
      <c r="C632" s="6020">
        <f t="shared" si="71"/>
        <v>0</v>
      </c>
      <c r="D632" s="6018">
        <f t="shared" si="72"/>
        <v>1723</v>
      </c>
      <c r="E632" s="6018">
        <f t="shared" si="73"/>
        <v>3483</v>
      </c>
      <c r="F632" s="6019">
        <v>4231</v>
      </c>
      <c r="G632" s="6020">
        <f t="shared" si="69"/>
        <v>0</v>
      </c>
      <c r="H632" s="6018">
        <f t="shared" si="74"/>
        <v>2674</v>
      </c>
      <c r="I632" s="6018">
        <f t="shared" si="70"/>
        <v>4736</v>
      </c>
      <c r="J632" s="6019">
        <v>5484</v>
      </c>
      <c r="K632" s="1732"/>
      <c r="L632" s="6018">
        <v>31375</v>
      </c>
      <c r="W632" s="6018">
        <v>31350</v>
      </c>
      <c r="X632" s="6019">
        <v>31400</v>
      </c>
      <c r="Y632" s="6018">
        <v>0</v>
      </c>
      <c r="Z632" s="6018">
        <v>1723</v>
      </c>
      <c r="AA632" s="6018">
        <v>3483</v>
      </c>
      <c r="AB632" s="6019">
        <v>4231</v>
      </c>
      <c r="AC632" s="6018">
        <v>0</v>
      </c>
      <c r="AD632" s="6018">
        <v>2674</v>
      </c>
      <c r="AE632" s="6018">
        <v>4736</v>
      </c>
      <c r="AF632" s="6019">
        <v>5484</v>
      </c>
    </row>
    <row r="633" spans="1:32" ht="13.5">
      <c r="A633" s="6018">
        <v>31400</v>
      </c>
      <c r="B633" s="6019">
        <v>31450</v>
      </c>
      <c r="C633" s="6020">
        <f t="shared" si="71"/>
        <v>0</v>
      </c>
      <c r="D633" s="6018">
        <f t="shared" si="72"/>
        <v>1715</v>
      </c>
      <c r="E633" s="6018">
        <f t="shared" si="73"/>
        <v>3473</v>
      </c>
      <c r="F633" s="6019">
        <v>4220</v>
      </c>
      <c r="G633" s="6020">
        <f t="shared" si="69"/>
        <v>0</v>
      </c>
      <c r="H633" s="6018">
        <f t="shared" si="74"/>
        <v>2666</v>
      </c>
      <c r="I633" s="6018">
        <f t="shared" si="70"/>
        <v>4726</v>
      </c>
      <c r="J633" s="6019">
        <v>5473</v>
      </c>
      <c r="K633" s="1732"/>
      <c r="L633" s="6018">
        <v>31425</v>
      </c>
      <c r="W633" s="6018">
        <v>31400</v>
      </c>
      <c r="X633" s="6019">
        <v>31450</v>
      </c>
      <c r="Y633" s="6018">
        <v>0</v>
      </c>
      <c r="Z633" s="6018">
        <v>1715</v>
      </c>
      <c r="AA633" s="6018">
        <v>3473</v>
      </c>
      <c r="AB633" s="6019">
        <v>4220</v>
      </c>
      <c r="AC633" s="6018">
        <v>0</v>
      </c>
      <c r="AD633" s="6018">
        <v>2666</v>
      </c>
      <c r="AE633" s="6018">
        <v>4726</v>
      </c>
      <c r="AF633" s="6019">
        <v>5473</v>
      </c>
    </row>
    <row r="634" spans="1:32" ht="13.5">
      <c r="A634" s="6018">
        <v>31450</v>
      </c>
      <c r="B634" s="6019">
        <v>31500</v>
      </c>
      <c r="C634" s="6020">
        <f t="shared" si="71"/>
        <v>0</v>
      </c>
      <c r="D634" s="6018">
        <f t="shared" si="72"/>
        <v>1707</v>
      </c>
      <c r="E634" s="6018">
        <f t="shared" si="73"/>
        <v>3462</v>
      </c>
      <c r="F634" s="6019">
        <v>4210</v>
      </c>
      <c r="G634" s="6020">
        <f t="shared" si="69"/>
        <v>0</v>
      </c>
      <c r="H634" s="6018">
        <f t="shared" si="74"/>
        <v>2658</v>
      </c>
      <c r="I634" s="6018">
        <f t="shared" si="70"/>
        <v>4715</v>
      </c>
      <c r="J634" s="6019">
        <v>5463</v>
      </c>
      <c r="K634" s="1732"/>
      <c r="L634" s="6018">
        <v>31475</v>
      </c>
      <c r="W634" s="6018">
        <v>31450</v>
      </c>
      <c r="X634" s="6019">
        <v>31500</v>
      </c>
      <c r="Y634" s="6018">
        <v>0</v>
      </c>
      <c r="Z634" s="6018">
        <v>1707</v>
      </c>
      <c r="AA634" s="6018">
        <v>3462</v>
      </c>
      <c r="AB634" s="6019">
        <v>4210</v>
      </c>
      <c r="AC634" s="6018">
        <v>0</v>
      </c>
      <c r="AD634" s="6018">
        <v>2658</v>
      </c>
      <c r="AE634" s="6018">
        <v>4715</v>
      </c>
      <c r="AF634" s="6019">
        <v>5463</v>
      </c>
    </row>
    <row r="635" spans="1:32" ht="13.5">
      <c r="A635" s="6018">
        <v>31500</v>
      </c>
      <c r="B635" s="6019">
        <v>31550</v>
      </c>
      <c r="C635" s="6020">
        <f t="shared" si="71"/>
        <v>0</v>
      </c>
      <c r="D635" s="6018">
        <f t="shared" si="72"/>
        <v>1699</v>
      </c>
      <c r="E635" s="6018">
        <f t="shared" si="73"/>
        <v>3452</v>
      </c>
      <c r="F635" s="6019">
        <v>4199</v>
      </c>
      <c r="G635" s="6020">
        <f t="shared" si="69"/>
        <v>0</v>
      </c>
      <c r="H635" s="6018">
        <f t="shared" si="74"/>
        <v>2650</v>
      </c>
      <c r="I635" s="6018">
        <f t="shared" si="70"/>
        <v>4705</v>
      </c>
      <c r="J635" s="6019">
        <v>5452</v>
      </c>
      <c r="K635" s="1732"/>
      <c r="L635" s="6018">
        <v>31525</v>
      </c>
      <c r="W635" s="6018">
        <v>31500</v>
      </c>
      <c r="X635" s="6019">
        <v>31550</v>
      </c>
      <c r="Y635" s="6018">
        <v>0</v>
      </c>
      <c r="Z635" s="6018">
        <v>1699</v>
      </c>
      <c r="AA635" s="6018">
        <v>3452</v>
      </c>
      <c r="AB635" s="6019">
        <v>4199</v>
      </c>
      <c r="AC635" s="6018">
        <v>0</v>
      </c>
      <c r="AD635" s="6018">
        <v>2650</v>
      </c>
      <c r="AE635" s="6018">
        <v>4705</v>
      </c>
      <c r="AF635" s="6019">
        <v>5452</v>
      </c>
    </row>
    <row r="636" spans="1:32" ht="13.5">
      <c r="A636" s="6018">
        <v>31550</v>
      </c>
      <c r="B636" s="6019">
        <v>31600</v>
      </c>
      <c r="C636" s="6020">
        <f t="shared" si="71"/>
        <v>0</v>
      </c>
      <c r="D636" s="6018">
        <f t="shared" si="72"/>
        <v>1691</v>
      </c>
      <c r="E636" s="6018">
        <f t="shared" si="73"/>
        <v>3441</v>
      </c>
      <c r="F636" s="6019">
        <v>4189</v>
      </c>
      <c r="G636" s="6020">
        <f t="shared" si="69"/>
        <v>0</v>
      </c>
      <c r="H636" s="6018">
        <f t="shared" si="74"/>
        <v>2642</v>
      </c>
      <c r="I636" s="6018">
        <f t="shared" si="70"/>
        <v>4694</v>
      </c>
      <c r="J636" s="6019">
        <v>5442</v>
      </c>
      <c r="K636" s="1732"/>
      <c r="L636" s="6018">
        <v>31575</v>
      </c>
      <c r="W636" s="6018">
        <v>31550</v>
      </c>
      <c r="X636" s="6019">
        <v>31600</v>
      </c>
      <c r="Y636" s="6018">
        <v>0</v>
      </c>
      <c r="Z636" s="6018">
        <v>1691</v>
      </c>
      <c r="AA636" s="6018">
        <v>3441</v>
      </c>
      <c r="AB636" s="6019">
        <v>4189</v>
      </c>
      <c r="AC636" s="6018">
        <v>0</v>
      </c>
      <c r="AD636" s="6018">
        <v>2642</v>
      </c>
      <c r="AE636" s="6018">
        <v>4694</v>
      </c>
      <c r="AF636" s="6019">
        <v>5442</v>
      </c>
    </row>
    <row r="637" spans="1:32" ht="13.5">
      <c r="A637" s="6018">
        <v>31600</v>
      </c>
      <c r="B637" s="6019">
        <v>31650</v>
      </c>
      <c r="C637" s="6020">
        <f t="shared" si="71"/>
        <v>0</v>
      </c>
      <c r="D637" s="6018">
        <f t="shared" si="72"/>
        <v>1683</v>
      </c>
      <c r="E637" s="6018">
        <f t="shared" si="73"/>
        <v>3431</v>
      </c>
      <c r="F637" s="6019">
        <v>4178</v>
      </c>
      <c r="G637" s="6020">
        <f t="shared" si="69"/>
        <v>0</v>
      </c>
      <c r="H637" s="6018">
        <f t="shared" si="74"/>
        <v>2634</v>
      </c>
      <c r="I637" s="6018">
        <f t="shared" si="70"/>
        <v>4684</v>
      </c>
      <c r="J637" s="6019">
        <v>5431</v>
      </c>
      <c r="K637" s="1732"/>
      <c r="L637" s="6018">
        <v>31625</v>
      </c>
      <c r="W637" s="6018">
        <v>31600</v>
      </c>
      <c r="X637" s="6019">
        <v>31650</v>
      </c>
      <c r="Y637" s="6018">
        <v>0</v>
      </c>
      <c r="Z637" s="6018">
        <v>1683</v>
      </c>
      <c r="AA637" s="6018">
        <v>3431</v>
      </c>
      <c r="AB637" s="6019">
        <v>4178</v>
      </c>
      <c r="AC637" s="6018">
        <v>0</v>
      </c>
      <c r="AD637" s="6018">
        <v>2634</v>
      </c>
      <c r="AE637" s="6018">
        <v>4684</v>
      </c>
      <c r="AF637" s="6019">
        <v>5431</v>
      </c>
    </row>
    <row r="638" spans="1:32" ht="13.5">
      <c r="A638" s="6018">
        <v>31650</v>
      </c>
      <c r="B638" s="6019">
        <v>31700</v>
      </c>
      <c r="C638" s="6020">
        <f t="shared" si="71"/>
        <v>0</v>
      </c>
      <c r="D638" s="6018">
        <f t="shared" si="72"/>
        <v>1675</v>
      </c>
      <c r="E638" s="6018">
        <f t="shared" si="73"/>
        <v>3420</v>
      </c>
      <c r="F638" s="6019">
        <v>4168</v>
      </c>
      <c r="G638" s="6020">
        <f t="shared" si="69"/>
        <v>0</v>
      </c>
      <c r="H638" s="6018">
        <f t="shared" si="74"/>
        <v>2626</v>
      </c>
      <c r="I638" s="6018">
        <f t="shared" si="70"/>
        <v>4673</v>
      </c>
      <c r="J638" s="6019">
        <v>5421</v>
      </c>
      <c r="K638" s="1732"/>
      <c r="L638" s="6018">
        <v>31675</v>
      </c>
      <c r="W638" s="6018">
        <v>31650</v>
      </c>
      <c r="X638" s="6019">
        <v>31700</v>
      </c>
      <c r="Y638" s="6018">
        <v>0</v>
      </c>
      <c r="Z638" s="6018">
        <v>1675</v>
      </c>
      <c r="AA638" s="6018">
        <v>3420</v>
      </c>
      <c r="AB638" s="6019">
        <v>4168</v>
      </c>
      <c r="AC638" s="6018">
        <v>0</v>
      </c>
      <c r="AD638" s="6018">
        <v>2626</v>
      </c>
      <c r="AE638" s="6018">
        <v>4673</v>
      </c>
      <c r="AF638" s="6019">
        <v>5421</v>
      </c>
    </row>
    <row r="639" spans="1:32" ht="13.5">
      <c r="A639" s="6018">
        <v>31700</v>
      </c>
      <c r="B639" s="6019">
        <v>31750</v>
      </c>
      <c r="C639" s="6020">
        <f t="shared" si="71"/>
        <v>0</v>
      </c>
      <c r="D639" s="6018">
        <f t="shared" si="72"/>
        <v>1667</v>
      </c>
      <c r="E639" s="6018">
        <f t="shared" si="73"/>
        <v>3410</v>
      </c>
      <c r="F639" s="6019">
        <v>4157</v>
      </c>
      <c r="G639" s="6020">
        <f t="shared" si="69"/>
        <v>0</v>
      </c>
      <c r="H639" s="6018">
        <f t="shared" si="74"/>
        <v>2618</v>
      </c>
      <c r="I639" s="6018">
        <f t="shared" si="70"/>
        <v>4663</v>
      </c>
      <c r="J639" s="6019">
        <v>5410</v>
      </c>
      <c r="K639" s="1732"/>
      <c r="L639" s="6018">
        <v>31725</v>
      </c>
      <c r="W639" s="6018">
        <v>31700</v>
      </c>
      <c r="X639" s="6019">
        <v>31750</v>
      </c>
      <c r="Y639" s="6018">
        <v>0</v>
      </c>
      <c r="Z639" s="6018">
        <v>1667</v>
      </c>
      <c r="AA639" s="6018">
        <v>3410</v>
      </c>
      <c r="AB639" s="6019">
        <v>4157</v>
      </c>
      <c r="AC639" s="6018">
        <v>0</v>
      </c>
      <c r="AD639" s="6018">
        <v>2618</v>
      </c>
      <c r="AE639" s="6018">
        <v>4663</v>
      </c>
      <c r="AF639" s="6019">
        <v>5410</v>
      </c>
    </row>
    <row r="640" spans="1:32" ht="13.5">
      <c r="A640" s="6018">
        <v>31750</v>
      </c>
      <c r="B640" s="6019">
        <v>31800</v>
      </c>
      <c r="C640" s="6020">
        <f t="shared" si="71"/>
        <v>0</v>
      </c>
      <c r="D640" s="6018">
        <f t="shared" si="72"/>
        <v>1659</v>
      </c>
      <c r="E640" s="6018">
        <f t="shared" si="73"/>
        <v>3399</v>
      </c>
      <c r="F640" s="6019">
        <v>4147</v>
      </c>
      <c r="G640" s="6020">
        <f t="shared" si="69"/>
        <v>0</v>
      </c>
      <c r="H640" s="6018">
        <f t="shared" si="74"/>
        <v>2610</v>
      </c>
      <c r="I640" s="6018">
        <f t="shared" si="70"/>
        <v>4652</v>
      </c>
      <c r="J640" s="6019">
        <v>5400</v>
      </c>
      <c r="K640" s="1732"/>
      <c r="L640" s="6018">
        <v>31775</v>
      </c>
      <c r="W640" s="6018">
        <v>31750</v>
      </c>
      <c r="X640" s="6019">
        <v>31800</v>
      </c>
      <c r="Y640" s="6018">
        <v>0</v>
      </c>
      <c r="Z640" s="6018">
        <v>1659</v>
      </c>
      <c r="AA640" s="6018">
        <v>3399</v>
      </c>
      <c r="AB640" s="6019">
        <v>4147</v>
      </c>
      <c r="AC640" s="6018">
        <v>0</v>
      </c>
      <c r="AD640" s="6018">
        <v>2610</v>
      </c>
      <c r="AE640" s="6018">
        <v>4652</v>
      </c>
      <c r="AF640" s="6019">
        <v>5400</v>
      </c>
    </row>
    <row r="641" spans="1:32" ht="13.5">
      <c r="A641" s="6018">
        <v>31800</v>
      </c>
      <c r="B641" s="6019">
        <v>31850</v>
      </c>
      <c r="C641" s="6020">
        <f t="shared" si="71"/>
        <v>0</v>
      </c>
      <c r="D641" s="6018">
        <f t="shared" si="72"/>
        <v>1651</v>
      </c>
      <c r="E641" s="6018">
        <f t="shared" si="73"/>
        <v>3389</v>
      </c>
      <c r="F641" s="6019">
        <v>4136</v>
      </c>
      <c r="G641" s="6020">
        <f t="shared" si="69"/>
        <v>0</v>
      </c>
      <c r="H641" s="6018">
        <f t="shared" si="74"/>
        <v>2602</v>
      </c>
      <c r="I641" s="6018">
        <f t="shared" si="70"/>
        <v>4642</v>
      </c>
      <c r="J641" s="6019">
        <v>5389</v>
      </c>
      <c r="K641" s="1732"/>
      <c r="L641" s="6018">
        <v>31825</v>
      </c>
      <c r="W641" s="6018">
        <v>31800</v>
      </c>
      <c r="X641" s="6019">
        <v>31850</v>
      </c>
      <c r="Y641" s="6018">
        <v>0</v>
      </c>
      <c r="Z641" s="6018">
        <v>1651</v>
      </c>
      <c r="AA641" s="6018">
        <v>3389</v>
      </c>
      <c r="AB641" s="6019">
        <v>4136</v>
      </c>
      <c r="AC641" s="6018">
        <v>0</v>
      </c>
      <c r="AD641" s="6018">
        <v>2602</v>
      </c>
      <c r="AE641" s="6018">
        <v>4642</v>
      </c>
      <c r="AF641" s="6019">
        <v>5389</v>
      </c>
    </row>
    <row r="642" spans="1:32" ht="13.5">
      <c r="A642" s="6018">
        <v>31850</v>
      </c>
      <c r="B642" s="6019">
        <v>31900</v>
      </c>
      <c r="C642" s="6020">
        <f t="shared" si="71"/>
        <v>0</v>
      </c>
      <c r="D642" s="6018">
        <f t="shared" si="72"/>
        <v>1643</v>
      </c>
      <c r="E642" s="6018">
        <f t="shared" si="73"/>
        <v>3378</v>
      </c>
      <c r="F642" s="6019">
        <v>4126</v>
      </c>
      <c r="G642" s="6020">
        <f t="shared" si="69"/>
        <v>0</v>
      </c>
      <c r="H642" s="6018">
        <f t="shared" si="74"/>
        <v>2594</v>
      </c>
      <c r="I642" s="6018">
        <f t="shared" si="70"/>
        <v>4631</v>
      </c>
      <c r="J642" s="6019">
        <v>5379</v>
      </c>
      <c r="K642" s="1732"/>
      <c r="L642" s="6018">
        <v>31875</v>
      </c>
      <c r="W642" s="6018">
        <v>31850</v>
      </c>
      <c r="X642" s="6019">
        <v>31900</v>
      </c>
      <c r="Y642" s="6018">
        <v>0</v>
      </c>
      <c r="Z642" s="6018">
        <v>1643</v>
      </c>
      <c r="AA642" s="6018">
        <v>3378</v>
      </c>
      <c r="AB642" s="6019">
        <v>4126</v>
      </c>
      <c r="AC642" s="6018">
        <v>0</v>
      </c>
      <c r="AD642" s="6018">
        <v>2594</v>
      </c>
      <c r="AE642" s="6018">
        <v>4631</v>
      </c>
      <c r="AF642" s="6019">
        <v>5379</v>
      </c>
    </row>
    <row r="643" spans="1:32" ht="13.5">
      <c r="A643" s="6018">
        <v>31900</v>
      </c>
      <c r="B643" s="6019">
        <v>31950</v>
      </c>
      <c r="C643" s="6020">
        <f t="shared" si="71"/>
        <v>0</v>
      </c>
      <c r="D643" s="6018">
        <f t="shared" si="72"/>
        <v>1635</v>
      </c>
      <c r="E643" s="6018">
        <f t="shared" si="73"/>
        <v>3368</v>
      </c>
      <c r="F643" s="6019">
        <v>4115</v>
      </c>
      <c r="G643" s="6020">
        <f t="shared" si="69"/>
        <v>0</v>
      </c>
      <c r="H643" s="6018">
        <f t="shared" si="74"/>
        <v>2586</v>
      </c>
      <c r="I643" s="6018">
        <f t="shared" si="70"/>
        <v>4621</v>
      </c>
      <c r="J643" s="6019">
        <v>5368</v>
      </c>
      <c r="K643" s="1732"/>
      <c r="L643" s="6018">
        <v>31925</v>
      </c>
      <c r="W643" s="6018">
        <v>31900</v>
      </c>
      <c r="X643" s="6019">
        <v>31950</v>
      </c>
      <c r="Y643" s="6018">
        <v>0</v>
      </c>
      <c r="Z643" s="6018">
        <v>1635</v>
      </c>
      <c r="AA643" s="6018">
        <v>3368</v>
      </c>
      <c r="AB643" s="6019">
        <v>4115</v>
      </c>
      <c r="AC643" s="6018">
        <v>0</v>
      </c>
      <c r="AD643" s="6018">
        <v>2586</v>
      </c>
      <c r="AE643" s="6018">
        <v>4621</v>
      </c>
      <c r="AF643" s="6019">
        <v>5368</v>
      </c>
    </row>
    <row r="644" spans="1:32" ht="13.5">
      <c r="A644" s="6018">
        <v>31950</v>
      </c>
      <c r="B644" s="6019">
        <v>32000</v>
      </c>
      <c r="C644" s="6020">
        <f t="shared" si="71"/>
        <v>0</v>
      </c>
      <c r="D644" s="6018">
        <f t="shared" si="72"/>
        <v>1627</v>
      </c>
      <c r="E644" s="6018">
        <f t="shared" si="73"/>
        <v>3357</v>
      </c>
      <c r="F644" s="6019">
        <v>4104</v>
      </c>
      <c r="G644" s="6020">
        <f t="shared" ref="G644:G707" si="75">IF($L644&gt;R$5,MAX(0,R$3+ROUND((R$9*($L644-R$5)),0)),IF($L644&gt;R$4,R$3,ROUND($L644*R$7,0)))</f>
        <v>0</v>
      </c>
      <c r="H644" s="6018">
        <f t="shared" ref="H644:H707" si="76">IF($L644&gt;S$5,MAX(0,S$3+ROUND((S$9*($L644-S$5)),0)),IF($L644&gt;S$4,S$3,ROUND($L644*S$7,0)))</f>
        <v>2578</v>
      </c>
      <c r="I644" s="6018">
        <f t="shared" ref="I644:I707" si="77">IF($L644&gt;T$5,MAX(0,T$3+ROUND((T$9*($L644-T$5)),0)),IF($L644&gt;T$4,T$3,ROUND($L644*T$7,0)))</f>
        <v>4610</v>
      </c>
      <c r="J644" s="6019">
        <v>5358</v>
      </c>
      <c r="K644" s="1732"/>
      <c r="L644" s="6018">
        <v>31975</v>
      </c>
      <c r="W644" s="6018">
        <v>31950</v>
      </c>
      <c r="X644" s="6019">
        <v>32000</v>
      </c>
      <c r="Y644" s="6018">
        <v>0</v>
      </c>
      <c r="Z644" s="6018">
        <v>1627</v>
      </c>
      <c r="AA644" s="6018">
        <v>3357</v>
      </c>
      <c r="AB644" s="6019">
        <v>4104</v>
      </c>
      <c r="AC644" s="6018">
        <v>0</v>
      </c>
      <c r="AD644" s="6018">
        <v>2578</v>
      </c>
      <c r="AE644" s="6018">
        <v>4610</v>
      </c>
      <c r="AF644" s="6019">
        <v>5358</v>
      </c>
    </row>
    <row r="645" spans="1:32" ht="13.5">
      <c r="A645" s="6018">
        <v>32000</v>
      </c>
      <c r="B645" s="6019">
        <v>32050</v>
      </c>
      <c r="C645" s="6020">
        <f t="shared" si="71"/>
        <v>0</v>
      </c>
      <c r="D645" s="6018">
        <f t="shared" si="72"/>
        <v>1619</v>
      </c>
      <c r="E645" s="6018">
        <f t="shared" si="73"/>
        <v>3346</v>
      </c>
      <c r="F645" s="6019">
        <v>4094</v>
      </c>
      <c r="G645" s="6020">
        <f t="shared" si="75"/>
        <v>0</v>
      </c>
      <c r="H645" s="6018">
        <f t="shared" si="76"/>
        <v>2570</v>
      </c>
      <c r="I645" s="6018">
        <f t="shared" si="77"/>
        <v>4600</v>
      </c>
      <c r="J645" s="6019">
        <v>5347</v>
      </c>
      <c r="K645" s="1732"/>
      <c r="L645" s="6018">
        <v>32025</v>
      </c>
      <c r="W645" s="6018">
        <v>32000</v>
      </c>
      <c r="X645" s="6019">
        <v>32050</v>
      </c>
      <c r="Y645" s="6018">
        <v>0</v>
      </c>
      <c r="Z645" s="6018">
        <v>1619</v>
      </c>
      <c r="AA645" s="6018">
        <v>3346</v>
      </c>
      <c r="AB645" s="6019">
        <v>4094</v>
      </c>
      <c r="AC645" s="6018">
        <v>0</v>
      </c>
      <c r="AD645" s="6018">
        <v>2570</v>
      </c>
      <c r="AE645" s="6018">
        <v>4600</v>
      </c>
      <c r="AF645" s="6019">
        <v>5347</v>
      </c>
    </row>
    <row r="646" spans="1:32" ht="13.5">
      <c r="A646" s="6018">
        <v>32050</v>
      </c>
      <c r="B646" s="6019">
        <v>32100</v>
      </c>
      <c r="C646" s="6020">
        <f t="shared" ref="C646:C709" si="78">IF($L646&gt;N$5,MAX(0,N$3+ROUND((N$9*($L646-N$5)),0)),IF($L646&gt;N$4,N$3,ROUND($L646*N$7,0)))</f>
        <v>0</v>
      </c>
      <c r="D646" s="6018">
        <f t="shared" ref="D646:D709" si="79">IF($L646&gt;O$5,MAX(0,O$3+ROUND((O$9*($L646-O$5)),0)),IF($L646&gt;O$4,O$3,ROUND($L646*O$7,0)))</f>
        <v>1611</v>
      </c>
      <c r="E646" s="6018">
        <f t="shared" ref="E646:E709" si="80">IF($L646&gt;P$5,MAX(0,P$3+ROUND((P$9*($L646-P$5)),0)),IF($L646&gt;P$4,P$3,ROUND($L646*P$7,0)))</f>
        <v>3336</v>
      </c>
      <c r="F646" s="6019">
        <v>4083</v>
      </c>
      <c r="G646" s="6020">
        <f t="shared" si="75"/>
        <v>0</v>
      </c>
      <c r="H646" s="6018">
        <f t="shared" si="76"/>
        <v>2562</v>
      </c>
      <c r="I646" s="6018">
        <f t="shared" si="77"/>
        <v>4589</v>
      </c>
      <c r="J646" s="6019">
        <v>5336</v>
      </c>
      <c r="K646" s="1732"/>
      <c r="L646" s="6018">
        <v>32075</v>
      </c>
      <c r="W646" s="6018">
        <v>32050</v>
      </c>
      <c r="X646" s="6019">
        <v>32100</v>
      </c>
      <c r="Y646" s="6018">
        <v>0</v>
      </c>
      <c r="Z646" s="6018">
        <v>1611</v>
      </c>
      <c r="AA646" s="6018">
        <v>3336</v>
      </c>
      <c r="AB646" s="6019">
        <v>4083</v>
      </c>
      <c r="AC646" s="6018">
        <v>0</v>
      </c>
      <c r="AD646" s="6018">
        <v>2562</v>
      </c>
      <c r="AE646" s="6018">
        <v>4589</v>
      </c>
      <c r="AF646" s="6019">
        <v>5336</v>
      </c>
    </row>
    <row r="647" spans="1:32" ht="13.5">
      <c r="A647" s="6018">
        <v>32100</v>
      </c>
      <c r="B647" s="6019">
        <v>32150</v>
      </c>
      <c r="C647" s="6020">
        <f t="shared" si="78"/>
        <v>0</v>
      </c>
      <c r="D647" s="6018">
        <f t="shared" si="79"/>
        <v>1603</v>
      </c>
      <c r="E647" s="6018">
        <f t="shared" si="80"/>
        <v>3325</v>
      </c>
      <c r="F647" s="6019">
        <v>4073</v>
      </c>
      <c r="G647" s="6020">
        <f t="shared" si="75"/>
        <v>0</v>
      </c>
      <c r="H647" s="6018">
        <f t="shared" si="76"/>
        <v>2554</v>
      </c>
      <c r="I647" s="6018">
        <f t="shared" si="77"/>
        <v>4578</v>
      </c>
      <c r="J647" s="6019">
        <v>5326</v>
      </c>
      <c r="K647" s="1732"/>
      <c r="L647" s="6018">
        <v>32125</v>
      </c>
      <c r="W647" s="6018">
        <v>32100</v>
      </c>
      <c r="X647" s="6019">
        <v>32150</v>
      </c>
      <c r="Y647" s="6018">
        <v>0</v>
      </c>
      <c r="Z647" s="6018">
        <v>1603</v>
      </c>
      <c r="AA647" s="6018">
        <v>3325</v>
      </c>
      <c r="AB647" s="6019">
        <v>4073</v>
      </c>
      <c r="AC647" s="6018">
        <v>0</v>
      </c>
      <c r="AD647" s="6018">
        <v>2554</v>
      </c>
      <c r="AE647" s="6018">
        <v>4578</v>
      </c>
      <c r="AF647" s="6019">
        <v>5326</v>
      </c>
    </row>
    <row r="648" spans="1:32" ht="13.5">
      <c r="A648" s="6018">
        <v>32150</v>
      </c>
      <c r="B648" s="6019">
        <v>32200</v>
      </c>
      <c r="C648" s="6020">
        <f t="shared" si="78"/>
        <v>0</v>
      </c>
      <c r="D648" s="6018">
        <f t="shared" si="79"/>
        <v>1595</v>
      </c>
      <c r="E648" s="6018">
        <f t="shared" si="80"/>
        <v>3315</v>
      </c>
      <c r="F648" s="6019">
        <v>4062</v>
      </c>
      <c r="G648" s="6020">
        <f t="shared" si="75"/>
        <v>0</v>
      </c>
      <c r="H648" s="6018">
        <f t="shared" si="76"/>
        <v>2546</v>
      </c>
      <c r="I648" s="6018">
        <f t="shared" si="77"/>
        <v>4568</v>
      </c>
      <c r="J648" s="6019">
        <v>5315</v>
      </c>
      <c r="K648" s="1732"/>
      <c r="L648" s="6018">
        <v>32175</v>
      </c>
      <c r="W648" s="6018">
        <v>32150</v>
      </c>
      <c r="X648" s="6019">
        <v>32200</v>
      </c>
      <c r="Y648" s="6018">
        <v>0</v>
      </c>
      <c r="Z648" s="6018">
        <v>1595</v>
      </c>
      <c r="AA648" s="6018">
        <v>3315</v>
      </c>
      <c r="AB648" s="6019">
        <v>4062</v>
      </c>
      <c r="AC648" s="6018">
        <v>0</v>
      </c>
      <c r="AD648" s="6018">
        <v>2546</v>
      </c>
      <c r="AE648" s="6018">
        <v>4568</v>
      </c>
      <c r="AF648" s="6019">
        <v>5315</v>
      </c>
    </row>
    <row r="649" spans="1:32" ht="13.5">
      <c r="A649" s="6018">
        <v>32200</v>
      </c>
      <c r="B649" s="6019">
        <v>32250</v>
      </c>
      <c r="C649" s="6020">
        <f t="shared" si="78"/>
        <v>0</v>
      </c>
      <c r="D649" s="6018">
        <f t="shared" si="79"/>
        <v>1587</v>
      </c>
      <c r="E649" s="6018">
        <f t="shared" si="80"/>
        <v>3304</v>
      </c>
      <c r="F649" s="6019">
        <v>4052</v>
      </c>
      <c r="G649" s="6020">
        <f t="shared" si="75"/>
        <v>0</v>
      </c>
      <c r="H649" s="6018">
        <f t="shared" si="76"/>
        <v>2538</v>
      </c>
      <c r="I649" s="6018">
        <f t="shared" si="77"/>
        <v>4557</v>
      </c>
      <c r="J649" s="6019">
        <v>5305</v>
      </c>
      <c r="K649" s="1732"/>
      <c r="L649" s="6018">
        <v>32225</v>
      </c>
      <c r="W649" s="6018">
        <v>32200</v>
      </c>
      <c r="X649" s="6019">
        <v>32250</v>
      </c>
      <c r="Y649" s="6018">
        <v>0</v>
      </c>
      <c r="Z649" s="6018">
        <v>1587</v>
      </c>
      <c r="AA649" s="6018">
        <v>3304</v>
      </c>
      <c r="AB649" s="6019">
        <v>4052</v>
      </c>
      <c r="AC649" s="6018">
        <v>0</v>
      </c>
      <c r="AD649" s="6018">
        <v>2538</v>
      </c>
      <c r="AE649" s="6018">
        <v>4557</v>
      </c>
      <c r="AF649" s="6019">
        <v>5305</v>
      </c>
    </row>
    <row r="650" spans="1:32" ht="13.5">
      <c r="A650" s="6018">
        <v>32250</v>
      </c>
      <c r="B650" s="6019">
        <v>32300</v>
      </c>
      <c r="C650" s="6020">
        <f t="shared" si="78"/>
        <v>0</v>
      </c>
      <c r="D650" s="6018">
        <f t="shared" si="79"/>
        <v>1579</v>
      </c>
      <c r="E650" s="6018">
        <f t="shared" si="80"/>
        <v>3294</v>
      </c>
      <c r="F650" s="6019">
        <v>4041</v>
      </c>
      <c r="G650" s="6020">
        <f t="shared" si="75"/>
        <v>0</v>
      </c>
      <c r="H650" s="6018">
        <f t="shared" si="76"/>
        <v>2530</v>
      </c>
      <c r="I650" s="6018">
        <f t="shared" si="77"/>
        <v>4547</v>
      </c>
      <c r="J650" s="6019">
        <v>5294</v>
      </c>
      <c r="K650" s="1732"/>
      <c r="L650" s="6018">
        <v>32275</v>
      </c>
      <c r="W650" s="6018">
        <v>32250</v>
      </c>
      <c r="X650" s="6019">
        <v>32300</v>
      </c>
      <c r="Y650" s="6018">
        <v>0</v>
      </c>
      <c r="Z650" s="6018">
        <v>1579</v>
      </c>
      <c r="AA650" s="6018">
        <v>3294</v>
      </c>
      <c r="AB650" s="6019">
        <v>4041</v>
      </c>
      <c r="AC650" s="6018">
        <v>0</v>
      </c>
      <c r="AD650" s="6018">
        <v>2530</v>
      </c>
      <c r="AE650" s="6018">
        <v>4547</v>
      </c>
      <c r="AF650" s="6019">
        <v>5294</v>
      </c>
    </row>
    <row r="651" spans="1:32" ht="13.5">
      <c r="A651" s="6018">
        <v>32300</v>
      </c>
      <c r="B651" s="6019">
        <v>32350</v>
      </c>
      <c r="C651" s="6020">
        <f t="shared" si="78"/>
        <v>0</v>
      </c>
      <c r="D651" s="6018">
        <v>1571</v>
      </c>
      <c r="E651" s="6018">
        <f t="shared" si="80"/>
        <v>3283</v>
      </c>
      <c r="F651" s="6019">
        <v>4031</v>
      </c>
      <c r="G651" s="6020">
        <f t="shared" si="75"/>
        <v>0</v>
      </c>
      <c r="H651" s="6018">
        <f t="shared" si="76"/>
        <v>2522</v>
      </c>
      <c r="I651" s="6018">
        <f t="shared" si="77"/>
        <v>4536</v>
      </c>
      <c r="J651" s="6019">
        <v>5284</v>
      </c>
      <c r="K651" s="1732"/>
      <c r="L651" s="6018">
        <v>32325</v>
      </c>
      <c r="W651" s="6018">
        <v>32300</v>
      </c>
      <c r="X651" s="6019">
        <v>32350</v>
      </c>
      <c r="Y651" s="6018">
        <v>0</v>
      </c>
      <c r="Z651" s="6018">
        <v>1571</v>
      </c>
      <c r="AA651" s="6018">
        <v>3283</v>
      </c>
      <c r="AB651" s="6019">
        <v>4031</v>
      </c>
      <c r="AC651" s="6018">
        <v>0</v>
      </c>
      <c r="AD651" s="6018">
        <v>2522</v>
      </c>
      <c r="AE651" s="6018">
        <v>4536</v>
      </c>
      <c r="AF651" s="6019">
        <v>5284</v>
      </c>
    </row>
    <row r="652" spans="1:32" ht="13.5">
      <c r="A652" s="6018">
        <v>32350</v>
      </c>
      <c r="B652" s="6019">
        <v>32400</v>
      </c>
      <c r="C652" s="6020">
        <f t="shared" si="78"/>
        <v>0</v>
      </c>
      <c r="D652" s="6018">
        <v>1563</v>
      </c>
      <c r="E652" s="6018">
        <f t="shared" si="80"/>
        <v>3273</v>
      </c>
      <c r="F652" s="6019">
        <v>4020</v>
      </c>
      <c r="G652" s="6020">
        <f t="shared" si="75"/>
        <v>0</v>
      </c>
      <c r="H652" s="6018">
        <f t="shared" si="76"/>
        <v>2514</v>
      </c>
      <c r="I652" s="6018">
        <f t="shared" si="77"/>
        <v>4526</v>
      </c>
      <c r="J652" s="6019">
        <v>5273</v>
      </c>
      <c r="K652" s="1732"/>
      <c r="L652" s="6018">
        <v>32375</v>
      </c>
      <c r="W652" s="6018">
        <v>32350</v>
      </c>
      <c r="X652" s="6019">
        <v>32400</v>
      </c>
      <c r="Y652" s="6018">
        <v>0</v>
      </c>
      <c r="Z652" s="6018">
        <v>1563</v>
      </c>
      <c r="AA652" s="6018">
        <v>3273</v>
      </c>
      <c r="AB652" s="6019">
        <v>4020</v>
      </c>
      <c r="AC652" s="6018">
        <v>0</v>
      </c>
      <c r="AD652" s="6018">
        <v>2514</v>
      </c>
      <c r="AE652" s="6018">
        <v>4526</v>
      </c>
      <c r="AF652" s="6019">
        <v>5273</v>
      </c>
    </row>
    <row r="653" spans="1:32" ht="13.5">
      <c r="A653" s="6018">
        <v>32400</v>
      </c>
      <c r="B653" s="6019">
        <v>32450</v>
      </c>
      <c r="C653" s="6020">
        <f t="shared" si="78"/>
        <v>0</v>
      </c>
      <c r="D653" s="6018">
        <v>1555</v>
      </c>
      <c r="E653" s="6018">
        <f t="shared" si="80"/>
        <v>3262</v>
      </c>
      <c r="F653" s="6019">
        <v>4010</v>
      </c>
      <c r="G653" s="6020">
        <f t="shared" si="75"/>
        <v>0</v>
      </c>
      <c r="H653" s="6018">
        <f t="shared" si="76"/>
        <v>2506</v>
      </c>
      <c r="I653" s="6018">
        <f t="shared" si="77"/>
        <v>4515</v>
      </c>
      <c r="J653" s="6019">
        <v>5263</v>
      </c>
      <c r="K653" s="1732"/>
      <c r="L653" s="6018">
        <v>32425</v>
      </c>
      <c r="W653" s="6018">
        <v>32400</v>
      </c>
      <c r="X653" s="6019">
        <v>32450</v>
      </c>
      <c r="Y653" s="6018">
        <v>0</v>
      </c>
      <c r="Z653" s="6018">
        <v>1555</v>
      </c>
      <c r="AA653" s="6018">
        <v>3262</v>
      </c>
      <c r="AB653" s="6019">
        <v>4010</v>
      </c>
      <c r="AC653" s="6018">
        <v>0</v>
      </c>
      <c r="AD653" s="6018">
        <v>2506</v>
      </c>
      <c r="AE653" s="6018">
        <v>4515</v>
      </c>
      <c r="AF653" s="6019">
        <v>5263</v>
      </c>
    </row>
    <row r="654" spans="1:32" ht="13.5">
      <c r="A654" s="6018">
        <v>32450</v>
      </c>
      <c r="B654" s="6019">
        <v>32500</v>
      </c>
      <c r="C654" s="6020">
        <f t="shared" si="78"/>
        <v>0</v>
      </c>
      <c r="D654" s="6018">
        <v>1547</v>
      </c>
      <c r="E654" s="6018">
        <f t="shared" si="80"/>
        <v>3252</v>
      </c>
      <c r="F654" s="6019">
        <v>3999</v>
      </c>
      <c r="G654" s="6020">
        <f t="shared" si="75"/>
        <v>0</v>
      </c>
      <c r="H654" s="6018">
        <f t="shared" si="76"/>
        <v>2498</v>
      </c>
      <c r="I654" s="6018">
        <f t="shared" si="77"/>
        <v>4505</v>
      </c>
      <c r="J654" s="6019">
        <v>5252</v>
      </c>
      <c r="K654" s="1732"/>
      <c r="L654" s="6018">
        <v>32475</v>
      </c>
      <c r="W654" s="6018">
        <v>32450</v>
      </c>
      <c r="X654" s="6019">
        <v>32500</v>
      </c>
      <c r="Y654" s="6018">
        <v>0</v>
      </c>
      <c r="Z654" s="6018">
        <v>1547</v>
      </c>
      <c r="AA654" s="6018">
        <v>3252</v>
      </c>
      <c r="AB654" s="6019">
        <v>3999</v>
      </c>
      <c r="AC654" s="6018">
        <v>0</v>
      </c>
      <c r="AD654" s="6018">
        <v>2498</v>
      </c>
      <c r="AE654" s="6018">
        <v>4505</v>
      </c>
      <c r="AF654" s="6019">
        <v>5252</v>
      </c>
    </row>
    <row r="655" spans="1:32" ht="13.5">
      <c r="A655" s="6018">
        <v>32500</v>
      </c>
      <c r="B655" s="6019">
        <v>32550</v>
      </c>
      <c r="C655" s="6020">
        <f t="shared" si="78"/>
        <v>0</v>
      </c>
      <c r="D655" s="6018">
        <v>1539</v>
      </c>
      <c r="E655" s="6018">
        <f t="shared" si="80"/>
        <v>3241</v>
      </c>
      <c r="F655" s="6019">
        <v>3989</v>
      </c>
      <c r="G655" s="6020">
        <f t="shared" si="75"/>
        <v>0</v>
      </c>
      <c r="H655" s="6018">
        <f t="shared" si="76"/>
        <v>2490</v>
      </c>
      <c r="I655" s="6018">
        <f t="shared" si="77"/>
        <v>4494</v>
      </c>
      <c r="J655" s="6019">
        <v>5242</v>
      </c>
      <c r="K655" s="1732"/>
      <c r="L655" s="6018">
        <v>32525</v>
      </c>
      <c r="W655" s="6018">
        <v>32500</v>
      </c>
      <c r="X655" s="6019">
        <v>32550</v>
      </c>
      <c r="Y655" s="6018">
        <v>0</v>
      </c>
      <c r="Z655" s="6018">
        <v>1539</v>
      </c>
      <c r="AA655" s="6018">
        <v>3241</v>
      </c>
      <c r="AB655" s="6019">
        <v>3989</v>
      </c>
      <c r="AC655" s="6018">
        <v>0</v>
      </c>
      <c r="AD655" s="6018">
        <v>2490</v>
      </c>
      <c r="AE655" s="6018">
        <v>4494</v>
      </c>
      <c r="AF655" s="6019">
        <v>5242</v>
      </c>
    </row>
    <row r="656" spans="1:32" ht="13.5">
      <c r="A656" s="6018">
        <v>32550</v>
      </c>
      <c r="B656" s="6019">
        <v>32600</v>
      </c>
      <c r="C656" s="6020">
        <f t="shared" si="78"/>
        <v>0</v>
      </c>
      <c r="D656" s="6018">
        <v>1531</v>
      </c>
      <c r="E656" s="6018">
        <f t="shared" si="80"/>
        <v>3231</v>
      </c>
      <c r="F656" s="6019">
        <v>3978</v>
      </c>
      <c r="G656" s="6020">
        <f t="shared" si="75"/>
        <v>0</v>
      </c>
      <c r="H656" s="6018">
        <f t="shared" si="76"/>
        <v>2482</v>
      </c>
      <c r="I656" s="6018">
        <f t="shared" si="77"/>
        <v>4484</v>
      </c>
      <c r="J656" s="6019">
        <v>5231</v>
      </c>
      <c r="K656" s="1732"/>
      <c r="L656" s="6018">
        <v>32575</v>
      </c>
      <c r="W656" s="6018">
        <v>32550</v>
      </c>
      <c r="X656" s="6019">
        <v>32600</v>
      </c>
      <c r="Y656" s="6018">
        <v>0</v>
      </c>
      <c r="Z656" s="6018">
        <v>1531</v>
      </c>
      <c r="AA656" s="6018">
        <v>3231</v>
      </c>
      <c r="AB656" s="6019">
        <v>3978</v>
      </c>
      <c r="AC656" s="6018">
        <v>0</v>
      </c>
      <c r="AD656" s="6018">
        <v>2482</v>
      </c>
      <c r="AE656" s="6018">
        <v>4484</v>
      </c>
      <c r="AF656" s="6019">
        <v>5231</v>
      </c>
    </row>
    <row r="657" spans="1:32" ht="13.5">
      <c r="A657" s="6018">
        <v>32600</v>
      </c>
      <c r="B657" s="6019">
        <v>32650</v>
      </c>
      <c r="C657" s="6020">
        <f t="shared" si="78"/>
        <v>0</v>
      </c>
      <c r="D657" s="6018">
        <v>1523</v>
      </c>
      <c r="E657" s="6018">
        <f t="shared" si="80"/>
        <v>3220</v>
      </c>
      <c r="F657" s="6019">
        <v>3968</v>
      </c>
      <c r="G657" s="6020">
        <f t="shared" si="75"/>
        <v>0</v>
      </c>
      <c r="H657" s="6018">
        <f t="shared" si="76"/>
        <v>2474</v>
      </c>
      <c r="I657" s="6018">
        <f t="shared" si="77"/>
        <v>4473</v>
      </c>
      <c r="J657" s="6019">
        <v>5221</v>
      </c>
      <c r="K657" s="1732"/>
      <c r="L657" s="6018">
        <v>32625</v>
      </c>
      <c r="W657" s="6018">
        <v>32600</v>
      </c>
      <c r="X657" s="6019">
        <v>32650</v>
      </c>
      <c r="Y657" s="6018">
        <v>0</v>
      </c>
      <c r="Z657" s="6018">
        <v>1523</v>
      </c>
      <c r="AA657" s="6018">
        <v>3220</v>
      </c>
      <c r="AB657" s="6019">
        <v>3968</v>
      </c>
      <c r="AC657" s="6018">
        <v>0</v>
      </c>
      <c r="AD657" s="6018">
        <v>2474</v>
      </c>
      <c r="AE657" s="6018">
        <v>4473</v>
      </c>
      <c r="AF657" s="6019">
        <v>5221</v>
      </c>
    </row>
    <row r="658" spans="1:32" ht="13.5">
      <c r="A658" s="6018">
        <v>32650</v>
      </c>
      <c r="B658" s="6019">
        <v>32700</v>
      </c>
      <c r="C658" s="6020">
        <f t="shared" si="78"/>
        <v>0</v>
      </c>
      <c r="D658" s="6018">
        <v>1515</v>
      </c>
      <c r="E658" s="6018">
        <f t="shared" si="80"/>
        <v>3210</v>
      </c>
      <c r="F658" s="6019">
        <v>3957</v>
      </c>
      <c r="G658" s="6020">
        <f t="shared" si="75"/>
        <v>0</v>
      </c>
      <c r="H658" s="6018">
        <f t="shared" si="76"/>
        <v>2466</v>
      </c>
      <c r="I658" s="6018">
        <f t="shared" si="77"/>
        <v>4463</v>
      </c>
      <c r="J658" s="6019">
        <v>5210</v>
      </c>
      <c r="K658" s="1732"/>
      <c r="L658" s="6018">
        <v>32675</v>
      </c>
      <c r="W658" s="6018">
        <v>32650</v>
      </c>
      <c r="X658" s="6019">
        <v>32700</v>
      </c>
      <c r="Y658" s="6018">
        <v>0</v>
      </c>
      <c r="Z658" s="6018">
        <v>1515</v>
      </c>
      <c r="AA658" s="6018">
        <v>3210</v>
      </c>
      <c r="AB658" s="6019">
        <v>3957</v>
      </c>
      <c r="AC658" s="6018">
        <v>0</v>
      </c>
      <c r="AD658" s="6018">
        <v>2466</v>
      </c>
      <c r="AE658" s="6018">
        <v>4463</v>
      </c>
      <c r="AF658" s="6019">
        <v>5210</v>
      </c>
    </row>
    <row r="659" spans="1:32" ht="13.5">
      <c r="A659" s="6018">
        <v>32700</v>
      </c>
      <c r="B659" s="6019">
        <v>32750</v>
      </c>
      <c r="C659" s="6020">
        <f t="shared" si="78"/>
        <v>0</v>
      </c>
      <c r="D659" s="6018">
        <v>1507</v>
      </c>
      <c r="E659" s="6018">
        <f t="shared" si="80"/>
        <v>3199</v>
      </c>
      <c r="F659" s="6019">
        <v>3947</v>
      </c>
      <c r="G659" s="6020">
        <f t="shared" si="75"/>
        <v>0</v>
      </c>
      <c r="H659" s="6018">
        <v>2458</v>
      </c>
      <c r="I659" s="6018">
        <f t="shared" si="77"/>
        <v>4452</v>
      </c>
      <c r="J659" s="6019">
        <v>5200</v>
      </c>
      <c r="K659" s="1732"/>
      <c r="L659" s="6018">
        <v>32725</v>
      </c>
      <c r="W659" s="6018">
        <v>32700</v>
      </c>
      <c r="X659" s="6019">
        <v>32750</v>
      </c>
      <c r="Y659" s="6018">
        <v>0</v>
      </c>
      <c r="Z659" s="6018">
        <v>1507</v>
      </c>
      <c r="AA659" s="6018">
        <v>3199</v>
      </c>
      <c r="AB659" s="6019">
        <v>3947</v>
      </c>
      <c r="AC659" s="6018">
        <v>0</v>
      </c>
      <c r="AD659" s="6018">
        <v>2458</v>
      </c>
      <c r="AE659" s="6018">
        <v>4452</v>
      </c>
      <c r="AF659" s="6019">
        <v>5200</v>
      </c>
    </row>
    <row r="660" spans="1:32" ht="13.5">
      <c r="A660" s="6018">
        <v>32750</v>
      </c>
      <c r="B660" s="6019">
        <v>32800</v>
      </c>
      <c r="C660" s="6020">
        <f t="shared" si="78"/>
        <v>0</v>
      </c>
      <c r="D660" s="6018">
        <v>1499</v>
      </c>
      <c r="E660" s="6018">
        <f t="shared" si="80"/>
        <v>3188</v>
      </c>
      <c r="F660" s="6019">
        <v>3936</v>
      </c>
      <c r="G660" s="6020">
        <f t="shared" si="75"/>
        <v>0</v>
      </c>
      <c r="H660" s="6018">
        <v>2450</v>
      </c>
      <c r="I660" s="6018">
        <f t="shared" si="77"/>
        <v>4442</v>
      </c>
      <c r="J660" s="6019">
        <v>5189</v>
      </c>
      <c r="K660" s="1732"/>
      <c r="L660" s="6018">
        <v>32775</v>
      </c>
      <c r="W660" s="6018">
        <v>32750</v>
      </c>
      <c r="X660" s="6019">
        <v>32800</v>
      </c>
      <c r="Y660" s="6018">
        <v>0</v>
      </c>
      <c r="Z660" s="6018">
        <v>1499</v>
      </c>
      <c r="AA660" s="6018">
        <v>3188</v>
      </c>
      <c r="AB660" s="6019">
        <v>3936</v>
      </c>
      <c r="AC660" s="6018">
        <v>0</v>
      </c>
      <c r="AD660" s="6018">
        <v>2450</v>
      </c>
      <c r="AE660" s="6018">
        <v>4442</v>
      </c>
      <c r="AF660" s="6019">
        <v>5189</v>
      </c>
    </row>
    <row r="661" spans="1:32" ht="13.5">
      <c r="A661" s="6018">
        <v>32800</v>
      </c>
      <c r="B661" s="6019">
        <v>32850</v>
      </c>
      <c r="C661" s="6020">
        <f t="shared" si="78"/>
        <v>0</v>
      </c>
      <c r="D661" s="6018">
        <v>1491</v>
      </c>
      <c r="E661" s="6018">
        <f t="shared" si="80"/>
        <v>3178</v>
      </c>
      <c r="F661" s="6019">
        <v>3925</v>
      </c>
      <c r="G661" s="6020">
        <f t="shared" si="75"/>
        <v>0</v>
      </c>
      <c r="H661" s="6018">
        <v>2442</v>
      </c>
      <c r="I661" s="6018">
        <f t="shared" si="77"/>
        <v>4431</v>
      </c>
      <c r="J661" s="6019">
        <v>5179</v>
      </c>
      <c r="K661" s="1732"/>
      <c r="L661" s="6018">
        <v>32825</v>
      </c>
      <c r="W661" s="6018">
        <v>32800</v>
      </c>
      <c r="X661" s="6019">
        <v>32850</v>
      </c>
      <c r="Y661" s="6018">
        <v>0</v>
      </c>
      <c r="Z661" s="6018">
        <v>1491</v>
      </c>
      <c r="AA661" s="6018">
        <v>3178</v>
      </c>
      <c r="AB661" s="6019">
        <v>3925</v>
      </c>
      <c r="AC661" s="6018">
        <v>0</v>
      </c>
      <c r="AD661" s="6018">
        <v>2442</v>
      </c>
      <c r="AE661" s="6018">
        <v>4431</v>
      </c>
      <c r="AF661" s="6019">
        <v>5179</v>
      </c>
    </row>
    <row r="662" spans="1:32" ht="13.5">
      <c r="A662" s="6018">
        <v>32850</v>
      </c>
      <c r="B662" s="6019">
        <v>32900</v>
      </c>
      <c r="C662" s="6020">
        <f t="shared" si="78"/>
        <v>0</v>
      </c>
      <c r="D662" s="6018">
        <v>1483</v>
      </c>
      <c r="E662" s="6018">
        <f t="shared" si="80"/>
        <v>3167</v>
      </c>
      <c r="F662" s="6019">
        <v>3915</v>
      </c>
      <c r="G662" s="6020">
        <f t="shared" si="75"/>
        <v>0</v>
      </c>
      <c r="H662" s="6018">
        <v>2434</v>
      </c>
      <c r="I662" s="6018">
        <f t="shared" si="77"/>
        <v>4421</v>
      </c>
      <c r="J662" s="6019">
        <v>5168</v>
      </c>
      <c r="K662" s="1732"/>
      <c r="L662" s="6018">
        <v>32875</v>
      </c>
      <c r="W662" s="6018">
        <v>32850</v>
      </c>
      <c r="X662" s="6019">
        <v>32900</v>
      </c>
      <c r="Y662" s="6018">
        <v>0</v>
      </c>
      <c r="Z662" s="6018">
        <v>1483</v>
      </c>
      <c r="AA662" s="6018">
        <v>3167</v>
      </c>
      <c r="AB662" s="6019">
        <v>3915</v>
      </c>
      <c r="AC662" s="6018">
        <v>0</v>
      </c>
      <c r="AD662" s="6018">
        <v>2434</v>
      </c>
      <c r="AE662" s="6018">
        <v>4421</v>
      </c>
      <c r="AF662" s="6019">
        <v>5168</v>
      </c>
    </row>
    <row r="663" spans="1:32" ht="13.5">
      <c r="A663" s="6018">
        <v>32900</v>
      </c>
      <c r="B663" s="6019">
        <v>32950</v>
      </c>
      <c r="C663" s="6020">
        <f t="shared" si="78"/>
        <v>0</v>
      </c>
      <c r="D663" s="6018">
        <v>1475</v>
      </c>
      <c r="E663" s="6018">
        <f t="shared" si="80"/>
        <v>3157</v>
      </c>
      <c r="F663" s="6019">
        <v>3904</v>
      </c>
      <c r="G663" s="6020">
        <f t="shared" si="75"/>
        <v>0</v>
      </c>
      <c r="H663" s="6018">
        <v>2426</v>
      </c>
      <c r="I663" s="6018">
        <f t="shared" si="77"/>
        <v>4410</v>
      </c>
      <c r="J663" s="6019">
        <v>5157</v>
      </c>
      <c r="K663" s="1732"/>
      <c r="L663" s="6018">
        <v>32925</v>
      </c>
      <c r="W663" s="6018">
        <v>32900</v>
      </c>
      <c r="X663" s="6019">
        <v>32950</v>
      </c>
      <c r="Y663" s="6018">
        <v>0</v>
      </c>
      <c r="Z663" s="6018">
        <v>1475</v>
      </c>
      <c r="AA663" s="6018">
        <v>3157</v>
      </c>
      <c r="AB663" s="6019">
        <v>3904</v>
      </c>
      <c r="AC663" s="6018">
        <v>0</v>
      </c>
      <c r="AD663" s="6018">
        <v>2426</v>
      </c>
      <c r="AE663" s="6018">
        <v>4410</v>
      </c>
      <c r="AF663" s="6019">
        <v>5157</v>
      </c>
    </row>
    <row r="664" spans="1:32" ht="13.5">
      <c r="A664" s="6018">
        <v>32950</v>
      </c>
      <c r="B664" s="6019">
        <v>33000</v>
      </c>
      <c r="C664" s="6020">
        <f t="shared" si="78"/>
        <v>0</v>
      </c>
      <c r="D664" s="6018">
        <v>1467</v>
      </c>
      <c r="E664" s="6018">
        <f t="shared" si="80"/>
        <v>3146</v>
      </c>
      <c r="F664" s="6019">
        <v>3894</v>
      </c>
      <c r="G664" s="6020">
        <f t="shared" si="75"/>
        <v>0</v>
      </c>
      <c r="H664" s="6018">
        <v>2418</v>
      </c>
      <c r="I664" s="6018">
        <f t="shared" si="77"/>
        <v>4399</v>
      </c>
      <c r="J664" s="6019">
        <v>5147</v>
      </c>
      <c r="K664" s="1732"/>
      <c r="L664" s="6018">
        <v>32975</v>
      </c>
      <c r="W664" s="6018">
        <v>32950</v>
      </c>
      <c r="X664" s="6019">
        <v>33000</v>
      </c>
      <c r="Y664" s="6018">
        <v>0</v>
      </c>
      <c r="Z664" s="6018">
        <v>1467</v>
      </c>
      <c r="AA664" s="6018">
        <v>3146</v>
      </c>
      <c r="AB664" s="6019">
        <v>3894</v>
      </c>
      <c r="AC664" s="6018">
        <v>0</v>
      </c>
      <c r="AD664" s="6018">
        <v>2418</v>
      </c>
      <c r="AE664" s="6018">
        <v>4399</v>
      </c>
      <c r="AF664" s="6019">
        <v>5147</v>
      </c>
    </row>
    <row r="665" spans="1:32" ht="13.5">
      <c r="A665" s="6018">
        <v>33000</v>
      </c>
      <c r="B665" s="6019">
        <v>33050</v>
      </c>
      <c r="C665" s="6020">
        <f t="shared" si="78"/>
        <v>0</v>
      </c>
      <c r="D665" s="6018">
        <f t="shared" si="79"/>
        <v>1460</v>
      </c>
      <c r="E665" s="6018">
        <f t="shared" si="80"/>
        <v>3136</v>
      </c>
      <c r="F665" s="6019">
        <v>3883</v>
      </c>
      <c r="G665" s="6020">
        <f t="shared" si="75"/>
        <v>0</v>
      </c>
      <c r="H665" s="6018">
        <v>2410</v>
      </c>
      <c r="I665" s="6018">
        <f t="shared" si="77"/>
        <v>4389</v>
      </c>
      <c r="J665" s="6019">
        <v>5136</v>
      </c>
      <c r="K665" s="1732"/>
      <c r="L665" s="6018">
        <v>33025</v>
      </c>
      <c r="W665" s="6018">
        <v>33000</v>
      </c>
      <c r="X665" s="6019">
        <v>33050</v>
      </c>
      <c r="Y665" s="6018">
        <v>0</v>
      </c>
      <c r="Z665" s="6018">
        <v>1460</v>
      </c>
      <c r="AA665" s="6018">
        <v>3136</v>
      </c>
      <c r="AB665" s="6019">
        <v>3883</v>
      </c>
      <c r="AC665" s="6018">
        <v>0</v>
      </c>
      <c r="AD665" s="6018">
        <v>2410</v>
      </c>
      <c r="AE665" s="6018">
        <v>4389</v>
      </c>
      <c r="AF665" s="6019">
        <v>5136</v>
      </c>
    </row>
    <row r="666" spans="1:32" ht="13.5">
      <c r="A666" s="6018">
        <v>33050</v>
      </c>
      <c r="B666" s="6019">
        <v>33100</v>
      </c>
      <c r="C666" s="6020">
        <f t="shared" si="78"/>
        <v>0</v>
      </c>
      <c r="D666" s="6018">
        <f t="shared" si="79"/>
        <v>1452</v>
      </c>
      <c r="E666" s="6018">
        <f t="shared" si="80"/>
        <v>3125</v>
      </c>
      <c r="F666" s="6019">
        <v>3873</v>
      </c>
      <c r="G666" s="6020">
        <f t="shared" si="75"/>
        <v>0</v>
      </c>
      <c r="H666" s="6018">
        <v>2402</v>
      </c>
      <c r="I666" s="6018">
        <f t="shared" si="77"/>
        <v>4378</v>
      </c>
      <c r="J666" s="6019">
        <v>5126</v>
      </c>
      <c r="K666" s="1732"/>
      <c r="L666" s="6018">
        <v>33075</v>
      </c>
      <c r="W666" s="6018">
        <v>33050</v>
      </c>
      <c r="X666" s="6019">
        <v>33100</v>
      </c>
      <c r="Y666" s="6018">
        <v>0</v>
      </c>
      <c r="Z666" s="6018">
        <v>1452</v>
      </c>
      <c r="AA666" s="6018">
        <v>3125</v>
      </c>
      <c r="AB666" s="6019">
        <v>3873</v>
      </c>
      <c r="AC666" s="6018">
        <v>0</v>
      </c>
      <c r="AD666" s="6018">
        <v>2402</v>
      </c>
      <c r="AE666" s="6018">
        <v>4378</v>
      </c>
      <c r="AF666" s="6019">
        <v>5126</v>
      </c>
    </row>
    <row r="667" spans="1:32" ht="13.5">
      <c r="A667" s="6018">
        <v>33100</v>
      </c>
      <c r="B667" s="6019">
        <v>33150</v>
      </c>
      <c r="C667" s="6020">
        <f t="shared" si="78"/>
        <v>0</v>
      </c>
      <c r="D667" s="6018">
        <f t="shared" si="79"/>
        <v>1444</v>
      </c>
      <c r="E667" s="6018">
        <f t="shared" si="80"/>
        <v>3115</v>
      </c>
      <c r="F667" s="6019">
        <v>3862</v>
      </c>
      <c r="G667" s="6020">
        <f t="shared" si="75"/>
        <v>0</v>
      </c>
      <c r="H667" s="6018">
        <v>2394</v>
      </c>
      <c r="I667" s="6018">
        <f t="shared" si="77"/>
        <v>4368</v>
      </c>
      <c r="J667" s="6019">
        <v>5115</v>
      </c>
      <c r="K667" s="1732"/>
      <c r="L667" s="6018">
        <v>33125</v>
      </c>
      <c r="W667" s="6018">
        <v>33100</v>
      </c>
      <c r="X667" s="6019">
        <v>33150</v>
      </c>
      <c r="Y667" s="6018">
        <v>0</v>
      </c>
      <c r="Z667" s="6018">
        <v>1444</v>
      </c>
      <c r="AA667" s="6018">
        <v>3115</v>
      </c>
      <c r="AB667" s="6019">
        <v>3862</v>
      </c>
      <c r="AC667" s="6018">
        <v>0</v>
      </c>
      <c r="AD667" s="6018">
        <v>2394</v>
      </c>
      <c r="AE667" s="6018">
        <v>4368</v>
      </c>
      <c r="AF667" s="6019">
        <v>5115</v>
      </c>
    </row>
    <row r="668" spans="1:32" ht="13.5">
      <c r="A668" s="6018">
        <v>33150</v>
      </c>
      <c r="B668" s="6019">
        <v>33200</v>
      </c>
      <c r="C668" s="6020">
        <f t="shared" si="78"/>
        <v>0</v>
      </c>
      <c r="D668" s="6018">
        <f t="shared" si="79"/>
        <v>1436</v>
      </c>
      <c r="E668" s="6018">
        <f t="shared" si="80"/>
        <v>3104</v>
      </c>
      <c r="F668" s="6019">
        <v>3852</v>
      </c>
      <c r="G668" s="6020">
        <f t="shared" si="75"/>
        <v>0</v>
      </c>
      <c r="H668" s="6018">
        <v>2386</v>
      </c>
      <c r="I668" s="6018">
        <f t="shared" si="77"/>
        <v>4357</v>
      </c>
      <c r="J668" s="6019">
        <v>5105</v>
      </c>
      <c r="K668" s="1732"/>
      <c r="L668" s="6018">
        <v>33175</v>
      </c>
      <c r="W668" s="6018">
        <v>33150</v>
      </c>
      <c r="X668" s="6019">
        <v>33200</v>
      </c>
      <c r="Y668" s="6018">
        <v>0</v>
      </c>
      <c r="Z668" s="6018">
        <v>1436</v>
      </c>
      <c r="AA668" s="6018">
        <v>3104</v>
      </c>
      <c r="AB668" s="6019">
        <v>3852</v>
      </c>
      <c r="AC668" s="6018">
        <v>0</v>
      </c>
      <c r="AD668" s="6018">
        <v>2386</v>
      </c>
      <c r="AE668" s="6018">
        <v>4357</v>
      </c>
      <c r="AF668" s="6019">
        <v>5105</v>
      </c>
    </row>
    <row r="669" spans="1:32" ht="13.5">
      <c r="A669" s="6018">
        <v>33200</v>
      </c>
      <c r="B669" s="6019">
        <v>33250</v>
      </c>
      <c r="C669" s="6020">
        <f t="shared" si="78"/>
        <v>0</v>
      </c>
      <c r="D669" s="6018">
        <f t="shared" si="79"/>
        <v>1428</v>
      </c>
      <c r="E669" s="6018">
        <f t="shared" si="80"/>
        <v>3094</v>
      </c>
      <c r="F669" s="6019">
        <v>3841</v>
      </c>
      <c r="G669" s="6020">
        <f t="shared" si="75"/>
        <v>0</v>
      </c>
      <c r="H669" s="6018">
        <v>2378</v>
      </c>
      <c r="I669" s="6018">
        <f t="shared" si="77"/>
        <v>4347</v>
      </c>
      <c r="J669" s="6019">
        <v>5094</v>
      </c>
      <c r="K669" s="1732"/>
      <c r="L669" s="6018">
        <v>33225</v>
      </c>
      <c r="W669" s="6018">
        <v>33200</v>
      </c>
      <c r="X669" s="6019">
        <v>33250</v>
      </c>
      <c r="Y669" s="6018">
        <v>0</v>
      </c>
      <c r="Z669" s="6018">
        <v>1428</v>
      </c>
      <c r="AA669" s="6018">
        <v>3094</v>
      </c>
      <c r="AB669" s="6019">
        <v>3841</v>
      </c>
      <c r="AC669" s="6018">
        <v>0</v>
      </c>
      <c r="AD669" s="6018">
        <v>2378</v>
      </c>
      <c r="AE669" s="6018">
        <v>4347</v>
      </c>
      <c r="AF669" s="6019">
        <v>5094</v>
      </c>
    </row>
    <row r="670" spans="1:32" ht="13.5">
      <c r="A670" s="6018">
        <v>33250</v>
      </c>
      <c r="B670" s="6019">
        <v>33300</v>
      </c>
      <c r="C670" s="6020">
        <f t="shared" si="78"/>
        <v>0</v>
      </c>
      <c r="D670" s="6018">
        <f t="shared" si="79"/>
        <v>1420</v>
      </c>
      <c r="E670" s="6018">
        <f t="shared" si="80"/>
        <v>3083</v>
      </c>
      <c r="F670" s="6019">
        <v>3831</v>
      </c>
      <c r="G670" s="6020">
        <f t="shared" si="75"/>
        <v>0</v>
      </c>
      <c r="H670" s="6018">
        <v>2370</v>
      </c>
      <c r="I670" s="6018">
        <f t="shared" si="77"/>
        <v>4336</v>
      </c>
      <c r="J670" s="6019">
        <v>5084</v>
      </c>
      <c r="K670" s="1732"/>
      <c r="L670" s="6018">
        <v>33275</v>
      </c>
      <c r="W670" s="6018">
        <v>33250</v>
      </c>
      <c r="X670" s="6019">
        <v>33300</v>
      </c>
      <c r="Y670" s="6018">
        <v>0</v>
      </c>
      <c r="Z670" s="6018">
        <v>1420</v>
      </c>
      <c r="AA670" s="6018">
        <v>3083</v>
      </c>
      <c r="AB670" s="6019">
        <v>3831</v>
      </c>
      <c r="AC670" s="6018">
        <v>0</v>
      </c>
      <c r="AD670" s="6018">
        <v>2370</v>
      </c>
      <c r="AE670" s="6018">
        <v>4336</v>
      </c>
      <c r="AF670" s="6019">
        <v>5084</v>
      </c>
    </row>
    <row r="671" spans="1:32" ht="13.5">
      <c r="A671" s="6018">
        <v>33300</v>
      </c>
      <c r="B671" s="6019">
        <v>33350</v>
      </c>
      <c r="C671" s="6020">
        <f t="shared" si="78"/>
        <v>0</v>
      </c>
      <c r="D671" s="6018">
        <f t="shared" si="79"/>
        <v>1412</v>
      </c>
      <c r="E671" s="6018">
        <f t="shared" si="80"/>
        <v>3073</v>
      </c>
      <c r="F671" s="6019">
        <v>3820</v>
      </c>
      <c r="G671" s="6020">
        <f t="shared" si="75"/>
        <v>0</v>
      </c>
      <c r="H671" s="6018">
        <v>2362</v>
      </c>
      <c r="I671" s="6018">
        <f t="shared" si="77"/>
        <v>4326</v>
      </c>
      <c r="J671" s="6019">
        <v>5073</v>
      </c>
      <c r="K671" s="1732"/>
      <c r="L671" s="6018">
        <v>33325</v>
      </c>
      <c r="W671" s="6018">
        <v>33300</v>
      </c>
      <c r="X671" s="6019">
        <v>33350</v>
      </c>
      <c r="Y671" s="6018">
        <v>0</v>
      </c>
      <c r="Z671" s="6018">
        <v>1412</v>
      </c>
      <c r="AA671" s="6018">
        <v>3073</v>
      </c>
      <c r="AB671" s="6019">
        <v>3820</v>
      </c>
      <c r="AC671" s="6018">
        <v>0</v>
      </c>
      <c r="AD671" s="6018">
        <v>2362</v>
      </c>
      <c r="AE671" s="6018">
        <v>4326</v>
      </c>
      <c r="AF671" s="6019">
        <v>5073</v>
      </c>
    </row>
    <row r="672" spans="1:32" ht="13.5">
      <c r="A672" s="6018">
        <v>33350</v>
      </c>
      <c r="B672" s="6019">
        <v>33400</v>
      </c>
      <c r="C672" s="6020">
        <f t="shared" si="78"/>
        <v>0</v>
      </c>
      <c r="D672" s="6018">
        <f t="shared" si="79"/>
        <v>1404</v>
      </c>
      <c r="E672" s="6018">
        <f t="shared" si="80"/>
        <v>3062</v>
      </c>
      <c r="F672" s="6019">
        <v>3810</v>
      </c>
      <c r="G672" s="6020">
        <f t="shared" si="75"/>
        <v>0</v>
      </c>
      <c r="H672" s="6018">
        <v>2354</v>
      </c>
      <c r="I672" s="6018">
        <f t="shared" si="77"/>
        <v>4315</v>
      </c>
      <c r="J672" s="6019">
        <v>5063</v>
      </c>
      <c r="K672" s="1732"/>
      <c r="L672" s="6018">
        <v>33375</v>
      </c>
      <c r="W672" s="6018">
        <v>33350</v>
      </c>
      <c r="X672" s="6019">
        <v>33400</v>
      </c>
      <c r="Y672" s="6018">
        <v>0</v>
      </c>
      <c r="Z672" s="6018">
        <v>1404</v>
      </c>
      <c r="AA672" s="6018">
        <v>3062</v>
      </c>
      <c r="AB672" s="6019">
        <v>3810</v>
      </c>
      <c r="AC672" s="6018">
        <v>0</v>
      </c>
      <c r="AD672" s="6018">
        <v>2354</v>
      </c>
      <c r="AE672" s="6018">
        <v>4315</v>
      </c>
      <c r="AF672" s="6019">
        <v>5063</v>
      </c>
    </row>
    <row r="673" spans="1:32" ht="13.5">
      <c r="A673" s="6018">
        <v>33400</v>
      </c>
      <c r="B673" s="6019">
        <v>33450</v>
      </c>
      <c r="C673" s="6020">
        <f t="shared" si="78"/>
        <v>0</v>
      </c>
      <c r="D673" s="6018">
        <f t="shared" si="79"/>
        <v>1396</v>
      </c>
      <c r="E673" s="6018">
        <f t="shared" si="80"/>
        <v>3052</v>
      </c>
      <c r="F673" s="6019">
        <v>3799</v>
      </c>
      <c r="G673" s="6020">
        <f t="shared" si="75"/>
        <v>0</v>
      </c>
      <c r="H673" s="6018">
        <v>2346</v>
      </c>
      <c r="I673" s="6018">
        <f t="shared" si="77"/>
        <v>4305</v>
      </c>
      <c r="J673" s="6019">
        <v>5052</v>
      </c>
      <c r="K673" s="1732"/>
      <c r="L673" s="6018">
        <v>33425</v>
      </c>
      <c r="W673" s="6018">
        <v>33400</v>
      </c>
      <c r="X673" s="6019">
        <v>33450</v>
      </c>
      <c r="Y673" s="6018">
        <v>0</v>
      </c>
      <c r="Z673" s="6018">
        <v>1396</v>
      </c>
      <c r="AA673" s="6018">
        <v>3052</v>
      </c>
      <c r="AB673" s="6019">
        <v>3799</v>
      </c>
      <c r="AC673" s="6018">
        <v>0</v>
      </c>
      <c r="AD673" s="6018">
        <v>2346</v>
      </c>
      <c r="AE673" s="6018">
        <v>4305</v>
      </c>
      <c r="AF673" s="6019">
        <v>5052</v>
      </c>
    </row>
    <row r="674" spans="1:32" ht="13.5">
      <c r="A674" s="6018">
        <v>33450</v>
      </c>
      <c r="B674" s="6019">
        <v>33500</v>
      </c>
      <c r="C674" s="6020">
        <f t="shared" si="78"/>
        <v>0</v>
      </c>
      <c r="D674" s="6018">
        <f t="shared" si="79"/>
        <v>1388</v>
      </c>
      <c r="E674" s="6018">
        <f t="shared" si="80"/>
        <v>3041</v>
      </c>
      <c r="F674" s="6019">
        <v>3789</v>
      </c>
      <c r="G674" s="6020">
        <f t="shared" si="75"/>
        <v>0</v>
      </c>
      <c r="H674" s="6018">
        <v>2338</v>
      </c>
      <c r="I674" s="6018">
        <f t="shared" si="77"/>
        <v>4294</v>
      </c>
      <c r="J674" s="6019">
        <v>5042</v>
      </c>
      <c r="K674" s="1732"/>
      <c r="L674" s="6018">
        <v>33475</v>
      </c>
      <c r="W674" s="6018">
        <v>33450</v>
      </c>
      <c r="X674" s="6019">
        <v>33500</v>
      </c>
      <c r="Y674" s="6018">
        <v>0</v>
      </c>
      <c r="Z674" s="6018">
        <v>1388</v>
      </c>
      <c r="AA674" s="6018">
        <v>3041</v>
      </c>
      <c r="AB674" s="6019">
        <v>3789</v>
      </c>
      <c r="AC674" s="6018">
        <v>0</v>
      </c>
      <c r="AD674" s="6018">
        <v>2338</v>
      </c>
      <c r="AE674" s="6018">
        <v>4294</v>
      </c>
      <c r="AF674" s="6019">
        <v>5042</v>
      </c>
    </row>
    <row r="675" spans="1:32" ht="13.5">
      <c r="A675" s="6018">
        <v>33500</v>
      </c>
      <c r="B675" s="6019">
        <v>33550</v>
      </c>
      <c r="C675" s="6020">
        <f t="shared" si="78"/>
        <v>0</v>
      </c>
      <c r="D675" s="6018">
        <f t="shared" si="79"/>
        <v>1380</v>
      </c>
      <c r="E675" s="6018">
        <f t="shared" si="80"/>
        <v>3031</v>
      </c>
      <c r="F675" s="6019">
        <v>3778</v>
      </c>
      <c r="G675" s="6020">
        <f t="shared" si="75"/>
        <v>0</v>
      </c>
      <c r="H675" s="6018">
        <v>2330</v>
      </c>
      <c r="I675" s="6018">
        <f t="shared" si="77"/>
        <v>4284</v>
      </c>
      <c r="J675" s="6019">
        <v>5031</v>
      </c>
      <c r="K675" s="1732"/>
      <c r="L675" s="6018">
        <v>33525</v>
      </c>
      <c r="W675" s="6018">
        <v>33500</v>
      </c>
      <c r="X675" s="6019">
        <v>33550</v>
      </c>
      <c r="Y675" s="6018">
        <v>0</v>
      </c>
      <c r="Z675" s="6018">
        <v>1380</v>
      </c>
      <c r="AA675" s="6018">
        <v>3031</v>
      </c>
      <c r="AB675" s="6019">
        <v>3778</v>
      </c>
      <c r="AC675" s="6018">
        <v>0</v>
      </c>
      <c r="AD675" s="6018">
        <v>2330</v>
      </c>
      <c r="AE675" s="6018">
        <v>4284</v>
      </c>
      <c r="AF675" s="6019">
        <v>5031</v>
      </c>
    </row>
    <row r="676" spans="1:32" ht="13.5">
      <c r="A676" s="6018">
        <v>33550</v>
      </c>
      <c r="B676" s="6019">
        <v>33600</v>
      </c>
      <c r="C676" s="6020">
        <f t="shared" si="78"/>
        <v>0</v>
      </c>
      <c r="D676" s="6018">
        <f t="shared" si="79"/>
        <v>1372</v>
      </c>
      <c r="E676" s="6018">
        <f t="shared" si="80"/>
        <v>3020</v>
      </c>
      <c r="F676" s="6019">
        <v>3768</v>
      </c>
      <c r="G676" s="6020">
        <f t="shared" si="75"/>
        <v>0</v>
      </c>
      <c r="H676" s="6018">
        <v>2322</v>
      </c>
      <c r="I676" s="6018">
        <f t="shared" si="77"/>
        <v>4273</v>
      </c>
      <c r="J676" s="6019">
        <v>5021</v>
      </c>
      <c r="K676" s="1732"/>
      <c r="L676" s="6018">
        <v>33575</v>
      </c>
      <c r="W676" s="6018">
        <v>33550</v>
      </c>
      <c r="X676" s="6019">
        <v>33600</v>
      </c>
      <c r="Y676" s="6018">
        <v>0</v>
      </c>
      <c r="Z676" s="6018">
        <v>1372</v>
      </c>
      <c r="AA676" s="6018">
        <v>3020</v>
      </c>
      <c r="AB676" s="6019">
        <v>3768</v>
      </c>
      <c r="AC676" s="6018">
        <v>0</v>
      </c>
      <c r="AD676" s="6018">
        <v>2322</v>
      </c>
      <c r="AE676" s="6018">
        <v>4273</v>
      </c>
      <c r="AF676" s="6019">
        <v>5021</v>
      </c>
    </row>
    <row r="677" spans="1:32" ht="13.5">
      <c r="A677" s="6018">
        <v>33600</v>
      </c>
      <c r="B677" s="6019">
        <v>33650</v>
      </c>
      <c r="C677" s="6020">
        <f t="shared" si="78"/>
        <v>0</v>
      </c>
      <c r="D677" s="6018">
        <f t="shared" si="79"/>
        <v>1364</v>
      </c>
      <c r="E677" s="6018">
        <f t="shared" si="80"/>
        <v>3009</v>
      </c>
      <c r="F677" s="6019">
        <v>3757</v>
      </c>
      <c r="G677" s="6020">
        <f t="shared" si="75"/>
        <v>0</v>
      </c>
      <c r="H677" s="6018">
        <v>2314</v>
      </c>
      <c r="I677" s="6018">
        <f t="shared" si="77"/>
        <v>4263</v>
      </c>
      <c r="J677" s="6019">
        <v>5010</v>
      </c>
      <c r="K677" s="1732"/>
      <c r="L677" s="6018">
        <v>33625</v>
      </c>
      <c r="W677" s="6018">
        <v>33600</v>
      </c>
      <c r="X677" s="6019">
        <v>33650</v>
      </c>
      <c r="Y677" s="6018">
        <v>0</v>
      </c>
      <c r="Z677" s="6018">
        <v>1364</v>
      </c>
      <c r="AA677" s="6018">
        <v>3009</v>
      </c>
      <c r="AB677" s="6019">
        <v>3757</v>
      </c>
      <c r="AC677" s="6018">
        <v>0</v>
      </c>
      <c r="AD677" s="6018">
        <v>2314</v>
      </c>
      <c r="AE677" s="6018">
        <v>4263</v>
      </c>
      <c r="AF677" s="6019">
        <v>5010</v>
      </c>
    </row>
    <row r="678" spans="1:32" ht="13.5">
      <c r="A678" s="6018">
        <v>33650</v>
      </c>
      <c r="B678" s="6019">
        <v>33700</v>
      </c>
      <c r="C678" s="6020">
        <f t="shared" si="78"/>
        <v>0</v>
      </c>
      <c r="D678" s="6018">
        <f t="shared" si="79"/>
        <v>1356</v>
      </c>
      <c r="E678" s="6018">
        <f t="shared" si="80"/>
        <v>2999</v>
      </c>
      <c r="F678" s="6019">
        <v>3746</v>
      </c>
      <c r="G678" s="6020">
        <f t="shared" si="75"/>
        <v>0</v>
      </c>
      <c r="H678" s="6018">
        <v>2306</v>
      </c>
      <c r="I678" s="6018">
        <f t="shared" si="77"/>
        <v>4252</v>
      </c>
      <c r="J678" s="6019">
        <v>5000</v>
      </c>
      <c r="K678" s="1732"/>
      <c r="L678" s="6018">
        <v>33675</v>
      </c>
      <c r="W678" s="6018">
        <v>33650</v>
      </c>
      <c r="X678" s="6019">
        <v>33700</v>
      </c>
      <c r="Y678" s="6018">
        <v>0</v>
      </c>
      <c r="Z678" s="6018">
        <v>1356</v>
      </c>
      <c r="AA678" s="6018">
        <v>2999</v>
      </c>
      <c r="AB678" s="6019">
        <v>3746</v>
      </c>
      <c r="AC678" s="6018">
        <v>0</v>
      </c>
      <c r="AD678" s="6018">
        <v>2306</v>
      </c>
      <c r="AE678" s="6018">
        <v>4252</v>
      </c>
      <c r="AF678" s="6019">
        <v>5000</v>
      </c>
    </row>
    <row r="679" spans="1:32" ht="13.5">
      <c r="A679" s="6018">
        <v>33700</v>
      </c>
      <c r="B679" s="6019">
        <v>33750</v>
      </c>
      <c r="C679" s="6020">
        <f t="shared" si="78"/>
        <v>0</v>
      </c>
      <c r="D679" s="6018">
        <f t="shared" si="79"/>
        <v>1348</v>
      </c>
      <c r="E679" s="6018">
        <f t="shared" si="80"/>
        <v>2988</v>
      </c>
      <c r="F679" s="6019">
        <v>3736</v>
      </c>
      <c r="G679" s="6020">
        <f t="shared" si="75"/>
        <v>0</v>
      </c>
      <c r="H679" s="6018">
        <v>2298</v>
      </c>
      <c r="I679" s="6018">
        <f t="shared" si="77"/>
        <v>4241</v>
      </c>
      <c r="J679" s="6019">
        <v>4989</v>
      </c>
      <c r="K679" s="1732"/>
      <c r="L679" s="6018">
        <v>33725</v>
      </c>
      <c r="W679" s="6018">
        <v>33700</v>
      </c>
      <c r="X679" s="6019">
        <v>33750</v>
      </c>
      <c r="Y679" s="6018">
        <v>0</v>
      </c>
      <c r="Z679" s="6018">
        <v>1348</v>
      </c>
      <c r="AA679" s="6018">
        <v>2988</v>
      </c>
      <c r="AB679" s="6019">
        <v>3736</v>
      </c>
      <c r="AC679" s="6018">
        <v>0</v>
      </c>
      <c r="AD679" s="6018">
        <v>2298</v>
      </c>
      <c r="AE679" s="6018">
        <v>4241</v>
      </c>
      <c r="AF679" s="6019">
        <v>4989</v>
      </c>
    </row>
    <row r="680" spans="1:32" ht="13.5">
      <c r="A680" s="6018">
        <v>33750</v>
      </c>
      <c r="B680" s="6019">
        <v>33800</v>
      </c>
      <c r="C680" s="6020">
        <f t="shared" si="78"/>
        <v>0</v>
      </c>
      <c r="D680" s="6018">
        <f t="shared" si="79"/>
        <v>1340</v>
      </c>
      <c r="E680" s="6018">
        <f t="shared" si="80"/>
        <v>2978</v>
      </c>
      <c r="F680" s="6019">
        <v>3725</v>
      </c>
      <c r="G680" s="6020">
        <f t="shared" si="75"/>
        <v>0</v>
      </c>
      <c r="H680" s="6018">
        <v>2290</v>
      </c>
      <c r="I680" s="6018">
        <f t="shared" si="77"/>
        <v>4231</v>
      </c>
      <c r="J680" s="6019">
        <v>4978</v>
      </c>
      <c r="K680" s="1732"/>
      <c r="L680" s="6018">
        <v>33775</v>
      </c>
      <c r="W680" s="6018">
        <v>33750</v>
      </c>
      <c r="X680" s="6019">
        <v>33800</v>
      </c>
      <c r="Y680" s="6018">
        <v>0</v>
      </c>
      <c r="Z680" s="6018">
        <v>1340</v>
      </c>
      <c r="AA680" s="6018">
        <v>2978</v>
      </c>
      <c r="AB680" s="6019">
        <v>3725</v>
      </c>
      <c r="AC680" s="6018">
        <v>0</v>
      </c>
      <c r="AD680" s="6018">
        <v>2290</v>
      </c>
      <c r="AE680" s="6018">
        <v>4231</v>
      </c>
      <c r="AF680" s="6019">
        <v>4978</v>
      </c>
    </row>
    <row r="681" spans="1:32" ht="13.5">
      <c r="A681" s="6018">
        <v>33800</v>
      </c>
      <c r="B681" s="6019">
        <v>33850</v>
      </c>
      <c r="C681" s="6020">
        <f t="shared" si="78"/>
        <v>0</v>
      </c>
      <c r="D681" s="6018">
        <f t="shared" si="79"/>
        <v>1332</v>
      </c>
      <c r="E681" s="6018">
        <f t="shared" si="80"/>
        <v>2967</v>
      </c>
      <c r="F681" s="6019">
        <v>3715</v>
      </c>
      <c r="G681" s="6020">
        <f t="shared" si="75"/>
        <v>0</v>
      </c>
      <c r="H681" s="6018">
        <v>2282</v>
      </c>
      <c r="I681" s="6018">
        <f t="shared" si="77"/>
        <v>4220</v>
      </c>
      <c r="J681" s="6019">
        <v>4968</v>
      </c>
      <c r="K681" s="1732"/>
      <c r="L681" s="6018">
        <v>33825</v>
      </c>
      <c r="W681" s="6018">
        <v>33800</v>
      </c>
      <c r="X681" s="6019">
        <v>33850</v>
      </c>
      <c r="Y681" s="6018">
        <v>0</v>
      </c>
      <c r="Z681" s="6018">
        <v>1332</v>
      </c>
      <c r="AA681" s="6018">
        <v>2967</v>
      </c>
      <c r="AB681" s="6019">
        <v>3715</v>
      </c>
      <c r="AC681" s="6018">
        <v>0</v>
      </c>
      <c r="AD681" s="6018">
        <v>2282</v>
      </c>
      <c r="AE681" s="6018">
        <v>4220</v>
      </c>
      <c r="AF681" s="6019">
        <v>4968</v>
      </c>
    </row>
    <row r="682" spans="1:32" ht="13.5">
      <c r="A682" s="6018">
        <v>33850</v>
      </c>
      <c r="B682" s="6019">
        <v>33900</v>
      </c>
      <c r="C682" s="6020">
        <f t="shared" si="78"/>
        <v>0</v>
      </c>
      <c r="D682" s="6018">
        <f t="shared" si="79"/>
        <v>1324</v>
      </c>
      <c r="E682" s="6018">
        <f t="shared" si="80"/>
        <v>2957</v>
      </c>
      <c r="F682" s="6019">
        <v>3704</v>
      </c>
      <c r="G682" s="6020">
        <f t="shared" si="75"/>
        <v>0</v>
      </c>
      <c r="H682" s="6018">
        <v>2274</v>
      </c>
      <c r="I682" s="6018">
        <f t="shared" si="77"/>
        <v>4210</v>
      </c>
      <c r="J682" s="6019">
        <v>4957</v>
      </c>
      <c r="K682" s="1732"/>
      <c r="L682" s="6018">
        <v>33875</v>
      </c>
      <c r="W682" s="6018">
        <v>33850</v>
      </c>
      <c r="X682" s="6019">
        <v>33900</v>
      </c>
      <c r="Y682" s="6018">
        <v>0</v>
      </c>
      <c r="Z682" s="6018">
        <v>1324</v>
      </c>
      <c r="AA682" s="6018">
        <v>2957</v>
      </c>
      <c r="AB682" s="6019">
        <v>3704</v>
      </c>
      <c r="AC682" s="6018">
        <v>0</v>
      </c>
      <c r="AD682" s="6018">
        <v>2274</v>
      </c>
      <c r="AE682" s="6018">
        <v>4210</v>
      </c>
      <c r="AF682" s="6019">
        <v>4957</v>
      </c>
    </row>
    <row r="683" spans="1:32" ht="13.5">
      <c r="A683" s="6018">
        <v>33900</v>
      </c>
      <c r="B683" s="6019">
        <v>33950</v>
      </c>
      <c r="C683" s="6020">
        <f t="shared" si="78"/>
        <v>0</v>
      </c>
      <c r="D683" s="6018">
        <f t="shared" si="79"/>
        <v>1316</v>
      </c>
      <c r="E683" s="6018">
        <f t="shared" si="80"/>
        <v>2946</v>
      </c>
      <c r="F683" s="6019">
        <v>3694</v>
      </c>
      <c r="G683" s="6020">
        <f t="shared" si="75"/>
        <v>0</v>
      </c>
      <c r="H683" s="6018">
        <v>2266</v>
      </c>
      <c r="I683" s="6018">
        <f t="shared" si="77"/>
        <v>4199</v>
      </c>
      <c r="J683" s="6019">
        <v>4947</v>
      </c>
      <c r="K683" s="1732"/>
      <c r="L683" s="6018">
        <v>33925</v>
      </c>
      <c r="W683" s="6018">
        <v>33900</v>
      </c>
      <c r="X683" s="6019">
        <v>33950</v>
      </c>
      <c r="Y683" s="6018">
        <v>0</v>
      </c>
      <c r="Z683" s="6018">
        <v>1316</v>
      </c>
      <c r="AA683" s="6018">
        <v>2946</v>
      </c>
      <c r="AB683" s="6019">
        <v>3694</v>
      </c>
      <c r="AC683" s="6018">
        <v>0</v>
      </c>
      <c r="AD683" s="6018">
        <v>2266</v>
      </c>
      <c r="AE683" s="6018">
        <v>4199</v>
      </c>
      <c r="AF683" s="6019">
        <v>4947</v>
      </c>
    </row>
    <row r="684" spans="1:32" ht="13.5">
      <c r="A684" s="6018">
        <v>33950</v>
      </c>
      <c r="B684" s="6019">
        <v>34000</v>
      </c>
      <c r="C684" s="6020">
        <f t="shared" si="78"/>
        <v>0</v>
      </c>
      <c r="D684" s="6018">
        <f t="shared" si="79"/>
        <v>1308</v>
      </c>
      <c r="E684" s="6018">
        <f t="shared" si="80"/>
        <v>2936</v>
      </c>
      <c r="F684" s="6019">
        <v>3683</v>
      </c>
      <c r="G684" s="6020">
        <f t="shared" si="75"/>
        <v>0</v>
      </c>
      <c r="H684" s="6018">
        <f t="shared" si="76"/>
        <v>2259</v>
      </c>
      <c r="I684" s="6018">
        <f t="shared" si="77"/>
        <v>4189</v>
      </c>
      <c r="J684" s="6019">
        <v>4936</v>
      </c>
      <c r="K684" s="1732"/>
      <c r="L684" s="6018">
        <v>33975</v>
      </c>
      <c r="W684" s="6018">
        <v>33950</v>
      </c>
      <c r="X684" s="6019">
        <v>34000</v>
      </c>
      <c r="Y684" s="6018">
        <v>0</v>
      </c>
      <c r="Z684" s="6018">
        <v>1308</v>
      </c>
      <c r="AA684" s="6018">
        <v>2936</v>
      </c>
      <c r="AB684" s="6019">
        <v>3683</v>
      </c>
      <c r="AC684" s="6018">
        <v>0</v>
      </c>
      <c r="AD684" s="6018">
        <v>2259</v>
      </c>
      <c r="AE684" s="6018">
        <v>4189</v>
      </c>
      <c r="AF684" s="6019">
        <v>4936</v>
      </c>
    </row>
    <row r="685" spans="1:32" ht="13.5">
      <c r="A685" s="6018">
        <v>34000</v>
      </c>
      <c r="B685" s="6019">
        <v>34050</v>
      </c>
      <c r="C685" s="6020">
        <f t="shared" si="78"/>
        <v>0</v>
      </c>
      <c r="D685" s="6018">
        <f t="shared" si="79"/>
        <v>1300</v>
      </c>
      <c r="E685" s="6018">
        <f t="shared" si="80"/>
        <v>2925</v>
      </c>
      <c r="F685" s="6019">
        <v>3673</v>
      </c>
      <c r="G685" s="6020">
        <f t="shared" si="75"/>
        <v>0</v>
      </c>
      <c r="H685" s="6018">
        <f t="shared" si="76"/>
        <v>2251</v>
      </c>
      <c r="I685" s="6018">
        <f t="shared" si="77"/>
        <v>4178</v>
      </c>
      <c r="J685" s="6019">
        <v>4926</v>
      </c>
      <c r="K685" s="1732"/>
      <c r="L685" s="6018">
        <v>34025</v>
      </c>
      <c r="W685" s="6018">
        <v>34000</v>
      </c>
      <c r="X685" s="6019">
        <v>34050</v>
      </c>
      <c r="Y685" s="6018">
        <v>0</v>
      </c>
      <c r="Z685" s="6018">
        <v>1300</v>
      </c>
      <c r="AA685" s="6018">
        <v>2925</v>
      </c>
      <c r="AB685" s="6019">
        <v>3673</v>
      </c>
      <c r="AC685" s="6018">
        <v>0</v>
      </c>
      <c r="AD685" s="6018">
        <v>2251</v>
      </c>
      <c r="AE685" s="6018">
        <v>4178</v>
      </c>
      <c r="AF685" s="6019">
        <v>4926</v>
      </c>
    </row>
    <row r="686" spans="1:32" ht="13.5">
      <c r="A686" s="6018">
        <v>34050</v>
      </c>
      <c r="B686" s="6019">
        <v>34100</v>
      </c>
      <c r="C686" s="6020">
        <f t="shared" si="78"/>
        <v>0</v>
      </c>
      <c r="D686" s="6018">
        <f t="shared" si="79"/>
        <v>1292</v>
      </c>
      <c r="E686" s="6018">
        <f t="shared" si="80"/>
        <v>2915</v>
      </c>
      <c r="F686" s="6019">
        <v>3662</v>
      </c>
      <c r="G686" s="6020">
        <f t="shared" si="75"/>
        <v>0</v>
      </c>
      <c r="H686" s="6018">
        <f t="shared" si="76"/>
        <v>2243</v>
      </c>
      <c r="I686" s="6018">
        <f t="shared" si="77"/>
        <v>4168</v>
      </c>
      <c r="J686" s="6019">
        <v>4915</v>
      </c>
      <c r="K686" s="1732"/>
      <c r="L686" s="6018">
        <v>34075</v>
      </c>
      <c r="W686" s="6018">
        <v>34050</v>
      </c>
      <c r="X686" s="6019">
        <v>34100</v>
      </c>
      <c r="Y686" s="6018">
        <v>0</v>
      </c>
      <c r="Z686" s="6018">
        <v>1292</v>
      </c>
      <c r="AA686" s="6018">
        <v>2915</v>
      </c>
      <c r="AB686" s="6019">
        <v>3662</v>
      </c>
      <c r="AC686" s="6018">
        <v>0</v>
      </c>
      <c r="AD686" s="6018">
        <v>2243</v>
      </c>
      <c r="AE686" s="6018">
        <v>4168</v>
      </c>
      <c r="AF686" s="6019">
        <v>4915</v>
      </c>
    </row>
    <row r="687" spans="1:32" ht="13.5">
      <c r="A687" s="6018">
        <v>34100</v>
      </c>
      <c r="B687" s="6019">
        <v>34150</v>
      </c>
      <c r="C687" s="6020">
        <f t="shared" si="78"/>
        <v>0</v>
      </c>
      <c r="D687" s="6018">
        <f t="shared" si="79"/>
        <v>1284</v>
      </c>
      <c r="E687" s="6018">
        <f t="shared" si="80"/>
        <v>2904</v>
      </c>
      <c r="F687" s="6019">
        <v>3652</v>
      </c>
      <c r="G687" s="6020">
        <f t="shared" si="75"/>
        <v>0</v>
      </c>
      <c r="H687" s="6018">
        <f t="shared" si="76"/>
        <v>2235</v>
      </c>
      <c r="I687" s="6018">
        <f t="shared" si="77"/>
        <v>4157</v>
      </c>
      <c r="J687" s="6019">
        <v>4905</v>
      </c>
      <c r="K687" s="1732"/>
      <c r="L687" s="6018">
        <v>34125</v>
      </c>
      <c r="W687" s="6018">
        <v>34100</v>
      </c>
      <c r="X687" s="6019">
        <v>34150</v>
      </c>
      <c r="Y687" s="6018">
        <v>0</v>
      </c>
      <c r="Z687" s="6018">
        <v>1284</v>
      </c>
      <c r="AA687" s="6018">
        <v>2904</v>
      </c>
      <c r="AB687" s="6019">
        <v>3652</v>
      </c>
      <c r="AC687" s="6018">
        <v>0</v>
      </c>
      <c r="AD687" s="6018">
        <v>2235</v>
      </c>
      <c r="AE687" s="6018">
        <v>4157</v>
      </c>
      <c r="AF687" s="6019">
        <v>4905</v>
      </c>
    </row>
    <row r="688" spans="1:32" ht="13.5">
      <c r="A688" s="6018">
        <v>34150</v>
      </c>
      <c r="B688" s="6019">
        <v>34200</v>
      </c>
      <c r="C688" s="6020">
        <f t="shared" si="78"/>
        <v>0</v>
      </c>
      <c r="D688" s="6018">
        <f t="shared" si="79"/>
        <v>1276</v>
      </c>
      <c r="E688" s="6018">
        <f t="shared" si="80"/>
        <v>2894</v>
      </c>
      <c r="F688" s="6019">
        <v>3641</v>
      </c>
      <c r="G688" s="6020">
        <f t="shared" si="75"/>
        <v>0</v>
      </c>
      <c r="H688" s="6018">
        <f t="shared" si="76"/>
        <v>2227</v>
      </c>
      <c r="I688" s="6018">
        <f t="shared" si="77"/>
        <v>4147</v>
      </c>
      <c r="J688" s="6019">
        <v>4894</v>
      </c>
      <c r="K688" s="1732"/>
      <c r="L688" s="6018">
        <v>34175</v>
      </c>
      <c r="W688" s="6018">
        <v>34150</v>
      </c>
      <c r="X688" s="6019">
        <v>34200</v>
      </c>
      <c r="Y688" s="6018">
        <v>0</v>
      </c>
      <c r="Z688" s="6018">
        <v>1276</v>
      </c>
      <c r="AA688" s="6018">
        <v>2894</v>
      </c>
      <c r="AB688" s="6019">
        <v>3641</v>
      </c>
      <c r="AC688" s="6018">
        <v>0</v>
      </c>
      <c r="AD688" s="6018">
        <v>2227</v>
      </c>
      <c r="AE688" s="6018">
        <v>4147</v>
      </c>
      <c r="AF688" s="6019">
        <v>4894</v>
      </c>
    </row>
    <row r="689" spans="1:32" ht="13.5">
      <c r="A689" s="6018">
        <v>34200</v>
      </c>
      <c r="B689" s="6019">
        <v>34250</v>
      </c>
      <c r="C689" s="6020">
        <f t="shared" si="78"/>
        <v>0</v>
      </c>
      <c r="D689" s="6018">
        <f t="shared" si="79"/>
        <v>1268</v>
      </c>
      <c r="E689" s="6018">
        <f t="shared" si="80"/>
        <v>2883</v>
      </c>
      <c r="F689" s="6019">
        <v>3631</v>
      </c>
      <c r="G689" s="6020">
        <f t="shared" si="75"/>
        <v>0</v>
      </c>
      <c r="H689" s="6018">
        <f t="shared" si="76"/>
        <v>2219</v>
      </c>
      <c r="I689" s="6018">
        <f t="shared" si="77"/>
        <v>4136</v>
      </c>
      <c r="J689" s="6019">
        <v>4884</v>
      </c>
      <c r="K689" s="1732"/>
      <c r="L689" s="6018">
        <v>34225</v>
      </c>
      <c r="W689" s="6018">
        <v>34200</v>
      </c>
      <c r="X689" s="6019">
        <v>34250</v>
      </c>
      <c r="Y689" s="6018">
        <v>0</v>
      </c>
      <c r="Z689" s="6018">
        <v>1268</v>
      </c>
      <c r="AA689" s="6018">
        <v>2883</v>
      </c>
      <c r="AB689" s="6019">
        <v>3631</v>
      </c>
      <c r="AC689" s="6018">
        <v>0</v>
      </c>
      <c r="AD689" s="6018">
        <v>2219</v>
      </c>
      <c r="AE689" s="6018">
        <v>4136</v>
      </c>
      <c r="AF689" s="6019">
        <v>4884</v>
      </c>
    </row>
    <row r="690" spans="1:32" ht="13.5">
      <c r="A690" s="6018">
        <v>34250</v>
      </c>
      <c r="B690" s="6019">
        <v>34300</v>
      </c>
      <c r="C690" s="6020">
        <f t="shared" si="78"/>
        <v>0</v>
      </c>
      <c r="D690" s="6018">
        <f t="shared" si="79"/>
        <v>1260</v>
      </c>
      <c r="E690" s="6018">
        <f t="shared" si="80"/>
        <v>2873</v>
      </c>
      <c r="F690" s="6019">
        <v>3620</v>
      </c>
      <c r="G690" s="6020">
        <f t="shared" si="75"/>
        <v>0</v>
      </c>
      <c r="H690" s="6018">
        <f t="shared" si="76"/>
        <v>2211</v>
      </c>
      <c r="I690" s="6018">
        <f t="shared" si="77"/>
        <v>4126</v>
      </c>
      <c r="J690" s="6019">
        <v>4873</v>
      </c>
      <c r="K690" s="1732"/>
      <c r="L690" s="6018">
        <v>34275</v>
      </c>
      <c r="W690" s="6018">
        <v>34250</v>
      </c>
      <c r="X690" s="6019">
        <v>34300</v>
      </c>
      <c r="Y690" s="6018">
        <v>0</v>
      </c>
      <c r="Z690" s="6018">
        <v>1260</v>
      </c>
      <c r="AA690" s="6018">
        <v>2873</v>
      </c>
      <c r="AB690" s="6019">
        <v>3620</v>
      </c>
      <c r="AC690" s="6018">
        <v>0</v>
      </c>
      <c r="AD690" s="6018">
        <v>2211</v>
      </c>
      <c r="AE690" s="6018">
        <v>4126</v>
      </c>
      <c r="AF690" s="6019">
        <v>4873</v>
      </c>
    </row>
    <row r="691" spans="1:32" ht="13.5">
      <c r="A691" s="6018">
        <v>34300</v>
      </c>
      <c r="B691" s="6019">
        <v>34350</v>
      </c>
      <c r="C691" s="6020">
        <f t="shared" si="78"/>
        <v>0</v>
      </c>
      <c r="D691" s="6018">
        <f t="shared" si="79"/>
        <v>1252</v>
      </c>
      <c r="E691" s="6018">
        <f t="shared" si="80"/>
        <v>2862</v>
      </c>
      <c r="F691" s="6019">
        <v>3610</v>
      </c>
      <c r="G691" s="6020">
        <f t="shared" si="75"/>
        <v>0</v>
      </c>
      <c r="H691" s="6018">
        <f t="shared" si="76"/>
        <v>2203</v>
      </c>
      <c r="I691" s="6018">
        <f t="shared" si="77"/>
        <v>4115</v>
      </c>
      <c r="J691" s="6019">
        <v>4863</v>
      </c>
      <c r="K691" s="1732"/>
      <c r="L691" s="6018">
        <v>34325</v>
      </c>
      <c r="W691" s="6018">
        <v>34300</v>
      </c>
      <c r="X691" s="6019">
        <v>34350</v>
      </c>
      <c r="Y691" s="6018">
        <v>0</v>
      </c>
      <c r="Z691" s="6018">
        <v>1252</v>
      </c>
      <c r="AA691" s="6018">
        <v>2862</v>
      </c>
      <c r="AB691" s="6019">
        <v>3610</v>
      </c>
      <c r="AC691" s="6018">
        <v>0</v>
      </c>
      <c r="AD691" s="6018">
        <v>2203</v>
      </c>
      <c r="AE691" s="6018">
        <v>4115</v>
      </c>
      <c r="AF691" s="6019">
        <v>4863</v>
      </c>
    </row>
    <row r="692" spans="1:32" ht="13.5">
      <c r="A692" s="6018">
        <v>34350</v>
      </c>
      <c r="B692" s="6019">
        <v>34400</v>
      </c>
      <c r="C692" s="6020">
        <f t="shared" si="78"/>
        <v>0</v>
      </c>
      <c r="D692" s="6018">
        <f t="shared" si="79"/>
        <v>1244</v>
      </c>
      <c r="E692" s="6018">
        <f t="shared" si="80"/>
        <v>2852</v>
      </c>
      <c r="F692" s="6019">
        <v>3599</v>
      </c>
      <c r="G692" s="6020">
        <f t="shared" si="75"/>
        <v>0</v>
      </c>
      <c r="H692" s="6018">
        <f t="shared" si="76"/>
        <v>2195</v>
      </c>
      <c r="I692" s="6018">
        <f t="shared" si="77"/>
        <v>4105</v>
      </c>
      <c r="J692" s="6019">
        <v>4852</v>
      </c>
      <c r="K692" s="1732"/>
      <c r="L692" s="6018">
        <v>34375</v>
      </c>
      <c r="W692" s="6018">
        <v>34350</v>
      </c>
      <c r="X692" s="6019">
        <v>34400</v>
      </c>
      <c r="Y692" s="6018">
        <v>0</v>
      </c>
      <c r="Z692" s="6018">
        <v>1244</v>
      </c>
      <c r="AA692" s="6018">
        <v>2852</v>
      </c>
      <c r="AB692" s="6019">
        <v>3599</v>
      </c>
      <c r="AC692" s="6018">
        <v>0</v>
      </c>
      <c r="AD692" s="6018">
        <v>2195</v>
      </c>
      <c r="AE692" s="6018">
        <v>4105</v>
      </c>
      <c r="AF692" s="6019">
        <v>4852</v>
      </c>
    </row>
    <row r="693" spans="1:32" ht="13.5">
      <c r="A693" s="6018">
        <v>34400</v>
      </c>
      <c r="B693" s="6019">
        <v>34450</v>
      </c>
      <c r="C693" s="6020">
        <f t="shared" si="78"/>
        <v>0</v>
      </c>
      <c r="D693" s="6018">
        <f t="shared" si="79"/>
        <v>1236</v>
      </c>
      <c r="E693" s="6018">
        <f t="shared" si="80"/>
        <v>2841</v>
      </c>
      <c r="F693" s="6019">
        <v>3589</v>
      </c>
      <c r="G693" s="6020">
        <f t="shared" si="75"/>
        <v>0</v>
      </c>
      <c r="H693" s="6018">
        <f t="shared" si="76"/>
        <v>2187</v>
      </c>
      <c r="I693" s="6018">
        <f t="shared" si="77"/>
        <v>4094</v>
      </c>
      <c r="J693" s="6019">
        <v>4842</v>
      </c>
      <c r="K693" s="1732"/>
      <c r="L693" s="6018">
        <v>34425</v>
      </c>
      <c r="W693" s="6018">
        <v>34400</v>
      </c>
      <c r="X693" s="6019">
        <v>34450</v>
      </c>
      <c r="Y693" s="6018">
        <v>0</v>
      </c>
      <c r="Z693" s="6018">
        <v>1236</v>
      </c>
      <c r="AA693" s="6018">
        <v>2841</v>
      </c>
      <c r="AB693" s="6019">
        <v>3589</v>
      </c>
      <c r="AC693" s="6018">
        <v>0</v>
      </c>
      <c r="AD693" s="6018">
        <v>2187</v>
      </c>
      <c r="AE693" s="6018">
        <v>4094</v>
      </c>
      <c r="AF693" s="6019">
        <v>4842</v>
      </c>
    </row>
    <row r="694" spans="1:32" ht="13.5">
      <c r="A694" s="6018">
        <v>34450</v>
      </c>
      <c r="B694" s="6019">
        <v>34500</v>
      </c>
      <c r="C694" s="6020">
        <f t="shared" si="78"/>
        <v>0</v>
      </c>
      <c r="D694" s="6018">
        <f t="shared" si="79"/>
        <v>1228</v>
      </c>
      <c r="E694" s="6018">
        <f t="shared" si="80"/>
        <v>2830</v>
      </c>
      <c r="F694" s="6019">
        <v>3578</v>
      </c>
      <c r="G694" s="6020">
        <f t="shared" si="75"/>
        <v>0</v>
      </c>
      <c r="H694" s="6018">
        <f t="shared" si="76"/>
        <v>2179</v>
      </c>
      <c r="I694" s="6018">
        <f t="shared" si="77"/>
        <v>4084</v>
      </c>
      <c r="J694" s="6019">
        <v>4831</v>
      </c>
      <c r="K694" s="1732"/>
      <c r="L694" s="6018">
        <v>34475</v>
      </c>
      <c r="W694" s="6018">
        <v>34450</v>
      </c>
      <c r="X694" s="6019">
        <v>34500</v>
      </c>
      <c r="Y694" s="6018">
        <v>0</v>
      </c>
      <c r="Z694" s="6018">
        <v>1228</v>
      </c>
      <c r="AA694" s="6018">
        <v>2830</v>
      </c>
      <c r="AB694" s="6019">
        <v>3578</v>
      </c>
      <c r="AC694" s="6018">
        <v>0</v>
      </c>
      <c r="AD694" s="6018">
        <v>2179</v>
      </c>
      <c r="AE694" s="6018">
        <v>4084</v>
      </c>
      <c r="AF694" s="6019">
        <v>4831</v>
      </c>
    </row>
    <row r="695" spans="1:32" ht="13.5">
      <c r="A695" s="6018">
        <v>34500</v>
      </c>
      <c r="B695" s="6019">
        <v>34550</v>
      </c>
      <c r="C695" s="6020">
        <f t="shared" si="78"/>
        <v>0</v>
      </c>
      <c r="D695" s="6018">
        <f t="shared" si="79"/>
        <v>1220</v>
      </c>
      <c r="E695" s="6018">
        <f t="shared" si="80"/>
        <v>2820</v>
      </c>
      <c r="F695" s="6019">
        <v>3567</v>
      </c>
      <c r="G695" s="6020">
        <f t="shared" si="75"/>
        <v>0</v>
      </c>
      <c r="H695" s="6018">
        <f t="shared" si="76"/>
        <v>2171</v>
      </c>
      <c r="I695" s="6018">
        <f t="shared" si="77"/>
        <v>4073</v>
      </c>
      <c r="J695" s="6019">
        <v>4821</v>
      </c>
      <c r="K695" s="1732"/>
      <c r="L695" s="6018">
        <v>34525</v>
      </c>
      <c r="W695" s="6018">
        <v>34500</v>
      </c>
      <c r="X695" s="6019">
        <v>34550</v>
      </c>
      <c r="Y695" s="6018">
        <v>0</v>
      </c>
      <c r="Z695" s="6018">
        <v>1220</v>
      </c>
      <c r="AA695" s="6018">
        <v>2820</v>
      </c>
      <c r="AB695" s="6019">
        <v>3567</v>
      </c>
      <c r="AC695" s="6018">
        <v>0</v>
      </c>
      <c r="AD695" s="6018">
        <v>2171</v>
      </c>
      <c r="AE695" s="6018">
        <v>4073</v>
      </c>
      <c r="AF695" s="6019">
        <v>4821</v>
      </c>
    </row>
    <row r="696" spans="1:32" ht="13.5">
      <c r="A696" s="6018">
        <v>34550</v>
      </c>
      <c r="B696" s="6019">
        <v>34600</v>
      </c>
      <c r="C696" s="6020">
        <f t="shared" si="78"/>
        <v>0</v>
      </c>
      <c r="D696" s="6018">
        <f t="shared" si="79"/>
        <v>1212</v>
      </c>
      <c r="E696" s="6018">
        <f t="shared" si="80"/>
        <v>2809</v>
      </c>
      <c r="F696" s="6019">
        <v>3557</v>
      </c>
      <c r="G696" s="6020">
        <f t="shared" si="75"/>
        <v>0</v>
      </c>
      <c r="H696" s="6018">
        <f t="shared" si="76"/>
        <v>2163</v>
      </c>
      <c r="I696" s="6018">
        <f t="shared" si="77"/>
        <v>4062</v>
      </c>
      <c r="J696" s="6019">
        <v>4810</v>
      </c>
      <c r="K696" s="1732"/>
      <c r="L696" s="6018">
        <v>34575</v>
      </c>
      <c r="W696" s="6018">
        <v>34550</v>
      </c>
      <c r="X696" s="6019">
        <v>34600</v>
      </c>
      <c r="Y696" s="6018">
        <v>0</v>
      </c>
      <c r="Z696" s="6018">
        <v>1212</v>
      </c>
      <c r="AA696" s="6018">
        <v>2809</v>
      </c>
      <c r="AB696" s="6019">
        <v>3557</v>
      </c>
      <c r="AC696" s="6018">
        <v>0</v>
      </c>
      <c r="AD696" s="6018">
        <v>2163</v>
      </c>
      <c r="AE696" s="6018">
        <v>4062</v>
      </c>
      <c r="AF696" s="6019">
        <v>4810</v>
      </c>
    </row>
    <row r="697" spans="1:32" ht="13.5">
      <c r="A697" s="6018">
        <v>34600</v>
      </c>
      <c r="B697" s="6019">
        <v>34650</v>
      </c>
      <c r="C697" s="6020">
        <f t="shared" si="78"/>
        <v>0</v>
      </c>
      <c r="D697" s="6018">
        <f t="shared" si="79"/>
        <v>1204</v>
      </c>
      <c r="E697" s="6018">
        <f t="shared" si="80"/>
        <v>2799</v>
      </c>
      <c r="F697" s="6019">
        <v>3546</v>
      </c>
      <c r="G697" s="6020">
        <f t="shared" si="75"/>
        <v>0</v>
      </c>
      <c r="H697" s="6018">
        <f t="shared" si="76"/>
        <v>2155</v>
      </c>
      <c r="I697" s="6018">
        <f t="shared" si="77"/>
        <v>4052</v>
      </c>
      <c r="J697" s="6019">
        <v>4799</v>
      </c>
      <c r="K697" s="1732"/>
      <c r="L697" s="6018">
        <v>34625</v>
      </c>
      <c r="W697" s="6018">
        <v>34600</v>
      </c>
      <c r="X697" s="6019">
        <v>34650</v>
      </c>
      <c r="Y697" s="6018">
        <v>0</v>
      </c>
      <c r="Z697" s="6018">
        <v>1204</v>
      </c>
      <c r="AA697" s="6018">
        <v>2799</v>
      </c>
      <c r="AB697" s="6019">
        <v>3546</v>
      </c>
      <c r="AC697" s="6018">
        <v>0</v>
      </c>
      <c r="AD697" s="6018">
        <v>2155</v>
      </c>
      <c r="AE697" s="6018">
        <v>4052</v>
      </c>
      <c r="AF697" s="6019">
        <v>4799</v>
      </c>
    </row>
    <row r="698" spans="1:32" ht="13.5">
      <c r="A698" s="6018">
        <v>34650</v>
      </c>
      <c r="B698" s="6019">
        <v>34700</v>
      </c>
      <c r="C698" s="6020">
        <f t="shared" si="78"/>
        <v>0</v>
      </c>
      <c r="D698" s="6018">
        <f t="shared" si="79"/>
        <v>1196</v>
      </c>
      <c r="E698" s="6018">
        <f t="shared" si="80"/>
        <v>2788</v>
      </c>
      <c r="F698" s="6019">
        <v>3536</v>
      </c>
      <c r="G698" s="6020">
        <f t="shared" si="75"/>
        <v>0</v>
      </c>
      <c r="H698" s="6018">
        <f t="shared" si="76"/>
        <v>2147</v>
      </c>
      <c r="I698" s="6018">
        <f t="shared" si="77"/>
        <v>4041</v>
      </c>
      <c r="J698" s="6019">
        <v>4789</v>
      </c>
      <c r="K698" s="1732"/>
      <c r="L698" s="6018">
        <v>34675</v>
      </c>
      <c r="W698" s="6018">
        <v>34650</v>
      </c>
      <c r="X698" s="6019">
        <v>34700</v>
      </c>
      <c r="Y698" s="6018">
        <v>0</v>
      </c>
      <c r="Z698" s="6018">
        <v>1196</v>
      </c>
      <c r="AA698" s="6018">
        <v>2788</v>
      </c>
      <c r="AB698" s="6019">
        <v>3536</v>
      </c>
      <c r="AC698" s="6018">
        <v>0</v>
      </c>
      <c r="AD698" s="6018">
        <v>2147</v>
      </c>
      <c r="AE698" s="6018">
        <v>4041</v>
      </c>
      <c r="AF698" s="6019">
        <v>4789</v>
      </c>
    </row>
    <row r="699" spans="1:32" ht="13.5">
      <c r="A699" s="6018">
        <v>34700</v>
      </c>
      <c r="B699" s="6019">
        <v>34750</v>
      </c>
      <c r="C699" s="6020">
        <f t="shared" si="78"/>
        <v>0</v>
      </c>
      <c r="D699" s="6018">
        <f t="shared" si="79"/>
        <v>1188</v>
      </c>
      <c r="E699" s="6018">
        <f t="shared" si="80"/>
        <v>2778</v>
      </c>
      <c r="F699" s="6019">
        <v>3525</v>
      </c>
      <c r="G699" s="6020">
        <f t="shared" si="75"/>
        <v>0</v>
      </c>
      <c r="H699" s="6018">
        <f t="shared" si="76"/>
        <v>2139</v>
      </c>
      <c r="I699" s="6018">
        <f t="shared" si="77"/>
        <v>4031</v>
      </c>
      <c r="J699" s="6019">
        <v>4778</v>
      </c>
      <c r="K699" s="1732"/>
      <c r="L699" s="6018">
        <v>34725</v>
      </c>
      <c r="W699" s="6018">
        <v>34700</v>
      </c>
      <c r="X699" s="6019">
        <v>34750</v>
      </c>
      <c r="Y699" s="6018">
        <v>0</v>
      </c>
      <c r="Z699" s="6018">
        <v>1188</v>
      </c>
      <c r="AA699" s="6018">
        <v>2778</v>
      </c>
      <c r="AB699" s="6019">
        <v>3525</v>
      </c>
      <c r="AC699" s="6018">
        <v>0</v>
      </c>
      <c r="AD699" s="6018">
        <v>2139</v>
      </c>
      <c r="AE699" s="6018">
        <v>4031</v>
      </c>
      <c r="AF699" s="6019">
        <v>4778</v>
      </c>
    </row>
    <row r="700" spans="1:32" ht="13.5">
      <c r="A700" s="6018">
        <v>34750</v>
      </c>
      <c r="B700" s="6019">
        <v>34800</v>
      </c>
      <c r="C700" s="6020">
        <f t="shared" si="78"/>
        <v>0</v>
      </c>
      <c r="D700" s="6018">
        <f t="shared" si="79"/>
        <v>1180</v>
      </c>
      <c r="E700" s="6018">
        <f t="shared" si="80"/>
        <v>2767</v>
      </c>
      <c r="F700" s="6019">
        <v>3515</v>
      </c>
      <c r="G700" s="6020">
        <f t="shared" si="75"/>
        <v>0</v>
      </c>
      <c r="H700" s="6018">
        <f t="shared" si="76"/>
        <v>2131</v>
      </c>
      <c r="I700" s="6018">
        <f t="shared" si="77"/>
        <v>4020</v>
      </c>
      <c r="J700" s="6019">
        <v>4768</v>
      </c>
      <c r="K700" s="1732"/>
      <c r="L700" s="6018">
        <v>34775</v>
      </c>
      <c r="W700" s="6018">
        <v>34750</v>
      </c>
      <c r="X700" s="6019">
        <v>34800</v>
      </c>
      <c r="Y700" s="6018">
        <v>0</v>
      </c>
      <c r="Z700" s="6018">
        <v>1180</v>
      </c>
      <c r="AA700" s="6018">
        <v>2767</v>
      </c>
      <c r="AB700" s="6019">
        <v>3515</v>
      </c>
      <c r="AC700" s="6018">
        <v>0</v>
      </c>
      <c r="AD700" s="6018">
        <v>2131</v>
      </c>
      <c r="AE700" s="6018">
        <v>4020</v>
      </c>
      <c r="AF700" s="6019">
        <v>4768</v>
      </c>
    </row>
    <row r="701" spans="1:32" ht="13.5">
      <c r="A701" s="6018">
        <v>34800</v>
      </c>
      <c r="B701" s="6019">
        <v>34850</v>
      </c>
      <c r="C701" s="6020">
        <f t="shared" si="78"/>
        <v>0</v>
      </c>
      <c r="D701" s="6018">
        <f t="shared" si="79"/>
        <v>1172</v>
      </c>
      <c r="E701" s="6018">
        <f t="shared" si="80"/>
        <v>2757</v>
      </c>
      <c r="F701" s="6019">
        <v>3504</v>
      </c>
      <c r="G701" s="6020">
        <f t="shared" si="75"/>
        <v>0</v>
      </c>
      <c r="H701" s="6018">
        <f t="shared" si="76"/>
        <v>2123</v>
      </c>
      <c r="I701" s="6018">
        <f t="shared" si="77"/>
        <v>4010</v>
      </c>
      <c r="J701" s="6019">
        <v>4757</v>
      </c>
      <c r="K701" s="1732"/>
      <c r="L701" s="6018">
        <v>34825</v>
      </c>
      <c r="W701" s="6018">
        <v>34800</v>
      </c>
      <c r="X701" s="6019">
        <v>34850</v>
      </c>
      <c r="Y701" s="6018">
        <v>0</v>
      </c>
      <c r="Z701" s="6018">
        <v>1172</v>
      </c>
      <c r="AA701" s="6018">
        <v>2757</v>
      </c>
      <c r="AB701" s="6019">
        <v>3504</v>
      </c>
      <c r="AC701" s="6018">
        <v>0</v>
      </c>
      <c r="AD701" s="6018">
        <v>2123</v>
      </c>
      <c r="AE701" s="6018">
        <v>4010</v>
      </c>
      <c r="AF701" s="6019">
        <v>4757</v>
      </c>
    </row>
    <row r="702" spans="1:32" ht="13.5">
      <c r="A702" s="6018">
        <v>34850</v>
      </c>
      <c r="B702" s="6019">
        <v>34900</v>
      </c>
      <c r="C702" s="6020">
        <f t="shared" si="78"/>
        <v>0</v>
      </c>
      <c r="D702" s="6018">
        <f t="shared" si="79"/>
        <v>1164</v>
      </c>
      <c r="E702" s="6018">
        <f t="shared" si="80"/>
        <v>2746</v>
      </c>
      <c r="F702" s="6019">
        <v>3494</v>
      </c>
      <c r="G702" s="6020">
        <f t="shared" si="75"/>
        <v>0</v>
      </c>
      <c r="H702" s="6018">
        <f t="shared" si="76"/>
        <v>2115</v>
      </c>
      <c r="I702" s="6018">
        <f t="shared" si="77"/>
        <v>3999</v>
      </c>
      <c r="J702" s="6019">
        <v>4747</v>
      </c>
      <c r="K702" s="1732"/>
      <c r="L702" s="6018">
        <v>34875</v>
      </c>
      <c r="W702" s="6018">
        <v>34850</v>
      </c>
      <c r="X702" s="6019">
        <v>34900</v>
      </c>
      <c r="Y702" s="6018">
        <v>0</v>
      </c>
      <c r="Z702" s="6018">
        <v>1164</v>
      </c>
      <c r="AA702" s="6018">
        <v>2746</v>
      </c>
      <c r="AB702" s="6019">
        <v>3494</v>
      </c>
      <c r="AC702" s="6018">
        <v>0</v>
      </c>
      <c r="AD702" s="6018">
        <v>2115</v>
      </c>
      <c r="AE702" s="6018">
        <v>3999</v>
      </c>
      <c r="AF702" s="6019">
        <v>4747</v>
      </c>
    </row>
    <row r="703" spans="1:32" ht="13.5">
      <c r="A703" s="6018">
        <v>34900</v>
      </c>
      <c r="B703" s="6019">
        <v>34950</v>
      </c>
      <c r="C703" s="6020">
        <f t="shared" si="78"/>
        <v>0</v>
      </c>
      <c r="D703" s="6018">
        <f t="shared" si="79"/>
        <v>1156</v>
      </c>
      <c r="E703" s="6018">
        <f t="shared" si="80"/>
        <v>2736</v>
      </c>
      <c r="F703" s="6019">
        <v>3483</v>
      </c>
      <c r="G703" s="6020">
        <f t="shared" si="75"/>
        <v>0</v>
      </c>
      <c r="H703" s="6018">
        <f t="shared" si="76"/>
        <v>2107</v>
      </c>
      <c r="I703" s="6018">
        <f t="shared" si="77"/>
        <v>3989</v>
      </c>
      <c r="J703" s="6019">
        <v>4736</v>
      </c>
      <c r="K703" s="1732"/>
      <c r="L703" s="6018">
        <v>34925</v>
      </c>
      <c r="W703" s="6018">
        <v>34900</v>
      </c>
      <c r="X703" s="6019">
        <v>34950</v>
      </c>
      <c r="Y703" s="6018">
        <v>0</v>
      </c>
      <c r="Z703" s="6018">
        <v>1156</v>
      </c>
      <c r="AA703" s="6018">
        <v>2736</v>
      </c>
      <c r="AB703" s="6019">
        <v>3483</v>
      </c>
      <c r="AC703" s="6018">
        <v>0</v>
      </c>
      <c r="AD703" s="6018">
        <v>2107</v>
      </c>
      <c r="AE703" s="6018">
        <v>3989</v>
      </c>
      <c r="AF703" s="6019">
        <v>4736</v>
      </c>
    </row>
    <row r="704" spans="1:32" ht="13.5">
      <c r="A704" s="6018">
        <v>34950</v>
      </c>
      <c r="B704" s="6019">
        <v>35000</v>
      </c>
      <c r="C704" s="6020">
        <f t="shared" si="78"/>
        <v>0</v>
      </c>
      <c r="D704" s="6018">
        <f t="shared" si="79"/>
        <v>1148</v>
      </c>
      <c r="E704" s="6018">
        <f t="shared" si="80"/>
        <v>2725</v>
      </c>
      <c r="F704" s="6019">
        <v>3473</v>
      </c>
      <c r="G704" s="6020">
        <f t="shared" si="75"/>
        <v>0</v>
      </c>
      <c r="H704" s="6018">
        <f t="shared" si="76"/>
        <v>2099</v>
      </c>
      <c r="I704" s="6018">
        <f t="shared" si="77"/>
        <v>3978</v>
      </c>
      <c r="J704" s="6019">
        <v>4726</v>
      </c>
      <c r="K704" s="1732"/>
      <c r="L704" s="6018">
        <v>34975</v>
      </c>
      <c r="W704" s="6018">
        <v>34950</v>
      </c>
      <c r="X704" s="6019">
        <v>35000</v>
      </c>
      <c r="Y704" s="6018">
        <v>0</v>
      </c>
      <c r="Z704" s="6018">
        <v>1148</v>
      </c>
      <c r="AA704" s="6018">
        <v>2725</v>
      </c>
      <c r="AB704" s="6019">
        <v>3473</v>
      </c>
      <c r="AC704" s="6018">
        <v>0</v>
      </c>
      <c r="AD704" s="6018">
        <v>2099</v>
      </c>
      <c r="AE704" s="6018">
        <v>3978</v>
      </c>
      <c r="AF704" s="6019">
        <v>4726</v>
      </c>
    </row>
    <row r="705" spans="1:32" ht="13.5">
      <c r="A705" s="6018">
        <v>35000</v>
      </c>
      <c r="B705" s="6019">
        <v>35050</v>
      </c>
      <c r="C705" s="6020">
        <f t="shared" si="78"/>
        <v>0</v>
      </c>
      <c r="D705" s="6018">
        <f t="shared" si="79"/>
        <v>1140</v>
      </c>
      <c r="E705" s="6018">
        <f t="shared" si="80"/>
        <v>2715</v>
      </c>
      <c r="F705" s="6019">
        <v>3462</v>
      </c>
      <c r="G705" s="6020">
        <f t="shared" si="75"/>
        <v>0</v>
      </c>
      <c r="H705" s="6018">
        <f t="shared" si="76"/>
        <v>2091</v>
      </c>
      <c r="I705" s="6018">
        <f t="shared" si="77"/>
        <v>3968</v>
      </c>
      <c r="J705" s="6019">
        <v>4715</v>
      </c>
      <c r="K705" s="1732"/>
      <c r="L705" s="6018">
        <v>35025</v>
      </c>
      <c r="W705" s="6018">
        <v>35000</v>
      </c>
      <c r="X705" s="6019">
        <v>35050</v>
      </c>
      <c r="Y705" s="6018">
        <v>0</v>
      </c>
      <c r="Z705" s="6018">
        <v>1140</v>
      </c>
      <c r="AA705" s="6018">
        <v>2715</v>
      </c>
      <c r="AB705" s="6019">
        <v>3462</v>
      </c>
      <c r="AC705" s="6018">
        <v>0</v>
      </c>
      <c r="AD705" s="6018">
        <v>2091</v>
      </c>
      <c r="AE705" s="6018">
        <v>3968</v>
      </c>
      <c r="AF705" s="6019">
        <v>4715</v>
      </c>
    </row>
    <row r="706" spans="1:32" ht="13.5">
      <c r="A706" s="6018">
        <v>35050</v>
      </c>
      <c r="B706" s="6019">
        <v>35100</v>
      </c>
      <c r="C706" s="6020">
        <f t="shared" si="78"/>
        <v>0</v>
      </c>
      <c r="D706" s="6018">
        <f t="shared" si="79"/>
        <v>1132</v>
      </c>
      <c r="E706" s="6018">
        <f t="shared" si="80"/>
        <v>2704</v>
      </c>
      <c r="F706" s="6019">
        <v>3452</v>
      </c>
      <c r="G706" s="6020">
        <f t="shared" si="75"/>
        <v>0</v>
      </c>
      <c r="H706" s="6018">
        <f t="shared" si="76"/>
        <v>2083</v>
      </c>
      <c r="I706" s="6018">
        <f t="shared" si="77"/>
        <v>3957</v>
      </c>
      <c r="J706" s="6019">
        <v>4705</v>
      </c>
      <c r="K706" s="1732"/>
      <c r="L706" s="6018">
        <v>35075</v>
      </c>
      <c r="W706" s="6018">
        <v>35050</v>
      </c>
      <c r="X706" s="6019">
        <v>35100</v>
      </c>
      <c r="Y706" s="6018">
        <v>0</v>
      </c>
      <c r="Z706" s="6018">
        <v>1132</v>
      </c>
      <c r="AA706" s="6018">
        <v>2704</v>
      </c>
      <c r="AB706" s="6019">
        <v>3452</v>
      </c>
      <c r="AC706" s="6018">
        <v>0</v>
      </c>
      <c r="AD706" s="6018">
        <v>2083</v>
      </c>
      <c r="AE706" s="6018">
        <v>3957</v>
      </c>
      <c r="AF706" s="6019">
        <v>4705</v>
      </c>
    </row>
    <row r="707" spans="1:32" ht="13.5">
      <c r="A707" s="6018">
        <v>35100</v>
      </c>
      <c r="B707" s="6019">
        <v>35150</v>
      </c>
      <c r="C707" s="6020">
        <f t="shared" si="78"/>
        <v>0</v>
      </c>
      <c r="D707" s="6018">
        <f t="shared" si="79"/>
        <v>1124</v>
      </c>
      <c r="E707" s="6018">
        <f t="shared" si="80"/>
        <v>2694</v>
      </c>
      <c r="F707" s="6019">
        <v>3441</v>
      </c>
      <c r="G707" s="6020">
        <f t="shared" si="75"/>
        <v>0</v>
      </c>
      <c r="H707" s="6018">
        <f t="shared" si="76"/>
        <v>2075</v>
      </c>
      <c r="I707" s="6018">
        <f t="shared" si="77"/>
        <v>3947</v>
      </c>
      <c r="J707" s="6019">
        <v>4694</v>
      </c>
      <c r="K707" s="1732"/>
      <c r="L707" s="6018">
        <v>35125</v>
      </c>
      <c r="W707" s="6018">
        <v>35100</v>
      </c>
      <c r="X707" s="6019">
        <v>35150</v>
      </c>
      <c r="Y707" s="6018">
        <v>0</v>
      </c>
      <c r="Z707" s="6018">
        <v>1124</v>
      </c>
      <c r="AA707" s="6018">
        <v>2694</v>
      </c>
      <c r="AB707" s="6019">
        <v>3441</v>
      </c>
      <c r="AC707" s="6018">
        <v>0</v>
      </c>
      <c r="AD707" s="6018">
        <v>2075</v>
      </c>
      <c r="AE707" s="6018">
        <v>3947</v>
      </c>
      <c r="AF707" s="6019">
        <v>4694</v>
      </c>
    </row>
    <row r="708" spans="1:32" ht="13.5">
      <c r="A708" s="6018">
        <v>35150</v>
      </c>
      <c r="B708" s="6019">
        <v>35200</v>
      </c>
      <c r="C708" s="6020">
        <f t="shared" si="78"/>
        <v>0</v>
      </c>
      <c r="D708" s="6018">
        <f t="shared" si="79"/>
        <v>1116</v>
      </c>
      <c r="E708" s="6018">
        <f t="shared" si="80"/>
        <v>2683</v>
      </c>
      <c r="F708" s="6019">
        <v>3431</v>
      </c>
      <c r="G708" s="6020">
        <f t="shared" ref="G708:G771" si="81">IF($L708&gt;R$5,MAX(0,R$3+ROUND((R$9*($L708-R$5)),0)),IF($L708&gt;R$4,R$3,ROUND($L708*R$7,0)))</f>
        <v>0</v>
      </c>
      <c r="H708" s="6018">
        <f t="shared" ref="H708:H769" si="82">IF($L708&gt;S$5,MAX(0,S$3+ROUND((S$9*($L708-S$5)),0)),IF($L708&gt;S$4,S$3,ROUND($L708*S$7,0)))</f>
        <v>2067</v>
      </c>
      <c r="I708" s="6018">
        <f t="shared" ref="I708:I771" si="83">IF($L708&gt;T$5,MAX(0,T$3+ROUND((T$9*($L708-T$5)),0)),IF($L708&gt;T$4,T$3,ROUND($L708*T$7,0)))</f>
        <v>3936</v>
      </c>
      <c r="J708" s="6019">
        <v>4684</v>
      </c>
      <c r="K708" s="1732"/>
      <c r="L708" s="6018">
        <v>35175</v>
      </c>
      <c r="W708" s="6018">
        <v>35150</v>
      </c>
      <c r="X708" s="6019">
        <v>35200</v>
      </c>
      <c r="Y708" s="6018">
        <v>0</v>
      </c>
      <c r="Z708" s="6018">
        <v>1116</v>
      </c>
      <c r="AA708" s="6018">
        <v>2683</v>
      </c>
      <c r="AB708" s="6019">
        <v>3431</v>
      </c>
      <c r="AC708" s="6018">
        <v>0</v>
      </c>
      <c r="AD708" s="6018">
        <v>2067</v>
      </c>
      <c r="AE708" s="6018">
        <v>3936</v>
      </c>
      <c r="AF708" s="6019">
        <v>4684</v>
      </c>
    </row>
    <row r="709" spans="1:32" ht="13.5">
      <c r="A709" s="6018">
        <v>35200</v>
      </c>
      <c r="B709" s="6019">
        <v>35250</v>
      </c>
      <c r="C709" s="6020">
        <f t="shared" si="78"/>
        <v>0</v>
      </c>
      <c r="D709" s="6018">
        <f t="shared" si="79"/>
        <v>1108</v>
      </c>
      <c r="E709" s="6018">
        <f t="shared" si="80"/>
        <v>2673</v>
      </c>
      <c r="F709" s="6019">
        <v>3420</v>
      </c>
      <c r="G709" s="6020">
        <f t="shared" si="81"/>
        <v>0</v>
      </c>
      <c r="H709" s="6018">
        <f t="shared" si="82"/>
        <v>2059</v>
      </c>
      <c r="I709" s="6018">
        <f t="shared" si="83"/>
        <v>3926</v>
      </c>
      <c r="J709" s="6019">
        <v>4673</v>
      </c>
      <c r="K709" s="1732"/>
      <c r="L709" s="6018">
        <v>35225</v>
      </c>
      <c r="W709" s="6018">
        <v>35200</v>
      </c>
      <c r="X709" s="6019">
        <v>35250</v>
      </c>
      <c r="Y709" s="6018">
        <v>0</v>
      </c>
      <c r="Z709" s="6018">
        <v>1108</v>
      </c>
      <c r="AA709" s="6018">
        <v>2673</v>
      </c>
      <c r="AB709" s="6019">
        <v>3420</v>
      </c>
      <c r="AC709" s="6018">
        <v>0</v>
      </c>
      <c r="AD709" s="6018">
        <v>2059</v>
      </c>
      <c r="AE709" s="6018">
        <v>3926</v>
      </c>
      <c r="AF709" s="6019">
        <v>4673</v>
      </c>
    </row>
    <row r="710" spans="1:32" ht="13.5">
      <c r="A710" s="6018">
        <v>35250</v>
      </c>
      <c r="B710" s="6019">
        <v>35300</v>
      </c>
      <c r="C710" s="6020">
        <f t="shared" ref="C710:C773" si="84">IF($L710&gt;N$5,MAX(0,N$3+ROUND((N$9*($L710-N$5)),0)),IF($L710&gt;N$4,N$3,ROUND($L710*N$7,0)))</f>
        <v>0</v>
      </c>
      <c r="D710" s="6018">
        <f t="shared" ref="D710:D773" si="85">IF($L710&gt;O$5,MAX(0,O$3+ROUND((O$9*($L710-O$5)),0)),IF($L710&gt;O$4,O$3,ROUND($L710*O$7,0)))</f>
        <v>1100</v>
      </c>
      <c r="E710" s="6018">
        <f t="shared" ref="E710:E773" si="86">IF($L710&gt;P$5,MAX(0,P$3+ROUND((P$9*($L710-P$5)),0)),IF($L710&gt;P$4,P$3,ROUND($L710*P$7,0)))</f>
        <v>2662</v>
      </c>
      <c r="F710" s="6019">
        <v>3409</v>
      </c>
      <c r="G710" s="6020">
        <f t="shared" si="81"/>
        <v>0</v>
      </c>
      <c r="H710" s="6018">
        <f t="shared" si="82"/>
        <v>2051</v>
      </c>
      <c r="I710" s="6018">
        <f t="shared" si="83"/>
        <v>3915</v>
      </c>
      <c r="J710" s="6019">
        <v>4663</v>
      </c>
      <c r="K710" s="1732"/>
      <c r="L710" s="6018">
        <v>35275</v>
      </c>
      <c r="W710" s="6018">
        <v>35250</v>
      </c>
      <c r="X710" s="6019">
        <v>35300</v>
      </c>
      <c r="Y710" s="6018">
        <v>0</v>
      </c>
      <c r="Z710" s="6018">
        <v>1100</v>
      </c>
      <c r="AA710" s="6018">
        <v>2662</v>
      </c>
      <c r="AB710" s="6019">
        <v>3409</v>
      </c>
      <c r="AC710" s="6018">
        <v>0</v>
      </c>
      <c r="AD710" s="6018">
        <v>2051</v>
      </c>
      <c r="AE710" s="6018">
        <v>3915</v>
      </c>
      <c r="AF710" s="6019">
        <v>4663</v>
      </c>
    </row>
    <row r="711" spans="1:32" ht="13.5">
      <c r="A711" s="6018">
        <v>35300</v>
      </c>
      <c r="B711" s="6019">
        <v>35350</v>
      </c>
      <c r="C711" s="6020">
        <f t="shared" si="84"/>
        <v>0</v>
      </c>
      <c r="D711" s="6018">
        <f t="shared" si="85"/>
        <v>1092</v>
      </c>
      <c r="E711" s="6018">
        <f t="shared" si="86"/>
        <v>2651</v>
      </c>
      <c r="F711" s="6019">
        <v>3399</v>
      </c>
      <c r="G711" s="6020">
        <f t="shared" si="81"/>
        <v>0</v>
      </c>
      <c r="H711" s="6018">
        <f t="shared" si="82"/>
        <v>2043</v>
      </c>
      <c r="I711" s="6018">
        <f t="shared" si="83"/>
        <v>3905</v>
      </c>
      <c r="J711" s="6019">
        <v>4652</v>
      </c>
      <c r="K711" s="1732"/>
      <c r="L711" s="6018">
        <v>35325</v>
      </c>
      <c r="W711" s="6018">
        <v>35300</v>
      </c>
      <c r="X711" s="6019">
        <v>35350</v>
      </c>
      <c r="Y711" s="6018">
        <v>0</v>
      </c>
      <c r="Z711" s="6018">
        <v>1092</v>
      </c>
      <c r="AA711" s="6018">
        <v>2651</v>
      </c>
      <c r="AB711" s="6019">
        <v>3399</v>
      </c>
      <c r="AC711" s="6018">
        <v>0</v>
      </c>
      <c r="AD711" s="6018">
        <v>2043</v>
      </c>
      <c r="AE711" s="6018">
        <v>3905</v>
      </c>
      <c r="AF711" s="6019">
        <v>4652</v>
      </c>
    </row>
    <row r="712" spans="1:32" ht="13.5">
      <c r="A712" s="6018">
        <v>35350</v>
      </c>
      <c r="B712" s="6019">
        <v>35400</v>
      </c>
      <c r="C712" s="6020">
        <f t="shared" si="84"/>
        <v>0</v>
      </c>
      <c r="D712" s="6018">
        <f t="shared" si="85"/>
        <v>1084</v>
      </c>
      <c r="E712" s="6018">
        <f t="shared" si="86"/>
        <v>2641</v>
      </c>
      <c r="F712" s="6019">
        <v>3388</v>
      </c>
      <c r="G712" s="6020">
        <f t="shared" si="81"/>
        <v>0</v>
      </c>
      <c r="H712" s="6018">
        <f t="shared" si="82"/>
        <v>2035</v>
      </c>
      <c r="I712" s="6018">
        <f t="shared" si="83"/>
        <v>3894</v>
      </c>
      <c r="J712" s="6019">
        <v>4642</v>
      </c>
      <c r="K712" s="1732"/>
      <c r="L712" s="6018">
        <v>35375</v>
      </c>
      <c r="W712" s="6018">
        <v>35350</v>
      </c>
      <c r="X712" s="6019">
        <v>35400</v>
      </c>
      <c r="Y712" s="6018">
        <v>0</v>
      </c>
      <c r="Z712" s="6018">
        <v>1084</v>
      </c>
      <c r="AA712" s="6018">
        <v>2641</v>
      </c>
      <c r="AB712" s="6019">
        <v>3388</v>
      </c>
      <c r="AC712" s="6018">
        <v>0</v>
      </c>
      <c r="AD712" s="6018">
        <v>2035</v>
      </c>
      <c r="AE712" s="6018">
        <v>3894</v>
      </c>
      <c r="AF712" s="6019">
        <v>4642</v>
      </c>
    </row>
    <row r="713" spans="1:32" ht="13.5">
      <c r="A713" s="6018">
        <v>35400</v>
      </c>
      <c r="B713" s="6019">
        <v>35450</v>
      </c>
      <c r="C713" s="6020">
        <f t="shared" si="84"/>
        <v>0</v>
      </c>
      <c r="D713" s="6018">
        <f t="shared" si="85"/>
        <v>1076</v>
      </c>
      <c r="E713" s="6018">
        <f t="shared" si="86"/>
        <v>2630</v>
      </c>
      <c r="F713" s="6019">
        <v>3378</v>
      </c>
      <c r="G713" s="6020">
        <f t="shared" si="81"/>
        <v>0</v>
      </c>
      <c r="H713" s="6018">
        <f t="shared" si="82"/>
        <v>2027</v>
      </c>
      <c r="I713" s="6018">
        <f t="shared" si="83"/>
        <v>3883</v>
      </c>
      <c r="J713" s="6019">
        <v>4631</v>
      </c>
      <c r="K713" s="1732"/>
      <c r="L713" s="6018">
        <v>35425</v>
      </c>
      <c r="W713" s="6018">
        <v>35400</v>
      </c>
      <c r="X713" s="6019">
        <v>35450</v>
      </c>
      <c r="Y713" s="6018">
        <v>0</v>
      </c>
      <c r="Z713" s="6018">
        <v>1076</v>
      </c>
      <c r="AA713" s="6018">
        <v>2630</v>
      </c>
      <c r="AB713" s="6019">
        <v>3378</v>
      </c>
      <c r="AC713" s="6018">
        <v>0</v>
      </c>
      <c r="AD713" s="6018">
        <v>2027</v>
      </c>
      <c r="AE713" s="6018">
        <v>3883</v>
      </c>
      <c r="AF713" s="6019">
        <v>4631</v>
      </c>
    </row>
    <row r="714" spans="1:32" ht="13.5">
      <c r="A714" s="6018">
        <v>35450</v>
      </c>
      <c r="B714" s="6019">
        <v>35500</v>
      </c>
      <c r="C714" s="6020">
        <f t="shared" si="84"/>
        <v>0</v>
      </c>
      <c r="D714" s="6018">
        <f t="shared" si="85"/>
        <v>1068</v>
      </c>
      <c r="E714" s="6018">
        <f t="shared" si="86"/>
        <v>2620</v>
      </c>
      <c r="F714" s="6019">
        <v>3367</v>
      </c>
      <c r="G714" s="6020">
        <f t="shared" si="81"/>
        <v>0</v>
      </c>
      <c r="H714" s="6018">
        <f t="shared" si="82"/>
        <v>2019</v>
      </c>
      <c r="I714" s="6018">
        <f t="shared" si="83"/>
        <v>3873</v>
      </c>
      <c r="J714" s="6019">
        <v>4620</v>
      </c>
      <c r="K714" s="1732"/>
      <c r="L714" s="6018">
        <v>35475</v>
      </c>
      <c r="W714" s="6018">
        <v>35450</v>
      </c>
      <c r="X714" s="6019">
        <v>35500</v>
      </c>
      <c r="Y714" s="6018">
        <v>0</v>
      </c>
      <c r="Z714" s="6018">
        <v>1068</v>
      </c>
      <c r="AA714" s="6018">
        <v>2620</v>
      </c>
      <c r="AB714" s="6019">
        <v>3367</v>
      </c>
      <c r="AC714" s="6018">
        <v>0</v>
      </c>
      <c r="AD714" s="6018">
        <v>2019</v>
      </c>
      <c r="AE714" s="6018">
        <v>3873</v>
      </c>
      <c r="AF714" s="6019">
        <v>4620</v>
      </c>
    </row>
    <row r="715" spans="1:32" ht="13.5">
      <c r="A715" s="6018">
        <v>35500</v>
      </c>
      <c r="B715" s="6019">
        <v>35550</v>
      </c>
      <c r="C715" s="6020">
        <f t="shared" si="84"/>
        <v>0</v>
      </c>
      <c r="D715" s="6018">
        <f t="shared" si="85"/>
        <v>1060</v>
      </c>
      <c r="E715" s="6018">
        <f t="shared" si="86"/>
        <v>2609</v>
      </c>
      <c r="F715" s="6019">
        <v>3357</v>
      </c>
      <c r="G715" s="6020">
        <f t="shared" si="81"/>
        <v>0</v>
      </c>
      <c r="H715" s="6018">
        <f t="shared" si="82"/>
        <v>2011</v>
      </c>
      <c r="I715" s="6018">
        <f t="shared" si="83"/>
        <v>3862</v>
      </c>
      <c r="J715" s="6019">
        <v>4610</v>
      </c>
      <c r="K715" s="1732"/>
      <c r="L715" s="6018">
        <v>35525</v>
      </c>
      <c r="W715" s="6018">
        <v>35500</v>
      </c>
      <c r="X715" s="6019">
        <v>35550</v>
      </c>
      <c r="Y715" s="6018">
        <v>0</v>
      </c>
      <c r="Z715" s="6018">
        <v>1060</v>
      </c>
      <c r="AA715" s="6018">
        <v>2609</v>
      </c>
      <c r="AB715" s="6019">
        <v>3357</v>
      </c>
      <c r="AC715" s="6018">
        <v>0</v>
      </c>
      <c r="AD715" s="6018">
        <v>2011</v>
      </c>
      <c r="AE715" s="6018">
        <v>3862</v>
      </c>
      <c r="AF715" s="6019">
        <v>4610</v>
      </c>
    </row>
    <row r="716" spans="1:32" ht="13.5">
      <c r="A716" s="6018">
        <v>35550</v>
      </c>
      <c r="B716" s="6019">
        <v>35600</v>
      </c>
      <c r="C716" s="6020">
        <f t="shared" si="84"/>
        <v>0</v>
      </c>
      <c r="D716" s="6018">
        <f t="shared" si="85"/>
        <v>1052</v>
      </c>
      <c r="E716" s="6018">
        <f t="shared" si="86"/>
        <v>2599</v>
      </c>
      <c r="F716" s="6019">
        <v>3346</v>
      </c>
      <c r="G716" s="6020">
        <f t="shared" si="81"/>
        <v>0</v>
      </c>
      <c r="H716" s="6018">
        <f t="shared" si="82"/>
        <v>2003</v>
      </c>
      <c r="I716" s="6018">
        <f t="shared" si="83"/>
        <v>3852</v>
      </c>
      <c r="J716" s="6019">
        <v>4599</v>
      </c>
      <c r="K716" s="1732"/>
      <c r="L716" s="6018">
        <v>35575</v>
      </c>
      <c r="W716" s="6018">
        <v>35550</v>
      </c>
      <c r="X716" s="6019">
        <v>35600</v>
      </c>
      <c r="Y716" s="6018">
        <v>0</v>
      </c>
      <c r="Z716" s="6018">
        <v>1052</v>
      </c>
      <c r="AA716" s="6018">
        <v>2599</v>
      </c>
      <c r="AB716" s="6019">
        <v>3346</v>
      </c>
      <c r="AC716" s="6018">
        <v>0</v>
      </c>
      <c r="AD716" s="6018">
        <v>2003</v>
      </c>
      <c r="AE716" s="6018">
        <v>3852</v>
      </c>
      <c r="AF716" s="6019">
        <v>4599</v>
      </c>
    </row>
    <row r="717" spans="1:32" ht="13.5">
      <c r="A717" s="6018">
        <v>35600</v>
      </c>
      <c r="B717" s="6019">
        <v>35650</v>
      </c>
      <c r="C717" s="6020">
        <f t="shared" si="84"/>
        <v>0</v>
      </c>
      <c r="D717" s="6018">
        <f t="shared" si="85"/>
        <v>1044</v>
      </c>
      <c r="E717" s="6018">
        <f t="shared" si="86"/>
        <v>2588</v>
      </c>
      <c r="F717" s="6019">
        <v>3336</v>
      </c>
      <c r="G717" s="6020">
        <f t="shared" si="81"/>
        <v>0</v>
      </c>
      <c r="H717" s="6018">
        <f t="shared" si="82"/>
        <v>1995</v>
      </c>
      <c r="I717" s="6018">
        <f t="shared" si="83"/>
        <v>3841</v>
      </c>
      <c r="J717" s="6019">
        <v>4589</v>
      </c>
      <c r="K717" s="1732"/>
      <c r="L717" s="6018">
        <v>35625</v>
      </c>
      <c r="W717" s="6018">
        <v>35600</v>
      </c>
      <c r="X717" s="6019">
        <v>35650</v>
      </c>
      <c r="Y717" s="6018">
        <v>0</v>
      </c>
      <c r="Z717" s="6018">
        <v>1044</v>
      </c>
      <c r="AA717" s="6018">
        <v>2588</v>
      </c>
      <c r="AB717" s="6019">
        <v>3336</v>
      </c>
      <c r="AC717" s="6018">
        <v>0</v>
      </c>
      <c r="AD717" s="6018">
        <v>1995</v>
      </c>
      <c r="AE717" s="6018">
        <v>3841</v>
      </c>
      <c r="AF717" s="6019">
        <v>4589</v>
      </c>
    </row>
    <row r="718" spans="1:32" ht="13.5">
      <c r="A718" s="6018">
        <v>35650</v>
      </c>
      <c r="B718" s="6019">
        <v>35700</v>
      </c>
      <c r="C718" s="6020">
        <f t="shared" si="84"/>
        <v>0</v>
      </c>
      <c r="D718" s="6018">
        <f t="shared" si="85"/>
        <v>1036</v>
      </c>
      <c r="E718" s="6018">
        <f t="shared" si="86"/>
        <v>2578</v>
      </c>
      <c r="F718" s="6019">
        <v>3325</v>
      </c>
      <c r="G718" s="6020">
        <f t="shared" si="81"/>
        <v>0</v>
      </c>
      <c r="H718" s="6018">
        <f t="shared" si="82"/>
        <v>1987</v>
      </c>
      <c r="I718" s="6018">
        <f t="shared" si="83"/>
        <v>3831</v>
      </c>
      <c r="J718" s="6019">
        <v>4578</v>
      </c>
      <c r="K718" s="1732"/>
      <c r="L718" s="6018">
        <v>35675</v>
      </c>
      <c r="W718" s="6018">
        <v>35650</v>
      </c>
      <c r="X718" s="6019">
        <v>35700</v>
      </c>
      <c r="Y718" s="6018">
        <v>0</v>
      </c>
      <c r="Z718" s="6018">
        <v>1036</v>
      </c>
      <c r="AA718" s="6018">
        <v>2578</v>
      </c>
      <c r="AB718" s="6019">
        <v>3325</v>
      </c>
      <c r="AC718" s="6018">
        <v>0</v>
      </c>
      <c r="AD718" s="6018">
        <v>1987</v>
      </c>
      <c r="AE718" s="6018">
        <v>3831</v>
      </c>
      <c r="AF718" s="6019">
        <v>4578</v>
      </c>
    </row>
    <row r="719" spans="1:32" ht="13.5">
      <c r="A719" s="6018">
        <v>35700</v>
      </c>
      <c r="B719" s="6019">
        <v>35750</v>
      </c>
      <c r="C719" s="6020">
        <f t="shared" si="84"/>
        <v>0</v>
      </c>
      <c r="D719" s="6018">
        <f t="shared" si="85"/>
        <v>1028</v>
      </c>
      <c r="E719" s="6018">
        <f t="shared" si="86"/>
        <v>2567</v>
      </c>
      <c r="F719" s="6019">
        <v>3315</v>
      </c>
      <c r="G719" s="6020">
        <f t="shared" si="81"/>
        <v>0</v>
      </c>
      <c r="H719" s="6018">
        <f t="shared" si="82"/>
        <v>1979</v>
      </c>
      <c r="I719" s="6018">
        <f t="shared" si="83"/>
        <v>3820</v>
      </c>
      <c r="J719" s="6019">
        <v>4568</v>
      </c>
      <c r="K719" s="1732"/>
      <c r="L719" s="6018">
        <v>35725</v>
      </c>
      <c r="W719" s="6018">
        <v>35700</v>
      </c>
      <c r="X719" s="6019">
        <v>35750</v>
      </c>
      <c r="Y719" s="6018">
        <v>0</v>
      </c>
      <c r="Z719" s="6018">
        <v>1028</v>
      </c>
      <c r="AA719" s="6018">
        <v>2567</v>
      </c>
      <c r="AB719" s="6019">
        <v>3315</v>
      </c>
      <c r="AC719" s="6018">
        <v>0</v>
      </c>
      <c r="AD719" s="6018">
        <v>1979</v>
      </c>
      <c r="AE719" s="6018">
        <v>3820</v>
      </c>
      <c r="AF719" s="6019">
        <v>4568</v>
      </c>
    </row>
    <row r="720" spans="1:32" ht="13.5">
      <c r="A720" s="6018">
        <v>35750</v>
      </c>
      <c r="B720" s="6019">
        <v>35800</v>
      </c>
      <c r="C720" s="6020">
        <f t="shared" si="84"/>
        <v>0</v>
      </c>
      <c r="D720" s="6018">
        <f t="shared" si="85"/>
        <v>1020</v>
      </c>
      <c r="E720" s="6018">
        <f t="shared" si="86"/>
        <v>2557</v>
      </c>
      <c r="F720" s="6019">
        <v>3304</v>
      </c>
      <c r="G720" s="6020">
        <f t="shared" si="81"/>
        <v>0</v>
      </c>
      <c r="H720" s="6018">
        <f t="shared" si="82"/>
        <v>1971</v>
      </c>
      <c r="I720" s="6018">
        <f t="shared" si="83"/>
        <v>3810</v>
      </c>
      <c r="J720" s="6019">
        <v>4557</v>
      </c>
      <c r="K720" s="1732"/>
      <c r="L720" s="6018">
        <v>35775</v>
      </c>
      <c r="W720" s="6018">
        <v>35750</v>
      </c>
      <c r="X720" s="6019">
        <v>35800</v>
      </c>
      <c r="Y720" s="6018">
        <v>0</v>
      </c>
      <c r="Z720" s="6018">
        <v>1020</v>
      </c>
      <c r="AA720" s="6018">
        <v>2557</v>
      </c>
      <c r="AB720" s="6019">
        <v>3304</v>
      </c>
      <c r="AC720" s="6018">
        <v>0</v>
      </c>
      <c r="AD720" s="6018">
        <v>1971</v>
      </c>
      <c r="AE720" s="6018">
        <v>3810</v>
      </c>
      <c r="AF720" s="6019">
        <v>4557</v>
      </c>
    </row>
    <row r="721" spans="1:32" ht="13.5">
      <c r="A721" s="6018">
        <v>35800</v>
      </c>
      <c r="B721" s="6019">
        <v>35850</v>
      </c>
      <c r="C721" s="6020">
        <f t="shared" si="84"/>
        <v>0</v>
      </c>
      <c r="D721" s="6018">
        <f t="shared" si="85"/>
        <v>1012</v>
      </c>
      <c r="E721" s="6018">
        <f t="shared" si="86"/>
        <v>2546</v>
      </c>
      <c r="F721" s="6019">
        <v>3294</v>
      </c>
      <c r="G721" s="6020">
        <f t="shared" si="81"/>
        <v>0</v>
      </c>
      <c r="H721" s="6018">
        <f t="shared" si="82"/>
        <v>1963</v>
      </c>
      <c r="I721" s="6018">
        <f t="shared" si="83"/>
        <v>3799</v>
      </c>
      <c r="J721" s="6019">
        <v>4547</v>
      </c>
      <c r="K721" s="1732"/>
      <c r="L721" s="6018">
        <v>35825</v>
      </c>
      <c r="W721" s="6018">
        <v>35800</v>
      </c>
      <c r="X721" s="6019">
        <v>35850</v>
      </c>
      <c r="Y721" s="6018">
        <v>0</v>
      </c>
      <c r="Z721" s="6018">
        <v>1012</v>
      </c>
      <c r="AA721" s="6018">
        <v>2546</v>
      </c>
      <c r="AB721" s="6019">
        <v>3294</v>
      </c>
      <c r="AC721" s="6018">
        <v>0</v>
      </c>
      <c r="AD721" s="6018">
        <v>1963</v>
      </c>
      <c r="AE721" s="6018">
        <v>3799</v>
      </c>
      <c r="AF721" s="6019">
        <v>4547</v>
      </c>
    </row>
    <row r="722" spans="1:32" ht="13.5">
      <c r="A722" s="6018">
        <v>35850</v>
      </c>
      <c r="B722" s="6019">
        <v>35900</v>
      </c>
      <c r="C722" s="6020">
        <f t="shared" si="84"/>
        <v>0</v>
      </c>
      <c r="D722" s="6018">
        <f t="shared" si="85"/>
        <v>1004</v>
      </c>
      <c r="E722" s="6018">
        <f t="shared" si="86"/>
        <v>2536</v>
      </c>
      <c r="F722" s="6019">
        <v>3283</v>
      </c>
      <c r="G722" s="6020">
        <f t="shared" si="81"/>
        <v>0</v>
      </c>
      <c r="H722" s="6018">
        <f t="shared" si="82"/>
        <v>1955</v>
      </c>
      <c r="I722" s="6018">
        <f t="shared" si="83"/>
        <v>3789</v>
      </c>
      <c r="J722" s="6019">
        <v>4536</v>
      </c>
      <c r="K722" s="1732"/>
      <c r="L722" s="6018">
        <v>35875</v>
      </c>
      <c r="W722" s="6018">
        <v>35850</v>
      </c>
      <c r="X722" s="6019">
        <v>35900</v>
      </c>
      <c r="Y722" s="6018">
        <v>0</v>
      </c>
      <c r="Z722" s="6018">
        <v>1004</v>
      </c>
      <c r="AA722" s="6018">
        <v>2536</v>
      </c>
      <c r="AB722" s="6019">
        <v>3283</v>
      </c>
      <c r="AC722" s="6018">
        <v>0</v>
      </c>
      <c r="AD722" s="6018">
        <v>1955</v>
      </c>
      <c r="AE722" s="6018">
        <v>3789</v>
      </c>
      <c r="AF722" s="6019">
        <v>4536</v>
      </c>
    </row>
    <row r="723" spans="1:32" ht="13.5">
      <c r="A723" s="6018">
        <v>35900</v>
      </c>
      <c r="B723" s="6019">
        <v>35950</v>
      </c>
      <c r="C723" s="6020">
        <f t="shared" si="84"/>
        <v>0</v>
      </c>
      <c r="D723" s="6018">
        <f t="shared" si="85"/>
        <v>996</v>
      </c>
      <c r="E723" s="6018">
        <f t="shared" si="86"/>
        <v>2525</v>
      </c>
      <c r="F723" s="6019">
        <v>3273</v>
      </c>
      <c r="G723" s="6020">
        <f t="shared" si="81"/>
        <v>0</v>
      </c>
      <c r="H723" s="6018">
        <f t="shared" si="82"/>
        <v>1947</v>
      </c>
      <c r="I723" s="6018">
        <f t="shared" si="83"/>
        <v>3778</v>
      </c>
      <c r="J723" s="6019">
        <v>4526</v>
      </c>
      <c r="K723" s="1732"/>
      <c r="L723" s="6018">
        <v>35925</v>
      </c>
      <c r="W723" s="6018">
        <v>35900</v>
      </c>
      <c r="X723" s="6019">
        <v>35950</v>
      </c>
      <c r="Y723" s="6018">
        <v>0</v>
      </c>
      <c r="Z723" s="6018">
        <v>996</v>
      </c>
      <c r="AA723" s="6018">
        <v>2525</v>
      </c>
      <c r="AB723" s="6019">
        <v>3273</v>
      </c>
      <c r="AC723" s="6018">
        <v>0</v>
      </c>
      <c r="AD723" s="6018">
        <v>1947</v>
      </c>
      <c r="AE723" s="6018">
        <v>3778</v>
      </c>
      <c r="AF723" s="6019">
        <v>4526</v>
      </c>
    </row>
    <row r="724" spans="1:32" ht="13.5">
      <c r="A724" s="6018">
        <v>35950</v>
      </c>
      <c r="B724" s="6019">
        <v>36000</v>
      </c>
      <c r="C724" s="6020">
        <f t="shared" si="84"/>
        <v>0</v>
      </c>
      <c r="D724" s="6018">
        <f t="shared" si="85"/>
        <v>988</v>
      </c>
      <c r="E724" s="6018">
        <f t="shared" si="86"/>
        <v>2515</v>
      </c>
      <c r="F724" s="6019">
        <v>3262</v>
      </c>
      <c r="G724" s="6020">
        <f t="shared" si="81"/>
        <v>0</v>
      </c>
      <c r="H724" s="6018">
        <f t="shared" si="82"/>
        <v>1939</v>
      </c>
      <c r="I724" s="6018">
        <f t="shared" si="83"/>
        <v>3768</v>
      </c>
      <c r="J724" s="6019">
        <v>4515</v>
      </c>
      <c r="K724" s="1732"/>
      <c r="L724" s="6018">
        <v>35975</v>
      </c>
      <c r="W724" s="6018">
        <v>35950</v>
      </c>
      <c r="X724" s="6019">
        <v>36000</v>
      </c>
      <c r="Y724" s="6018">
        <v>0</v>
      </c>
      <c r="Z724" s="6018">
        <v>988</v>
      </c>
      <c r="AA724" s="6018">
        <v>2515</v>
      </c>
      <c r="AB724" s="6019">
        <v>3262</v>
      </c>
      <c r="AC724" s="6018">
        <v>0</v>
      </c>
      <c r="AD724" s="6018">
        <v>1939</v>
      </c>
      <c r="AE724" s="6018">
        <v>3768</v>
      </c>
      <c r="AF724" s="6019">
        <v>4515</v>
      </c>
    </row>
    <row r="725" spans="1:32" ht="13.5">
      <c r="A725" s="6018">
        <v>36000</v>
      </c>
      <c r="B725" s="6019">
        <v>36050</v>
      </c>
      <c r="C725" s="6020">
        <f t="shared" si="84"/>
        <v>0</v>
      </c>
      <c r="D725" s="6018">
        <f t="shared" si="85"/>
        <v>980</v>
      </c>
      <c r="E725" s="6018">
        <f t="shared" si="86"/>
        <v>2504</v>
      </c>
      <c r="F725" s="6019">
        <v>3252</v>
      </c>
      <c r="G725" s="6020">
        <f t="shared" si="81"/>
        <v>0</v>
      </c>
      <c r="H725" s="6018">
        <f t="shared" si="82"/>
        <v>1931</v>
      </c>
      <c r="I725" s="6018">
        <f t="shared" si="83"/>
        <v>3757</v>
      </c>
      <c r="J725" s="6019">
        <v>4505</v>
      </c>
      <c r="K725" s="1732"/>
      <c r="L725" s="6018">
        <v>36025</v>
      </c>
      <c r="W725" s="6018">
        <v>36000</v>
      </c>
      <c r="X725" s="6019">
        <v>36050</v>
      </c>
      <c r="Y725" s="6018">
        <v>0</v>
      </c>
      <c r="Z725" s="6018">
        <v>980</v>
      </c>
      <c r="AA725" s="6018">
        <v>2504</v>
      </c>
      <c r="AB725" s="6019">
        <v>3252</v>
      </c>
      <c r="AC725" s="6018">
        <v>0</v>
      </c>
      <c r="AD725" s="6018">
        <v>1931</v>
      </c>
      <c r="AE725" s="6018">
        <v>3757</v>
      </c>
      <c r="AF725" s="6019">
        <v>4505</v>
      </c>
    </row>
    <row r="726" spans="1:32" ht="13.5">
      <c r="A726" s="6018">
        <v>36050</v>
      </c>
      <c r="B726" s="6019">
        <v>36100</v>
      </c>
      <c r="C726" s="6020">
        <f t="shared" si="84"/>
        <v>0</v>
      </c>
      <c r="D726" s="6018">
        <f t="shared" si="85"/>
        <v>972</v>
      </c>
      <c r="E726" s="6018">
        <f t="shared" si="86"/>
        <v>2494</v>
      </c>
      <c r="F726" s="6019">
        <v>3241</v>
      </c>
      <c r="G726" s="6020">
        <f t="shared" si="81"/>
        <v>0</v>
      </c>
      <c r="H726" s="6018">
        <f t="shared" si="82"/>
        <v>1923</v>
      </c>
      <c r="I726" s="6018">
        <f t="shared" si="83"/>
        <v>3747</v>
      </c>
      <c r="J726" s="6019">
        <v>4494</v>
      </c>
      <c r="K726" s="1732"/>
      <c r="L726" s="6018">
        <v>36075</v>
      </c>
      <c r="W726" s="6018">
        <v>36050</v>
      </c>
      <c r="X726" s="6019">
        <v>36100</v>
      </c>
      <c r="Y726" s="6018">
        <v>0</v>
      </c>
      <c r="Z726" s="6018">
        <v>972</v>
      </c>
      <c r="AA726" s="6018">
        <v>2494</v>
      </c>
      <c r="AB726" s="6019">
        <v>3241</v>
      </c>
      <c r="AC726" s="6018">
        <v>0</v>
      </c>
      <c r="AD726" s="6018">
        <v>1923</v>
      </c>
      <c r="AE726" s="6018">
        <v>3747</v>
      </c>
      <c r="AF726" s="6019">
        <v>4494</v>
      </c>
    </row>
    <row r="727" spans="1:32" ht="13.5">
      <c r="A727" s="6018">
        <v>36100</v>
      </c>
      <c r="B727" s="6019">
        <v>36150</v>
      </c>
      <c r="C727" s="6020">
        <f t="shared" si="84"/>
        <v>0</v>
      </c>
      <c r="D727" s="6018">
        <f t="shared" si="85"/>
        <v>964</v>
      </c>
      <c r="E727" s="6018">
        <f t="shared" si="86"/>
        <v>2483</v>
      </c>
      <c r="F727" s="6019">
        <v>3230</v>
      </c>
      <c r="G727" s="6020">
        <f t="shared" si="81"/>
        <v>0</v>
      </c>
      <c r="H727" s="6018">
        <f t="shared" si="82"/>
        <v>1915</v>
      </c>
      <c r="I727" s="6018">
        <f t="shared" si="83"/>
        <v>3736</v>
      </c>
      <c r="J727" s="6019">
        <v>4484</v>
      </c>
      <c r="K727" s="1732"/>
      <c r="L727" s="6018">
        <v>36125</v>
      </c>
      <c r="W727" s="6018">
        <v>36100</v>
      </c>
      <c r="X727" s="6019">
        <v>36150</v>
      </c>
      <c r="Y727" s="6018">
        <v>0</v>
      </c>
      <c r="Z727" s="6018">
        <v>964</v>
      </c>
      <c r="AA727" s="6018">
        <v>2483</v>
      </c>
      <c r="AB727" s="6019">
        <v>3230</v>
      </c>
      <c r="AC727" s="6018">
        <v>0</v>
      </c>
      <c r="AD727" s="6018">
        <v>1915</v>
      </c>
      <c r="AE727" s="6018">
        <v>3736</v>
      </c>
      <c r="AF727" s="6019">
        <v>4484</v>
      </c>
    </row>
    <row r="728" spans="1:32" ht="13.5">
      <c r="A728" s="6018">
        <v>36150</v>
      </c>
      <c r="B728" s="6019">
        <v>36200</v>
      </c>
      <c r="C728" s="6020">
        <f t="shared" si="84"/>
        <v>0</v>
      </c>
      <c r="D728" s="6018">
        <f t="shared" si="85"/>
        <v>956</v>
      </c>
      <c r="E728" s="6018">
        <f t="shared" si="86"/>
        <v>2472</v>
      </c>
      <c r="F728" s="6019">
        <v>3220</v>
      </c>
      <c r="G728" s="6020">
        <f t="shared" si="81"/>
        <v>0</v>
      </c>
      <c r="H728" s="6018">
        <f t="shared" si="82"/>
        <v>1907</v>
      </c>
      <c r="I728" s="6018">
        <f t="shared" si="83"/>
        <v>3726</v>
      </c>
      <c r="J728" s="6019">
        <v>4473</v>
      </c>
      <c r="K728" s="1732"/>
      <c r="L728" s="6018">
        <v>36175</v>
      </c>
      <c r="W728" s="6018">
        <v>36150</v>
      </c>
      <c r="X728" s="6019">
        <v>36200</v>
      </c>
      <c r="Y728" s="6018">
        <v>0</v>
      </c>
      <c r="Z728" s="6018">
        <v>956</v>
      </c>
      <c r="AA728" s="6018">
        <v>2472</v>
      </c>
      <c r="AB728" s="6019">
        <v>3220</v>
      </c>
      <c r="AC728" s="6018">
        <v>0</v>
      </c>
      <c r="AD728" s="6018">
        <v>1907</v>
      </c>
      <c r="AE728" s="6018">
        <v>3726</v>
      </c>
      <c r="AF728" s="6019">
        <v>4473</v>
      </c>
    </row>
    <row r="729" spans="1:32" ht="13.5">
      <c r="A729" s="6018">
        <v>36200</v>
      </c>
      <c r="B729" s="6019">
        <v>36250</v>
      </c>
      <c r="C729" s="6020">
        <f t="shared" si="84"/>
        <v>0</v>
      </c>
      <c r="D729" s="6018">
        <f t="shared" si="85"/>
        <v>948</v>
      </c>
      <c r="E729" s="6018">
        <f t="shared" si="86"/>
        <v>2462</v>
      </c>
      <c r="F729" s="6019">
        <v>3209</v>
      </c>
      <c r="G729" s="6020">
        <f t="shared" si="81"/>
        <v>0</v>
      </c>
      <c r="H729" s="6018">
        <f t="shared" si="82"/>
        <v>1899</v>
      </c>
      <c r="I729" s="6018">
        <f t="shared" si="83"/>
        <v>3715</v>
      </c>
      <c r="J729" s="6019">
        <v>4462</v>
      </c>
      <c r="K729" s="1732"/>
      <c r="L729" s="6018">
        <v>36225</v>
      </c>
      <c r="W729" s="6018">
        <v>36200</v>
      </c>
      <c r="X729" s="6019">
        <v>36250</v>
      </c>
      <c r="Y729" s="6018">
        <v>0</v>
      </c>
      <c r="Z729" s="6018">
        <v>948</v>
      </c>
      <c r="AA729" s="6018">
        <v>2462</v>
      </c>
      <c r="AB729" s="6019">
        <v>3209</v>
      </c>
      <c r="AC729" s="6018">
        <v>0</v>
      </c>
      <c r="AD729" s="6018">
        <v>1899</v>
      </c>
      <c r="AE729" s="6018">
        <v>3715</v>
      </c>
      <c r="AF729" s="6019">
        <v>4462</v>
      </c>
    </row>
    <row r="730" spans="1:32" ht="13.5">
      <c r="A730" s="6018">
        <v>36250</v>
      </c>
      <c r="B730" s="6019">
        <v>36300</v>
      </c>
      <c r="C730" s="6020">
        <f t="shared" si="84"/>
        <v>0</v>
      </c>
      <c r="D730" s="6018">
        <f t="shared" si="85"/>
        <v>940</v>
      </c>
      <c r="E730" s="6018">
        <f t="shared" si="86"/>
        <v>2451</v>
      </c>
      <c r="F730" s="6019">
        <v>3199</v>
      </c>
      <c r="G730" s="6020">
        <f t="shared" si="81"/>
        <v>0</v>
      </c>
      <c r="H730" s="6018">
        <f t="shared" si="82"/>
        <v>1891</v>
      </c>
      <c r="I730" s="6018">
        <f t="shared" si="83"/>
        <v>3704</v>
      </c>
      <c r="J730" s="6019">
        <v>4452</v>
      </c>
      <c r="K730" s="1732"/>
      <c r="L730" s="6018">
        <v>36275</v>
      </c>
      <c r="W730" s="6018">
        <v>36250</v>
      </c>
      <c r="X730" s="6019">
        <v>36300</v>
      </c>
      <c r="Y730" s="6018">
        <v>0</v>
      </c>
      <c r="Z730" s="6018">
        <v>940</v>
      </c>
      <c r="AA730" s="6018">
        <v>2451</v>
      </c>
      <c r="AB730" s="6019">
        <v>3199</v>
      </c>
      <c r="AC730" s="6018">
        <v>0</v>
      </c>
      <c r="AD730" s="6018">
        <v>1891</v>
      </c>
      <c r="AE730" s="6018">
        <v>3704</v>
      </c>
      <c r="AF730" s="6019">
        <v>4452</v>
      </c>
    </row>
    <row r="731" spans="1:32" ht="13.5">
      <c r="A731" s="6018">
        <v>36300</v>
      </c>
      <c r="B731" s="6019">
        <v>36350</v>
      </c>
      <c r="C731" s="6020">
        <f t="shared" si="84"/>
        <v>0</v>
      </c>
      <c r="D731" s="6018">
        <f t="shared" si="85"/>
        <v>932</v>
      </c>
      <c r="E731" s="6018">
        <f t="shared" si="86"/>
        <v>2441</v>
      </c>
      <c r="F731" s="6019">
        <v>3188</v>
      </c>
      <c r="G731" s="6020">
        <f t="shared" si="81"/>
        <v>0</v>
      </c>
      <c r="H731" s="6018">
        <f t="shared" si="82"/>
        <v>1883</v>
      </c>
      <c r="I731" s="6018">
        <f t="shared" si="83"/>
        <v>3694</v>
      </c>
      <c r="J731" s="6019">
        <v>4441</v>
      </c>
      <c r="K731" s="1732"/>
      <c r="L731" s="6018">
        <v>36325</v>
      </c>
      <c r="W731" s="6018">
        <v>36300</v>
      </c>
      <c r="X731" s="6019">
        <v>36350</v>
      </c>
      <c r="Y731" s="6018">
        <v>0</v>
      </c>
      <c r="Z731" s="6018">
        <v>932</v>
      </c>
      <c r="AA731" s="6018">
        <v>2441</v>
      </c>
      <c r="AB731" s="6019">
        <v>3188</v>
      </c>
      <c r="AC731" s="6018">
        <v>0</v>
      </c>
      <c r="AD731" s="6018">
        <v>1883</v>
      </c>
      <c r="AE731" s="6018">
        <v>3694</v>
      </c>
      <c r="AF731" s="6019">
        <v>4441</v>
      </c>
    </row>
    <row r="732" spans="1:32" ht="13.5">
      <c r="A732" s="6018">
        <v>36350</v>
      </c>
      <c r="B732" s="6019">
        <v>36400</v>
      </c>
      <c r="C732" s="6020">
        <f t="shared" si="84"/>
        <v>0</v>
      </c>
      <c r="D732" s="6018">
        <f t="shared" si="85"/>
        <v>924</v>
      </c>
      <c r="E732" s="6018">
        <f t="shared" si="86"/>
        <v>2430</v>
      </c>
      <c r="F732" s="6019">
        <v>3178</v>
      </c>
      <c r="G732" s="6020">
        <f t="shared" si="81"/>
        <v>0</v>
      </c>
      <c r="H732" s="6018">
        <f t="shared" si="82"/>
        <v>1875</v>
      </c>
      <c r="I732" s="6018">
        <f t="shared" si="83"/>
        <v>3683</v>
      </c>
      <c r="J732" s="6019">
        <v>4431</v>
      </c>
      <c r="K732" s="1732"/>
      <c r="L732" s="6018">
        <v>36375</v>
      </c>
      <c r="W732" s="6018">
        <v>36350</v>
      </c>
      <c r="X732" s="6019">
        <v>36400</v>
      </c>
      <c r="Y732" s="6018">
        <v>0</v>
      </c>
      <c r="Z732" s="6018">
        <v>924</v>
      </c>
      <c r="AA732" s="6018">
        <v>2430</v>
      </c>
      <c r="AB732" s="6019">
        <v>3178</v>
      </c>
      <c r="AC732" s="6018">
        <v>0</v>
      </c>
      <c r="AD732" s="6018">
        <v>1875</v>
      </c>
      <c r="AE732" s="6018">
        <v>3683</v>
      </c>
      <c r="AF732" s="6019">
        <v>4431</v>
      </c>
    </row>
    <row r="733" spans="1:32" ht="13.5">
      <c r="A733" s="6018">
        <v>36400</v>
      </c>
      <c r="B733" s="6019">
        <v>36450</v>
      </c>
      <c r="C733" s="6020">
        <f t="shared" si="84"/>
        <v>0</v>
      </c>
      <c r="D733" s="6018">
        <f t="shared" si="85"/>
        <v>916</v>
      </c>
      <c r="E733" s="6018">
        <f t="shared" si="86"/>
        <v>2420</v>
      </c>
      <c r="F733" s="6019">
        <v>3167</v>
      </c>
      <c r="G733" s="6020">
        <f t="shared" si="81"/>
        <v>0</v>
      </c>
      <c r="H733" s="6018">
        <f t="shared" si="82"/>
        <v>1867</v>
      </c>
      <c r="I733" s="6018">
        <f t="shared" si="83"/>
        <v>3673</v>
      </c>
      <c r="J733" s="6019">
        <v>4420</v>
      </c>
      <c r="K733" s="1732"/>
      <c r="L733" s="6018">
        <v>36425</v>
      </c>
      <c r="W733" s="6018">
        <v>36400</v>
      </c>
      <c r="X733" s="6019">
        <v>36450</v>
      </c>
      <c r="Y733" s="6018">
        <v>0</v>
      </c>
      <c r="Z733" s="6018">
        <v>916</v>
      </c>
      <c r="AA733" s="6018">
        <v>2420</v>
      </c>
      <c r="AB733" s="6019">
        <v>3167</v>
      </c>
      <c r="AC733" s="6018">
        <v>0</v>
      </c>
      <c r="AD733" s="6018">
        <v>1867</v>
      </c>
      <c r="AE733" s="6018">
        <v>3673</v>
      </c>
      <c r="AF733" s="6019">
        <v>4420</v>
      </c>
    </row>
    <row r="734" spans="1:32" ht="13.5">
      <c r="A734" s="6018">
        <v>36450</v>
      </c>
      <c r="B734" s="6019">
        <v>36500</v>
      </c>
      <c r="C734" s="6020">
        <f t="shared" si="84"/>
        <v>0</v>
      </c>
      <c r="D734" s="6018">
        <f t="shared" si="85"/>
        <v>908</v>
      </c>
      <c r="E734" s="6018">
        <f t="shared" si="86"/>
        <v>2409</v>
      </c>
      <c r="F734" s="6019">
        <v>3157</v>
      </c>
      <c r="G734" s="6020">
        <f t="shared" si="81"/>
        <v>0</v>
      </c>
      <c r="H734" s="6018">
        <f t="shared" si="82"/>
        <v>1859</v>
      </c>
      <c r="I734" s="6018">
        <f t="shared" si="83"/>
        <v>3662</v>
      </c>
      <c r="J734" s="6019">
        <v>4410</v>
      </c>
      <c r="K734" s="1732"/>
      <c r="L734" s="6018">
        <v>36475</v>
      </c>
      <c r="W734" s="6018">
        <v>36450</v>
      </c>
      <c r="X734" s="6019">
        <v>36500</v>
      </c>
      <c r="Y734" s="6018">
        <v>0</v>
      </c>
      <c r="Z734" s="6018">
        <v>908</v>
      </c>
      <c r="AA734" s="6018">
        <v>2409</v>
      </c>
      <c r="AB734" s="6019">
        <v>3157</v>
      </c>
      <c r="AC734" s="6018">
        <v>0</v>
      </c>
      <c r="AD734" s="6018">
        <v>1859</v>
      </c>
      <c r="AE734" s="6018">
        <v>3662</v>
      </c>
      <c r="AF734" s="6019">
        <v>4410</v>
      </c>
    </row>
    <row r="735" spans="1:32" ht="13.5">
      <c r="A735" s="6018">
        <v>36500</v>
      </c>
      <c r="B735" s="6019">
        <v>36550</v>
      </c>
      <c r="C735" s="6020">
        <f t="shared" si="84"/>
        <v>0</v>
      </c>
      <c r="D735" s="6018">
        <f t="shared" si="85"/>
        <v>900</v>
      </c>
      <c r="E735" s="6018">
        <f t="shared" si="86"/>
        <v>2399</v>
      </c>
      <c r="F735" s="6019">
        <v>3146</v>
      </c>
      <c r="G735" s="6020">
        <f t="shared" si="81"/>
        <v>0</v>
      </c>
      <c r="H735" s="6018">
        <f t="shared" si="82"/>
        <v>1851</v>
      </c>
      <c r="I735" s="6018">
        <f t="shared" si="83"/>
        <v>3652</v>
      </c>
      <c r="J735" s="6019">
        <v>4399</v>
      </c>
      <c r="K735" s="1732"/>
      <c r="L735" s="6018">
        <v>36525</v>
      </c>
      <c r="W735" s="6018">
        <v>36500</v>
      </c>
      <c r="X735" s="6019">
        <v>36550</v>
      </c>
      <c r="Y735" s="6018">
        <v>0</v>
      </c>
      <c r="Z735" s="6018">
        <v>900</v>
      </c>
      <c r="AA735" s="6018">
        <v>2399</v>
      </c>
      <c r="AB735" s="6019">
        <v>3146</v>
      </c>
      <c r="AC735" s="6018">
        <v>0</v>
      </c>
      <c r="AD735" s="6018">
        <v>1851</v>
      </c>
      <c r="AE735" s="6018">
        <v>3652</v>
      </c>
      <c r="AF735" s="6019">
        <v>4399</v>
      </c>
    </row>
    <row r="736" spans="1:32" ht="13.5">
      <c r="A736" s="6018">
        <v>36550</v>
      </c>
      <c r="B736" s="6019">
        <v>36600</v>
      </c>
      <c r="C736" s="6020">
        <f t="shared" si="84"/>
        <v>0</v>
      </c>
      <c r="D736" s="6018">
        <f t="shared" si="85"/>
        <v>892</v>
      </c>
      <c r="E736" s="6018">
        <f t="shared" si="86"/>
        <v>2388</v>
      </c>
      <c r="F736" s="6019">
        <v>3136</v>
      </c>
      <c r="G736" s="6020">
        <f t="shared" si="81"/>
        <v>0</v>
      </c>
      <c r="H736" s="6018">
        <f t="shared" si="82"/>
        <v>1843</v>
      </c>
      <c r="I736" s="6018">
        <f t="shared" si="83"/>
        <v>3641</v>
      </c>
      <c r="J736" s="6019">
        <v>4389</v>
      </c>
      <c r="K736" s="1732"/>
      <c r="L736" s="6018">
        <v>36575</v>
      </c>
      <c r="W736" s="6018">
        <v>36550</v>
      </c>
      <c r="X736" s="6019">
        <v>36600</v>
      </c>
      <c r="Y736" s="6018">
        <v>0</v>
      </c>
      <c r="Z736" s="6018">
        <v>892</v>
      </c>
      <c r="AA736" s="6018">
        <v>2388</v>
      </c>
      <c r="AB736" s="6019">
        <v>3136</v>
      </c>
      <c r="AC736" s="6018">
        <v>0</v>
      </c>
      <c r="AD736" s="6018">
        <v>1843</v>
      </c>
      <c r="AE736" s="6018">
        <v>3641</v>
      </c>
      <c r="AF736" s="6019">
        <v>4389</v>
      </c>
    </row>
    <row r="737" spans="1:32" ht="13.5">
      <c r="A737" s="6018">
        <v>36600</v>
      </c>
      <c r="B737" s="6019">
        <v>36650</v>
      </c>
      <c r="C737" s="6020">
        <f t="shared" si="84"/>
        <v>0</v>
      </c>
      <c r="D737" s="6018">
        <f t="shared" si="85"/>
        <v>884</v>
      </c>
      <c r="E737" s="6018">
        <f t="shared" si="86"/>
        <v>2378</v>
      </c>
      <c r="F737" s="6019">
        <v>3125</v>
      </c>
      <c r="G737" s="6020">
        <f t="shared" si="81"/>
        <v>0</v>
      </c>
      <c r="H737" s="6018">
        <f t="shared" si="82"/>
        <v>1835</v>
      </c>
      <c r="I737" s="6018">
        <f t="shared" si="83"/>
        <v>3631</v>
      </c>
      <c r="J737" s="6019">
        <v>4378</v>
      </c>
      <c r="K737" s="1732"/>
      <c r="L737" s="6018">
        <v>36625</v>
      </c>
      <c r="W737" s="6018">
        <v>36600</v>
      </c>
      <c r="X737" s="6019">
        <v>36650</v>
      </c>
      <c r="Y737" s="6018">
        <v>0</v>
      </c>
      <c r="Z737" s="6018">
        <v>884</v>
      </c>
      <c r="AA737" s="6018">
        <v>2378</v>
      </c>
      <c r="AB737" s="6019">
        <v>3125</v>
      </c>
      <c r="AC737" s="6018">
        <v>0</v>
      </c>
      <c r="AD737" s="6018">
        <v>1835</v>
      </c>
      <c r="AE737" s="6018">
        <v>3631</v>
      </c>
      <c r="AF737" s="6019">
        <v>4378</v>
      </c>
    </row>
    <row r="738" spans="1:32" ht="13.5">
      <c r="A738" s="6018">
        <v>36650</v>
      </c>
      <c r="B738" s="6019">
        <v>36700</v>
      </c>
      <c r="C738" s="6020">
        <f t="shared" si="84"/>
        <v>0</v>
      </c>
      <c r="D738" s="6018">
        <f t="shared" si="85"/>
        <v>876</v>
      </c>
      <c r="E738" s="6018">
        <f t="shared" si="86"/>
        <v>2367</v>
      </c>
      <c r="F738" s="6019">
        <v>3115</v>
      </c>
      <c r="G738" s="6020">
        <f t="shared" si="81"/>
        <v>0</v>
      </c>
      <c r="H738" s="6018">
        <f t="shared" si="82"/>
        <v>1827</v>
      </c>
      <c r="I738" s="6018">
        <f t="shared" si="83"/>
        <v>3620</v>
      </c>
      <c r="J738" s="6019">
        <v>4368</v>
      </c>
      <c r="K738" s="1732"/>
      <c r="L738" s="6018">
        <v>36675</v>
      </c>
      <c r="W738" s="6018">
        <v>36650</v>
      </c>
      <c r="X738" s="6019">
        <v>36700</v>
      </c>
      <c r="Y738" s="6018">
        <v>0</v>
      </c>
      <c r="Z738" s="6018">
        <v>876</v>
      </c>
      <c r="AA738" s="6018">
        <v>2367</v>
      </c>
      <c r="AB738" s="6019">
        <v>3115</v>
      </c>
      <c r="AC738" s="6018">
        <v>0</v>
      </c>
      <c r="AD738" s="6018">
        <v>1827</v>
      </c>
      <c r="AE738" s="6018">
        <v>3620</v>
      </c>
      <c r="AF738" s="6019">
        <v>4368</v>
      </c>
    </row>
    <row r="739" spans="1:32" ht="13.5">
      <c r="A739" s="6018">
        <v>36700</v>
      </c>
      <c r="B739" s="6019">
        <v>36750</v>
      </c>
      <c r="C739" s="6020">
        <f t="shared" si="84"/>
        <v>0</v>
      </c>
      <c r="D739" s="6018">
        <f t="shared" si="85"/>
        <v>868</v>
      </c>
      <c r="E739" s="6018">
        <f t="shared" si="86"/>
        <v>2357</v>
      </c>
      <c r="F739" s="6019">
        <v>3104</v>
      </c>
      <c r="G739" s="6020">
        <f t="shared" si="81"/>
        <v>0</v>
      </c>
      <c r="H739" s="6018">
        <f t="shared" si="82"/>
        <v>1819</v>
      </c>
      <c r="I739" s="6018">
        <f t="shared" si="83"/>
        <v>3610</v>
      </c>
      <c r="J739" s="6019">
        <v>4357</v>
      </c>
      <c r="K739" s="1732"/>
      <c r="L739" s="6018">
        <v>36725</v>
      </c>
      <c r="W739" s="6018">
        <v>36700</v>
      </c>
      <c r="X739" s="6019">
        <v>36750</v>
      </c>
      <c r="Y739" s="6018">
        <v>0</v>
      </c>
      <c r="Z739" s="6018">
        <v>868</v>
      </c>
      <c r="AA739" s="6018">
        <v>2357</v>
      </c>
      <c r="AB739" s="6019">
        <v>3104</v>
      </c>
      <c r="AC739" s="6018">
        <v>0</v>
      </c>
      <c r="AD739" s="6018">
        <v>1819</v>
      </c>
      <c r="AE739" s="6018">
        <v>3610</v>
      </c>
      <c r="AF739" s="6019">
        <v>4357</v>
      </c>
    </row>
    <row r="740" spans="1:32" ht="13.5">
      <c r="A740" s="6018">
        <v>36750</v>
      </c>
      <c r="B740" s="6019">
        <v>36800</v>
      </c>
      <c r="C740" s="6020">
        <f t="shared" si="84"/>
        <v>0</v>
      </c>
      <c r="D740" s="6018">
        <f t="shared" si="85"/>
        <v>860</v>
      </c>
      <c r="E740" s="6018">
        <f t="shared" si="86"/>
        <v>2346</v>
      </c>
      <c r="F740" s="6019">
        <v>3094</v>
      </c>
      <c r="G740" s="6020">
        <f t="shared" si="81"/>
        <v>0</v>
      </c>
      <c r="H740" s="6018">
        <f t="shared" si="82"/>
        <v>1811</v>
      </c>
      <c r="I740" s="6018">
        <f t="shared" si="83"/>
        <v>3599</v>
      </c>
      <c r="J740" s="6019">
        <v>4347</v>
      </c>
      <c r="K740" s="1732"/>
      <c r="L740" s="6018">
        <v>36775</v>
      </c>
      <c r="W740" s="6018">
        <v>36750</v>
      </c>
      <c r="X740" s="6019">
        <v>36800</v>
      </c>
      <c r="Y740" s="6018">
        <v>0</v>
      </c>
      <c r="Z740" s="6018">
        <v>860</v>
      </c>
      <c r="AA740" s="6018">
        <v>2346</v>
      </c>
      <c r="AB740" s="6019">
        <v>3094</v>
      </c>
      <c r="AC740" s="6018">
        <v>0</v>
      </c>
      <c r="AD740" s="6018">
        <v>1811</v>
      </c>
      <c r="AE740" s="6018">
        <v>3599</v>
      </c>
      <c r="AF740" s="6019">
        <v>4347</v>
      </c>
    </row>
    <row r="741" spans="1:32" ht="13.5">
      <c r="A741" s="6018">
        <v>36800</v>
      </c>
      <c r="B741" s="6019">
        <v>36850</v>
      </c>
      <c r="C741" s="6020">
        <f t="shared" si="84"/>
        <v>0</v>
      </c>
      <c r="D741" s="6018">
        <f t="shared" si="85"/>
        <v>852</v>
      </c>
      <c r="E741" s="6018">
        <f t="shared" si="86"/>
        <v>2336</v>
      </c>
      <c r="F741" s="6019">
        <v>3083</v>
      </c>
      <c r="G741" s="6020">
        <f t="shared" si="81"/>
        <v>0</v>
      </c>
      <c r="H741" s="6018">
        <f t="shared" si="82"/>
        <v>1803</v>
      </c>
      <c r="I741" s="6018">
        <f t="shared" si="83"/>
        <v>3589</v>
      </c>
      <c r="J741" s="6019">
        <v>4336</v>
      </c>
      <c r="K741" s="1732"/>
      <c r="L741" s="6018">
        <v>36825</v>
      </c>
      <c r="W741" s="6018">
        <v>36800</v>
      </c>
      <c r="X741" s="6019">
        <v>36850</v>
      </c>
      <c r="Y741" s="6018">
        <v>0</v>
      </c>
      <c r="Z741" s="6018">
        <v>852</v>
      </c>
      <c r="AA741" s="6018">
        <v>2336</v>
      </c>
      <c r="AB741" s="6019">
        <v>3083</v>
      </c>
      <c r="AC741" s="6018">
        <v>0</v>
      </c>
      <c r="AD741" s="6018">
        <v>1803</v>
      </c>
      <c r="AE741" s="6018">
        <v>3589</v>
      </c>
      <c r="AF741" s="6019">
        <v>4336</v>
      </c>
    </row>
    <row r="742" spans="1:32" ht="13.5">
      <c r="A742" s="6018">
        <v>36850</v>
      </c>
      <c r="B742" s="6019">
        <v>36900</v>
      </c>
      <c r="C742" s="6020">
        <f t="shared" si="84"/>
        <v>0</v>
      </c>
      <c r="D742" s="6018">
        <f t="shared" si="85"/>
        <v>844</v>
      </c>
      <c r="E742" s="6018">
        <f t="shared" si="86"/>
        <v>2325</v>
      </c>
      <c r="F742" s="6019">
        <v>3073</v>
      </c>
      <c r="G742" s="6020">
        <f t="shared" si="81"/>
        <v>0</v>
      </c>
      <c r="H742" s="6018">
        <f t="shared" si="82"/>
        <v>1795</v>
      </c>
      <c r="I742" s="6018">
        <f t="shared" si="83"/>
        <v>3578</v>
      </c>
      <c r="J742" s="6019">
        <v>4326</v>
      </c>
      <c r="K742" s="1732"/>
      <c r="L742" s="6018">
        <v>36875</v>
      </c>
      <c r="W742" s="6018">
        <v>36850</v>
      </c>
      <c r="X742" s="6019">
        <v>36900</v>
      </c>
      <c r="Y742" s="6018">
        <v>0</v>
      </c>
      <c r="Z742" s="6018">
        <v>844</v>
      </c>
      <c r="AA742" s="6018">
        <v>2325</v>
      </c>
      <c r="AB742" s="6019">
        <v>3073</v>
      </c>
      <c r="AC742" s="6018">
        <v>0</v>
      </c>
      <c r="AD742" s="6018">
        <v>1795</v>
      </c>
      <c r="AE742" s="6018">
        <v>3578</v>
      </c>
      <c r="AF742" s="6019">
        <v>4326</v>
      </c>
    </row>
    <row r="743" spans="1:32" ht="13.5">
      <c r="A743" s="6018">
        <v>36900</v>
      </c>
      <c r="B743" s="6019">
        <v>36950</v>
      </c>
      <c r="C743" s="6020">
        <f t="shared" si="84"/>
        <v>0</v>
      </c>
      <c r="D743" s="6018">
        <f t="shared" si="85"/>
        <v>836</v>
      </c>
      <c r="E743" s="6018">
        <f t="shared" si="86"/>
        <v>2315</v>
      </c>
      <c r="F743" s="6019">
        <v>3062</v>
      </c>
      <c r="G743" s="6020">
        <f t="shared" si="81"/>
        <v>0</v>
      </c>
      <c r="H743" s="6018">
        <f t="shared" si="82"/>
        <v>1787</v>
      </c>
      <c r="I743" s="6018">
        <f t="shared" si="83"/>
        <v>3568</v>
      </c>
      <c r="J743" s="6019">
        <v>4315</v>
      </c>
      <c r="K743" s="1732"/>
      <c r="L743" s="6018">
        <v>36925</v>
      </c>
      <c r="W743" s="6018">
        <v>36900</v>
      </c>
      <c r="X743" s="6019">
        <v>36950</v>
      </c>
      <c r="Y743" s="6018">
        <v>0</v>
      </c>
      <c r="Z743" s="6018">
        <v>836</v>
      </c>
      <c r="AA743" s="6018">
        <v>2315</v>
      </c>
      <c r="AB743" s="6019">
        <v>3062</v>
      </c>
      <c r="AC743" s="6018">
        <v>0</v>
      </c>
      <c r="AD743" s="6018">
        <v>1787</v>
      </c>
      <c r="AE743" s="6018">
        <v>3568</v>
      </c>
      <c r="AF743" s="6019">
        <v>4315</v>
      </c>
    </row>
    <row r="744" spans="1:32" ht="13.5">
      <c r="A744" s="6018">
        <v>36950</v>
      </c>
      <c r="B744" s="6019">
        <v>37000</v>
      </c>
      <c r="C744" s="6020">
        <f t="shared" si="84"/>
        <v>0</v>
      </c>
      <c r="D744" s="6018">
        <f t="shared" si="85"/>
        <v>828</v>
      </c>
      <c r="E744" s="6018">
        <f t="shared" si="86"/>
        <v>2304</v>
      </c>
      <c r="F744" s="6019">
        <v>3051</v>
      </c>
      <c r="G744" s="6020">
        <f t="shared" si="81"/>
        <v>0</v>
      </c>
      <c r="H744" s="6018">
        <f t="shared" si="82"/>
        <v>1779</v>
      </c>
      <c r="I744" s="6018">
        <f t="shared" si="83"/>
        <v>3557</v>
      </c>
      <c r="J744" s="6019">
        <v>4305</v>
      </c>
      <c r="K744" s="1732"/>
      <c r="L744" s="6018">
        <v>36975</v>
      </c>
      <c r="W744" s="6018">
        <v>36950</v>
      </c>
      <c r="X744" s="6019">
        <v>37000</v>
      </c>
      <c r="Y744" s="6018">
        <v>0</v>
      </c>
      <c r="Z744" s="6018">
        <v>828</v>
      </c>
      <c r="AA744" s="6018">
        <v>2304</v>
      </c>
      <c r="AB744" s="6019">
        <v>3051</v>
      </c>
      <c r="AC744" s="6018">
        <v>0</v>
      </c>
      <c r="AD744" s="6018">
        <v>1779</v>
      </c>
      <c r="AE744" s="6018">
        <v>3557</v>
      </c>
      <c r="AF744" s="6019">
        <v>4305</v>
      </c>
    </row>
    <row r="745" spans="1:32" ht="13.5">
      <c r="A745" s="6018">
        <v>37000</v>
      </c>
      <c r="B745" s="6019">
        <v>37050</v>
      </c>
      <c r="C745" s="6020">
        <f t="shared" si="84"/>
        <v>0</v>
      </c>
      <c r="D745" s="6018">
        <f t="shared" si="85"/>
        <v>820</v>
      </c>
      <c r="E745" s="6018">
        <f t="shared" si="86"/>
        <v>2293</v>
      </c>
      <c r="F745" s="6019">
        <v>3041</v>
      </c>
      <c r="G745" s="6020">
        <f t="shared" si="81"/>
        <v>0</v>
      </c>
      <c r="H745" s="6018">
        <f t="shared" si="82"/>
        <v>1771</v>
      </c>
      <c r="I745" s="6018">
        <f t="shared" si="83"/>
        <v>3547</v>
      </c>
      <c r="J745" s="6019">
        <v>4294</v>
      </c>
      <c r="K745" s="1732"/>
      <c r="L745" s="6018">
        <v>37025</v>
      </c>
      <c r="W745" s="6018">
        <v>37000</v>
      </c>
      <c r="X745" s="6019">
        <v>37050</v>
      </c>
      <c r="Y745" s="6018">
        <v>0</v>
      </c>
      <c r="Z745" s="6018">
        <v>820</v>
      </c>
      <c r="AA745" s="6018">
        <v>2293</v>
      </c>
      <c r="AB745" s="6019">
        <v>3041</v>
      </c>
      <c r="AC745" s="6018">
        <v>0</v>
      </c>
      <c r="AD745" s="6018">
        <v>1771</v>
      </c>
      <c r="AE745" s="6018">
        <v>3547</v>
      </c>
      <c r="AF745" s="6019">
        <v>4294</v>
      </c>
    </row>
    <row r="746" spans="1:32" ht="13.5">
      <c r="A746" s="6018">
        <v>37050</v>
      </c>
      <c r="B746" s="6019">
        <v>37100</v>
      </c>
      <c r="C746" s="6020">
        <f t="shared" si="84"/>
        <v>0</v>
      </c>
      <c r="D746" s="6018">
        <f t="shared" si="85"/>
        <v>812</v>
      </c>
      <c r="E746" s="6018">
        <f t="shared" si="86"/>
        <v>2283</v>
      </c>
      <c r="F746" s="6019">
        <v>3030</v>
      </c>
      <c r="G746" s="6020">
        <f t="shared" si="81"/>
        <v>0</v>
      </c>
      <c r="H746" s="6018">
        <f t="shared" si="82"/>
        <v>1763</v>
      </c>
      <c r="I746" s="6018">
        <f t="shared" si="83"/>
        <v>3536</v>
      </c>
      <c r="J746" s="6019">
        <v>4283</v>
      </c>
      <c r="K746" s="1732"/>
      <c r="L746" s="6018">
        <v>37075</v>
      </c>
      <c r="W746" s="6018">
        <v>37050</v>
      </c>
      <c r="X746" s="6019">
        <v>37100</v>
      </c>
      <c r="Y746" s="6018">
        <v>0</v>
      </c>
      <c r="Z746" s="6018">
        <v>812</v>
      </c>
      <c r="AA746" s="6018">
        <v>2283</v>
      </c>
      <c r="AB746" s="6019">
        <v>3030</v>
      </c>
      <c r="AC746" s="6018">
        <v>0</v>
      </c>
      <c r="AD746" s="6018">
        <v>1763</v>
      </c>
      <c r="AE746" s="6018">
        <v>3536</v>
      </c>
      <c r="AF746" s="6019">
        <v>4283</v>
      </c>
    </row>
    <row r="747" spans="1:32" ht="13.5">
      <c r="A747" s="6018">
        <v>37100</v>
      </c>
      <c r="B747" s="6019">
        <v>37150</v>
      </c>
      <c r="C747" s="6020">
        <f t="shared" si="84"/>
        <v>0</v>
      </c>
      <c r="D747" s="6018">
        <f t="shared" si="85"/>
        <v>804</v>
      </c>
      <c r="E747" s="6018">
        <f t="shared" si="86"/>
        <v>2272</v>
      </c>
      <c r="F747" s="6019">
        <v>3020</v>
      </c>
      <c r="G747" s="6020">
        <f t="shared" si="81"/>
        <v>0</v>
      </c>
      <c r="H747" s="6018">
        <f t="shared" si="82"/>
        <v>1755</v>
      </c>
      <c r="I747" s="6018">
        <f t="shared" si="83"/>
        <v>3525</v>
      </c>
      <c r="J747" s="6019">
        <v>4273</v>
      </c>
      <c r="K747" s="1732"/>
      <c r="L747" s="6018">
        <v>37125</v>
      </c>
      <c r="W747" s="6018">
        <v>37100</v>
      </c>
      <c r="X747" s="6019">
        <v>37150</v>
      </c>
      <c r="Y747" s="6018">
        <v>0</v>
      </c>
      <c r="Z747" s="6018">
        <v>804</v>
      </c>
      <c r="AA747" s="6018">
        <v>2272</v>
      </c>
      <c r="AB747" s="6019">
        <v>3020</v>
      </c>
      <c r="AC747" s="6018">
        <v>0</v>
      </c>
      <c r="AD747" s="6018">
        <v>1755</v>
      </c>
      <c r="AE747" s="6018">
        <v>3525</v>
      </c>
      <c r="AF747" s="6019">
        <v>4273</v>
      </c>
    </row>
    <row r="748" spans="1:32" ht="13.5">
      <c r="A748" s="6018">
        <v>37150</v>
      </c>
      <c r="B748" s="6019">
        <v>37200</v>
      </c>
      <c r="C748" s="6020">
        <f t="shared" si="84"/>
        <v>0</v>
      </c>
      <c r="D748" s="6018">
        <f t="shared" si="85"/>
        <v>796</v>
      </c>
      <c r="E748" s="6018">
        <f t="shared" si="86"/>
        <v>2262</v>
      </c>
      <c r="F748" s="6019">
        <v>3009</v>
      </c>
      <c r="G748" s="6020">
        <f t="shared" si="81"/>
        <v>0</v>
      </c>
      <c r="H748" s="6018">
        <f t="shared" si="82"/>
        <v>1747</v>
      </c>
      <c r="I748" s="6018">
        <f t="shared" si="83"/>
        <v>3515</v>
      </c>
      <c r="J748" s="6019">
        <v>4262</v>
      </c>
      <c r="K748" s="1732"/>
      <c r="L748" s="6018">
        <v>37175</v>
      </c>
      <c r="W748" s="6018">
        <v>37150</v>
      </c>
      <c r="X748" s="6019">
        <v>37200</v>
      </c>
      <c r="Y748" s="6018">
        <v>0</v>
      </c>
      <c r="Z748" s="6018">
        <v>796</v>
      </c>
      <c r="AA748" s="6018">
        <v>2262</v>
      </c>
      <c r="AB748" s="6019">
        <v>3009</v>
      </c>
      <c r="AC748" s="6018">
        <v>0</v>
      </c>
      <c r="AD748" s="6018">
        <v>1747</v>
      </c>
      <c r="AE748" s="6018">
        <v>3515</v>
      </c>
      <c r="AF748" s="6019">
        <v>4262</v>
      </c>
    </row>
    <row r="749" spans="1:32" ht="13.5">
      <c r="A749" s="6018">
        <v>37200</v>
      </c>
      <c r="B749" s="6019">
        <v>37250</v>
      </c>
      <c r="C749" s="6020">
        <f t="shared" si="84"/>
        <v>0</v>
      </c>
      <c r="D749" s="6018">
        <f t="shared" si="85"/>
        <v>788</v>
      </c>
      <c r="E749" s="6018">
        <f t="shared" si="86"/>
        <v>2251</v>
      </c>
      <c r="F749" s="6019">
        <v>2999</v>
      </c>
      <c r="G749" s="6020">
        <f t="shared" si="81"/>
        <v>0</v>
      </c>
      <c r="H749" s="6018">
        <f t="shared" si="82"/>
        <v>1739</v>
      </c>
      <c r="I749" s="6018">
        <f t="shared" si="83"/>
        <v>3504</v>
      </c>
      <c r="J749" s="6019">
        <v>4252</v>
      </c>
      <c r="K749" s="1732"/>
      <c r="L749" s="6018">
        <v>37225</v>
      </c>
      <c r="W749" s="6018">
        <v>37200</v>
      </c>
      <c r="X749" s="6019">
        <v>37250</v>
      </c>
      <c r="Y749" s="6018">
        <v>0</v>
      </c>
      <c r="Z749" s="6018">
        <v>788</v>
      </c>
      <c r="AA749" s="6018">
        <v>2251</v>
      </c>
      <c r="AB749" s="6019">
        <v>2999</v>
      </c>
      <c r="AC749" s="6018">
        <v>0</v>
      </c>
      <c r="AD749" s="6018">
        <v>1739</v>
      </c>
      <c r="AE749" s="6018">
        <v>3504</v>
      </c>
      <c r="AF749" s="6019">
        <v>4252</v>
      </c>
    </row>
    <row r="750" spans="1:32" ht="13.5">
      <c r="A750" s="6018">
        <v>37250</v>
      </c>
      <c r="B750" s="6019">
        <v>37300</v>
      </c>
      <c r="C750" s="6020">
        <f t="shared" si="84"/>
        <v>0</v>
      </c>
      <c r="D750" s="6018">
        <f t="shared" si="85"/>
        <v>780</v>
      </c>
      <c r="E750" s="6018">
        <f t="shared" si="86"/>
        <v>2241</v>
      </c>
      <c r="F750" s="6019">
        <v>2988</v>
      </c>
      <c r="G750" s="6020">
        <f t="shared" si="81"/>
        <v>0</v>
      </c>
      <c r="H750" s="6018">
        <f t="shared" si="82"/>
        <v>1731</v>
      </c>
      <c r="I750" s="6018">
        <f t="shared" si="83"/>
        <v>3494</v>
      </c>
      <c r="J750" s="6019">
        <v>4241</v>
      </c>
      <c r="K750" s="1732"/>
      <c r="L750" s="6018">
        <v>37275</v>
      </c>
      <c r="W750" s="6018">
        <v>37250</v>
      </c>
      <c r="X750" s="6019">
        <v>37300</v>
      </c>
      <c r="Y750" s="6018">
        <v>0</v>
      </c>
      <c r="Z750" s="6018">
        <v>780</v>
      </c>
      <c r="AA750" s="6018">
        <v>2241</v>
      </c>
      <c r="AB750" s="6019">
        <v>2988</v>
      </c>
      <c r="AC750" s="6018">
        <v>0</v>
      </c>
      <c r="AD750" s="6018">
        <v>1731</v>
      </c>
      <c r="AE750" s="6018">
        <v>3494</v>
      </c>
      <c r="AF750" s="6019">
        <v>4241</v>
      </c>
    </row>
    <row r="751" spans="1:32" ht="13.5">
      <c r="A751" s="6018">
        <v>37300</v>
      </c>
      <c r="B751" s="6019">
        <v>37350</v>
      </c>
      <c r="C751" s="6020">
        <f t="shared" si="84"/>
        <v>0</v>
      </c>
      <c r="D751" s="6018">
        <f t="shared" si="85"/>
        <v>772</v>
      </c>
      <c r="E751" s="6018">
        <f t="shared" si="86"/>
        <v>2230</v>
      </c>
      <c r="F751" s="6019">
        <v>2978</v>
      </c>
      <c r="G751" s="6020">
        <f t="shared" si="81"/>
        <v>0</v>
      </c>
      <c r="H751" s="6018">
        <f t="shared" si="82"/>
        <v>1723</v>
      </c>
      <c r="I751" s="6018">
        <f t="shared" si="83"/>
        <v>3483</v>
      </c>
      <c r="J751" s="6019">
        <v>4231</v>
      </c>
      <c r="K751" s="1732"/>
      <c r="L751" s="6018">
        <v>37325</v>
      </c>
      <c r="W751" s="6018">
        <v>37300</v>
      </c>
      <c r="X751" s="6019">
        <v>37350</v>
      </c>
      <c r="Y751" s="6018">
        <v>0</v>
      </c>
      <c r="Z751" s="6018">
        <v>772</v>
      </c>
      <c r="AA751" s="6018">
        <v>2230</v>
      </c>
      <c r="AB751" s="6019">
        <v>2978</v>
      </c>
      <c r="AC751" s="6018">
        <v>0</v>
      </c>
      <c r="AD751" s="6018">
        <v>1723</v>
      </c>
      <c r="AE751" s="6018">
        <v>3483</v>
      </c>
      <c r="AF751" s="6019">
        <v>4231</v>
      </c>
    </row>
    <row r="752" spans="1:32" ht="13.5">
      <c r="A752" s="6018">
        <v>37350</v>
      </c>
      <c r="B752" s="6019">
        <v>37400</v>
      </c>
      <c r="C752" s="6020">
        <f t="shared" si="84"/>
        <v>0</v>
      </c>
      <c r="D752" s="6018">
        <f t="shared" si="85"/>
        <v>764</v>
      </c>
      <c r="E752" s="6018">
        <f t="shared" si="86"/>
        <v>2220</v>
      </c>
      <c r="F752" s="6019">
        <v>2967</v>
      </c>
      <c r="G752" s="6020">
        <f t="shared" si="81"/>
        <v>0</v>
      </c>
      <c r="H752" s="6018">
        <f t="shared" si="82"/>
        <v>1715</v>
      </c>
      <c r="I752" s="6018">
        <f t="shared" si="83"/>
        <v>3473</v>
      </c>
      <c r="J752" s="6019">
        <v>4220</v>
      </c>
      <c r="K752" s="1732"/>
      <c r="L752" s="6018">
        <v>37375</v>
      </c>
      <c r="W752" s="6018">
        <v>37350</v>
      </c>
      <c r="X752" s="6019">
        <v>37400</v>
      </c>
      <c r="Y752" s="6018">
        <v>0</v>
      </c>
      <c r="Z752" s="6018">
        <v>764</v>
      </c>
      <c r="AA752" s="6018">
        <v>2220</v>
      </c>
      <c r="AB752" s="6019">
        <v>2967</v>
      </c>
      <c r="AC752" s="6018">
        <v>0</v>
      </c>
      <c r="AD752" s="6018">
        <v>1715</v>
      </c>
      <c r="AE752" s="6018">
        <v>3473</v>
      </c>
      <c r="AF752" s="6019">
        <v>4220</v>
      </c>
    </row>
    <row r="753" spans="1:32" ht="13.5">
      <c r="A753" s="6018">
        <v>37400</v>
      </c>
      <c r="B753" s="6019">
        <v>37450</v>
      </c>
      <c r="C753" s="6020">
        <f t="shared" si="84"/>
        <v>0</v>
      </c>
      <c r="D753" s="6018">
        <f t="shared" si="85"/>
        <v>756</v>
      </c>
      <c r="E753" s="6018">
        <f t="shared" si="86"/>
        <v>2209</v>
      </c>
      <c r="F753" s="6019">
        <v>2957</v>
      </c>
      <c r="G753" s="6020">
        <f t="shared" si="81"/>
        <v>0</v>
      </c>
      <c r="H753" s="6018">
        <f t="shared" si="82"/>
        <v>1707</v>
      </c>
      <c r="I753" s="6018">
        <f t="shared" si="83"/>
        <v>3462</v>
      </c>
      <c r="J753" s="6019">
        <v>4210</v>
      </c>
      <c r="K753" s="1732"/>
      <c r="L753" s="6018">
        <v>37425</v>
      </c>
      <c r="W753" s="6018">
        <v>37400</v>
      </c>
      <c r="X753" s="6019">
        <v>37450</v>
      </c>
      <c r="Y753" s="6018">
        <v>0</v>
      </c>
      <c r="Z753" s="6018">
        <v>756</v>
      </c>
      <c r="AA753" s="6018">
        <v>2209</v>
      </c>
      <c r="AB753" s="6019">
        <v>2957</v>
      </c>
      <c r="AC753" s="6018">
        <v>0</v>
      </c>
      <c r="AD753" s="6018">
        <v>1707</v>
      </c>
      <c r="AE753" s="6018">
        <v>3462</v>
      </c>
      <c r="AF753" s="6019">
        <v>4210</v>
      </c>
    </row>
    <row r="754" spans="1:32" ht="13.5">
      <c r="A754" s="6018">
        <v>37450</v>
      </c>
      <c r="B754" s="6019">
        <v>37500</v>
      </c>
      <c r="C754" s="6020">
        <f t="shared" si="84"/>
        <v>0</v>
      </c>
      <c r="D754" s="6018">
        <f t="shared" si="85"/>
        <v>748</v>
      </c>
      <c r="E754" s="6018">
        <f t="shared" si="86"/>
        <v>2199</v>
      </c>
      <c r="F754" s="6019">
        <v>2946</v>
      </c>
      <c r="G754" s="6020">
        <f t="shared" si="81"/>
        <v>0</v>
      </c>
      <c r="H754" s="6018">
        <f t="shared" si="82"/>
        <v>1699</v>
      </c>
      <c r="I754" s="6018">
        <f t="shared" si="83"/>
        <v>3452</v>
      </c>
      <c r="J754" s="6019">
        <v>4199</v>
      </c>
      <c r="K754" s="1732"/>
      <c r="L754" s="6018">
        <v>37475</v>
      </c>
      <c r="W754" s="6018">
        <v>37450</v>
      </c>
      <c r="X754" s="6019">
        <v>37500</v>
      </c>
      <c r="Y754" s="6018">
        <v>0</v>
      </c>
      <c r="Z754" s="6018">
        <v>748</v>
      </c>
      <c r="AA754" s="6018">
        <v>2199</v>
      </c>
      <c r="AB754" s="6019">
        <v>2946</v>
      </c>
      <c r="AC754" s="6018">
        <v>0</v>
      </c>
      <c r="AD754" s="6018">
        <v>1699</v>
      </c>
      <c r="AE754" s="6018">
        <v>3452</v>
      </c>
      <c r="AF754" s="6019">
        <v>4199</v>
      </c>
    </row>
    <row r="755" spans="1:32" ht="13.5">
      <c r="A755" s="6018">
        <v>37500</v>
      </c>
      <c r="B755" s="6019">
        <v>37550</v>
      </c>
      <c r="C755" s="6020">
        <f t="shared" si="84"/>
        <v>0</v>
      </c>
      <c r="D755" s="6018">
        <f t="shared" si="85"/>
        <v>740</v>
      </c>
      <c r="E755" s="6018">
        <f t="shared" si="86"/>
        <v>2188</v>
      </c>
      <c r="F755" s="6019">
        <v>2936</v>
      </c>
      <c r="G755" s="6020">
        <f t="shared" si="81"/>
        <v>0</v>
      </c>
      <c r="H755" s="6018">
        <f t="shared" si="82"/>
        <v>1691</v>
      </c>
      <c r="I755" s="6018">
        <f t="shared" si="83"/>
        <v>3441</v>
      </c>
      <c r="J755" s="6019">
        <v>4189</v>
      </c>
      <c r="K755" s="1732"/>
      <c r="L755" s="6018">
        <v>37525</v>
      </c>
      <c r="W755" s="6018">
        <v>37500</v>
      </c>
      <c r="X755" s="6019">
        <v>37550</v>
      </c>
      <c r="Y755" s="6018">
        <v>0</v>
      </c>
      <c r="Z755" s="6018">
        <v>740</v>
      </c>
      <c r="AA755" s="6018">
        <v>2188</v>
      </c>
      <c r="AB755" s="6019">
        <v>2936</v>
      </c>
      <c r="AC755" s="6018">
        <v>0</v>
      </c>
      <c r="AD755" s="6018">
        <v>1691</v>
      </c>
      <c r="AE755" s="6018">
        <v>3441</v>
      </c>
      <c r="AF755" s="6019">
        <v>4189</v>
      </c>
    </row>
    <row r="756" spans="1:32" ht="13.5">
      <c r="A756" s="6018">
        <v>37550</v>
      </c>
      <c r="B756" s="6019">
        <v>37600</v>
      </c>
      <c r="C756" s="6020">
        <f t="shared" si="84"/>
        <v>0</v>
      </c>
      <c r="D756" s="6018">
        <f t="shared" si="85"/>
        <v>732</v>
      </c>
      <c r="E756" s="6018">
        <f t="shared" si="86"/>
        <v>2178</v>
      </c>
      <c r="F756" s="6019">
        <v>2925</v>
      </c>
      <c r="G756" s="6020">
        <f t="shared" si="81"/>
        <v>0</v>
      </c>
      <c r="H756" s="6018">
        <f t="shared" si="82"/>
        <v>1683</v>
      </c>
      <c r="I756" s="6018">
        <f t="shared" si="83"/>
        <v>3431</v>
      </c>
      <c r="J756" s="6019">
        <v>4178</v>
      </c>
      <c r="K756" s="1732"/>
      <c r="L756" s="6018">
        <v>37575</v>
      </c>
      <c r="W756" s="6018">
        <v>37550</v>
      </c>
      <c r="X756" s="6019">
        <v>37600</v>
      </c>
      <c r="Y756" s="6018">
        <v>0</v>
      </c>
      <c r="Z756" s="6018">
        <v>732</v>
      </c>
      <c r="AA756" s="6018">
        <v>2178</v>
      </c>
      <c r="AB756" s="6019">
        <v>2925</v>
      </c>
      <c r="AC756" s="6018">
        <v>0</v>
      </c>
      <c r="AD756" s="6018">
        <v>1683</v>
      </c>
      <c r="AE756" s="6018">
        <v>3431</v>
      </c>
      <c r="AF756" s="6019">
        <v>4178</v>
      </c>
    </row>
    <row r="757" spans="1:32" ht="13.5">
      <c r="A757" s="6018">
        <v>37600</v>
      </c>
      <c r="B757" s="6019">
        <v>37650</v>
      </c>
      <c r="C757" s="6020">
        <f t="shared" si="84"/>
        <v>0</v>
      </c>
      <c r="D757" s="6018">
        <f t="shared" si="85"/>
        <v>724</v>
      </c>
      <c r="E757" s="6018">
        <f t="shared" si="86"/>
        <v>2167</v>
      </c>
      <c r="F757" s="6019">
        <v>2915</v>
      </c>
      <c r="G757" s="6020">
        <f t="shared" si="81"/>
        <v>0</v>
      </c>
      <c r="H757" s="6018">
        <f t="shared" si="82"/>
        <v>1675</v>
      </c>
      <c r="I757" s="6018">
        <f t="shared" si="83"/>
        <v>3420</v>
      </c>
      <c r="J757" s="6019">
        <v>4168</v>
      </c>
      <c r="K757" s="1732"/>
      <c r="L757" s="6018">
        <v>37625</v>
      </c>
      <c r="W757" s="6018">
        <v>37600</v>
      </c>
      <c r="X757" s="6019">
        <v>37650</v>
      </c>
      <c r="Y757" s="6018">
        <v>0</v>
      </c>
      <c r="Z757" s="6018">
        <v>724</v>
      </c>
      <c r="AA757" s="6018">
        <v>2167</v>
      </c>
      <c r="AB757" s="6019">
        <v>2915</v>
      </c>
      <c r="AC757" s="6018">
        <v>0</v>
      </c>
      <c r="AD757" s="6018">
        <v>1675</v>
      </c>
      <c r="AE757" s="6018">
        <v>3420</v>
      </c>
      <c r="AF757" s="6019">
        <v>4168</v>
      </c>
    </row>
    <row r="758" spans="1:32" ht="13.5">
      <c r="A758" s="6018">
        <v>37650</v>
      </c>
      <c r="B758" s="6019">
        <v>37700</v>
      </c>
      <c r="C758" s="6020">
        <f t="shared" si="84"/>
        <v>0</v>
      </c>
      <c r="D758" s="6018">
        <f t="shared" si="85"/>
        <v>716</v>
      </c>
      <c r="E758" s="6018">
        <f t="shared" si="86"/>
        <v>2157</v>
      </c>
      <c r="F758" s="6019">
        <v>2904</v>
      </c>
      <c r="G758" s="6020">
        <f t="shared" si="81"/>
        <v>0</v>
      </c>
      <c r="H758" s="6018">
        <f t="shared" si="82"/>
        <v>1667</v>
      </c>
      <c r="I758" s="6018">
        <f t="shared" si="83"/>
        <v>3410</v>
      </c>
      <c r="J758" s="6019">
        <v>4157</v>
      </c>
      <c r="K758" s="1732"/>
      <c r="L758" s="6018">
        <v>37675</v>
      </c>
      <c r="W758" s="6018">
        <v>37650</v>
      </c>
      <c r="X758" s="6019">
        <v>37700</v>
      </c>
      <c r="Y758" s="6018">
        <v>0</v>
      </c>
      <c r="Z758" s="6018">
        <v>716</v>
      </c>
      <c r="AA758" s="6018">
        <v>2157</v>
      </c>
      <c r="AB758" s="6019">
        <v>2904</v>
      </c>
      <c r="AC758" s="6018">
        <v>0</v>
      </c>
      <c r="AD758" s="6018">
        <v>1667</v>
      </c>
      <c r="AE758" s="6018">
        <v>3410</v>
      </c>
      <c r="AF758" s="6019">
        <v>4157</v>
      </c>
    </row>
    <row r="759" spans="1:32" ht="13.5">
      <c r="A759" s="6018">
        <v>37700</v>
      </c>
      <c r="B759" s="6019">
        <v>37750</v>
      </c>
      <c r="C759" s="6020">
        <f t="shared" si="84"/>
        <v>0</v>
      </c>
      <c r="D759" s="6018">
        <f t="shared" si="85"/>
        <v>708</v>
      </c>
      <c r="E759" s="6018">
        <f t="shared" si="86"/>
        <v>2146</v>
      </c>
      <c r="F759" s="6019">
        <v>2894</v>
      </c>
      <c r="G759" s="6020">
        <f t="shared" si="81"/>
        <v>0</v>
      </c>
      <c r="H759" s="6018">
        <f t="shared" si="82"/>
        <v>1659</v>
      </c>
      <c r="I759" s="6018">
        <f t="shared" si="83"/>
        <v>3399</v>
      </c>
      <c r="J759" s="6019">
        <v>4147</v>
      </c>
      <c r="K759" s="1732"/>
      <c r="L759" s="6018">
        <v>37725</v>
      </c>
      <c r="W759" s="6018">
        <v>37700</v>
      </c>
      <c r="X759" s="6019">
        <v>37750</v>
      </c>
      <c r="Y759" s="6018">
        <v>0</v>
      </c>
      <c r="Z759" s="6018">
        <v>708</v>
      </c>
      <c r="AA759" s="6018">
        <v>2146</v>
      </c>
      <c r="AB759" s="6019">
        <v>2894</v>
      </c>
      <c r="AC759" s="6018">
        <v>0</v>
      </c>
      <c r="AD759" s="6018">
        <v>1659</v>
      </c>
      <c r="AE759" s="6018">
        <v>3399</v>
      </c>
      <c r="AF759" s="6019">
        <v>4147</v>
      </c>
    </row>
    <row r="760" spans="1:32" ht="13.5">
      <c r="A760" s="6018">
        <v>37750</v>
      </c>
      <c r="B760" s="6019">
        <v>37800</v>
      </c>
      <c r="C760" s="6020">
        <f t="shared" si="84"/>
        <v>0</v>
      </c>
      <c r="D760" s="6018">
        <f t="shared" si="85"/>
        <v>700</v>
      </c>
      <c r="E760" s="6018">
        <f t="shared" si="86"/>
        <v>2135</v>
      </c>
      <c r="F760" s="6019">
        <v>2883</v>
      </c>
      <c r="G760" s="6020">
        <f t="shared" si="81"/>
        <v>0</v>
      </c>
      <c r="H760" s="6018">
        <f t="shared" si="82"/>
        <v>1651</v>
      </c>
      <c r="I760" s="6018">
        <f t="shared" si="83"/>
        <v>3389</v>
      </c>
      <c r="J760" s="6019">
        <v>4136</v>
      </c>
      <c r="K760" s="1732"/>
      <c r="L760" s="6018">
        <v>37775</v>
      </c>
      <c r="W760" s="6018">
        <v>37750</v>
      </c>
      <c r="X760" s="6019">
        <v>37800</v>
      </c>
      <c r="Y760" s="6018">
        <v>0</v>
      </c>
      <c r="Z760" s="6018">
        <v>700</v>
      </c>
      <c r="AA760" s="6018">
        <v>2135</v>
      </c>
      <c r="AB760" s="6019">
        <v>2883</v>
      </c>
      <c r="AC760" s="6018">
        <v>0</v>
      </c>
      <c r="AD760" s="6018">
        <v>1651</v>
      </c>
      <c r="AE760" s="6018">
        <v>3389</v>
      </c>
      <c r="AF760" s="6019">
        <v>4136</v>
      </c>
    </row>
    <row r="761" spans="1:32" ht="13.5">
      <c r="A761" s="6018">
        <v>37800</v>
      </c>
      <c r="B761" s="6019">
        <v>37850</v>
      </c>
      <c r="C761" s="6020">
        <f t="shared" si="84"/>
        <v>0</v>
      </c>
      <c r="D761" s="6018">
        <f t="shared" si="85"/>
        <v>692</v>
      </c>
      <c r="E761" s="6018">
        <f t="shared" si="86"/>
        <v>2125</v>
      </c>
      <c r="F761" s="6019">
        <v>2872</v>
      </c>
      <c r="G761" s="6020">
        <f t="shared" si="81"/>
        <v>0</v>
      </c>
      <c r="H761" s="6018">
        <f t="shared" si="82"/>
        <v>1643</v>
      </c>
      <c r="I761" s="6018">
        <f t="shared" si="83"/>
        <v>3378</v>
      </c>
      <c r="J761" s="6019">
        <v>4126</v>
      </c>
      <c r="K761" s="1732"/>
      <c r="L761" s="6018">
        <v>37825</v>
      </c>
      <c r="W761" s="6018">
        <v>37800</v>
      </c>
      <c r="X761" s="6019">
        <v>37850</v>
      </c>
      <c r="Y761" s="6018">
        <v>0</v>
      </c>
      <c r="Z761" s="6018">
        <v>692</v>
      </c>
      <c r="AA761" s="6018">
        <v>2125</v>
      </c>
      <c r="AB761" s="6019">
        <v>2872</v>
      </c>
      <c r="AC761" s="6018">
        <v>0</v>
      </c>
      <c r="AD761" s="6018">
        <v>1643</v>
      </c>
      <c r="AE761" s="6018">
        <v>3378</v>
      </c>
      <c r="AF761" s="6019">
        <v>4126</v>
      </c>
    </row>
    <row r="762" spans="1:32" ht="13.5">
      <c r="A762" s="6018">
        <v>37850</v>
      </c>
      <c r="B762" s="6019">
        <v>37900</v>
      </c>
      <c r="C762" s="6020">
        <f t="shared" si="84"/>
        <v>0</v>
      </c>
      <c r="D762" s="6018">
        <v>684</v>
      </c>
      <c r="E762" s="6018">
        <f t="shared" si="86"/>
        <v>2114</v>
      </c>
      <c r="F762" s="6019">
        <v>2862</v>
      </c>
      <c r="G762" s="6020">
        <f t="shared" si="81"/>
        <v>0</v>
      </c>
      <c r="H762" s="6018">
        <f t="shared" si="82"/>
        <v>1635</v>
      </c>
      <c r="I762" s="6018">
        <f t="shared" si="83"/>
        <v>3368</v>
      </c>
      <c r="J762" s="6019">
        <v>4115</v>
      </c>
      <c r="K762" s="1732"/>
      <c r="L762" s="6018">
        <v>37875</v>
      </c>
      <c r="W762" s="6018">
        <v>37850</v>
      </c>
      <c r="X762" s="6019">
        <v>37900</v>
      </c>
      <c r="Y762" s="6018">
        <v>0</v>
      </c>
      <c r="Z762" s="6018">
        <v>684</v>
      </c>
      <c r="AA762" s="6018">
        <v>2114</v>
      </c>
      <c r="AB762" s="6019">
        <v>2862</v>
      </c>
      <c r="AC762" s="6018">
        <v>0</v>
      </c>
      <c r="AD762" s="6018">
        <v>1635</v>
      </c>
      <c r="AE762" s="6018">
        <v>3368</v>
      </c>
      <c r="AF762" s="6019">
        <v>4115</v>
      </c>
    </row>
    <row r="763" spans="1:32" ht="13.5">
      <c r="A763" s="6018">
        <v>37900</v>
      </c>
      <c r="B763" s="6019">
        <v>37950</v>
      </c>
      <c r="C763" s="6020">
        <f t="shared" si="84"/>
        <v>0</v>
      </c>
      <c r="D763" s="6018">
        <v>676</v>
      </c>
      <c r="E763" s="6018">
        <f t="shared" si="86"/>
        <v>2104</v>
      </c>
      <c r="F763" s="6019">
        <v>2851</v>
      </c>
      <c r="G763" s="6020">
        <f t="shared" si="81"/>
        <v>0</v>
      </c>
      <c r="H763" s="6018">
        <f t="shared" si="82"/>
        <v>1627</v>
      </c>
      <c r="I763" s="6018">
        <f t="shared" si="83"/>
        <v>3357</v>
      </c>
      <c r="J763" s="6019">
        <v>4104</v>
      </c>
      <c r="K763" s="1732"/>
      <c r="L763" s="6018">
        <v>37925</v>
      </c>
      <c r="W763" s="6018">
        <v>37900</v>
      </c>
      <c r="X763" s="6019">
        <v>37950</v>
      </c>
      <c r="Y763" s="6018">
        <v>0</v>
      </c>
      <c r="Z763" s="6018">
        <v>676</v>
      </c>
      <c r="AA763" s="6018">
        <v>2104</v>
      </c>
      <c r="AB763" s="6019">
        <v>2851</v>
      </c>
      <c r="AC763" s="6018">
        <v>0</v>
      </c>
      <c r="AD763" s="6018">
        <v>1627</v>
      </c>
      <c r="AE763" s="6018">
        <v>3357</v>
      </c>
      <c r="AF763" s="6019">
        <v>4104</v>
      </c>
    </row>
    <row r="764" spans="1:32" ht="13.5">
      <c r="A764" s="6018">
        <v>37950</v>
      </c>
      <c r="B764" s="6019">
        <v>38000</v>
      </c>
      <c r="C764" s="6020">
        <f t="shared" si="84"/>
        <v>0</v>
      </c>
      <c r="D764" s="6018">
        <v>668</v>
      </c>
      <c r="E764" s="6018">
        <f t="shared" si="86"/>
        <v>2093</v>
      </c>
      <c r="F764" s="6019">
        <v>2841</v>
      </c>
      <c r="G764" s="6020">
        <f t="shared" si="81"/>
        <v>0</v>
      </c>
      <c r="H764" s="6018">
        <f t="shared" si="82"/>
        <v>1619</v>
      </c>
      <c r="I764" s="6018">
        <f t="shared" si="83"/>
        <v>3346</v>
      </c>
      <c r="J764" s="6019">
        <v>4094</v>
      </c>
      <c r="K764" s="1732"/>
      <c r="L764" s="6018">
        <v>37975</v>
      </c>
      <c r="W764" s="6018">
        <v>37950</v>
      </c>
      <c r="X764" s="6019">
        <v>38000</v>
      </c>
      <c r="Y764" s="6018">
        <v>0</v>
      </c>
      <c r="Z764" s="6018">
        <v>668</v>
      </c>
      <c r="AA764" s="6018">
        <v>2093</v>
      </c>
      <c r="AB764" s="6019">
        <v>2841</v>
      </c>
      <c r="AC764" s="6018">
        <v>0</v>
      </c>
      <c r="AD764" s="6018">
        <v>1619</v>
      </c>
      <c r="AE764" s="6018">
        <v>3346</v>
      </c>
      <c r="AF764" s="6019">
        <v>4094</v>
      </c>
    </row>
    <row r="765" spans="1:32" ht="13.5">
      <c r="A765" s="6018">
        <v>38000</v>
      </c>
      <c r="B765" s="6019">
        <v>38050</v>
      </c>
      <c r="C765" s="6020">
        <f t="shared" si="84"/>
        <v>0</v>
      </c>
      <c r="D765" s="6018">
        <f t="shared" si="85"/>
        <v>661</v>
      </c>
      <c r="E765" s="6018">
        <f t="shared" si="86"/>
        <v>2083</v>
      </c>
      <c r="F765" s="6019">
        <v>2830</v>
      </c>
      <c r="G765" s="6020">
        <f t="shared" si="81"/>
        <v>0</v>
      </c>
      <c r="H765" s="6018">
        <f t="shared" si="82"/>
        <v>1611</v>
      </c>
      <c r="I765" s="6018">
        <f t="shared" si="83"/>
        <v>3336</v>
      </c>
      <c r="J765" s="6019">
        <v>4083</v>
      </c>
      <c r="K765" s="1732"/>
      <c r="L765" s="6018">
        <v>38025</v>
      </c>
      <c r="W765" s="6018">
        <v>38000</v>
      </c>
      <c r="X765" s="6019">
        <v>38050</v>
      </c>
      <c r="Y765" s="6018">
        <v>0</v>
      </c>
      <c r="Z765" s="6018">
        <v>661</v>
      </c>
      <c r="AA765" s="6018">
        <v>2083</v>
      </c>
      <c r="AB765" s="6019">
        <v>2830</v>
      </c>
      <c r="AC765" s="6018">
        <v>0</v>
      </c>
      <c r="AD765" s="6018">
        <v>1611</v>
      </c>
      <c r="AE765" s="6018">
        <v>3336</v>
      </c>
      <c r="AF765" s="6019">
        <v>4083</v>
      </c>
    </row>
    <row r="766" spans="1:32" ht="13.5">
      <c r="A766" s="6018">
        <v>38050</v>
      </c>
      <c r="B766" s="6019">
        <v>38100</v>
      </c>
      <c r="C766" s="6020">
        <f t="shared" si="84"/>
        <v>0</v>
      </c>
      <c r="D766" s="6018">
        <f t="shared" si="85"/>
        <v>653</v>
      </c>
      <c r="E766" s="6018">
        <f t="shared" si="86"/>
        <v>2072</v>
      </c>
      <c r="F766" s="6019">
        <v>2820</v>
      </c>
      <c r="G766" s="6020">
        <f t="shared" si="81"/>
        <v>0</v>
      </c>
      <c r="H766" s="6018">
        <f t="shared" si="82"/>
        <v>1603</v>
      </c>
      <c r="I766" s="6018">
        <f t="shared" si="83"/>
        <v>3325</v>
      </c>
      <c r="J766" s="6019">
        <v>4073</v>
      </c>
      <c r="K766" s="1732"/>
      <c r="L766" s="6018">
        <v>38075</v>
      </c>
      <c r="W766" s="6018">
        <v>38050</v>
      </c>
      <c r="X766" s="6019">
        <v>38100</v>
      </c>
      <c r="Y766" s="6018">
        <v>0</v>
      </c>
      <c r="Z766" s="6018">
        <v>653</v>
      </c>
      <c r="AA766" s="6018">
        <v>2072</v>
      </c>
      <c r="AB766" s="6019">
        <v>2820</v>
      </c>
      <c r="AC766" s="6018">
        <v>0</v>
      </c>
      <c r="AD766" s="6018">
        <v>1603</v>
      </c>
      <c r="AE766" s="6018">
        <v>3325</v>
      </c>
      <c r="AF766" s="6019">
        <v>4073</v>
      </c>
    </row>
    <row r="767" spans="1:32" ht="13.5">
      <c r="A767" s="6018">
        <v>38100</v>
      </c>
      <c r="B767" s="6019">
        <v>38150</v>
      </c>
      <c r="C767" s="6020">
        <f t="shared" si="84"/>
        <v>0</v>
      </c>
      <c r="D767" s="6018">
        <f t="shared" si="85"/>
        <v>645</v>
      </c>
      <c r="E767" s="6018">
        <f t="shared" si="86"/>
        <v>2062</v>
      </c>
      <c r="F767" s="6019">
        <v>2809</v>
      </c>
      <c r="G767" s="6020">
        <f t="shared" si="81"/>
        <v>0</v>
      </c>
      <c r="H767" s="6018">
        <f t="shared" si="82"/>
        <v>1595</v>
      </c>
      <c r="I767" s="6018">
        <f t="shared" si="83"/>
        <v>3315</v>
      </c>
      <c r="J767" s="6019">
        <v>4062</v>
      </c>
      <c r="K767" s="1732"/>
      <c r="L767" s="6018">
        <v>38125</v>
      </c>
      <c r="W767" s="6018">
        <v>38100</v>
      </c>
      <c r="X767" s="6019">
        <v>38150</v>
      </c>
      <c r="Y767" s="6018">
        <v>0</v>
      </c>
      <c r="Z767" s="6018">
        <v>645</v>
      </c>
      <c r="AA767" s="6018">
        <v>2062</v>
      </c>
      <c r="AB767" s="6019">
        <v>2809</v>
      </c>
      <c r="AC767" s="6018">
        <v>0</v>
      </c>
      <c r="AD767" s="6018">
        <v>1595</v>
      </c>
      <c r="AE767" s="6018">
        <v>3315</v>
      </c>
      <c r="AF767" s="6019">
        <v>4062</v>
      </c>
    </row>
    <row r="768" spans="1:32" ht="13.5">
      <c r="A768" s="6018">
        <v>38150</v>
      </c>
      <c r="B768" s="6019">
        <v>38200</v>
      </c>
      <c r="C768" s="6020">
        <f t="shared" si="84"/>
        <v>0</v>
      </c>
      <c r="D768" s="6018">
        <f t="shared" si="85"/>
        <v>637</v>
      </c>
      <c r="E768" s="6018">
        <f t="shared" si="86"/>
        <v>2051</v>
      </c>
      <c r="F768" s="6019">
        <v>2799</v>
      </c>
      <c r="G768" s="6020">
        <f t="shared" si="81"/>
        <v>0</v>
      </c>
      <c r="H768" s="6018">
        <f t="shared" si="82"/>
        <v>1587</v>
      </c>
      <c r="I768" s="6018">
        <f t="shared" si="83"/>
        <v>3304</v>
      </c>
      <c r="J768" s="6019">
        <v>4052</v>
      </c>
      <c r="K768" s="1732"/>
      <c r="L768" s="6018">
        <v>38175</v>
      </c>
      <c r="W768" s="6018">
        <v>38150</v>
      </c>
      <c r="X768" s="6019">
        <v>38200</v>
      </c>
      <c r="Y768" s="6018">
        <v>0</v>
      </c>
      <c r="Z768" s="6018">
        <v>637</v>
      </c>
      <c r="AA768" s="6018">
        <v>2051</v>
      </c>
      <c r="AB768" s="6019">
        <v>2799</v>
      </c>
      <c r="AC768" s="6018">
        <v>0</v>
      </c>
      <c r="AD768" s="6018">
        <v>1587</v>
      </c>
      <c r="AE768" s="6018">
        <v>3304</v>
      </c>
      <c r="AF768" s="6019">
        <v>4052</v>
      </c>
    </row>
    <row r="769" spans="1:32" ht="13.5">
      <c r="A769" s="6018">
        <v>38200</v>
      </c>
      <c r="B769" s="6019">
        <v>38250</v>
      </c>
      <c r="C769" s="6020">
        <f t="shared" si="84"/>
        <v>0</v>
      </c>
      <c r="D769" s="6018">
        <f t="shared" si="85"/>
        <v>629</v>
      </c>
      <c r="E769" s="6018">
        <f t="shared" si="86"/>
        <v>2041</v>
      </c>
      <c r="F769" s="6019">
        <v>2788</v>
      </c>
      <c r="G769" s="6020">
        <f t="shared" si="81"/>
        <v>0</v>
      </c>
      <c r="H769" s="6018">
        <f t="shared" si="82"/>
        <v>1579</v>
      </c>
      <c r="I769" s="6018">
        <f t="shared" si="83"/>
        <v>3294</v>
      </c>
      <c r="J769" s="6019">
        <v>4041</v>
      </c>
      <c r="K769" s="1732"/>
      <c r="L769" s="6018">
        <v>38225</v>
      </c>
      <c r="W769" s="6018">
        <v>38200</v>
      </c>
      <c r="X769" s="6019">
        <v>38250</v>
      </c>
      <c r="Y769" s="6018">
        <v>0</v>
      </c>
      <c r="Z769" s="6018">
        <v>629</v>
      </c>
      <c r="AA769" s="6018">
        <v>2041</v>
      </c>
      <c r="AB769" s="6019">
        <v>2788</v>
      </c>
      <c r="AC769" s="6018">
        <v>0</v>
      </c>
      <c r="AD769" s="6018">
        <v>1579</v>
      </c>
      <c r="AE769" s="6018">
        <v>3294</v>
      </c>
      <c r="AF769" s="6019">
        <v>4041</v>
      </c>
    </row>
    <row r="770" spans="1:32" ht="13.5">
      <c r="A770" s="6018">
        <v>38250</v>
      </c>
      <c r="B770" s="6019">
        <v>38300</v>
      </c>
      <c r="C770" s="6020">
        <f t="shared" si="84"/>
        <v>0</v>
      </c>
      <c r="D770" s="6018">
        <f t="shared" si="85"/>
        <v>621</v>
      </c>
      <c r="E770" s="6018">
        <f t="shared" si="86"/>
        <v>2030</v>
      </c>
      <c r="F770" s="6019">
        <v>2778</v>
      </c>
      <c r="G770" s="6020">
        <f t="shared" si="81"/>
        <v>0</v>
      </c>
      <c r="H770" s="6018">
        <v>1571</v>
      </c>
      <c r="I770" s="6018">
        <f t="shared" si="83"/>
        <v>3283</v>
      </c>
      <c r="J770" s="6019">
        <v>4031</v>
      </c>
      <c r="K770" s="1732"/>
      <c r="L770" s="6018">
        <v>38275</v>
      </c>
      <c r="W770" s="6018">
        <v>38250</v>
      </c>
      <c r="X770" s="6019">
        <v>38300</v>
      </c>
      <c r="Y770" s="6018">
        <v>0</v>
      </c>
      <c r="Z770" s="6018">
        <v>621</v>
      </c>
      <c r="AA770" s="6018">
        <v>2030</v>
      </c>
      <c r="AB770" s="6019">
        <v>2778</v>
      </c>
      <c r="AC770" s="6018">
        <v>0</v>
      </c>
      <c r="AD770" s="6018">
        <v>1571</v>
      </c>
      <c r="AE770" s="6018">
        <v>3283</v>
      </c>
      <c r="AF770" s="6019">
        <v>4031</v>
      </c>
    </row>
    <row r="771" spans="1:32" ht="13.5">
      <c r="A771" s="6018">
        <v>38300</v>
      </c>
      <c r="B771" s="6019">
        <v>38350</v>
      </c>
      <c r="C771" s="6020">
        <f t="shared" si="84"/>
        <v>0</v>
      </c>
      <c r="D771" s="6018">
        <f t="shared" si="85"/>
        <v>613</v>
      </c>
      <c r="E771" s="6018">
        <f t="shared" si="86"/>
        <v>2020</v>
      </c>
      <c r="F771" s="6019">
        <v>2767</v>
      </c>
      <c r="G771" s="6020">
        <f t="shared" si="81"/>
        <v>0</v>
      </c>
      <c r="H771" s="6018">
        <v>1563</v>
      </c>
      <c r="I771" s="6018">
        <f t="shared" si="83"/>
        <v>3273</v>
      </c>
      <c r="J771" s="6019">
        <v>4020</v>
      </c>
      <c r="K771" s="1732"/>
      <c r="L771" s="6018">
        <v>38325</v>
      </c>
      <c r="W771" s="6018">
        <v>38300</v>
      </c>
      <c r="X771" s="6019">
        <v>38350</v>
      </c>
      <c r="Y771" s="6018">
        <v>0</v>
      </c>
      <c r="Z771" s="6018">
        <v>613</v>
      </c>
      <c r="AA771" s="6018">
        <v>2020</v>
      </c>
      <c r="AB771" s="6019">
        <v>2767</v>
      </c>
      <c r="AC771" s="6018">
        <v>0</v>
      </c>
      <c r="AD771" s="6018">
        <v>1563</v>
      </c>
      <c r="AE771" s="6018">
        <v>3273</v>
      </c>
      <c r="AF771" s="6019">
        <v>4020</v>
      </c>
    </row>
    <row r="772" spans="1:32" ht="13.5">
      <c r="A772" s="6018">
        <v>38350</v>
      </c>
      <c r="B772" s="6019">
        <v>38400</v>
      </c>
      <c r="C772" s="6020">
        <f t="shared" si="84"/>
        <v>0</v>
      </c>
      <c r="D772" s="6018">
        <f t="shared" si="85"/>
        <v>605</v>
      </c>
      <c r="E772" s="6018">
        <f t="shared" si="86"/>
        <v>2009</v>
      </c>
      <c r="F772" s="6019">
        <v>2757</v>
      </c>
      <c r="G772" s="6020">
        <f t="shared" ref="G772:G835" si="87">IF($L772&gt;R$5,MAX(0,R$3+ROUND((R$9*($L772-R$5)),0)),IF($L772&gt;R$4,R$3,ROUND($L772*R$7,0)))</f>
        <v>0</v>
      </c>
      <c r="H772" s="6018">
        <v>1555</v>
      </c>
      <c r="I772" s="6018">
        <f t="shared" ref="I772:I835" si="88">IF($L772&gt;T$5,MAX(0,T$3+ROUND((T$9*($L772-T$5)),0)),IF($L772&gt;T$4,T$3,ROUND($L772*T$7,0)))</f>
        <v>3262</v>
      </c>
      <c r="J772" s="6019">
        <v>4010</v>
      </c>
      <c r="K772" s="1732"/>
      <c r="L772" s="6018">
        <v>38375</v>
      </c>
      <c r="W772" s="6018">
        <v>38350</v>
      </c>
      <c r="X772" s="6019">
        <v>38400</v>
      </c>
      <c r="Y772" s="6018">
        <v>0</v>
      </c>
      <c r="Z772" s="6018">
        <v>605</v>
      </c>
      <c r="AA772" s="6018">
        <v>2009</v>
      </c>
      <c r="AB772" s="6019">
        <v>2757</v>
      </c>
      <c r="AC772" s="6018">
        <v>0</v>
      </c>
      <c r="AD772" s="6018">
        <v>1555</v>
      </c>
      <c r="AE772" s="6018">
        <v>3262</v>
      </c>
      <c r="AF772" s="6019">
        <v>4010</v>
      </c>
    </row>
    <row r="773" spans="1:32" ht="13.5">
      <c r="A773" s="6018">
        <v>38400</v>
      </c>
      <c r="B773" s="6019">
        <v>38450</v>
      </c>
      <c r="C773" s="6020">
        <f t="shared" si="84"/>
        <v>0</v>
      </c>
      <c r="D773" s="6018">
        <f t="shared" si="85"/>
        <v>597</v>
      </c>
      <c r="E773" s="6018">
        <f t="shared" si="86"/>
        <v>1999</v>
      </c>
      <c r="F773" s="6019">
        <v>2746</v>
      </c>
      <c r="G773" s="6020">
        <f t="shared" si="87"/>
        <v>0</v>
      </c>
      <c r="H773" s="6018">
        <v>1547</v>
      </c>
      <c r="I773" s="6018">
        <f t="shared" si="88"/>
        <v>3252</v>
      </c>
      <c r="J773" s="6019">
        <v>3999</v>
      </c>
      <c r="K773" s="1732"/>
      <c r="L773" s="6018">
        <v>38425</v>
      </c>
      <c r="W773" s="6018">
        <v>38400</v>
      </c>
      <c r="X773" s="6019">
        <v>38450</v>
      </c>
      <c r="Y773" s="6018">
        <v>0</v>
      </c>
      <c r="Z773" s="6018">
        <v>597</v>
      </c>
      <c r="AA773" s="6018">
        <v>1999</v>
      </c>
      <c r="AB773" s="6019">
        <v>2746</v>
      </c>
      <c r="AC773" s="6018">
        <v>0</v>
      </c>
      <c r="AD773" s="6018">
        <v>1547</v>
      </c>
      <c r="AE773" s="6018">
        <v>3252</v>
      </c>
      <c r="AF773" s="6019">
        <v>3999</v>
      </c>
    </row>
    <row r="774" spans="1:32" ht="13.5">
      <c r="A774" s="6018">
        <v>38450</v>
      </c>
      <c r="B774" s="6019">
        <v>38500</v>
      </c>
      <c r="C774" s="6020">
        <f t="shared" ref="C774:C837" si="89">IF($L774&gt;N$5,MAX(0,N$3+ROUND((N$9*($L774-N$5)),0)),IF($L774&gt;N$4,N$3,ROUND($L774*N$7,0)))</f>
        <v>0</v>
      </c>
      <c r="D774" s="6018">
        <f t="shared" ref="D774:D837" si="90">IF($L774&gt;O$5,MAX(0,O$3+ROUND((O$9*($L774-O$5)),0)),IF($L774&gt;O$4,O$3,ROUND($L774*O$7,0)))</f>
        <v>589</v>
      </c>
      <c r="E774" s="6018">
        <f t="shared" ref="E774:E837" si="91">IF($L774&gt;P$5,MAX(0,P$3+ROUND((P$9*($L774-P$5)),0)),IF($L774&gt;P$4,P$3,ROUND($L774*P$7,0)))</f>
        <v>1988</v>
      </c>
      <c r="F774" s="6019">
        <v>2736</v>
      </c>
      <c r="G774" s="6020">
        <f t="shared" si="87"/>
        <v>0</v>
      </c>
      <c r="H774" s="6018">
        <v>1539</v>
      </c>
      <c r="I774" s="6018">
        <f t="shared" si="88"/>
        <v>3241</v>
      </c>
      <c r="J774" s="6019">
        <v>3989</v>
      </c>
      <c r="K774" s="1732"/>
      <c r="L774" s="6018">
        <v>38475</v>
      </c>
      <c r="W774" s="6018">
        <v>38450</v>
      </c>
      <c r="X774" s="6019">
        <v>38500</v>
      </c>
      <c r="Y774" s="6018">
        <v>0</v>
      </c>
      <c r="Z774" s="6018">
        <v>589</v>
      </c>
      <c r="AA774" s="6018">
        <v>1988</v>
      </c>
      <c r="AB774" s="6019">
        <v>2736</v>
      </c>
      <c r="AC774" s="6018">
        <v>0</v>
      </c>
      <c r="AD774" s="6018">
        <v>1539</v>
      </c>
      <c r="AE774" s="6018">
        <v>3241</v>
      </c>
      <c r="AF774" s="6019">
        <v>3989</v>
      </c>
    </row>
    <row r="775" spans="1:32" ht="13.5">
      <c r="A775" s="6018">
        <v>38500</v>
      </c>
      <c r="B775" s="6019">
        <v>38550</v>
      </c>
      <c r="C775" s="6020">
        <f t="shared" si="89"/>
        <v>0</v>
      </c>
      <c r="D775" s="6018">
        <f t="shared" si="90"/>
        <v>581</v>
      </c>
      <c r="E775" s="6018">
        <f t="shared" si="91"/>
        <v>1978</v>
      </c>
      <c r="F775" s="6019">
        <v>2725</v>
      </c>
      <c r="G775" s="6020">
        <f t="shared" si="87"/>
        <v>0</v>
      </c>
      <c r="H775" s="6018">
        <v>1531</v>
      </c>
      <c r="I775" s="6018">
        <f t="shared" si="88"/>
        <v>3231</v>
      </c>
      <c r="J775" s="6019">
        <v>3978</v>
      </c>
      <c r="K775" s="1732"/>
      <c r="L775" s="6018">
        <v>38525</v>
      </c>
      <c r="W775" s="6018">
        <v>38500</v>
      </c>
      <c r="X775" s="6019">
        <v>38550</v>
      </c>
      <c r="Y775" s="6018">
        <v>0</v>
      </c>
      <c r="Z775" s="6018">
        <v>581</v>
      </c>
      <c r="AA775" s="6018">
        <v>1978</v>
      </c>
      <c r="AB775" s="6019">
        <v>2725</v>
      </c>
      <c r="AC775" s="6018">
        <v>0</v>
      </c>
      <c r="AD775" s="6018">
        <v>1531</v>
      </c>
      <c r="AE775" s="6018">
        <v>3231</v>
      </c>
      <c r="AF775" s="6019">
        <v>3978</v>
      </c>
    </row>
    <row r="776" spans="1:32" ht="13.5">
      <c r="A776" s="6018">
        <v>38550</v>
      </c>
      <c r="B776" s="6019">
        <v>38600</v>
      </c>
      <c r="C776" s="6020">
        <f t="shared" si="89"/>
        <v>0</v>
      </c>
      <c r="D776" s="6018">
        <f t="shared" si="90"/>
        <v>573</v>
      </c>
      <c r="E776" s="6018">
        <f t="shared" si="91"/>
        <v>1967</v>
      </c>
      <c r="F776" s="6019">
        <v>2715</v>
      </c>
      <c r="G776" s="6020">
        <f t="shared" si="87"/>
        <v>0</v>
      </c>
      <c r="H776" s="6018">
        <v>1523</v>
      </c>
      <c r="I776" s="6018">
        <f t="shared" si="88"/>
        <v>3220</v>
      </c>
      <c r="J776" s="6019">
        <v>3968</v>
      </c>
      <c r="K776" s="1732"/>
      <c r="L776" s="6018">
        <v>38575</v>
      </c>
      <c r="W776" s="6018">
        <v>38550</v>
      </c>
      <c r="X776" s="6019">
        <v>38600</v>
      </c>
      <c r="Y776" s="6018">
        <v>0</v>
      </c>
      <c r="Z776" s="6018">
        <v>573</v>
      </c>
      <c r="AA776" s="6018">
        <v>1967</v>
      </c>
      <c r="AB776" s="6019">
        <v>2715</v>
      </c>
      <c r="AC776" s="6018">
        <v>0</v>
      </c>
      <c r="AD776" s="6018">
        <v>1523</v>
      </c>
      <c r="AE776" s="6018">
        <v>3220</v>
      </c>
      <c r="AF776" s="6019">
        <v>3968</v>
      </c>
    </row>
    <row r="777" spans="1:32" ht="13.5">
      <c r="A777" s="6018">
        <v>38600</v>
      </c>
      <c r="B777" s="6019">
        <v>38650</v>
      </c>
      <c r="C777" s="6020">
        <f t="shared" si="89"/>
        <v>0</v>
      </c>
      <c r="D777" s="6018">
        <f t="shared" si="90"/>
        <v>565</v>
      </c>
      <c r="E777" s="6018">
        <f t="shared" si="91"/>
        <v>1956</v>
      </c>
      <c r="F777" s="6019">
        <v>2704</v>
      </c>
      <c r="G777" s="6020">
        <f t="shared" si="87"/>
        <v>0</v>
      </c>
      <c r="H777" s="6018">
        <v>1515</v>
      </c>
      <c r="I777" s="6018">
        <f t="shared" si="88"/>
        <v>3210</v>
      </c>
      <c r="J777" s="6019">
        <v>3957</v>
      </c>
      <c r="K777" s="1732"/>
      <c r="L777" s="6018">
        <v>38625</v>
      </c>
      <c r="W777" s="6018">
        <v>38600</v>
      </c>
      <c r="X777" s="6019">
        <v>38650</v>
      </c>
      <c r="Y777" s="6018">
        <v>0</v>
      </c>
      <c r="Z777" s="6018">
        <v>565</v>
      </c>
      <c r="AA777" s="6018">
        <v>1956</v>
      </c>
      <c r="AB777" s="6019">
        <v>2704</v>
      </c>
      <c r="AC777" s="6018">
        <v>0</v>
      </c>
      <c r="AD777" s="6018">
        <v>1515</v>
      </c>
      <c r="AE777" s="6018">
        <v>3210</v>
      </c>
      <c r="AF777" s="6019">
        <v>3957</v>
      </c>
    </row>
    <row r="778" spans="1:32" ht="13.5">
      <c r="A778" s="6018">
        <v>38650</v>
      </c>
      <c r="B778" s="6019">
        <v>38700</v>
      </c>
      <c r="C778" s="6020">
        <f t="shared" si="89"/>
        <v>0</v>
      </c>
      <c r="D778" s="6018">
        <f t="shared" si="90"/>
        <v>557</v>
      </c>
      <c r="E778" s="6018">
        <f t="shared" si="91"/>
        <v>1946</v>
      </c>
      <c r="F778" s="6019">
        <v>2693</v>
      </c>
      <c r="G778" s="6020">
        <f t="shared" si="87"/>
        <v>0</v>
      </c>
      <c r="H778" s="6018">
        <v>1507</v>
      </c>
      <c r="I778" s="6018">
        <f t="shared" si="88"/>
        <v>3199</v>
      </c>
      <c r="J778" s="6019">
        <v>3947</v>
      </c>
      <c r="K778" s="1732"/>
      <c r="L778" s="6018">
        <v>38675</v>
      </c>
      <c r="W778" s="6018">
        <v>38650</v>
      </c>
      <c r="X778" s="6019">
        <v>38700</v>
      </c>
      <c r="Y778" s="6018">
        <v>0</v>
      </c>
      <c r="Z778" s="6018">
        <v>557</v>
      </c>
      <c r="AA778" s="6018">
        <v>1946</v>
      </c>
      <c r="AB778" s="6019">
        <v>2693</v>
      </c>
      <c r="AC778" s="6018">
        <v>0</v>
      </c>
      <c r="AD778" s="6018">
        <v>1507</v>
      </c>
      <c r="AE778" s="6018">
        <v>3199</v>
      </c>
      <c r="AF778" s="6019">
        <v>3947</v>
      </c>
    </row>
    <row r="779" spans="1:32" ht="13.5">
      <c r="A779" s="6018">
        <v>38700</v>
      </c>
      <c r="B779" s="6019">
        <v>38750</v>
      </c>
      <c r="C779" s="6020">
        <f t="shared" si="89"/>
        <v>0</v>
      </c>
      <c r="D779" s="6018">
        <f t="shared" si="90"/>
        <v>549</v>
      </c>
      <c r="E779" s="6018">
        <f t="shared" si="91"/>
        <v>1935</v>
      </c>
      <c r="F779" s="6019">
        <v>2683</v>
      </c>
      <c r="G779" s="6020">
        <f t="shared" si="87"/>
        <v>0</v>
      </c>
      <c r="H779" s="6018">
        <v>1499</v>
      </c>
      <c r="I779" s="6018">
        <f t="shared" si="88"/>
        <v>3188</v>
      </c>
      <c r="J779" s="6019">
        <v>3936</v>
      </c>
      <c r="K779" s="1732"/>
      <c r="L779" s="6018">
        <v>38725</v>
      </c>
      <c r="W779" s="6018">
        <v>38700</v>
      </c>
      <c r="X779" s="6019">
        <v>38750</v>
      </c>
      <c r="Y779" s="6018">
        <v>0</v>
      </c>
      <c r="Z779" s="6018">
        <v>549</v>
      </c>
      <c r="AA779" s="6018">
        <v>1935</v>
      </c>
      <c r="AB779" s="6019">
        <v>2683</v>
      </c>
      <c r="AC779" s="6018">
        <v>0</v>
      </c>
      <c r="AD779" s="6018">
        <v>1499</v>
      </c>
      <c r="AE779" s="6018">
        <v>3188</v>
      </c>
      <c r="AF779" s="6019">
        <v>3936</v>
      </c>
    </row>
    <row r="780" spans="1:32" ht="13.5">
      <c r="A780" s="6018">
        <v>38750</v>
      </c>
      <c r="B780" s="6019">
        <v>38800</v>
      </c>
      <c r="C780" s="6020">
        <f t="shared" si="89"/>
        <v>0</v>
      </c>
      <c r="D780" s="6018">
        <f t="shared" si="90"/>
        <v>541</v>
      </c>
      <c r="E780" s="6018">
        <f t="shared" si="91"/>
        <v>1925</v>
      </c>
      <c r="F780" s="6019">
        <v>2672</v>
      </c>
      <c r="G780" s="6020">
        <f t="shared" si="87"/>
        <v>0</v>
      </c>
      <c r="H780" s="6018">
        <v>1491</v>
      </c>
      <c r="I780" s="6018">
        <f t="shared" si="88"/>
        <v>3178</v>
      </c>
      <c r="J780" s="6019">
        <v>3925</v>
      </c>
      <c r="K780" s="1732"/>
      <c r="L780" s="6018">
        <v>38775</v>
      </c>
      <c r="W780" s="6018">
        <v>38750</v>
      </c>
      <c r="X780" s="6019">
        <v>38800</v>
      </c>
      <c r="Y780" s="6018">
        <v>0</v>
      </c>
      <c r="Z780" s="6018">
        <v>541</v>
      </c>
      <c r="AA780" s="6018">
        <v>1925</v>
      </c>
      <c r="AB780" s="6019">
        <v>2672</v>
      </c>
      <c r="AC780" s="6018">
        <v>0</v>
      </c>
      <c r="AD780" s="6018">
        <v>1491</v>
      </c>
      <c r="AE780" s="6018">
        <v>3178</v>
      </c>
      <c r="AF780" s="6019">
        <v>3925</v>
      </c>
    </row>
    <row r="781" spans="1:32" ht="13.5">
      <c r="A781" s="6018">
        <v>38800</v>
      </c>
      <c r="B781" s="6019">
        <v>38850</v>
      </c>
      <c r="C781" s="6020">
        <f t="shared" si="89"/>
        <v>0</v>
      </c>
      <c r="D781" s="6018">
        <f t="shared" si="90"/>
        <v>533</v>
      </c>
      <c r="E781" s="6018">
        <f t="shared" si="91"/>
        <v>1914</v>
      </c>
      <c r="F781" s="6019">
        <v>2662</v>
      </c>
      <c r="G781" s="6020">
        <f t="shared" si="87"/>
        <v>0</v>
      </c>
      <c r="H781" s="6018">
        <v>1483</v>
      </c>
      <c r="I781" s="6018">
        <f t="shared" si="88"/>
        <v>3167</v>
      </c>
      <c r="J781" s="6019">
        <v>3915</v>
      </c>
      <c r="K781" s="1732"/>
      <c r="L781" s="6018">
        <v>38825</v>
      </c>
      <c r="W781" s="6018">
        <v>38800</v>
      </c>
      <c r="X781" s="6019">
        <v>38850</v>
      </c>
      <c r="Y781" s="6018">
        <v>0</v>
      </c>
      <c r="Z781" s="6018">
        <v>533</v>
      </c>
      <c r="AA781" s="6018">
        <v>1914</v>
      </c>
      <c r="AB781" s="6019">
        <v>2662</v>
      </c>
      <c r="AC781" s="6018">
        <v>0</v>
      </c>
      <c r="AD781" s="6018">
        <v>1483</v>
      </c>
      <c r="AE781" s="6018">
        <v>3167</v>
      </c>
      <c r="AF781" s="6019">
        <v>3915</v>
      </c>
    </row>
    <row r="782" spans="1:32" ht="13.5">
      <c r="A782" s="6018">
        <v>38850</v>
      </c>
      <c r="B782" s="6019">
        <v>38900</v>
      </c>
      <c r="C782" s="6020">
        <f t="shared" si="89"/>
        <v>0</v>
      </c>
      <c r="D782" s="6018">
        <f t="shared" si="90"/>
        <v>525</v>
      </c>
      <c r="E782" s="6018">
        <f t="shared" si="91"/>
        <v>1904</v>
      </c>
      <c r="F782" s="6019">
        <v>2651</v>
      </c>
      <c r="G782" s="6020">
        <f t="shared" si="87"/>
        <v>0</v>
      </c>
      <c r="H782" s="6018">
        <v>1475</v>
      </c>
      <c r="I782" s="6018">
        <f t="shared" si="88"/>
        <v>3157</v>
      </c>
      <c r="J782" s="6019">
        <v>3904</v>
      </c>
      <c r="K782" s="1732"/>
      <c r="L782" s="6018">
        <v>38875</v>
      </c>
      <c r="W782" s="6018">
        <v>38850</v>
      </c>
      <c r="X782" s="6019">
        <v>38900</v>
      </c>
      <c r="Y782" s="6018">
        <v>0</v>
      </c>
      <c r="Z782" s="6018">
        <v>525</v>
      </c>
      <c r="AA782" s="6018">
        <v>1904</v>
      </c>
      <c r="AB782" s="6019">
        <v>2651</v>
      </c>
      <c r="AC782" s="6018">
        <v>0</v>
      </c>
      <c r="AD782" s="6018">
        <v>1475</v>
      </c>
      <c r="AE782" s="6018">
        <v>3157</v>
      </c>
      <c r="AF782" s="6019">
        <v>3904</v>
      </c>
    </row>
    <row r="783" spans="1:32" ht="13.5">
      <c r="A783" s="6018">
        <v>38900</v>
      </c>
      <c r="B783" s="6019">
        <v>38950</v>
      </c>
      <c r="C783" s="6020">
        <f t="shared" si="89"/>
        <v>0</v>
      </c>
      <c r="D783" s="6018">
        <f t="shared" si="90"/>
        <v>517</v>
      </c>
      <c r="E783" s="6018">
        <f t="shared" si="91"/>
        <v>1893</v>
      </c>
      <c r="F783" s="6019">
        <v>2641</v>
      </c>
      <c r="G783" s="6020">
        <f t="shared" si="87"/>
        <v>0</v>
      </c>
      <c r="H783" s="6018">
        <v>1467</v>
      </c>
      <c r="I783" s="6018">
        <f t="shared" si="88"/>
        <v>3146</v>
      </c>
      <c r="J783" s="6019">
        <v>3894</v>
      </c>
      <c r="K783" s="1732"/>
      <c r="L783" s="6018">
        <v>38925</v>
      </c>
      <c r="W783" s="6018">
        <v>38900</v>
      </c>
      <c r="X783" s="6019">
        <v>38950</v>
      </c>
      <c r="Y783" s="6018">
        <v>0</v>
      </c>
      <c r="Z783" s="6018">
        <v>517</v>
      </c>
      <c r="AA783" s="6018">
        <v>1893</v>
      </c>
      <c r="AB783" s="6019">
        <v>2641</v>
      </c>
      <c r="AC783" s="6018">
        <v>0</v>
      </c>
      <c r="AD783" s="6018">
        <v>1467</v>
      </c>
      <c r="AE783" s="6018">
        <v>3146</v>
      </c>
      <c r="AF783" s="6019">
        <v>3894</v>
      </c>
    </row>
    <row r="784" spans="1:32" ht="13.5">
      <c r="A784" s="6018">
        <v>38950</v>
      </c>
      <c r="B784" s="6019">
        <v>39000</v>
      </c>
      <c r="C784" s="6020">
        <f t="shared" si="89"/>
        <v>0</v>
      </c>
      <c r="D784" s="6018">
        <f t="shared" si="90"/>
        <v>509</v>
      </c>
      <c r="E784" s="6018">
        <f t="shared" si="91"/>
        <v>1883</v>
      </c>
      <c r="F784" s="6019">
        <v>2630</v>
      </c>
      <c r="G784" s="6020">
        <f t="shared" si="87"/>
        <v>0</v>
      </c>
      <c r="H784" s="6018">
        <f t="shared" ref="H784:H835" si="92">IF($L784&gt;S$5,MAX(0,S$3+ROUND((S$9*($L784-S$5)),0)),IF($L784&gt;S$4,S$3,ROUND($L784*S$7,0)))</f>
        <v>1460</v>
      </c>
      <c r="I784" s="6018">
        <f t="shared" si="88"/>
        <v>3136</v>
      </c>
      <c r="J784" s="6019">
        <v>3883</v>
      </c>
      <c r="K784" s="1732"/>
      <c r="L784" s="6018">
        <v>38975</v>
      </c>
      <c r="W784" s="6018">
        <v>38950</v>
      </c>
      <c r="X784" s="6019">
        <v>39000</v>
      </c>
      <c r="Y784" s="6018">
        <v>0</v>
      </c>
      <c r="Z784" s="6018">
        <v>509</v>
      </c>
      <c r="AA784" s="6018">
        <v>1883</v>
      </c>
      <c r="AB784" s="6019">
        <v>2630</v>
      </c>
      <c r="AC784" s="6018">
        <v>0</v>
      </c>
      <c r="AD784" s="6018">
        <v>1460</v>
      </c>
      <c r="AE784" s="6018">
        <v>3136</v>
      </c>
      <c r="AF784" s="6019">
        <v>3883</v>
      </c>
    </row>
    <row r="785" spans="1:32" ht="13.5">
      <c r="A785" s="6018">
        <v>39000</v>
      </c>
      <c r="B785" s="6019">
        <v>39050</v>
      </c>
      <c r="C785" s="6020">
        <f t="shared" si="89"/>
        <v>0</v>
      </c>
      <c r="D785" s="6018">
        <f t="shared" si="90"/>
        <v>501</v>
      </c>
      <c r="E785" s="6018">
        <f t="shared" si="91"/>
        <v>1872</v>
      </c>
      <c r="F785" s="6019">
        <v>2620</v>
      </c>
      <c r="G785" s="6020">
        <f t="shared" si="87"/>
        <v>0</v>
      </c>
      <c r="H785" s="6018">
        <f t="shared" si="92"/>
        <v>1452</v>
      </c>
      <c r="I785" s="6018">
        <f t="shared" si="88"/>
        <v>3125</v>
      </c>
      <c r="J785" s="6019">
        <v>3873</v>
      </c>
      <c r="K785" s="1732"/>
      <c r="L785" s="6018">
        <v>39025</v>
      </c>
      <c r="W785" s="6018">
        <v>39000</v>
      </c>
      <c r="X785" s="6019">
        <v>39050</v>
      </c>
      <c r="Y785" s="6018">
        <v>0</v>
      </c>
      <c r="Z785" s="6018">
        <v>501</v>
      </c>
      <c r="AA785" s="6018">
        <v>1872</v>
      </c>
      <c r="AB785" s="6019">
        <v>2620</v>
      </c>
      <c r="AC785" s="6018">
        <v>0</v>
      </c>
      <c r="AD785" s="6018">
        <v>1452</v>
      </c>
      <c r="AE785" s="6018">
        <v>3125</v>
      </c>
      <c r="AF785" s="6019">
        <v>3873</v>
      </c>
    </row>
    <row r="786" spans="1:32" ht="13.5">
      <c r="A786" s="6018">
        <v>39050</v>
      </c>
      <c r="B786" s="6019">
        <v>39100</v>
      </c>
      <c r="C786" s="6020">
        <f t="shared" si="89"/>
        <v>0</v>
      </c>
      <c r="D786" s="6018">
        <f t="shared" si="90"/>
        <v>493</v>
      </c>
      <c r="E786" s="6018">
        <f t="shared" si="91"/>
        <v>1862</v>
      </c>
      <c r="F786" s="6019">
        <v>2609</v>
      </c>
      <c r="G786" s="6020">
        <f t="shared" si="87"/>
        <v>0</v>
      </c>
      <c r="H786" s="6018">
        <f t="shared" si="92"/>
        <v>1444</v>
      </c>
      <c r="I786" s="6018">
        <f t="shared" si="88"/>
        <v>3115</v>
      </c>
      <c r="J786" s="6019">
        <v>3862</v>
      </c>
      <c r="K786" s="1732"/>
      <c r="L786" s="6018">
        <v>39075</v>
      </c>
      <c r="W786" s="6018">
        <v>39050</v>
      </c>
      <c r="X786" s="6019">
        <v>39100</v>
      </c>
      <c r="Y786" s="6018">
        <v>0</v>
      </c>
      <c r="Z786" s="6018">
        <v>493</v>
      </c>
      <c r="AA786" s="6018">
        <v>1862</v>
      </c>
      <c r="AB786" s="6019">
        <v>2609</v>
      </c>
      <c r="AC786" s="6018">
        <v>0</v>
      </c>
      <c r="AD786" s="6018">
        <v>1444</v>
      </c>
      <c r="AE786" s="6018">
        <v>3115</v>
      </c>
      <c r="AF786" s="6019">
        <v>3862</v>
      </c>
    </row>
    <row r="787" spans="1:32" ht="13.5">
      <c r="A787" s="6018">
        <v>39100</v>
      </c>
      <c r="B787" s="6019">
        <v>39150</v>
      </c>
      <c r="C787" s="6020">
        <f t="shared" si="89"/>
        <v>0</v>
      </c>
      <c r="D787" s="6018">
        <f t="shared" si="90"/>
        <v>485</v>
      </c>
      <c r="E787" s="6018">
        <f t="shared" si="91"/>
        <v>1851</v>
      </c>
      <c r="F787" s="6019">
        <v>2599</v>
      </c>
      <c r="G787" s="6020">
        <f t="shared" si="87"/>
        <v>0</v>
      </c>
      <c r="H787" s="6018">
        <f t="shared" si="92"/>
        <v>1436</v>
      </c>
      <c r="I787" s="6018">
        <f t="shared" si="88"/>
        <v>3104</v>
      </c>
      <c r="J787" s="6019">
        <v>3852</v>
      </c>
      <c r="K787" s="1732"/>
      <c r="L787" s="6018">
        <v>39125</v>
      </c>
      <c r="W787" s="6018">
        <v>39100</v>
      </c>
      <c r="X787" s="6019">
        <v>39150</v>
      </c>
      <c r="Y787" s="6018">
        <v>0</v>
      </c>
      <c r="Z787" s="6018">
        <v>485</v>
      </c>
      <c r="AA787" s="6018">
        <v>1851</v>
      </c>
      <c r="AB787" s="6019">
        <v>2599</v>
      </c>
      <c r="AC787" s="6018">
        <v>0</v>
      </c>
      <c r="AD787" s="6018">
        <v>1436</v>
      </c>
      <c r="AE787" s="6018">
        <v>3104</v>
      </c>
      <c r="AF787" s="6019">
        <v>3852</v>
      </c>
    </row>
    <row r="788" spans="1:32" ht="13.5">
      <c r="A788" s="6018">
        <v>39150</v>
      </c>
      <c r="B788" s="6019">
        <v>39200</v>
      </c>
      <c r="C788" s="6020">
        <f t="shared" si="89"/>
        <v>0</v>
      </c>
      <c r="D788" s="6018">
        <f t="shared" si="90"/>
        <v>477</v>
      </c>
      <c r="E788" s="6018">
        <f t="shared" si="91"/>
        <v>1841</v>
      </c>
      <c r="F788" s="6019">
        <v>2588</v>
      </c>
      <c r="G788" s="6020">
        <f t="shared" si="87"/>
        <v>0</v>
      </c>
      <c r="H788" s="6018">
        <f t="shared" si="92"/>
        <v>1428</v>
      </c>
      <c r="I788" s="6018">
        <f t="shared" si="88"/>
        <v>3094</v>
      </c>
      <c r="J788" s="6019">
        <v>3841</v>
      </c>
      <c r="K788" s="1732"/>
      <c r="L788" s="6018">
        <v>39175</v>
      </c>
      <c r="W788" s="6018">
        <v>39150</v>
      </c>
      <c r="X788" s="6019">
        <v>39200</v>
      </c>
      <c r="Y788" s="6018">
        <v>0</v>
      </c>
      <c r="Z788" s="6018">
        <v>477</v>
      </c>
      <c r="AA788" s="6018">
        <v>1841</v>
      </c>
      <c r="AB788" s="6019">
        <v>2588</v>
      </c>
      <c r="AC788" s="6018">
        <v>0</v>
      </c>
      <c r="AD788" s="6018">
        <v>1428</v>
      </c>
      <c r="AE788" s="6018">
        <v>3094</v>
      </c>
      <c r="AF788" s="6019">
        <v>3841</v>
      </c>
    </row>
    <row r="789" spans="1:32" ht="13.5">
      <c r="A789" s="6018">
        <v>39200</v>
      </c>
      <c r="B789" s="6019">
        <v>39250</v>
      </c>
      <c r="C789" s="6020">
        <f t="shared" si="89"/>
        <v>0</v>
      </c>
      <c r="D789" s="6018">
        <f t="shared" si="90"/>
        <v>469</v>
      </c>
      <c r="E789" s="6018">
        <f t="shared" si="91"/>
        <v>1830</v>
      </c>
      <c r="F789" s="6019">
        <v>2578</v>
      </c>
      <c r="G789" s="6020">
        <f t="shared" si="87"/>
        <v>0</v>
      </c>
      <c r="H789" s="6018">
        <f t="shared" si="92"/>
        <v>1420</v>
      </c>
      <c r="I789" s="6018">
        <f t="shared" si="88"/>
        <v>3083</v>
      </c>
      <c r="J789" s="6019">
        <v>3831</v>
      </c>
      <c r="K789" s="1732"/>
      <c r="L789" s="6018">
        <v>39225</v>
      </c>
      <c r="W789" s="6018">
        <v>39200</v>
      </c>
      <c r="X789" s="6019">
        <v>39250</v>
      </c>
      <c r="Y789" s="6018">
        <v>0</v>
      </c>
      <c r="Z789" s="6018">
        <v>469</v>
      </c>
      <c r="AA789" s="6018">
        <v>1830</v>
      </c>
      <c r="AB789" s="6019">
        <v>2578</v>
      </c>
      <c r="AC789" s="6018">
        <v>0</v>
      </c>
      <c r="AD789" s="6018">
        <v>1420</v>
      </c>
      <c r="AE789" s="6018">
        <v>3083</v>
      </c>
      <c r="AF789" s="6019">
        <v>3831</v>
      </c>
    </row>
    <row r="790" spans="1:32" ht="13.5">
      <c r="A790" s="6018">
        <v>39250</v>
      </c>
      <c r="B790" s="6019">
        <v>39300</v>
      </c>
      <c r="C790" s="6020">
        <f t="shared" si="89"/>
        <v>0</v>
      </c>
      <c r="D790" s="6018">
        <f t="shared" si="90"/>
        <v>461</v>
      </c>
      <c r="E790" s="6018">
        <f t="shared" si="91"/>
        <v>1820</v>
      </c>
      <c r="F790" s="6019">
        <v>2567</v>
      </c>
      <c r="G790" s="6020">
        <f t="shared" si="87"/>
        <v>0</v>
      </c>
      <c r="H790" s="6018">
        <f t="shared" si="92"/>
        <v>1412</v>
      </c>
      <c r="I790" s="6018">
        <f t="shared" si="88"/>
        <v>3073</v>
      </c>
      <c r="J790" s="6019">
        <v>3820</v>
      </c>
      <c r="K790" s="1732"/>
      <c r="L790" s="6018">
        <v>39275</v>
      </c>
      <c r="W790" s="6018">
        <v>39250</v>
      </c>
      <c r="X790" s="6019">
        <v>39300</v>
      </c>
      <c r="Y790" s="6018">
        <v>0</v>
      </c>
      <c r="Z790" s="6018">
        <v>461</v>
      </c>
      <c r="AA790" s="6018">
        <v>1820</v>
      </c>
      <c r="AB790" s="6019">
        <v>2567</v>
      </c>
      <c r="AC790" s="6018">
        <v>0</v>
      </c>
      <c r="AD790" s="6018">
        <v>1412</v>
      </c>
      <c r="AE790" s="6018">
        <v>3073</v>
      </c>
      <c r="AF790" s="6019">
        <v>3820</v>
      </c>
    </row>
    <row r="791" spans="1:32" ht="13.5">
      <c r="A791" s="6018">
        <v>39300</v>
      </c>
      <c r="B791" s="6019">
        <v>39350</v>
      </c>
      <c r="C791" s="6020">
        <f t="shared" si="89"/>
        <v>0</v>
      </c>
      <c r="D791" s="6018">
        <f t="shared" si="90"/>
        <v>453</v>
      </c>
      <c r="E791" s="6018">
        <f t="shared" si="91"/>
        <v>1809</v>
      </c>
      <c r="F791" s="6019">
        <v>2557</v>
      </c>
      <c r="G791" s="6020">
        <f t="shared" si="87"/>
        <v>0</v>
      </c>
      <c r="H791" s="6018">
        <f t="shared" si="92"/>
        <v>1404</v>
      </c>
      <c r="I791" s="6018">
        <f t="shared" si="88"/>
        <v>3062</v>
      </c>
      <c r="J791" s="6019">
        <v>3810</v>
      </c>
      <c r="K791" s="1732"/>
      <c r="L791" s="6018">
        <v>39325</v>
      </c>
      <c r="W791" s="6018">
        <v>39300</v>
      </c>
      <c r="X791" s="6019">
        <v>39350</v>
      </c>
      <c r="Y791" s="6018">
        <v>0</v>
      </c>
      <c r="Z791" s="6018">
        <v>453</v>
      </c>
      <c r="AA791" s="6018">
        <v>1809</v>
      </c>
      <c r="AB791" s="6019">
        <v>2557</v>
      </c>
      <c r="AC791" s="6018">
        <v>0</v>
      </c>
      <c r="AD791" s="6018">
        <v>1404</v>
      </c>
      <c r="AE791" s="6018">
        <v>3062</v>
      </c>
      <c r="AF791" s="6019">
        <v>3810</v>
      </c>
    </row>
    <row r="792" spans="1:32" ht="13.5">
      <c r="A792" s="6018">
        <v>39350</v>
      </c>
      <c r="B792" s="6019">
        <v>39400</v>
      </c>
      <c r="C792" s="6020">
        <f t="shared" si="89"/>
        <v>0</v>
      </c>
      <c r="D792" s="6018">
        <f t="shared" si="90"/>
        <v>445</v>
      </c>
      <c r="E792" s="6018">
        <f t="shared" si="91"/>
        <v>1799</v>
      </c>
      <c r="F792" s="6019">
        <v>2546</v>
      </c>
      <c r="G792" s="6020">
        <f t="shared" si="87"/>
        <v>0</v>
      </c>
      <c r="H792" s="6018">
        <f t="shared" si="92"/>
        <v>1396</v>
      </c>
      <c r="I792" s="6018">
        <f t="shared" si="88"/>
        <v>3052</v>
      </c>
      <c r="J792" s="6019">
        <v>3799</v>
      </c>
      <c r="K792" s="1732"/>
      <c r="L792" s="6018">
        <v>39375</v>
      </c>
      <c r="W792" s="6018">
        <v>39350</v>
      </c>
      <c r="X792" s="6019">
        <v>39400</v>
      </c>
      <c r="Y792" s="6018">
        <v>0</v>
      </c>
      <c r="Z792" s="6018">
        <v>445</v>
      </c>
      <c r="AA792" s="6018">
        <v>1799</v>
      </c>
      <c r="AB792" s="6019">
        <v>2546</v>
      </c>
      <c r="AC792" s="6018">
        <v>0</v>
      </c>
      <c r="AD792" s="6018">
        <v>1396</v>
      </c>
      <c r="AE792" s="6018">
        <v>3052</v>
      </c>
      <c r="AF792" s="6019">
        <v>3799</v>
      </c>
    </row>
    <row r="793" spans="1:32" ht="13.5">
      <c r="A793" s="6018">
        <v>39400</v>
      </c>
      <c r="B793" s="6019">
        <v>39450</v>
      </c>
      <c r="C793" s="6020">
        <f t="shared" si="89"/>
        <v>0</v>
      </c>
      <c r="D793" s="6018">
        <f t="shared" si="90"/>
        <v>437</v>
      </c>
      <c r="E793" s="6018">
        <f t="shared" si="91"/>
        <v>1788</v>
      </c>
      <c r="F793" s="6019">
        <v>2536</v>
      </c>
      <c r="G793" s="6020">
        <f t="shared" si="87"/>
        <v>0</v>
      </c>
      <c r="H793" s="6018">
        <f t="shared" si="92"/>
        <v>1388</v>
      </c>
      <c r="I793" s="6018">
        <f t="shared" si="88"/>
        <v>3041</v>
      </c>
      <c r="J793" s="6019">
        <v>3789</v>
      </c>
      <c r="K793" s="1732"/>
      <c r="L793" s="6018">
        <v>39425</v>
      </c>
      <c r="W793" s="6018">
        <v>39400</v>
      </c>
      <c r="X793" s="6019">
        <v>39450</v>
      </c>
      <c r="Y793" s="6018">
        <v>0</v>
      </c>
      <c r="Z793" s="6018">
        <v>437</v>
      </c>
      <c r="AA793" s="6018">
        <v>1788</v>
      </c>
      <c r="AB793" s="6019">
        <v>2536</v>
      </c>
      <c r="AC793" s="6018">
        <v>0</v>
      </c>
      <c r="AD793" s="6018">
        <v>1388</v>
      </c>
      <c r="AE793" s="6018">
        <v>3041</v>
      </c>
      <c r="AF793" s="6019">
        <v>3789</v>
      </c>
    </row>
    <row r="794" spans="1:32" ht="13.5">
      <c r="A794" s="6018">
        <v>39450</v>
      </c>
      <c r="B794" s="6019">
        <v>39500</v>
      </c>
      <c r="C794" s="6020">
        <f t="shared" si="89"/>
        <v>0</v>
      </c>
      <c r="D794" s="6018">
        <f t="shared" si="90"/>
        <v>429</v>
      </c>
      <c r="E794" s="6018">
        <f t="shared" si="91"/>
        <v>1777</v>
      </c>
      <c r="F794" s="6019">
        <v>2525</v>
      </c>
      <c r="G794" s="6020">
        <f t="shared" si="87"/>
        <v>0</v>
      </c>
      <c r="H794" s="6018">
        <f t="shared" si="92"/>
        <v>1380</v>
      </c>
      <c r="I794" s="6018">
        <f t="shared" si="88"/>
        <v>3031</v>
      </c>
      <c r="J794" s="6019">
        <v>3778</v>
      </c>
      <c r="K794" s="1732"/>
      <c r="L794" s="6018">
        <v>39475</v>
      </c>
      <c r="W794" s="6018">
        <v>39450</v>
      </c>
      <c r="X794" s="6019">
        <v>39500</v>
      </c>
      <c r="Y794" s="6018">
        <v>0</v>
      </c>
      <c r="Z794" s="6018">
        <v>429</v>
      </c>
      <c r="AA794" s="6018">
        <v>1777</v>
      </c>
      <c r="AB794" s="6019">
        <v>2525</v>
      </c>
      <c r="AC794" s="6018">
        <v>0</v>
      </c>
      <c r="AD794" s="6018">
        <v>1380</v>
      </c>
      <c r="AE794" s="6018">
        <v>3031</v>
      </c>
      <c r="AF794" s="6019">
        <v>3778</v>
      </c>
    </row>
    <row r="795" spans="1:32" ht="13.5">
      <c r="A795" s="6018">
        <v>39500</v>
      </c>
      <c r="B795" s="6019">
        <v>39550</v>
      </c>
      <c r="C795" s="6020">
        <f t="shared" si="89"/>
        <v>0</v>
      </c>
      <c r="D795" s="6018">
        <f t="shared" si="90"/>
        <v>421</v>
      </c>
      <c r="E795" s="6018">
        <f t="shared" si="91"/>
        <v>1767</v>
      </c>
      <c r="F795" s="6019">
        <v>2514</v>
      </c>
      <c r="G795" s="6020">
        <f t="shared" si="87"/>
        <v>0</v>
      </c>
      <c r="H795" s="6018">
        <f t="shared" si="92"/>
        <v>1372</v>
      </c>
      <c r="I795" s="6018">
        <f t="shared" si="88"/>
        <v>3020</v>
      </c>
      <c r="J795" s="6019">
        <v>3768</v>
      </c>
      <c r="K795" s="1732"/>
      <c r="L795" s="6018">
        <v>39525</v>
      </c>
      <c r="W795" s="6018">
        <v>39500</v>
      </c>
      <c r="X795" s="6019">
        <v>39550</v>
      </c>
      <c r="Y795" s="6018">
        <v>0</v>
      </c>
      <c r="Z795" s="6018">
        <v>421</v>
      </c>
      <c r="AA795" s="6018">
        <v>1767</v>
      </c>
      <c r="AB795" s="6019">
        <v>2514</v>
      </c>
      <c r="AC795" s="6018">
        <v>0</v>
      </c>
      <c r="AD795" s="6018">
        <v>1372</v>
      </c>
      <c r="AE795" s="6018">
        <v>3020</v>
      </c>
      <c r="AF795" s="6019">
        <v>3768</v>
      </c>
    </row>
    <row r="796" spans="1:32" ht="13.5">
      <c r="A796" s="6018">
        <v>39550</v>
      </c>
      <c r="B796" s="6019">
        <v>39600</v>
      </c>
      <c r="C796" s="6020">
        <f t="shared" si="89"/>
        <v>0</v>
      </c>
      <c r="D796" s="6018">
        <f t="shared" si="90"/>
        <v>413</v>
      </c>
      <c r="E796" s="6018">
        <f t="shared" si="91"/>
        <v>1756</v>
      </c>
      <c r="F796" s="6019">
        <v>2504</v>
      </c>
      <c r="G796" s="6020">
        <f t="shared" si="87"/>
        <v>0</v>
      </c>
      <c r="H796" s="6018">
        <f t="shared" si="92"/>
        <v>1364</v>
      </c>
      <c r="I796" s="6018">
        <f t="shared" si="88"/>
        <v>3009</v>
      </c>
      <c r="J796" s="6019">
        <v>3757</v>
      </c>
      <c r="K796" s="1732"/>
      <c r="L796" s="6018">
        <v>39575</v>
      </c>
      <c r="W796" s="6018">
        <v>39550</v>
      </c>
      <c r="X796" s="6019">
        <v>39600</v>
      </c>
      <c r="Y796" s="6018">
        <v>0</v>
      </c>
      <c r="Z796" s="6018">
        <v>413</v>
      </c>
      <c r="AA796" s="6018">
        <v>1756</v>
      </c>
      <c r="AB796" s="6019">
        <v>2504</v>
      </c>
      <c r="AC796" s="6018">
        <v>0</v>
      </c>
      <c r="AD796" s="6018">
        <v>1364</v>
      </c>
      <c r="AE796" s="6018">
        <v>3009</v>
      </c>
      <c r="AF796" s="6019">
        <v>3757</v>
      </c>
    </row>
    <row r="797" spans="1:32" ht="13.5">
      <c r="A797" s="6018">
        <v>39600</v>
      </c>
      <c r="B797" s="6019">
        <v>39650</v>
      </c>
      <c r="C797" s="6020">
        <f t="shared" si="89"/>
        <v>0</v>
      </c>
      <c r="D797" s="6018">
        <f t="shared" si="90"/>
        <v>405</v>
      </c>
      <c r="E797" s="6018">
        <f t="shared" si="91"/>
        <v>1746</v>
      </c>
      <c r="F797" s="6019">
        <v>2493</v>
      </c>
      <c r="G797" s="6020">
        <f t="shared" si="87"/>
        <v>0</v>
      </c>
      <c r="H797" s="6018">
        <f t="shared" si="92"/>
        <v>1356</v>
      </c>
      <c r="I797" s="6018">
        <f t="shared" si="88"/>
        <v>2999</v>
      </c>
      <c r="J797" s="6019">
        <v>3746</v>
      </c>
      <c r="K797" s="1732"/>
      <c r="L797" s="6018">
        <v>39625</v>
      </c>
      <c r="W797" s="6018">
        <v>39600</v>
      </c>
      <c r="X797" s="6019">
        <v>39650</v>
      </c>
      <c r="Y797" s="6018">
        <v>0</v>
      </c>
      <c r="Z797" s="6018">
        <v>405</v>
      </c>
      <c r="AA797" s="6018">
        <v>1746</v>
      </c>
      <c r="AB797" s="6019">
        <v>2493</v>
      </c>
      <c r="AC797" s="6018">
        <v>0</v>
      </c>
      <c r="AD797" s="6018">
        <v>1356</v>
      </c>
      <c r="AE797" s="6018">
        <v>2999</v>
      </c>
      <c r="AF797" s="6019">
        <v>3746</v>
      </c>
    </row>
    <row r="798" spans="1:32" ht="13.5">
      <c r="A798" s="6018">
        <v>39650</v>
      </c>
      <c r="B798" s="6019">
        <v>39700</v>
      </c>
      <c r="C798" s="6020">
        <f t="shared" si="89"/>
        <v>0</v>
      </c>
      <c r="D798" s="6018">
        <f t="shared" si="90"/>
        <v>397</v>
      </c>
      <c r="E798" s="6018">
        <f t="shared" si="91"/>
        <v>1735</v>
      </c>
      <c r="F798" s="6019">
        <v>2483</v>
      </c>
      <c r="G798" s="6020">
        <f t="shared" si="87"/>
        <v>0</v>
      </c>
      <c r="H798" s="6018">
        <f t="shared" si="92"/>
        <v>1348</v>
      </c>
      <c r="I798" s="6018">
        <f t="shared" si="88"/>
        <v>2988</v>
      </c>
      <c r="J798" s="6019">
        <v>3736</v>
      </c>
      <c r="K798" s="1732"/>
      <c r="L798" s="6018">
        <v>39675</v>
      </c>
      <c r="W798" s="6018">
        <v>39650</v>
      </c>
      <c r="X798" s="6019">
        <v>39700</v>
      </c>
      <c r="Y798" s="6018">
        <v>0</v>
      </c>
      <c r="Z798" s="6018">
        <v>397</v>
      </c>
      <c r="AA798" s="6018">
        <v>1735</v>
      </c>
      <c r="AB798" s="6019">
        <v>2483</v>
      </c>
      <c r="AC798" s="6018">
        <v>0</v>
      </c>
      <c r="AD798" s="6018">
        <v>1348</v>
      </c>
      <c r="AE798" s="6018">
        <v>2988</v>
      </c>
      <c r="AF798" s="6019">
        <v>3736</v>
      </c>
    </row>
    <row r="799" spans="1:32" ht="13.5">
      <c r="A799" s="6018">
        <v>39700</v>
      </c>
      <c r="B799" s="6019">
        <v>39750</v>
      </c>
      <c r="C799" s="6020">
        <f t="shared" si="89"/>
        <v>0</v>
      </c>
      <c r="D799" s="6018">
        <f t="shared" si="90"/>
        <v>389</v>
      </c>
      <c r="E799" s="6018">
        <f t="shared" si="91"/>
        <v>1725</v>
      </c>
      <c r="F799" s="6019">
        <v>2472</v>
      </c>
      <c r="G799" s="6020">
        <f t="shared" si="87"/>
        <v>0</v>
      </c>
      <c r="H799" s="6018">
        <f t="shared" si="92"/>
        <v>1340</v>
      </c>
      <c r="I799" s="6018">
        <f t="shared" si="88"/>
        <v>2978</v>
      </c>
      <c r="J799" s="6019">
        <v>3725</v>
      </c>
      <c r="K799" s="1732"/>
      <c r="L799" s="6018">
        <v>39725</v>
      </c>
      <c r="W799" s="6018">
        <v>39700</v>
      </c>
      <c r="X799" s="6019">
        <v>39750</v>
      </c>
      <c r="Y799" s="6018">
        <v>0</v>
      </c>
      <c r="Z799" s="6018">
        <v>389</v>
      </c>
      <c r="AA799" s="6018">
        <v>1725</v>
      </c>
      <c r="AB799" s="6019">
        <v>2472</v>
      </c>
      <c r="AC799" s="6018">
        <v>0</v>
      </c>
      <c r="AD799" s="6018">
        <v>1340</v>
      </c>
      <c r="AE799" s="6018">
        <v>2978</v>
      </c>
      <c r="AF799" s="6019">
        <v>3725</v>
      </c>
    </row>
    <row r="800" spans="1:32" ht="13.5">
      <c r="A800" s="6018">
        <v>39750</v>
      </c>
      <c r="B800" s="6019">
        <v>39800</v>
      </c>
      <c r="C800" s="6020">
        <f t="shared" si="89"/>
        <v>0</v>
      </c>
      <c r="D800" s="6018">
        <f t="shared" si="90"/>
        <v>381</v>
      </c>
      <c r="E800" s="6018">
        <f t="shared" si="91"/>
        <v>1714</v>
      </c>
      <c r="F800" s="6019">
        <v>2462</v>
      </c>
      <c r="G800" s="6020">
        <f t="shared" si="87"/>
        <v>0</v>
      </c>
      <c r="H800" s="6018">
        <f t="shared" si="92"/>
        <v>1332</v>
      </c>
      <c r="I800" s="6018">
        <f t="shared" si="88"/>
        <v>2967</v>
      </c>
      <c r="J800" s="6019">
        <v>3715</v>
      </c>
      <c r="K800" s="1732"/>
      <c r="L800" s="6018">
        <v>39775</v>
      </c>
      <c r="W800" s="6018">
        <v>39750</v>
      </c>
      <c r="X800" s="6019">
        <v>39800</v>
      </c>
      <c r="Y800" s="6018">
        <v>0</v>
      </c>
      <c r="Z800" s="6018">
        <v>381</v>
      </c>
      <c r="AA800" s="6018">
        <v>1714</v>
      </c>
      <c r="AB800" s="6019">
        <v>2462</v>
      </c>
      <c r="AC800" s="6018">
        <v>0</v>
      </c>
      <c r="AD800" s="6018">
        <v>1332</v>
      </c>
      <c r="AE800" s="6018">
        <v>2967</v>
      </c>
      <c r="AF800" s="6019">
        <v>3715</v>
      </c>
    </row>
    <row r="801" spans="1:32" ht="13.5">
      <c r="A801" s="6018">
        <v>39800</v>
      </c>
      <c r="B801" s="6019">
        <v>39850</v>
      </c>
      <c r="C801" s="6020">
        <f t="shared" si="89"/>
        <v>0</v>
      </c>
      <c r="D801" s="6018">
        <f t="shared" si="90"/>
        <v>373</v>
      </c>
      <c r="E801" s="6018">
        <f t="shared" si="91"/>
        <v>1704</v>
      </c>
      <c r="F801" s="6019">
        <v>2451</v>
      </c>
      <c r="G801" s="6020">
        <f t="shared" si="87"/>
        <v>0</v>
      </c>
      <c r="H801" s="6018">
        <f t="shared" si="92"/>
        <v>1324</v>
      </c>
      <c r="I801" s="6018">
        <f t="shared" si="88"/>
        <v>2957</v>
      </c>
      <c r="J801" s="6019">
        <v>3704</v>
      </c>
      <c r="K801" s="1732"/>
      <c r="L801" s="6018">
        <v>39825</v>
      </c>
      <c r="W801" s="6018">
        <v>39800</v>
      </c>
      <c r="X801" s="6019">
        <v>39850</v>
      </c>
      <c r="Y801" s="6018">
        <v>0</v>
      </c>
      <c r="Z801" s="6018">
        <v>373</v>
      </c>
      <c r="AA801" s="6018">
        <v>1704</v>
      </c>
      <c r="AB801" s="6019">
        <v>2451</v>
      </c>
      <c r="AC801" s="6018">
        <v>0</v>
      </c>
      <c r="AD801" s="6018">
        <v>1324</v>
      </c>
      <c r="AE801" s="6018">
        <v>2957</v>
      </c>
      <c r="AF801" s="6019">
        <v>3704</v>
      </c>
    </row>
    <row r="802" spans="1:32" ht="13.5">
      <c r="A802" s="6018">
        <v>39850</v>
      </c>
      <c r="B802" s="6019">
        <v>39900</v>
      </c>
      <c r="C802" s="6020">
        <f t="shared" si="89"/>
        <v>0</v>
      </c>
      <c r="D802" s="6018">
        <f t="shared" si="90"/>
        <v>365</v>
      </c>
      <c r="E802" s="6018">
        <f t="shared" si="91"/>
        <v>1693</v>
      </c>
      <c r="F802" s="6019">
        <v>2441</v>
      </c>
      <c r="G802" s="6020">
        <f t="shared" si="87"/>
        <v>0</v>
      </c>
      <c r="H802" s="6018">
        <f t="shared" si="92"/>
        <v>1316</v>
      </c>
      <c r="I802" s="6018">
        <f t="shared" si="88"/>
        <v>2946</v>
      </c>
      <c r="J802" s="6019">
        <v>3694</v>
      </c>
      <c r="K802" s="1732"/>
      <c r="L802" s="6018">
        <v>39875</v>
      </c>
      <c r="W802" s="6018">
        <v>39850</v>
      </c>
      <c r="X802" s="6019">
        <v>39900</v>
      </c>
      <c r="Y802" s="6018">
        <v>0</v>
      </c>
      <c r="Z802" s="6018">
        <v>365</v>
      </c>
      <c r="AA802" s="6018">
        <v>1693</v>
      </c>
      <c r="AB802" s="6019">
        <v>2441</v>
      </c>
      <c r="AC802" s="6018">
        <v>0</v>
      </c>
      <c r="AD802" s="6018">
        <v>1316</v>
      </c>
      <c r="AE802" s="6018">
        <v>2946</v>
      </c>
      <c r="AF802" s="6019">
        <v>3694</v>
      </c>
    </row>
    <row r="803" spans="1:32" ht="13.5">
      <c r="A803" s="6018">
        <v>39900</v>
      </c>
      <c r="B803" s="6019">
        <v>39950</v>
      </c>
      <c r="C803" s="6020">
        <f t="shared" si="89"/>
        <v>0</v>
      </c>
      <c r="D803" s="6018">
        <f t="shared" si="90"/>
        <v>357</v>
      </c>
      <c r="E803" s="6018">
        <f t="shared" si="91"/>
        <v>1683</v>
      </c>
      <c r="F803" s="6019">
        <v>2430</v>
      </c>
      <c r="G803" s="6020">
        <f t="shared" si="87"/>
        <v>0</v>
      </c>
      <c r="H803" s="6018">
        <f t="shared" si="92"/>
        <v>1308</v>
      </c>
      <c r="I803" s="6018">
        <f t="shared" si="88"/>
        <v>2936</v>
      </c>
      <c r="J803" s="6019">
        <v>3683</v>
      </c>
      <c r="K803" s="1732"/>
      <c r="L803" s="6018">
        <v>39925</v>
      </c>
      <c r="W803" s="6018">
        <v>39900</v>
      </c>
      <c r="X803" s="6019">
        <v>39950</v>
      </c>
      <c r="Y803" s="6018">
        <v>0</v>
      </c>
      <c r="Z803" s="6018">
        <v>357</v>
      </c>
      <c r="AA803" s="6018">
        <v>1683</v>
      </c>
      <c r="AB803" s="6019">
        <v>2430</v>
      </c>
      <c r="AC803" s="6018">
        <v>0</v>
      </c>
      <c r="AD803" s="6018">
        <v>1308</v>
      </c>
      <c r="AE803" s="6018">
        <v>2936</v>
      </c>
      <c r="AF803" s="6019">
        <v>3683</v>
      </c>
    </row>
    <row r="804" spans="1:32" ht="13.5">
      <c r="A804" s="6018">
        <v>39950</v>
      </c>
      <c r="B804" s="6019">
        <v>40000</v>
      </c>
      <c r="C804" s="6020">
        <f t="shared" si="89"/>
        <v>0</v>
      </c>
      <c r="D804" s="6018">
        <f t="shared" si="90"/>
        <v>349</v>
      </c>
      <c r="E804" s="6018">
        <f t="shared" si="91"/>
        <v>1672</v>
      </c>
      <c r="F804" s="6019">
        <v>2420</v>
      </c>
      <c r="G804" s="6020">
        <f t="shared" si="87"/>
        <v>0</v>
      </c>
      <c r="H804" s="6018">
        <f t="shared" si="92"/>
        <v>1300</v>
      </c>
      <c r="I804" s="6018">
        <f t="shared" si="88"/>
        <v>2925</v>
      </c>
      <c r="J804" s="6019">
        <v>3673</v>
      </c>
      <c r="K804" s="1732"/>
      <c r="L804" s="6018">
        <v>39975</v>
      </c>
      <c r="W804" s="6018">
        <v>39950</v>
      </c>
      <c r="X804" s="6019">
        <v>40000</v>
      </c>
      <c r="Y804" s="6018">
        <v>0</v>
      </c>
      <c r="Z804" s="6018">
        <v>349</v>
      </c>
      <c r="AA804" s="6018">
        <v>1672</v>
      </c>
      <c r="AB804" s="6019">
        <v>2420</v>
      </c>
      <c r="AC804" s="6018">
        <v>0</v>
      </c>
      <c r="AD804" s="6018">
        <v>1300</v>
      </c>
      <c r="AE804" s="6018">
        <v>2925</v>
      </c>
      <c r="AF804" s="6019">
        <v>3673</v>
      </c>
    </row>
    <row r="805" spans="1:32" ht="13.5">
      <c r="A805" s="6018">
        <v>40000</v>
      </c>
      <c r="B805" s="6019">
        <v>40050</v>
      </c>
      <c r="C805" s="6020">
        <f t="shared" si="89"/>
        <v>0</v>
      </c>
      <c r="D805" s="6018">
        <f t="shared" si="90"/>
        <v>341</v>
      </c>
      <c r="E805" s="6018">
        <f t="shared" si="91"/>
        <v>1662</v>
      </c>
      <c r="F805" s="6019">
        <v>2409</v>
      </c>
      <c r="G805" s="6020">
        <f t="shared" si="87"/>
        <v>0</v>
      </c>
      <c r="H805" s="6018">
        <f t="shared" si="92"/>
        <v>1292</v>
      </c>
      <c r="I805" s="6018">
        <f t="shared" si="88"/>
        <v>2915</v>
      </c>
      <c r="J805" s="6019">
        <v>3662</v>
      </c>
      <c r="K805" s="1732"/>
      <c r="L805" s="6018">
        <v>40025</v>
      </c>
      <c r="W805" s="6018">
        <v>40000</v>
      </c>
      <c r="X805" s="6019">
        <v>40050</v>
      </c>
      <c r="Y805" s="6018">
        <v>0</v>
      </c>
      <c r="Z805" s="6018">
        <v>341</v>
      </c>
      <c r="AA805" s="6018">
        <v>1662</v>
      </c>
      <c r="AB805" s="6019">
        <v>2409</v>
      </c>
      <c r="AC805" s="6018">
        <v>0</v>
      </c>
      <c r="AD805" s="6018">
        <v>1292</v>
      </c>
      <c r="AE805" s="6018">
        <v>2915</v>
      </c>
      <c r="AF805" s="6019">
        <v>3662</v>
      </c>
    </row>
    <row r="806" spans="1:32" ht="13.5">
      <c r="A806" s="6018">
        <v>40050</v>
      </c>
      <c r="B806" s="6019">
        <v>40100</v>
      </c>
      <c r="C806" s="6020">
        <f t="shared" si="89"/>
        <v>0</v>
      </c>
      <c r="D806" s="6018">
        <f t="shared" si="90"/>
        <v>333</v>
      </c>
      <c r="E806" s="6018">
        <f t="shared" si="91"/>
        <v>1651</v>
      </c>
      <c r="F806" s="6019">
        <v>2399</v>
      </c>
      <c r="G806" s="6020">
        <f t="shared" si="87"/>
        <v>0</v>
      </c>
      <c r="H806" s="6018">
        <f t="shared" si="92"/>
        <v>1284</v>
      </c>
      <c r="I806" s="6018">
        <f t="shared" si="88"/>
        <v>2904</v>
      </c>
      <c r="J806" s="6019">
        <v>3652</v>
      </c>
      <c r="K806" s="1732"/>
      <c r="L806" s="6018">
        <v>40075</v>
      </c>
      <c r="W806" s="6018">
        <v>40050</v>
      </c>
      <c r="X806" s="6019">
        <v>40100</v>
      </c>
      <c r="Y806" s="6018">
        <v>0</v>
      </c>
      <c r="Z806" s="6018">
        <v>333</v>
      </c>
      <c r="AA806" s="6018">
        <v>1651</v>
      </c>
      <c r="AB806" s="6019">
        <v>2399</v>
      </c>
      <c r="AC806" s="6018">
        <v>0</v>
      </c>
      <c r="AD806" s="6018">
        <v>1284</v>
      </c>
      <c r="AE806" s="6018">
        <v>2904</v>
      </c>
      <c r="AF806" s="6019">
        <v>3652</v>
      </c>
    </row>
    <row r="807" spans="1:32" ht="13.5">
      <c r="A807" s="6018">
        <v>40100</v>
      </c>
      <c r="B807" s="6019">
        <v>40150</v>
      </c>
      <c r="C807" s="6020">
        <f t="shared" si="89"/>
        <v>0</v>
      </c>
      <c r="D807" s="6018">
        <f t="shared" si="90"/>
        <v>325</v>
      </c>
      <c r="E807" s="6018">
        <f t="shared" si="91"/>
        <v>1641</v>
      </c>
      <c r="F807" s="6019">
        <v>2388</v>
      </c>
      <c r="G807" s="6020">
        <f t="shared" si="87"/>
        <v>0</v>
      </c>
      <c r="H807" s="6018">
        <f t="shared" si="92"/>
        <v>1276</v>
      </c>
      <c r="I807" s="6018">
        <f t="shared" si="88"/>
        <v>2894</v>
      </c>
      <c r="J807" s="6019">
        <v>3641</v>
      </c>
      <c r="K807" s="1732"/>
      <c r="L807" s="6018">
        <v>40125</v>
      </c>
      <c r="W807" s="6018">
        <v>40100</v>
      </c>
      <c r="X807" s="6019">
        <v>40150</v>
      </c>
      <c r="Y807" s="6018">
        <v>0</v>
      </c>
      <c r="Z807" s="6018">
        <v>325</v>
      </c>
      <c r="AA807" s="6018">
        <v>1641</v>
      </c>
      <c r="AB807" s="6019">
        <v>2388</v>
      </c>
      <c r="AC807" s="6018">
        <v>0</v>
      </c>
      <c r="AD807" s="6018">
        <v>1276</v>
      </c>
      <c r="AE807" s="6018">
        <v>2894</v>
      </c>
      <c r="AF807" s="6019">
        <v>3641</v>
      </c>
    </row>
    <row r="808" spans="1:32" ht="13.5">
      <c r="A808" s="6018">
        <v>40150</v>
      </c>
      <c r="B808" s="6019">
        <v>40200</v>
      </c>
      <c r="C808" s="6020">
        <f t="shared" si="89"/>
        <v>0</v>
      </c>
      <c r="D808" s="6018">
        <f t="shared" si="90"/>
        <v>317</v>
      </c>
      <c r="E808" s="6018">
        <f t="shared" si="91"/>
        <v>1630</v>
      </c>
      <c r="F808" s="6019">
        <v>2378</v>
      </c>
      <c r="G808" s="6020">
        <f t="shared" si="87"/>
        <v>0</v>
      </c>
      <c r="H808" s="6018">
        <f t="shared" si="92"/>
        <v>1268</v>
      </c>
      <c r="I808" s="6018">
        <f t="shared" si="88"/>
        <v>2883</v>
      </c>
      <c r="J808" s="6019">
        <v>3631</v>
      </c>
      <c r="K808" s="1732"/>
      <c r="L808" s="6018">
        <v>40175</v>
      </c>
      <c r="W808" s="6018">
        <v>40150</v>
      </c>
      <c r="X808" s="6019">
        <v>40200</v>
      </c>
      <c r="Y808" s="6018">
        <v>0</v>
      </c>
      <c r="Z808" s="6018">
        <v>317</v>
      </c>
      <c r="AA808" s="6018">
        <v>1630</v>
      </c>
      <c r="AB808" s="6019">
        <v>2378</v>
      </c>
      <c r="AC808" s="6018">
        <v>0</v>
      </c>
      <c r="AD808" s="6018">
        <v>1268</v>
      </c>
      <c r="AE808" s="6018">
        <v>2883</v>
      </c>
      <c r="AF808" s="6019">
        <v>3631</v>
      </c>
    </row>
    <row r="809" spans="1:32" ht="13.5">
      <c r="A809" s="6018">
        <v>40200</v>
      </c>
      <c r="B809" s="6019">
        <v>40250</v>
      </c>
      <c r="C809" s="6020">
        <f t="shared" si="89"/>
        <v>0</v>
      </c>
      <c r="D809" s="6018">
        <f t="shared" si="90"/>
        <v>309</v>
      </c>
      <c r="E809" s="6018">
        <f t="shared" si="91"/>
        <v>1620</v>
      </c>
      <c r="F809" s="6019">
        <v>2367</v>
      </c>
      <c r="G809" s="6020">
        <f t="shared" si="87"/>
        <v>0</v>
      </c>
      <c r="H809" s="6018">
        <f t="shared" si="92"/>
        <v>1260</v>
      </c>
      <c r="I809" s="6018">
        <f t="shared" si="88"/>
        <v>2873</v>
      </c>
      <c r="J809" s="6019">
        <v>3620</v>
      </c>
      <c r="K809" s="1732"/>
      <c r="L809" s="6018">
        <v>40225</v>
      </c>
      <c r="W809" s="6018">
        <v>40200</v>
      </c>
      <c r="X809" s="6019">
        <v>40250</v>
      </c>
      <c r="Y809" s="6018">
        <v>0</v>
      </c>
      <c r="Z809" s="6018">
        <v>309</v>
      </c>
      <c r="AA809" s="6018">
        <v>1620</v>
      </c>
      <c r="AB809" s="6019">
        <v>2367</v>
      </c>
      <c r="AC809" s="6018">
        <v>0</v>
      </c>
      <c r="AD809" s="6018">
        <v>1260</v>
      </c>
      <c r="AE809" s="6018">
        <v>2873</v>
      </c>
      <c r="AF809" s="6019">
        <v>3620</v>
      </c>
    </row>
    <row r="810" spans="1:32" ht="13.5">
      <c r="A810" s="6018">
        <v>40250</v>
      </c>
      <c r="B810" s="6019">
        <v>40300</v>
      </c>
      <c r="C810" s="6020">
        <f t="shared" si="89"/>
        <v>0</v>
      </c>
      <c r="D810" s="6018">
        <f t="shared" si="90"/>
        <v>301</v>
      </c>
      <c r="E810" s="6018">
        <f t="shared" si="91"/>
        <v>1609</v>
      </c>
      <c r="F810" s="6019">
        <v>2356</v>
      </c>
      <c r="G810" s="6020">
        <f t="shared" si="87"/>
        <v>0</v>
      </c>
      <c r="H810" s="6018">
        <f t="shared" si="92"/>
        <v>1252</v>
      </c>
      <c r="I810" s="6018">
        <f t="shared" si="88"/>
        <v>2862</v>
      </c>
      <c r="J810" s="6019">
        <v>3610</v>
      </c>
      <c r="K810" s="1732"/>
      <c r="L810" s="6018">
        <v>40275</v>
      </c>
      <c r="W810" s="6018">
        <v>40250</v>
      </c>
      <c r="X810" s="6019">
        <v>40300</v>
      </c>
      <c r="Y810" s="6018">
        <v>0</v>
      </c>
      <c r="Z810" s="6018">
        <v>301</v>
      </c>
      <c r="AA810" s="6018">
        <v>1609</v>
      </c>
      <c r="AB810" s="6019">
        <v>2356</v>
      </c>
      <c r="AC810" s="6018">
        <v>0</v>
      </c>
      <c r="AD810" s="6018">
        <v>1252</v>
      </c>
      <c r="AE810" s="6018">
        <v>2862</v>
      </c>
      <c r="AF810" s="6019">
        <v>3610</v>
      </c>
    </row>
    <row r="811" spans="1:32" ht="13.5">
      <c r="A811" s="6018">
        <v>40300</v>
      </c>
      <c r="B811" s="6019">
        <v>40350</v>
      </c>
      <c r="C811" s="6020">
        <f t="shared" si="89"/>
        <v>0</v>
      </c>
      <c r="D811" s="6018">
        <f t="shared" si="90"/>
        <v>293</v>
      </c>
      <c r="E811" s="6018">
        <f t="shared" si="91"/>
        <v>1598</v>
      </c>
      <c r="F811" s="6019">
        <v>2346</v>
      </c>
      <c r="G811" s="6020">
        <f t="shared" si="87"/>
        <v>0</v>
      </c>
      <c r="H811" s="6018">
        <f t="shared" si="92"/>
        <v>1244</v>
      </c>
      <c r="I811" s="6018">
        <f t="shared" si="88"/>
        <v>2852</v>
      </c>
      <c r="J811" s="6019">
        <v>3599</v>
      </c>
      <c r="K811" s="1732"/>
      <c r="L811" s="6018">
        <v>40325</v>
      </c>
      <c r="W811" s="6018">
        <v>40300</v>
      </c>
      <c r="X811" s="6019">
        <v>40350</v>
      </c>
      <c r="Y811" s="6018">
        <v>0</v>
      </c>
      <c r="Z811" s="6018">
        <v>293</v>
      </c>
      <c r="AA811" s="6018">
        <v>1598</v>
      </c>
      <c r="AB811" s="6019">
        <v>2346</v>
      </c>
      <c r="AC811" s="6018">
        <v>0</v>
      </c>
      <c r="AD811" s="6018">
        <v>1244</v>
      </c>
      <c r="AE811" s="6018">
        <v>2852</v>
      </c>
      <c r="AF811" s="6019">
        <v>3599</v>
      </c>
    </row>
    <row r="812" spans="1:32" ht="13.5">
      <c r="A812" s="6018">
        <v>40350</v>
      </c>
      <c r="B812" s="6019">
        <v>40400</v>
      </c>
      <c r="C812" s="6020">
        <f t="shared" si="89"/>
        <v>0</v>
      </c>
      <c r="D812" s="6018">
        <f t="shared" si="90"/>
        <v>285</v>
      </c>
      <c r="E812" s="6018">
        <f t="shared" si="91"/>
        <v>1588</v>
      </c>
      <c r="F812" s="6019">
        <v>2335</v>
      </c>
      <c r="G812" s="6020">
        <f t="shared" si="87"/>
        <v>0</v>
      </c>
      <c r="H812" s="6018">
        <f t="shared" si="92"/>
        <v>1236</v>
      </c>
      <c r="I812" s="6018">
        <f t="shared" si="88"/>
        <v>2841</v>
      </c>
      <c r="J812" s="6019">
        <v>3589</v>
      </c>
      <c r="K812" s="1732"/>
      <c r="L812" s="6018">
        <v>40375</v>
      </c>
      <c r="W812" s="6018">
        <v>40350</v>
      </c>
      <c r="X812" s="6019">
        <v>40400</v>
      </c>
      <c r="Y812" s="6018">
        <v>0</v>
      </c>
      <c r="Z812" s="6018">
        <v>285</v>
      </c>
      <c r="AA812" s="6018">
        <v>1588</v>
      </c>
      <c r="AB812" s="6019">
        <v>2335</v>
      </c>
      <c r="AC812" s="6018">
        <v>0</v>
      </c>
      <c r="AD812" s="6018">
        <v>1236</v>
      </c>
      <c r="AE812" s="6018">
        <v>2841</v>
      </c>
      <c r="AF812" s="6019">
        <v>3589</v>
      </c>
    </row>
    <row r="813" spans="1:32" ht="13.5">
      <c r="A813" s="6018">
        <v>40400</v>
      </c>
      <c r="B813" s="6019">
        <v>40450</v>
      </c>
      <c r="C813" s="6020">
        <f t="shared" si="89"/>
        <v>0</v>
      </c>
      <c r="D813" s="6018">
        <f t="shared" si="90"/>
        <v>277</v>
      </c>
      <c r="E813" s="6018">
        <f t="shared" si="91"/>
        <v>1577</v>
      </c>
      <c r="F813" s="6019">
        <v>2325</v>
      </c>
      <c r="G813" s="6020">
        <f t="shared" si="87"/>
        <v>0</v>
      </c>
      <c r="H813" s="6018">
        <f t="shared" si="92"/>
        <v>1228</v>
      </c>
      <c r="I813" s="6018">
        <f t="shared" si="88"/>
        <v>2830</v>
      </c>
      <c r="J813" s="6019">
        <v>3578</v>
      </c>
      <c r="K813" s="1732"/>
      <c r="L813" s="6018">
        <v>40425</v>
      </c>
      <c r="W813" s="6018">
        <v>40400</v>
      </c>
      <c r="X813" s="6019">
        <v>40450</v>
      </c>
      <c r="Y813" s="6018">
        <v>0</v>
      </c>
      <c r="Z813" s="6018">
        <v>277</v>
      </c>
      <c r="AA813" s="6018">
        <v>1577</v>
      </c>
      <c r="AB813" s="6019">
        <v>2325</v>
      </c>
      <c r="AC813" s="6018">
        <v>0</v>
      </c>
      <c r="AD813" s="6018">
        <v>1228</v>
      </c>
      <c r="AE813" s="6018">
        <v>2830</v>
      </c>
      <c r="AF813" s="6019">
        <v>3578</v>
      </c>
    </row>
    <row r="814" spans="1:32" ht="13.5">
      <c r="A814" s="6018">
        <v>40450</v>
      </c>
      <c r="B814" s="6019">
        <v>40500</v>
      </c>
      <c r="C814" s="6020">
        <f t="shared" si="89"/>
        <v>0</v>
      </c>
      <c r="D814" s="6018">
        <f t="shared" si="90"/>
        <v>269</v>
      </c>
      <c r="E814" s="6018">
        <f t="shared" si="91"/>
        <v>1567</v>
      </c>
      <c r="F814" s="6019">
        <v>2314</v>
      </c>
      <c r="G814" s="6020">
        <f t="shared" si="87"/>
        <v>0</v>
      </c>
      <c r="H814" s="6018">
        <f t="shared" si="92"/>
        <v>1220</v>
      </c>
      <c r="I814" s="6018">
        <f t="shared" si="88"/>
        <v>2820</v>
      </c>
      <c r="J814" s="6019">
        <v>3567</v>
      </c>
      <c r="K814" s="1732"/>
      <c r="L814" s="6018">
        <v>40475</v>
      </c>
      <c r="W814" s="6018">
        <v>40450</v>
      </c>
      <c r="X814" s="6019">
        <v>40500</v>
      </c>
      <c r="Y814" s="6018">
        <v>0</v>
      </c>
      <c r="Z814" s="6018">
        <v>269</v>
      </c>
      <c r="AA814" s="6018">
        <v>1567</v>
      </c>
      <c r="AB814" s="6019">
        <v>2314</v>
      </c>
      <c r="AC814" s="6018">
        <v>0</v>
      </c>
      <c r="AD814" s="6018">
        <v>1220</v>
      </c>
      <c r="AE814" s="6018">
        <v>2820</v>
      </c>
      <c r="AF814" s="6019">
        <v>3567</v>
      </c>
    </row>
    <row r="815" spans="1:32" ht="13.5">
      <c r="A815" s="6018">
        <v>40500</v>
      </c>
      <c r="B815" s="6019">
        <v>40550</v>
      </c>
      <c r="C815" s="6020">
        <f t="shared" si="89"/>
        <v>0</v>
      </c>
      <c r="D815" s="6018">
        <f t="shared" si="90"/>
        <v>261</v>
      </c>
      <c r="E815" s="6018">
        <f t="shared" si="91"/>
        <v>1556</v>
      </c>
      <c r="F815" s="6019">
        <v>2304</v>
      </c>
      <c r="G815" s="6020">
        <f t="shared" si="87"/>
        <v>0</v>
      </c>
      <c r="H815" s="6018">
        <f t="shared" si="92"/>
        <v>1212</v>
      </c>
      <c r="I815" s="6018">
        <f t="shared" si="88"/>
        <v>2809</v>
      </c>
      <c r="J815" s="6019">
        <v>3557</v>
      </c>
      <c r="K815" s="1732"/>
      <c r="L815" s="6018">
        <v>40525</v>
      </c>
      <c r="W815" s="6018">
        <v>40500</v>
      </c>
      <c r="X815" s="6019">
        <v>40550</v>
      </c>
      <c r="Y815" s="6018">
        <v>0</v>
      </c>
      <c r="Z815" s="6018">
        <v>261</v>
      </c>
      <c r="AA815" s="6018">
        <v>1556</v>
      </c>
      <c r="AB815" s="6019">
        <v>2304</v>
      </c>
      <c r="AC815" s="6018">
        <v>0</v>
      </c>
      <c r="AD815" s="6018">
        <v>1212</v>
      </c>
      <c r="AE815" s="6018">
        <v>2809</v>
      </c>
      <c r="AF815" s="6019">
        <v>3557</v>
      </c>
    </row>
    <row r="816" spans="1:32" ht="13.5">
      <c r="A816" s="6018">
        <v>40550</v>
      </c>
      <c r="B816" s="6019">
        <v>40600</v>
      </c>
      <c r="C816" s="6020">
        <f t="shared" si="89"/>
        <v>0</v>
      </c>
      <c r="D816" s="6018">
        <f t="shared" si="90"/>
        <v>253</v>
      </c>
      <c r="E816" s="6018">
        <f t="shared" si="91"/>
        <v>1546</v>
      </c>
      <c r="F816" s="6019">
        <v>2293</v>
      </c>
      <c r="G816" s="6020">
        <f t="shared" si="87"/>
        <v>0</v>
      </c>
      <c r="H816" s="6018">
        <f t="shared" si="92"/>
        <v>1204</v>
      </c>
      <c r="I816" s="6018">
        <f t="shared" si="88"/>
        <v>2799</v>
      </c>
      <c r="J816" s="6019">
        <v>3546</v>
      </c>
      <c r="K816" s="1732"/>
      <c r="L816" s="6018">
        <v>40575</v>
      </c>
      <c r="W816" s="6018">
        <v>40550</v>
      </c>
      <c r="X816" s="6019">
        <v>40600</v>
      </c>
      <c r="Y816" s="6018">
        <v>0</v>
      </c>
      <c r="Z816" s="6018">
        <v>253</v>
      </c>
      <c r="AA816" s="6018">
        <v>1546</v>
      </c>
      <c r="AB816" s="6019">
        <v>2293</v>
      </c>
      <c r="AC816" s="6018">
        <v>0</v>
      </c>
      <c r="AD816" s="6018">
        <v>1204</v>
      </c>
      <c r="AE816" s="6018">
        <v>2799</v>
      </c>
      <c r="AF816" s="6019">
        <v>3546</v>
      </c>
    </row>
    <row r="817" spans="1:32" ht="13.5">
      <c r="A817" s="6018">
        <v>40600</v>
      </c>
      <c r="B817" s="6019">
        <v>40650</v>
      </c>
      <c r="C817" s="6020">
        <f t="shared" si="89"/>
        <v>0</v>
      </c>
      <c r="D817" s="6018">
        <f t="shared" si="90"/>
        <v>245</v>
      </c>
      <c r="E817" s="6018">
        <f t="shared" si="91"/>
        <v>1535</v>
      </c>
      <c r="F817" s="6019">
        <v>2283</v>
      </c>
      <c r="G817" s="6020">
        <f t="shared" si="87"/>
        <v>0</v>
      </c>
      <c r="H817" s="6018">
        <f t="shared" si="92"/>
        <v>1196</v>
      </c>
      <c r="I817" s="6018">
        <f t="shared" si="88"/>
        <v>2788</v>
      </c>
      <c r="J817" s="6019">
        <v>3536</v>
      </c>
      <c r="K817" s="1732"/>
      <c r="L817" s="6018">
        <v>40625</v>
      </c>
      <c r="W817" s="6018">
        <v>40600</v>
      </c>
      <c r="X817" s="6019">
        <v>40650</v>
      </c>
      <c r="Y817" s="6018">
        <v>0</v>
      </c>
      <c r="Z817" s="6018">
        <v>245</v>
      </c>
      <c r="AA817" s="6018">
        <v>1535</v>
      </c>
      <c r="AB817" s="6019">
        <v>2283</v>
      </c>
      <c r="AC817" s="6018">
        <v>0</v>
      </c>
      <c r="AD817" s="6018">
        <v>1196</v>
      </c>
      <c r="AE817" s="6018">
        <v>2788</v>
      </c>
      <c r="AF817" s="6019">
        <v>3536</v>
      </c>
    </row>
    <row r="818" spans="1:32" ht="13.5">
      <c r="A818" s="6018">
        <v>40650</v>
      </c>
      <c r="B818" s="6019">
        <v>40700</v>
      </c>
      <c r="C818" s="6020">
        <f t="shared" si="89"/>
        <v>0</v>
      </c>
      <c r="D818" s="6018">
        <f t="shared" si="90"/>
        <v>237</v>
      </c>
      <c r="E818" s="6018">
        <f t="shared" si="91"/>
        <v>1525</v>
      </c>
      <c r="F818" s="6019">
        <v>2272</v>
      </c>
      <c r="G818" s="6020">
        <f t="shared" si="87"/>
        <v>0</v>
      </c>
      <c r="H818" s="6018">
        <f t="shared" si="92"/>
        <v>1188</v>
      </c>
      <c r="I818" s="6018">
        <f t="shared" si="88"/>
        <v>2778</v>
      </c>
      <c r="J818" s="6019">
        <v>3525</v>
      </c>
      <c r="K818" s="1732"/>
      <c r="L818" s="6018">
        <v>40675</v>
      </c>
      <c r="W818" s="6018">
        <v>40650</v>
      </c>
      <c r="X818" s="6019">
        <v>40700</v>
      </c>
      <c r="Y818" s="6018">
        <v>0</v>
      </c>
      <c r="Z818" s="6018">
        <v>237</v>
      </c>
      <c r="AA818" s="6018">
        <v>1525</v>
      </c>
      <c r="AB818" s="6019">
        <v>2272</v>
      </c>
      <c r="AC818" s="6018">
        <v>0</v>
      </c>
      <c r="AD818" s="6018">
        <v>1188</v>
      </c>
      <c r="AE818" s="6018">
        <v>2778</v>
      </c>
      <c r="AF818" s="6019">
        <v>3525</v>
      </c>
    </row>
    <row r="819" spans="1:32" ht="13.5">
      <c r="A819" s="6018">
        <v>40700</v>
      </c>
      <c r="B819" s="6019">
        <v>40750</v>
      </c>
      <c r="C819" s="6020">
        <f t="shared" si="89"/>
        <v>0</v>
      </c>
      <c r="D819" s="6018">
        <f t="shared" si="90"/>
        <v>229</v>
      </c>
      <c r="E819" s="6018">
        <f t="shared" si="91"/>
        <v>1514</v>
      </c>
      <c r="F819" s="6019">
        <v>2262</v>
      </c>
      <c r="G819" s="6020">
        <f t="shared" si="87"/>
        <v>0</v>
      </c>
      <c r="H819" s="6018">
        <f t="shared" si="92"/>
        <v>1180</v>
      </c>
      <c r="I819" s="6018">
        <f t="shared" si="88"/>
        <v>2767</v>
      </c>
      <c r="J819" s="6019">
        <v>3515</v>
      </c>
      <c r="K819" s="1732"/>
      <c r="L819" s="6018">
        <v>40725</v>
      </c>
      <c r="W819" s="6018">
        <v>40700</v>
      </c>
      <c r="X819" s="6019">
        <v>40750</v>
      </c>
      <c r="Y819" s="6018">
        <v>0</v>
      </c>
      <c r="Z819" s="6018">
        <v>229</v>
      </c>
      <c r="AA819" s="6018">
        <v>1514</v>
      </c>
      <c r="AB819" s="6019">
        <v>2262</v>
      </c>
      <c r="AC819" s="6018">
        <v>0</v>
      </c>
      <c r="AD819" s="6018">
        <v>1180</v>
      </c>
      <c r="AE819" s="6018">
        <v>2767</v>
      </c>
      <c r="AF819" s="6019">
        <v>3515</v>
      </c>
    </row>
    <row r="820" spans="1:32" ht="13.5">
      <c r="A820" s="6018">
        <v>40750</v>
      </c>
      <c r="B820" s="6019">
        <v>40800</v>
      </c>
      <c r="C820" s="6020">
        <f t="shared" si="89"/>
        <v>0</v>
      </c>
      <c r="D820" s="6018">
        <f t="shared" si="90"/>
        <v>221</v>
      </c>
      <c r="E820" s="6018">
        <f t="shared" si="91"/>
        <v>1504</v>
      </c>
      <c r="F820" s="6019">
        <v>2251</v>
      </c>
      <c r="G820" s="6020">
        <f t="shared" si="87"/>
        <v>0</v>
      </c>
      <c r="H820" s="6018">
        <f t="shared" si="92"/>
        <v>1172</v>
      </c>
      <c r="I820" s="6018">
        <f t="shared" si="88"/>
        <v>2757</v>
      </c>
      <c r="J820" s="6019">
        <v>3504</v>
      </c>
      <c r="K820" s="1732"/>
      <c r="L820" s="6018">
        <v>40775</v>
      </c>
      <c r="W820" s="6018">
        <v>40750</v>
      </c>
      <c r="X820" s="6019">
        <v>40800</v>
      </c>
      <c r="Y820" s="6018">
        <v>0</v>
      </c>
      <c r="Z820" s="6018">
        <v>221</v>
      </c>
      <c r="AA820" s="6018">
        <v>1504</v>
      </c>
      <c r="AB820" s="6019">
        <v>2251</v>
      </c>
      <c r="AC820" s="6018">
        <v>0</v>
      </c>
      <c r="AD820" s="6018">
        <v>1172</v>
      </c>
      <c r="AE820" s="6018">
        <v>2757</v>
      </c>
      <c r="AF820" s="6019">
        <v>3504</v>
      </c>
    </row>
    <row r="821" spans="1:32" ht="13.5">
      <c r="A821" s="6018">
        <v>40800</v>
      </c>
      <c r="B821" s="6019">
        <v>40850</v>
      </c>
      <c r="C821" s="6020">
        <f t="shared" si="89"/>
        <v>0</v>
      </c>
      <c r="D821" s="6018">
        <f t="shared" si="90"/>
        <v>213</v>
      </c>
      <c r="E821" s="6018">
        <f t="shared" si="91"/>
        <v>1493</v>
      </c>
      <c r="F821" s="6019">
        <v>2241</v>
      </c>
      <c r="G821" s="6020">
        <f t="shared" si="87"/>
        <v>0</v>
      </c>
      <c r="H821" s="6018">
        <f t="shared" si="92"/>
        <v>1164</v>
      </c>
      <c r="I821" s="6018">
        <f t="shared" si="88"/>
        <v>2746</v>
      </c>
      <c r="J821" s="6019">
        <v>3494</v>
      </c>
      <c r="K821" s="1732"/>
      <c r="L821" s="6018">
        <v>40825</v>
      </c>
      <c r="W821" s="6018">
        <v>40800</v>
      </c>
      <c r="X821" s="6019">
        <v>40850</v>
      </c>
      <c r="Y821" s="6018">
        <v>0</v>
      </c>
      <c r="Z821" s="6018">
        <v>213</v>
      </c>
      <c r="AA821" s="6018">
        <v>1493</v>
      </c>
      <c r="AB821" s="6019">
        <v>2241</v>
      </c>
      <c r="AC821" s="6018">
        <v>0</v>
      </c>
      <c r="AD821" s="6018">
        <v>1164</v>
      </c>
      <c r="AE821" s="6018">
        <v>2746</v>
      </c>
      <c r="AF821" s="6019">
        <v>3494</v>
      </c>
    </row>
    <row r="822" spans="1:32" ht="13.5">
      <c r="A822" s="6018">
        <v>40850</v>
      </c>
      <c r="B822" s="6019">
        <v>40900</v>
      </c>
      <c r="C822" s="6020">
        <f t="shared" si="89"/>
        <v>0</v>
      </c>
      <c r="D822" s="6018">
        <f t="shared" si="90"/>
        <v>205</v>
      </c>
      <c r="E822" s="6018">
        <f t="shared" si="91"/>
        <v>1483</v>
      </c>
      <c r="F822" s="6019">
        <v>2230</v>
      </c>
      <c r="G822" s="6020">
        <f t="shared" si="87"/>
        <v>0</v>
      </c>
      <c r="H822" s="6018">
        <f t="shared" si="92"/>
        <v>1156</v>
      </c>
      <c r="I822" s="6018">
        <f t="shared" si="88"/>
        <v>2736</v>
      </c>
      <c r="J822" s="6019">
        <v>3483</v>
      </c>
      <c r="K822" s="1732"/>
      <c r="L822" s="6018">
        <v>40875</v>
      </c>
      <c r="W822" s="6018">
        <v>40850</v>
      </c>
      <c r="X822" s="6019">
        <v>40900</v>
      </c>
      <c r="Y822" s="6018">
        <v>0</v>
      </c>
      <c r="Z822" s="6018">
        <v>205</v>
      </c>
      <c r="AA822" s="6018">
        <v>1483</v>
      </c>
      <c r="AB822" s="6019">
        <v>2230</v>
      </c>
      <c r="AC822" s="6018">
        <v>0</v>
      </c>
      <c r="AD822" s="6018">
        <v>1156</v>
      </c>
      <c r="AE822" s="6018">
        <v>2736</v>
      </c>
      <c r="AF822" s="6019">
        <v>3483</v>
      </c>
    </row>
    <row r="823" spans="1:32" ht="13.5">
      <c r="A823" s="6018">
        <v>40900</v>
      </c>
      <c r="B823" s="6019">
        <v>40950</v>
      </c>
      <c r="C823" s="6020">
        <f t="shared" si="89"/>
        <v>0</v>
      </c>
      <c r="D823" s="6018">
        <f t="shared" si="90"/>
        <v>197</v>
      </c>
      <c r="E823" s="6018">
        <f t="shared" si="91"/>
        <v>1472</v>
      </c>
      <c r="F823" s="6019">
        <v>2220</v>
      </c>
      <c r="G823" s="6020">
        <f t="shared" si="87"/>
        <v>0</v>
      </c>
      <c r="H823" s="6018">
        <f t="shared" si="92"/>
        <v>1148</v>
      </c>
      <c r="I823" s="6018">
        <f t="shared" si="88"/>
        <v>2725</v>
      </c>
      <c r="J823" s="6019">
        <v>3473</v>
      </c>
      <c r="K823" s="1732"/>
      <c r="L823" s="6018">
        <v>40925</v>
      </c>
      <c r="W823" s="6018">
        <v>40900</v>
      </c>
      <c r="X823" s="6019">
        <v>40950</v>
      </c>
      <c r="Y823" s="6018">
        <v>0</v>
      </c>
      <c r="Z823" s="6018">
        <v>197</v>
      </c>
      <c r="AA823" s="6018">
        <v>1472</v>
      </c>
      <c r="AB823" s="6019">
        <v>2220</v>
      </c>
      <c r="AC823" s="6018">
        <v>0</v>
      </c>
      <c r="AD823" s="6018">
        <v>1148</v>
      </c>
      <c r="AE823" s="6018">
        <v>2725</v>
      </c>
      <c r="AF823" s="6019">
        <v>3473</v>
      </c>
    </row>
    <row r="824" spans="1:32" ht="13.5">
      <c r="A824" s="6018">
        <v>40950</v>
      </c>
      <c r="B824" s="6019">
        <v>41000</v>
      </c>
      <c r="C824" s="6020">
        <f t="shared" si="89"/>
        <v>0</v>
      </c>
      <c r="D824" s="6018">
        <f t="shared" si="90"/>
        <v>189</v>
      </c>
      <c r="E824" s="6018">
        <f t="shared" si="91"/>
        <v>1462</v>
      </c>
      <c r="F824" s="6019">
        <v>2209</v>
      </c>
      <c r="G824" s="6020">
        <f t="shared" si="87"/>
        <v>0</v>
      </c>
      <c r="H824" s="6018">
        <f t="shared" si="92"/>
        <v>1140</v>
      </c>
      <c r="I824" s="6018">
        <f t="shared" si="88"/>
        <v>2715</v>
      </c>
      <c r="J824" s="6019">
        <v>3462</v>
      </c>
      <c r="K824" s="1732"/>
      <c r="L824" s="6018">
        <v>40975</v>
      </c>
      <c r="W824" s="6018">
        <v>40950</v>
      </c>
      <c r="X824" s="6019">
        <v>41000</v>
      </c>
      <c r="Y824" s="6018">
        <v>0</v>
      </c>
      <c r="Z824" s="6018">
        <v>189</v>
      </c>
      <c r="AA824" s="6018">
        <v>1462</v>
      </c>
      <c r="AB824" s="6019">
        <v>2209</v>
      </c>
      <c r="AC824" s="6018">
        <v>0</v>
      </c>
      <c r="AD824" s="6018">
        <v>1140</v>
      </c>
      <c r="AE824" s="6018">
        <v>2715</v>
      </c>
      <c r="AF824" s="6019">
        <v>3462</v>
      </c>
    </row>
    <row r="825" spans="1:32" ht="13.5">
      <c r="A825" s="6018">
        <v>41000</v>
      </c>
      <c r="B825" s="6019">
        <v>41050</v>
      </c>
      <c r="C825" s="6020">
        <f t="shared" si="89"/>
        <v>0</v>
      </c>
      <c r="D825" s="6018">
        <f t="shared" si="90"/>
        <v>181</v>
      </c>
      <c r="E825" s="6018">
        <f t="shared" si="91"/>
        <v>1451</v>
      </c>
      <c r="F825" s="6019">
        <v>2199</v>
      </c>
      <c r="G825" s="6020">
        <f t="shared" si="87"/>
        <v>0</v>
      </c>
      <c r="H825" s="6018">
        <f t="shared" si="92"/>
        <v>1132</v>
      </c>
      <c r="I825" s="6018">
        <f t="shared" si="88"/>
        <v>2704</v>
      </c>
      <c r="J825" s="6019">
        <v>3452</v>
      </c>
      <c r="K825" s="1732"/>
      <c r="L825" s="6018">
        <v>41025</v>
      </c>
      <c r="W825" s="6018">
        <v>41000</v>
      </c>
      <c r="X825" s="6019">
        <v>41050</v>
      </c>
      <c r="Y825" s="6018">
        <v>0</v>
      </c>
      <c r="Z825" s="6018">
        <v>181</v>
      </c>
      <c r="AA825" s="6018">
        <v>1451</v>
      </c>
      <c r="AB825" s="6019">
        <v>2199</v>
      </c>
      <c r="AC825" s="6018">
        <v>0</v>
      </c>
      <c r="AD825" s="6018">
        <v>1132</v>
      </c>
      <c r="AE825" s="6018">
        <v>2704</v>
      </c>
      <c r="AF825" s="6019">
        <v>3452</v>
      </c>
    </row>
    <row r="826" spans="1:32" ht="13.5">
      <c r="A826" s="6018">
        <v>41050</v>
      </c>
      <c r="B826" s="6019">
        <v>41100</v>
      </c>
      <c r="C826" s="6020">
        <f t="shared" si="89"/>
        <v>0</v>
      </c>
      <c r="D826" s="6018">
        <f t="shared" si="90"/>
        <v>173</v>
      </c>
      <c r="E826" s="6018">
        <f t="shared" si="91"/>
        <v>1441</v>
      </c>
      <c r="F826" s="6019">
        <v>2188</v>
      </c>
      <c r="G826" s="6020">
        <f t="shared" si="87"/>
        <v>0</v>
      </c>
      <c r="H826" s="6018">
        <f t="shared" si="92"/>
        <v>1124</v>
      </c>
      <c r="I826" s="6018">
        <f t="shared" si="88"/>
        <v>2694</v>
      </c>
      <c r="J826" s="6019">
        <v>3441</v>
      </c>
      <c r="K826" s="1732"/>
      <c r="L826" s="6018">
        <v>41075</v>
      </c>
      <c r="W826" s="6018">
        <v>41050</v>
      </c>
      <c r="X826" s="6019">
        <v>41100</v>
      </c>
      <c r="Y826" s="6018">
        <v>0</v>
      </c>
      <c r="Z826" s="6018">
        <v>173</v>
      </c>
      <c r="AA826" s="6018">
        <v>1441</v>
      </c>
      <c r="AB826" s="6019">
        <v>2188</v>
      </c>
      <c r="AC826" s="6018">
        <v>0</v>
      </c>
      <c r="AD826" s="6018">
        <v>1124</v>
      </c>
      <c r="AE826" s="6018">
        <v>2694</v>
      </c>
      <c r="AF826" s="6019">
        <v>3441</v>
      </c>
    </row>
    <row r="827" spans="1:32" ht="13.5">
      <c r="A827" s="6018">
        <v>41100</v>
      </c>
      <c r="B827" s="6019">
        <v>41150</v>
      </c>
      <c r="C827" s="6020">
        <f t="shared" si="89"/>
        <v>0</v>
      </c>
      <c r="D827" s="6018">
        <f t="shared" si="90"/>
        <v>165</v>
      </c>
      <c r="E827" s="6018">
        <f t="shared" si="91"/>
        <v>1430</v>
      </c>
      <c r="F827" s="6019">
        <v>2177</v>
      </c>
      <c r="G827" s="6020">
        <f t="shared" si="87"/>
        <v>0</v>
      </c>
      <c r="H827" s="6018">
        <f t="shared" si="92"/>
        <v>1116</v>
      </c>
      <c r="I827" s="6018">
        <f t="shared" si="88"/>
        <v>2683</v>
      </c>
      <c r="J827" s="6019">
        <v>3431</v>
      </c>
      <c r="K827" s="1732"/>
      <c r="L827" s="6018">
        <v>41125</v>
      </c>
      <c r="W827" s="6018">
        <v>41100</v>
      </c>
      <c r="X827" s="6019">
        <v>41150</v>
      </c>
      <c r="Y827" s="6018">
        <v>0</v>
      </c>
      <c r="Z827" s="6018">
        <v>165</v>
      </c>
      <c r="AA827" s="6018">
        <v>1430</v>
      </c>
      <c r="AB827" s="6019">
        <v>2177</v>
      </c>
      <c r="AC827" s="6018">
        <v>0</v>
      </c>
      <c r="AD827" s="6018">
        <v>1116</v>
      </c>
      <c r="AE827" s="6018">
        <v>2683</v>
      </c>
      <c r="AF827" s="6019">
        <v>3431</v>
      </c>
    </row>
    <row r="828" spans="1:32" ht="13.5">
      <c r="A828" s="6018">
        <v>41150</v>
      </c>
      <c r="B828" s="6019">
        <v>41200</v>
      </c>
      <c r="C828" s="6020">
        <f t="shared" si="89"/>
        <v>0</v>
      </c>
      <c r="D828" s="6018">
        <f t="shared" si="90"/>
        <v>157</v>
      </c>
      <c r="E828" s="6018">
        <f t="shared" si="91"/>
        <v>1419</v>
      </c>
      <c r="F828" s="6019">
        <v>2167</v>
      </c>
      <c r="G828" s="6020">
        <f t="shared" si="87"/>
        <v>0</v>
      </c>
      <c r="H828" s="6018">
        <f t="shared" si="92"/>
        <v>1108</v>
      </c>
      <c r="I828" s="6018">
        <f t="shared" si="88"/>
        <v>2673</v>
      </c>
      <c r="J828" s="6019">
        <v>3420</v>
      </c>
      <c r="K828" s="1732"/>
      <c r="L828" s="6018">
        <v>41175</v>
      </c>
      <c r="W828" s="6018">
        <v>41150</v>
      </c>
      <c r="X828" s="6019">
        <v>41200</v>
      </c>
      <c r="Y828" s="6018">
        <v>0</v>
      </c>
      <c r="Z828" s="6018">
        <v>157</v>
      </c>
      <c r="AA828" s="6018">
        <v>1419</v>
      </c>
      <c r="AB828" s="6019">
        <v>2167</v>
      </c>
      <c r="AC828" s="6018">
        <v>0</v>
      </c>
      <c r="AD828" s="6018">
        <v>1108</v>
      </c>
      <c r="AE828" s="6018">
        <v>2673</v>
      </c>
      <c r="AF828" s="6019">
        <v>3420</v>
      </c>
    </row>
    <row r="829" spans="1:32" ht="13.5">
      <c r="A829" s="6018">
        <v>41200</v>
      </c>
      <c r="B829" s="6019">
        <v>41250</v>
      </c>
      <c r="C829" s="6020">
        <f t="shared" si="89"/>
        <v>0</v>
      </c>
      <c r="D829" s="6018">
        <f t="shared" si="90"/>
        <v>149</v>
      </c>
      <c r="E829" s="6018">
        <f t="shared" si="91"/>
        <v>1409</v>
      </c>
      <c r="F829" s="6019">
        <v>2156</v>
      </c>
      <c r="G829" s="6020">
        <f t="shared" si="87"/>
        <v>0</v>
      </c>
      <c r="H829" s="6018">
        <f t="shared" si="92"/>
        <v>1100</v>
      </c>
      <c r="I829" s="6018">
        <f t="shared" si="88"/>
        <v>2662</v>
      </c>
      <c r="J829" s="6019">
        <v>3409</v>
      </c>
      <c r="K829" s="1732"/>
      <c r="L829" s="6018">
        <v>41225</v>
      </c>
      <c r="W829" s="6018">
        <v>41200</v>
      </c>
      <c r="X829" s="6019">
        <v>41250</v>
      </c>
      <c r="Y829" s="6018">
        <v>0</v>
      </c>
      <c r="Z829" s="6018">
        <v>149</v>
      </c>
      <c r="AA829" s="6018">
        <v>1409</v>
      </c>
      <c r="AB829" s="6019">
        <v>2156</v>
      </c>
      <c r="AC829" s="6018">
        <v>0</v>
      </c>
      <c r="AD829" s="6018">
        <v>1100</v>
      </c>
      <c r="AE829" s="6018">
        <v>2662</v>
      </c>
      <c r="AF829" s="6019">
        <v>3409</v>
      </c>
    </row>
    <row r="830" spans="1:32" ht="13.5">
      <c r="A830" s="6018">
        <v>41250</v>
      </c>
      <c r="B830" s="6019">
        <v>41300</v>
      </c>
      <c r="C830" s="6020">
        <f t="shared" si="89"/>
        <v>0</v>
      </c>
      <c r="D830" s="6018">
        <f t="shared" si="90"/>
        <v>141</v>
      </c>
      <c r="E830" s="6018">
        <f t="shared" si="91"/>
        <v>1398</v>
      </c>
      <c r="F830" s="6019">
        <v>2146</v>
      </c>
      <c r="G830" s="6020">
        <f t="shared" si="87"/>
        <v>0</v>
      </c>
      <c r="H830" s="6018">
        <f t="shared" si="92"/>
        <v>1092</v>
      </c>
      <c r="I830" s="6018">
        <f t="shared" si="88"/>
        <v>2651</v>
      </c>
      <c r="J830" s="6019">
        <v>3399</v>
      </c>
      <c r="K830" s="1732"/>
      <c r="L830" s="6018">
        <v>41275</v>
      </c>
      <c r="W830" s="6018">
        <v>41250</v>
      </c>
      <c r="X830" s="6019">
        <v>41300</v>
      </c>
      <c r="Y830" s="6018">
        <v>0</v>
      </c>
      <c r="Z830" s="6018">
        <v>141</v>
      </c>
      <c r="AA830" s="6018">
        <v>1398</v>
      </c>
      <c r="AB830" s="6019">
        <v>2146</v>
      </c>
      <c r="AC830" s="6018">
        <v>0</v>
      </c>
      <c r="AD830" s="6018">
        <v>1092</v>
      </c>
      <c r="AE830" s="6018">
        <v>2651</v>
      </c>
      <c r="AF830" s="6019">
        <v>3399</v>
      </c>
    </row>
    <row r="831" spans="1:32" ht="13.5">
      <c r="A831" s="6018">
        <v>41300</v>
      </c>
      <c r="B831" s="6019">
        <v>41350</v>
      </c>
      <c r="C831" s="6020">
        <f t="shared" si="89"/>
        <v>0</v>
      </c>
      <c r="D831" s="6018">
        <f t="shared" si="90"/>
        <v>133</v>
      </c>
      <c r="E831" s="6018">
        <f t="shared" si="91"/>
        <v>1388</v>
      </c>
      <c r="F831" s="6019">
        <v>2135</v>
      </c>
      <c r="G831" s="6020">
        <f t="shared" si="87"/>
        <v>0</v>
      </c>
      <c r="H831" s="6018">
        <f t="shared" si="92"/>
        <v>1084</v>
      </c>
      <c r="I831" s="6018">
        <f t="shared" si="88"/>
        <v>2641</v>
      </c>
      <c r="J831" s="6019">
        <v>3388</v>
      </c>
      <c r="K831" s="1732"/>
      <c r="L831" s="6018">
        <v>41325</v>
      </c>
      <c r="W831" s="6018">
        <v>41300</v>
      </c>
      <c r="X831" s="6019">
        <v>41350</v>
      </c>
      <c r="Y831" s="6018">
        <v>0</v>
      </c>
      <c r="Z831" s="6018">
        <v>133</v>
      </c>
      <c r="AA831" s="6018">
        <v>1388</v>
      </c>
      <c r="AB831" s="6019">
        <v>2135</v>
      </c>
      <c r="AC831" s="6018">
        <v>0</v>
      </c>
      <c r="AD831" s="6018">
        <v>1084</v>
      </c>
      <c r="AE831" s="6018">
        <v>2641</v>
      </c>
      <c r="AF831" s="6019">
        <v>3388</v>
      </c>
    </row>
    <row r="832" spans="1:32" ht="13.5">
      <c r="A832" s="6018">
        <v>41350</v>
      </c>
      <c r="B832" s="6019">
        <v>41400</v>
      </c>
      <c r="C832" s="6020">
        <f t="shared" si="89"/>
        <v>0</v>
      </c>
      <c r="D832" s="6018">
        <f t="shared" si="90"/>
        <v>125</v>
      </c>
      <c r="E832" s="6018">
        <f t="shared" si="91"/>
        <v>1377</v>
      </c>
      <c r="F832" s="6019">
        <v>2125</v>
      </c>
      <c r="G832" s="6020">
        <f t="shared" si="87"/>
        <v>0</v>
      </c>
      <c r="H832" s="6018">
        <f t="shared" si="92"/>
        <v>1076</v>
      </c>
      <c r="I832" s="6018">
        <f t="shared" si="88"/>
        <v>2630</v>
      </c>
      <c r="J832" s="6019">
        <v>3378</v>
      </c>
      <c r="K832" s="1732"/>
      <c r="L832" s="6018">
        <v>41375</v>
      </c>
      <c r="W832" s="6018">
        <v>41350</v>
      </c>
      <c r="X832" s="6019">
        <v>41400</v>
      </c>
      <c r="Y832" s="6018">
        <v>0</v>
      </c>
      <c r="Z832" s="6018">
        <v>125</v>
      </c>
      <c r="AA832" s="6018">
        <v>1377</v>
      </c>
      <c r="AB832" s="6019">
        <v>2125</v>
      </c>
      <c r="AC832" s="6018">
        <v>0</v>
      </c>
      <c r="AD832" s="6018">
        <v>1076</v>
      </c>
      <c r="AE832" s="6018">
        <v>2630</v>
      </c>
      <c r="AF832" s="6019">
        <v>3378</v>
      </c>
    </row>
    <row r="833" spans="1:32" ht="13.5">
      <c r="A833" s="6018">
        <v>41400</v>
      </c>
      <c r="B833" s="6019">
        <v>41450</v>
      </c>
      <c r="C833" s="6020">
        <f t="shared" si="89"/>
        <v>0</v>
      </c>
      <c r="D833" s="6018">
        <f t="shared" si="90"/>
        <v>117</v>
      </c>
      <c r="E833" s="6018">
        <f t="shared" si="91"/>
        <v>1367</v>
      </c>
      <c r="F833" s="6019">
        <v>2114</v>
      </c>
      <c r="G833" s="6020">
        <f t="shared" si="87"/>
        <v>0</v>
      </c>
      <c r="H833" s="6018">
        <f t="shared" si="92"/>
        <v>1068</v>
      </c>
      <c r="I833" s="6018">
        <f t="shared" si="88"/>
        <v>2620</v>
      </c>
      <c r="J833" s="6019">
        <v>3367</v>
      </c>
      <c r="K833" s="1732"/>
      <c r="L833" s="6018">
        <v>41425</v>
      </c>
      <c r="W833" s="6018">
        <v>41400</v>
      </c>
      <c r="X833" s="6019">
        <v>41450</v>
      </c>
      <c r="Y833" s="6018">
        <v>0</v>
      </c>
      <c r="Z833" s="6018">
        <v>117</v>
      </c>
      <c r="AA833" s="6018">
        <v>1367</v>
      </c>
      <c r="AB833" s="6019">
        <v>2114</v>
      </c>
      <c r="AC833" s="6018">
        <v>0</v>
      </c>
      <c r="AD833" s="6018">
        <v>1068</v>
      </c>
      <c r="AE833" s="6018">
        <v>2620</v>
      </c>
      <c r="AF833" s="6019">
        <v>3367</v>
      </c>
    </row>
    <row r="834" spans="1:32" ht="13.5">
      <c r="A834" s="6018">
        <v>41450</v>
      </c>
      <c r="B834" s="6019">
        <v>41500</v>
      </c>
      <c r="C834" s="6020">
        <f t="shared" si="89"/>
        <v>0</v>
      </c>
      <c r="D834" s="6018">
        <f t="shared" si="90"/>
        <v>109</v>
      </c>
      <c r="E834" s="6018">
        <f t="shared" si="91"/>
        <v>1356</v>
      </c>
      <c r="F834" s="6019">
        <v>2104</v>
      </c>
      <c r="G834" s="6020">
        <f t="shared" si="87"/>
        <v>0</v>
      </c>
      <c r="H834" s="6018">
        <f t="shared" si="92"/>
        <v>1060</v>
      </c>
      <c r="I834" s="6018">
        <f t="shared" si="88"/>
        <v>2609</v>
      </c>
      <c r="J834" s="6019">
        <v>3357</v>
      </c>
      <c r="K834" s="1732"/>
      <c r="L834" s="6018">
        <v>41475</v>
      </c>
      <c r="W834" s="6018">
        <v>41450</v>
      </c>
      <c r="X834" s="6019">
        <v>41500</v>
      </c>
      <c r="Y834" s="6018">
        <v>0</v>
      </c>
      <c r="Z834" s="6018">
        <v>109</v>
      </c>
      <c r="AA834" s="6018">
        <v>1356</v>
      </c>
      <c r="AB834" s="6019">
        <v>2104</v>
      </c>
      <c r="AC834" s="6018">
        <v>0</v>
      </c>
      <c r="AD834" s="6018">
        <v>1060</v>
      </c>
      <c r="AE834" s="6018">
        <v>2609</v>
      </c>
      <c r="AF834" s="6019">
        <v>3357</v>
      </c>
    </row>
    <row r="835" spans="1:32" ht="13.5">
      <c r="A835" s="6018">
        <v>41500</v>
      </c>
      <c r="B835" s="6019">
        <v>41550</v>
      </c>
      <c r="C835" s="6020">
        <f t="shared" si="89"/>
        <v>0</v>
      </c>
      <c r="D835" s="6018">
        <f t="shared" si="90"/>
        <v>101</v>
      </c>
      <c r="E835" s="6018">
        <f t="shared" si="91"/>
        <v>1346</v>
      </c>
      <c r="F835" s="6019">
        <v>2093</v>
      </c>
      <c r="G835" s="6020">
        <f t="shared" si="87"/>
        <v>0</v>
      </c>
      <c r="H835" s="6018">
        <f t="shared" si="92"/>
        <v>1052</v>
      </c>
      <c r="I835" s="6018">
        <f t="shared" si="88"/>
        <v>2599</v>
      </c>
      <c r="J835" s="6019">
        <v>3346</v>
      </c>
      <c r="K835" s="1732"/>
      <c r="L835" s="6018">
        <v>41525</v>
      </c>
      <c r="W835" s="6018">
        <v>41500</v>
      </c>
      <c r="X835" s="6019">
        <v>41550</v>
      </c>
      <c r="Y835" s="6018">
        <v>0</v>
      </c>
      <c r="Z835" s="6018">
        <v>101</v>
      </c>
      <c r="AA835" s="6018">
        <v>1346</v>
      </c>
      <c r="AB835" s="6019">
        <v>2093</v>
      </c>
      <c r="AC835" s="6018">
        <v>0</v>
      </c>
      <c r="AD835" s="6018">
        <v>1052</v>
      </c>
      <c r="AE835" s="6018">
        <v>2599</v>
      </c>
      <c r="AF835" s="6019">
        <v>3346</v>
      </c>
    </row>
    <row r="836" spans="1:32" ht="13.5">
      <c r="A836" s="6018">
        <v>41550</v>
      </c>
      <c r="B836" s="6019">
        <v>41600</v>
      </c>
      <c r="C836" s="6020">
        <f t="shared" si="89"/>
        <v>0</v>
      </c>
      <c r="D836" s="6018">
        <f t="shared" si="90"/>
        <v>93</v>
      </c>
      <c r="E836" s="6018">
        <f t="shared" si="91"/>
        <v>1335</v>
      </c>
      <c r="F836" s="6019">
        <v>2083</v>
      </c>
      <c r="G836" s="6020">
        <f t="shared" ref="G836:G899" si="93">IF($L836&gt;R$5,MAX(0,R$3+ROUND((R$9*($L836-R$5)),0)),IF($L836&gt;R$4,R$3,ROUND($L836*R$7,0)))</f>
        <v>0</v>
      </c>
      <c r="H836" s="6018">
        <f t="shared" ref="H836:H899" si="94">IF($L836&gt;S$5,MAX(0,S$3+ROUND((S$9*($L836-S$5)),0)),IF($L836&gt;S$4,S$3,ROUND($L836*S$7,0)))</f>
        <v>1044</v>
      </c>
      <c r="I836" s="6018">
        <f t="shared" ref="I836:I899" si="95">IF($L836&gt;T$5,MAX(0,T$3+ROUND((T$9*($L836-T$5)),0)),IF($L836&gt;T$4,T$3,ROUND($L836*T$7,0)))</f>
        <v>2588</v>
      </c>
      <c r="J836" s="6019">
        <v>3336</v>
      </c>
      <c r="K836" s="1732"/>
      <c r="L836" s="6018">
        <v>41575</v>
      </c>
      <c r="W836" s="6018">
        <v>41550</v>
      </c>
      <c r="X836" s="6019">
        <v>41600</v>
      </c>
      <c r="Y836" s="6018">
        <v>0</v>
      </c>
      <c r="Z836" s="6018">
        <v>93</v>
      </c>
      <c r="AA836" s="6018">
        <v>1335</v>
      </c>
      <c r="AB836" s="6019">
        <v>2083</v>
      </c>
      <c r="AC836" s="6018">
        <v>0</v>
      </c>
      <c r="AD836" s="6018">
        <v>1044</v>
      </c>
      <c r="AE836" s="6018">
        <v>2588</v>
      </c>
      <c r="AF836" s="6019">
        <v>3336</v>
      </c>
    </row>
    <row r="837" spans="1:32" ht="13.5">
      <c r="A837" s="6018">
        <v>41600</v>
      </c>
      <c r="B837" s="6019">
        <v>41650</v>
      </c>
      <c r="C837" s="6020">
        <f t="shared" si="89"/>
        <v>0</v>
      </c>
      <c r="D837" s="6018">
        <f t="shared" si="90"/>
        <v>85</v>
      </c>
      <c r="E837" s="6018">
        <f t="shared" si="91"/>
        <v>1325</v>
      </c>
      <c r="F837" s="6019">
        <v>2072</v>
      </c>
      <c r="G837" s="6020">
        <f t="shared" si="93"/>
        <v>0</v>
      </c>
      <c r="H837" s="6018">
        <f t="shared" si="94"/>
        <v>1036</v>
      </c>
      <c r="I837" s="6018">
        <f t="shared" si="95"/>
        <v>2578</v>
      </c>
      <c r="J837" s="6019">
        <v>3325</v>
      </c>
      <c r="K837" s="1732"/>
      <c r="L837" s="6018">
        <v>41625</v>
      </c>
      <c r="W837" s="6018">
        <v>41600</v>
      </c>
      <c r="X837" s="6019">
        <v>41650</v>
      </c>
      <c r="Y837" s="6018">
        <v>0</v>
      </c>
      <c r="Z837" s="6018">
        <v>85</v>
      </c>
      <c r="AA837" s="6018">
        <v>1325</v>
      </c>
      <c r="AB837" s="6019">
        <v>2072</v>
      </c>
      <c r="AC837" s="6018">
        <v>0</v>
      </c>
      <c r="AD837" s="6018">
        <v>1036</v>
      </c>
      <c r="AE837" s="6018">
        <v>2578</v>
      </c>
      <c r="AF837" s="6019">
        <v>3325</v>
      </c>
    </row>
    <row r="838" spans="1:32" ht="13.5">
      <c r="A838" s="6018">
        <v>41650</v>
      </c>
      <c r="B838" s="6019">
        <v>41700</v>
      </c>
      <c r="C838" s="6020">
        <f t="shared" ref="C838:C901" si="96">IF($L838&gt;N$5,MAX(0,N$3+ROUND((N$9*($L838-N$5)),0)),IF($L838&gt;N$4,N$3,ROUND($L838*N$7,0)))</f>
        <v>0</v>
      </c>
      <c r="D838" s="6018">
        <f t="shared" ref="D838:D901" si="97">IF($L838&gt;O$5,MAX(0,O$3+ROUND((O$9*($L838-O$5)),0)),IF($L838&gt;O$4,O$3,ROUND($L838*O$7,0)))</f>
        <v>77</v>
      </c>
      <c r="E838" s="6018">
        <f t="shared" ref="E838:E901" si="98">IF($L838&gt;P$5,MAX(0,P$3+ROUND((P$9*($L838-P$5)),0)),IF($L838&gt;P$4,P$3,ROUND($L838*P$7,0)))</f>
        <v>1314</v>
      </c>
      <c r="F838" s="6019">
        <v>2062</v>
      </c>
      <c r="G838" s="6020">
        <f t="shared" si="93"/>
        <v>0</v>
      </c>
      <c r="H838" s="6018">
        <f t="shared" si="94"/>
        <v>1028</v>
      </c>
      <c r="I838" s="6018">
        <f t="shared" si="95"/>
        <v>2567</v>
      </c>
      <c r="J838" s="6019">
        <v>3315</v>
      </c>
      <c r="K838" s="1732"/>
      <c r="L838" s="6018">
        <v>41675</v>
      </c>
      <c r="W838" s="6018">
        <v>41650</v>
      </c>
      <c r="X838" s="6019">
        <v>41700</v>
      </c>
      <c r="Y838" s="6018">
        <v>0</v>
      </c>
      <c r="Z838" s="6018">
        <v>77</v>
      </c>
      <c r="AA838" s="6018">
        <v>1314</v>
      </c>
      <c r="AB838" s="6019">
        <v>2062</v>
      </c>
      <c r="AC838" s="6018">
        <v>0</v>
      </c>
      <c r="AD838" s="6018">
        <v>1028</v>
      </c>
      <c r="AE838" s="6018">
        <v>2567</v>
      </c>
      <c r="AF838" s="6019">
        <v>3315</v>
      </c>
    </row>
    <row r="839" spans="1:32" ht="13.5">
      <c r="A839" s="6018">
        <v>41700</v>
      </c>
      <c r="B839" s="6019">
        <v>41750</v>
      </c>
      <c r="C839" s="6020">
        <f t="shared" si="96"/>
        <v>0</v>
      </c>
      <c r="D839" s="6018">
        <f t="shared" si="97"/>
        <v>69</v>
      </c>
      <c r="E839" s="6018">
        <f t="shared" si="98"/>
        <v>1304</v>
      </c>
      <c r="F839" s="6019">
        <v>2051</v>
      </c>
      <c r="G839" s="6020">
        <f t="shared" si="93"/>
        <v>0</v>
      </c>
      <c r="H839" s="6018">
        <f t="shared" si="94"/>
        <v>1020</v>
      </c>
      <c r="I839" s="6018">
        <f t="shared" si="95"/>
        <v>2557</v>
      </c>
      <c r="J839" s="6019">
        <v>3304</v>
      </c>
      <c r="K839" s="1732"/>
      <c r="L839" s="6018">
        <v>41725</v>
      </c>
      <c r="W839" s="6018">
        <v>41700</v>
      </c>
      <c r="X839" s="6019">
        <v>41750</v>
      </c>
      <c r="Y839" s="6018">
        <v>0</v>
      </c>
      <c r="Z839" s="6018">
        <v>69</v>
      </c>
      <c r="AA839" s="6018">
        <v>1304</v>
      </c>
      <c r="AB839" s="6019">
        <v>2051</v>
      </c>
      <c r="AC839" s="6018">
        <v>0</v>
      </c>
      <c r="AD839" s="6018">
        <v>1020</v>
      </c>
      <c r="AE839" s="6018">
        <v>2557</v>
      </c>
      <c r="AF839" s="6019">
        <v>3304</v>
      </c>
    </row>
    <row r="840" spans="1:32" ht="13.5">
      <c r="A840" s="6018">
        <v>41750</v>
      </c>
      <c r="B840" s="6019">
        <v>41800</v>
      </c>
      <c r="C840" s="6020">
        <f t="shared" si="96"/>
        <v>0</v>
      </c>
      <c r="D840" s="6018">
        <f t="shared" si="97"/>
        <v>61</v>
      </c>
      <c r="E840" s="6018">
        <f t="shared" si="98"/>
        <v>1293</v>
      </c>
      <c r="F840" s="6019">
        <v>2041</v>
      </c>
      <c r="G840" s="6020">
        <f t="shared" si="93"/>
        <v>0</v>
      </c>
      <c r="H840" s="6018">
        <f t="shared" si="94"/>
        <v>1012</v>
      </c>
      <c r="I840" s="6018">
        <f t="shared" si="95"/>
        <v>2546</v>
      </c>
      <c r="J840" s="6019">
        <v>3294</v>
      </c>
      <c r="K840" s="1732"/>
      <c r="L840" s="6018">
        <v>41775</v>
      </c>
      <c r="W840" s="6018">
        <v>41750</v>
      </c>
      <c r="X840" s="6019">
        <v>41800</v>
      </c>
      <c r="Y840" s="6018">
        <v>0</v>
      </c>
      <c r="Z840" s="6018">
        <v>61</v>
      </c>
      <c r="AA840" s="6018">
        <v>1293</v>
      </c>
      <c r="AB840" s="6019">
        <v>2041</v>
      </c>
      <c r="AC840" s="6018">
        <v>0</v>
      </c>
      <c r="AD840" s="6018">
        <v>1012</v>
      </c>
      <c r="AE840" s="6018">
        <v>2546</v>
      </c>
      <c r="AF840" s="6019">
        <v>3294</v>
      </c>
    </row>
    <row r="841" spans="1:32" ht="13.5">
      <c r="A841" s="6018">
        <v>41800</v>
      </c>
      <c r="B841" s="6019">
        <v>41850</v>
      </c>
      <c r="C841" s="6020">
        <f t="shared" si="96"/>
        <v>0</v>
      </c>
      <c r="D841" s="6018">
        <f t="shared" si="97"/>
        <v>53</v>
      </c>
      <c r="E841" s="6018">
        <f t="shared" si="98"/>
        <v>1283</v>
      </c>
      <c r="F841" s="6019">
        <v>2030</v>
      </c>
      <c r="G841" s="6020">
        <f t="shared" si="93"/>
        <v>0</v>
      </c>
      <c r="H841" s="6018">
        <f t="shared" si="94"/>
        <v>1004</v>
      </c>
      <c r="I841" s="6018">
        <f t="shared" si="95"/>
        <v>2536</v>
      </c>
      <c r="J841" s="6019">
        <v>3283</v>
      </c>
      <c r="K841" s="1732"/>
      <c r="L841" s="6018">
        <v>41825</v>
      </c>
      <c r="W841" s="6018">
        <v>41800</v>
      </c>
      <c r="X841" s="6019">
        <v>41850</v>
      </c>
      <c r="Y841" s="6018">
        <v>0</v>
      </c>
      <c r="Z841" s="6018">
        <v>53</v>
      </c>
      <c r="AA841" s="6018">
        <v>1283</v>
      </c>
      <c r="AB841" s="6019">
        <v>2030</v>
      </c>
      <c r="AC841" s="6018">
        <v>0</v>
      </c>
      <c r="AD841" s="6018">
        <v>1004</v>
      </c>
      <c r="AE841" s="6018">
        <v>2536</v>
      </c>
      <c r="AF841" s="6019">
        <v>3283</v>
      </c>
    </row>
    <row r="842" spans="1:32" ht="13.5">
      <c r="A842" s="6018">
        <v>41850</v>
      </c>
      <c r="B842" s="6019">
        <v>41900</v>
      </c>
      <c r="C842" s="6020">
        <f t="shared" si="96"/>
        <v>0</v>
      </c>
      <c r="D842" s="6018">
        <f t="shared" si="97"/>
        <v>45</v>
      </c>
      <c r="E842" s="6018">
        <f t="shared" si="98"/>
        <v>1272</v>
      </c>
      <c r="F842" s="6019">
        <v>2020</v>
      </c>
      <c r="G842" s="6020">
        <f t="shared" si="93"/>
        <v>0</v>
      </c>
      <c r="H842" s="6018">
        <f t="shared" si="94"/>
        <v>996</v>
      </c>
      <c r="I842" s="6018">
        <f t="shared" si="95"/>
        <v>2525</v>
      </c>
      <c r="J842" s="6019">
        <v>3273</v>
      </c>
      <c r="K842" s="1732"/>
      <c r="L842" s="6018">
        <v>41875</v>
      </c>
      <c r="W842" s="6018">
        <v>41850</v>
      </c>
      <c r="X842" s="6019">
        <v>41900</v>
      </c>
      <c r="Y842" s="6018">
        <v>0</v>
      </c>
      <c r="Z842" s="6018">
        <v>45</v>
      </c>
      <c r="AA842" s="6018">
        <v>1272</v>
      </c>
      <c r="AB842" s="6019">
        <v>2020</v>
      </c>
      <c r="AC842" s="6018">
        <v>0</v>
      </c>
      <c r="AD842" s="6018">
        <v>996</v>
      </c>
      <c r="AE842" s="6018">
        <v>2525</v>
      </c>
      <c r="AF842" s="6019">
        <v>3273</v>
      </c>
    </row>
    <row r="843" spans="1:32" ht="13.5">
      <c r="A843" s="6018">
        <v>41900</v>
      </c>
      <c r="B843" s="6019">
        <v>41950</v>
      </c>
      <c r="C843" s="6020">
        <f t="shared" si="96"/>
        <v>0</v>
      </c>
      <c r="D843" s="6018">
        <f t="shared" si="97"/>
        <v>37</v>
      </c>
      <c r="E843" s="6018">
        <f t="shared" si="98"/>
        <v>1262</v>
      </c>
      <c r="F843" s="6019">
        <v>2009</v>
      </c>
      <c r="G843" s="6020">
        <f t="shared" si="93"/>
        <v>0</v>
      </c>
      <c r="H843" s="6018">
        <f t="shared" si="94"/>
        <v>988</v>
      </c>
      <c r="I843" s="6018">
        <f t="shared" si="95"/>
        <v>2515</v>
      </c>
      <c r="J843" s="6019">
        <v>3262</v>
      </c>
      <c r="K843" s="1732"/>
      <c r="L843" s="6018">
        <v>41925</v>
      </c>
      <c r="W843" s="6018">
        <v>41900</v>
      </c>
      <c r="X843" s="6019">
        <v>41950</v>
      </c>
      <c r="Y843" s="6018">
        <v>0</v>
      </c>
      <c r="Z843" s="6018">
        <v>37</v>
      </c>
      <c r="AA843" s="6018">
        <v>1262</v>
      </c>
      <c r="AB843" s="6019">
        <v>2009</v>
      </c>
      <c r="AC843" s="6018">
        <v>0</v>
      </c>
      <c r="AD843" s="6018">
        <v>988</v>
      </c>
      <c r="AE843" s="6018">
        <v>2515</v>
      </c>
      <c r="AF843" s="6019">
        <v>3262</v>
      </c>
    </row>
    <row r="844" spans="1:32" ht="13.5">
      <c r="A844" s="6018">
        <v>41950</v>
      </c>
      <c r="B844" s="6019">
        <v>42000</v>
      </c>
      <c r="C844" s="6020">
        <f t="shared" si="96"/>
        <v>0</v>
      </c>
      <c r="D844" s="6018">
        <f t="shared" si="97"/>
        <v>29</v>
      </c>
      <c r="E844" s="6018">
        <f t="shared" si="98"/>
        <v>1251</v>
      </c>
      <c r="F844" s="6019">
        <v>1998</v>
      </c>
      <c r="G844" s="6020">
        <f t="shared" si="93"/>
        <v>0</v>
      </c>
      <c r="H844" s="6018">
        <f t="shared" si="94"/>
        <v>980</v>
      </c>
      <c r="I844" s="6018">
        <f t="shared" si="95"/>
        <v>2504</v>
      </c>
      <c r="J844" s="6019">
        <v>3252</v>
      </c>
      <c r="K844" s="1732"/>
      <c r="L844" s="6018">
        <v>41975</v>
      </c>
      <c r="W844" s="6018">
        <v>41950</v>
      </c>
      <c r="X844" s="6019">
        <v>42000</v>
      </c>
      <c r="Y844" s="6018">
        <v>0</v>
      </c>
      <c r="Z844" s="6018">
        <v>29</v>
      </c>
      <c r="AA844" s="6018">
        <v>1251</v>
      </c>
      <c r="AB844" s="6019">
        <v>1998</v>
      </c>
      <c r="AC844" s="6018">
        <v>0</v>
      </c>
      <c r="AD844" s="6018">
        <v>980</v>
      </c>
      <c r="AE844" s="6018">
        <v>2504</v>
      </c>
      <c r="AF844" s="6019">
        <v>3252</v>
      </c>
    </row>
    <row r="845" spans="1:32" ht="13.5">
      <c r="A845" s="6018">
        <v>42000</v>
      </c>
      <c r="B845" s="6019">
        <v>42050</v>
      </c>
      <c r="C845" s="6020">
        <f t="shared" si="96"/>
        <v>0</v>
      </c>
      <c r="D845" s="6018">
        <f t="shared" si="97"/>
        <v>21</v>
      </c>
      <c r="E845" s="6018">
        <f t="shared" si="98"/>
        <v>1240</v>
      </c>
      <c r="F845" s="6019">
        <v>1988</v>
      </c>
      <c r="G845" s="6020">
        <f t="shared" si="93"/>
        <v>0</v>
      </c>
      <c r="H845" s="6018">
        <f t="shared" si="94"/>
        <v>972</v>
      </c>
      <c r="I845" s="6018">
        <f t="shared" si="95"/>
        <v>2494</v>
      </c>
      <c r="J845" s="6019">
        <v>3241</v>
      </c>
      <c r="K845" s="1732"/>
      <c r="L845" s="6018">
        <v>42025</v>
      </c>
      <c r="W845" s="6018">
        <v>42000</v>
      </c>
      <c r="X845" s="6019">
        <v>42050</v>
      </c>
      <c r="Y845" s="6018">
        <v>0</v>
      </c>
      <c r="Z845" s="6018">
        <v>21</v>
      </c>
      <c r="AA845" s="6018">
        <v>1240</v>
      </c>
      <c r="AB845" s="6019">
        <v>1988</v>
      </c>
      <c r="AC845" s="6018">
        <v>0</v>
      </c>
      <c r="AD845" s="6018">
        <v>972</v>
      </c>
      <c r="AE845" s="6018">
        <v>2494</v>
      </c>
      <c r="AF845" s="6019">
        <v>3241</v>
      </c>
    </row>
    <row r="846" spans="1:32" ht="13.5">
      <c r="A846" s="6018">
        <v>42050</v>
      </c>
      <c r="B846" s="6019">
        <v>42100</v>
      </c>
      <c r="C846" s="6020">
        <f t="shared" si="96"/>
        <v>0</v>
      </c>
      <c r="D846" s="6018">
        <f t="shared" si="97"/>
        <v>13</v>
      </c>
      <c r="E846" s="6018">
        <f t="shared" si="98"/>
        <v>1230</v>
      </c>
      <c r="F846" s="6019">
        <v>1977</v>
      </c>
      <c r="G846" s="6020">
        <f t="shared" si="93"/>
        <v>0</v>
      </c>
      <c r="H846" s="6018">
        <f t="shared" si="94"/>
        <v>964</v>
      </c>
      <c r="I846" s="6018">
        <f t="shared" si="95"/>
        <v>2483</v>
      </c>
      <c r="J846" s="6019">
        <v>3230</v>
      </c>
      <c r="K846" s="1732"/>
      <c r="L846" s="6018">
        <v>42075</v>
      </c>
      <c r="W846" s="6018">
        <v>42050</v>
      </c>
      <c r="X846" s="6019">
        <v>42100</v>
      </c>
      <c r="Y846" s="6018">
        <v>0</v>
      </c>
      <c r="Z846" s="6018">
        <v>13</v>
      </c>
      <c r="AA846" s="6018">
        <v>1230</v>
      </c>
      <c r="AB846" s="6019">
        <v>1977</v>
      </c>
      <c r="AC846" s="6018">
        <v>0</v>
      </c>
      <c r="AD846" s="6018">
        <v>964</v>
      </c>
      <c r="AE846" s="6018">
        <v>2483</v>
      </c>
      <c r="AF846" s="6019">
        <v>3230</v>
      </c>
    </row>
    <row r="847" spans="1:32" ht="13.5">
      <c r="A847" s="6018">
        <v>42100</v>
      </c>
      <c r="B847" s="6019">
        <v>42150</v>
      </c>
      <c r="C847" s="6020">
        <f t="shared" si="96"/>
        <v>0</v>
      </c>
      <c r="D847" s="6018">
        <f t="shared" si="97"/>
        <v>5</v>
      </c>
      <c r="E847" s="6018">
        <f t="shared" si="98"/>
        <v>1219</v>
      </c>
      <c r="F847" s="6019">
        <v>1967</v>
      </c>
      <c r="G847" s="6020">
        <f t="shared" si="93"/>
        <v>0</v>
      </c>
      <c r="H847" s="6018">
        <f t="shared" si="94"/>
        <v>956</v>
      </c>
      <c r="I847" s="6018">
        <f t="shared" si="95"/>
        <v>2472</v>
      </c>
      <c r="J847" s="6019">
        <v>3220</v>
      </c>
      <c r="K847" s="1732"/>
      <c r="L847" s="6018">
        <v>42125</v>
      </c>
      <c r="W847" s="6018">
        <v>42100</v>
      </c>
      <c r="X847" s="6019">
        <v>42150</v>
      </c>
      <c r="Y847" s="6018">
        <v>0</v>
      </c>
      <c r="Z847" s="6018">
        <v>5</v>
      </c>
      <c r="AA847" s="6018">
        <v>1219</v>
      </c>
      <c r="AB847" s="6019">
        <v>1967</v>
      </c>
      <c r="AC847" s="6018">
        <v>0</v>
      </c>
      <c r="AD847" s="6018">
        <v>956</v>
      </c>
      <c r="AE847" s="6018">
        <v>2472</v>
      </c>
      <c r="AF847" s="6019">
        <v>3220</v>
      </c>
    </row>
    <row r="848" spans="1:32" ht="13.5">
      <c r="A848" s="6018">
        <v>42150</v>
      </c>
      <c r="B848" s="6019">
        <v>42158</v>
      </c>
      <c r="C848" s="6020">
        <f t="shared" si="96"/>
        <v>0</v>
      </c>
      <c r="D848" s="6018">
        <f t="shared" si="97"/>
        <v>1</v>
      </c>
      <c r="E848" s="6018">
        <v>1209</v>
      </c>
      <c r="F848" s="6019">
        <v>1956</v>
      </c>
      <c r="G848" s="6020">
        <f t="shared" si="93"/>
        <v>0</v>
      </c>
      <c r="H848" s="6018">
        <v>948</v>
      </c>
      <c r="I848" s="6018">
        <v>2462</v>
      </c>
      <c r="J848" s="6019">
        <v>3209</v>
      </c>
      <c r="K848" s="1732"/>
      <c r="L848" s="6018">
        <v>42154</v>
      </c>
      <c r="W848" s="6018">
        <v>42150</v>
      </c>
      <c r="X848" s="6019">
        <v>42158</v>
      </c>
      <c r="Y848" s="6018">
        <v>0</v>
      </c>
      <c r="Z848" s="6018">
        <v>1</v>
      </c>
      <c r="AA848" s="6018">
        <v>1209</v>
      </c>
      <c r="AB848" s="6019">
        <v>1956</v>
      </c>
      <c r="AC848" s="6018">
        <v>0</v>
      </c>
      <c r="AD848" s="6018">
        <v>948</v>
      </c>
      <c r="AE848" s="6018">
        <v>2462</v>
      </c>
      <c r="AF848" s="6019">
        <v>3209</v>
      </c>
    </row>
    <row r="849" spans="1:32" ht="13.5">
      <c r="A849" s="6018">
        <v>42158</v>
      </c>
      <c r="B849" s="6019">
        <v>42200</v>
      </c>
      <c r="C849" s="6020">
        <f t="shared" si="96"/>
        <v>0</v>
      </c>
      <c r="D849" s="6018">
        <f t="shared" si="97"/>
        <v>0</v>
      </c>
      <c r="E849" s="6018">
        <v>1209</v>
      </c>
      <c r="F849" s="6019">
        <v>1956</v>
      </c>
      <c r="G849" s="6020">
        <f t="shared" si="93"/>
        <v>0</v>
      </c>
      <c r="H849" s="6018">
        <v>948</v>
      </c>
      <c r="I849" s="6018">
        <v>2462</v>
      </c>
      <c r="J849" s="6019">
        <v>3209</v>
      </c>
      <c r="K849" s="1732"/>
      <c r="L849" s="6018">
        <v>42179</v>
      </c>
      <c r="W849" s="6018">
        <v>42158</v>
      </c>
      <c r="X849" s="6019">
        <v>42200</v>
      </c>
      <c r="Y849" s="6018">
        <v>0</v>
      </c>
      <c r="Z849" s="6018">
        <v>0</v>
      </c>
      <c r="AA849" s="6018">
        <v>1209</v>
      </c>
      <c r="AB849" s="6019">
        <v>1956</v>
      </c>
      <c r="AC849" s="6018">
        <v>0</v>
      </c>
      <c r="AD849" s="6018">
        <v>948</v>
      </c>
      <c r="AE849" s="6018">
        <v>2462</v>
      </c>
      <c r="AF849" s="6019">
        <v>3209</v>
      </c>
    </row>
    <row r="850" spans="1:32" ht="13.5">
      <c r="A850" s="6018">
        <v>42200</v>
      </c>
      <c r="B850" s="6019">
        <v>42250</v>
      </c>
      <c r="C850" s="6020">
        <f t="shared" si="96"/>
        <v>0</v>
      </c>
      <c r="D850" s="6018">
        <f t="shared" si="97"/>
        <v>0</v>
      </c>
      <c r="E850" s="6018">
        <f t="shared" si="98"/>
        <v>1198</v>
      </c>
      <c r="F850" s="6019">
        <v>1946</v>
      </c>
      <c r="G850" s="6020">
        <f t="shared" si="93"/>
        <v>0</v>
      </c>
      <c r="H850" s="6018">
        <f t="shared" si="94"/>
        <v>940</v>
      </c>
      <c r="I850" s="6018">
        <f t="shared" si="95"/>
        <v>2451</v>
      </c>
      <c r="J850" s="6019">
        <v>3199</v>
      </c>
      <c r="K850" s="1732"/>
      <c r="L850" s="6018">
        <v>42225</v>
      </c>
      <c r="W850" s="6018">
        <v>42200</v>
      </c>
      <c r="X850" s="6019">
        <v>42250</v>
      </c>
      <c r="Y850" s="6018">
        <v>0</v>
      </c>
      <c r="Z850" s="6018">
        <v>0</v>
      </c>
      <c r="AA850" s="6018">
        <v>1198</v>
      </c>
      <c r="AB850" s="6019">
        <v>1946</v>
      </c>
      <c r="AC850" s="6018">
        <v>0</v>
      </c>
      <c r="AD850" s="6018">
        <v>940</v>
      </c>
      <c r="AE850" s="6018">
        <v>2451</v>
      </c>
      <c r="AF850" s="6019">
        <v>3199</v>
      </c>
    </row>
    <row r="851" spans="1:32" ht="13.5">
      <c r="A851" s="6018">
        <v>42250</v>
      </c>
      <c r="B851" s="6019">
        <v>42300</v>
      </c>
      <c r="C851" s="6020">
        <f t="shared" si="96"/>
        <v>0</v>
      </c>
      <c r="D851" s="6018">
        <f t="shared" si="97"/>
        <v>0</v>
      </c>
      <c r="E851" s="6018">
        <f t="shared" si="98"/>
        <v>1188</v>
      </c>
      <c r="F851" s="6019">
        <v>1935</v>
      </c>
      <c r="G851" s="6020">
        <f t="shared" si="93"/>
        <v>0</v>
      </c>
      <c r="H851" s="6018">
        <f t="shared" si="94"/>
        <v>932</v>
      </c>
      <c r="I851" s="6018">
        <f t="shared" si="95"/>
        <v>2441</v>
      </c>
      <c r="J851" s="6019">
        <v>3188</v>
      </c>
      <c r="K851" s="1732"/>
      <c r="L851" s="6018">
        <v>42275</v>
      </c>
      <c r="W851" s="6018">
        <v>42250</v>
      </c>
      <c r="X851" s="6019">
        <v>42300</v>
      </c>
      <c r="Y851" s="6018">
        <v>0</v>
      </c>
      <c r="Z851" s="6018">
        <v>0</v>
      </c>
      <c r="AA851" s="6018">
        <v>1188</v>
      </c>
      <c r="AB851" s="6019">
        <v>1935</v>
      </c>
      <c r="AC851" s="6018">
        <v>0</v>
      </c>
      <c r="AD851" s="6018">
        <v>932</v>
      </c>
      <c r="AE851" s="6018">
        <v>2441</v>
      </c>
      <c r="AF851" s="6019">
        <v>3188</v>
      </c>
    </row>
    <row r="852" spans="1:32" ht="13.5">
      <c r="A852" s="6018">
        <v>42300</v>
      </c>
      <c r="B852" s="6019">
        <v>42350</v>
      </c>
      <c r="C852" s="6020">
        <f t="shared" si="96"/>
        <v>0</v>
      </c>
      <c r="D852" s="6018">
        <f t="shared" si="97"/>
        <v>0</v>
      </c>
      <c r="E852" s="6018">
        <f t="shared" si="98"/>
        <v>1177</v>
      </c>
      <c r="F852" s="6019">
        <v>1925</v>
      </c>
      <c r="G852" s="6020">
        <f t="shared" si="93"/>
        <v>0</v>
      </c>
      <c r="H852" s="6018">
        <f t="shared" si="94"/>
        <v>924</v>
      </c>
      <c r="I852" s="6018">
        <f t="shared" si="95"/>
        <v>2430</v>
      </c>
      <c r="J852" s="6019">
        <v>3178</v>
      </c>
      <c r="K852" s="1732"/>
      <c r="L852" s="6018">
        <v>42325</v>
      </c>
      <c r="W852" s="6018">
        <v>42300</v>
      </c>
      <c r="X852" s="6019">
        <v>42350</v>
      </c>
      <c r="Y852" s="6018">
        <v>0</v>
      </c>
      <c r="Z852" s="6018">
        <v>0</v>
      </c>
      <c r="AA852" s="6018">
        <v>1177</v>
      </c>
      <c r="AB852" s="6019">
        <v>1925</v>
      </c>
      <c r="AC852" s="6018">
        <v>0</v>
      </c>
      <c r="AD852" s="6018">
        <v>924</v>
      </c>
      <c r="AE852" s="6018">
        <v>2430</v>
      </c>
      <c r="AF852" s="6019">
        <v>3178</v>
      </c>
    </row>
    <row r="853" spans="1:32" ht="13.5">
      <c r="A853" s="6018">
        <v>42350</v>
      </c>
      <c r="B853" s="6019">
        <v>42400</v>
      </c>
      <c r="C853" s="6020">
        <f t="shared" si="96"/>
        <v>0</v>
      </c>
      <c r="D853" s="6018">
        <f t="shared" si="97"/>
        <v>0</v>
      </c>
      <c r="E853" s="6018">
        <f t="shared" si="98"/>
        <v>1167</v>
      </c>
      <c r="F853" s="6019">
        <v>1914</v>
      </c>
      <c r="G853" s="6020">
        <f t="shared" si="93"/>
        <v>0</v>
      </c>
      <c r="H853" s="6018">
        <f t="shared" si="94"/>
        <v>916</v>
      </c>
      <c r="I853" s="6018">
        <f t="shared" si="95"/>
        <v>2420</v>
      </c>
      <c r="J853" s="6019">
        <v>3167</v>
      </c>
      <c r="K853" s="1732"/>
      <c r="L853" s="6018">
        <v>42375</v>
      </c>
      <c r="W853" s="6018">
        <v>42350</v>
      </c>
      <c r="X853" s="6019">
        <v>42400</v>
      </c>
      <c r="Y853" s="6018">
        <v>0</v>
      </c>
      <c r="Z853" s="6018">
        <v>0</v>
      </c>
      <c r="AA853" s="6018">
        <v>1167</v>
      </c>
      <c r="AB853" s="6019">
        <v>1914</v>
      </c>
      <c r="AC853" s="6018">
        <v>0</v>
      </c>
      <c r="AD853" s="6018">
        <v>916</v>
      </c>
      <c r="AE853" s="6018">
        <v>2420</v>
      </c>
      <c r="AF853" s="6019">
        <v>3167</v>
      </c>
    </row>
    <row r="854" spans="1:32" ht="13.5">
      <c r="A854" s="6018">
        <v>42400</v>
      </c>
      <c r="B854" s="6019">
        <v>42450</v>
      </c>
      <c r="C854" s="6020">
        <f t="shared" si="96"/>
        <v>0</v>
      </c>
      <c r="D854" s="6018">
        <f t="shared" si="97"/>
        <v>0</v>
      </c>
      <c r="E854" s="6018">
        <f t="shared" si="98"/>
        <v>1156</v>
      </c>
      <c r="F854" s="6019">
        <v>1904</v>
      </c>
      <c r="G854" s="6020">
        <f t="shared" si="93"/>
        <v>0</v>
      </c>
      <c r="H854" s="6018">
        <f t="shared" si="94"/>
        <v>908</v>
      </c>
      <c r="I854" s="6018">
        <f t="shared" si="95"/>
        <v>2409</v>
      </c>
      <c r="J854" s="6019">
        <v>3157</v>
      </c>
      <c r="K854" s="1732"/>
      <c r="L854" s="6018">
        <v>42425</v>
      </c>
      <c r="W854" s="6018">
        <v>42400</v>
      </c>
      <c r="X854" s="6019">
        <v>42450</v>
      </c>
      <c r="Y854" s="6018">
        <v>0</v>
      </c>
      <c r="Z854" s="6018">
        <v>0</v>
      </c>
      <c r="AA854" s="6018">
        <v>1156</v>
      </c>
      <c r="AB854" s="6019">
        <v>1904</v>
      </c>
      <c r="AC854" s="6018">
        <v>0</v>
      </c>
      <c r="AD854" s="6018">
        <v>908</v>
      </c>
      <c r="AE854" s="6018">
        <v>2409</v>
      </c>
      <c r="AF854" s="6019">
        <v>3157</v>
      </c>
    </row>
    <row r="855" spans="1:32" ht="13.5">
      <c r="A855" s="6018">
        <v>42450</v>
      </c>
      <c r="B855" s="6019">
        <v>42500</v>
      </c>
      <c r="C855" s="6020">
        <f t="shared" si="96"/>
        <v>0</v>
      </c>
      <c r="D855" s="6018">
        <f t="shared" si="97"/>
        <v>0</v>
      </c>
      <c r="E855" s="6018">
        <f t="shared" si="98"/>
        <v>1146</v>
      </c>
      <c r="F855" s="6019">
        <v>1893</v>
      </c>
      <c r="G855" s="6020">
        <f t="shared" si="93"/>
        <v>0</v>
      </c>
      <c r="H855" s="6018">
        <f t="shared" si="94"/>
        <v>900</v>
      </c>
      <c r="I855" s="6018">
        <f t="shared" si="95"/>
        <v>2399</v>
      </c>
      <c r="J855" s="6019">
        <v>3146</v>
      </c>
      <c r="K855" s="1732"/>
      <c r="L855" s="6018">
        <v>42475</v>
      </c>
      <c r="W855" s="6018">
        <v>42450</v>
      </c>
      <c r="X855" s="6019">
        <v>42500</v>
      </c>
      <c r="Y855" s="6018">
        <v>0</v>
      </c>
      <c r="Z855" s="6018">
        <v>0</v>
      </c>
      <c r="AA855" s="6018">
        <v>1146</v>
      </c>
      <c r="AB855" s="6019">
        <v>1893</v>
      </c>
      <c r="AC855" s="6018">
        <v>0</v>
      </c>
      <c r="AD855" s="6018">
        <v>900</v>
      </c>
      <c r="AE855" s="6018">
        <v>2399</v>
      </c>
      <c r="AF855" s="6019">
        <v>3146</v>
      </c>
    </row>
    <row r="856" spans="1:32" ht="13.5">
      <c r="A856" s="6018">
        <v>42500</v>
      </c>
      <c r="B856" s="6019">
        <v>42550</v>
      </c>
      <c r="C856" s="6020">
        <f t="shared" si="96"/>
        <v>0</v>
      </c>
      <c r="D856" s="6018">
        <f t="shared" si="97"/>
        <v>0</v>
      </c>
      <c r="E856" s="6018">
        <f t="shared" si="98"/>
        <v>1135</v>
      </c>
      <c r="F856" s="6019">
        <v>1883</v>
      </c>
      <c r="G856" s="6020">
        <f t="shared" si="93"/>
        <v>0</v>
      </c>
      <c r="H856" s="6018">
        <f t="shared" si="94"/>
        <v>892</v>
      </c>
      <c r="I856" s="6018">
        <f t="shared" si="95"/>
        <v>2388</v>
      </c>
      <c r="J856" s="6019">
        <v>3136</v>
      </c>
      <c r="K856" s="1732"/>
      <c r="L856" s="6018">
        <v>42525</v>
      </c>
      <c r="W856" s="6018">
        <v>42500</v>
      </c>
      <c r="X856" s="6019">
        <v>42550</v>
      </c>
      <c r="Y856" s="6018">
        <v>0</v>
      </c>
      <c r="Z856" s="6018">
        <v>0</v>
      </c>
      <c r="AA856" s="6018">
        <v>1135</v>
      </c>
      <c r="AB856" s="6019">
        <v>1883</v>
      </c>
      <c r="AC856" s="6018">
        <v>0</v>
      </c>
      <c r="AD856" s="6018">
        <v>892</v>
      </c>
      <c r="AE856" s="6018">
        <v>2388</v>
      </c>
      <c r="AF856" s="6019">
        <v>3136</v>
      </c>
    </row>
    <row r="857" spans="1:32" ht="13.5">
      <c r="A857" s="6018">
        <v>42550</v>
      </c>
      <c r="B857" s="6019">
        <v>42600</v>
      </c>
      <c r="C857" s="6020">
        <f t="shared" si="96"/>
        <v>0</v>
      </c>
      <c r="D857" s="6018">
        <f t="shared" si="97"/>
        <v>0</v>
      </c>
      <c r="E857" s="6018">
        <f t="shared" si="98"/>
        <v>1125</v>
      </c>
      <c r="F857" s="6019">
        <v>1872</v>
      </c>
      <c r="G857" s="6020">
        <f t="shared" si="93"/>
        <v>0</v>
      </c>
      <c r="H857" s="6018">
        <f t="shared" si="94"/>
        <v>884</v>
      </c>
      <c r="I857" s="6018">
        <f t="shared" si="95"/>
        <v>2378</v>
      </c>
      <c r="J857" s="6019">
        <v>3125</v>
      </c>
      <c r="K857" s="1732"/>
      <c r="L857" s="6018">
        <v>42575</v>
      </c>
      <c r="W857" s="6018">
        <v>42550</v>
      </c>
      <c r="X857" s="6019">
        <v>42600</v>
      </c>
      <c r="Y857" s="6018">
        <v>0</v>
      </c>
      <c r="Z857" s="6018">
        <v>0</v>
      </c>
      <c r="AA857" s="6018">
        <v>1125</v>
      </c>
      <c r="AB857" s="6019">
        <v>1872</v>
      </c>
      <c r="AC857" s="6018">
        <v>0</v>
      </c>
      <c r="AD857" s="6018">
        <v>884</v>
      </c>
      <c r="AE857" s="6018">
        <v>2378</v>
      </c>
      <c r="AF857" s="6019">
        <v>3125</v>
      </c>
    </row>
    <row r="858" spans="1:32" ht="13.5">
      <c r="A858" s="6018">
        <v>42600</v>
      </c>
      <c r="B858" s="6019">
        <v>42650</v>
      </c>
      <c r="C858" s="6020">
        <f t="shared" si="96"/>
        <v>0</v>
      </c>
      <c r="D858" s="6018">
        <f t="shared" si="97"/>
        <v>0</v>
      </c>
      <c r="E858" s="6018">
        <f t="shared" si="98"/>
        <v>1114</v>
      </c>
      <c r="F858" s="6019">
        <v>1862</v>
      </c>
      <c r="G858" s="6020">
        <f t="shared" si="93"/>
        <v>0</v>
      </c>
      <c r="H858" s="6018">
        <f t="shared" si="94"/>
        <v>876</v>
      </c>
      <c r="I858" s="6018">
        <f t="shared" si="95"/>
        <v>2367</v>
      </c>
      <c r="J858" s="6019">
        <v>3115</v>
      </c>
      <c r="K858" s="1732"/>
      <c r="L858" s="6018">
        <v>42625</v>
      </c>
      <c r="W858" s="6018">
        <v>42600</v>
      </c>
      <c r="X858" s="6019">
        <v>42650</v>
      </c>
      <c r="Y858" s="6018">
        <v>0</v>
      </c>
      <c r="Z858" s="6018">
        <v>0</v>
      </c>
      <c r="AA858" s="6018">
        <v>1114</v>
      </c>
      <c r="AB858" s="6019">
        <v>1862</v>
      </c>
      <c r="AC858" s="6018">
        <v>0</v>
      </c>
      <c r="AD858" s="6018">
        <v>876</v>
      </c>
      <c r="AE858" s="6018">
        <v>2367</v>
      </c>
      <c r="AF858" s="6019">
        <v>3115</v>
      </c>
    </row>
    <row r="859" spans="1:32" ht="13.5">
      <c r="A859" s="6018">
        <v>42650</v>
      </c>
      <c r="B859" s="6019">
        <v>42700</v>
      </c>
      <c r="C859" s="6020">
        <f t="shared" si="96"/>
        <v>0</v>
      </c>
      <c r="D859" s="6018">
        <f t="shared" si="97"/>
        <v>0</v>
      </c>
      <c r="E859" s="6018">
        <f t="shared" si="98"/>
        <v>1104</v>
      </c>
      <c r="F859" s="6019">
        <v>1851</v>
      </c>
      <c r="G859" s="6020">
        <f t="shared" si="93"/>
        <v>0</v>
      </c>
      <c r="H859" s="6018">
        <f t="shared" si="94"/>
        <v>868</v>
      </c>
      <c r="I859" s="6018">
        <f t="shared" si="95"/>
        <v>2357</v>
      </c>
      <c r="J859" s="6019">
        <v>3104</v>
      </c>
      <c r="K859" s="1732"/>
      <c r="L859" s="6018">
        <v>42675</v>
      </c>
      <c r="W859" s="6018">
        <v>42650</v>
      </c>
      <c r="X859" s="6019">
        <v>42700</v>
      </c>
      <c r="Y859" s="6018">
        <v>0</v>
      </c>
      <c r="Z859" s="6018">
        <v>0</v>
      </c>
      <c r="AA859" s="6018">
        <v>1104</v>
      </c>
      <c r="AB859" s="6019">
        <v>1851</v>
      </c>
      <c r="AC859" s="6018">
        <v>0</v>
      </c>
      <c r="AD859" s="6018">
        <v>868</v>
      </c>
      <c r="AE859" s="6018">
        <v>2357</v>
      </c>
      <c r="AF859" s="6019">
        <v>3104</v>
      </c>
    </row>
    <row r="860" spans="1:32" ht="13.5">
      <c r="A860" s="6018">
        <v>42700</v>
      </c>
      <c r="B860" s="6019">
        <v>42750</v>
      </c>
      <c r="C860" s="6020">
        <f t="shared" si="96"/>
        <v>0</v>
      </c>
      <c r="D860" s="6018">
        <f t="shared" si="97"/>
        <v>0</v>
      </c>
      <c r="E860" s="6018">
        <f t="shared" si="98"/>
        <v>1093</v>
      </c>
      <c r="F860" s="6019">
        <v>1841</v>
      </c>
      <c r="G860" s="6020">
        <f t="shared" si="93"/>
        <v>0</v>
      </c>
      <c r="H860" s="6018">
        <f t="shared" si="94"/>
        <v>860</v>
      </c>
      <c r="I860" s="6018">
        <f t="shared" si="95"/>
        <v>2346</v>
      </c>
      <c r="J860" s="6019">
        <v>3094</v>
      </c>
      <c r="K860" s="1732"/>
      <c r="L860" s="6018">
        <v>42725</v>
      </c>
      <c r="W860" s="6018">
        <v>42700</v>
      </c>
      <c r="X860" s="6019">
        <v>42750</v>
      </c>
      <c r="Y860" s="6018">
        <v>0</v>
      </c>
      <c r="Z860" s="6018">
        <v>0</v>
      </c>
      <c r="AA860" s="6018">
        <v>1093</v>
      </c>
      <c r="AB860" s="6019">
        <v>1841</v>
      </c>
      <c r="AC860" s="6018">
        <v>0</v>
      </c>
      <c r="AD860" s="6018">
        <v>860</v>
      </c>
      <c r="AE860" s="6018">
        <v>2346</v>
      </c>
      <c r="AF860" s="6019">
        <v>3094</v>
      </c>
    </row>
    <row r="861" spans="1:32" ht="13.5">
      <c r="A861" s="6018">
        <v>42750</v>
      </c>
      <c r="B861" s="6019">
        <v>42800</v>
      </c>
      <c r="C861" s="6020">
        <f t="shared" si="96"/>
        <v>0</v>
      </c>
      <c r="D861" s="6018">
        <f t="shared" si="97"/>
        <v>0</v>
      </c>
      <c r="E861" s="6018">
        <f t="shared" si="98"/>
        <v>1082</v>
      </c>
      <c r="F861" s="6019">
        <v>1830</v>
      </c>
      <c r="G861" s="6020">
        <f t="shared" si="93"/>
        <v>0</v>
      </c>
      <c r="H861" s="6018">
        <f t="shared" si="94"/>
        <v>852</v>
      </c>
      <c r="I861" s="6018">
        <f t="shared" si="95"/>
        <v>2336</v>
      </c>
      <c r="J861" s="6019">
        <v>3083</v>
      </c>
      <c r="K861" s="1732"/>
      <c r="L861" s="6018">
        <v>42775</v>
      </c>
      <c r="W861" s="6018">
        <v>42750</v>
      </c>
      <c r="X861" s="6019">
        <v>42800</v>
      </c>
      <c r="Y861" s="6018">
        <v>0</v>
      </c>
      <c r="Z861" s="6018">
        <v>0</v>
      </c>
      <c r="AA861" s="6018">
        <v>1082</v>
      </c>
      <c r="AB861" s="6019">
        <v>1830</v>
      </c>
      <c r="AC861" s="6018">
        <v>0</v>
      </c>
      <c r="AD861" s="6018">
        <v>852</v>
      </c>
      <c r="AE861" s="6018">
        <v>2336</v>
      </c>
      <c r="AF861" s="6019">
        <v>3083</v>
      </c>
    </row>
    <row r="862" spans="1:32" ht="13.5">
      <c r="A862" s="6018">
        <v>42800</v>
      </c>
      <c r="B862" s="6019">
        <v>42850</v>
      </c>
      <c r="C862" s="6020">
        <f t="shared" si="96"/>
        <v>0</v>
      </c>
      <c r="D862" s="6018">
        <f t="shared" si="97"/>
        <v>0</v>
      </c>
      <c r="E862" s="6018">
        <f t="shared" si="98"/>
        <v>1072</v>
      </c>
      <c r="F862" s="6019">
        <v>1819</v>
      </c>
      <c r="G862" s="6020">
        <f t="shared" si="93"/>
        <v>0</v>
      </c>
      <c r="H862" s="6018">
        <f t="shared" si="94"/>
        <v>844</v>
      </c>
      <c r="I862" s="6018">
        <f t="shared" si="95"/>
        <v>2325</v>
      </c>
      <c r="J862" s="6019">
        <v>3073</v>
      </c>
      <c r="K862" s="1732"/>
      <c r="L862" s="6018">
        <v>42825</v>
      </c>
      <c r="W862" s="6018">
        <v>42800</v>
      </c>
      <c r="X862" s="6019">
        <v>42850</v>
      </c>
      <c r="Y862" s="6018">
        <v>0</v>
      </c>
      <c r="Z862" s="6018">
        <v>0</v>
      </c>
      <c r="AA862" s="6018">
        <v>1072</v>
      </c>
      <c r="AB862" s="6019">
        <v>1819</v>
      </c>
      <c r="AC862" s="6018">
        <v>0</v>
      </c>
      <c r="AD862" s="6018">
        <v>844</v>
      </c>
      <c r="AE862" s="6018">
        <v>2325</v>
      </c>
      <c r="AF862" s="6019">
        <v>3073</v>
      </c>
    </row>
    <row r="863" spans="1:32" ht="13.5">
      <c r="A863" s="6018">
        <v>42850</v>
      </c>
      <c r="B863" s="6019">
        <v>42900</v>
      </c>
      <c r="C863" s="6020">
        <f t="shared" si="96"/>
        <v>0</v>
      </c>
      <c r="D863" s="6018">
        <f t="shared" si="97"/>
        <v>0</v>
      </c>
      <c r="E863" s="6018">
        <f t="shared" si="98"/>
        <v>1061</v>
      </c>
      <c r="F863" s="6019">
        <v>1809</v>
      </c>
      <c r="G863" s="6020">
        <f t="shared" si="93"/>
        <v>0</v>
      </c>
      <c r="H863" s="6018">
        <f t="shared" si="94"/>
        <v>836</v>
      </c>
      <c r="I863" s="6018">
        <f t="shared" si="95"/>
        <v>2315</v>
      </c>
      <c r="J863" s="6019">
        <v>3062</v>
      </c>
      <c r="K863" s="1732"/>
      <c r="L863" s="6018">
        <v>42875</v>
      </c>
      <c r="W863" s="6018">
        <v>42850</v>
      </c>
      <c r="X863" s="6019">
        <v>42900</v>
      </c>
      <c r="Y863" s="6018">
        <v>0</v>
      </c>
      <c r="Z863" s="6018">
        <v>0</v>
      </c>
      <c r="AA863" s="6018">
        <v>1061</v>
      </c>
      <c r="AB863" s="6019">
        <v>1809</v>
      </c>
      <c r="AC863" s="6018">
        <v>0</v>
      </c>
      <c r="AD863" s="6018">
        <v>836</v>
      </c>
      <c r="AE863" s="6018">
        <v>2315</v>
      </c>
      <c r="AF863" s="6019">
        <v>3062</v>
      </c>
    </row>
    <row r="864" spans="1:32" ht="13.5">
      <c r="A864" s="6018">
        <v>42900</v>
      </c>
      <c r="B864" s="6019">
        <v>42950</v>
      </c>
      <c r="C864" s="6020">
        <f t="shared" si="96"/>
        <v>0</v>
      </c>
      <c r="D864" s="6018">
        <f t="shared" si="97"/>
        <v>0</v>
      </c>
      <c r="E864" s="6018">
        <f t="shared" si="98"/>
        <v>1051</v>
      </c>
      <c r="F864" s="6019">
        <v>1798</v>
      </c>
      <c r="G864" s="6020">
        <f t="shared" si="93"/>
        <v>0</v>
      </c>
      <c r="H864" s="6018">
        <f t="shared" si="94"/>
        <v>828</v>
      </c>
      <c r="I864" s="6018">
        <f t="shared" si="95"/>
        <v>2304</v>
      </c>
      <c r="J864" s="6019">
        <v>3051</v>
      </c>
      <c r="K864" s="1732"/>
      <c r="L864" s="6018">
        <v>42925</v>
      </c>
      <c r="W864" s="6018">
        <v>42900</v>
      </c>
      <c r="X864" s="6019">
        <v>42950</v>
      </c>
      <c r="Y864" s="6018">
        <v>0</v>
      </c>
      <c r="Z864" s="6018">
        <v>0</v>
      </c>
      <c r="AA864" s="6018">
        <v>1051</v>
      </c>
      <c r="AB864" s="6019">
        <v>1798</v>
      </c>
      <c r="AC864" s="6018">
        <v>0</v>
      </c>
      <c r="AD864" s="6018">
        <v>828</v>
      </c>
      <c r="AE864" s="6018">
        <v>2304</v>
      </c>
      <c r="AF864" s="6019">
        <v>3051</v>
      </c>
    </row>
    <row r="865" spans="1:32" ht="13.5">
      <c r="A865" s="6018">
        <v>42950</v>
      </c>
      <c r="B865" s="6019">
        <v>43000</v>
      </c>
      <c r="C865" s="6020">
        <f t="shared" si="96"/>
        <v>0</v>
      </c>
      <c r="D865" s="6018">
        <f t="shared" si="97"/>
        <v>0</v>
      </c>
      <c r="E865" s="6018">
        <f t="shared" si="98"/>
        <v>1040</v>
      </c>
      <c r="F865" s="6019">
        <v>1788</v>
      </c>
      <c r="G865" s="6020">
        <f t="shared" si="93"/>
        <v>0</v>
      </c>
      <c r="H865" s="6018">
        <f t="shared" si="94"/>
        <v>820</v>
      </c>
      <c r="I865" s="6018">
        <f t="shared" si="95"/>
        <v>2293</v>
      </c>
      <c r="J865" s="6019">
        <v>3041</v>
      </c>
      <c r="K865" s="1732"/>
      <c r="L865" s="6018">
        <v>42975</v>
      </c>
      <c r="W865" s="6018">
        <v>42950</v>
      </c>
      <c r="X865" s="6019">
        <v>43000</v>
      </c>
      <c r="Y865" s="6018">
        <v>0</v>
      </c>
      <c r="Z865" s="6018">
        <v>0</v>
      </c>
      <c r="AA865" s="6018">
        <v>1040</v>
      </c>
      <c r="AB865" s="6019">
        <v>1788</v>
      </c>
      <c r="AC865" s="6018">
        <v>0</v>
      </c>
      <c r="AD865" s="6018">
        <v>820</v>
      </c>
      <c r="AE865" s="6018">
        <v>2293</v>
      </c>
      <c r="AF865" s="6019">
        <v>3041</v>
      </c>
    </row>
    <row r="866" spans="1:32" ht="13.5">
      <c r="A866" s="6018">
        <v>43000</v>
      </c>
      <c r="B866" s="6019">
        <v>43050</v>
      </c>
      <c r="C866" s="6020">
        <f t="shared" si="96"/>
        <v>0</v>
      </c>
      <c r="D866" s="6018">
        <f t="shared" si="97"/>
        <v>0</v>
      </c>
      <c r="E866" s="6018">
        <f t="shared" si="98"/>
        <v>1030</v>
      </c>
      <c r="F866" s="6019">
        <v>1777</v>
      </c>
      <c r="G866" s="6020">
        <f t="shared" si="93"/>
        <v>0</v>
      </c>
      <c r="H866" s="6018">
        <f t="shared" si="94"/>
        <v>812</v>
      </c>
      <c r="I866" s="6018">
        <f t="shared" si="95"/>
        <v>2283</v>
      </c>
      <c r="J866" s="6019">
        <v>3030</v>
      </c>
      <c r="K866" s="1732"/>
      <c r="L866" s="6018">
        <v>43025</v>
      </c>
      <c r="W866" s="6018">
        <v>43000</v>
      </c>
      <c r="X866" s="6019">
        <v>43050</v>
      </c>
      <c r="Y866" s="6018">
        <v>0</v>
      </c>
      <c r="Z866" s="6018">
        <v>0</v>
      </c>
      <c r="AA866" s="6018">
        <v>1030</v>
      </c>
      <c r="AB866" s="6019">
        <v>1777</v>
      </c>
      <c r="AC866" s="6018">
        <v>0</v>
      </c>
      <c r="AD866" s="6018">
        <v>812</v>
      </c>
      <c r="AE866" s="6018">
        <v>2283</v>
      </c>
      <c r="AF866" s="6019">
        <v>3030</v>
      </c>
    </row>
    <row r="867" spans="1:32" ht="13.5">
      <c r="A867" s="6018">
        <v>43050</v>
      </c>
      <c r="B867" s="6019">
        <v>43100</v>
      </c>
      <c r="C867" s="6020">
        <f t="shared" si="96"/>
        <v>0</v>
      </c>
      <c r="D867" s="6018">
        <f t="shared" si="97"/>
        <v>0</v>
      </c>
      <c r="E867" s="6018">
        <f t="shared" si="98"/>
        <v>1019</v>
      </c>
      <c r="F867" s="6019">
        <v>1767</v>
      </c>
      <c r="G867" s="6020">
        <f t="shared" si="93"/>
        <v>0</v>
      </c>
      <c r="H867" s="6018">
        <f t="shared" si="94"/>
        <v>804</v>
      </c>
      <c r="I867" s="6018">
        <f t="shared" si="95"/>
        <v>2272</v>
      </c>
      <c r="J867" s="6019">
        <v>3020</v>
      </c>
      <c r="K867" s="1732"/>
      <c r="L867" s="6018">
        <v>43075</v>
      </c>
      <c r="W867" s="6018">
        <v>43050</v>
      </c>
      <c r="X867" s="6019">
        <v>43100</v>
      </c>
      <c r="Y867" s="6018">
        <v>0</v>
      </c>
      <c r="Z867" s="6018">
        <v>0</v>
      </c>
      <c r="AA867" s="6018">
        <v>1019</v>
      </c>
      <c r="AB867" s="6019">
        <v>1767</v>
      </c>
      <c r="AC867" s="6018">
        <v>0</v>
      </c>
      <c r="AD867" s="6018">
        <v>804</v>
      </c>
      <c r="AE867" s="6018">
        <v>2272</v>
      </c>
      <c r="AF867" s="6019">
        <v>3020</v>
      </c>
    </row>
    <row r="868" spans="1:32" ht="13.5">
      <c r="A868" s="6018">
        <v>43100</v>
      </c>
      <c r="B868" s="6019">
        <v>43150</v>
      </c>
      <c r="C868" s="6020">
        <f t="shared" si="96"/>
        <v>0</v>
      </c>
      <c r="D868" s="6018">
        <f t="shared" si="97"/>
        <v>0</v>
      </c>
      <c r="E868" s="6018">
        <f t="shared" si="98"/>
        <v>1009</v>
      </c>
      <c r="F868" s="6019">
        <v>1756</v>
      </c>
      <c r="G868" s="6020">
        <f t="shared" si="93"/>
        <v>0</v>
      </c>
      <c r="H868" s="6018">
        <f t="shared" si="94"/>
        <v>796</v>
      </c>
      <c r="I868" s="6018">
        <f t="shared" si="95"/>
        <v>2262</v>
      </c>
      <c r="J868" s="6019">
        <v>3009</v>
      </c>
      <c r="K868" s="1732"/>
      <c r="L868" s="6018">
        <v>43125</v>
      </c>
      <c r="W868" s="6018">
        <v>43100</v>
      </c>
      <c r="X868" s="6019">
        <v>43150</v>
      </c>
      <c r="Y868" s="6018">
        <v>0</v>
      </c>
      <c r="Z868" s="6018">
        <v>0</v>
      </c>
      <c r="AA868" s="6018">
        <v>1009</v>
      </c>
      <c r="AB868" s="6019">
        <v>1756</v>
      </c>
      <c r="AC868" s="6018">
        <v>0</v>
      </c>
      <c r="AD868" s="6018">
        <v>796</v>
      </c>
      <c r="AE868" s="6018">
        <v>2262</v>
      </c>
      <c r="AF868" s="6019">
        <v>3009</v>
      </c>
    </row>
    <row r="869" spans="1:32" ht="13.5">
      <c r="A869" s="6018">
        <v>43150</v>
      </c>
      <c r="B869" s="6019">
        <v>43200</v>
      </c>
      <c r="C869" s="6020">
        <f t="shared" si="96"/>
        <v>0</v>
      </c>
      <c r="D869" s="6018">
        <f t="shared" si="97"/>
        <v>0</v>
      </c>
      <c r="E869" s="6018">
        <f t="shared" si="98"/>
        <v>998</v>
      </c>
      <c r="F869" s="6019">
        <v>1746</v>
      </c>
      <c r="G869" s="6020">
        <f t="shared" si="93"/>
        <v>0</v>
      </c>
      <c r="H869" s="6018">
        <f t="shared" si="94"/>
        <v>788</v>
      </c>
      <c r="I869" s="6018">
        <f t="shared" si="95"/>
        <v>2251</v>
      </c>
      <c r="J869" s="6019">
        <v>2999</v>
      </c>
      <c r="K869" s="1732"/>
      <c r="L869" s="6018">
        <v>43175</v>
      </c>
      <c r="W869" s="6018">
        <v>43150</v>
      </c>
      <c r="X869" s="6019">
        <v>43200</v>
      </c>
      <c r="Y869" s="6018">
        <v>0</v>
      </c>
      <c r="Z869" s="6018">
        <v>0</v>
      </c>
      <c r="AA869" s="6018">
        <v>998</v>
      </c>
      <c r="AB869" s="6019">
        <v>1746</v>
      </c>
      <c r="AC869" s="6018">
        <v>0</v>
      </c>
      <c r="AD869" s="6018">
        <v>788</v>
      </c>
      <c r="AE869" s="6018">
        <v>2251</v>
      </c>
      <c r="AF869" s="6019">
        <v>2999</v>
      </c>
    </row>
    <row r="870" spans="1:32" ht="13.5">
      <c r="A870" s="6018">
        <v>43200</v>
      </c>
      <c r="B870" s="6019">
        <v>43250</v>
      </c>
      <c r="C870" s="6020">
        <f t="shared" si="96"/>
        <v>0</v>
      </c>
      <c r="D870" s="6018">
        <f t="shared" si="97"/>
        <v>0</v>
      </c>
      <c r="E870" s="6018">
        <f t="shared" si="98"/>
        <v>988</v>
      </c>
      <c r="F870" s="6019">
        <v>1735</v>
      </c>
      <c r="G870" s="6020">
        <f t="shared" si="93"/>
        <v>0</v>
      </c>
      <c r="H870" s="6018">
        <f t="shared" si="94"/>
        <v>780</v>
      </c>
      <c r="I870" s="6018">
        <f t="shared" si="95"/>
        <v>2241</v>
      </c>
      <c r="J870" s="6019">
        <v>2988</v>
      </c>
      <c r="K870" s="1732"/>
      <c r="L870" s="6018">
        <v>43225</v>
      </c>
      <c r="W870" s="6018">
        <v>43200</v>
      </c>
      <c r="X870" s="6019">
        <v>43250</v>
      </c>
      <c r="Y870" s="6018">
        <v>0</v>
      </c>
      <c r="Z870" s="6018">
        <v>0</v>
      </c>
      <c r="AA870" s="6018">
        <v>988</v>
      </c>
      <c r="AB870" s="6019">
        <v>1735</v>
      </c>
      <c r="AC870" s="6018">
        <v>0</v>
      </c>
      <c r="AD870" s="6018">
        <v>780</v>
      </c>
      <c r="AE870" s="6018">
        <v>2241</v>
      </c>
      <c r="AF870" s="6019">
        <v>2988</v>
      </c>
    </row>
    <row r="871" spans="1:32" ht="13.5">
      <c r="A871" s="6018">
        <v>43250</v>
      </c>
      <c r="B871" s="6019">
        <v>43300</v>
      </c>
      <c r="C871" s="6020">
        <f t="shared" si="96"/>
        <v>0</v>
      </c>
      <c r="D871" s="6018">
        <f t="shared" si="97"/>
        <v>0</v>
      </c>
      <c r="E871" s="6018">
        <f t="shared" si="98"/>
        <v>977</v>
      </c>
      <c r="F871" s="6019">
        <v>1725</v>
      </c>
      <c r="G871" s="6020">
        <f t="shared" si="93"/>
        <v>0</v>
      </c>
      <c r="H871" s="6018">
        <f t="shared" si="94"/>
        <v>772</v>
      </c>
      <c r="I871" s="6018">
        <f t="shared" si="95"/>
        <v>2230</v>
      </c>
      <c r="J871" s="6019">
        <v>2978</v>
      </c>
      <c r="K871" s="1732"/>
      <c r="L871" s="6018">
        <v>43275</v>
      </c>
      <c r="W871" s="6018">
        <v>43250</v>
      </c>
      <c r="X871" s="6019">
        <v>43300</v>
      </c>
      <c r="Y871" s="6018">
        <v>0</v>
      </c>
      <c r="Z871" s="6018">
        <v>0</v>
      </c>
      <c r="AA871" s="6018">
        <v>977</v>
      </c>
      <c r="AB871" s="6019">
        <v>1725</v>
      </c>
      <c r="AC871" s="6018">
        <v>0</v>
      </c>
      <c r="AD871" s="6018">
        <v>772</v>
      </c>
      <c r="AE871" s="6018">
        <v>2230</v>
      </c>
      <c r="AF871" s="6019">
        <v>2978</v>
      </c>
    </row>
    <row r="872" spans="1:32" ht="13.5">
      <c r="A872" s="6018">
        <v>43300</v>
      </c>
      <c r="B872" s="6019">
        <v>43350</v>
      </c>
      <c r="C872" s="6020">
        <f t="shared" si="96"/>
        <v>0</v>
      </c>
      <c r="D872" s="6018">
        <f t="shared" si="97"/>
        <v>0</v>
      </c>
      <c r="E872" s="6018">
        <f t="shared" si="98"/>
        <v>967</v>
      </c>
      <c r="F872" s="6019">
        <v>1714</v>
      </c>
      <c r="G872" s="6020">
        <f t="shared" si="93"/>
        <v>0</v>
      </c>
      <c r="H872" s="6018">
        <f t="shared" si="94"/>
        <v>764</v>
      </c>
      <c r="I872" s="6018">
        <f t="shared" si="95"/>
        <v>2220</v>
      </c>
      <c r="J872" s="6019">
        <v>2967</v>
      </c>
      <c r="K872" s="1732"/>
      <c r="L872" s="6018">
        <v>43325</v>
      </c>
      <c r="W872" s="6018">
        <v>43300</v>
      </c>
      <c r="X872" s="6019">
        <v>43350</v>
      </c>
      <c r="Y872" s="6018">
        <v>0</v>
      </c>
      <c r="Z872" s="6018">
        <v>0</v>
      </c>
      <c r="AA872" s="6018">
        <v>967</v>
      </c>
      <c r="AB872" s="6019">
        <v>1714</v>
      </c>
      <c r="AC872" s="6018">
        <v>0</v>
      </c>
      <c r="AD872" s="6018">
        <v>764</v>
      </c>
      <c r="AE872" s="6018">
        <v>2220</v>
      </c>
      <c r="AF872" s="6019">
        <v>2967</v>
      </c>
    </row>
    <row r="873" spans="1:32" ht="13.5">
      <c r="A873" s="6018">
        <v>43350</v>
      </c>
      <c r="B873" s="6019">
        <v>43400</v>
      </c>
      <c r="C873" s="6020">
        <f t="shared" si="96"/>
        <v>0</v>
      </c>
      <c r="D873" s="6018">
        <f t="shared" si="97"/>
        <v>0</v>
      </c>
      <c r="E873" s="6018">
        <f t="shared" si="98"/>
        <v>956</v>
      </c>
      <c r="F873" s="6019">
        <v>1704</v>
      </c>
      <c r="G873" s="6020">
        <f t="shared" si="93"/>
        <v>0</v>
      </c>
      <c r="H873" s="6018">
        <f t="shared" si="94"/>
        <v>756</v>
      </c>
      <c r="I873" s="6018">
        <f t="shared" si="95"/>
        <v>2209</v>
      </c>
      <c r="J873" s="6019">
        <v>2957</v>
      </c>
      <c r="K873" s="1732"/>
      <c r="L873" s="6018">
        <v>43375</v>
      </c>
      <c r="W873" s="6018">
        <v>43350</v>
      </c>
      <c r="X873" s="6019">
        <v>43400</v>
      </c>
      <c r="Y873" s="6018">
        <v>0</v>
      </c>
      <c r="Z873" s="6018">
        <v>0</v>
      </c>
      <c r="AA873" s="6018">
        <v>956</v>
      </c>
      <c r="AB873" s="6019">
        <v>1704</v>
      </c>
      <c r="AC873" s="6018">
        <v>0</v>
      </c>
      <c r="AD873" s="6018">
        <v>756</v>
      </c>
      <c r="AE873" s="6018">
        <v>2209</v>
      </c>
      <c r="AF873" s="6019">
        <v>2957</v>
      </c>
    </row>
    <row r="874" spans="1:32" ht="13.5">
      <c r="A874" s="6018">
        <v>43400</v>
      </c>
      <c r="B874" s="6019">
        <v>43450</v>
      </c>
      <c r="C874" s="6020">
        <f t="shared" si="96"/>
        <v>0</v>
      </c>
      <c r="D874" s="6018">
        <f t="shared" si="97"/>
        <v>0</v>
      </c>
      <c r="E874" s="6018">
        <f t="shared" si="98"/>
        <v>946</v>
      </c>
      <c r="F874" s="6019">
        <v>1693</v>
      </c>
      <c r="G874" s="6020">
        <f t="shared" si="93"/>
        <v>0</v>
      </c>
      <c r="H874" s="6018">
        <f t="shared" si="94"/>
        <v>748</v>
      </c>
      <c r="I874" s="6018">
        <f t="shared" si="95"/>
        <v>2199</v>
      </c>
      <c r="J874" s="6019">
        <v>2946</v>
      </c>
      <c r="K874" s="1732"/>
      <c r="L874" s="6018">
        <v>43425</v>
      </c>
      <c r="W874" s="6018">
        <v>43400</v>
      </c>
      <c r="X874" s="6019">
        <v>43450</v>
      </c>
      <c r="Y874" s="6018">
        <v>0</v>
      </c>
      <c r="Z874" s="6018">
        <v>0</v>
      </c>
      <c r="AA874" s="6018">
        <v>946</v>
      </c>
      <c r="AB874" s="6019">
        <v>1693</v>
      </c>
      <c r="AC874" s="6018">
        <v>0</v>
      </c>
      <c r="AD874" s="6018">
        <v>748</v>
      </c>
      <c r="AE874" s="6018">
        <v>2199</v>
      </c>
      <c r="AF874" s="6019">
        <v>2946</v>
      </c>
    </row>
    <row r="875" spans="1:32" ht="13.5">
      <c r="A875" s="6018">
        <v>43450</v>
      </c>
      <c r="B875" s="6019">
        <v>43500</v>
      </c>
      <c r="C875" s="6020">
        <f t="shared" si="96"/>
        <v>0</v>
      </c>
      <c r="D875" s="6018">
        <f t="shared" si="97"/>
        <v>0</v>
      </c>
      <c r="E875" s="6018">
        <f t="shared" si="98"/>
        <v>935</v>
      </c>
      <c r="F875" s="6019">
        <v>1683</v>
      </c>
      <c r="G875" s="6020">
        <f t="shared" si="93"/>
        <v>0</v>
      </c>
      <c r="H875" s="6018">
        <f t="shared" si="94"/>
        <v>740</v>
      </c>
      <c r="I875" s="6018">
        <f t="shared" si="95"/>
        <v>2188</v>
      </c>
      <c r="J875" s="6019">
        <v>2936</v>
      </c>
      <c r="K875" s="1732"/>
      <c r="L875" s="6018">
        <v>43475</v>
      </c>
      <c r="W875" s="6018">
        <v>43450</v>
      </c>
      <c r="X875" s="6019">
        <v>43500</v>
      </c>
      <c r="Y875" s="6018">
        <v>0</v>
      </c>
      <c r="Z875" s="6018">
        <v>0</v>
      </c>
      <c r="AA875" s="6018">
        <v>935</v>
      </c>
      <c r="AB875" s="6019">
        <v>1683</v>
      </c>
      <c r="AC875" s="6018">
        <v>0</v>
      </c>
      <c r="AD875" s="6018">
        <v>740</v>
      </c>
      <c r="AE875" s="6018">
        <v>2188</v>
      </c>
      <c r="AF875" s="6019">
        <v>2936</v>
      </c>
    </row>
    <row r="876" spans="1:32" ht="13.5">
      <c r="A876" s="6018">
        <v>43500</v>
      </c>
      <c r="B876" s="6019">
        <v>43550</v>
      </c>
      <c r="C876" s="6020">
        <f t="shared" si="96"/>
        <v>0</v>
      </c>
      <c r="D876" s="6018">
        <f t="shared" si="97"/>
        <v>0</v>
      </c>
      <c r="E876" s="6018">
        <f t="shared" si="98"/>
        <v>925</v>
      </c>
      <c r="F876" s="6019">
        <v>1672</v>
      </c>
      <c r="G876" s="6020">
        <f t="shared" si="93"/>
        <v>0</v>
      </c>
      <c r="H876" s="6018">
        <f t="shared" si="94"/>
        <v>732</v>
      </c>
      <c r="I876" s="6018">
        <f t="shared" si="95"/>
        <v>2178</v>
      </c>
      <c r="J876" s="6019">
        <v>2925</v>
      </c>
      <c r="K876" s="1732"/>
      <c r="L876" s="6018">
        <v>43525</v>
      </c>
      <c r="W876" s="6018">
        <v>43500</v>
      </c>
      <c r="X876" s="6019">
        <v>43550</v>
      </c>
      <c r="Y876" s="6018">
        <v>0</v>
      </c>
      <c r="Z876" s="6018">
        <v>0</v>
      </c>
      <c r="AA876" s="6018">
        <v>925</v>
      </c>
      <c r="AB876" s="6019">
        <v>1672</v>
      </c>
      <c r="AC876" s="6018">
        <v>0</v>
      </c>
      <c r="AD876" s="6018">
        <v>732</v>
      </c>
      <c r="AE876" s="6018">
        <v>2178</v>
      </c>
      <c r="AF876" s="6019">
        <v>2925</v>
      </c>
    </row>
    <row r="877" spans="1:32" ht="13.5">
      <c r="A877" s="6018">
        <v>43550</v>
      </c>
      <c r="B877" s="6019">
        <v>43600</v>
      </c>
      <c r="C877" s="6020">
        <f t="shared" si="96"/>
        <v>0</v>
      </c>
      <c r="D877" s="6018">
        <f t="shared" si="97"/>
        <v>0</v>
      </c>
      <c r="E877" s="6018">
        <f t="shared" si="98"/>
        <v>914</v>
      </c>
      <c r="F877" s="6019">
        <v>1662</v>
      </c>
      <c r="G877" s="6020">
        <f t="shared" si="93"/>
        <v>0</v>
      </c>
      <c r="H877" s="6018">
        <f t="shared" si="94"/>
        <v>724</v>
      </c>
      <c r="I877" s="6018">
        <f t="shared" si="95"/>
        <v>2167</v>
      </c>
      <c r="J877" s="6019">
        <v>2915</v>
      </c>
      <c r="K877" s="1732"/>
      <c r="L877" s="6018">
        <v>43575</v>
      </c>
      <c r="W877" s="6018">
        <v>43550</v>
      </c>
      <c r="X877" s="6019">
        <v>43600</v>
      </c>
      <c r="Y877" s="6018">
        <v>0</v>
      </c>
      <c r="Z877" s="6018">
        <v>0</v>
      </c>
      <c r="AA877" s="6018">
        <v>914</v>
      </c>
      <c r="AB877" s="6019">
        <v>1662</v>
      </c>
      <c r="AC877" s="6018">
        <v>0</v>
      </c>
      <c r="AD877" s="6018">
        <v>724</v>
      </c>
      <c r="AE877" s="6018">
        <v>2167</v>
      </c>
      <c r="AF877" s="6019">
        <v>2915</v>
      </c>
    </row>
    <row r="878" spans="1:32" ht="13.5">
      <c r="A878" s="6018">
        <v>43600</v>
      </c>
      <c r="B878" s="6019">
        <v>43650</v>
      </c>
      <c r="C878" s="6020">
        <f t="shared" si="96"/>
        <v>0</v>
      </c>
      <c r="D878" s="6018">
        <f t="shared" si="97"/>
        <v>0</v>
      </c>
      <c r="E878" s="6018">
        <f t="shared" si="98"/>
        <v>903</v>
      </c>
      <c r="F878" s="6019">
        <v>1651</v>
      </c>
      <c r="G878" s="6020">
        <f t="shared" si="93"/>
        <v>0</v>
      </c>
      <c r="H878" s="6018">
        <f t="shared" si="94"/>
        <v>716</v>
      </c>
      <c r="I878" s="6018">
        <f t="shared" si="95"/>
        <v>2157</v>
      </c>
      <c r="J878" s="6019">
        <v>2904</v>
      </c>
      <c r="K878" s="1732"/>
      <c r="L878" s="6018">
        <v>43625</v>
      </c>
      <c r="W878" s="6018">
        <v>43600</v>
      </c>
      <c r="X878" s="6019">
        <v>43650</v>
      </c>
      <c r="Y878" s="6018">
        <v>0</v>
      </c>
      <c r="Z878" s="6018">
        <v>0</v>
      </c>
      <c r="AA878" s="6018">
        <v>903</v>
      </c>
      <c r="AB878" s="6019">
        <v>1651</v>
      </c>
      <c r="AC878" s="6018">
        <v>0</v>
      </c>
      <c r="AD878" s="6018">
        <v>716</v>
      </c>
      <c r="AE878" s="6018">
        <v>2157</v>
      </c>
      <c r="AF878" s="6019">
        <v>2904</v>
      </c>
    </row>
    <row r="879" spans="1:32" ht="13.5">
      <c r="A879" s="6018">
        <v>43650</v>
      </c>
      <c r="B879" s="6019">
        <v>43700</v>
      </c>
      <c r="C879" s="6020">
        <f t="shared" si="96"/>
        <v>0</v>
      </c>
      <c r="D879" s="6018">
        <f t="shared" si="97"/>
        <v>0</v>
      </c>
      <c r="E879" s="6018">
        <f t="shared" si="98"/>
        <v>893</v>
      </c>
      <c r="F879" s="6019">
        <v>1640</v>
      </c>
      <c r="G879" s="6020">
        <f t="shared" si="93"/>
        <v>0</v>
      </c>
      <c r="H879" s="6018">
        <f t="shared" si="94"/>
        <v>708</v>
      </c>
      <c r="I879" s="6018">
        <f t="shared" si="95"/>
        <v>2146</v>
      </c>
      <c r="J879" s="6019">
        <v>2894</v>
      </c>
      <c r="K879" s="1732"/>
      <c r="L879" s="6018">
        <v>43675</v>
      </c>
      <c r="W879" s="6018">
        <v>43650</v>
      </c>
      <c r="X879" s="6019">
        <v>43700</v>
      </c>
      <c r="Y879" s="6018">
        <v>0</v>
      </c>
      <c r="Z879" s="6018">
        <v>0</v>
      </c>
      <c r="AA879" s="6018">
        <v>893</v>
      </c>
      <c r="AB879" s="6019">
        <v>1640</v>
      </c>
      <c r="AC879" s="6018">
        <v>0</v>
      </c>
      <c r="AD879" s="6018">
        <v>708</v>
      </c>
      <c r="AE879" s="6018">
        <v>2146</v>
      </c>
      <c r="AF879" s="6019">
        <v>2894</v>
      </c>
    </row>
    <row r="880" spans="1:32" ht="13.5">
      <c r="A880" s="6018">
        <v>43700</v>
      </c>
      <c r="B880" s="6019">
        <v>43750</v>
      </c>
      <c r="C880" s="6020">
        <f t="shared" si="96"/>
        <v>0</v>
      </c>
      <c r="D880" s="6018">
        <f t="shared" si="97"/>
        <v>0</v>
      </c>
      <c r="E880" s="6018">
        <f t="shared" si="98"/>
        <v>882</v>
      </c>
      <c r="F880" s="6019">
        <v>1630</v>
      </c>
      <c r="G880" s="6020">
        <f t="shared" si="93"/>
        <v>0</v>
      </c>
      <c r="H880" s="6018">
        <f t="shared" si="94"/>
        <v>700</v>
      </c>
      <c r="I880" s="6018">
        <f t="shared" si="95"/>
        <v>2135</v>
      </c>
      <c r="J880" s="6019">
        <v>2883</v>
      </c>
      <c r="K880" s="1732"/>
      <c r="L880" s="6018">
        <v>43725</v>
      </c>
      <c r="W880" s="6018">
        <v>43700</v>
      </c>
      <c r="X880" s="6019">
        <v>43750</v>
      </c>
      <c r="Y880" s="6018">
        <v>0</v>
      </c>
      <c r="Z880" s="6018">
        <v>0</v>
      </c>
      <c r="AA880" s="6018">
        <v>882</v>
      </c>
      <c r="AB880" s="6019">
        <v>1630</v>
      </c>
      <c r="AC880" s="6018">
        <v>0</v>
      </c>
      <c r="AD880" s="6018">
        <v>700</v>
      </c>
      <c r="AE880" s="6018">
        <v>2135</v>
      </c>
      <c r="AF880" s="6019">
        <v>2883</v>
      </c>
    </row>
    <row r="881" spans="1:32" ht="13.5">
      <c r="A881" s="6018">
        <v>43750</v>
      </c>
      <c r="B881" s="6019">
        <v>43800</v>
      </c>
      <c r="C881" s="6020">
        <f t="shared" si="96"/>
        <v>0</v>
      </c>
      <c r="D881" s="6018">
        <f t="shared" si="97"/>
        <v>0</v>
      </c>
      <c r="E881" s="6018">
        <f t="shared" si="98"/>
        <v>872</v>
      </c>
      <c r="F881" s="6019">
        <v>1619</v>
      </c>
      <c r="G881" s="6020">
        <f t="shared" si="93"/>
        <v>0</v>
      </c>
      <c r="H881" s="6018">
        <f t="shared" si="94"/>
        <v>692</v>
      </c>
      <c r="I881" s="6018">
        <f t="shared" si="95"/>
        <v>2125</v>
      </c>
      <c r="J881" s="6019">
        <v>2872</v>
      </c>
      <c r="K881" s="1732"/>
      <c r="L881" s="6018">
        <v>43775</v>
      </c>
      <c r="W881" s="6018">
        <v>43750</v>
      </c>
      <c r="X881" s="6019">
        <v>43800</v>
      </c>
      <c r="Y881" s="6018">
        <v>0</v>
      </c>
      <c r="Z881" s="6018">
        <v>0</v>
      </c>
      <c r="AA881" s="6018">
        <v>872</v>
      </c>
      <c r="AB881" s="6019">
        <v>1619</v>
      </c>
      <c r="AC881" s="6018">
        <v>0</v>
      </c>
      <c r="AD881" s="6018">
        <v>692</v>
      </c>
      <c r="AE881" s="6018">
        <v>2125</v>
      </c>
      <c r="AF881" s="6019">
        <v>2872</v>
      </c>
    </row>
    <row r="882" spans="1:32" ht="13.5">
      <c r="A882" s="6018">
        <v>43800</v>
      </c>
      <c r="B882" s="6019">
        <v>43850</v>
      </c>
      <c r="C882" s="6020">
        <f t="shared" si="96"/>
        <v>0</v>
      </c>
      <c r="D882" s="6018">
        <f t="shared" si="97"/>
        <v>0</v>
      </c>
      <c r="E882" s="6018">
        <f t="shared" si="98"/>
        <v>861</v>
      </c>
      <c r="F882" s="6019">
        <v>1609</v>
      </c>
      <c r="G882" s="6020">
        <f t="shared" si="93"/>
        <v>0</v>
      </c>
      <c r="H882" s="6018">
        <v>684</v>
      </c>
      <c r="I882" s="6018">
        <f t="shared" si="95"/>
        <v>2114</v>
      </c>
      <c r="J882" s="6019">
        <v>2862</v>
      </c>
      <c r="K882" s="1732"/>
      <c r="L882" s="6018">
        <v>43825</v>
      </c>
      <c r="W882" s="6018">
        <v>43800</v>
      </c>
      <c r="X882" s="6019">
        <v>43850</v>
      </c>
      <c r="Y882" s="6018">
        <v>0</v>
      </c>
      <c r="Z882" s="6018">
        <v>0</v>
      </c>
      <c r="AA882" s="6018">
        <v>861</v>
      </c>
      <c r="AB882" s="6019">
        <v>1609</v>
      </c>
      <c r="AC882" s="6018">
        <v>0</v>
      </c>
      <c r="AD882" s="6018">
        <v>684</v>
      </c>
      <c r="AE882" s="6018">
        <v>2114</v>
      </c>
      <c r="AF882" s="6019">
        <v>2862</v>
      </c>
    </row>
    <row r="883" spans="1:32" ht="13.5">
      <c r="A883" s="6018">
        <v>43850</v>
      </c>
      <c r="B883" s="6019">
        <v>43900</v>
      </c>
      <c r="C883" s="6020">
        <f t="shared" si="96"/>
        <v>0</v>
      </c>
      <c r="D883" s="6018">
        <f t="shared" si="97"/>
        <v>0</v>
      </c>
      <c r="E883" s="6018">
        <f t="shared" si="98"/>
        <v>851</v>
      </c>
      <c r="F883" s="6019">
        <v>1598</v>
      </c>
      <c r="G883" s="6020">
        <f t="shared" si="93"/>
        <v>0</v>
      </c>
      <c r="H883" s="6018">
        <v>676</v>
      </c>
      <c r="I883" s="6018">
        <f t="shared" si="95"/>
        <v>2104</v>
      </c>
      <c r="J883" s="6019">
        <v>2851</v>
      </c>
      <c r="K883" s="1732"/>
      <c r="L883" s="6018">
        <v>43875</v>
      </c>
      <c r="W883" s="6018">
        <v>43850</v>
      </c>
      <c r="X883" s="6019">
        <v>43900</v>
      </c>
      <c r="Y883" s="6018">
        <v>0</v>
      </c>
      <c r="Z883" s="6018">
        <v>0</v>
      </c>
      <c r="AA883" s="6018">
        <v>851</v>
      </c>
      <c r="AB883" s="6019">
        <v>1598</v>
      </c>
      <c r="AC883" s="6018">
        <v>0</v>
      </c>
      <c r="AD883" s="6018">
        <v>676</v>
      </c>
      <c r="AE883" s="6018">
        <v>2104</v>
      </c>
      <c r="AF883" s="6019">
        <v>2851</v>
      </c>
    </row>
    <row r="884" spans="1:32" ht="13.5">
      <c r="A884" s="6018">
        <v>43900</v>
      </c>
      <c r="B884" s="6019">
        <v>43950</v>
      </c>
      <c r="C884" s="6020">
        <f t="shared" si="96"/>
        <v>0</v>
      </c>
      <c r="D884" s="6018">
        <f t="shared" si="97"/>
        <v>0</v>
      </c>
      <c r="E884" s="6018">
        <f t="shared" si="98"/>
        <v>840</v>
      </c>
      <c r="F884" s="6019">
        <v>1588</v>
      </c>
      <c r="G884" s="6020">
        <f t="shared" si="93"/>
        <v>0</v>
      </c>
      <c r="H884" s="6018">
        <v>668</v>
      </c>
      <c r="I884" s="6018">
        <f t="shared" si="95"/>
        <v>2093</v>
      </c>
      <c r="J884" s="6019">
        <v>2841</v>
      </c>
      <c r="K884" s="1732"/>
      <c r="L884" s="6018">
        <v>43925</v>
      </c>
      <c r="W884" s="6018">
        <v>43900</v>
      </c>
      <c r="X884" s="6019">
        <v>43950</v>
      </c>
      <c r="Y884" s="6018">
        <v>0</v>
      </c>
      <c r="Z884" s="6018">
        <v>0</v>
      </c>
      <c r="AA884" s="6018">
        <v>840</v>
      </c>
      <c r="AB884" s="6019">
        <v>1588</v>
      </c>
      <c r="AC884" s="6018">
        <v>0</v>
      </c>
      <c r="AD884" s="6018">
        <v>668</v>
      </c>
      <c r="AE884" s="6018">
        <v>2093</v>
      </c>
      <c r="AF884" s="6019">
        <v>2841</v>
      </c>
    </row>
    <row r="885" spans="1:32" ht="13.5">
      <c r="A885" s="6018">
        <v>43950</v>
      </c>
      <c r="B885" s="6019">
        <v>44000</v>
      </c>
      <c r="C885" s="6020">
        <f t="shared" si="96"/>
        <v>0</v>
      </c>
      <c r="D885" s="6018">
        <f t="shared" si="97"/>
        <v>0</v>
      </c>
      <c r="E885" s="6018">
        <f t="shared" si="98"/>
        <v>830</v>
      </c>
      <c r="F885" s="6019">
        <v>1577</v>
      </c>
      <c r="G885" s="6020">
        <f t="shared" si="93"/>
        <v>0</v>
      </c>
      <c r="H885" s="6018">
        <f t="shared" si="94"/>
        <v>661</v>
      </c>
      <c r="I885" s="6018">
        <f t="shared" si="95"/>
        <v>2083</v>
      </c>
      <c r="J885" s="6019">
        <v>2830</v>
      </c>
      <c r="K885" s="1732"/>
      <c r="L885" s="6018">
        <v>43975</v>
      </c>
      <c r="W885" s="6018">
        <v>43950</v>
      </c>
      <c r="X885" s="6019">
        <v>44000</v>
      </c>
      <c r="Y885" s="6018">
        <v>0</v>
      </c>
      <c r="Z885" s="6018">
        <v>0</v>
      </c>
      <c r="AA885" s="6018">
        <v>830</v>
      </c>
      <c r="AB885" s="6019">
        <v>1577</v>
      </c>
      <c r="AC885" s="6018">
        <v>0</v>
      </c>
      <c r="AD885" s="6018">
        <v>661</v>
      </c>
      <c r="AE885" s="6018">
        <v>2083</v>
      </c>
      <c r="AF885" s="6019">
        <v>2830</v>
      </c>
    </row>
    <row r="886" spans="1:32" ht="13.5">
      <c r="A886" s="6018">
        <v>44000</v>
      </c>
      <c r="B886" s="6019">
        <v>44050</v>
      </c>
      <c r="C886" s="6020">
        <f t="shared" si="96"/>
        <v>0</v>
      </c>
      <c r="D886" s="6018">
        <f t="shared" si="97"/>
        <v>0</v>
      </c>
      <c r="E886" s="6018">
        <f t="shared" si="98"/>
        <v>819</v>
      </c>
      <c r="F886" s="6019">
        <v>1567</v>
      </c>
      <c r="G886" s="6020">
        <f t="shared" si="93"/>
        <v>0</v>
      </c>
      <c r="H886" s="6018">
        <f t="shared" si="94"/>
        <v>653</v>
      </c>
      <c r="I886" s="6018">
        <f t="shared" si="95"/>
        <v>2072</v>
      </c>
      <c r="J886" s="6019">
        <v>2820</v>
      </c>
      <c r="K886" s="1732"/>
      <c r="L886" s="6018">
        <v>44025</v>
      </c>
      <c r="W886" s="6018">
        <v>44000</v>
      </c>
      <c r="X886" s="6019">
        <v>44050</v>
      </c>
      <c r="Y886" s="6018">
        <v>0</v>
      </c>
      <c r="Z886" s="6018">
        <v>0</v>
      </c>
      <c r="AA886" s="6018">
        <v>819</v>
      </c>
      <c r="AB886" s="6019">
        <v>1567</v>
      </c>
      <c r="AC886" s="6018">
        <v>0</v>
      </c>
      <c r="AD886" s="6018">
        <v>653</v>
      </c>
      <c r="AE886" s="6018">
        <v>2072</v>
      </c>
      <c r="AF886" s="6019">
        <v>2820</v>
      </c>
    </row>
    <row r="887" spans="1:32" ht="13.5">
      <c r="A887" s="6018">
        <v>44050</v>
      </c>
      <c r="B887" s="6019">
        <v>44100</v>
      </c>
      <c r="C887" s="6020">
        <f t="shared" si="96"/>
        <v>0</v>
      </c>
      <c r="D887" s="6018">
        <f t="shared" si="97"/>
        <v>0</v>
      </c>
      <c r="E887" s="6018">
        <f t="shared" si="98"/>
        <v>809</v>
      </c>
      <c r="F887" s="6019">
        <v>1556</v>
      </c>
      <c r="G887" s="6020">
        <f t="shared" si="93"/>
        <v>0</v>
      </c>
      <c r="H887" s="6018">
        <f t="shared" si="94"/>
        <v>645</v>
      </c>
      <c r="I887" s="6018">
        <f t="shared" si="95"/>
        <v>2062</v>
      </c>
      <c r="J887" s="6019">
        <v>2809</v>
      </c>
      <c r="K887" s="1732"/>
      <c r="L887" s="6018">
        <v>44075</v>
      </c>
      <c r="W887" s="6018">
        <v>44050</v>
      </c>
      <c r="X887" s="6019">
        <v>44100</v>
      </c>
      <c r="Y887" s="6018">
        <v>0</v>
      </c>
      <c r="Z887" s="6018">
        <v>0</v>
      </c>
      <c r="AA887" s="6018">
        <v>809</v>
      </c>
      <c r="AB887" s="6019">
        <v>1556</v>
      </c>
      <c r="AC887" s="6018">
        <v>0</v>
      </c>
      <c r="AD887" s="6018">
        <v>645</v>
      </c>
      <c r="AE887" s="6018">
        <v>2062</v>
      </c>
      <c r="AF887" s="6019">
        <v>2809</v>
      </c>
    </row>
    <row r="888" spans="1:32" ht="13.5">
      <c r="A888" s="6018">
        <v>44100</v>
      </c>
      <c r="B888" s="6019">
        <v>44150</v>
      </c>
      <c r="C888" s="6020">
        <f t="shared" si="96"/>
        <v>0</v>
      </c>
      <c r="D888" s="6018">
        <f t="shared" si="97"/>
        <v>0</v>
      </c>
      <c r="E888" s="6018">
        <f t="shared" si="98"/>
        <v>798</v>
      </c>
      <c r="F888" s="6019">
        <v>1546</v>
      </c>
      <c r="G888" s="6020">
        <f t="shared" si="93"/>
        <v>0</v>
      </c>
      <c r="H888" s="6018">
        <f t="shared" si="94"/>
        <v>637</v>
      </c>
      <c r="I888" s="6018">
        <f t="shared" si="95"/>
        <v>2051</v>
      </c>
      <c r="J888" s="6019">
        <v>2799</v>
      </c>
      <c r="K888" s="1732"/>
      <c r="L888" s="6018">
        <v>44125</v>
      </c>
      <c r="W888" s="6018">
        <v>44100</v>
      </c>
      <c r="X888" s="6019">
        <v>44150</v>
      </c>
      <c r="Y888" s="6018">
        <v>0</v>
      </c>
      <c r="Z888" s="6018">
        <v>0</v>
      </c>
      <c r="AA888" s="6018">
        <v>798</v>
      </c>
      <c r="AB888" s="6019">
        <v>1546</v>
      </c>
      <c r="AC888" s="6018">
        <v>0</v>
      </c>
      <c r="AD888" s="6018">
        <v>637</v>
      </c>
      <c r="AE888" s="6018">
        <v>2051</v>
      </c>
      <c r="AF888" s="6019">
        <v>2799</v>
      </c>
    </row>
    <row r="889" spans="1:32" ht="13.5">
      <c r="A889" s="6018">
        <v>44150</v>
      </c>
      <c r="B889" s="6019">
        <v>44200</v>
      </c>
      <c r="C889" s="6020">
        <f t="shared" si="96"/>
        <v>0</v>
      </c>
      <c r="D889" s="6018">
        <f t="shared" si="97"/>
        <v>0</v>
      </c>
      <c r="E889" s="6018">
        <f t="shared" si="98"/>
        <v>788</v>
      </c>
      <c r="F889" s="6019">
        <v>1535</v>
      </c>
      <c r="G889" s="6020">
        <f t="shared" si="93"/>
        <v>0</v>
      </c>
      <c r="H889" s="6018">
        <f t="shared" si="94"/>
        <v>629</v>
      </c>
      <c r="I889" s="6018">
        <f t="shared" si="95"/>
        <v>2041</v>
      </c>
      <c r="J889" s="6019">
        <v>2788</v>
      </c>
      <c r="K889" s="1732"/>
      <c r="L889" s="6018">
        <v>44175</v>
      </c>
      <c r="W889" s="6018">
        <v>44150</v>
      </c>
      <c r="X889" s="6019">
        <v>44200</v>
      </c>
      <c r="Y889" s="6018">
        <v>0</v>
      </c>
      <c r="Z889" s="6018">
        <v>0</v>
      </c>
      <c r="AA889" s="6018">
        <v>788</v>
      </c>
      <c r="AB889" s="6019">
        <v>1535</v>
      </c>
      <c r="AC889" s="6018">
        <v>0</v>
      </c>
      <c r="AD889" s="6018">
        <v>629</v>
      </c>
      <c r="AE889" s="6018">
        <v>2041</v>
      </c>
      <c r="AF889" s="6019">
        <v>2788</v>
      </c>
    </row>
    <row r="890" spans="1:32" ht="13.5">
      <c r="A890" s="6018">
        <v>44200</v>
      </c>
      <c r="B890" s="6019">
        <v>44250</v>
      </c>
      <c r="C890" s="6020">
        <f t="shared" si="96"/>
        <v>0</v>
      </c>
      <c r="D890" s="6018">
        <f t="shared" si="97"/>
        <v>0</v>
      </c>
      <c r="E890" s="6018">
        <f t="shared" si="98"/>
        <v>777</v>
      </c>
      <c r="F890" s="6019">
        <v>1525</v>
      </c>
      <c r="G890" s="6020">
        <f t="shared" si="93"/>
        <v>0</v>
      </c>
      <c r="H890" s="6018">
        <f t="shared" si="94"/>
        <v>621</v>
      </c>
      <c r="I890" s="6018">
        <f t="shared" si="95"/>
        <v>2030</v>
      </c>
      <c r="J890" s="6019">
        <v>2778</v>
      </c>
      <c r="K890" s="1732"/>
      <c r="L890" s="6018">
        <v>44225</v>
      </c>
      <c r="W890" s="6018">
        <v>44200</v>
      </c>
      <c r="X890" s="6019">
        <v>44250</v>
      </c>
      <c r="Y890" s="6018">
        <v>0</v>
      </c>
      <c r="Z890" s="6018">
        <v>0</v>
      </c>
      <c r="AA890" s="6018">
        <v>777</v>
      </c>
      <c r="AB890" s="6019">
        <v>1525</v>
      </c>
      <c r="AC890" s="6018">
        <v>0</v>
      </c>
      <c r="AD890" s="6018">
        <v>621</v>
      </c>
      <c r="AE890" s="6018">
        <v>2030</v>
      </c>
      <c r="AF890" s="6019">
        <v>2778</v>
      </c>
    </row>
    <row r="891" spans="1:32" ht="13.5">
      <c r="A891" s="6018">
        <v>44250</v>
      </c>
      <c r="B891" s="6019">
        <v>44300</v>
      </c>
      <c r="C891" s="6020">
        <f t="shared" si="96"/>
        <v>0</v>
      </c>
      <c r="D891" s="6018">
        <f t="shared" si="97"/>
        <v>0</v>
      </c>
      <c r="E891" s="6018">
        <f t="shared" si="98"/>
        <v>767</v>
      </c>
      <c r="F891" s="6019">
        <v>1514</v>
      </c>
      <c r="G891" s="6020">
        <f t="shared" si="93"/>
        <v>0</v>
      </c>
      <c r="H891" s="6018">
        <f t="shared" si="94"/>
        <v>613</v>
      </c>
      <c r="I891" s="6018">
        <f t="shared" si="95"/>
        <v>2020</v>
      </c>
      <c r="J891" s="6019">
        <v>2767</v>
      </c>
      <c r="K891" s="1732"/>
      <c r="L891" s="6018">
        <v>44275</v>
      </c>
      <c r="W891" s="6018">
        <v>44250</v>
      </c>
      <c r="X891" s="6019">
        <v>44300</v>
      </c>
      <c r="Y891" s="6018">
        <v>0</v>
      </c>
      <c r="Z891" s="6018">
        <v>0</v>
      </c>
      <c r="AA891" s="6018">
        <v>767</v>
      </c>
      <c r="AB891" s="6019">
        <v>1514</v>
      </c>
      <c r="AC891" s="6018">
        <v>0</v>
      </c>
      <c r="AD891" s="6018">
        <v>613</v>
      </c>
      <c r="AE891" s="6018">
        <v>2020</v>
      </c>
      <c r="AF891" s="6019">
        <v>2767</v>
      </c>
    </row>
    <row r="892" spans="1:32" ht="13.5">
      <c r="A892" s="6018">
        <v>44300</v>
      </c>
      <c r="B892" s="6019">
        <v>44350</v>
      </c>
      <c r="C892" s="6020">
        <f t="shared" si="96"/>
        <v>0</v>
      </c>
      <c r="D892" s="6018">
        <f t="shared" si="97"/>
        <v>0</v>
      </c>
      <c r="E892" s="6018">
        <f t="shared" si="98"/>
        <v>756</v>
      </c>
      <c r="F892" s="6019">
        <v>1504</v>
      </c>
      <c r="G892" s="6020">
        <f t="shared" si="93"/>
        <v>0</v>
      </c>
      <c r="H892" s="6018">
        <f t="shared" si="94"/>
        <v>605</v>
      </c>
      <c r="I892" s="6018">
        <f t="shared" si="95"/>
        <v>2009</v>
      </c>
      <c r="J892" s="6019">
        <v>2757</v>
      </c>
      <c r="K892" s="1732"/>
      <c r="L892" s="6018">
        <v>44325</v>
      </c>
      <c r="W892" s="6018">
        <v>44300</v>
      </c>
      <c r="X892" s="6019">
        <v>44350</v>
      </c>
      <c r="Y892" s="6018">
        <v>0</v>
      </c>
      <c r="Z892" s="6018">
        <v>0</v>
      </c>
      <c r="AA892" s="6018">
        <v>756</v>
      </c>
      <c r="AB892" s="6019">
        <v>1504</v>
      </c>
      <c r="AC892" s="6018">
        <v>0</v>
      </c>
      <c r="AD892" s="6018">
        <v>605</v>
      </c>
      <c r="AE892" s="6018">
        <v>2009</v>
      </c>
      <c r="AF892" s="6019">
        <v>2757</v>
      </c>
    </row>
    <row r="893" spans="1:32" ht="13.5">
      <c r="A893" s="6018">
        <v>44350</v>
      </c>
      <c r="B893" s="6019">
        <v>44400</v>
      </c>
      <c r="C893" s="6020">
        <f t="shared" si="96"/>
        <v>0</v>
      </c>
      <c r="D893" s="6018">
        <f t="shared" si="97"/>
        <v>0</v>
      </c>
      <c r="E893" s="6018">
        <f t="shared" si="98"/>
        <v>746</v>
      </c>
      <c r="F893" s="6019">
        <v>1493</v>
      </c>
      <c r="G893" s="6020">
        <f t="shared" si="93"/>
        <v>0</v>
      </c>
      <c r="H893" s="6018">
        <f t="shared" si="94"/>
        <v>597</v>
      </c>
      <c r="I893" s="6018">
        <f t="shared" si="95"/>
        <v>1999</v>
      </c>
      <c r="J893" s="6019">
        <v>2746</v>
      </c>
      <c r="K893" s="1732"/>
      <c r="L893" s="6018">
        <v>44375</v>
      </c>
      <c r="W893" s="6018">
        <v>44350</v>
      </c>
      <c r="X893" s="6019">
        <v>44400</v>
      </c>
      <c r="Y893" s="6018">
        <v>0</v>
      </c>
      <c r="Z893" s="6018">
        <v>0</v>
      </c>
      <c r="AA893" s="6018">
        <v>746</v>
      </c>
      <c r="AB893" s="6019">
        <v>1493</v>
      </c>
      <c r="AC893" s="6018">
        <v>0</v>
      </c>
      <c r="AD893" s="6018">
        <v>597</v>
      </c>
      <c r="AE893" s="6018">
        <v>1999</v>
      </c>
      <c r="AF893" s="6019">
        <v>2746</v>
      </c>
    </row>
    <row r="894" spans="1:32" ht="13.5">
      <c r="A894" s="6018">
        <v>44400</v>
      </c>
      <c r="B894" s="6019">
        <v>44450</v>
      </c>
      <c r="C894" s="6020">
        <f t="shared" si="96"/>
        <v>0</v>
      </c>
      <c r="D894" s="6018">
        <f t="shared" si="97"/>
        <v>0</v>
      </c>
      <c r="E894" s="6018">
        <f t="shared" si="98"/>
        <v>735</v>
      </c>
      <c r="F894" s="6019">
        <v>1483</v>
      </c>
      <c r="G894" s="6020">
        <f t="shared" si="93"/>
        <v>0</v>
      </c>
      <c r="H894" s="6018">
        <f t="shared" si="94"/>
        <v>589</v>
      </c>
      <c r="I894" s="6018">
        <f t="shared" si="95"/>
        <v>1988</v>
      </c>
      <c r="J894" s="6019">
        <v>2736</v>
      </c>
      <c r="K894" s="1732"/>
      <c r="L894" s="6018">
        <v>44425</v>
      </c>
      <c r="W894" s="6018">
        <v>44400</v>
      </c>
      <c r="X894" s="6019">
        <v>44450</v>
      </c>
      <c r="Y894" s="6018">
        <v>0</v>
      </c>
      <c r="Z894" s="6018">
        <v>0</v>
      </c>
      <c r="AA894" s="6018">
        <v>735</v>
      </c>
      <c r="AB894" s="6019">
        <v>1483</v>
      </c>
      <c r="AC894" s="6018">
        <v>0</v>
      </c>
      <c r="AD894" s="6018">
        <v>589</v>
      </c>
      <c r="AE894" s="6018">
        <v>1988</v>
      </c>
      <c r="AF894" s="6019">
        <v>2736</v>
      </c>
    </row>
    <row r="895" spans="1:32" ht="13.5">
      <c r="A895" s="6018">
        <v>44450</v>
      </c>
      <c r="B895" s="6019">
        <v>44500</v>
      </c>
      <c r="C895" s="6020">
        <f t="shared" si="96"/>
        <v>0</v>
      </c>
      <c r="D895" s="6018">
        <f t="shared" si="97"/>
        <v>0</v>
      </c>
      <c r="E895" s="6018">
        <f t="shared" si="98"/>
        <v>724</v>
      </c>
      <c r="F895" s="6019">
        <v>1472</v>
      </c>
      <c r="G895" s="6020">
        <f t="shared" si="93"/>
        <v>0</v>
      </c>
      <c r="H895" s="6018">
        <f t="shared" si="94"/>
        <v>581</v>
      </c>
      <c r="I895" s="6018">
        <f t="shared" si="95"/>
        <v>1978</v>
      </c>
      <c r="J895" s="6019">
        <v>2725</v>
      </c>
      <c r="K895" s="1732"/>
      <c r="L895" s="6018">
        <v>44475</v>
      </c>
      <c r="W895" s="6018">
        <v>44450</v>
      </c>
      <c r="X895" s="6019">
        <v>44500</v>
      </c>
      <c r="Y895" s="6018">
        <v>0</v>
      </c>
      <c r="Z895" s="6018">
        <v>0</v>
      </c>
      <c r="AA895" s="6018">
        <v>724</v>
      </c>
      <c r="AB895" s="6019">
        <v>1472</v>
      </c>
      <c r="AC895" s="6018">
        <v>0</v>
      </c>
      <c r="AD895" s="6018">
        <v>581</v>
      </c>
      <c r="AE895" s="6018">
        <v>1978</v>
      </c>
      <c r="AF895" s="6019">
        <v>2725</v>
      </c>
    </row>
    <row r="896" spans="1:32" ht="13.5">
      <c r="A896" s="6018">
        <v>44500</v>
      </c>
      <c r="B896" s="6019">
        <v>44550</v>
      </c>
      <c r="C896" s="6020">
        <f t="shared" si="96"/>
        <v>0</v>
      </c>
      <c r="D896" s="6018">
        <f t="shared" si="97"/>
        <v>0</v>
      </c>
      <c r="E896" s="6018">
        <f t="shared" si="98"/>
        <v>714</v>
      </c>
      <c r="F896" s="6019">
        <v>1461</v>
      </c>
      <c r="G896" s="6020">
        <f t="shared" si="93"/>
        <v>0</v>
      </c>
      <c r="H896" s="6018">
        <f t="shared" si="94"/>
        <v>573</v>
      </c>
      <c r="I896" s="6018">
        <f t="shared" si="95"/>
        <v>1967</v>
      </c>
      <c r="J896" s="6019">
        <v>2715</v>
      </c>
      <c r="K896" s="1732"/>
      <c r="L896" s="6018">
        <v>44525</v>
      </c>
      <c r="W896" s="6018">
        <v>44500</v>
      </c>
      <c r="X896" s="6019">
        <v>44550</v>
      </c>
      <c r="Y896" s="6018">
        <v>0</v>
      </c>
      <c r="Z896" s="6018">
        <v>0</v>
      </c>
      <c r="AA896" s="6018">
        <v>714</v>
      </c>
      <c r="AB896" s="6019">
        <v>1461</v>
      </c>
      <c r="AC896" s="6018">
        <v>0</v>
      </c>
      <c r="AD896" s="6018">
        <v>573</v>
      </c>
      <c r="AE896" s="6018">
        <v>1967</v>
      </c>
      <c r="AF896" s="6019">
        <v>2715</v>
      </c>
    </row>
    <row r="897" spans="1:32" ht="13.5">
      <c r="A897" s="6018">
        <v>44550</v>
      </c>
      <c r="B897" s="6019">
        <v>44600</v>
      </c>
      <c r="C897" s="6020">
        <f t="shared" si="96"/>
        <v>0</v>
      </c>
      <c r="D897" s="6018">
        <f t="shared" si="97"/>
        <v>0</v>
      </c>
      <c r="E897" s="6018">
        <f t="shared" si="98"/>
        <v>703</v>
      </c>
      <c r="F897" s="6019">
        <v>1451</v>
      </c>
      <c r="G897" s="6020">
        <f t="shared" si="93"/>
        <v>0</v>
      </c>
      <c r="H897" s="6018">
        <f t="shared" si="94"/>
        <v>565</v>
      </c>
      <c r="I897" s="6018">
        <f t="shared" si="95"/>
        <v>1956</v>
      </c>
      <c r="J897" s="6019">
        <v>2704</v>
      </c>
      <c r="K897" s="1732"/>
      <c r="L897" s="6018">
        <v>44575</v>
      </c>
      <c r="W897" s="6018">
        <v>44550</v>
      </c>
      <c r="X897" s="6019">
        <v>44600</v>
      </c>
      <c r="Y897" s="6018">
        <v>0</v>
      </c>
      <c r="Z897" s="6018">
        <v>0</v>
      </c>
      <c r="AA897" s="6018">
        <v>703</v>
      </c>
      <c r="AB897" s="6019">
        <v>1451</v>
      </c>
      <c r="AC897" s="6018">
        <v>0</v>
      </c>
      <c r="AD897" s="6018">
        <v>565</v>
      </c>
      <c r="AE897" s="6018">
        <v>1956</v>
      </c>
      <c r="AF897" s="6019">
        <v>2704</v>
      </c>
    </row>
    <row r="898" spans="1:32" ht="13.5">
      <c r="A898" s="6018">
        <v>44600</v>
      </c>
      <c r="B898" s="6019">
        <v>44650</v>
      </c>
      <c r="C898" s="6020">
        <f t="shared" si="96"/>
        <v>0</v>
      </c>
      <c r="D898" s="6018">
        <f t="shared" si="97"/>
        <v>0</v>
      </c>
      <c r="E898" s="6018">
        <f t="shared" si="98"/>
        <v>693</v>
      </c>
      <c r="F898" s="6019">
        <v>1440</v>
      </c>
      <c r="G898" s="6020">
        <f t="shared" si="93"/>
        <v>0</v>
      </c>
      <c r="H898" s="6018">
        <f t="shared" si="94"/>
        <v>557</v>
      </c>
      <c r="I898" s="6018">
        <f t="shared" si="95"/>
        <v>1946</v>
      </c>
      <c r="J898" s="6019">
        <v>2693</v>
      </c>
      <c r="K898" s="1732"/>
      <c r="L898" s="6018">
        <v>44625</v>
      </c>
      <c r="W898" s="6018">
        <v>44600</v>
      </c>
      <c r="X898" s="6019">
        <v>44650</v>
      </c>
      <c r="Y898" s="6018">
        <v>0</v>
      </c>
      <c r="Z898" s="6018">
        <v>0</v>
      </c>
      <c r="AA898" s="6018">
        <v>693</v>
      </c>
      <c r="AB898" s="6019">
        <v>1440</v>
      </c>
      <c r="AC898" s="6018">
        <v>0</v>
      </c>
      <c r="AD898" s="6018">
        <v>557</v>
      </c>
      <c r="AE898" s="6018">
        <v>1946</v>
      </c>
      <c r="AF898" s="6019">
        <v>2693</v>
      </c>
    </row>
    <row r="899" spans="1:32" ht="13.5">
      <c r="A899" s="6018">
        <v>44650</v>
      </c>
      <c r="B899" s="6019">
        <v>44700</v>
      </c>
      <c r="C899" s="6020">
        <f t="shared" si="96"/>
        <v>0</v>
      </c>
      <c r="D899" s="6018">
        <f t="shared" si="97"/>
        <v>0</v>
      </c>
      <c r="E899" s="6018">
        <f t="shared" si="98"/>
        <v>682</v>
      </c>
      <c r="F899" s="6019">
        <v>1430</v>
      </c>
      <c r="G899" s="6020">
        <f t="shared" si="93"/>
        <v>0</v>
      </c>
      <c r="H899" s="6018">
        <f t="shared" si="94"/>
        <v>549</v>
      </c>
      <c r="I899" s="6018">
        <f t="shared" si="95"/>
        <v>1935</v>
      </c>
      <c r="J899" s="6019">
        <v>2683</v>
      </c>
      <c r="K899" s="1732"/>
      <c r="L899" s="6018">
        <v>44675</v>
      </c>
      <c r="W899" s="6018">
        <v>44650</v>
      </c>
      <c r="X899" s="6019">
        <v>44700</v>
      </c>
      <c r="Y899" s="6018">
        <v>0</v>
      </c>
      <c r="Z899" s="6018">
        <v>0</v>
      </c>
      <c r="AA899" s="6018">
        <v>682</v>
      </c>
      <c r="AB899" s="6019">
        <v>1430</v>
      </c>
      <c r="AC899" s="6018">
        <v>0</v>
      </c>
      <c r="AD899" s="6018">
        <v>549</v>
      </c>
      <c r="AE899" s="6018">
        <v>1935</v>
      </c>
      <c r="AF899" s="6019">
        <v>2683</v>
      </c>
    </row>
    <row r="900" spans="1:32" ht="13.5">
      <c r="A900" s="6018">
        <v>44700</v>
      </c>
      <c r="B900" s="6019">
        <v>44750</v>
      </c>
      <c r="C900" s="6020">
        <f t="shared" si="96"/>
        <v>0</v>
      </c>
      <c r="D900" s="6018">
        <f t="shared" si="97"/>
        <v>0</v>
      </c>
      <c r="E900" s="6018">
        <f t="shared" si="98"/>
        <v>672</v>
      </c>
      <c r="F900" s="6019">
        <v>1419</v>
      </c>
      <c r="G900" s="6020">
        <f t="shared" ref="G900:G963" si="99">IF($L900&gt;R$5,MAX(0,R$3+ROUND((R$9*($L900-R$5)),0)),IF($L900&gt;R$4,R$3,ROUND($L900*R$7,0)))</f>
        <v>0</v>
      </c>
      <c r="H900" s="6018">
        <f t="shared" ref="H900:H963" si="100">IF($L900&gt;S$5,MAX(0,S$3+ROUND((S$9*($L900-S$5)),0)),IF($L900&gt;S$4,S$3,ROUND($L900*S$7,0)))</f>
        <v>541</v>
      </c>
      <c r="I900" s="6018">
        <f t="shared" ref="I900:I963" si="101">IF($L900&gt;T$5,MAX(0,T$3+ROUND((T$9*($L900-T$5)),0)),IF($L900&gt;T$4,T$3,ROUND($L900*T$7,0)))</f>
        <v>1925</v>
      </c>
      <c r="J900" s="6019">
        <v>2672</v>
      </c>
      <c r="K900" s="1732"/>
      <c r="L900" s="6018">
        <v>44725</v>
      </c>
      <c r="W900" s="6018">
        <v>44700</v>
      </c>
      <c r="X900" s="6019">
        <v>44750</v>
      </c>
      <c r="Y900" s="6018">
        <v>0</v>
      </c>
      <c r="Z900" s="6018">
        <v>0</v>
      </c>
      <c r="AA900" s="6018">
        <v>672</v>
      </c>
      <c r="AB900" s="6019">
        <v>1419</v>
      </c>
      <c r="AC900" s="6018">
        <v>0</v>
      </c>
      <c r="AD900" s="6018">
        <v>541</v>
      </c>
      <c r="AE900" s="6018">
        <v>1925</v>
      </c>
      <c r="AF900" s="6019">
        <v>2672</v>
      </c>
    </row>
    <row r="901" spans="1:32" ht="13.5">
      <c r="A901" s="6018">
        <v>44750</v>
      </c>
      <c r="B901" s="6019">
        <v>44800</v>
      </c>
      <c r="C901" s="6020">
        <f t="shared" si="96"/>
        <v>0</v>
      </c>
      <c r="D901" s="6018">
        <f t="shared" si="97"/>
        <v>0</v>
      </c>
      <c r="E901" s="6018">
        <f t="shared" si="98"/>
        <v>661</v>
      </c>
      <c r="F901" s="6019">
        <v>1409</v>
      </c>
      <c r="G901" s="6020">
        <f t="shared" si="99"/>
        <v>0</v>
      </c>
      <c r="H901" s="6018">
        <f t="shared" si="100"/>
        <v>533</v>
      </c>
      <c r="I901" s="6018">
        <f t="shared" si="101"/>
        <v>1914</v>
      </c>
      <c r="J901" s="6019">
        <v>2662</v>
      </c>
      <c r="K901" s="1732"/>
      <c r="L901" s="6018">
        <v>44775</v>
      </c>
      <c r="W901" s="6018">
        <v>44750</v>
      </c>
      <c r="X901" s="6019">
        <v>44800</v>
      </c>
      <c r="Y901" s="6018">
        <v>0</v>
      </c>
      <c r="Z901" s="6018">
        <v>0</v>
      </c>
      <c r="AA901" s="6018">
        <v>661</v>
      </c>
      <c r="AB901" s="6019">
        <v>1409</v>
      </c>
      <c r="AC901" s="6018">
        <v>0</v>
      </c>
      <c r="AD901" s="6018">
        <v>533</v>
      </c>
      <c r="AE901" s="6018">
        <v>1914</v>
      </c>
      <c r="AF901" s="6019">
        <v>2662</v>
      </c>
    </row>
    <row r="902" spans="1:32" ht="13.5">
      <c r="A902" s="6018">
        <v>44800</v>
      </c>
      <c r="B902" s="6019">
        <v>44850</v>
      </c>
      <c r="C902" s="6020">
        <f t="shared" ref="C902:C965" si="102">IF($L902&gt;N$5,MAX(0,N$3+ROUND((N$9*($L902-N$5)),0)),IF($L902&gt;N$4,N$3,ROUND($L902*N$7,0)))</f>
        <v>0</v>
      </c>
      <c r="D902" s="6018">
        <f t="shared" ref="D902:D965" si="103">IF($L902&gt;O$5,MAX(0,O$3+ROUND((O$9*($L902-O$5)),0)),IF($L902&gt;O$4,O$3,ROUND($L902*O$7,0)))</f>
        <v>0</v>
      </c>
      <c r="E902" s="6018">
        <f t="shared" ref="E902:E965" si="104">IF($L902&gt;P$5,MAX(0,P$3+ROUND((P$9*($L902-P$5)),0)),IF($L902&gt;P$4,P$3,ROUND($L902*P$7,0)))</f>
        <v>651</v>
      </c>
      <c r="F902" s="6019">
        <v>1398</v>
      </c>
      <c r="G902" s="6020">
        <f t="shared" si="99"/>
        <v>0</v>
      </c>
      <c r="H902" s="6018">
        <f t="shared" si="100"/>
        <v>525</v>
      </c>
      <c r="I902" s="6018">
        <f t="shared" si="101"/>
        <v>1904</v>
      </c>
      <c r="J902" s="6019">
        <v>2651</v>
      </c>
      <c r="K902" s="1732"/>
      <c r="L902" s="6018">
        <v>44825</v>
      </c>
      <c r="W902" s="6018">
        <v>44800</v>
      </c>
      <c r="X902" s="6019">
        <v>44850</v>
      </c>
      <c r="Y902" s="6018">
        <v>0</v>
      </c>
      <c r="Z902" s="6018">
        <v>0</v>
      </c>
      <c r="AA902" s="6018">
        <v>651</v>
      </c>
      <c r="AB902" s="6019">
        <v>1398</v>
      </c>
      <c r="AC902" s="6018">
        <v>0</v>
      </c>
      <c r="AD902" s="6018">
        <v>525</v>
      </c>
      <c r="AE902" s="6018">
        <v>1904</v>
      </c>
      <c r="AF902" s="6019">
        <v>2651</v>
      </c>
    </row>
    <row r="903" spans="1:32" ht="13.5">
      <c r="A903" s="6018">
        <v>44850</v>
      </c>
      <c r="B903" s="6019">
        <v>44900</v>
      </c>
      <c r="C903" s="6020">
        <f t="shared" si="102"/>
        <v>0</v>
      </c>
      <c r="D903" s="6018">
        <f t="shared" si="103"/>
        <v>0</v>
      </c>
      <c r="E903" s="6018">
        <f t="shared" si="104"/>
        <v>640</v>
      </c>
      <c r="F903" s="6019">
        <v>1388</v>
      </c>
      <c r="G903" s="6020">
        <f t="shared" si="99"/>
        <v>0</v>
      </c>
      <c r="H903" s="6018">
        <f t="shared" si="100"/>
        <v>517</v>
      </c>
      <c r="I903" s="6018">
        <f t="shared" si="101"/>
        <v>1893</v>
      </c>
      <c r="J903" s="6019">
        <v>2641</v>
      </c>
      <c r="K903" s="1732"/>
      <c r="L903" s="6018">
        <v>44875</v>
      </c>
      <c r="W903" s="6018">
        <v>44850</v>
      </c>
      <c r="X903" s="6019">
        <v>44900</v>
      </c>
      <c r="Y903" s="6018">
        <v>0</v>
      </c>
      <c r="Z903" s="6018">
        <v>0</v>
      </c>
      <c r="AA903" s="6018">
        <v>640</v>
      </c>
      <c r="AB903" s="6019">
        <v>1388</v>
      </c>
      <c r="AC903" s="6018">
        <v>0</v>
      </c>
      <c r="AD903" s="6018">
        <v>517</v>
      </c>
      <c r="AE903" s="6018">
        <v>1893</v>
      </c>
      <c r="AF903" s="6019">
        <v>2641</v>
      </c>
    </row>
    <row r="904" spans="1:32" ht="13.5">
      <c r="A904" s="6018">
        <v>44900</v>
      </c>
      <c r="B904" s="6019">
        <v>44950</v>
      </c>
      <c r="C904" s="6020">
        <f t="shared" si="102"/>
        <v>0</v>
      </c>
      <c r="D904" s="6018">
        <f t="shared" si="103"/>
        <v>0</v>
      </c>
      <c r="E904" s="6018">
        <f t="shared" si="104"/>
        <v>630</v>
      </c>
      <c r="F904" s="6019">
        <v>1377</v>
      </c>
      <c r="G904" s="6020">
        <f t="shared" si="99"/>
        <v>0</v>
      </c>
      <c r="H904" s="6018">
        <f t="shared" si="100"/>
        <v>509</v>
      </c>
      <c r="I904" s="6018">
        <f t="shared" si="101"/>
        <v>1883</v>
      </c>
      <c r="J904" s="6019">
        <v>2630</v>
      </c>
      <c r="K904" s="1732"/>
      <c r="L904" s="6018">
        <v>44925</v>
      </c>
      <c r="W904" s="6018">
        <v>44900</v>
      </c>
      <c r="X904" s="6019">
        <v>44950</v>
      </c>
      <c r="Y904" s="6018">
        <v>0</v>
      </c>
      <c r="Z904" s="6018">
        <v>0</v>
      </c>
      <c r="AA904" s="6018">
        <v>630</v>
      </c>
      <c r="AB904" s="6019">
        <v>1377</v>
      </c>
      <c r="AC904" s="6018">
        <v>0</v>
      </c>
      <c r="AD904" s="6018">
        <v>509</v>
      </c>
      <c r="AE904" s="6018">
        <v>1883</v>
      </c>
      <c r="AF904" s="6019">
        <v>2630</v>
      </c>
    </row>
    <row r="905" spans="1:32" ht="13.5">
      <c r="A905" s="6018">
        <v>44950</v>
      </c>
      <c r="B905" s="6019">
        <v>45000</v>
      </c>
      <c r="C905" s="6020">
        <f t="shared" si="102"/>
        <v>0</v>
      </c>
      <c r="D905" s="6018">
        <f t="shared" si="103"/>
        <v>0</v>
      </c>
      <c r="E905" s="6018">
        <f t="shared" si="104"/>
        <v>619</v>
      </c>
      <c r="F905" s="6019">
        <v>1367</v>
      </c>
      <c r="G905" s="6020">
        <f t="shared" si="99"/>
        <v>0</v>
      </c>
      <c r="H905" s="6018">
        <f t="shared" si="100"/>
        <v>501</v>
      </c>
      <c r="I905" s="6018">
        <f t="shared" si="101"/>
        <v>1872</v>
      </c>
      <c r="J905" s="6019">
        <v>2620</v>
      </c>
      <c r="K905" s="1732"/>
      <c r="L905" s="6018">
        <v>44975</v>
      </c>
      <c r="W905" s="6018">
        <v>44950</v>
      </c>
      <c r="X905" s="6019">
        <v>45000</v>
      </c>
      <c r="Y905" s="6018">
        <v>0</v>
      </c>
      <c r="Z905" s="6018">
        <v>0</v>
      </c>
      <c r="AA905" s="6018">
        <v>619</v>
      </c>
      <c r="AB905" s="6019">
        <v>1367</v>
      </c>
      <c r="AC905" s="6018">
        <v>0</v>
      </c>
      <c r="AD905" s="6018">
        <v>501</v>
      </c>
      <c r="AE905" s="6018">
        <v>1872</v>
      </c>
      <c r="AF905" s="6019">
        <v>2620</v>
      </c>
    </row>
    <row r="906" spans="1:32" ht="13.5">
      <c r="A906" s="6018">
        <v>45000</v>
      </c>
      <c r="B906" s="6019">
        <v>45050</v>
      </c>
      <c r="C906" s="6020">
        <f t="shared" si="102"/>
        <v>0</v>
      </c>
      <c r="D906" s="6018">
        <f t="shared" si="103"/>
        <v>0</v>
      </c>
      <c r="E906" s="6018">
        <f t="shared" si="104"/>
        <v>609</v>
      </c>
      <c r="F906" s="6019">
        <v>1356</v>
      </c>
      <c r="G906" s="6020">
        <f t="shared" si="99"/>
        <v>0</v>
      </c>
      <c r="H906" s="6018">
        <f t="shared" si="100"/>
        <v>493</v>
      </c>
      <c r="I906" s="6018">
        <f t="shared" si="101"/>
        <v>1862</v>
      </c>
      <c r="J906" s="6019">
        <v>2609</v>
      </c>
      <c r="K906" s="1732"/>
      <c r="L906" s="6018">
        <v>45025</v>
      </c>
      <c r="W906" s="6018">
        <v>45000</v>
      </c>
      <c r="X906" s="6019">
        <v>45050</v>
      </c>
      <c r="Y906" s="6018">
        <v>0</v>
      </c>
      <c r="Z906" s="6018">
        <v>0</v>
      </c>
      <c r="AA906" s="6018">
        <v>609</v>
      </c>
      <c r="AB906" s="6019">
        <v>1356</v>
      </c>
      <c r="AC906" s="6018">
        <v>0</v>
      </c>
      <c r="AD906" s="6018">
        <v>493</v>
      </c>
      <c r="AE906" s="6018">
        <v>1862</v>
      </c>
      <c r="AF906" s="6019">
        <v>2609</v>
      </c>
    </row>
    <row r="907" spans="1:32" ht="13.5">
      <c r="A907" s="6018">
        <v>45050</v>
      </c>
      <c r="B907" s="6019">
        <v>45100</v>
      </c>
      <c r="C907" s="6020">
        <f t="shared" si="102"/>
        <v>0</v>
      </c>
      <c r="D907" s="6018">
        <f t="shared" si="103"/>
        <v>0</v>
      </c>
      <c r="E907" s="6018">
        <f t="shared" si="104"/>
        <v>598</v>
      </c>
      <c r="F907" s="6019">
        <v>1346</v>
      </c>
      <c r="G907" s="6020">
        <f t="shared" si="99"/>
        <v>0</v>
      </c>
      <c r="H907" s="6018">
        <f t="shared" si="100"/>
        <v>485</v>
      </c>
      <c r="I907" s="6018">
        <f t="shared" si="101"/>
        <v>1851</v>
      </c>
      <c r="J907" s="6019">
        <v>2599</v>
      </c>
      <c r="K907" s="1732"/>
      <c r="L907" s="6018">
        <v>45075</v>
      </c>
      <c r="W907" s="6018">
        <v>45050</v>
      </c>
      <c r="X907" s="6019">
        <v>45100</v>
      </c>
      <c r="Y907" s="6018">
        <v>0</v>
      </c>
      <c r="Z907" s="6018">
        <v>0</v>
      </c>
      <c r="AA907" s="6018">
        <v>598</v>
      </c>
      <c r="AB907" s="6019">
        <v>1346</v>
      </c>
      <c r="AC907" s="6018">
        <v>0</v>
      </c>
      <c r="AD907" s="6018">
        <v>485</v>
      </c>
      <c r="AE907" s="6018">
        <v>1851</v>
      </c>
      <c r="AF907" s="6019">
        <v>2599</v>
      </c>
    </row>
    <row r="908" spans="1:32" ht="13.5">
      <c r="A908" s="6018">
        <v>45100</v>
      </c>
      <c r="B908" s="6019">
        <v>45150</v>
      </c>
      <c r="C908" s="6020">
        <f t="shared" si="102"/>
        <v>0</v>
      </c>
      <c r="D908" s="6018">
        <f t="shared" si="103"/>
        <v>0</v>
      </c>
      <c r="E908" s="6018">
        <f t="shared" si="104"/>
        <v>588</v>
      </c>
      <c r="F908" s="6019">
        <v>1335</v>
      </c>
      <c r="G908" s="6020">
        <f t="shared" si="99"/>
        <v>0</v>
      </c>
      <c r="H908" s="6018">
        <f t="shared" si="100"/>
        <v>477</v>
      </c>
      <c r="I908" s="6018">
        <f t="shared" si="101"/>
        <v>1841</v>
      </c>
      <c r="J908" s="6019">
        <v>2588</v>
      </c>
      <c r="K908" s="1732"/>
      <c r="L908" s="6018">
        <v>45125</v>
      </c>
      <c r="W908" s="6018">
        <v>45100</v>
      </c>
      <c r="X908" s="6019">
        <v>45150</v>
      </c>
      <c r="Y908" s="6018">
        <v>0</v>
      </c>
      <c r="Z908" s="6018">
        <v>0</v>
      </c>
      <c r="AA908" s="6018">
        <v>588</v>
      </c>
      <c r="AB908" s="6019">
        <v>1335</v>
      </c>
      <c r="AC908" s="6018">
        <v>0</v>
      </c>
      <c r="AD908" s="6018">
        <v>477</v>
      </c>
      <c r="AE908" s="6018">
        <v>1841</v>
      </c>
      <c r="AF908" s="6019">
        <v>2588</v>
      </c>
    </row>
    <row r="909" spans="1:32" ht="13.5">
      <c r="A909" s="6018">
        <v>45150</v>
      </c>
      <c r="B909" s="6019">
        <v>45200</v>
      </c>
      <c r="C909" s="6020">
        <f t="shared" si="102"/>
        <v>0</v>
      </c>
      <c r="D909" s="6018">
        <f t="shared" si="103"/>
        <v>0</v>
      </c>
      <c r="E909" s="6018">
        <f t="shared" si="104"/>
        <v>577</v>
      </c>
      <c r="F909" s="6019">
        <v>1325</v>
      </c>
      <c r="G909" s="6020">
        <f t="shared" si="99"/>
        <v>0</v>
      </c>
      <c r="H909" s="6018">
        <f t="shared" si="100"/>
        <v>469</v>
      </c>
      <c r="I909" s="6018">
        <f t="shared" si="101"/>
        <v>1830</v>
      </c>
      <c r="J909" s="6019">
        <v>2578</v>
      </c>
      <c r="K909" s="1732"/>
      <c r="L909" s="6018">
        <v>45175</v>
      </c>
      <c r="W909" s="6018">
        <v>45150</v>
      </c>
      <c r="X909" s="6019">
        <v>45200</v>
      </c>
      <c r="Y909" s="6018">
        <v>0</v>
      </c>
      <c r="Z909" s="6018">
        <v>0</v>
      </c>
      <c r="AA909" s="6018">
        <v>577</v>
      </c>
      <c r="AB909" s="6019">
        <v>1325</v>
      </c>
      <c r="AC909" s="6018">
        <v>0</v>
      </c>
      <c r="AD909" s="6018">
        <v>469</v>
      </c>
      <c r="AE909" s="6018">
        <v>1830</v>
      </c>
      <c r="AF909" s="6019">
        <v>2578</v>
      </c>
    </row>
    <row r="910" spans="1:32" ht="13.5">
      <c r="A910" s="6018">
        <v>45200</v>
      </c>
      <c r="B910" s="6019">
        <v>45250</v>
      </c>
      <c r="C910" s="6020">
        <f t="shared" si="102"/>
        <v>0</v>
      </c>
      <c r="D910" s="6018">
        <f t="shared" si="103"/>
        <v>0</v>
      </c>
      <c r="E910" s="6018">
        <f t="shared" si="104"/>
        <v>567</v>
      </c>
      <c r="F910" s="6019">
        <v>1314</v>
      </c>
      <c r="G910" s="6020">
        <f t="shared" si="99"/>
        <v>0</v>
      </c>
      <c r="H910" s="6018">
        <f t="shared" si="100"/>
        <v>461</v>
      </c>
      <c r="I910" s="6018">
        <f t="shared" si="101"/>
        <v>1820</v>
      </c>
      <c r="J910" s="6019">
        <v>2567</v>
      </c>
      <c r="K910" s="1732"/>
      <c r="L910" s="6018">
        <v>45225</v>
      </c>
      <c r="W910" s="6018">
        <v>45200</v>
      </c>
      <c r="X910" s="6019">
        <v>45250</v>
      </c>
      <c r="Y910" s="6018">
        <v>0</v>
      </c>
      <c r="Z910" s="6018">
        <v>0</v>
      </c>
      <c r="AA910" s="6018">
        <v>567</v>
      </c>
      <c r="AB910" s="6019">
        <v>1314</v>
      </c>
      <c r="AC910" s="6018">
        <v>0</v>
      </c>
      <c r="AD910" s="6018">
        <v>461</v>
      </c>
      <c r="AE910" s="6018">
        <v>1820</v>
      </c>
      <c r="AF910" s="6019">
        <v>2567</v>
      </c>
    </row>
    <row r="911" spans="1:32" ht="13.5">
      <c r="A911" s="6018">
        <v>45250</v>
      </c>
      <c r="B911" s="6019">
        <v>45300</v>
      </c>
      <c r="C911" s="6020">
        <f t="shared" si="102"/>
        <v>0</v>
      </c>
      <c r="D911" s="6018">
        <f t="shared" si="103"/>
        <v>0</v>
      </c>
      <c r="E911" s="6018">
        <f t="shared" si="104"/>
        <v>556</v>
      </c>
      <c r="F911" s="6019">
        <v>1303</v>
      </c>
      <c r="G911" s="6020">
        <f t="shared" si="99"/>
        <v>0</v>
      </c>
      <c r="H911" s="6018">
        <f t="shared" si="100"/>
        <v>453</v>
      </c>
      <c r="I911" s="6018">
        <f t="shared" si="101"/>
        <v>1809</v>
      </c>
      <c r="J911" s="6019">
        <v>2557</v>
      </c>
      <c r="K911" s="1732"/>
      <c r="L911" s="6018">
        <v>45275</v>
      </c>
      <c r="W911" s="6018">
        <v>45250</v>
      </c>
      <c r="X911" s="6019">
        <v>45300</v>
      </c>
      <c r="Y911" s="6018">
        <v>0</v>
      </c>
      <c r="Z911" s="6018">
        <v>0</v>
      </c>
      <c r="AA911" s="6018">
        <v>556</v>
      </c>
      <c r="AB911" s="6019">
        <v>1303</v>
      </c>
      <c r="AC911" s="6018">
        <v>0</v>
      </c>
      <c r="AD911" s="6018">
        <v>453</v>
      </c>
      <c r="AE911" s="6018">
        <v>1809</v>
      </c>
      <c r="AF911" s="6019">
        <v>2557</v>
      </c>
    </row>
    <row r="912" spans="1:32" ht="13.5">
      <c r="A912" s="6018">
        <v>45300</v>
      </c>
      <c r="B912" s="6019">
        <v>45350</v>
      </c>
      <c r="C912" s="6020">
        <f t="shared" si="102"/>
        <v>0</v>
      </c>
      <c r="D912" s="6018">
        <f t="shared" si="103"/>
        <v>0</v>
      </c>
      <c r="E912" s="6018">
        <f t="shared" si="104"/>
        <v>545</v>
      </c>
      <c r="F912" s="6019">
        <v>1293</v>
      </c>
      <c r="G912" s="6020">
        <f t="shared" si="99"/>
        <v>0</v>
      </c>
      <c r="H912" s="6018">
        <f t="shared" si="100"/>
        <v>445</v>
      </c>
      <c r="I912" s="6018">
        <f t="shared" si="101"/>
        <v>1799</v>
      </c>
      <c r="J912" s="6019">
        <v>2546</v>
      </c>
      <c r="K912" s="1732"/>
      <c r="L912" s="6018">
        <v>45325</v>
      </c>
      <c r="W912" s="6018">
        <v>45300</v>
      </c>
      <c r="X912" s="6019">
        <v>45350</v>
      </c>
      <c r="Y912" s="6018">
        <v>0</v>
      </c>
      <c r="Z912" s="6018">
        <v>0</v>
      </c>
      <c r="AA912" s="6018">
        <v>545</v>
      </c>
      <c r="AB912" s="6019">
        <v>1293</v>
      </c>
      <c r="AC912" s="6018">
        <v>0</v>
      </c>
      <c r="AD912" s="6018">
        <v>445</v>
      </c>
      <c r="AE912" s="6018">
        <v>1799</v>
      </c>
      <c r="AF912" s="6019">
        <v>2546</v>
      </c>
    </row>
    <row r="913" spans="1:32" ht="13.5">
      <c r="A913" s="6018">
        <v>45350</v>
      </c>
      <c r="B913" s="6019">
        <v>45400</v>
      </c>
      <c r="C913" s="6020">
        <f t="shared" si="102"/>
        <v>0</v>
      </c>
      <c r="D913" s="6018">
        <f t="shared" si="103"/>
        <v>0</v>
      </c>
      <c r="E913" s="6018">
        <f t="shared" si="104"/>
        <v>535</v>
      </c>
      <c r="F913" s="6019">
        <v>1282</v>
      </c>
      <c r="G913" s="6020">
        <f t="shared" si="99"/>
        <v>0</v>
      </c>
      <c r="H913" s="6018">
        <f t="shared" si="100"/>
        <v>437</v>
      </c>
      <c r="I913" s="6018">
        <f t="shared" si="101"/>
        <v>1788</v>
      </c>
      <c r="J913" s="6019">
        <v>2536</v>
      </c>
      <c r="K913" s="1732"/>
      <c r="L913" s="6018">
        <v>45375</v>
      </c>
      <c r="W913" s="6018">
        <v>45350</v>
      </c>
      <c r="X913" s="6019">
        <v>45400</v>
      </c>
      <c r="Y913" s="6018">
        <v>0</v>
      </c>
      <c r="Z913" s="6018">
        <v>0</v>
      </c>
      <c r="AA913" s="6018">
        <v>535</v>
      </c>
      <c r="AB913" s="6019">
        <v>1282</v>
      </c>
      <c r="AC913" s="6018">
        <v>0</v>
      </c>
      <c r="AD913" s="6018">
        <v>437</v>
      </c>
      <c r="AE913" s="6018">
        <v>1788</v>
      </c>
      <c r="AF913" s="6019">
        <v>2536</v>
      </c>
    </row>
    <row r="914" spans="1:32" ht="13.5">
      <c r="A914" s="6018">
        <v>45400</v>
      </c>
      <c r="B914" s="6019">
        <v>45450</v>
      </c>
      <c r="C914" s="6020">
        <f t="shared" si="102"/>
        <v>0</v>
      </c>
      <c r="D914" s="6018">
        <f t="shared" si="103"/>
        <v>0</v>
      </c>
      <c r="E914" s="6018">
        <f t="shared" si="104"/>
        <v>524</v>
      </c>
      <c r="F914" s="6019">
        <v>1272</v>
      </c>
      <c r="G914" s="6020">
        <f t="shared" si="99"/>
        <v>0</v>
      </c>
      <c r="H914" s="6018">
        <f t="shared" si="100"/>
        <v>429</v>
      </c>
      <c r="I914" s="6018">
        <f t="shared" si="101"/>
        <v>1777</v>
      </c>
      <c r="J914" s="6019">
        <v>2525</v>
      </c>
      <c r="K914" s="1732"/>
      <c r="L914" s="6018">
        <v>45425</v>
      </c>
      <c r="W914" s="6018">
        <v>45400</v>
      </c>
      <c r="X914" s="6019">
        <v>45450</v>
      </c>
      <c r="Y914" s="6018">
        <v>0</v>
      </c>
      <c r="Z914" s="6018">
        <v>0</v>
      </c>
      <c r="AA914" s="6018">
        <v>524</v>
      </c>
      <c r="AB914" s="6019">
        <v>1272</v>
      </c>
      <c r="AC914" s="6018">
        <v>0</v>
      </c>
      <c r="AD914" s="6018">
        <v>429</v>
      </c>
      <c r="AE914" s="6018">
        <v>1777</v>
      </c>
      <c r="AF914" s="6019">
        <v>2525</v>
      </c>
    </row>
    <row r="915" spans="1:32" ht="13.5">
      <c r="A915" s="6018">
        <v>45450</v>
      </c>
      <c r="B915" s="6019">
        <v>45500</v>
      </c>
      <c r="C915" s="6020">
        <f t="shared" si="102"/>
        <v>0</v>
      </c>
      <c r="D915" s="6018">
        <f t="shared" si="103"/>
        <v>0</v>
      </c>
      <c r="E915" s="6018">
        <f t="shared" si="104"/>
        <v>514</v>
      </c>
      <c r="F915" s="6019">
        <v>1261</v>
      </c>
      <c r="G915" s="6020">
        <f t="shared" si="99"/>
        <v>0</v>
      </c>
      <c r="H915" s="6018">
        <f t="shared" si="100"/>
        <v>421</v>
      </c>
      <c r="I915" s="6018">
        <f t="shared" si="101"/>
        <v>1767</v>
      </c>
      <c r="J915" s="6019">
        <v>2514</v>
      </c>
      <c r="K915" s="1732"/>
      <c r="L915" s="6018">
        <v>45475</v>
      </c>
      <c r="W915" s="6018">
        <v>45450</v>
      </c>
      <c r="X915" s="6019">
        <v>45500</v>
      </c>
      <c r="Y915" s="6018">
        <v>0</v>
      </c>
      <c r="Z915" s="6018">
        <v>0</v>
      </c>
      <c r="AA915" s="6018">
        <v>514</v>
      </c>
      <c r="AB915" s="6019">
        <v>1261</v>
      </c>
      <c r="AC915" s="6018">
        <v>0</v>
      </c>
      <c r="AD915" s="6018">
        <v>421</v>
      </c>
      <c r="AE915" s="6018">
        <v>1767</v>
      </c>
      <c r="AF915" s="6019">
        <v>2514</v>
      </c>
    </row>
    <row r="916" spans="1:32" ht="13.5">
      <c r="A916" s="6018">
        <v>45500</v>
      </c>
      <c r="B916" s="6019">
        <v>45550</v>
      </c>
      <c r="C916" s="6020">
        <f t="shared" si="102"/>
        <v>0</v>
      </c>
      <c r="D916" s="6018">
        <f t="shared" si="103"/>
        <v>0</v>
      </c>
      <c r="E916" s="6018">
        <f t="shared" si="104"/>
        <v>503</v>
      </c>
      <c r="F916" s="6019">
        <v>1251</v>
      </c>
      <c r="G916" s="6020">
        <f t="shared" si="99"/>
        <v>0</v>
      </c>
      <c r="H916" s="6018">
        <f t="shared" si="100"/>
        <v>413</v>
      </c>
      <c r="I916" s="6018">
        <f t="shared" si="101"/>
        <v>1756</v>
      </c>
      <c r="J916" s="6019">
        <v>2504</v>
      </c>
      <c r="K916" s="1732"/>
      <c r="L916" s="6018">
        <v>45525</v>
      </c>
      <c r="W916" s="6018">
        <v>45500</v>
      </c>
      <c r="X916" s="6019">
        <v>45550</v>
      </c>
      <c r="Y916" s="6018">
        <v>0</v>
      </c>
      <c r="Z916" s="6018">
        <v>0</v>
      </c>
      <c r="AA916" s="6018">
        <v>503</v>
      </c>
      <c r="AB916" s="6019">
        <v>1251</v>
      </c>
      <c r="AC916" s="6018">
        <v>0</v>
      </c>
      <c r="AD916" s="6018">
        <v>413</v>
      </c>
      <c r="AE916" s="6018">
        <v>1756</v>
      </c>
      <c r="AF916" s="6019">
        <v>2504</v>
      </c>
    </row>
    <row r="917" spans="1:32" ht="13.5">
      <c r="A917" s="6018">
        <v>45550</v>
      </c>
      <c r="B917" s="6019">
        <v>45600</v>
      </c>
      <c r="C917" s="6020">
        <f t="shared" si="102"/>
        <v>0</v>
      </c>
      <c r="D917" s="6018">
        <f t="shared" si="103"/>
        <v>0</v>
      </c>
      <c r="E917" s="6018">
        <f t="shared" si="104"/>
        <v>493</v>
      </c>
      <c r="F917" s="6019">
        <v>1240</v>
      </c>
      <c r="G917" s="6020">
        <f t="shared" si="99"/>
        <v>0</v>
      </c>
      <c r="H917" s="6018">
        <f t="shared" si="100"/>
        <v>405</v>
      </c>
      <c r="I917" s="6018">
        <f t="shared" si="101"/>
        <v>1746</v>
      </c>
      <c r="J917" s="6019">
        <v>2493</v>
      </c>
      <c r="K917" s="1732"/>
      <c r="L917" s="6018">
        <v>45575</v>
      </c>
      <c r="W917" s="6018">
        <v>45550</v>
      </c>
      <c r="X917" s="6019">
        <v>45600</v>
      </c>
      <c r="Y917" s="6018">
        <v>0</v>
      </c>
      <c r="Z917" s="6018">
        <v>0</v>
      </c>
      <c r="AA917" s="6018">
        <v>493</v>
      </c>
      <c r="AB917" s="6019">
        <v>1240</v>
      </c>
      <c r="AC917" s="6018">
        <v>0</v>
      </c>
      <c r="AD917" s="6018">
        <v>405</v>
      </c>
      <c r="AE917" s="6018">
        <v>1746</v>
      </c>
      <c r="AF917" s="6019">
        <v>2493</v>
      </c>
    </row>
    <row r="918" spans="1:32" ht="13.5">
      <c r="A918" s="6018">
        <v>45600</v>
      </c>
      <c r="B918" s="6019">
        <v>45650</v>
      </c>
      <c r="C918" s="6020">
        <f t="shared" si="102"/>
        <v>0</v>
      </c>
      <c r="D918" s="6018">
        <f t="shared" si="103"/>
        <v>0</v>
      </c>
      <c r="E918" s="6018">
        <f t="shared" si="104"/>
        <v>482</v>
      </c>
      <c r="F918" s="6019">
        <v>1230</v>
      </c>
      <c r="G918" s="6020">
        <f t="shared" si="99"/>
        <v>0</v>
      </c>
      <c r="H918" s="6018">
        <f t="shared" si="100"/>
        <v>397</v>
      </c>
      <c r="I918" s="6018">
        <f t="shared" si="101"/>
        <v>1735</v>
      </c>
      <c r="J918" s="6019">
        <v>2483</v>
      </c>
      <c r="K918" s="1732"/>
      <c r="L918" s="6018">
        <v>45625</v>
      </c>
      <c r="W918" s="6018">
        <v>45600</v>
      </c>
      <c r="X918" s="6019">
        <v>45650</v>
      </c>
      <c r="Y918" s="6018">
        <v>0</v>
      </c>
      <c r="Z918" s="6018">
        <v>0</v>
      </c>
      <c r="AA918" s="6018">
        <v>482</v>
      </c>
      <c r="AB918" s="6019">
        <v>1230</v>
      </c>
      <c r="AC918" s="6018">
        <v>0</v>
      </c>
      <c r="AD918" s="6018">
        <v>397</v>
      </c>
      <c r="AE918" s="6018">
        <v>1735</v>
      </c>
      <c r="AF918" s="6019">
        <v>2483</v>
      </c>
    </row>
    <row r="919" spans="1:32" ht="13.5">
      <c r="A919" s="6018">
        <v>45650</v>
      </c>
      <c r="B919" s="6019">
        <v>45700</v>
      </c>
      <c r="C919" s="6020">
        <f t="shared" si="102"/>
        <v>0</v>
      </c>
      <c r="D919" s="6018">
        <f t="shared" si="103"/>
        <v>0</v>
      </c>
      <c r="E919" s="6018">
        <f t="shared" si="104"/>
        <v>472</v>
      </c>
      <c r="F919" s="6019">
        <v>1219</v>
      </c>
      <c r="G919" s="6020">
        <f t="shared" si="99"/>
        <v>0</v>
      </c>
      <c r="H919" s="6018">
        <f t="shared" si="100"/>
        <v>389</v>
      </c>
      <c r="I919" s="6018">
        <f t="shared" si="101"/>
        <v>1725</v>
      </c>
      <c r="J919" s="6019">
        <v>2472</v>
      </c>
      <c r="K919" s="1732"/>
      <c r="L919" s="6018">
        <v>45675</v>
      </c>
      <c r="W919" s="6018">
        <v>45650</v>
      </c>
      <c r="X919" s="6019">
        <v>45700</v>
      </c>
      <c r="Y919" s="6018">
        <v>0</v>
      </c>
      <c r="Z919" s="6018">
        <v>0</v>
      </c>
      <c r="AA919" s="6018">
        <v>472</v>
      </c>
      <c r="AB919" s="6019">
        <v>1219</v>
      </c>
      <c r="AC919" s="6018">
        <v>0</v>
      </c>
      <c r="AD919" s="6018">
        <v>389</v>
      </c>
      <c r="AE919" s="6018">
        <v>1725</v>
      </c>
      <c r="AF919" s="6019">
        <v>2472</v>
      </c>
    </row>
    <row r="920" spans="1:32" ht="13.5">
      <c r="A920" s="6018">
        <v>45700</v>
      </c>
      <c r="B920" s="6019">
        <v>45750</v>
      </c>
      <c r="C920" s="6020">
        <f t="shared" si="102"/>
        <v>0</v>
      </c>
      <c r="D920" s="6018">
        <f t="shared" si="103"/>
        <v>0</v>
      </c>
      <c r="E920" s="6018">
        <f t="shared" si="104"/>
        <v>461</v>
      </c>
      <c r="F920" s="6019">
        <v>1209</v>
      </c>
      <c r="G920" s="6020">
        <f t="shared" si="99"/>
        <v>0</v>
      </c>
      <c r="H920" s="6018">
        <f t="shared" si="100"/>
        <v>381</v>
      </c>
      <c r="I920" s="6018">
        <f t="shared" si="101"/>
        <v>1714</v>
      </c>
      <c r="J920" s="6019">
        <v>2462</v>
      </c>
      <c r="K920" s="1732"/>
      <c r="L920" s="6018">
        <v>45725</v>
      </c>
      <c r="W920" s="6018">
        <v>45700</v>
      </c>
      <c r="X920" s="6019">
        <v>45750</v>
      </c>
      <c r="Y920" s="6018">
        <v>0</v>
      </c>
      <c r="Z920" s="6018">
        <v>0</v>
      </c>
      <c r="AA920" s="6018">
        <v>461</v>
      </c>
      <c r="AB920" s="6019">
        <v>1209</v>
      </c>
      <c r="AC920" s="6018">
        <v>0</v>
      </c>
      <c r="AD920" s="6018">
        <v>381</v>
      </c>
      <c r="AE920" s="6018">
        <v>1714</v>
      </c>
      <c r="AF920" s="6019">
        <v>2462</v>
      </c>
    </row>
    <row r="921" spans="1:32" ht="13.5">
      <c r="A921" s="6018">
        <v>45750</v>
      </c>
      <c r="B921" s="6019">
        <v>45800</v>
      </c>
      <c r="C921" s="6020">
        <f t="shared" si="102"/>
        <v>0</v>
      </c>
      <c r="D921" s="6018">
        <f t="shared" si="103"/>
        <v>0</v>
      </c>
      <c r="E921" s="6018">
        <f t="shared" si="104"/>
        <v>451</v>
      </c>
      <c r="F921" s="6019">
        <v>1198</v>
      </c>
      <c r="G921" s="6020">
        <f t="shared" si="99"/>
        <v>0</v>
      </c>
      <c r="H921" s="6018">
        <f t="shared" si="100"/>
        <v>373</v>
      </c>
      <c r="I921" s="6018">
        <f t="shared" si="101"/>
        <v>1704</v>
      </c>
      <c r="J921" s="6019">
        <v>2451</v>
      </c>
      <c r="K921" s="1732"/>
      <c r="L921" s="6018">
        <v>45775</v>
      </c>
      <c r="W921" s="6018">
        <v>45750</v>
      </c>
      <c r="X921" s="6019">
        <v>45800</v>
      </c>
      <c r="Y921" s="6018">
        <v>0</v>
      </c>
      <c r="Z921" s="6018">
        <v>0</v>
      </c>
      <c r="AA921" s="6018">
        <v>451</v>
      </c>
      <c r="AB921" s="6019">
        <v>1198</v>
      </c>
      <c r="AC921" s="6018">
        <v>0</v>
      </c>
      <c r="AD921" s="6018">
        <v>373</v>
      </c>
      <c r="AE921" s="6018">
        <v>1704</v>
      </c>
      <c r="AF921" s="6019">
        <v>2451</v>
      </c>
    </row>
    <row r="922" spans="1:32" ht="13.5">
      <c r="A922" s="6018">
        <v>45800</v>
      </c>
      <c r="B922" s="6019">
        <v>45850</v>
      </c>
      <c r="C922" s="6020">
        <f t="shared" si="102"/>
        <v>0</v>
      </c>
      <c r="D922" s="6018">
        <f t="shared" si="103"/>
        <v>0</v>
      </c>
      <c r="E922" s="6018">
        <f t="shared" si="104"/>
        <v>440</v>
      </c>
      <c r="F922" s="6019">
        <v>1188</v>
      </c>
      <c r="G922" s="6020">
        <f t="shared" si="99"/>
        <v>0</v>
      </c>
      <c r="H922" s="6018">
        <f t="shared" si="100"/>
        <v>365</v>
      </c>
      <c r="I922" s="6018">
        <f t="shared" si="101"/>
        <v>1693</v>
      </c>
      <c r="J922" s="6019">
        <v>2441</v>
      </c>
      <c r="K922" s="1732"/>
      <c r="L922" s="6018">
        <v>45825</v>
      </c>
      <c r="W922" s="6018">
        <v>45800</v>
      </c>
      <c r="X922" s="6019">
        <v>45850</v>
      </c>
      <c r="Y922" s="6018">
        <v>0</v>
      </c>
      <c r="Z922" s="6018">
        <v>0</v>
      </c>
      <c r="AA922" s="6018">
        <v>440</v>
      </c>
      <c r="AB922" s="6019">
        <v>1188</v>
      </c>
      <c r="AC922" s="6018">
        <v>0</v>
      </c>
      <c r="AD922" s="6018">
        <v>365</v>
      </c>
      <c r="AE922" s="6018">
        <v>1693</v>
      </c>
      <c r="AF922" s="6019">
        <v>2441</v>
      </c>
    </row>
    <row r="923" spans="1:32" ht="13.5">
      <c r="A923" s="6018">
        <v>45850</v>
      </c>
      <c r="B923" s="6019">
        <v>45900</v>
      </c>
      <c r="C923" s="6020">
        <f t="shared" si="102"/>
        <v>0</v>
      </c>
      <c r="D923" s="6018">
        <f t="shared" si="103"/>
        <v>0</v>
      </c>
      <c r="E923" s="6018">
        <f t="shared" si="104"/>
        <v>430</v>
      </c>
      <c r="F923" s="6019">
        <v>1177</v>
      </c>
      <c r="G923" s="6020">
        <f t="shared" si="99"/>
        <v>0</v>
      </c>
      <c r="H923" s="6018">
        <f t="shared" si="100"/>
        <v>357</v>
      </c>
      <c r="I923" s="6018">
        <f t="shared" si="101"/>
        <v>1683</v>
      </c>
      <c r="J923" s="6019">
        <v>2430</v>
      </c>
      <c r="K923" s="1732"/>
      <c r="L923" s="6018">
        <v>45875</v>
      </c>
      <c r="W923" s="6018">
        <v>45850</v>
      </c>
      <c r="X923" s="6019">
        <v>45900</v>
      </c>
      <c r="Y923" s="6018">
        <v>0</v>
      </c>
      <c r="Z923" s="6018">
        <v>0</v>
      </c>
      <c r="AA923" s="6018">
        <v>430</v>
      </c>
      <c r="AB923" s="6019">
        <v>1177</v>
      </c>
      <c r="AC923" s="6018">
        <v>0</v>
      </c>
      <c r="AD923" s="6018">
        <v>357</v>
      </c>
      <c r="AE923" s="6018">
        <v>1683</v>
      </c>
      <c r="AF923" s="6019">
        <v>2430</v>
      </c>
    </row>
    <row r="924" spans="1:32" ht="13.5">
      <c r="A924" s="6018">
        <v>45900</v>
      </c>
      <c r="B924" s="6019">
        <v>45950</v>
      </c>
      <c r="C924" s="6020">
        <f t="shared" si="102"/>
        <v>0</v>
      </c>
      <c r="D924" s="6018">
        <f t="shared" si="103"/>
        <v>0</v>
      </c>
      <c r="E924" s="6018">
        <f t="shared" si="104"/>
        <v>419</v>
      </c>
      <c r="F924" s="6019">
        <v>1167</v>
      </c>
      <c r="G924" s="6020">
        <f t="shared" si="99"/>
        <v>0</v>
      </c>
      <c r="H924" s="6018">
        <f t="shared" si="100"/>
        <v>349</v>
      </c>
      <c r="I924" s="6018">
        <f t="shared" si="101"/>
        <v>1672</v>
      </c>
      <c r="J924" s="6019">
        <v>2420</v>
      </c>
      <c r="K924" s="1732"/>
      <c r="L924" s="6018">
        <v>45925</v>
      </c>
      <c r="W924" s="6018">
        <v>45900</v>
      </c>
      <c r="X924" s="6019">
        <v>45950</v>
      </c>
      <c r="Y924" s="6018">
        <v>0</v>
      </c>
      <c r="Z924" s="6018">
        <v>0</v>
      </c>
      <c r="AA924" s="6018">
        <v>419</v>
      </c>
      <c r="AB924" s="6019">
        <v>1167</v>
      </c>
      <c r="AC924" s="6018">
        <v>0</v>
      </c>
      <c r="AD924" s="6018">
        <v>349</v>
      </c>
      <c r="AE924" s="6018">
        <v>1672</v>
      </c>
      <c r="AF924" s="6019">
        <v>2420</v>
      </c>
    </row>
    <row r="925" spans="1:32" ht="13.5">
      <c r="A925" s="6018">
        <v>45950</v>
      </c>
      <c r="B925" s="6019">
        <v>46000</v>
      </c>
      <c r="C925" s="6020">
        <f t="shared" si="102"/>
        <v>0</v>
      </c>
      <c r="D925" s="6018">
        <f t="shared" si="103"/>
        <v>0</v>
      </c>
      <c r="E925" s="6018">
        <f t="shared" si="104"/>
        <v>409</v>
      </c>
      <c r="F925" s="6019">
        <v>1156</v>
      </c>
      <c r="G925" s="6020">
        <f t="shared" si="99"/>
        <v>0</v>
      </c>
      <c r="H925" s="6018">
        <f t="shared" si="100"/>
        <v>341</v>
      </c>
      <c r="I925" s="6018">
        <f t="shared" si="101"/>
        <v>1662</v>
      </c>
      <c r="J925" s="6019">
        <v>2409</v>
      </c>
      <c r="K925" s="1732"/>
      <c r="L925" s="6018">
        <v>45975</v>
      </c>
      <c r="W925" s="6018">
        <v>45950</v>
      </c>
      <c r="X925" s="6019">
        <v>46000</v>
      </c>
      <c r="Y925" s="6018">
        <v>0</v>
      </c>
      <c r="Z925" s="6018">
        <v>0</v>
      </c>
      <c r="AA925" s="6018">
        <v>409</v>
      </c>
      <c r="AB925" s="6019">
        <v>1156</v>
      </c>
      <c r="AC925" s="6018">
        <v>0</v>
      </c>
      <c r="AD925" s="6018">
        <v>341</v>
      </c>
      <c r="AE925" s="6018">
        <v>1662</v>
      </c>
      <c r="AF925" s="6019">
        <v>2409</v>
      </c>
    </row>
    <row r="926" spans="1:32" ht="13.5">
      <c r="A926" s="6018">
        <v>46000</v>
      </c>
      <c r="B926" s="6019">
        <v>46050</v>
      </c>
      <c r="C926" s="6020">
        <f t="shared" si="102"/>
        <v>0</v>
      </c>
      <c r="D926" s="6018">
        <f t="shared" si="103"/>
        <v>0</v>
      </c>
      <c r="E926" s="6018">
        <f t="shared" si="104"/>
        <v>398</v>
      </c>
      <c r="F926" s="6019">
        <v>1146</v>
      </c>
      <c r="G926" s="6020">
        <f t="shared" si="99"/>
        <v>0</v>
      </c>
      <c r="H926" s="6018">
        <f t="shared" si="100"/>
        <v>333</v>
      </c>
      <c r="I926" s="6018">
        <f t="shared" si="101"/>
        <v>1651</v>
      </c>
      <c r="J926" s="6019">
        <v>2399</v>
      </c>
      <c r="K926" s="1732"/>
      <c r="L926" s="6018">
        <v>46025</v>
      </c>
      <c r="W926" s="6018">
        <v>46000</v>
      </c>
      <c r="X926" s="6019">
        <v>46050</v>
      </c>
      <c r="Y926" s="6018">
        <v>0</v>
      </c>
      <c r="Z926" s="6018">
        <v>0</v>
      </c>
      <c r="AA926" s="6018">
        <v>398</v>
      </c>
      <c r="AB926" s="6019">
        <v>1146</v>
      </c>
      <c r="AC926" s="6018">
        <v>0</v>
      </c>
      <c r="AD926" s="6018">
        <v>333</v>
      </c>
      <c r="AE926" s="6018">
        <v>1651</v>
      </c>
      <c r="AF926" s="6019">
        <v>2399</v>
      </c>
    </row>
    <row r="927" spans="1:32" ht="13.5">
      <c r="A927" s="6018">
        <v>46050</v>
      </c>
      <c r="B927" s="6019">
        <v>46100</v>
      </c>
      <c r="C927" s="6020">
        <f t="shared" si="102"/>
        <v>0</v>
      </c>
      <c r="D927" s="6018">
        <f t="shared" si="103"/>
        <v>0</v>
      </c>
      <c r="E927" s="6018">
        <f t="shared" si="104"/>
        <v>388</v>
      </c>
      <c r="F927" s="6019">
        <v>1135</v>
      </c>
      <c r="G927" s="6020">
        <f t="shared" si="99"/>
        <v>0</v>
      </c>
      <c r="H927" s="6018">
        <f t="shared" si="100"/>
        <v>325</v>
      </c>
      <c r="I927" s="6018">
        <f t="shared" si="101"/>
        <v>1641</v>
      </c>
      <c r="J927" s="6019">
        <v>2388</v>
      </c>
      <c r="K927" s="1732"/>
      <c r="L927" s="6018">
        <v>46075</v>
      </c>
      <c r="W927" s="6018">
        <v>46050</v>
      </c>
      <c r="X927" s="6019">
        <v>46100</v>
      </c>
      <c r="Y927" s="6018">
        <v>0</v>
      </c>
      <c r="Z927" s="6018">
        <v>0</v>
      </c>
      <c r="AA927" s="6018">
        <v>388</v>
      </c>
      <c r="AB927" s="6019">
        <v>1135</v>
      </c>
      <c r="AC927" s="6018">
        <v>0</v>
      </c>
      <c r="AD927" s="6018">
        <v>325</v>
      </c>
      <c r="AE927" s="6018">
        <v>1641</v>
      </c>
      <c r="AF927" s="6019">
        <v>2388</v>
      </c>
    </row>
    <row r="928" spans="1:32" ht="13.5">
      <c r="A928" s="6018">
        <v>46100</v>
      </c>
      <c r="B928" s="6019">
        <v>46150</v>
      </c>
      <c r="C928" s="6020">
        <f t="shared" si="102"/>
        <v>0</v>
      </c>
      <c r="D928" s="6018">
        <f t="shared" si="103"/>
        <v>0</v>
      </c>
      <c r="E928" s="6018">
        <f t="shared" si="104"/>
        <v>377</v>
      </c>
      <c r="F928" s="6019">
        <v>1124</v>
      </c>
      <c r="G928" s="6020">
        <f t="shared" si="99"/>
        <v>0</v>
      </c>
      <c r="H928" s="6018">
        <f t="shared" si="100"/>
        <v>317</v>
      </c>
      <c r="I928" s="6018">
        <f t="shared" si="101"/>
        <v>1630</v>
      </c>
      <c r="J928" s="6019">
        <v>2378</v>
      </c>
      <c r="K928" s="1732"/>
      <c r="L928" s="6018">
        <v>46125</v>
      </c>
      <c r="W928" s="6018">
        <v>46100</v>
      </c>
      <c r="X928" s="6019">
        <v>46150</v>
      </c>
      <c r="Y928" s="6018">
        <v>0</v>
      </c>
      <c r="Z928" s="6018">
        <v>0</v>
      </c>
      <c r="AA928" s="6018">
        <v>377</v>
      </c>
      <c r="AB928" s="6019">
        <v>1124</v>
      </c>
      <c r="AC928" s="6018">
        <v>0</v>
      </c>
      <c r="AD928" s="6018">
        <v>317</v>
      </c>
      <c r="AE928" s="6018">
        <v>1630</v>
      </c>
      <c r="AF928" s="6019">
        <v>2378</v>
      </c>
    </row>
    <row r="929" spans="1:32" ht="13.5">
      <c r="A929" s="6018">
        <v>46150</v>
      </c>
      <c r="B929" s="6019">
        <v>46200</v>
      </c>
      <c r="C929" s="6020">
        <f t="shared" si="102"/>
        <v>0</v>
      </c>
      <c r="D929" s="6018">
        <f t="shared" si="103"/>
        <v>0</v>
      </c>
      <c r="E929" s="6018">
        <f t="shared" si="104"/>
        <v>366</v>
      </c>
      <c r="F929" s="6019">
        <v>1114</v>
      </c>
      <c r="G929" s="6020">
        <f t="shared" si="99"/>
        <v>0</v>
      </c>
      <c r="H929" s="6018">
        <f t="shared" si="100"/>
        <v>309</v>
      </c>
      <c r="I929" s="6018">
        <f t="shared" si="101"/>
        <v>1620</v>
      </c>
      <c r="J929" s="6019">
        <v>2367</v>
      </c>
      <c r="K929" s="1732"/>
      <c r="L929" s="6018">
        <v>46175</v>
      </c>
      <c r="W929" s="6018">
        <v>46150</v>
      </c>
      <c r="X929" s="6019">
        <v>46200</v>
      </c>
      <c r="Y929" s="6018">
        <v>0</v>
      </c>
      <c r="Z929" s="6018">
        <v>0</v>
      </c>
      <c r="AA929" s="6018">
        <v>366</v>
      </c>
      <c r="AB929" s="6019">
        <v>1114</v>
      </c>
      <c r="AC929" s="6018">
        <v>0</v>
      </c>
      <c r="AD929" s="6018">
        <v>309</v>
      </c>
      <c r="AE929" s="6018">
        <v>1620</v>
      </c>
      <c r="AF929" s="6019">
        <v>2367</v>
      </c>
    </row>
    <row r="930" spans="1:32" ht="13.5">
      <c r="A930" s="6018">
        <v>46200</v>
      </c>
      <c r="B930" s="6019">
        <v>46250</v>
      </c>
      <c r="C930" s="6020">
        <f t="shared" si="102"/>
        <v>0</v>
      </c>
      <c r="D930" s="6018">
        <f t="shared" si="103"/>
        <v>0</v>
      </c>
      <c r="E930" s="6018">
        <f t="shared" si="104"/>
        <v>356</v>
      </c>
      <c r="F930" s="6019">
        <v>1103</v>
      </c>
      <c r="G930" s="6020">
        <f t="shared" si="99"/>
        <v>0</v>
      </c>
      <c r="H930" s="6018">
        <f t="shared" si="100"/>
        <v>301</v>
      </c>
      <c r="I930" s="6018">
        <f t="shared" si="101"/>
        <v>1609</v>
      </c>
      <c r="J930" s="6019">
        <v>2356</v>
      </c>
      <c r="K930" s="1732"/>
      <c r="L930" s="6018">
        <v>46225</v>
      </c>
      <c r="W930" s="6018">
        <v>46200</v>
      </c>
      <c r="X930" s="6019">
        <v>46250</v>
      </c>
      <c r="Y930" s="6018">
        <v>0</v>
      </c>
      <c r="Z930" s="6018">
        <v>0</v>
      </c>
      <c r="AA930" s="6018">
        <v>356</v>
      </c>
      <c r="AB930" s="6019">
        <v>1103</v>
      </c>
      <c r="AC930" s="6018">
        <v>0</v>
      </c>
      <c r="AD930" s="6018">
        <v>301</v>
      </c>
      <c r="AE930" s="6018">
        <v>1609</v>
      </c>
      <c r="AF930" s="6019">
        <v>2356</v>
      </c>
    </row>
    <row r="931" spans="1:32" ht="13.5">
      <c r="A931" s="6018">
        <v>46250</v>
      </c>
      <c r="B931" s="6019">
        <v>46300</v>
      </c>
      <c r="C931" s="6020">
        <f t="shared" si="102"/>
        <v>0</v>
      </c>
      <c r="D931" s="6018">
        <f t="shared" si="103"/>
        <v>0</v>
      </c>
      <c r="E931" s="6018">
        <f t="shared" si="104"/>
        <v>345</v>
      </c>
      <c r="F931" s="6019">
        <v>1093</v>
      </c>
      <c r="G931" s="6020">
        <f t="shared" si="99"/>
        <v>0</v>
      </c>
      <c r="H931" s="6018">
        <f t="shared" si="100"/>
        <v>293</v>
      </c>
      <c r="I931" s="6018">
        <f t="shared" si="101"/>
        <v>1598</v>
      </c>
      <c r="J931" s="6019">
        <v>2346</v>
      </c>
      <c r="K931" s="1732"/>
      <c r="L931" s="6018">
        <v>46275</v>
      </c>
      <c r="W931" s="6018">
        <v>46250</v>
      </c>
      <c r="X931" s="6019">
        <v>46300</v>
      </c>
      <c r="Y931" s="6018">
        <v>0</v>
      </c>
      <c r="Z931" s="6018">
        <v>0</v>
      </c>
      <c r="AA931" s="6018">
        <v>345</v>
      </c>
      <c r="AB931" s="6019">
        <v>1093</v>
      </c>
      <c r="AC931" s="6018">
        <v>0</v>
      </c>
      <c r="AD931" s="6018">
        <v>293</v>
      </c>
      <c r="AE931" s="6018">
        <v>1598</v>
      </c>
      <c r="AF931" s="6019">
        <v>2346</v>
      </c>
    </row>
    <row r="932" spans="1:32" ht="13.5">
      <c r="A932" s="6018">
        <v>46300</v>
      </c>
      <c r="B932" s="6019">
        <v>46350</v>
      </c>
      <c r="C932" s="6020">
        <f t="shared" si="102"/>
        <v>0</v>
      </c>
      <c r="D932" s="6018">
        <f t="shared" si="103"/>
        <v>0</v>
      </c>
      <c r="E932" s="6018">
        <f t="shared" si="104"/>
        <v>335</v>
      </c>
      <c r="F932" s="6019">
        <v>1082</v>
      </c>
      <c r="G932" s="6020">
        <f t="shared" si="99"/>
        <v>0</v>
      </c>
      <c r="H932" s="6018">
        <f t="shared" si="100"/>
        <v>285</v>
      </c>
      <c r="I932" s="6018">
        <f t="shared" si="101"/>
        <v>1588</v>
      </c>
      <c r="J932" s="6019">
        <v>2335</v>
      </c>
      <c r="K932" s="1732"/>
      <c r="L932" s="6018">
        <v>46325</v>
      </c>
      <c r="W932" s="6018">
        <v>46300</v>
      </c>
      <c r="X932" s="6019">
        <v>46350</v>
      </c>
      <c r="Y932" s="6018">
        <v>0</v>
      </c>
      <c r="Z932" s="6018">
        <v>0</v>
      </c>
      <c r="AA932" s="6018">
        <v>335</v>
      </c>
      <c r="AB932" s="6019">
        <v>1082</v>
      </c>
      <c r="AC932" s="6018">
        <v>0</v>
      </c>
      <c r="AD932" s="6018">
        <v>285</v>
      </c>
      <c r="AE932" s="6018">
        <v>1588</v>
      </c>
      <c r="AF932" s="6019">
        <v>2335</v>
      </c>
    </row>
    <row r="933" spans="1:32" ht="13.5">
      <c r="A933" s="6018">
        <v>46350</v>
      </c>
      <c r="B933" s="6019">
        <v>46400</v>
      </c>
      <c r="C933" s="6020">
        <f t="shared" si="102"/>
        <v>0</v>
      </c>
      <c r="D933" s="6018">
        <f t="shared" si="103"/>
        <v>0</v>
      </c>
      <c r="E933" s="6018">
        <f t="shared" si="104"/>
        <v>324</v>
      </c>
      <c r="F933" s="6019">
        <v>1072</v>
      </c>
      <c r="G933" s="6020">
        <f t="shared" si="99"/>
        <v>0</v>
      </c>
      <c r="H933" s="6018">
        <f t="shared" si="100"/>
        <v>277</v>
      </c>
      <c r="I933" s="6018">
        <f t="shared" si="101"/>
        <v>1577</v>
      </c>
      <c r="J933" s="6019">
        <v>2325</v>
      </c>
      <c r="K933" s="1732"/>
      <c r="L933" s="6018">
        <v>46375</v>
      </c>
      <c r="W933" s="6018">
        <v>46350</v>
      </c>
      <c r="X933" s="6019">
        <v>46400</v>
      </c>
      <c r="Y933" s="6018">
        <v>0</v>
      </c>
      <c r="Z933" s="6018">
        <v>0</v>
      </c>
      <c r="AA933" s="6018">
        <v>324</v>
      </c>
      <c r="AB933" s="6019">
        <v>1072</v>
      </c>
      <c r="AC933" s="6018">
        <v>0</v>
      </c>
      <c r="AD933" s="6018">
        <v>277</v>
      </c>
      <c r="AE933" s="6018">
        <v>1577</v>
      </c>
      <c r="AF933" s="6019">
        <v>2325</v>
      </c>
    </row>
    <row r="934" spans="1:32" ht="13.5">
      <c r="A934" s="6018">
        <v>46400</v>
      </c>
      <c r="B934" s="6019">
        <v>46450</v>
      </c>
      <c r="C934" s="6020">
        <f t="shared" si="102"/>
        <v>0</v>
      </c>
      <c r="D934" s="6018">
        <f t="shared" si="103"/>
        <v>0</v>
      </c>
      <c r="E934" s="6018">
        <f t="shared" si="104"/>
        <v>314</v>
      </c>
      <c r="F934" s="6019">
        <v>1061</v>
      </c>
      <c r="G934" s="6020">
        <f t="shared" si="99"/>
        <v>0</v>
      </c>
      <c r="H934" s="6018">
        <f t="shared" si="100"/>
        <v>269</v>
      </c>
      <c r="I934" s="6018">
        <f t="shared" si="101"/>
        <v>1567</v>
      </c>
      <c r="J934" s="6019">
        <v>2314</v>
      </c>
      <c r="K934" s="1732"/>
      <c r="L934" s="6018">
        <v>46425</v>
      </c>
      <c r="W934" s="6018">
        <v>46400</v>
      </c>
      <c r="X934" s="6019">
        <v>46450</v>
      </c>
      <c r="Y934" s="6018">
        <v>0</v>
      </c>
      <c r="Z934" s="6018">
        <v>0</v>
      </c>
      <c r="AA934" s="6018">
        <v>314</v>
      </c>
      <c r="AB934" s="6019">
        <v>1061</v>
      </c>
      <c r="AC934" s="6018">
        <v>0</v>
      </c>
      <c r="AD934" s="6018">
        <v>269</v>
      </c>
      <c r="AE934" s="6018">
        <v>1567</v>
      </c>
      <c r="AF934" s="6019">
        <v>2314</v>
      </c>
    </row>
    <row r="935" spans="1:32" ht="13.5">
      <c r="A935" s="6018">
        <v>46450</v>
      </c>
      <c r="B935" s="6019">
        <v>46500</v>
      </c>
      <c r="C935" s="6020">
        <f t="shared" si="102"/>
        <v>0</v>
      </c>
      <c r="D935" s="6018">
        <f t="shared" si="103"/>
        <v>0</v>
      </c>
      <c r="E935" s="6018">
        <f t="shared" si="104"/>
        <v>303</v>
      </c>
      <c r="F935" s="6019">
        <v>1051</v>
      </c>
      <c r="G935" s="6020">
        <f t="shared" si="99"/>
        <v>0</v>
      </c>
      <c r="H935" s="6018">
        <f t="shared" si="100"/>
        <v>261</v>
      </c>
      <c r="I935" s="6018">
        <f t="shared" si="101"/>
        <v>1556</v>
      </c>
      <c r="J935" s="6019">
        <v>2304</v>
      </c>
      <c r="K935" s="1732"/>
      <c r="L935" s="6018">
        <v>46475</v>
      </c>
      <c r="W935" s="6018">
        <v>46450</v>
      </c>
      <c r="X935" s="6019">
        <v>46500</v>
      </c>
      <c r="Y935" s="6018">
        <v>0</v>
      </c>
      <c r="Z935" s="6018">
        <v>0</v>
      </c>
      <c r="AA935" s="6018">
        <v>303</v>
      </c>
      <c r="AB935" s="6019">
        <v>1051</v>
      </c>
      <c r="AC935" s="6018">
        <v>0</v>
      </c>
      <c r="AD935" s="6018">
        <v>261</v>
      </c>
      <c r="AE935" s="6018">
        <v>1556</v>
      </c>
      <c r="AF935" s="6019">
        <v>2304</v>
      </c>
    </row>
    <row r="936" spans="1:32" ht="13.5">
      <c r="A936" s="6018">
        <v>46500</v>
      </c>
      <c r="B936" s="6019">
        <v>46550</v>
      </c>
      <c r="C936" s="6020">
        <f t="shared" si="102"/>
        <v>0</v>
      </c>
      <c r="D936" s="6018">
        <f t="shared" si="103"/>
        <v>0</v>
      </c>
      <c r="E936" s="6018">
        <f t="shared" si="104"/>
        <v>293</v>
      </c>
      <c r="F936" s="6019">
        <v>1040</v>
      </c>
      <c r="G936" s="6020">
        <f t="shared" si="99"/>
        <v>0</v>
      </c>
      <c r="H936" s="6018">
        <f t="shared" si="100"/>
        <v>253</v>
      </c>
      <c r="I936" s="6018">
        <f t="shared" si="101"/>
        <v>1546</v>
      </c>
      <c r="J936" s="6019">
        <v>2293</v>
      </c>
      <c r="K936" s="1732"/>
      <c r="L936" s="6018">
        <v>46525</v>
      </c>
      <c r="W936" s="6018">
        <v>46500</v>
      </c>
      <c r="X936" s="6019">
        <v>46550</v>
      </c>
      <c r="Y936" s="6018">
        <v>0</v>
      </c>
      <c r="Z936" s="6018">
        <v>0</v>
      </c>
      <c r="AA936" s="6018">
        <v>293</v>
      </c>
      <c r="AB936" s="6019">
        <v>1040</v>
      </c>
      <c r="AC936" s="6018">
        <v>0</v>
      </c>
      <c r="AD936" s="6018">
        <v>253</v>
      </c>
      <c r="AE936" s="6018">
        <v>1546</v>
      </c>
      <c r="AF936" s="6019">
        <v>2293</v>
      </c>
    </row>
    <row r="937" spans="1:32" ht="13.5">
      <c r="A937" s="6018">
        <v>46550</v>
      </c>
      <c r="B937" s="6019">
        <v>46600</v>
      </c>
      <c r="C937" s="6020">
        <f t="shared" si="102"/>
        <v>0</v>
      </c>
      <c r="D937" s="6018">
        <f t="shared" si="103"/>
        <v>0</v>
      </c>
      <c r="E937" s="6018">
        <f t="shared" si="104"/>
        <v>282</v>
      </c>
      <c r="F937" s="6019">
        <v>1030</v>
      </c>
      <c r="G937" s="6020">
        <f t="shared" si="99"/>
        <v>0</v>
      </c>
      <c r="H937" s="6018">
        <f t="shared" si="100"/>
        <v>245</v>
      </c>
      <c r="I937" s="6018">
        <f t="shared" si="101"/>
        <v>1535</v>
      </c>
      <c r="J937" s="6019">
        <v>2283</v>
      </c>
      <c r="K937" s="1732"/>
      <c r="L937" s="6018">
        <v>46575</v>
      </c>
      <c r="W937" s="6018">
        <v>46550</v>
      </c>
      <c r="X937" s="6019">
        <v>46600</v>
      </c>
      <c r="Y937" s="6018">
        <v>0</v>
      </c>
      <c r="Z937" s="6018">
        <v>0</v>
      </c>
      <c r="AA937" s="6018">
        <v>282</v>
      </c>
      <c r="AB937" s="6019">
        <v>1030</v>
      </c>
      <c r="AC937" s="6018">
        <v>0</v>
      </c>
      <c r="AD937" s="6018">
        <v>245</v>
      </c>
      <c r="AE937" s="6018">
        <v>1535</v>
      </c>
      <c r="AF937" s="6019">
        <v>2283</v>
      </c>
    </row>
    <row r="938" spans="1:32" ht="13.5">
      <c r="A938" s="6018">
        <v>46600</v>
      </c>
      <c r="B938" s="6019">
        <v>46650</v>
      </c>
      <c r="C938" s="6020">
        <f t="shared" si="102"/>
        <v>0</v>
      </c>
      <c r="D938" s="6018">
        <f t="shared" si="103"/>
        <v>0</v>
      </c>
      <c r="E938" s="6018">
        <f t="shared" si="104"/>
        <v>272</v>
      </c>
      <c r="F938" s="6019">
        <v>1019</v>
      </c>
      <c r="G938" s="6020">
        <f t="shared" si="99"/>
        <v>0</v>
      </c>
      <c r="H938" s="6018">
        <f t="shared" si="100"/>
        <v>237</v>
      </c>
      <c r="I938" s="6018">
        <f t="shared" si="101"/>
        <v>1525</v>
      </c>
      <c r="J938" s="6019">
        <v>2272</v>
      </c>
      <c r="K938" s="1732"/>
      <c r="L938" s="6018">
        <v>46625</v>
      </c>
      <c r="W938" s="6018">
        <v>46600</v>
      </c>
      <c r="X938" s="6019">
        <v>46650</v>
      </c>
      <c r="Y938" s="6018">
        <v>0</v>
      </c>
      <c r="Z938" s="6018">
        <v>0</v>
      </c>
      <c r="AA938" s="6018">
        <v>272</v>
      </c>
      <c r="AB938" s="6019">
        <v>1019</v>
      </c>
      <c r="AC938" s="6018">
        <v>0</v>
      </c>
      <c r="AD938" s="6018">
        <v>237</v>
      </c>
      <c r="AE938" s="6018">
        <v>1525</v>
      </c>
      <c r="AF938" s="6019">
        <v>2272</v>
      </c>
    </row>
    <row r="939" spans="1:32" ht="13.5">
      <c r="A939" s="6018">
        <v>46650</v>
      </c>
      <c r="B939" s="6019">
        <v>46700</v>
      </c>
      <c r="C939" s="6020">
        <f t="shared" si="102"/>
        <v>0</v>
      </c>
      <c r="D939" s="6018">
        <f t="shared" si="103"/>
        <v>0</v>
      </c>
      <c r="E939" s="6018">
        <f t="shared" si="104"/>
        <v>261</v>
      </c>
      <c r="F939" s="6019">
        <v>1009</v>
      </c>
      <c r="G939" s="6020">
        <f t="shared" si="99"/>
        <v>0</v>
      </c>
      <c r="H939" s="6018">
        <f t="shared" si="100"/>
        <v>229</v>
      </c>
      <c r="I939" s="6018">
        <f t="shared" si="101"/>
        <v>1514</v>
      </c>
      <c r="J939" s="6019">
        <v>2262</v>
      </c>
      <c r="K939" s="1732"/>
      <c r="L939" s="6018">
        <v>46675</v>
      </c>
      <c r="W939" s="6018">
        <v>46650</v>
      </c>
      <c r="X939" s="6019">
        <v>46700</v>
      </c>
      <c r="Y939" s="6018">
        <v>0</v>
      </c>
      <c r="Z939" s="6018">
        <v>0</v>
      </c>
      <c r="AA939" s="6018">
        <v>261</v>
      </c>
      <c r="AB939" s="6019">
        <v>1009</v>
      </c>
      <c r="AC939" s="6018">
        <v>0</v>
      </c>
      <c r="AD939" s="6018">
        <v>229</v>
      </c>
      <c r="AE939" s="6018">
        <v>1514</v>
      </c>
      <c r="AF939" s="6019">
        <v>2262</v>
      </c>
    </row>
    <row r="940" spans="1:32" ht="13.5">
      <c r="A940" s="6018">
        <v>46700</v>
      </c>
      <c r="B940" s="6019">
        <v>46750</v>
      </c>
      <c r="C940" s="6020">
        <f t="shared" si="102"/>
        <v>0</v>
      </c>
      <c r="D940" s="6018">
        <f t="shared" si="103"/>
        <v>0</v>
      </c>
      <c r="E940" s="6018">
        <f t="shared" si="104"/>
        <v>251</v>
      </c>
      <c r="F940" s="6019">
        <v>998</v>
      </c>
      <c r="G940" s="6020">
        <f t="shared" si="99"/>
        <v>0</v>
      </c>
      <c r="H940" s="6018">
        <f t="shared" si="100"/>
        <v>221</v>
      </c>
      <c r="I940" s="6018">
        <f t="shared" si="101"/>
        <v>1504</v>
      </c>
      <c r="J940" s="6019">
        <v>2251</v>
      </c>
      <c r="K940" s="1732"/>
      <c r="L940" s="6018">
        <v>46725</v>
      </c>
      <c r="W940" s="6018">
        <v>46700</v>
      </c>
      <c r="X940" s="6019">
        <v>46750</v>
      </c>
      <c r="Y940" s="6018">
        <v>0</v>
      </c>
      <c r="Z940" s="6018">
        <v>0</v>
      </c>
      <c r="AA940" s="6018">
        <v>251</v>
      </c>
      <c r="AB940" s="6019">
        <v>998</v>
      </c>
      <c r="AC940" s="6018">
        <v>0</v>
      </c>
      <c r="AD940" s="6018">
        <v>221</v>
      </c>
      <c r="AE940" s="6018">
        <v>1504</v>
      </c>
      <c r="AF940" s="6019">
        <v>2251</v>
      </c>
    </row>
    <row r="941" spans="1:32" ht="13.5">
      <c r="A941" s="6018">
        <v>46750</v>
      </c>
      <c r="B941" s="6019">
        <v>46800</v>
      </c>
      <c r="C941" s="6020">
        <f t="shared" si="102"/>
        <v>0</v>
      </c>
      <c r="D941" s="6018">
        <f t="shared" si="103"/>
        <v>0</v>
      </c>
      <c r="E941" s="6018">
        <f t="shared" si="104"/>
        <v>240</v>
      </c>
      <c r="F941" s="6019">
        <v>988</v>
      </c>
      <c r="G941" s="6020">
        <f t="shared" si="99"/>
        <v>0</v>
      </c>
      <c r="H941" s="6018">
        <f t="shared" si="100"/>
        <v>213</v>
      </c>
      <c r="I941" s="6018">
        <f t="shared" si="101"/>
        <v>1493</v>
      </c>
      <c r="J941" s="6019">
        <v>2241</v>
      </c>
      <c r="K941" s="1732"/>
      <c r="L941" s="6018">
        <v>46775</v>
      </c>
      <c r="W941" s="6018">
        <v>46750</v>
      </c>
      <c r="X941" s="6019">
        <v>46800</v>
      </c>
      <c r="Y941" s="6018">
        <v>0</v>
      </c>
      <c r="Z941" s="6018">
        <v>0</v>
      </c>
      <c r="AA941" s="6018">
        <v>240</v>
      </c>
      <c r="AB941" s="6019">
        <v>988</v>
      </c>
      <c r="AC941" s="6018">
        <v>0</v>
      </c>
      <c r="AD941" s="6018">
        <v>213</v>
      </c>
      <c r="AE941" s="6018">
        <v>1493</v>
      </c>
      <c r="AF941" s="6019">
        <v>2241</v>
      </c>
    </row>
    <row r="942" spans="1:32" ht="13.5">
      <c r="A942" s="6018">
        <v>46800</v>
      </c>
      <c r="B942" s="6019">
        <v>46850</v>
      </c>
      <c r="C942" s="6020">
        <f t="shared" si="102"/>
        <v>0</v>
      </c>
      <c r="D942" s="6018">
        <f t="shared" si="103"/>
        <v>0</v>
      </c>
      <c r="E942" s="6018">
        <f t="shared" si="104"/>
        <v>230</v>
      </c>
      <c r="F942" s="6019">
        <v>977</v>
      </c>
      <c r="G942" s="6020">
        <f t="shared" si="99"/>
        <v>0</v>
      </c>
      <c r="H942" s="6018">
        <f t="shared" si="100"/>
        <v>205</v>
      </c>
      <c r="I942" s="6018">
        <f t="shared" si="101"/>
        <v>1483</v>
      </c>
      <c r="J942" s="6019">
        <v>2230</v>
      </c>
      <c r="K942" s="1732"/>
      <c r="L942" s="6018">
        <v>46825</v>
      </c>
      <c r="W942" s="6018">
        <v>46800</v>
      </c>
      <c r="X942" s="6019">
        <v>46850</v>
      </c>
      <c r="Y942" s="6018">
        <v>0</v>
      </c>
      <c r="Z942" s="6018">
        <v>0</v>
      </c>
      <c r="AA942" s="6018">
        <v>230</v>
      </c>
      <c r="AB942" s="6019">
        <v>977</v>
      </c>
      <c r="AC942" s="6018">
        <v>0</v>
      </c>
      <c r="AD942" s="6018">
        <v>205</v>
      </c>
      <c r="AE942" s="6018">
        <v>1483</v>
      </c>
      <c r="AF942" s="6019">
        <v>2230</v>
      </c>
    </row>
    <row r="943" spans="1:32" ht="13.5">
      <c r="A943" s="6018">
        <v>46850</v>
      </c>
      <c r="B943" s="6019">
        <v>46900</v>
      </c>
      <c r="C943" s="6020">
        <f t="shared" si="102"/>
        <v>0</v>
      </c>
      <c r="D943" s="6018">
        <f t="shared" si="103"/>
        <v>0</v>
      </c>
      <c r="E943" s="6018">
        <f t="shared" si="104"/>
        <v>219</v>
      </c>
      <c r="F943" s="6019">
        <v>967</v>
      </c>
      <c r="G943" s="6020">
        <f t="shared" si="99"/>
        <v>0</v>
      </c>
      <c r="H943" s="6018">
        <f t="shared" si="100"/>
        <v>197</v>
      </c>
      <c r="I943" s="6018">
        <f t="shared" si="101"/>
        <v>1472</v>
      </c>
      <c r="J943" s="6019">
        <v>2220</v>
      </c>
      <c r="K943" s="1732"/>
      <c r="L943" s="6018">
        <v>46875</v>
      </c>
      <c r="W943" s="6018">
        <v>46850</v>
      </c>
      <c r="X943" s="6019">
        <v>46900</v>
      </c>
      <c r="Y943" s="6018">
        <v>0</v>
      </c>
      <c r="Z943" s="6018">
        <v>0</v>
      </c>
      <c r="AA943" s="6018">
        <v>219</v>
      </c>
      <c r="AB943" s="6019">
        <v>967</v>
      </c>
      <c r="AC943" s="6018">
        <v>0</v>
      </c>
      <c r="AD943" s="6018">
        <v>197</v>
      </c>
      <c r="AE943" s="6018">
        <v>1472</v>
      </c>
      <c r="AF943" s="6019">
        <v>2220</v>
      </c>
    </row>
    <row r="944" spans="1:32" ht="13.5">
      <c r="A944" s="6018">
        <v>46900</v>
      </c>
      <c r="B944" s="6019">
        <v>46950</v>
      </c>
      <c r="C944" s="6020">
        <f t="shared" si="102"/>
        <v>0</v>
      </c>
      <c r="D944" s="6018">
        <f t="shared" si="103"/>
        <v>0</v>
      </c>
      <c r="E944" s="6018">
        <f t="shared" si="104"/>
        <v>209</v>
      </c>
      <c r="F944" s="6019">
        <v>956</v>
      </c>
      <c r="G944" s="6020">
        <f t="shared" si="99"/>
        <v>0</v>
      </c>
      <c r="H944" s="6018">
        <f t="shared" si="100"/>
        <v>189</v>
      </c>
      <c r="I944" s="6018">
        <f t="shared" si="101"/>
        <v>1462</v>
      </c>
      <c r="J944" s="6019">
        <v>2209</v>
      </c>
      <c r="K944" s="1732"/>
      <c r="L944" s="6018">
        <v>46925</v>
      </c>
      <c r="W944" s="6018">
        <v>46900</v>
      </c>
      <c r="X944" s="6019">
        <v>46950</v>
      </c>
      <c r="Y944" s="6018">
        <v>0</v>
      </c>
      <c r="Z944" s="6018">
        <v>0</v>
      </c>
      <c r="AA944" s="6018">
        <v>209</v>
      </c>
      <c r="AB944" s="6019">
        <v>956</v>
      </c>
      <c r="AC944" s="6018">
        <v>0</v>
      </c>
      <c r="AD944" s="6018">
        <v>189</v>
      </c>
      <c r="AE944" s="6018">
        <v>1462</v>
      </c>
      <c r="AF944" s="6019">
        <v>2209</v>
      </c>
    </row>
    <row r="945" spans="1:32" ht="13.5">
      <c r="A945" s="6018">
        <v>46950</v>
      </c>
      <c r="B945" s="6019">
        <v>47000</v>
      </c>
      <c r="C945" s="6020">
        <f t="shared" si="102"/>
        <v>0</v>
      </c>
      <c r="D945" s="6018">
        <f t="shared" si="103"/>
        <v>0</v>
      </c>
      <c r="E945" s="6018">
        <f t="shared" si="104"/>
        <v>198</v>
      </c>
      <c r="F945" s="6019">
        <v>945</v>
      </c>
      <c r="G945" s="6020">
        <f t="shared" si="99"/>
        <v>0</v>
      </c>
      <c r="H945" s="6018">
        <f t="shared" si="100"/>
        <v>181</v>
      </c>
      <c r="I945" s="6018">
        <f t="shared" si="101"/>
        <v>1451</v>
      </c>
      <c r="J945" s="6019">
        <v>2199</v>
      </c>
      <c r="K945" s="1732"/>
      <c r="L945" s="6018">
        <v>46975</v>
      </c>
      <c r="W945" s="6018">
        <v>46950</v>
      </c>
      <c r="X945" s="6019">
        <v>47000</v>
      </c>
      <c r="Y945" s="6018">
        <v>0</v>
      </c>
      <c r="Z945" s="6018">
        <v>0</v>
      </c>
      <c r="AA945" s="6018">
        <v>198</v>
      </c>
      <c r="AB945" s="6019">
        <v>945</v>
      </c>
      <c r="AC945" s="6018">
        <v>0</v>
      </c>
      <c r="AD945" s="6018">
        <v>181</v>
      </c>
      <c r="AE945" s="6018">
        <v>1451</v>
      </c>
      <c r="AF945" s="6019">
        <v>2199</v>
      </c>
    </row>
    <row r="946" spans="1:32" ht="13.5">
      <c r="A946" s="6018">
        <v>47000</v>
      </c>
      <c r="B946" s="6019">
        <v>47050</v>
      </c>
      <c r="C946" s="6020">
        <f t="shared" si="102"/>
        <v>0</v>
      </c>
      <c r="D946" s="6018">
        <f t="shared" si="103"/>
        <v>0</v>
      </c>
      <c r="E946" s="6018">
        <f t="shared" si="104"/>
        <v>187</v>
      </c>
      <c r="F946" s="6019">
        <v>935</v>
      </c>
      <c r="G946" s="6020">
        <f t="shared" si="99"/>
        <v>0</v>
      </c>
      <c r="H946" s="6018">
        <f t="shared" si="100"/>
        <v>173</v>
      </c>
      <c r="I946" s="6018">
        <f t="shared" si="101"/>
        <v>1441</v>
      </c>
      <c r="J946" s="6019">
        <v>2188</v>
      </c>
      <c r="K946" s="1732"/>
      <c r="L946" s="6018">
        <v>47025</v>
      </c>
      <c r="W946" s="6018">
        <v>47000</v>
      </c>
      <c r="X946" s="6019">
        <v>47050</v>
      </c>
      <c r="Y946" s="6018">
        <v>0</v>
      </c>
      <c r="Z946" s="6018">
        <v>0</v>
      </c>
      <c r="AA946" s="6018">
        <v>187</v>
      </c>
      <c r="AB946" s="6019">
        <v>935</v>
      </c>
      <c r="AC946" s="6018">
        <v>0</v>
      </c>
      <c r="AD946" s="6018">
        <v>173</v>
      </c>
      <c r="AE946" s="6018">
        <v>1441</v>
      </c>
      <c r="AF946" s="6019">
        <v>2188</v>
      </c>
    </row>
    <row r="947" spans="1:32" ht="13.5">
      <c r="A947" s="6018">
        <v>47050</v>
      </c>
      <c r="B947" s="6019">
        <v>47100</v>
      </c>
      <c r="C947" s="6020">
        <f t="shared" si="102"/>
        <v>0</v>
      </c>
      <c r="D947" s="6018">
        <f t="shared" si="103"/>
        <v>0</v>
      </c>
      <c r="E947" s="6018">
        <f t="shared" si="104"/>
        <v>177</v>
      </c>
      <c r="F947" s="6019">
        <v>924</v>
      </c>
      <c r="G947" s="6020">
        <f t="shared" si="99"/>
        <v>0</v>
      </c>
      <c r="H947" s="6018">
        <f t="shared" si="100"/>
        <v>165</v>
      </c>
      <c r="I947" s="6018">
        <f t="shared" si="101"/>
        <v>1430</v>
      </c>
      <c r="J947" s="6019">
        <v>2177</v>
      </c>
      <c r="K947" s="1732"/>
      <c r="L947" s="6018">
        <v>47075</v>
      </c>
      <c r="W947" s="6018">
        <v>47050</v>
      </c>
      <c r="X947" s="6019">
        <v>47100</v>
      </c>
      <c r="Y947" s="6018">
        <v>0</v>
      </c>
      <c r="Z947" s="6018">
        <v>0</v>
      </c>
      <c r="AA947" s="6018">
        <v>177</v>
      </c>
      <c r="AB947" s="6019">
        <v>924</v>
      </c>
      <c r="AC947" s="6018">
        <v>0</v>
      </c>
      <c r="AD947" s="6018">
        <v>165</v>
      </c>
      <c r="AE947" s="6018">
        <v>1430</v>
      </c>
      <c r="AF947" s="6019">
        <v>2177</v>
      </c>
    </row>
    <row r="948" spans="1:32" ht="13.5">
      <c r="A948" s="6018">
        <v>47100</v>
      </c>
      <c r="B948" s="6019">
        <v>47150</v>
      </c>
      <c r="C948" s="6020">
        <f t="shared" si="102"/>
        <v>0</v>
      </c>
      <c r="D948" s="6018">
        <f t="shared" si="103"/>
        <v>0</v>
      </c>
      <c r="E948" s="6018">
        <f t="shared" si="104"/>
        <v>166</v>
      </c>
      <c r="F948" s="6019">
        <v>914</v>
      </c>
      <c r="G948" s="6020">
        <f t="shared" si="99"/>
        <v>0</v>
      </c>
      <c r="H948" s="6018">
        <f t="shared" si="100"/>
        <v>157</v>
      </c>
      <c r="I948" s="6018">
        <f t="shared" si="101"/>
        <v>1419</v>
      </c>
      <c r="J948" s="6019">
        <v>2167</v>
      </c>
      <c r="K948" s="1732"/>
      <c r="L948" s="6018">
        <v>47125</v>
      </c>
      <c r="W948" s="6018">
        <v>47100</v>
      </c>
      <c r="X948" s="6019">
        <v>47150</v>
      </c>
      <c r="Y948" s="6018">
        <v>0</v>
      </c>
      <c r="Z948" s="6018">
        <v>0</v>
      </c>
      <c r="AA948" s="6018">
        <v>166</v>
      </c>
      <c r="AB948" s="6019">
        <v>914</v>
      </c>
      <c r="AC948" s="6018">
        <v>0</v>
      </c>
      <c r="AD948" s="6018">
        <v>157</v>
      </c>
      <c r="AE948" s="6018">
        <v>1419</v>
      </c>
      <c r="AF948" s="6019">
        <v>2167</v>
      </c>
    </row>
    <row r="949" spans="1:32" ht="13.5">
      <c r="A949" s="6018">
        <v>47150</v>
      </c>
      <c r="B949" s="6019">
        <v>47200</v>
      </c>
      <c r="C949" s="6020">
        <f t="shared" si="102"/>
        <v>0</v>
      </c>
      <c r="D949" s="6018">
        <f t="shared" si="103"/>
        <v>0</v>
      </c>
      <c r="E949" s="6018">
        <f t="shared" si="104"/>
        <v>156</v>
      </c>
      <c r="F949" s="6019">
        <v>903</v>
      </c>
      <c r="G949" s="6020">
        <f t="shared" si="99"/>
        <v>0</v>
      </c>
      <c r="H949" s="6018">
        <f t="shared" si="100"/>
        <v>149</v>
      </c>
      <c r="I949" s="6018">
        <f t="shared" si="101"/>
        <v>1409</v>
      </c>
      <c r="J949" s="6019">
        <v>2156</v>
      </c>
      <c r="K949" s="1732"/>
      <c r="L949" s="6018">
        <v>47175</v>
      </c>
      <c r="W949" s="6018">
        <v>47150</v>
      </c>
      <c r="X949" s="6019">
        <v>47200</v>
      </c>
      <c r="Y949" s="6018">
        <v>0</v>
      </c>
      <c r="Z949" s="6018">
        <v>0</v>
      </c>
      <c r="AA949" s="6018">
        <v>156</v>
      </c>
      <c r="AB949" s="6019">
        <v>903</v>
      </c>
      <c r="AC949" s="6018">
        <v>0</v>
      </c>
      <c r="AD949" s="6018">
        <v>149</v>
      </c>
      <c r="AE949" s="6018">
        <v>1409</v>
      </c>
      <c r="AF949" s="6019">
        <v>2156</v>
      </c>
    </row>
    <row r="950" spans="1:32" ht="13.5">
      <c r="A950" s="6018">
        <v>47200</v>
      </c>
      <c r="B950" s="6019">
        <v>47250</v>
      </c>
      <c r="C950" s="6020">
        <f t="shared" si="102"/>
        <v>0</v>
      </c>
      <c r="D950" s="6018">
        <f t="shared" si="103"/>
        <v>0</v>
      </c>
      <c r="E950" s="6018">
        <f t="shared" si="104"/>
        <v>145</v>
      </c>
      <c r="F950" s="6019">
        <v>893</v>
      </c>
      <c r="G950" s="6020">
        <f t="shared" si="99"/>
        <v>0</v>
      </c>
      <c r="H950" s="6018">
        <f t="shared" si="100"/>
        <v>141</v>
      </c>
      <c r="I950" s="6018">
        <f t="shared" si="101"/>
        <v>1398</v>
      </c>
      <c r="J950" s="6019">
        <v>2146</v>
      </c>
      <c r="K950" s="1732"/>
      <c r="L950" s="6018">
        <v>47225</v>
      </c>
      <c r="W950" s="6018">
        <v>47200</v>
      </c>
      <c r="X950" s="6019">
        <v>47250</v>
      </c>
      <c r="Y950" s="6018">
        <v>0</v>
      </c>
      <c r="Z950" s="6018">
        <v>0</v>
      </c>
      <c r="AA950" s="6018">
        <v>145</v>
      </c>
      <c r="AB950" s="6019">
        <v>893</v>
      </c>
      <c r="AC950" s="6018">
        <v>0</v>
      </c>
      <c r="AD950" s="6018">
        <v>141</v>
      </c>
      <c r="AE950" s="6018">
        <v>1398</v>
      </c>
      <c r="AF950" s="6019">
        <v>2146</v>
      </c>
    </row>
    <row r="951" spans="1:32" ht="13.5">
      <c r="A951" s="6018">
        <v>47250</v>
      </c>
      <c r="B951" s="6019">
        <v>47300</v>
      </c>
      <c r="C951" s="6020">
        <f t="shared" si="102"/>
        <v>0</v>
      </c>
      <c r="D951" s="6018">
        <f t="shared" si="103"/>
        <v>0</v>
      </c>
      <c r="E951" s="6018">
        <f t="shared" si="104"/>
        <v>135</v>
      </c>
      <c r="F951" s="6019">
        <v>882</v>
      </c>
      <c r="G951" s="6020">
        <f t="shared" si="99"/>
        <v>0</v>
      </c>
      <c r="H951" s="6018">
        <f t="shared" si="100"/>
        <v>133</v>
      </c>
      <c r="I951" s="6018">
        <f t="shared" si="101"/>
        <v>1388</v>
      </c>
      <c r="J951" s="6019">
        <v>2135</v>
      </c>
      <c r="K951" s="1732"/>
      <c r="L951" s="6018">
        <v>47275</v>
      </c>
      <c r="W951" s="6018">
        <v>47250</v>
      </c>
      <c r="X951" s="6019">
        <v>47300</v>
      </c>
      <c r="Y951" s="6018">
        <v>0</v>
      </c>
      <c r="Z951" s="6018">
        <v>0</v>
      </c>
      <c r="AA951" s="6018">
        <v>135</v>
      </c>
      <c r="AB951" s="6019">
        <v>882</v>
      </c>
      <c r="AC951" s="6018">
        <v>0</v>
      </c>
      <c r="AD951" s="6018">
        <v>133</v>
      </c>
      <c r="AE951" s="6018">
        <v>1388</v>
      </c>
      <c r="AF951" s="6019">
        <v>2135</v>
      </c>
    </row>
    <row r="952" spans="1:32" ht="13.5">
      <c r="A952" s="6018">
        <v>47300</v>
      </c>
      <c r="B952" s="6019">
        <v>47350</v>
      </c>
      <c r="C952" s="6020">
        <f t="shared" si="102"/>
        <v>0</v>
      </c>
      <c r="D952" s="6018">
        <f t="shared" si="103"/>
        <v>0</v>
      </c>
      <c r="E952" s="6018">
        <f t="shared" si="104"/>
        <v>124</v>
      </c>
      <c r="F952" s="6019">
        <v>872</v>
      </c>
      <c r="G952" s="6020">
        <f t="shared" si="99"/>
        <v>0</v>
      </c>
      <c r="H952" s="6018">
        <f t="shared" si="100"/>
        <v>125</v>
      </c>
      <c r="I952" s="6018">
        <f t="shared" si="101"/>
        <v>1377</v>
      </c>
      <c r="J952" s="6019">
        <v>2125</v>
      </c>
      <c r="K952" s="1732"/>
      <c r="L952" s="6018">
        <v>47325</v>
      </c>
      <c r="W952" s="6018">
        <v>47300</v>
      </c>
      <c r="X952" s="6019">
        <v>47350</v>
      </c>
      <c r="Y952" s="6018">
        <v>0</v>
      </c>
      <c r="Z952" s="6018">
        <v>0</v>
      </c>
      <c r="AA952" s="6018">
        <v>124</v>
      </c>
      <c r="AB952" s="6019">
        <v>872</v>
      </c>
      <c r="AC952" s="6018">
        <v>0</v>
      </c>
      <c r="AD952" s="6018">
        <v>125</v>
      </c>
      <c r="AE952" s="6018">
        <v>1377</v>
      </c>
      <c r="AF952" s="6019">
        <v>2125</v>
      </c>
    </row>
    <row r="953" spans="1:32" ht="13.5">
      <c r="A953" s="6018">
        <v>47350</v>
      </c>
      <c r="B953" s="6019">
        <v>47400</v>
      </c>
      <c r="C953" s="6020">
        <f t="shared" si="102"/>
        <v>0</v>
      </c>
      <c r="D953" s="6018">
        <f t="shared" si="103"/>
        <v>0</v>
      </c>
      <c r="E953" s="6018">
        <f t="shared" si="104"/>
        <v>114</v>
      </c>
      <c r="F953" s="6019">
        <v>861</v>
      </c>
      <c r="G953" s="6020">
        <f t="shared" si="99"/>
        <v>0</v>
      </c>
      <c r="H953" s="6018">
        <f t="shared" si="100"/>
        <v>117</v>
      </c>
      <c r="I953" s="6018">
        <f t="shared" si="101"/>
        <v>1367</v>
      </c>
      <c r="J953" s="6019">
        <v>2114</v>
      </c>
      <c r="K953" s="1732"/>
      <c r="L953" s="6018">
        <v>47375</v>
      </c>
      <c r="W953" s="6018">
        <v>47350</v>
      </c>
      <c r="X953" s="6019">
        <v>47400</v>
      </c>
      <c r="Y953" s="6018">
        <v>0</v>
      </c>
      <c r="Z953" s="6018">
        <v>0</v>
      </c>
      <c r="AA953" s="6018">
        <v>114</v>
      </c>
      <c r="AB953" s="6019">
        <v>861</v>
      </c>
      <c r="AC953" s="6018">
        <v>0</v>
      </c>
      <c r="AD953" s="6018">
        <v>117</v>
      </c>
      <c r="AE953" s="6018">
        <v>1367</v>
      </c>
      <c r="AF953" s="6019">
        <v>2114</v>
      </c>
    </row>
    <row r="954" spans="1:32" ht="13.5">
      <c r="A954" s="6018">
        <v>47400</v>
      </c>
      <c r="B954" s="6019">
        <v>47450</v>
      </c>
      <c r="C954" s="6020">
        <f t="shared" si="102"/>
        <v>0</v>
      </c>
      <c r="D954" s="6018">
        <f t="shared" si="103"/>
        <v>0</v>
      </c>
      <c r="E954" s="6018">
        <f t="shared" si="104"/>
        <v>103</v>
      </c>
      <c r="F954" s="6019">
        <v>851</v>
      </c>
      <c r="G954" s="6020">
        <f t="shared" si="99"/>
        <v>0</v>
      </c>
      <c r="H954" s="6018">
        <f t="shared" si="100"/>
        <v>109</v>
      </c>
      <c r="I954" s="6018">
        <f t="shared" si="101"/>
        <v>1356</v>
      </c>
      <c r="J954" s="6019">
        <v>2104</v>
      </c>
      <c r="K954" s="1732"/>
      <c r="L954" s="6018">
        <v>47425</v>
      </c>
      <c r="W954" s="6018">
        <v>47400</v>
      </c>
      <c r="X954" s="6019">
        <v>47450</v>
      </c>
      <c r="Y954" s="6018">
        <v>0</v>
      </c>
      <c r="Z954" s="6018">
        <v>0</v>
      </c>
      <c r="AA954" s="6018">
        <v>103</v>
      </c>
      <c r="AB954" s="6019">
        <v>851</v>
      </c>
      <c r="AC954" s="6018">
        <v>0</v>
      </c>
      <c r="AD954" s="6018">
        <v>109</v>
      </c>
      <c r="AE954" s="6018">
        <v>1356</v>
      </c>
      <c r="AF954" s="6019">
        <v>2104</v>
      </c>
    </row>
    <row r="955" spans="1:32" ht="13.5">
      <c r="A955" s="6018">
        <v>47450</v>
      </c>
      <c r="B955" s="6019">
        <v>47500</v>
      </c>
      <c r="C955" s="6020">
        <f t="shared" si="102"/>
        <v>0</v>
      </c>
      <c r="D955" s="6018">
        <f t="shared" si="103"/>
        <v>0</v>
      </c>
      <c r="E955" s="6018">
        <f t="shared" si="104"/>
        <v>93</v>
      </c>
      <c r="F955" s="6019">
        <v>840</v>
      </c>
      <c r="G955" s="6020">
        <f t="shared" si="99"/>
        <v>0</v>
      </c>
      <c r="H955" s="6018">
        <f t="shared" si="100"/>
        <v>101</v>
      </c>
      <c r="I955" s="6018">
        <f t="shared" si="101"/>
        <v>1346</v>
      </c>
      <c r="J955" s="6019">
        <v>2093</v>
      </c>
      <c r="K955" s="1732"/>
      <c r="L955" s="6018">
        <v>47475</v>
      </c>
      <c r="W955" s="6018">
        <v>47450</v>
      </c>
      <c r="X955" s="6019">
        <v>47500</v>
      </c>
      <c r="Y955" s="6018">
        <v>0</v>
      </c>
      <c r="Z955" s="6018">
        <v>0</v>
      </c>
      <c r="AA955" s="6018">
        <v>93</v>
      </c>
      <c r="AB955" s="6019">
        <v>840</v>
      </c>
      <c r="AC955" s="6018">
        <v>0</v>
      </c>
      <c r="AD955" s="6018">
        <v>101</v>
      </c>
      <c r="AE955" s="6018">
        <v>1346</v>
      </c>
      <c r="AF955" s="6019">
        <v>2093</v>
      </c>
    </row>
    <row r="956" spans="1:32" ht="13.5">
      <c r="A956" s="6018">
        <v>47500</v>
      </c>
      <c r="B956" s="6019">
        <v>47550</v>
      </c>
      <c r="C956" s="6020">
        <f t="shared" si="102"/>
        <v>0</v>
      </c>
      <c r="D956" s="6018">
        <f t="shared" si="103"/>
        <v>0</v>
      </c>
      <c r="E956" s="6018">
        <f t="shared" si="104"/>
        <v>82</v>
      </c>
      <c r="F956" s="6019">
        <v>830</v>
      </c>
      <c r="G956" s="6020">
        <f t="shared" si="99"/>
        <v>0</v>
      </c>
      <c r="H956" s="6018">
        <f t="shared" si="100"/>
        <v>93</v>
      </c>
      <c r="I956" s="6018">
        <f t="shared" si="101"/>
        <v>1335</v>
      </c>
      <c r="J956" s="6019">
        <v>2083</v>
      </c>
      <c r="K956" s="1732"/>
      <c r="L956" s="6018">
        <v>47525</v>
      </c>
      <c r="W956" s="6018">
        <v>47500</v>
      </c>
      <c r="X956" s="6019">
        <v>47550</v>
      </c>
      <c r="Y956" s="6018">
        <v>0</v>
      </c>
      <c r="Z956" s="6018">
        <v>0</v>
      </c>
      <c r="AA956" s="6018">
        <v>82</v>
      </c>
      <c r="AB956" s="6019">
        <v>830</v>
      </c>
      <c r="AC956" s="6018">
        <v>0</v>
      </c>
      <c r="AD956" s="6018">
        <v>93</v>
      </c>
      <c r="AE956" s="6018">
        <v>1335</v>
      </c>
      <c r="AF956" s="6019">
        <v>2083</v>
      </c>
    </row>
    <row r="957" spans="1:32" ht="13.5">
      <c r="A957" s="6018">
        <v>47550</v>
      </c>
      <c r="B957" s="6019">
        <v>47600</v>
      </c>
      <c r="C957" s="6020">
        <f t="shared" si="102"/>
        <v>0</v>
      </c>
      <c r="D957" s="6018">
        <f t="shared" si="103"/>
        <v>0</v>
      </c>
      <c r="E957" s="6018">
        <f t="shared" si="104"/>
        <v>72</v>
      </c>
      <c r="F957" s="6019">
        <v>819</v>
      </c>
      <c r="G957" s="6020">
        <f t="shared" si="99"/>
        <v>0</v>
      </c>
      <c r="H957" s="6018">
        <f t="shared" si="100"/>
        <v>85</v>
      </c>
      <c r="I957" s="6018">
        <f t="shared" si="101"/>
        <v>1325</v>
      </c>
      <c r="J957" s="6019">
        <v>2072</v>
      </c>
      <c r="K957" s="1732"/>
      <c r="L957" s="6018">
        <v>47575</v>
      </c>
      <c r="W957" s="6018">
        <v>47550</v>
      </c>
      <c r="X957" s="6019">
        <v>47600</v>
      </c>
      <c r="Y957" s="6018">
        <v>0</v>
      </c>
      <c r="Z957" s="6018">
        <v>0</v>
      </c>
      <c r="AA957" s="6018">
        <v>72</v>
      </c>
      <c r="AB957" s="6019">
        <v>819</v>
      </c>
      <c r="AC957" s="6018">
        <v>0</v>
      </c>
      <c r="AD957" s="6018">
        <v>85</v>
      </c>
      <c r="AE957" s="6018">
        <v>1325</v>
      </c>
      <c r="AF957" s="6019">
        <v>2072</v>
      </c>
    </row>
    <row r="958" spans="1:32" ht="13.5">
      <c r="A958" s="6018">
        <v>47600</v>
      </c>
      <c r="B958" s="6019">
        <v>47650</v>
      </c>
      <c r="C958" s="6020">
        <f t="shared" si="102"/>
        <v>0</v>
      </c>
      <c r="D958" s="6018">
        <f t="shared" si="103"/>
        <v>0</v>
      </c>
      <c r="E958" s="6018">
        <f t="shared" si="104"/>
        <v>61</v>
      </c>
      <c r="F958" s="6019">
        <v>809</v>
      </c>
      <c r="G958" s="6020">
        <f t="shared" si="99"/>
        <v>0</v>
      </c>
      <c r="H958" s="6018">
        <f t="shared" si="100"/>
        <v>77</v>
      </c>
      <c r="I958" s="6018">
        <f t="shared" si="101"/>
        <v>1314</v>
      </c>
      <c r="J958" s="6019">
        <v>2062</v>
      </c>
      <c r="K958" s="1732"/>
      <c r="L958" s="6018">
        <v>47625</v>
      </c>
      <c r="W958" s="6018">
        <v>47600</v>
      </c>
      <c r="X958" s="6019">
        <v>47650</v>
      </c>
      <c r="Y958" s="6018">
        <v>0</v>
      </c>
      <c r="Z958" s="6018">
        <v>0</v>
      </c>
      <c r="AA958" s="6018">
        <v>61</v>
      </c>
      <c r="AB958" s="6019">
        <v>809</v>
      </c>
      <c r="AC958" s="6018">
        <v>0</v>
      </c>
      <c r="AD958" s="6018">
        <v>77</v>
      </c>
      <c r="AE958" s="6018">
        <v>1314</v>
      </c>
      <c r="AF958" s="6019">
        <v>2062</v>
      </c>
    </row>
    <row r="959" spans="1:32" ht="13.5">
      <c r="A959" s="6018">
        <v>47650</v>
      </c>
      <c r="B959" s="6019">
        <v>47700</v>
      </c>
      <c r="C959" s="6020">
        <f t="shared" si="102"/>
        <v>0</v>
      </c>
      <c r="D959" s="6018">
        <f t="shared" si="103"/>
        <v>0</v>
      </c>
      <c r="E959" s="6018">
        <f t="shared" si="104"/>
        <v>51</v>
      </c>
      <c r="F959" s="6019">
        <v>798</v>
      </c>
      <c r="G959" s="6020">
        <f t="shared" si="99"/>
        <v>0</v>
      </c>
      <c r="H959" s="6018">
        <f t="shared" si="100"/>
        <v>69</v>
      </c>
      <c r="I959" s="6018">
        <f t="shared" si="101"/>
        <v>1304</v>
      </c>
      <c r="J959" s="6019">
        <v>2051</v>
      </c>
      <c r="K959" s="1732"/>
      <c r="L959" s="6018">
        <v>47675</v>
      </c>
      <c r="W959" s="6018">
        <v>47650</v>
      </c>
      <c r="X959" s="6019">
        <v>47700</v>
      </c>
      <c r="Y959" s="6018">
        <v>0</v>
      </c>
      <c r="Z959" s="6018">
        <v>0</v>
      </c>
      <c r="AA959" s="6018">
        <v>51</v>
      </c>
      <c r="AB959" s="6019">
        <v>798</v>
      </c>
      <c r="AC959" s="6018">
        <v>0</v>
      </c>
      <c r="AD959" s="6018">
        <v>69</v>
      </c>
      <c r="AE959" s="6018">
        <v>1304</v>
      </c>
      <c r="AF959" s="6019">
        <v>2051</v>
      </c>
    </row>
    <row r="960" spans="1:32" ht="13.5">
      <c r="A960" s="6018">
        <v>47700</v>
      </c>
      <c r="B960" s="6019">
        <v>47750</v>
      </c>
      <c r="C960" s="6020">
        <f t="shared" si="102"/>
        <v>0</v>
      </c>
      <c r="D960" s="6018">
        <f t="shared" si="103"/>
        <v>0</v>
      </c>
      <c r="E960" s="6018">
        <f t="shared" si="104"/>
        <v>40</v>
      </c>
      <c r="F960" s="6019">
        <v>788</v>
      </c>
      <c r="G960" s="6020">
        <f t="shared" si="99"/>
        <v>0</v>
      </c>
      <c r="H960" s="6018">
        <f t="shared" si="100"/>
        <v>61</v>
      </c>
      <c r="I960" s="6018">
        <f t="shared" si="101"/>
        <v>1293</v>
      </c>
      <c r="J960" s="6019">
        <v>2041</v>
      </c>
      <c r="K960" s="1732"/>
      <c r="L960" s="6018">
        <v>47725</v>
      </c>
      <c r="W960" s="6018">
        <v>47700</v>
      </c>
      <c r="X960" s="6019">
        <v>47750</v>
      </c>
      <c r="Y960" s="6018">
        <v>0</v>
      </c>
      <c r="Z960" s="6018">
        <v>0</v>
      </c>
      <c r="AA960" s="6018">
        <v>40</v>
      </c>
      <c r="AB960" s="6019">
        <v>788</v>
      </c>
      <c r="AC960" s="6018">
        <v>0</v>
      </c>
      <c r="AD960" s="6018">
        <v>61</v>
      </c>
      <c r="AE960" s="6018">
        <v>1293</v>
      </c>
      <c r="AF960" s="6019">
        <v>2041</v>
      </c>
    </row>
    <row r="961" spans="1:32" ht="13.5">
      <c r="A961" s="6018">
        <v>47750</v>
      </c>
      <c r="B961" s="6019">
        <v>47800</v>
      </c>
      <c r="C961" s="6020">
        <f t="shared" si="102"/>
        <v>0</v>
      </c>
      <c r="D961" s="6018">
        <f t="shared" si="103"/>
        <v>0</v>
      </c>
      <c r="E961" s="6018">
        <f t="shared" si="104"/>
        <v>29</v>
      </c>
      <c r="F961" s="6019">
        <v>777</v>
      </c>
      <c r="G961" s="6020">
        <f t="shared" si="99"/>
        <v>0</v>
      </c>
      <c r="H961" s="6018">
        <f t="shared" si="100"/>
        <v>53</v>
      </c>
      <c r="I961" s="6018">
        <f t="shared" si="101"/>
        <v>1283</v>
      </c>
      <c r="J961" s="6019">
        <v>2030</v>
      </c>
      <c r="K961" s="1732"/>
      <c r="L961" s="6018">
        <v>47775</v>
      </c>
      <c r="W961" s="6018">
        <v>47750</v>
      </c>
      <c r="X961" s="6019">
        <v>47800</v>
      </c>
      <c r="Y961" s="6018">
        <v>0</v>
      </c>
      <c r="Z961" s="6018">
        <v>0</v>
      </c>
      <c r="AA961" s="6018">
        <v>29</v>
      </c>
      <c r="AB961" s="6019">
        <v>777</v>
      </c>
      <c r="AC961" s="6018">
        <v>0</v>
      </c>
      <c r="AD961" s="6018">
        <v>53</v>
      </c>
      <c r="AE961" s="6018">
        <v>1283</v>
      </c>
      <c r="AF961" s="6019">
        <v>2030</v>
      </c>
    </row>
    <row r="962" spans="1:32" ht="13.5">
      <c r="A962" s="6018">
        <v>47800</v>
      </c>
      <c r="B962" s="6019">
        <v>47850</v>
      </c>
      <c r="C962" s="6020">
        <f t="shared" si="102"/>
        <v>0</v>
      </c>
      <c r="D962" s="6018">
        <f t="shared" si="103"/>
        <v>0</v>
      </c>
      <c r="E962" s="6018">
        <f t="shared" si="104"/>
        <v>19</v>
      </c>
      <c r="F962" s="6019">
        <v>766</v>
      </c>
      <c r="G962" s="6020">
        <f t="shared" si="99"/>
        <v>0</v>
      </c>
      <c r="H962" s="6018">
        <f t="shared" si="100"/>
        <v>45</v>
      </c>
      <c r="I962" s="6018">
        <f t="shared" si="101"/>
        <v>1272</v>
      </c>
      <c r="J962" s="6019">
        <v>2020</v>
      </c>
      <c r="K962" s="1732"/>
      <c r="L962" s="6018">
        <v>47825</v>
      </c>
      <c r="W962" s="6018">
        <v>47800</v>
      </c>
      <c r="X962" s="6019">
        <v>47850</v>
      </c>
      <c r="Y962" s="6018">
        <v>0</v>
      </c>
      <c r="Z962" s="6018">
        <v>0</v>
      </c>
      <c r="AA962" s="6018">
        <v>19</v>
      </c>
      <c r="AB962" s="6019">
        <v>766</v>
      </c>
      <c r="AC962" s="6018">
        <v>0</v>
      </c>
      <c r="AD962" s="6018">
        <v>45</v>
      </c>
      <c r="AE962" s="6018">
        <v>1272</v>
      </c>
      <c r="AF962" s="6019">
        <v>2020</v>
      </c>
    </row>
    <row r="963" spans="1:32" ht="13.5">
      <c r="A963" s="6018">
        <v>47850</v>
      </c>
      <c r="B963" s="6019">
        <v>47900</v>
      </c>
      <c r="C963" s="6020">
        <f t="shared" si="102"/>
        <v>0</v>
      </c>
      <c r="D963" s="6018">
        <f t="shared" si="103"/>
        <v>0</v>
      </c>
      <c r="E963" s="6018">
        <f t="shared" si="104"/>
        <v>8</v>
      </c>
      <c r="F963" s="6019">
        <v>756</v>
      </c>
      <c r="G963" s="6020">
        <f t="shared" si="99"/>
        <v>0</v>
      </c>
      <c r="H963" s="6018">
        <f t="shared" si="100"/>
        <v>37</v>
      </c>
      <c r="I963" s="6018">
        <f t="shared" si="101"/>
        <v>1262</v>
      </c>
      <c r="J963" s="6019">
        <v>2009</v>
      </c>
      <c r="K963" s="1732"/>
      <c r="L963" s="6018">
        <v>47875</v>
      </c>
      <c r="W963" s="6018">
        <v>47850</v>
      </c>
      <c r="X963" s="6019">
        <v>47900</v>
      </c>
      <c r="Y963" s="6018">
        <v>0</v>
      </c>
      <c r="Z963" s="6018">
        <v>0</v>
      </c>
      <c r="AA963" s="6018">
        <v>8</v>
      </c>
      <c r="AB963" s="6019">
        <v>756</v>
      </c>
      <c r="AC963" s="6018">
        <v>0</v>
      </c>
      <c r="AD963" s="6018">
        <v>37</v>
      </c>
      <c r="AE963" s="6018">
        <v>1262</v>
      </c>
      <c r="AF963" s="6019">
        <v>2009</v>
      </c>
    </row>
    <row r="964" spans="1:32" ht="13.5">
      <c r="A964" s="6018">
        <v>47900</v>
      </c>
      <c r="B964" s="6019">
        <v>47915</v>
      </c>
      <c r="C964" s="6020">
        <f t="shared" si="102"/>
        <v>0</v>
      </c>
      <c r="D964" s="6018">
        <f t="shared" si="103"/>
        <v>0</v>
      </c>
      <c r="E964" s="6018">
        <f t="shared" si="104"/>
        <v>2</v>
      </c>
      <c r="F964" s="6019">
        <v>745</v>
      </c>
      <c r="G964" s="6020">
        <f t="shared" ref="G964:G1027" si="105">IF($L964&gt;R$5,MAX(0,R$3+ROUND((R$9*($L964-R$5)),0)),IF($L964&gt;R$4,R$3,ROUND($L964*R$7,0)))</f>
        <v>0</v>
      </c>
      <c r="H964" s="6018">
        <v>29</v>
      </c>
      <c r="I964" s="6018">
        <v>1251</v>
      </c>
      <c r="J964" s="6019">
        <v>1998</v>
      </c>
      <c r="K964" s="1732"/>
      <c r="L964" s="6018">
        <v>47907.5</v>
      </c>
      <c r="W964" s="6018">
        <v>47900</v>
      </c>
      <c r="X964" s="6019">
        <v>47915</v>
      </c>
      <c r="Y964" s="6018">
        <v>0</v>
      </c>
      <c r="Z964" s="6018">
        <v>0</v>
      </c>
      <c r="AA964" s="6018">
        <v>2</v>
      </c>
      <c r="AB964" s="6019">
        <v>745</v>
      </c>
      <c r="AC964" s="6018">
        <v>0</v>
      </c>
      <c r="AD964" s="6018">
        <v>29</v>
      </c>
      <c r="AE964" s="6018">
        <v>1251</v>
      </c>
      <c r="AF964" s="6019">
        <v>1998</v>
      </c>
    </row>
    <row r="965" spans="1:32" ht="13.5">
      <c r="A965" s="6018">
        <v>47915</v>
      </c>
      <c r="B965" s="6019">
        <v>47950</v>
      </c>
      <c r="C965" s="6020">
        <f t="shared" si="102"/>
        <v>0</v>
      </c>
      <c r="D965" s="6018">
        <f t="shared" si="103"/>
        <v>0</v>
      </c>
      <c r="E965" s="6018">
        <f t="shared" si="104"/>
        <v>0</v>
      </c>
      <c r="F965" s="6019">
        <v>745</v>
      </c>
      <c r="G965" s="6020">
        <f t="shared" si="105"/>
        <v>0</v>
      </c>
      <c r="H965" s="6018">
        <v>29</v>
      </c>
      <c r="I965" s="6018">
        <v>1251</v>
      </c>
      <c r="J965" s="6019">
        <v>1998</v>
      </c>
      <c r="K965" s="1732"/>
      <c r="L965" s="6018">
        <v>47932.5</v>
      </c>
      <c r="W965" s="6018">
        <v>47915</v>
      </c>
      <c r="X965" s="6019">
        <v>47950</v>
      </c>
      <c r="Y965" s="6018">
        <v>0</v>
      </c>
      <c r="Z965" s="6018">
        <v>0</v>
      </c>
      <c r="AA965" s="6018">
        <v>0</v>
      </c>
      <c r="AB965" s="6019">
        <v>745</v>
      </c>
      <c r="AC965" s="6018">
        <v>0</v>
      </c>
      <c r="AD965" s="6018">
        <v>29</v>
      </c>
      <c r="AE965" s="6018">
        <v>1251</v>
      </c>
      <c r="AF965" s="6019">
        <v>1998</v>
      </c>
    </row>
    <row r="966" spans="1:32" ht="13.5">
      <c r="A966" s="6018">
        <v>47950</v>
      </c>
      <c r="B966" s="6019">
        <v>48000</v>
      </c>
      <c r="C966" s="6020">
        <f t="shared" ref="C966:C1029" si="106">IF($L966&gt;N$5,MAX(0,N$3+ROUND((N$9*($L966-N$5)),0)),IF($L966&gt;N$4,N$3,ROUND($L966*N$7,0)))</f>
        <v>0</v>
      </c>
      <c r="D966" s="6018">
        <f t="shared" ref="D966:D1029" si="107">IF($L966&gt;O$5,MAX(0,O$3+ROUND((O$9*($L966-O$5)),0)),IF($L966&gt;O$4,O$3,ROUND($L966*O$7,0)))</f>
        <v>0</v>
      </c>
      <c r="E966" s="6018">
        <f t="shared" ref="E966:E1029" si="108">IF($L966&gt;P$5,MAX(0,P$3+ROUND((P$9*($L966-P$5)),0)),IF($L966&gt;P$4,P$3,ROUND($L966*P$7,0)))</f>
        <v>0</v>
      </c>
      <c r="F966" s="6019">
        <v>735</v>
      </c>
      <c r="G966" s="6020">
        <f t="shared" si="105"/>
        <v>0</v>
      </c>
      <c r="H966" s="6018">
        <f t="shared" ref="H966:H1027" si="109">IF($L966&gt;S$5,MAX(0,S$3+ROUND((S$9*($L966-S$5)),0)),IF($L966&gt;S$4,S$3,ROUND($L966*S$7,0)))</f>
        <v>21</v>
      </c>
      <c r="I966" s="6018">
        <f t="shared" ref="I966:I1027" si="110">IF($L966&gt;T$5,MAX(0,T$3+ROUND((T$9*($L966-T$5)),0)),IF($L966&gt;T$4,T$3,ROUND($L966*T$7,0)))</f>
        <v>1240</v>
      </c>
      <c r="J966" s="6019">
        <v>1988</v>
      </c>
      <c r="K966" s="1732"/>
      <c r="L966" s="6018">
        <v>47975</v>
      </c>
      <c r="W966" s="6018">
        <v>47950</v>
      </c>
      <c r="X966" s="6019">
        <v>48000</v>
      </c>
      <c r="Y966" s="6018">
        <v>0</v>
      </c>
      <c r="Z966" s="6018">
        <v>0</v>
      </c>
      <c r="AA966" s="6018">
        <v>0</v>
      </c>
      <c r="AB966" s="6019">
        <v>735</v>
      </c>
      <c r="AC966" s="6018">
        <v>0</v>
      </c>
      <c r="AD966" s="6018">
        <v>21</v>
      </c>
      <c r="AE966" s="6018">
        <v>1240</v>
      </c>
      <c r="AF966" s="6019">
        <v>1988</v>
      </c>
    </row>
    <row r="967" spans="1:32" ht="13.5">
      <c r="A967" s="6018">
        <v>48000</v>
      </c>
      <c r="B967" s="6019">
        <v>48050</v>
      </c>
      <c r="C967" s="6020">
        <f t="shared" si="106"/>
        <v>0</v>
      </c>
      <c r="D967" s="6018">
        <f t="shared" si="107"/>
        <v>0</v>
      </c>
      <c r="E967" s="6018">
        <f t="shared" si="108"/>
        <v>0</v>
      </c>
      <c r="F967" s="6019">
        <v>724</v>
      </c>
      <c r="G967" s="6020">
        <f t="shared" si="105"/>
        <v>0</v>
      </c>
      <c r="H967" s="6018">
        <f t="shared" si="109"/>
        <v>13</v>
      </c>
      <c r="I967" s="6018">
        <f t="shared" si="110"/>
        <v>1230</v>
      </c>
      <c r="J967" s="6019">
        <v>1977</v>
      </c>
      <c r="K967" s="1732"/>
      <c r="L967" s="6018">
        <v>48025</v>
      </c>
      <c r="W967" s="6018">
        <v>48000</v>
      </c>
      <c r="X967" s="6019">
        <v>48050</v>
      </c>
      <c r="Y967" s="6018">
        <v>0</v>
      </c>
      <c r="Z967" s="6018">
        <v>0</v>
      </c>
      <c r="AA967" s="6018">
        <v>0</v>
      </c>
      <c r="AB967" s="6019">
        <v>724</v>
      </c>
      <c r="AC967" s="6018">
        <v>0</v>
      </c>
      <c r="AD967" s="6018">
        <v>13</v>
      </c>
      <c r="AE967" s="6018">
        <v>1230</v>
      </c>
      <c r="AF967" s="6019">
        <v>1977</v>
      </c>
    </row>
    <row r="968" spans="1:32" ht="13.5">
      <c r="A968" s="6018">
        <v>48050</v>
      </c>
      <c r="B968" s="6019">
        <v>48100</v>
      </c>
      <c r="C968" s="6020">
        <f t="shared" si="106"/>
        <v>0</v>
      </c>
      <c r="D968" s="6018">
        <f t="shared" si="107"/>
        <v>0</v>
      </c>
      <c r="E968" s="6018">
        <f t="shared" si="108"/>
        <v>0</v>
      </c>
      <c r="F968" s="6019">
        <v>714</v>
      </c>
      <c r="G968" s="6020">
        <f t="shared" si="105"/>
        <v>0</v>
      </c>
      <c r="H968" s="6018">
        <f t="shared" si="109"/>
        <v>5</v>
      </c>
      <c r="I968" s="6018">
        <f t="shared" si="110"/>
        <v>1219</v>
      </c>
      <c r="J968" s="6019">
        <v>1967</v>
      </c>
      <c r="K968" s="1732"/>
      <c r="L968" s="6018">
        <v>48075</v>
      </c>
      <c r="W968" s="6018">
        <v>48050</v>
      </c>
      <c r="X968" s="6019">
        <v>48100</v>
      </c>
      <c r="Y968" s="6018">
        <v>0</v>
      </c>
      <c r="Z968" s="6018">
        <v>0</v>
      </c>
      <c r="AA968" s="6018">
        <v>0</v>
      </c>
      <c r="AB968" s="6019">
        <v>714</v>
      </c>
      <c r="AC968" s="6018">
        <v>0</v>
      </c>
      <c r="AD968" s="6018">
        <v>5</v>
      </c>
      <c r="AE968" s="6018">
        <v>1219</v>
      </c>
      <c r="AF968" s="6019">
        <v>1967</v>
      </c>
    </row>
    <row r="969" spans="1:32" ht="13.5">
      <c r="A969" s="6018">
        <v>48100</v>
      </c>
      <c r="B969" s="6019">
        <v>48108</v>
      </c>
      <c r="C969" s="6020">
        <f t="shared" si="106"/>
        <v>0</v>
      </c>
      <c r="D969" s="6018">
        <f t="shared" si="107"/>
        <v>0</v>
      </c>
      <c r="E969" s="6018">
        <f t="shared" si="108"/>
        <v>0</v>
      </c>
      <c r="F969" s="6019">
        <v>703</v>
      </c>
      <c r="G969" s="6020">
        <f t="shared" si="105"/>
        <v>0</v>
      </c>
      <c r="H969" s="6018">
        <f t="shared" si="109"/>
        <v>1</v>
      </c>
      <c r="I969" s="6018">
        <v>1209</v>
      </c>
      <c r="J969" s="6019">
        <v>1956</v>
      </c>
      <c r="K969" s="1732"/>
      <c r="L969" s="6018">
        <v>48104</v>
      </c>
      <c r="W969" s="6018">
        <v>48100</v>
      </c>
      <c r="X969" s="6019">
        <v>48108</v>
      </c>
      <c r="Y969" s="6018">
        <v>0</v>
      </c>
      <c r="Z969" s="6018">
        <v>0</v>
      </c>
      <c r="AA969" s="6018">
        <v>0</v>
      </c>
      <c r="AB969" s="6019">
        <v>703</v>
      </c>
      <c r="AC969" s="6018">
        <v>0</v>
      </c>
      <c r="AD969" s="6018">
        <v>1</v>
      </c>
      <c r="AE969" s="6018">
        <v>1209</v>
      </c>
      <c r="AF969" s="6019">
        <v>1956</v>
      </c>
    </row>
    <row r="970" spans="1:32" ht="13.5">
      <c r="A970" s="6018">
        <v>48108</v>
      </c>
      <c r="B970" s="6019">
        <v>48150</v>
      </c>
      <c r="C970" s="6020">
        <f t="shared" si="106"/>
        <v>0</v>
      </c>
      <c r="D970" s="6018">
        <f t="shared" si="107"/>
        <v>0</v>
      </c>
      <c r="E970" s="6018">
        <f t="shared" si="108"/>
        <v>0</v>
      </c>
      <c r="F970" s="6019">
        <v>703</v>
      </c>
      <c r="G970" s="6020">
        <f t="shared" si="105"/>
        <v>0</v>
      </c>
      <c r="H970" s="6018">
        <f t="shared" si="109"/>
        <v>0</v>
      </c>
      <c r="I970" s="6018">
        <v>1209</v>
      </c>
      <c r="J970" s="6019">
        <v>1956</v>
      </c>
      <c r="K970" s="1732"/>
      <c r="L970" s="6018">
        <v>48129</v>
      </c>
      <c r="W970" s="6018">
        <v>48108</v>
      </c>
      <c r="X970" s="6019">
        <v>48150</v>
      </c>
      <c r="Y970" s="6018">
        <v>0</v>
      </c>
      <c r="Z970" s="6018">
        <v>0</v>
      </c>
      <c r="AA970" s="6018">
        <v>0</v>
      </c>
      <c r="AB970" s="6019">
        <v>703</v>
      </c>
      <c r="AC970" s="6018">
        <v>0</v>
      </c>
      <c r="AD970" s="6018">
        <v>0</v>
      </c>
      <c r="AE970" s="6018">
        <v>1209</v>
      </c>
      <c r="AF970" s="6019">
        <v>1956</v>
      </c>
    </row>
    <row r="971" spans="1:32" ht="13.5">
      <c r="A971" s="6018">
        <v>48150</v>
      </c>
      <c r="B971" s="6019">
        <v>48200</v>
      </c>
      <c r="C971" s="6020">
        <f t="shared" si="106"/>
        <v>0</v>
      </c>
      <c r="D971" s="6018">
        <f t="shared" si="107"/>
        <v>0</v>
      </c>
      <c r="E971" s="6018">
        <f t="shared" si="108"/>
        <v>0</v>
      </c>
      <c r="F971" s="6019">
        <v>693</v>
      </c>
      <c r="G971" s="6020">
        <f t="shared" si="105"/>
        <v>0</v>
      </c>
      <c r="H971" s="6018">
        <f t="shared" si="109"/>
        <v>0</v>
      </c>
      <c r="I971" s="6018">
        <f t="shared" si="110"/>
        <v>1198</v>
      </c>
      <c r="J971" s="6019">
        <v>1946</v>
      </c>
      <c r="K971" s="1732"/>
      <c r="L971" s="6018">
        <v>48175</v>
      </c>
      <c r="W971" s="6018">
        <v>48150</v>
      </c>
      <c r="X971" s="6019">
        <v>48200</v>
      </c>
      <c r="Y971" s="6018">
        <v>0</v>
      </c>
      <c r="Z971" s="6018">
        <v>0</v>
      </c>
      <c r="AA971" s="6018">
        <v>0</v>
      </c>
      <c r="AB971" s="6019">
        <v>693</v>
      </c>
      <c r="AC971" s="6018">
        <v>0</v>
      </c>
      <c r="AD971" s="6018">
        <v>0</v>
      </c>
      <c r="AE971" s="6018">
        <v>1198</v>
      </c>
      <c r="AF971" s="6019">
        <v>1946</v>
      </c>
    </row>
    <row r="972" spans="1:32" ht="13.5">
      <c r="A972" s="6018">
        <v>48200</v>
      </c>
      <c r="B972" s="6019">
        <v>48250</v>
      </c>
      <c r="C972" s="6020">
        <f t="shared" si="106"/>
        <v>0</v>
      </c>
      <c r="D972" s="6018">
        <f t="shared" si="107"/>
        <v>0</v>
      </c>
      <c r="E972" s="6018">
        <f t="shared" si="108"/>
        <v>0</v>
      </c>
      <c r="F972" s="6019">
        <v>682</v>
      </c>
      <c r="G972" s="6020">
        <f t="shared" si="105"/>
        <v>0</v>
      </c>
      <c r="H972" s="6018">
        <f t="shared" si="109"/>
        <v>0</v>
      </c>
      <c r="I972" s="6018">
        <f t="shared" si="110"/>
        <v>1188</v>
      </c>
      <c r="J972" s="6019">
        <v>1935</v>
      </c>
      <c r="K972" s="1732"/>
      <c r="L972" s="6018">
        <v>48225</v>
      </c>
      <c r="W972" s="6018">
        <v>48200</v>
      </c>
      <c r="X972" s="6019">
        <v>48250</v>
      </c>
      <c r="Y972" s="6018">
        <v>0</v>
      </c>
      <c r="Z972" s="6018">
        <v>0</v>
      </c>
      <c r="AA972" s="6018">
        <v>0</v>
      </c>
      <c r="AB972" s="6019">
        <v>682</v>
      </c>
      <c r="AC972" s="6018">
        <v>0</v>
      </c>
      <c r="AD972" s="6018">
        <v>0</v>
      </c>
      <c r="AE972" s="6018">
        <v>1188</v>
      </c>
      <c r="AF972" s="6019">
        <v>1935</v>
      </c>
    </row>
    <row r="973" spans="1:32" ht="13.5">
      <c r="A973" s="6018">
        <v>48250</v>
      </c>
      <c r="B973" s="6019">
        <v>48300</v>
      </c>
      <c r="C973" s="6020">
        <f t="shared" si="106"/>
        <v>0</v>
      </c>
      <c r="D973" s="6018">
        <f t="shared" si="107"/>
        <v>0</v>
      </c>
      <c r="E973" s="6018">
        <f t="shared" si="108"/>
        <v>0</v>
      </c>
      <c r="F973" s="6019">
        <v>672</v>
      </c>
      <c r="G973" s="6020">
        <f t="shared" si="105"/>
        <v>0</v>
      </c>
      <c r="H973" s="6018">
        <f t="shared" si="109"/>
        <v>0</v>
      </c>
      <c r="I973" s="6018">
        <f t="shared" si="110"/>
        <v>1177</v>
      </c>
      <c r="J973" s="6019">
        <v>1925</v>
      </c>
      <c r="K973" s="1732"/>
      <c r="L973" s="6018">
        <v>48275</v>
      </c>
      <c r="W973" s="6018">
        <v>48250</v>
      </c>
      <c r="X973" s="6019">
        <v>48300</v>
      </c>
      <c r="Y973" s="6018">
        <v>0</v>
      </c>
      <c r="Z973" s="6018">
        <v>0</v>
      </c>
      <c r="AA973" s="6018">
        <v>0</v>
      </c>
      <c r="AB973" s="6019">
        <v>672</v>
      </c>
      <c r="AC973" s="6018">
        <v>0</v>
      </c>
      <c r="AD973" s="6018">
        <v>0</v>
      </c>
      <c r="AE973" s="6018">
        <v>1177</v>
      </c>
      <c r="AF973" s="6019">
        <v>1925</v>
      </c>
    </row>
    <row r="974" spans="1:32" ht="13.5">
      <c r="A974" s="6018">
        <v>48300</v>
      </c>
      <c r="B974" s="6019">
        <v>48350</v>
      </c>
      <c r="C974" s="6020">
        <f t="shared" si="106"/>
        <v>0</v>
      </c>
      <c r="D974" s="6018">
        <f t="shared" si="107"/>
        <v>0</v>
      </c>
      <c r="E974" s="6018">
        <f t="shared" si="108"/>
        <v>0</v>
      </c>
      <c r="F974" s="6019">
        <v>661</v>
      </c>
      <c r="G974" s="6020">
        <f t="shared" si="105"/>
        <v>0</v>
      </c>
      <c r="H974" s="6018">
        <f t="shared" si="109"/>
        <v>0</v>
      </c>
      <c r="I974" s="6018">
        <f t="shared" si="110"/>
        <v>1167</v>
      </c>
      <c r="J974" s="6019">
        <v>1914</v>
      </c>
      <c r="K974" s="1732"/>
      <c r="L974" s="6018">
        <v>48325</v>
      </c>
      <c r="W974" s="6018">
        <v>48300</v>
      </c>
      <c r="X974" s="6019">
        <v>48350</v>
      </c>
      <c r="Y974" s="6018">
        <v>0</v>
      </c>
      <c r="Z974" s="6018">
        <v>0</v>
      </c>
      <c r="AA974" s="6018">
        <v>0</v>
      </c>
      <c r="AB974" s="6019">
        <v>661</v>
      </c>
      <c r="AC974" s="6018">
        <v>0</v>
      </c>
      <c r="AD974" s="6018">
        <v>0</v>
      </c>
      <c r="AE974" s="6018">
        <v>1167</v>
      </c>
      <c r="AF974" s="6019">
        <v>1914</v>
      </c>
    </row>
    <row r="975" spans="1:32" ht="13.5">
      <c r="A975" s="6018">
        <v>48350</v>
      </c>
      <c r="B975" s="6019">
        <v>48400</v>
      </c>
      <c r="C975" s="6020">
        <f t="shared" si="106"/>
        <v>0</v>
      </c>
      <c r="D975" s="6018">
        <f t="shared" si="107"/>
        <v>0</v>
      </c>
      <c r="E975" s="6018">
        <f t="shared" si="108"/>
        <v>0</v>
      </c>
      <c r="F975" s="6019">
        <v>651</v>
      </c>
      <c r="G975" s="6020">
        <f t="shared" si="105"/>
        <v>0</v>
      </c>
      <c r="H975" s="6018">
        <f t="shared" si="109"/>
        <v>0</v>
      </c>
      <c r="I975" s="6018">
        <f t="shared" si="110"/>
        <v>1156</v>
      </c>
      <c r="J975" s="6019">
        <v>1904</v>
      </c>
      <c r="K975" s="1732"/>
      <c r="L975" s="6018">
        <v>48375</v>
      </c>
      <c r="W975" s="6018">
        <v>48350</v>
      </c>
      <c r="X975" s="6019">
        <v>48400</v>
      </c>
      <c r="Y975" s="6018">
        <v>0</v>
      </c>
      <c r="Z975" s="6018">
        <v>0</v>
      </c>
      <c r="AA975" s="6018">
        <v>0</v>
      </c>
      <c r="AB975" s="6019">
        <v>651</v>
      </c>
      <c r="AC975" s="6018">
        <v>0</v>
      </c>
      <c r="AD975" s="6018">
        <v>0</v>
      </c>
      <c r="AE975" s="6018">
        <v>1156</v>
      </c>
      <c r="AF975" s="6019">
        <v>1904</v>
      </c>
    </row>
    <row r="976" spans="1:32" ht="13.5">
      <c r="A976" s="6018">
        <v>48400</v>
      </c>
      <c r="B976" s="6019">
        <v>48450</v>
      </c>
      <c r="C976" s="6020">
        <f t="shared" si="106"/>
        <v>0</v>
      </c>
      <c r="D976" s="6018">
        <f t="shared" si="107"/>
        <v>0</v>
      </c>
      <c r="E976" s="6018">
        <f t="shared" si="108"/>
        <v>0</v>
      </c>
      <c r="F976" s="6019">
        <v>640</v>
      </c>
      <c r="G976" s="6020">
        <f t="shared" si="105"/>
        <v>0</v>
      </c>
      <c r="H976" s="6018">
        <f t="shared" si="109"/>
        <v>0</v>
      </c>
      <c r="I976" s="6018">
        <f t="shared" si="110"/>
        <v>1146</v>
      </c>
      <c r="J976" s="6019">
        <v>1893</v>
      </c>
      <c r="K976" s="1732"/>
      <c r="L976" s="6018">
        <v>48425</v>
      </c>
      <c r="W976" s="6018">
        <v>48400</v>
      </c>
      <c r="X976" s="6019">
        <v>48450</v>
      </c>
      <c r="Y976" s="6018">
        <v>0</v>
      </c>
      <c r="Z976" s="6018">
        <v>0</v>
      </c>
      <c r="AA976" s="6018">
        <v>0</v>
      </c>
      <c r="AB976" s="6019">
        <v>640</v>
      </c>
      <c r="AC976" s="6018">
        <v>0</v>
      </c>
      <c r="AD976" s="6018">
        <v>0</v>
      </c>
      <c r="AE976" s="6018">
        <v>1146</v>
      </c>
      <c r="AF976" s="6019">
        <v>1893</v>
      </c>
    </row>
    <row r="977" spans="1:32" ht="13.5">
      <c r="A977" s="6018">
        <v>48450</v>
      </c>
      <c r="B977" s="6019">
        <v>48500</v>
      </c>
      <c r="C977" s="6020">
        <f t="shared" si="106"/>
        <v>0</v>
      </c>
      <c r="D977" s="6018">
        <f t="shared" si="107"/>
        <v>0</v>
      </c>
      <c r="E977" s="6018">
        <f t="shared" si="108"/>
        <v>0</v>
      </c>
      <c r="F977" s="6019">
        <v>630</v>
      </c>
      <c r="G977" s="6020">
        <f t="shared" si="105"/>
        <v>0</v>
      </c>
      <c r="H977" s="6018">
        <f t="shared" si="109"/>
        <v>0</v>
      </c>
      <c r="I977" s="6018">
        <f t="shared" si="110"/>
        <v>1135</v>
      </c>
      <c r="J977" s="6019">
        <v>1883</v>
      </c>
      <c r="K977" s="1732"/>
      <c r="L977" s="6018">
        <v>48475</v>
      </c>
      <c r="W977" s="6018">
        <v>48450</v>
      </c>
      <c r="X977" s="6019">
        <v>48500</v>
      </c>
      <c r="Y977" s="6018">
        <v>0</v>
      </c>
      <c r="Z977" s="6018">
        <v>0</v>
      </c>
      <c r="AA977" s="6018">
        <v>0</v>
      </c>
      <c r="AB977" s="6019">
        <v>630</v>
      </c>
      <c r="AC977" s="6018">
        <v>0</v>
      </c>
      <c r="AD977" s="6018">
        <v>0</v>
      </c>
      <c r="AE977" s="6018">
        <v>1135</v>
      </c>
      <c r="AF977" s="6019">
        <v>1883</v>
      </c>
    </row>
    <row r="978" spans="1:32" ht="13.5">
      <c r="A978" s="6018">
        <v>48500</v>
      </c>
      <c r="B978" s="6019">
        <v>48550</v>
      </c>
      <c r="C978" s="6020">
        <f t="shared" si="106"/>
        <v>0</v>
      </c>
      <c r="D978" s="6018">
        <f t="shared" si="107"/>
        <v>0</v>
      </c>
      <c r="E978" s="6018">
        <f t="shared" si="108"/>
        <v>0</v>
      </c>
      <c r="F978" s="6019">
        <v>619</v>
      </c>
      <c r="G978" s="6020">
        <f t="shared" si="105"/>
        <v>0</v>
      </c>
      <c r="H978" s="6018">
        <f t="shared" si="109"/>
        <v>0</v>
      </c>
      <c r="I978" s="6018">
        <f t="shared" si="110"/>
        <v>1125</v>
      </c>
      <c r="J978" s="6019">
        <v>1872</v>
      </c>
      <c r="K978" s="1732"/>
      <c r="L978" s="6018">
        <v>48525</v>
      </c>
      <c r="W978" s="6018">
        <v>48500</v>
      </c>
      <c r="X978" s="6019">
        <v>48550</v>
      </c>
      <c r="Y978" s="6018">
        <v>0</v>
      </c>
      <c r="Z978" s="6018">
        <v>0</v>
      </c>
      <c r="AA978" s="6018">
        <v>0</v>
      </c>
      <c r="AB978" s="6019">
        <v>619</v>
      </c>
      <c r="AC978" s="6018">
        <v>0</v>
      </c>
      <c r="AD978" s="6018">
        <v>0</v>
      </c>
      <c r="AE978" s="6018">
        <v>1125</v>
      </c>
      <c r="AF978" s="6019">
        <v>1872</v>
      </c>
    </row>
    <row r="979" spans="1:32" ht="13.5">
      <c r="A979" s="6018">
        <v>48550</v>
      </c>
      <c r="B979" s="6019">
        <v>48600</v>
      </c>
      <c r="C979" s="6020">
        <f t="shared" si="106"/>
        <v>0</v>
      </c>
      <c r="D979" s="6018">
        <f t="shared" si="107"/>
        <v>0</v>
      </c>
      <c r="E979" s="6018">
        <f t="shared" si="108"/>
        <v>0</v>
      </c>
      <c r="F979" s="6019">
        <v>609</v>
      </c>
      <c r="G979" s="6020">
        <f t="shared" si="105"/>
        <v>0</v>
      </c>
      <c r="H979" s="6018">
        <f t="shared" si="109"/>
        <v>0</v>
      </c>
      <c r="I979" s="6018">
        <f t="shared" si="110"/>
        <v>1114</v>
      </c>
      <c r="J979" s="6019">
        <v>1862</v>
      </c>
      <c r="K979" s="1732"/>
      <c r="L979" s="6018">
        <v>48575</v>
      </c>
      <c r="W979" s="6018">
        <v>48550</v>
      </c>
      <c r="X979" s="6019">
        <v>48600</v>
      </c>
      <c r="Y979" s="6018">
        <v>0</v>
      </c>
      <c r="Z979" s="6018">
        <v>0</v>
      </c>
      <c r="AA979" s="6018">
        <v>0</v>
      </c>
      <c r="AB979" s="6019">
        <v>609</v>
      </c>
      <c r="AC979" s="6018">
        <v>0</v>
      </c>
      <c r="AD979" s="6018">
        <v>0</v>
      </c>
      <c r="AE979" s="6018">
        <v>1114</v>
      </c>
      <c r="AF979" s="6019">
        <v>1862</v>
      </c>
    </row>
    <row r="980" spans="1:32" ht="13.5">
      <c r="A980" s="6018">
        <v>48600</v>
      </c>
      <c r="B980" s="6019">
        <v>48650</v>
      </c>
      <c r="C980" s="6020">
        <f t="shared" si="106"/>
        <v>0</v>
      </c>
      <c r="D980" s="6018">
        <f t="shared" si="107"/>
        <v>0</v>
      </c>
      <c r="E980" s="6018">
        <f t="shared" si="108"/>
        <v>0</v>
      </c>
      <c r="F980" s="6019">
        <v>598</v>
      </c>
      <c r="G980" s="6020">
        <f t="shared" si="105"/>
        <v>0</v>
      </c>
      <c r="H980" s="6018">
        <f t="shared" si="109"/>
        <v>0</v>
      </c>
      <c r="I980" s="6018">
        <f t="shared" si="110"/>
        <v>1104</v>
      </c>
      <c r="J980" s="6019">
        <v>1851</v>
      </c>
      <c r="K980" s="1732"/>
      <c r="L980" s="6018">
        <v>48625</v>
      </c>
      <c r="W980" s="6018">
        <v>48600</v>
      </c>
      <c r="X980" s="6019">
        <v>48650</v>
      </c>
      <c r="Y980" s="6018">
        <v>0</v>
      </c>
      <c r="Z980" s="6018">
        <v>0</v>
      </c>
      <c r="AA980" s="6018">
        <v>0</v>
      </c>
      <c r="AB980" s="6019">
        <v>598</v>
      </c>
      <c r="AC980" s="6018">
        <v>0</v>
      </c>
      <c r="AD980" s="6018">
        <v>0</v>
      </c>
      <c r="AE980" s="6018">
        <v>1104</v>
      </c>
      <c r="AF980" s="6019">
        <v>1851</v>
      </c>
    </row>
    <row r="981" spans="1:32" ht="13.5">
      <c r="A981" s="6018">
        <v>48650</v>
      </c>
      <c r="B981" s="6019">
        <v>48700</v>
      </c>
      <c r="C981" s="6020">
        <f t="shared" si="106"/>
        <v>0</v>
      </c>
      <c r="D981" s="6018">
        <f t="shared" si="107"/>
        <v>0</v>
      </c>
      <c r="E981" s="6018">
        <f t="shared" si="108"/>
        <v>0</v>
      </c>
      <c r="F981" s="6019">
        <v>587</v>
      </c>
      <c r="G981" s="6020">
        <f t="shared" si="105"/>
        <v>0</v>
      </c>
      <c r="H981" s="6018">
        <f t="shared" si="109"/>
        <v>0</v>
      </c>
      <c r="I981" s="6018">
        <f t="shared" si="110"/>
        <v>1093</v>
      </c>
      <c r="J981" s="6019">
        <v>1841</v>
      </c>
      <c r="K981" s="1732"/>
      <c r="L981" s="6018">
        <v>48675</v>
      </c>
      <c r="W981" s="6018">
        <v>48650</v>
      </c>
      <c r="X981" s="6019">
        <v>48700</v>
      </c>
      <c r="Y981" s="6018">
        <v>0</v>
      </c>
      <c r="Z981" s="6018">
        <v>0</v>
      </c>
      <c r="AA981" s="6018">
        <v>0</v>
      </c>
      <c r="AB981" s="6019">
        <v>587</v>
      </c>
      <c r="AC981" s="6018">
        <v>0</v>
      </c>
      <c r="AD981" s="6018">
        <v>0</v>
      </c>
      <c r="AE981" s="6018">
        <v>1093</v>
      </c>
      <c r="AF981" s="6019">
        <v>1841</v>
      </c>
    </row>
    <row r="982" spans="1:32" ht="13.5">
      <c r="A982" s="6018">
        <v>48700</v>
      </c>
      <c r="B982" s="6019">
        <v>48750</v>
      </c>
      <c r="C982" s="6020">
        <f t="shared" si="106"/>
        <v>0</v>
      </c>
      <c r="D982" s="6018">
        <f t="shared" si="107"/>
        <v>0</v>
      </c>
      <c r="E982" s="6018">
        <f t="shared" si="108"/>
        <v>0</v>
      </c>
      <c r="F982" s="6019">
        <v>577</v>
      </c>
      <c r="G982" s="6020">
        <f t="shared" si="105"/>
        <v>0</v>
      </c>
      <c r="H982" s="6018">
        <f t="shared" si="109"/>
        <v>0</v>
      </c>
      <c r="I982" s="6018">
        <f t="shared" si="110"/>
        <v>1082</v>
      </c>
      <c r="J982" s="6019">
        <v>1830</v>
      </c>
      <c r="K982" s="1732"/>
      <c r="L982" s="6018">
        <v>48725</v>
      </c>
      <c r="W982" s="6018">
        <v>48700</v>
      </c>
      <c r="X982" s="6019">
        <v>48750</v>
      </c>
      <c r="Y982" s="6018">
        <v>0</v>
      </c>
      <c r="Z982" s="6018">
        <v>0</v>
      </c>
      <c r="AA982" s="6018">
        <v>0</v>
      </c>
      <c r="AB982" s="6019">
        <v>577</v>
      </c>
      <c r="AC982" s="6018">
        <v>0</v>
      </c>
      <c r="AD982" s="6018">
        <v>0</v>
      </c>
      <c r="AE982" s="6018">
        <v>1082</v>
      </c>
      <c r="AF982" s="6019">
        <v>1830</v>
      </c>
    </row>
    <row r="983" spans="1:32" ht="13.5">
      <c r="A983" s="6018">
        <v>48750</v>
      </c>
      <c r="B983" s="6019">
        <v>48800</v>
      </c>
      <c r="C983" s="6020">
        <f t="shared" si="106"/>
        <v>0</v>
      </c>
      <c r="D983" s="6018">
        <f t="shared" si="107"/>
        <v>0</v>
      </c>
      <c r="E983" s="6018">
        <f t="shared" si="108"/>
        <v>0</v>
      </c>
      <c r="F983" s="6019">
        <v>566</v>
      </c>
      <c r="G983" s="6020">
        <f t="shared" si="105"/>
        <v>0</v>
      </c>
      <c r="H983" s="6018">
        <f t="shared" si="109"/>
        <v>0</v>
      </c>
      <c r="I983" s="6018">
        <f t="shared" si="110"/>
        <v>1072</v>
      </c>
      <c r="J983" s="6019">
        <v>1819</v>
      </c>
      <c r="K983" s="1732"/>
      <c r="L983" s="6018">
        <v>48775</v>
      </c>
      <c r="W983" s="6018">
        <v>48750</v>
      </c>
      <c r="X983" s="6019">
        <v>48800</v>
      </c>
      <c r="Y983" s="6018">
        <v>0</v>
      </c>
      <c r="Z983" s="6018">
        <v>0</v>
      </c>
      <c r="AA983" s="6018">
        <v>0</v>
      </c>
      <c r="AB983" s="6019">
        <v>566</v>
      </c>
      <c r="AC983" s="6018">
        <v>0</v>
      </c>
      <c r="AD983" s="6018">
        <v>0</v>
      </c>
      <c r="AE983" s="6018">
        <v>1072</v>
      </c>
      <c r="AF983" s="6019">
        <v>1819</v>
      </c>
    </row>
    <row r="984" spans="1:32" ht="13.5">
      <c r="A984" s="6018">
        <v>48800</v>
      </c>
      <c r="B984" s="6019">
        <v>48850</v>
      </c>
      <c r="C984" s="6020">
        <f t="shared" si="106"/>
        <v>0</v>
      </c>
      <c r="D984" s="6018">
        <f t="shared" si="107"/>
        <v>0</v>
      </c>
      <c r="E984" s="6018">
        <f t="shared" si="108"/>
        <v>0</v>
      </c>
      <c r="F984" s="6019">
        <v>556</v>
      </c>
      <c r="G984" s="6020">
        <f t="shared" si="105"/>
        <v>0</v>
      </c>
      <c r="H984" s="6018">
        <f t="shared" si="109"/>
        <v>0</v>
      </c>
      <c r="I984" s="6018">
        <f t="shared" si="110"/>
        <v>1061</v>
      </c>
      <c r="J984" s="6019">
        <v>1809</v>
      </c>
      <c r="K984" s="1732"/>
      <c r="L984" s="6018">
        <v>48825</v>
      </c>
      <c r="W984" s="6018">
        <v>48800</v>
      </c>
      <c r="X984" s="6019">
        <v>48850</v>
      </c>
      <c r="Y984" s="6018">
        <v>0</v>
      </c>
      <c r="Z984" s="6018">
        <v>0</v>
      </c>
      <c r="AA984" s="6018">
        <v>0</v>
      </c>
      <c r="AB984" s="6019">
        <v>556</v>
      </c>
      <c r="AC984" s="6018">
        <v>0</v>
      </c>
      <c r="AD984" s="6018">
        <v>0</v>
      </c>
      <c r="AE984" s="6018">
        <v>1061</v>
      </c>
      <c r="AF984" s="6019">
        <v>1809</v>
      </c>
    </row>
    <row r="985" spans="1:32" ht="13.5">
      <c r="A985" s="6018">
        <v>48850</v>
      </c>
      <c r="B985" s="6019">
        <v>48900</v>
      </c>
      <c r="C985" s="6020">
        <f t="shared" si="106"/>
        <v>0</v>
      </c>
      <c r="D985" s="6018">
        <f t="shared" si="107"/>
        <v>0</v>
      </c>
      <c r="E985" s="6018">
        <f t="shared" si="108"/>
        <v>0</v>
      </c>
      <c r="F985" s="6019">
        <v>545</v>
      </c>
      <c r="G985" s="6020">
        <f t="shared" si="105"/>
        <v>0</v>
      </c>
      <c r="H985" s="6018">
        <f t="shared" si="109"/>
        <v>0</v>
      </c>
      <c r="I985" s="6018">
        <f t="shared" si="110"/>
        <v>1051</v>
      </c>
      <c r="J985" s="6019">
        <v>1798</v>
      </c>
      <c r="K985" s="1732"/>
      <c r="L985" s="6018">
        <v>48875</v>
      </c>
      <c r="W985" s="6018">
        <v>48850</v>
      </c>
      <c r="X985" s="6019">
        <v>48900</v>
      </c>
      <c r="Y985" s="6018">
        <v>0</v>
      </c>
      <c r="Z985" s="6018">
        <v>0</v>
      </c>
      <c r="AA985" s="6018">
        <v>0</v>
      </c>
      <c r="AB985" s="6019">
        <v>545</v>
      </c>
      <c r="AC985" s="6018">
        <v>0</v>
      </c>
      <c r="AD985" s="6018">
        <v>0</v>
      </c>
      <c r="AE985" s="6018">
        <v>1051</v>
      </c>
      <c r="AF985" s="6019">
        <v>1798</v>
      </c>
    </row>
    <row r="986" spans="1:32" ht="13.5">
      <c r="A986" s="6018">
        <v>48900</v>
      </c>
      <c r="B986" s="6019">
        <v>48950</v>
      </c>
      <c r="C986" s="6020">
        <f t="shared" si="106"/>
        <v>0</v>
      </c>
      <c r="D986" s="6018">
        <f t="shared" si="107"/>
        <v>0</v>
      </c>
      <c r="E986" s="6018">
        <f t="shared" si="108"/>
        <v>0</v>
      </c>
      <c r="F986" s="6019">
        <v>535</v>
      </c>
      <c r="G986" s="6020">
        <f t="shared" si="105"/>
        <v>0</v>
      </c>
      <c r="H986" s="6018">
        <f t="shared" si="109"/>
        <v>0</v>
      </c>
      <c r="I986" s="6018">
        <f t="shared" si="110"/>
        <v>1040</v>
      </c>
      <c r="J986" s="6019">
        <v>1788</v>
      </c>
      <c r="K986" s="1732"/>
      <c r="L986" s="6018">
        <v>48925</v>
      </c>
      <c r="W986" s="6018">
        <v>48900</v>
      </c>
      <c r="X986" s="6019">
        <v>48950</v>
      </c>
      <c r="Y986" s="6018">
        <v>0</v>
      </c>
      <c r="Z986" s="6018">
        <v>0</v>
      </c>
      <c r="AA986" s="6018">
        <v>0</v>
      </c>
      <c r="AB986" s="6019">
        <v>535</v>
      </c>
      <c r="AC986" s="6018">
        <v>0</v>
      </c>
      <c r="AD986" s="6018">
        <v>0</v>
      </c>
      <c r="AE986" s="6018">
        <v>1040</v>
      </c>
      <c r="AF986" s="6019">
        <v>1788</v>
      </c>
    </row>
    <row r="987" spans="1:32" ht="13.5">
      <c r="A987" s="6018">
        <v>48950</v>
      </c>
      <c r="B987" s="6019">
        <v>49000</v>
      </c>
      <c r="C987" s="6020">
        <f t="shared" si="106"/>
        <v>0</v>
      </c>
      <c r="D987" s="6018">
        <f t="shared" si="107"/>
        <v>0</v>
      </c>
      <c r="E987" s="6018">
        <f t="shared" si="108"/>
        <v>0</v>
      </c>
      <c r="F987" s="6019">
        <v>524</v>
      </c>
      <c r="G987" s="6020">
        <f t="shared" si="105"/>
        <v>0</v>
      </c>
      <c r="H987" s="6018">
        <f t="shared" si="109"/>
        <v>0</v>
      </c>
      <c r="I987" s="6018">
        <f t="shared" si="110"/>
        <v>1030</v>
      </c>
      <c r="J987" s="6019">
        <v>1777</v>
      </c>
      <c r="K987" s="1732"/>
      <c r="L987" s="6018">
        <v>48975</v>
      </c>
      <c r="W987" s="6018">
        <v>48950</v>
      </c>
      <c r="X987" s="6019">
        <v>49000</v>
      </c>
      <c r="Y987" s="6018">
        <v>0</v>
      </c>
      <c r="Z987" s="6018">
        <v>0</v>
      </c>
      <c r="AA987" s="6018">
        <v>0</v>
      </c>
      <c r="AB987" s="6019">
        <v>524</v>
      </c>
      <c r="AC987" s="6018">
        <v>0</v>
      </c>
      <c r="AD987" s="6018">
        <v>0</v>
      </c>
      <c r="AE987" s="6018">
        <v>1030</v>
      </c>
      <c r="AF987" s="6019">
        <v>1777</v>
      </c>
    </row>
    <row r="988" spans="1:32" ht="13.5">
      <c r="A988" s="6018">
        <v>49000</v>
      </c>
      <c r="B988" s="6019">
        <v>49050</v>
      </c>
      <c r="C988" s="6020">
        <f t="shared" si="106"/>
        <v>0</v>
      </c>
      <c r="D988" s="6018">
        <f t="shared" si="107"/>
        <v>0</v>
      </c>
      <c r="E988" s="6018">
        <f t="shared" si="108"/>
        <v>0</v>
      </c>
      <c r="F988" s="6019">
        <v>514</v>
      </c>
      <c r="G988" s="6020">
        <f t="shared" si="105"/>
        <v>0</v>
      </c>
      <c r="H988" s="6018">
        <f t="shared" si="109"/>
        <v>0</v>
      </c>
      <c r="I988" s="6018">
        <f t="shared" si="110"/>
        <v>1019</v>
      </c>
      <c r="J988" s="6019">
        <v>1767</v>
      </c>
      <c r="K988" s="1732"/>
      <c r="L988" s="6018">
        <v>49025</v>
      </c>
      <c r="W988" s="6018">
        <v>49000</v>
      </c>
      <c r="X988" s="6019">
        <v>49050</v>
      </c>
      <c r="Y988" s="6018">
        <v>0</v>
      </c>
      <c r="Z988" s="6018">
        <v>0</v>
      </c>
      <c r="AA988" s="6018">
        <v>0</v>
      </c>
      <c r="AB988" s="6019">
        <v>514</v>
      </c>
      <c r="AC988" s="6018">
        <v>0</v>
      </c>
      <c r="AD988" s="6018">
        <v>0</v>
      </c>
      <c r="AE988" s="6018">
        <v>1019</v>
      </c>
      <c r="AF988" s="6019">
        <v>1767</v>
      </c>
    </row>
    <row r="989" spans="1:32" ht="13.5">
      <c r="A989" s="6018">
        <v>49050</v>
      </c>
      <c r="B989" s="6019">
        <v>49100</v>
      </c>
      <c r="C989" s="6020">
        <f t="shared" si="106"/>
        <v>0</v>
      </c>
      <c r="D989" s="6018">
        <f t="shared" si="107"/>
        <v>0</v>
      </c>
      <c r="E989" s="6018">
        <f t="shared" si="108"/>
        <v>0</v>
      </c>
      <c r="F989" s="6019">
        <v>503</v>
      </c>
      <c r="G989" s="6020">
        <f t="shared" si="105"/>
        <v>0</v>
      </c>
      <c r="H989" s="6018">
        <f t="shared" si="109"/>
        <v>0</v>
      </c>
      <c r="I989" s="6018">
        <f t="shared" si="110"/>
        <v>1009</v>
      </c>
      <c r="J989" s="6019">
        <v>1756</v>
      </c>
      <c r="K989" s="1732"/>
      <c r="L989" s="6018">
        <v>49075</v>
      </c>
      <c r="W989" s="6018">
        <v>49050</v>
      </c>
      <c r="X989" s="6019">
        <v>49100</v>
      </c>
      <c r="Y989" s="6018">
        <v>0</v>
      </c>
      <c r="Z989" s="6018">
        <v>0</v>
      </c>
      <c r="AA989" s="6018">
        <v>0</v>
      </c>
      <c r="AB989" s="6019">
        <v>503</v>
      </c>
      <c r="AC989" s="6018">
        <v>0</v>
      </c>
      <c r="AD989" s="6018">
        <v>0</v>
      </c>
      <c r="AE989" s="6018">
        <v>1009</v>
      </c>
      <c r="AF989" s="6019">
        <v>1756</v>
      </c>
    </row>
    <row r="990" spans="1:32" ht="13.5">
      <c r="A990" s="6018">
        <v>49100</v>
      </c>
      <c r="B990" s="6019">
        <v>49150</v>
      </c>
      <c r="C990" s="6020">
        <f t="shared" si="106"/>
        <v>0</v>
      </c>
      <c r="D990" s="6018">
        <f t="shared" si="107"/>
        <v>0</v>
      </c>
      <c r="E990" s="6018">
        <f t="shared" si="108"/>
        <v>0</v>
      </c>
      <c r="F990" s="6019">
        <v>493</v>
      </c>
      <c r="G990" s="6020">
        <f t="shared" si="105"/>
        <v>0</v>
      </c>
      <c r="H990" s="6018">
        <f t="shared" si="109"/>
        <v>0</v>
      </c>
      <c r="I990" s="6018">
        <f t="shared" si="110"/>
        <v>998</v>
      </c>
      <c r="J990" s="6019">
        <v>1746</v>
      </c>
      <c r="K990" s="1732"/>
      <c r="L990" s="6018">
        <v>49125</v>
      </c>
      <c r="W990" s="6018">
        <v>49100</v>
      </c>
      <c r="X990" s="6019">
        <v>49150</v>
      </c>
      <c r="Y990" s="6018">
        <v>0</v>
      </c>
      <c r="Z990" s="6018">
        <v>0</v>
      </c>
      <c r="AA990" s="6018">
        <v>0</v>
      </c>
      <c r="AB990" s="6019">
        <v>493</v>
      </c>
      <c r="AC990" s="6018">
        <v>0</v>
      </c>
      <c r="AD990" s="6018">
        <v>0</v>
      </c>
      <c r="AE990" s="6018">
        <v>998</v>
      </c>
      <c r="AF990" s="6019">
        <v>1746</v>
      </c>
    </row>
    <row r="991" spans="1:32" ht="13.5">
      <c r="A991" s="6018">
        <v>49150</v>
      </c>
      <c r="B991" s="6019">
        <v>49200</v>
      </c>
      <c r="C991" s="6020">
        <f t="shared" si="106"/>
        <v>0</v>
      </c>
      <c r="D991" s="6018">
        <f t="shared" si="107"/>
        <v>0</v>
      </c>
      <c r="E991" s="6018">
        <f t="shared" si="108"/>
        <v>0</v>
      </c>
      <c r="F991" s="6019">
        <v>482</v>
      </c>
      <c r="G991" s="6020">
        <f t="shared" si="105"/>
        <v>0</v>
      </c>
      <c r="H991" s="6018">
        <f t="shared" si="109"/>
        <v>0</v>
      </c>
      <c r="I991" s="6018">
        <f t="shared" si="110"/>
        <v>988</v>
      </c>
      <c r="J991" s="6019">
        <v>1735</v>
      </c>
      <c r="K991" s="1732"/>
      <c r="L991" s="6018">
        <v>49175</v>
      </c>
      <c r="W991" s="6018">
        <v>49150</v>
      </c>
      <c r="X991" s="6019">
        <v>49200</v>
      </c>
      <c r="Y991" s="6018">
        <v>0</v>
      </c>
      <c r="Z991" s="6018">
        <v>0</v>
      </c>
      <c r="AA991" s="6018">
        <v>0</v>
      </c>
      <c r="AB991" s="6019">
        <v>482</v>
      </c>
      <c r="AC991" s="6018">
        <v>0</v>
      </c>
      <c r="AD991" s="6018">
        <v>0</v>
      </c>
      <c r="AE991" s="6018">
        <v>988</v>
      </c>
      <c r="AF991" s="6019">
        <v>1735</v>
      </c>
    </row>
    <row r="992" spans="1:32" ht="13.5">
      <c r="A992" s="6018">
        <v>49200</v>
      </c>
      <c r="B992" s="6019">
        <v>49250</v>
      </c>
      <c r="C992" s="6020">
        <f t="shared" si="106"/>
        <v>0</v>
      </c>
      <c r="D992" s="6018">
        <f t="shared" si="107"/>
        <v>0</v>
      </c>
      <c r="E992" s="6018">
        <f t="shared" si="108"/>
        <v>0</v>
      </c>
      <c r="F992" s="6019">
        <v>472</v>
      </c>
      <c r="G992" s="6020">
        <f t="shared" si="105"/>
        <v>0</v>
      </c>
      <c r="H992" s="6018">
        <f t="shared" si="109"/>
        <v>0</v>
      </c>
      <c r="I992" s="6018">
        <f t="shared" si="110"/>
        <v>977</v>
      </c>
      <c r="J992" s="6019">
        <v>1725</v>
      </c>
      <c r="K992" s="1732"/>
      <c r="L992" s="6018">
        <v>49225</v>
      </c>
      <c r="W992" s="6018">
        <v>49200</v>
      </c>
      <c r="X992" s="6019">
        <v>49250</v>
      </c>
      <c r="Y992" s="6018">
        <v>0</v>
      </c>
      <c r="Z992" s="6018">
        <v>0</v>
      </c>
      <c r="AA992" s="6018">
        <v>0</v>
      </c>
      <c r="AB992" s="6019">
        <v>472</v>
      </c>
      <c r="AC992" s="6018">
        <v>0</v>
      </c>
      <c r="AD992" s="6018">
        <v>0</v>
      </c>
      <c r="AE992" s="6018">
        <v>977</v>
      </c>
      <c r="AF992" s="6019">
        <v>1725</v>
      </c>
    </row>
    <row r="993" spans="1:32" ht="13.5">
      <c r="A993" s="6018">
        <v>49250</v>
      </c>
      <c r="B993" s="6019">
        <v>49300</v>
      </c>
      <c r="C993" s="6020">
        <f t="shared" si="106"/>
        <v>0</v>
      </c>
      <c r="D993" s="6018">
        <f t="shared" si="107"/>
        <v>0</v>
      </c>
      <c r="E993" s="6018">
        <f t="shared" si="108"/>
        <v>0</v>
      </c>
      <c r="F993" s="6019">
        <v>461</v>
      </c>
      <c r="G993" s="6020">
        <f t="shared" si="105"/>
        <v>0</v>
      </c>
      <c r="H993" s="6018">
        <f t="shared" si="109"/>
        <v>0</v>
      </c>
      <c r="I993" s="6018">
        <f t="shared" si="110"/>
        <v>967</v>
      </c>
      <c r="J993" s="6019">
        <v>1714</v>
      </c>
      <c r="K993" s="1732"/>
      <c r="L993" s="6018">
        <v>49275</v>
      </c>
      <c r="W993" s="6018">
        <v>49250</v>
      </c>
      <c r="X993" s="6019">
        <v>49300</v>
      </c>
      <c r="Y993" s="6018">
        <v>0</v>
      </c>
      <c r="Z993" s="6018">
        <v>0</v>
      </c>
      <c r="AA993" s="6018">
        <v>0</v>
      </c>
      <c r="AB993" s="6019">
        <v>461</v>
      </c>
      <c r="AC993" s="6018">
        <v>0</v>
      </c>
      <c r="AD993" s="6018">
        <v>0</v>
      </c>
      <c r="AE993" s="6018">
        <v>967</v>
      </c>
      <c r="AF993" s="6019">
        <v>1714</v>
      </c>
    </row>
    <row r="994" spans="1:32" ht="13.5">
      <c r="A994" s="6018">
        <v>49300</v>
      </c>
      <c r="B994" s="6019">
        <v>49350</v>
      </c>
      <c r="C994" s="6020">
        <f t="shared" si="106"/>
        <v>0</v>
      </c>
      <c r="D994" s="6018">
        <f t="shared" si="107"/>
        <v>0</v>
      </c>
      <c r="E994" s="6018">
        <f t="shared" si="108"/>
        <v>0</v>
      </c>
      <c r="F994" s="6019">
        <v>451</v>
      </c>
      <c r="G994" s="6020">
        <f t="shared" si="105"/>
        <v>0</v>
      </c>
      <c r="H994" s="6018">
        <f t="shared" si="109"/>
        <v>0</v>
      </c>
      <c r="I994" s="6018">
        <f t="shared" si="110"/>
        <v>956</v>
      </c>
      <c r="J994" s="6019">
        <v>1704</v>
      </c>
      <c r="K994" s="1732"/>
      <c r="L994" s="6018">
        <v>49325</v>
      </c>
      <c r="W994" s="6018">
        <v>49300</v>
      </c>
      <c r="X994" s="6019">
        <v>49350</v>
      </c>
      <c r="Y994" s="6018">
        <v>0</v>
      </c>
      <c r="Z994" s="6018">
        <v>0</v>
      </c>
      <c r="AA994" s="6018">
        <v>0</v>
      </c>
      <c r="AB994" s="6019">
        <v>451</v>
      </c>
      <c r="AC994" s="6018">
        <v>0</v>
      </c>
      <c r="AD994" s="6018">
        <v>0</v>
      </c>
      <c r="AE994" s="6018">
        <v>956</v>
      </c>
      <c r="AF994" s="6019">
        <v>1704</v>
      </c>
    </row>
    <row r="995" spans="1:32" ht="13.5">
      <c r="A995" s="6018">
        <v>49350</v>
      </c>
      <c r="B995" s="6019">
        <v>49400</v>
      </c>
      <c r="C995" s="6020">
        <f t="shared" si="106"/>
        <v>0</v>
      </c>
      <c r="D995" s="6018">
        <f t="shared" si="107"/>
        <v>0</v>
      </c>
      <c r="E995" s="6018">
        <f t="shared" si="108"/>
        <v>0</v>
      </c>
      <c r="F995" s="6019">
        <v>440</v>
      </c>
      <c r="G995" s="6020">
        <f t="shared" si="105"/>
        <v>0</v>
      </c>
      <c r="H995" s="6018">
        <f t="shared" si="109"/>
        <v>0</v>
      </c>
      <c r="I995" s="6018">
        <f t="shared" si="110"/>
        <v>946</v>
      </c>
      <c r="J995" s="6019">
        <v>1693</v>
      </c>
      <c r="K995" s="1732"/>
      <c r="L995" s="6018">
        <v>49375</v>
      </c>
      <c r="W995" s="6018">
        <v>49350</v>
      </c>
      <c r="X995" s="6019">
        <v>49400</v>
      </c>
      <c r="Y995" s="6018">
        <v>0</v>
      </c>
      <c r="Z995" s="6018">
        <v>0</v>
      </c>
      <c r="AA995" s="6018">
        <v>0</v>
      </c>
      <c r="AB995" s="6019">
        <v>440</v>
      </c>
      <c r="AC995" s="6018">
        <v>0</v>
      </c>
      <c r="AD995" s="6018">
        <v>0</v>
      </c>
      <c r="AE995" s="6018">
        <v>946</v>
      </c>
      <c r="AF995" s="6019">
        <v>1693</v>
      </c>
    </row>
    <row r="996" spans="1:32" ht="13.5">
      <c r="A996" s="6018">
        <v>49400</v>
      </c>
      <c r="B996" s="6019">
        <v>49450</v>
      </c>
      <c r="C996" s="6020">
        <f t="shared" si="106"/>
        <v>0</v>
      </c>
      <c r="D996" s="6018">
        <f t="shared" si="107"/>
        <v>0</v>
      </c>
      <c r="E996" s="6018">
        <f t="shared" si="108"/>
        <v>0</v>
      </c>
      <c r="F996" s="6019">
        <v>430</v>
      </c>
      <c r="G996" s="6020">
        <f t="shared" si="105"/>
        <v>0</v>
      </c>
      <c r="H996" s="6018">
        <f t="shared" si="109"/>
        <v>0</v>
      </c>
      <c r="I996" s="6018">
        <f t="shared" si="110"/>
        <v>935</v>
      </c>
      <c r="J996" s="6019">
        <v>1683</v>
      </c>
      <c r="K996" s="1732"/>
      <c r="L996" s="6018">
        <v>49425</v>
      </c>
      <c r="W996" s="6018">
        <v>49400</v>
      </c>
      <c r="X996" s="6019">
        <v>49450</v>
      </c>
      <c r="Y996" s="6018">
        <v>0</v>
      </c>
      <c r="Z996" s="6018">
        <v>0</v>
      </c>
      <c r="AA996" s="6018">
        <v>0</v>
      </c>
      <c r="AB996" s="6019">
        <v>430</v>
      </c>
      <c r="AC996" s="6018">
        <v>0</v>
      </c>
      <c r="AD996" s="6018">
        <v>0</v>
      </c>
      <c r="AE996" s="6018">
        <v>935</v>
      </c>
      <c r="AF996" s="6019">
        <v>1683</v>
      </c>
    </row>
    <row r="997" spans="1:32" ht="13.5">
      <c r="A997" s="6018">
        <v>49450</v>
      </c>
      <c r="B997" s="6019">
        <v>49500</v>
      </c>
      <c r="C997" s="6020">
        <f t="shared" si="106"/>
        <v>0</v>
      </c>
      <c r="D997" s="6018">
        <f t="shared" si="107"/>
        <v>0</v>
      </c>
      <c r="E997" s="6018">
        <f t="shared" si="108"/>
        <v>0</v>
      </c>
      <c r="F997" s="6019">
        <v>419</v>
      </c>
      <c r="G997" s="6020">
        <f t="shared" si="105"/>
        <v>0</v>
      </c>
      <c r="H997" s="6018">
        <f t="shared" si="109"/>
        <v>0</v>
      </c>
      <c r="I997" s="6018">
        <f t="shared" si="110"/>
        <v>925</v>
      </c>
      <c r="J997" s="6019">
        <v>1672</v>
      </c>
      <c r="K997" s="1732"/>
      <c r="L997" s="6018">
        <v>49475</v>
      </c>
      <c r="W997" s="6018">
        <v>49450</v>
      </c>
      <c r="X997" s="6019">
        <v>49500</v>
      </c>
      <c r="Y997" s="6018">
        <v>0</v>
      </c>
      <c r="Z997" s="6018">
        <v>0</v>
      </c>
      <c r="AA997" s="6018">
        <v>0</v>
      </c>
      <c r="AB997" s="6019">
        <v>419</v>
      </c>
      <c r="AC997" s="6018">
        <v>0</v>
      </c>
      <c r="AD997" s="6018">
        <v>0</v>
      </c>
      <c r="AE997" s="6018">
        <v>925</v>
      </c>
      <c r="AF997" s="6019">
        <v>1672</v>
      </c>
    </row>
    <row r="998" spans="1:32" ht="13.5">
      <c r="A998" s="6018">
        <v>49500</v>
      </c>
      <c r="B998" s="6019">
        <v>49550</v>
      </c>
      <c r="C998" s="6020">
        <f t="shared" si="106"/>
        <v>0</v>
      </c>
      <c r="D998" s="6018">
        <f t="shared" si="107"/>
        <v>0</v>
      </c>
      <c r="E998" s="6018">
        <f t="shared" si="108"/>
        <v>0</v>
      </c>
      <c r="F998" s="6019">
        <v>408</v>
      </c>
      <c r="G998" s="6020">
        <f t="shared" si="105"/>
        <v>0</v>
      </c>
      <c r="H998" s="6018">
        <f t="shared" si="109"/>
        <v>0</v>
      </c>
      <c r="I998" s="6018">
        <f t="shared" si="110"/>
        <v>914</v>
      </c>
      <c r="J998" s="6019">
        <v>1662</v>
      </c>
      <c r="K998" s="1732"/>
      <c r="L998" s="6018">
        <v>49525</v>
      </c>
      <c r="W998" s="6018">
        <v>49500</v>
      </c>
      <c r="X998" s="6019">
        <v>49550</v>
      </c>
      <c r="Y998" s="6018">
        <v>0</v>
      </c>
      <c r="Z998" s="6018">
        <v>0</v>
      </c>
      <c r="AA998" s="6018">
        <v>0</v>
      </c>
      <c r="AB998" s="6019">
        <v>408</v>
      </c>
      <c r="AC998" s="6018">
        <v>0</v>
      </c>
      <c r="AD998" s="6018">
        <v>0</v>
      </c>
      <c r="AE998" s="6018">
        <v>914</v>
      </c>
      <c r="AF998" s="6019">
        <v>1662</v>
      </c>
    </row>
    <row r="999" spans="1:32" ht="13.5">
      <c r="A999" s="6018">
        <v>49550</v>
      </c>
      <c r="B999" s="6019">
        <v>49600</v>
      </c>
      <c r="C999" s="6020">
        <f t="shared" si="106"/>
        <v>0</v>
      </c>
      <c r="D999" s="6018">
        <f t="shared" si="107"/>
        <v>0</v>
      </c>
      <c r="E999" s="6018">
        <f t="shared" si="108"/>
        <v>0</v>
      </c>
      <c r="F999" s="6019">
        <v>398</v>
      </c>
      <c r="G999" s="6020">
        <f t="shared" si="105"/>
        <v>0</v>
      </c>
      <c r="H999" s="6018">
        <f t="shared" si="109"/>
        <v>0</v>
      </c>
      <c r="I999" s="6018">
        <f t="shared" si="110"/>
        <v>903</v>
      </c>
      <c r="J999" s="6019">
        <v>1651</v>
      </c>
      <c r="K999" s="1732"/>
      <c r="L999" s="6018">
        <v>49575</v>
      </c>
      <c r="W999" s="6018">
        <v>49550</v>
      </c>
      <c r="X999" s="6019">
        <v>49600</v>
      </c>
      <c r="Y999" s="6018">
        <v>0</v>
      </c>
      <c r="Z999" s="6018">
        <v>0</v>
      </c>
      <c r="AA999" s="6018">
        <v>0</v>
      </c>
      <c r="AB999" s="6019">
        <v>398</v>
      </c>
      <c r="AC999" s="6018">
        <v>0</v>
      </c>
      <c r="AD999" s="6018">
        <v>0</v>
      </c>
      <c r="AE999" s="6018">
        <v>903</v>
      </c>
      <c r="AF999" s="6019">
        <v>1651</v>
      </c>
    </row>
    <row r="1000" spans="1:32" ht="13.5">
      <c r="A1000" s="6018">
        <v>49600</v>
      </c>
      <c r="B1000" s="6019">
        <v>49650</v>
      </c>
      <c r="C1000" s="6020">
        <f t="shared" si="106"/>
        <v>0</v>
      </c>
      <c r="D1000" s="6018">
        <f t="shared" si="107"/>
        <v>0</v>
      </c>
      <c r="E1000" s="6018">
        <f t="shared" si="108"/>
        <v>0</v>
      </c>
      <c r="F1000" s="6019">
        <v>387</v>
      </c>
      <c r="G1000" s="6020">
        <f t="shared" si="105"/>
        <v>0</v>
      </c>
      <c r="H1000" s="6018">
        <f t="shared" si="109"/>
        <v>0</v>
      </c>
      <c r="I1000" s="6018">
        <f t="shared" si="110"/>
        <v>893</v>
      </c>
      <c r="J1000" s="6019">
        <v>1640</v>
      </c>
      <c r="K1000" s="1732"/>
      <c r="L1000" s="6018">
        <v>49625</v>
      </c>
      <c r="W1000" s="6018">
        <v>49600</v>
      </c>
      <c r="X1000" s="6019">
        <v>49650</v>
      </c>
      <c r="Y1000" s="6018">
        <v>0</v>
      </c>
      <c r="Z1000" s="6018">
        <v>0</v>
      </c>
      <c r="AA1000" s="6018">
        <v>0</v>
      </c>
      <c r="AB1000" s="6019">
        <v>387</v>
      </c>
      <c r="AC1000" s="6018">
        <v>0</v>
      </c>
      <c r="AD1000" s="6018">
        <v>0</v>
      </c>
      <c r="AE1000" s="6018">
        <v>893</v>
      </c>
      <c r="AF1000" s="6019">
        <v>1640</v>
      </c>
    </row>
    <row r="1001" spans="1:32" ht="13.5">
      <c r="A1001" s="6018">
        <v>49650</v>
      </c>
      <c r="B1001" s="6019">
        <v>49700</v>
      </c>
      <c r="C1001" s="6020">
        <f t="shared" si="106"/>
        <v>0</v>
      </c>
      <c r="D1001" s="6018">
        <f t="shared" si="107"/>
        <v>0</v>
      </c>
      <c r="E1001" s="6018">
        <f t="shared" si="108"/>
        <v>0</v>
      </c>
      <c r="F1001" s="6019">
        <v>377</v>
      </c>
      <c r="G1001" s="6020">
        <f t="shared" si="105"/>
        <v>0</v>
      </c>
      <c r="H1001" s="6018">
        <f t="shared" si="109"/>
        <v>0</v>
      </c>
      <c r="I1001" s="6018">
        <f t="shared" si="110"/>
        <v>882</v>
      </c>
      <c r="J1001" s="6019">
        <v>1630</v>
      </c>
      <c r="K1001" s="1732"/>
      <c r="L1001" s="6018">
        <v>49675</v>
      </c>
      <c r="W1001" s="6018">
        <v>49650</v>
      </c>
      <c r="X1001" s="6019">
        <v>49700</v>
      </c>
      <c r="Y1001" s="6018">
        <v>0</v>
      </c>
      <c r="Z1001" s="6018">
        <v>0</v>
      </c>
      <c r="AA1001" s="6018">
        <v>0</v>
      </c>
      <c r="AB1001" s="6019">
        <v>377</v>
      </c>
      <c r="AC1001" s="6018">
        <v>0</v>
      </c>
      <c r="AD1001" s="6018">
        <v>0</v>
      </c>
      <c r="AE1001" s="6018">
        <v>882</v>
      </c>
      <c r="AF1001" s="6019">
        <v>1630</v>
      </c>
    </row>
    <row r="1002" spans="1:32" ht="13.5">
      <c r="A1002" s="6018">
        <v>49700</v>
      </c>
      <c r="B1002" s="6019">
        <v>49750</v>
      </c>
      <c r="C1002" s="6020">
        <f t="shared" si="106"/>
        <v>0</v>
      </c>
      <c r="D1002" s="6018">
        <f t="shared" si="107"/>
        <v>0</v>
      </c>
      <c r="E1002" s="6018">
        <f t="shared" si="108"/>
        <v>0</v>
      </c>
      <c r="F1002" s="6019">
        <v>366</v>
      </c>
      <c r="G1002" s="6020">
        <f t="shared" si="105"/>
        <v>0</v>
      </c>
      <c r="H1002" s="6018">
        <f t="shared" si="109"/>
        <v>0</v>
      </c>
      <c r="I1002" s="6018">
        <f t="shared" si="110"/>
        <v>872</v>
      </c>
      <c r="J1002" s="6019">
        <v>1619</v>
      </c>
      <c r="K1002" s="1732"/>
      <c r="L1002" s="6018">
        <v>49725</v>
      </c>
      <c r="W1002" s="6018">
        <v>49700</v>
      </c>
      <c r="X1002" s="6019">
        <v>49750</v>
      </c>
      <c r="Y1002" s="6018">
        <v>0</v>
      </c>
      <c r="Z1002" s="6018">
        <v>0</v>
      </c>
      <c r="AA1002" s="6018">
        <v>0</v>
      </c>
      <c r="AB1002" s="6019">
        <v>366</v>
      </c>
      <c r="AC1002" s="6018">
        <v>0</v>
      </c>
      <c r="AD1002" s="6018">
        <v>0</v>
      </c>
      <c r="AE1002" s="6018">
        <v>872</v>
      </c>
      <c r="AF1002" s="6019">
        <v>1619</v>
      </c>
    </row>
    <row r="1003" spans="1:32" ht="13.5">
      <c r="A1003" s="6018">
        <v>49750</v>
      </c>
      <c r="B1003" s="6019">
        <v>49800</v>
      </c>
      <c r="C1003" s="6020">
        <f t="shared" si="106"/>
        <v>0</v>
      </c>
      <c r="D1003" s="6018">
        <f t="shared" si="107"/>
        <v>0</v>
      </c>
      <c r="E1003" s="6018">
        <f t="shared" si="108"/>
        <v>0</v>
      </c>
      <c r="F1003" s="6019">
        <v>356</v>
      </c>
      <c r="G1003" s="6020">
        <f t="shared" si="105"/>
        <v>0</v>
      </c>
      <c r="H1003" s="6018">
        <f t="shared" si="109"/>
        <v>0</v>
      </c>
      <c r="I1003" s="6018">
        <f t="shared" si="110"/>
        <v>861</v>
      </c>
      <c r="J1003" s="6019">
        <v>1609</v>
      </c>
      <c r="K1003" s="1732"/>
      <c r="L1003" s="6018">
        <v>49775</v>
      </c>
      <c r="W1003" s="6018">
        <v>49750</v>
      </c>
      <c r="X1003" s="6019">
        <v>49800</v>
      </c>
      <c r="Y1003" s="6018">
        <v>0</v>
      </c>
      <c r="Z1003" s="6018">
        <v>0</v>
      </c>
      <c r="AA1003" s="6018">
        <v>0</v>
      </c>
      <c r="AB1003" s="6019">
        <v>356</v>
      </c>
      <c r="AC1003" s="6018">
        <v>0</v>
      </c>
      <c r="AD1003" s="6018">
        <v>0</v>
      </c>
      <c r="AE1003" s="6018">
        <v>861</v>
      </c>
      <c r="AF1003" s="6019">
        <v>1609</v>
      </c>
    </row>
    <row r="1004" spans="1:32" ht="13.5">
      <c r="A1004" s="6018">
        <v>49800</v>
      </c>
      <c r="B1004" s="6019">
        <v>49850</v>
      </c>
      <c r="C1004" s="6020">
        <f t="shared" si="106"/>
        <v>0</v>
      </c>
      <c r="D1004" s="6018">
        <f t="shared" si="107"/>
        <v>0</v>
      </c>
      <c r="E1004" s="6018">
        <f t="shared" si="108"/>
        <v>0</v>
      </c>
      <c r="F1004" s="6019">
        <v>345</v>
      </c>
      <c r="G1004" s="6020">
        <f t="shared" si="105"/>
        <v>0</v>
      </c>
      <c r="H1004" s="6018">
        <f t="shared" si="109"/>
        <v>0</v>
      </c>
      <c r="I1004" s="6018">
        <f t="shared" si="110"/>
        <v>851</v>
      </c>
      <c r="J1004" s="6019">
        <v>1598</v>
      </c>
      <c r="K1004" s="1732"/>
      <c r="L1004" s="6018">
        <v>49825</v>
      </c>
      <c r="W1004" s="6018">
        <v>49800</v>
      </c>
      <c r="X1004" s="6019">
        <v>49850</v>
      </c>
      <c r="Y1004" s="6018">
        <v>0</v>
      </c>
      <c r="Z1004" s="6018">
        <v>0</v>
      </c>
      <c r="AA1004" s="6018">
        <v>0</v>
      </c>
      <c r="AB1004" s="6019">
        <v>345</v>
      </c>
      <c r="AC1004" s="6018">
        <v>0</v>
      </c>
      <c r="AD1004" s="6018">
        <v>0</v>
      </c>
      <c r="AE1004" s="6018">
        <v>851</v>
      </c>
      <c r="AF1004" s="6019">
        <v>1598</v>
      </c>
    </row>
    <row r="1005" spans="1:32" ht="13.5">
      <c r="A1005" s="6018">
        <v>49850</v>
      </c>
      <c r="B1005" s="6019">
        <v>49900</v>
      </c>
      <c r="C1005" s="6020">
        <f t="shared" si="106"/>
        <v>0</v>
      </c>
      <c r="D1005" s="6018">
        <f t="shared" si="107"/>
        <v>0</v>
      </c>
      <c r="E1005" s="6018">
        <f t="shared" si="108"/>
        <v>0</v>
      </c>
      <c r="F1005" s="6019">
        <v>335</v>
      </c>
      <c r="G1005" s="6020">
        <f t="shared" si="105"/>
        <v>0</v>
      </c>
      <c r="H1005" s="6018">
        <f t="shared" si="109"/>
        <v>0</v>
      </c>
      <c r="I1005" s="6018">
        <f t="shared" si="110"/>
        <v>840</v>
      </c>
      <c r="J1005" s="6019">
        <v>1588</v>
      </c>
      <c r="K1005" s="1732"/>
      <c r="L1005" s="6018">
        <v>49875</v>
      </c>
      <c r="W1005" s="6018">
        <v>49850</v>
      </c>
      <c r="X1005" s="6019">
        <v>49900</v>
      </c>
      <c r="Y1005" s="6018">
        <v>0</v>
      </c>
      <c r="Z1005" s="6018">
        <v>0</v>
      </c>
      <c r="AA1005" s="6018">
        <v>0</v>
      </c>
      <c r="AB1005" s="6019">
        <v>335</v>
      </c>
      <c r="AC1005" s="6018">
        <v>0</v>
      </c>
      <c r="AD1005" s="6018">
        <v>0</v>
      </c>
      <c r="AE1005" s="6018">
        <v>840</v>
      </c>
      <c r="AF1005" s="6019">
        <v>1588</v>
      </c>
    </row>
    <row r="1006" spans="1:32" ht="13.5">
      <c r="A1006" s="6018">
        <v>49900</v>
      </c>
      <c r="B1006" s="6019">
        <v>49950</v>
      </c>
      <c r="C1006" s="6020">
        <f t="shared" si="106"/>
        <v>0</v>
      </c>
      <c r="D1006" s="6018">
        <f t="shared" si="107"/>
        <v>0</v>
      </c>
      <c r="E1006" s="6018">
        <f t="shared" si="108"/>
        <v>0</v>
      </c>
      <c r="F1006" s="6019">
        <v>324</v>
      </c>
      <c r="G1006" s="6020">
        <f t="shared" si="105"/>
        <v>0</v>
      </c>
      <c r="H1006" s="6018">
        <f t="shared" si="109"/>
        <v>0</v>
      </c>
      <c r="I1006" s="6018">
        <f t="shared" si="110"/>
        <v>830</v>
      </c>
      <c r="J1006" s="6019">
        <v>1577</v>
      </c>
      <c r="K1006" s="1732"/>
      <c r="L1006" s="6018">
        <v>49925</v>
      </c>
      <c r="W1006" s="6018">
        <v>49900</v>
      </c>
      <c r="X1006" s="6019">
        <v>49950</v>
      </c>
      <c r="Y1006" s="6018">
        <v>0</v>
      </c>
      <c r="Z1006" s="6018">
        <v>0</v>
      </c>
      <c r="AA1006" s="6018">
        <v>0</v>
      </c>
      <c r="AB1006" s="6019">
        <v>324</v>
      </c>
      <c r="AC1006" s="6018">
        <v>0</v>
      </c>
      <c r="AD1006" s="6018">
        <v>0</v>
      </c>
      <c r="AE1006" s="6018">
        <v>830</v>
      </c>
      <c r="AF1006" s="6019">
        <v>1577</v>
      </c>
    </row>
    <row r="1007" spans="1:32" ht="13.5">
      <c r="A1007" s="6018">
        <v>49950</v>
      </c>
      <c r="B1007" s="6019">
        <v>50000</v>
      </c>
      <c r="C1007" s="6020">
        <f t="shared" si="106"/>
        <v>0</v>
      </c>
      <c r="D1007" s="6018">
        <f t="shared" si="107"/>
        <v>0</v>
      </c>
      <c r="E1007" s="6018">
        <f t="shared" si="108"/>
        <v>0</v>
      </c>
      <c r="F1007" s="6019">
        <v>314</v>
      </c>
      <c r="G1007" s="6020">
        <f t="shared" si="105"/>
        <v>0</v>
      </c>
      <c r="H1007" s="6018">
        <f t="shared" si="109"/>
        <v>0</v>
      </c>
      <c r="I1007" s="6018">
        <f t="shared" si="110"/>
        <v>819</v>
      </c>
      <c r="J1007" s="6019">
        <v>1567</v>
      </c>
      <c r="K1007" s="1732"/>
      <c r="L1007" s="6018">
        <v>49975</v>
      </c>
      <c r="W1007" s="6018">
        <v>49950</v>
      </c>
      <c r="X1007" s="6019">
        <v>50000</v>
      </c>
      <c r="Y1007" s="6018">
        <v>0</v>
      </c>
      <c r="Z1007" s="6018">
        <v>0</v>
      </c>
      <c r="AA1007" s="6018">
        <v>0</v>
      </c>
      <c r="AB1007" s="6019">
        <v>314</v>
      </c>
      <c r="AC1007" s="6018">
        <v>0</v>
      </c>
      <c r="AD1007" s="6018">
        <v>0</v>
      </c>
      <c r="AE1007" s="6018">
        <v>819</v>
      </c>
      <c r="AF1007" s="6019">
        <v>1567</v>
      </c>
    </row>
    <row r="1008" spans="1:32" ht="13.5">
      <c r="A1008" s="6018">
        <v>50000</v>
      </c>
      <c r="B1008" s="6019">
        <v>50050</v>
      </c>
      <c r="C1008" s="6020">
        <f t="shared" si="106"/>
        <v>0</v>
      </c>
      <c r="D1008" s="6018">
        <f t="shared" si="107"/>
        <v>0</v>
      </c>
      <c r="E1008" s="6018">
        <f t="shared" si="108"/>
        <v>0</v>
      </c>
      <c r="F1008" s="6019">
        <v>303</v>
      </c>
      <c r="G1008" s="6020">
        <f t="shared" si="105"/>
        <v>0</v>
      </c>
      <c r="H1008" s="6018">
        <f t="shared" si="109"/>
        <v>0</v>
      </c>
      <c r="I1008" s="6018">
        <f t="shared" si="110"/>
        <v>809</v>
      </c>
      <c r="J1008" s="6019">
        <v>1556</v>
      </c>
      <c r="K1008" s="1732"/>
      <c r="L1008" s="6018">
        <v>50025</v>
      </c>
      <c r="W1008" s="6018">
        <v>50000</v>
      </c>
      <c r="X1008" s="6019">
        <v>50050</v>
      </c>
      <c r="Y1008" s="6018">
        <v>0</v>
      </c>
      <c r="Z1008" s="6018">
        <v>0</v>
      </c>
      <c r="AA1008" s="6018">
        <v>0</v>
      </c>
      <c r="AB1008" s="6019">
        <v>303</v>
      </c>
      <c r="AC1008" s="6018">
        <v>0</v>
      </c>
      <c r="AD1008" s="6018">
        <v>0</v>
      </c>
      <c r="AE1008" s="6018">
        <v>809</v>
      </c>
      <c r="AF1008" s="6019">
        <v>1556</v>
      </c>
    </row>
    <row r="1009" spans="1:32" ht="13.5">
      <c r="A1009" s="6018">
        <v>50050</v>
      </c>
      <c r="B1009" s="6019">
        <v>50100</v>
      </c>
      <c r="C1009" s="6020">
        <f t="shared" si="106"/>
        <v>0</v>
      </c>
      <c r="D1009" s="6018">
        <f t="shared" si="107"/>
        <v>0</v>
      </c>
      <c r="E1009" s="6018">
        <f t="shared" si="108"/>
        <v>0</v>
      </c>
      <c r="F1009" s="6019">
        <v>293</v>
      </c>
      <c r="G1009" s="6020">
        <f t="shared" si="105"/>
        <v>0</v>
      </c>
      <c r="H1009" s="6018">
        <f t="shared" si="109"/>
        <v>0</v>
      </c>
      <c r="I1009" s="6018">
        <f t="shared" si="110"/>
        <v>798</v>
      </c>
      <c r="J1009" s="6019">
        <v>1546</v>
      </c>
      <c r="K1009" s="1732"/>
      <c r="L1009" s="6018">
        <v>50075</v>
      </c>
      <c r="W1009" s="6018">
        <v>50050</v>
      </c>
      <c r="X1009" s="6019">
        <v>50100</v>
      </c>
      <c r="Y1009" s="6018">
        <v>0</v>
      </c>
      <c r="Z1009" s="6018">
        <v>0</v>
      </c>
      <c r="AA1009" s="6018">
        <v>0</v>
      </c>
      <c r="AB1009" s="6019">
        <v>293</v>
      </c>
      <c r="AC1009" s="6018">
        <v>0</v>
      </c>
      <c r="AD1009" s="6018">
        <v>0</v>
      </c>
      <c r="AE1009" s="6018">
        <v>798</v>
      </c>
      <c r="AF1009" s="6019">
        <v>1546</v>
      </c>
    </row>
    <row r="1010" spans="1:32" ht="13.5">
      <c r="A1010" s="6018">
        <v>50100</v>
      </c>
      <c r="B1010" s="6019">
        <v>50150</v>
      </c>
      <c r="C1010" s="6020">
        <f t="shared" si="106"/>
        <v>0</v>
      </c>
      <c r="D1010" s="6018">
        <f t="shared" si="107"/>
        <v>0</v>
      </c>
      <c r="E1010" s="6018">
        <f t="shared" si="108"/>
        <v>0</v>
      </c>
      <c r="F1010" s="6019">
        <v>282</v>
      </c>
      <c r="G1010" s="6020">
        <f t="shared" si="105"/>
        <v>0</v>
      </c>
      <c r="H1010" s="6018">
        <f t="shared" si="109"/>
        <v>0</v>
      </c>
      <c r="I1010" s="6018">
        <f t="shared" si="110"/>
        <v>788</v>
      </c>
      <c r="J1010" s="6019">
        <v>1535</v>
      </c>
      <c r="K1010" s="1732"/>
      <c r="L1010" s="6018">
        <v>50125</v>
      </c>
      <c r="W1010" s="6018">
        <v>50100</v>
      </c>
      <c r="X1010" s="6019">
        <v>50150</v>
      </c>
      <c r="Y1010" s="6018">
        <v>0</v>
      </c>
      <c r="Z1010" s="6018">
        <v>0</v>
      </c>
      <c r="AA1010" s="6018">
        <v>0</v>
      </c>
      <c r="AB1010" s="6019">
        <v>282</v>
      </c>
      <c r="AC1010" s="6018">
        <v>0</v>
      </c>
      <c r="AD1010" s="6018">
        <v>0</v>
      </c>
      <c r="AE1010" s="6018">
        <v>788</v>
      </c>
      <c r="AF1010" s="6019">
        <v>1535</v>
      </c>
    </row>
    <row r="1011" spans="1:32" ht="13.5">
      <c r="A1011" s="6018">
        <v>50150</v>
      </c>
      <c r="B1011" s="6019">
        <v>50200</v>
      </c>
      <c r="C1011" s="6020">
        <f t="shared" si="106"/>
        <v>0</v>
      </c>
      <c r="D1011" s="6018">
        <f t="shared" si="107"/>
        <v>0</v>
      </c>
      <c r="E1011" s="6018">
        <f t="shared" si="108"/>
        <v>0</v>
      </c>
      <c r="F1011" s="6019">
        <v>272</v>
      </c>
      <c r="G1011" s="6020">
        <f t="shared" si="105"/>
        <v>0</v>
      </c>
      <c r="H1011" s="6018">
        <f t="shared" si="109"/>
        <v>0</v>
      </c>
      <c r="I1011" s="6018">
        <f t="shared" si="110"/>
        <v>777</v>
      </c>
      <c r="J1011" s="6019">
        <v>1525</v>
      </c>
      <c r="K1011" s="1732"/>
      <c r="L1011" s="6018">
        <v>50175</v>
      </c>
      <c r="W1011" s="6018">
        <v>50150</v>
      </c>
      <c r="X1011" s="6019">
        <v>50200</v>
      </c>
      <c r="Y1011" s="6018">
        <v>0</v>
      </c>
      <c r="Z1011" s="6018">
        <v>0</v>
      </c>
      <c r="AA1011" s="6018">
        <v>0</v>
      </c>
      <c r="AB1011" s="6019">
        <v>272</v>
      </c>
      <c r="AC1011" s="6018">
        <v>0</v>
      </c>
      <c r="AD1011" s="6018">
        <v>0</v>
      </c>
      <c r="AE1011" s="6018">
        <v>777</v>
      </c>
      <c r="AF1011" s="6019">
        <v>1525</v>
      </c>
    </row>
    <row r="1012" spans="1:32" ht="13.5">
      <c r="A1012" s="6018">
        <v>50200</v>
      </c>
      <c r="B1012" s="6019">
        <v>50250</v>
      </c>
      <c r="C1012" s="6020">
        <f t="shared" si="106"/>
        <v>0</v>
      </c>
      <c r="D1012" s="6018">
        <f t="shared" si="107"/>
        <v>0</v>
      </c>
      <c r="E1012" s="6018">
        <f t="shared" si="108"/>
        <v>0</v>
      </c>
      <c r="F1012" s="6019">
        <v>261</v>
      </c>
      <c r="G1012" s="6020">
        <f t="shared" si="105"/>
        <v>0</v>
      </c>
      <c r="H1012" s="6018">
        <f t="shared" si="109"/>
        <v>0</v>
      </c>
      <c r="I1012" s="6018">
        <f t="shared" si="110"/>
        <v>767</v>
      </c>
      <c r="J1012" s="6019">
        <v>1514</v>
      </c>
      <c r="K1012" s="1732"/>
      <c r="L1012" s="6018">
        <v>50225</v>
      </c>
      <c r="W1012" s="6018">
        <v>50200</v>
      </c>
      <c r="X1012" s="6019">
        <v>50250</v>
      </c>
      <c r="Y1012" s="6018">
        <v>0</v>
      </c>
      <c r="Z1012" s="6018">
        <v>0</v>
      </c>
      <c r="AA1012" s="6018">
        <v>0</v>
      </c>
      <c r="AB1012" s="6019">
        <v>261</v>
      </c>
      <c r="AC1012" s="6018">
        <v>0</v>
      </c>
      <c r="AD1012" s="6018">
        <v>0</v>
      </c>
      <c r="AE1012" s="6018">
        <v>767</v>
      </c>
      <c r="AF1012" s="6019">
        <v>1514</v>
      </c>
    </row>
    <row r="1013" spans="1:32" ht="13.5">
      <c r="A1013" s="6018">
        <v>50250</v>
      </c>
      <c r="B1013" s="6019">
        <v>50300</v>
      </c>
      <c r="C1013" s="6020">
        <f t="shared" si="106"/>
        <v>0</v>
      </c>
      <c r="D1013" s="6018">
        <f t="shared" si="107"/>
        <v>0</v>
      </c>
      <c r="E1013" s="6018">
        <f t="shared" si="108"/>
        <v>0</v>
      </c>
      <c r="F1013" s="6019">
        <v>250</v>
      </c>
      <c r="G1013" s="6020">
        <f t="shared" si="105"/>
        <v>0</v>
      </c>
      <c r="H1013" s="6018">
        <f t="shared" si="109"/>
        <v>0</v>
      </c>
      <c r="I1013" s="6018">
        <f t="shared" si="110"/>
        <v>756</v>
      </c>
      <c r="J1013" s="6019">
        <v>1504</v>
      </c>
      <c r="K1013" s="1732"/>
      <c r="L1013" s="6018">
        <v>50275</v>
      </c>
      <c r="W1013" s="6018">
        <v>50250</v>
      </c>
      <c r="X1013" s="6019">
        <v>50300</v>
      </c>
      <c r="Y1013" s="6018">
        <v>0</v>
      </c>
      <c r="Z1013" s="6018">
        <v>0</v>
      </c>
      <c r="AA1013" s="6018">
        <v>0</v>
      </c>
      <c r="AB1013" s="6019">
        <v>250</v>
      </c>
      <c r="AC1013" s="6018">
        <v>0</v>
      </c>
      <c r="AD1013" s="6018">
        <v>0</v>
      </c>
      <c r="AE1013" s="6018">
        <v>756</v>
      </c>
      <c r="AF1013" s="6019">
        <v>1504</v>
      </c>
    </row>
    <row r="1014" spans="1:32" ht="13.5">
      <c r="A1014" s="6018">
        <v>50300</v>
      </c>
      <c r="B1014" s="6019">
        <v>50350</v>
      </c>
      <c r="C1014" s="6020">
        <f t="shared" si="106"/>
        <v>0</v>
      </c>
      <c r="D1014" s="6018">
        <f t="shared" si="107"/>
        <v>0</v>
      </c>
      <c r="E1014" s="6018">
        <f t="shared" si="108"/>
        <v>0</v>
      </c>
      <c r="F1014" s="6019">
        <v>240</v>
      </c>
      <c r="G1014" s="6020">
        <f t="shared" si="105"/>
        <v>0</v>
      </c>
      <c r="H1014" s="6018">
        <f t="shared" si="109"/>
        <v>0</v>
      </c>
      <c r="I1014" s="6018">
        <f t="shared" si="110"/>
        <v>746</v>
      </c>
      <c r="J1014" s="6019">
        <v>1493</v>
      </c>
      <c r="K1014" s="1732"/>
      <c r="L1014" s="6018">
        <v>50325</v>
      </c>
      <c r="W1014" s="6018">
        <v>50300</v>
      </c>
      <c r="X1014" s="6019">
        <v>50350</v>
      </c>
      <c r="Y1014" s="6018">
        <v>0</v>
      </c>
      <c r="Z1014" s="6018">
        <v>0</v>
      </c>
      <c r="AA1014" s="6018">
        <v>0</v>
      </c>
      <c r="AB1014" s="6019">
        <v>240</v>
      </c>
      <c r="AC1014" s="6018">
        <v>0</v>
      </c>
      <c r="AD1014" s="6018">
        <v>0</v>
      </c>
      <c r="AE1014" s="6018">
        <v>746</v>
      </c>
      <c r="AF1014" s="6019">
        <v>1493</v>
      </c>
    </row>
    <row r="1015" spans="1:32" ht="13.5">
      <c r="A1015" s="6018">
        <v>50350</v>
      </c>
      <c r="B1015" s="6019">
        <v>50400</v>
      </c>
      <c r="C1015" s="6020">
        <f t="shared" si="106"/>
        <v>0</v>
      </c>
      <c r="D1015" s="6018">
        <f t="shared" si="107"/>
        <v>0</v>
      </c>
      <c r="E1015" s="6018">
        <f t="shared" si="108"/>
        <v>0</v>
      </c>
      <c r="F1015" s="6019">
        <v>229</v>
      </c>
      <c r="G1015" s="6020">
        <f t="shared" si="105"/>
        <v>0</v>
      </c>
      <c r="H1015" s="6018">
        <f t="shared" si="109"/>
        <v>0</v>
      </c>
      <c r="I1015" s="6018">
        <f t="shared" si="110"/>
        <v>735</v>
      </c>
      <c r="J1015" s="6019">
        <v>1483</v>
      </c>
      <c r="K1015" s="1732"/>
      <c r="L1015" s="6018">
        <v>50375</v>
      </c>
      <c r="W1015" s="6018">
        <v>50350</v>
      </c>
      <c r="X1015" s="6019">
        <v>50400</v>
      </c>
      <c r="Y1015" s="6018">
        <v>0</v>
      </c>
      <c r="Z1015" s="6018">
        <v>0</v>
      </c>
      <c r="AA1015" s="6018">
        <v>0</v>
      </c>
      <c r="AB1015" s="6019">
        <v>229</v>
      </c>
      <c r="AC1015" s="6018">
        <v>0</v>
      </c>
      <c r="AD1015" s="6018">
        <v>0</v>
      </c>
      <c r="AE1015" s="6018">
        <v>735</v>
      </c>
      <c r="AF1015" s="6019">
        <v>1483</v>
      </c>
    </row>
    <row r="1016" spans="1:32" ht="13.5">
      <c r="A1016" s="6018">
        <v>50400</v>
      </c>
      <c r="B1016" s="6019">
        <v>50450</v>
      </c>
      <c r="C1016" s="6020">
        <f t="shared" si="106"/>
        <v>0</v>
      </c>
      <c r="D1016" s="6018">
        <f t="shared" si="107"/>
        <v>0</v>
      </c>
      <c r="E1016" s="6018">
        <f t="shared" si="108"/>
        <v>0</v>
      </c>
      <c r="F1016" s="6019">
        <v>219</v>
      </c>
      <c r="G1016" s="6020">
        <f t="shared" si="105"/>
        <v>0</v>
      </c>
      <c r="H1016" s="6018">
        <f t="shared" si="109"/>
        <v>0</v>
      </c>
      <c r="I1016" s="6018">
        <f t="shared" si="110"/>
        <v>724</v>
      </c>
      <c r="J1016" s="6019">
        <v>1472</v>
      </c>
      <c r="K1016" s="1732"/>
      <c r="L1016" s="6018">
        <v>50425</v>
      </c>
      <c r="W1016" s="6018">
        <v>50400</v>
      </c>
      <c r="X1016" s="6019">
        <v>50450</v>
      </c>
      <c r="Y1016" s="6018">
        <v>0</v>
      </c>
      <c r="Z1016" s="6018">
        <v>0</v>
      </c>
      <c r="AA1016" s="6018">
        <v>0</v>
      </c>
      <c r="AB1016" s="6019">
        <v>219</v>
      </c>
      <c r="AC1016" s="6018">
        <v>0</v>
      </c>
      <c r="AD1016" s="6018">
        <v>0</v>
      </c>
      <c r="AE1016" s="6018">
        <v>724</v>
      </c>
      <c r="AF1016" s="6019">
        <v>1472</v>
      </c>
    </row>
    <row r="1017" spans="1:32" ht="13.5">
      <c r="A1017" s="6018">
        <v>50450</v>
      </c>
      <c r="B1017" s="6019">
        <v>50500</v>
      </c>
      <c r="C1017" s="6020">
        <f t="shared" si="106"/>
        <v>0</v>
      </c>
      <c r="D1017" s="6018">
        <f t="shared" si="107"/>
        <v>0</v>
      </c>
      <c r="E1017" s="6018">
        <f t="shared" si="108"/>
        <v>0</v>
      </c>
      <c r="F1017" s="6019">
        <v>208</v>
      </c>
      <c r="G1017" s="6020">
        <f t="shared" si="105"/>
        <v>0</v>
      </c>
      <c r="H1017" s="6018">
        <f t="shared" si="109"/>
        <v>0</v>
      </c>
      <c r="I1017" s="6018">
        <f t="shared" si="110"/>
        <v>714</v>
      </c>
      <c r="J1017" s="6019">
        <v>1461</v>
      </c>
      <c r="K1017" s="1732"/>
      <c r="L1017" s="6018">
        <v>50475</v>
      </c>
      <c r="W1017" s="6018">
        <v>50450</v>
      </c>
      <c r="X1017" s="6019">
        <v>50500</v>
      </c>
      <c r="Y1017" s="6018">
        <v>0</v>
      </c>
      <c r="Z1017" s="6018">
        <v>0</v>
      </c>
      <c r="AA1017" s="6018">
        <v>0</v>
      </c>
      <c r="AB1017" s="6019">
        <v>208</v>
      </c>
      <c r="AC1017" s="6018">
        <v>0</v>
      </c>
      <c r="AD1017" s="6018">
        <v>0</v>
      </c>
      <c r="AE1017" s="6018">
        <v>714</v>
      </c>
      <c r="AF1017" s="6019">
        <v>1461</v>
      </c>
    </row>
    <row r="1018" spans="1:32" ht="13.5">
      <c r="A1018" s="6018">
        <v>50500</v>
      </c>
      <c r="B1018" s="6019">
        <v>50550</v>
      </c>
      <c r="C1018" s="6020">
        <f t="shared" si="106"/>
        <v>0</v>
      </c>
      <c r="D1018" s="6018">
        <f t="shared" si="107"/>
        <v>0</v>
      </c>
      <c r="E1018" s="6018">
        <f t="shared" si="108"/>
        <v>0</v>
      </c>
      <c r="F1018" s="6019">
        <v>198</v>
      </c>
      <c r="G1018" s="6020">
        <f t="shared" si="105"/>
        <v>0</v>
      </c>
      <c r="H1018" s="6018">
        <f t="shared" si="109"/>
        <v>0</v>
      </c>
      <c r="I1018" s="6018">
        <f t="shared" si="110"/>
        <v>703</v>
      </c>
      <c r="J1018" s="6019">
        <v>1451</v>
      </c>
      <c r="K1018" s="1732"/>
      <c r="L1018" s="6018">
        <v>50525</v>
      </c>
      <c r="W1018" s="6018">
        <v>50500</v>
      </c>
      <c r="X1018" s="6019">
        <v>50550</v>
      </c>
      <c r="Y1018" s="6018">
        <v>0</v>
      </c>
      <c r="Z1018" s="6018">
        <v>0</v>
      </c>
      <c r="AA1018" s="6018">
        <v>0</v>
      </c>
      <c r="AB1018" s="6019">
        <v>198</v>
      </c>
      <c r="AC1018" s="6018">
        <v>0</v>
      </c>
      <c r="AD1018" s="6018">
        <v>0</v>
      </c>
      <c r="AE1018" s="6018">
        <v>703</v>
      </c>
      <c r="AF1018" s="6019">
        <v>1451</v>
      </c>
    </row>
    <row r="1019" spans="1:32" ht="13.5">
      <c r="A1019" s="6018">
        <v>50550</v>
      </c>
      <c r="B1019" s="6019">
        <v>50600</v>
      </c>
      <c r="C1019" s="6020">
        <f t="shared" si="106"/>
        <v>0</v>
      </c>
      <c r="D1019" s="6018">
        <f t="shared" si="107"/>
        <v>0</v>
      </c>
      <c r="E1019" s="6018">
        <f t="shared" si="108"/>
        <v>0</v>
      </c>
      <c r="F1019" s="6019">
        <v>187</v>
      </c>
      <c r="G1019" s="6020">
        <f t="shared" si="105"/>
        <v>0</v>
      </c>
      <c r="H1019" s="6018">
        <f t="shared" si="109"/>
        <v>0</v>
      </c>
      <c r="I1019" s="6018">
        <f t="shared" si="110"/>
        <v>693</v>
      </c>
      <c r="J1019" s="6019">
        <v>1440</v>
      </c>
      <c r="K1019" s="1732"/>
      <c r="L1019" s="6018">
        <v>50575</v>
      </c>
      <c r="W1019" s="6018">
        <v>50550</v>
      </c>
      <c r="X1019" s="6019">
        <v>50600</v>
      </c>
      <c r="Y1019" s="6018">
        <v>0</v>
      </c>
      <c r="Z1019" s="6018">
        <v>0</v>
      </c>
      <c r="AA1019" s="6018">
        <v>0</v>
      </c>
      <c r="AB1019" s="6019">
        <v>187</v>
      </c>
      <c r="AC1019" s="6018">
        <v>0</v>
      </c>
      <c r="AD1019" s="6018">
        <v>0</v>
      </c>
      <c r="AE1019" s="6018">
        <v>693</v>
      </c>
      <c r="AF1019" s="6019">
        <v>1440</v>
      </c>
    </row>
    <row r="1020" spans="1:32" ht="13.5">
      <c r="A1020" s="6018">
        <v>50600</v>
      </c>
      <c r="B1020" s="6019">
        <v>50650</v>
      </c>
      <c r="C1020" s="6020">
        <f t="shared" si="106"/>
        <v>0</v>
      </c>
      <c r="D1020" s="6018">
        <f t="shared" si="107"/>
        <v>0</v>
      </c>
      <c r="E1020" s="6018">
        <f t="shared" si="108"/>
        <v>0</v>
      </c>
      <c r="F1020" s="6019">
        <v>177</v>
      </c>
      <c r="G1020" s="6020">
        <f t="shared" si="105"/>
        <v>0</v>
      </c>
      <c r="H1020" s="6018">
        <f t="shared" si="109"/>
        <v>0</v>
      </c>
      <c r="I1020" s="6018">
        <f t="shared" si="110"/>
        <v>682</v>
      </c>
      <c r="J1020" s="6019">
        <v>1430</v>
      </c>
      <c r="K1020" s="1732"/>
      <c r="L1020" s="6018">
        <v>50625</v>
      </c>
      <c r="W1020" s="6018">
        <v>50600</v>
      </c>
      <c r="X1020" s="6019">
        <v>50650</v>
      </c>
      <c r="Y1020" s="6018">
        <v>0</v>
      </c>
      <c r="Z1020" s="6018">
        <v>0</v>
      </c>
      <c r="AA1020" s="6018">
        <v>0</v>
      </c>
      <c r="AB1020" s="6019">
        <v>177</v>
      </c>
      <c r="AC1020" s="6018">
        <v>0</v>
      </c>
      <c r="AD1020" s="6018">
        <v>0</v>
      </c>
      <c r="AE1020" s="6018">
        <v>682</v>
      </c>
      <c r="AF1020" s="6019">
        <v>1430</v>
      </c>
    </row>
    <row r="1021" spans="1:32" ht="13.5">
      <c r="A1021" s="6018">
        <v>50650</v>
      </c>
      <c r="B1021" s="6019">
        <v>50700</v>
      </c>
      <c r="C1021" s="6020">
        <f t="shared" si="106"/>
        <v>0</v>
      </c>
      <c r="D1021" s="6018">
        <f t="shared" si="107"/>
        <v>0</v>
      </c>
      <c r="E1021" s="6018">
        <f t="shared" si="108"/>
        <v>0</v>
      </c>
      <c r="F1021" s="6019">
        <v>166</v>
      </c>
      <c r="G1021" s="6020">
        <f t="shared" si="105"/>
        <v>0</v>
      </c>
      <c r="H1021" s="6018">
        <f t="shared" si="109"/>
        <v>0</v>
      </c>
      <c r="I1021" s="6018">
        <f t="shared" si="110"/>
        <v>672</v>
      </c>
      <c r="J1021" s="6019">
        <v>1419</v>
      </c>
      <c r="K1021" s="1732"/>
      <c r="L1021" s="6018">
        <v>50675</v>
      </c>
      <c r="W1021" s="6018">
        <v>50650</v>
      </c>
      <c r="X1021" s="6019">
        <v>50700</v>
      </c>
      <c r="Y1021" s="6018">
        <v>0</v>
      </c>
      <c r="Z1021" s="6018">
        <v>0</v>
      </c>
      <c r="AA1021" s="6018">
        <v>0</v>
      </c>
      <c r="AB1021" s="6019">
        <v>166</v>
      </c>
      <c r="AC1021" s="6018">
        <v>0</v>
      </c>
      <c r="AD1021" s="6018">
        <v>0</v>
      </c>
      <c r="AE1021" s="6018">
        <v>672</v>
      </c>
      <c r="AF1021" s="6019">
        <v>1419</v>
      </c>
    </row>
    <row r="1022" spans="1:32" ht="13.5">
      <c r="A1022" s="6018">
        <v>50700</v>
      </c>
      <c r="B1022" s="6019">
        <v>50750</v>
      </c>
      <c r="C1022" s="6020">
        <f t="shared" si="106"/>
        <v>0</v>
      </c>
      <c r="D1022" s="6018">
        <f t="shared" si="107"/>
        <v>0</v>
      </c>
      <c r="E1022" s="6018">
        <f t="shared" si="108"/>
        <v>0</v>
      </c>
      <c r="F1022" s="6019">
        <v>156</v>
      </c>
      <c r="G1022" s="6020">
        <f t="shared" si="105"/>
        <v>0</v>
      </c>
      <c r="H1022" s="6018">
        <f t="shared" si="109"/>
        <v>0</v>
      </c>
      <c r="I1022" s="6018">
        <f t="shared" si="110"/>
        <v>661</v>
      </c>
      <c r="J1022" s="6019">
        <v>1409</v>
      </c>
      <c r="K1022" s="1732"/>
      <c r="L1022" s="6018">
        <v>50725</v>
      </c>
      <c r="W1022" s="6018">
        <v>50700</v>
      </c>
      <c r="X1022" s="6019">
        <v>50750</v>
      </c>
      <c r="Y1022" s="6018">
        <v>0</v>
      </c>
      <c r="Z1022" s="6018">
        <v>0</v>
      </c>
      <c r="AA1022" s="6018">
        <v>0</v>
      </c>
      <c r="AB1022" s="6019">
        <v>156</v>
      </c>
      <c r="AC1022" s="6018">
        <v>0</v>
      </c>
      <c r="AD1022" s="6018">
        <v>0</v>
      </c>
      <c r="AE1022" s="6018">
        <v>661</v>
      </c>
      <c r="AF1022" s="6019">
        <v>1409</v>
      </c>
    </row>
    <row r="1023" spans="1:32" ht="13.5">
      <c r="A1023" s="6018">
        <v>50750</v>
      </c>
      <c r="B1023" s="6019">
        <v>50800</v>
      </c>
      <c r="C1023" s="6020">
        <f t="shared" si="106"/>
        <v>0</v>
      </c>
      <c r="D1023" s="6018">
        <f t="shared" si="107"/>
        <v>0</v>
      </c>
      <c r="E1023" s="6018">
        <f t="shared" si="108"/>
        <v>0</v>
      </c>
      <c r="F1023" s="6019">
        <v>145</v>
      </c>
      <c r="G1023" s="6020">
        <f t="shared" si="105"/>
        <v>0</v>
      </c>
      <c r="H1023" s="6018">
        <f t="shared" si="109"/>
        <v>0</v>
      </c>
      <c r="I1023" s="6018">
        <f t="shared" si="110"/>
        <v>651</v>
      </c>
      <c r="J1023" s="6019">
        <v>1398</v>
      </c>
      <c r="K1023" s="1732"/>
      <c r="L1023" s="6018">
        <v>50775</v>
      </c>
      <c r="W1023" s="6018">
        <v>50750</v>
      </c>
      <c r="X1023" s="6019">
        <v>50800</v>
      </c>
      <c r="Y1023" s="6018">
        <v>0</v>
      </c>
      <c r="Z1023" s="6018">
        <v>0</v>
      </c>
      <c r="AA1023" s="6018">
        <v>0</v>
      </c>
      <c r="AB1023" s="6019">
        <v>145</v>
      </c>
      <c r="AC1023" s="6018">
        <v>0</v>
      </c>
      <c r="AD1023" s="6018">
        <v>0</v>
      </c>
      <c r="AE1023" s="6018">
        <v>651</v>
      </c>
      <c r="AF1023" s="6019">
        <v>1398</v>
      </c>
    </row>
    <row r="1024" spans="1:32" ht="13.5">
      <c r="A1024" s="6018">
        <v>50800</v>
      </c>
      <c r="B1024" s="6019">
        <v>50850</v>
      </c>
      <c r="C1024" s="6020">
        <f t="shared" si="106"/>
        <v>0</v>
      </c>
      <c r="D1024" s="6018">
        <f t="shared" si="107"/>
        <v>0</v>
      </c>
      <c r="E1024" s="6018">
        <f t="shared" si="108"/>
        <v>0</v>
      </c>
      <c r="F1024" s="6019">
        <v>135</v>
      </c>
      <c r="G1024" s="6020">
        <f t="shared" si="105"/>
        <v>0</v>
      </c>
      <c r="H1024" s="6018">
        <f t="shared" si="109"/>
        <v>0</v>
      </c>
      <c r="I1024" s="6018">
        <f t="shared" si="110"/>
        <v>640</v>
      </c>
      <c r="J1024" s="6019">
        <v>1388</v>
      </c>
      <c r="K1024" s="1732"/>
      <c r="L1024" s="6018">
        <v>50825</v>
      </c>
      <c r="W1024" s="6018">
        <v>50800</v>
      </c>
      <c r="X1024" s="6019">
        <v>50850</v>
      </c>
      <c r="Y1024" s="6018">
        <v>0</v>
      </c>
      <c r="Z1024" s="6018">
        <v>0</v>
      </c>
      <c r="AA1024" s="6018">
        <v>0</v>
      </c>
      <c r="AB1024" s="6019">
        <v>135</v>
      </c>
      <c r="AC1024" s="6018">
        <v>0</v>
      </c>
      <c r="AD1024" s="6018">
        <v>0</v>
      </c>
      <c r="AE1024" s="6018">
        <v>640</v>
      </c>
      <c r="AF1024" s="6019">
        <v>1388</v>
      </c>
    </row>
    <row r="1025" spans="1:32" ht="13.5">
      <c r="A1025" s="6018">
        <v>50850</v>
      </c>
      <c r="B1025" s="6019">
        <v>50900</v>
      </c>
      <c r="C1025" s="6020">
        <f t="shared" si="106"/>
        <v>0</v>
      </c>
      <c r="D1025" s="6018">
        <f t="shared" si="107"/>
        <v>0</v>
      </c>
      <c r="E1025" s="6018">
        <f t="shared" si="108"/>
        <v>0</v>
      </c>
      <c r="F1025" s="6019">
        <v>124</v>
      </c>
      <c r="G1025" s="6020">
        <f t="shared" si="105"/>
        <v>0</v>
      </c>
      <c r="H1025" s="6018">
        <f t="shared" si="109"/>
        <v>0</v>
      </c>
      <c r="I1025" s="6018">
        <f t="shared" si="110"/>
        <v>630</v>
      </c>
      <c r="J1025" s="6019">
        <v>1377</v>
      </c>
      <c r="K1025" s="1732"/>
      <c r="L1025" s="6018">
        <v>50875</v>
      </c>
      <c r="W1025" s="6018">
        <v>50850</v>
      </c>
      <c r="X1025" s="6019">
        <v>50900</v>
      </c>
      <c r="Y1025" s="6018">
        <v>0</v>
      </c>
      <c r="Z1025" s="6018">
        <v>0</v>
      </c>
      <c r="AA1025" s="6018">
        <v>0</v>
      </c>
      <c r="AB1025" s="6019">
        <v>124</v>
      </c>
      <c r="AC1025" s="6018">
        <v>0</v>
      </c>
      <c r="AD1025" s="6018">
        <v>0</v>
      </c>
      <c r="AE1025" s="6018">
        <v>630</v>
      </c>
      <c r="AF1025" s="6019">
        <v>1377</v>
      </c>
    </row>
    <row r="1026" spans="1:32" ht="13.5">
      <c r="A1026" s="6018">
        <v>50900</v>
      </c>
      <c r="B1026" s="6019">
        <v>50950</v>
      </c>
      <c r="C1026" s="6020">
        <f t="shared" si="106"/>
        <v>0</v>
      </c>
      <c r="D1026" s="6018">
        <f t="shared" si="107"/>
        <v>0</v>
      </c>
      <c r="E1026" s="6018">
        <f t="shared" si="108"/>
        <v>0</v>
      </c>
      <c r="F1026" s="6019">
        <v>114</v>
      </c>
      <c r="G1026" s="6020">
        <f t="shared" si="105"/>
        <v>0</v>
      </c>
      <c r="H1026" s="6018">
        <f t="shared" si="109"/>
        <v>0</v>
      </c>
      <c r="I1026" s="6018">
        <f t="shared" si="110"/>
        <v>619</v>
      </c>
      <c r="J1026" s="6019">
        <v>1367</v>
      </c>
      <c r="K1026" s="1732"/>
      <c r="L1026" s="6018">
        <v>50925</v>
      </c>
      <c r="W1026" s="6018">
        <v>50900</v>
      </c>
      <c r="X1026" s="6019">
        <v>50950</v>
      </c>
      <c r="Y1026" s="6018">
        <v>0</v>
      </c>
      <c r="Z1026" s="6018">
        <v>0</v>
      </c>
      <c r="AA1026" s="6018">
        <v>0</v>
      </c>
      <c r="AB1026" s="6019">
        <v>114</v>
      </c>
      <c r="AC1026" s="6018">
        <v>0</v>
      </c>
      <c r="AD1026" s="6018">
        <v>0</v>
      </c>
      <c r="AE1026" s="6018">
        <v>619</v>
      </c>
      <c r="AF1026" s="6019">
        <v>1367</v>
      </c>
    </row>
    <row r="1027" spans="1:32" ht="13.5">
      <c r="A1027" s="6018">
        <v>50950</v>
      </c>
      <c r="B1027" s="6019">
        <v>51000</v>
      </c>
      <c r="C1027" s="6020">
        <f t="shared" si="106"/>
        <v>0</v>
      </c>
      <c r="D1027" s="6018">
        <f t="shared" si="107"/>
        <v>0</v>
      </c>
      <c r="E1027" s="6018">
        <f t="shared" si="108"/>
        <v>0</v>
      </c>
      <c r="F1027" s="6019">
        <v>103</v>
      </c>
      <c r="G1027" s="6020">
        <f t="shared" si="105"/>
        <v>0</v>
      </c>
      <c r="H1027" s="6018">
        <f t="shared" si="109"/>
        <v>0</v>
      </c>
      <c r="I1027" s="6018">
        <f t="shared" si="110"/>
        <v>609</v>
      </c>
      <c r="J1027" s="6019">
        <v>1356</v>
      </c>
      <c r="K1027" s="1732"/>
      <c r="L1027" s="6018">
        <v>50975</v>
      </c>
      <c r="W1027" s="6018">
        <v>50950</v>
      </c>
      <c r="X1027" s="6019">
        <v>51000</v>
      </c>
      <c r="Y1027" s="6018">
        <v>0</v>
      </c>
      <c r="Z1027" s="6018">
        <v>0</v>
      </c>
      <c r="AA1027" s="6018">
        <v>0</v>
      </c>
      <c r="AB1027" s="6019">
        <v>103</v>
      </c>
      <c r="AC1027" s="6018">
        <v>0</v>
      </c>
      <c r="AD1027" s="6018">
        <v>0</v>
      </c>
      <c r="AE1027" s="6018">
        <v>609</v>
      </c>
      <c r="AF1027" s="6019">
        <v>1356</v>
      </c>
    </row>
    <row r="1028" spans="1:32" ht="13.5">
      <c r="A1028" s="6018">
        <v>51000</v>
      </c>
      <c r="B1028" s="6019">
        <v>51050</v>
      </c>
      <c r="C1028" s="6020">
        <f t="shared" si="106"/>
        <v>0</v>
      </c>
      <c r="D1028" s="6018">
        <f t="shared" si="107"/>
        <v>0</v>
      </c>
      <c r="E1028" s="6018">
        <f t="shared" si="108"/>
        <v>0</v>
      </c>
      <c r="F1028" s="6019">
        <v>93</v>
      </c>
      <c r="G1028" s="6020">
        <f t="shared" ref="G1028:G1091" si="111">IF($L1028&gt;R$5,MAX(0,R$3+ROUND((R$9*($L1028-R$5)),0)),IF($L1028&gt;R$4,R$3,ROUND($L1028*R$7,0)))</f>
        <v>0</v>
      </c>
      <c r="H1028" s="6018">
        <f t="shared" ref="H1028:H1091" si="112">IF($L1028&gt;S$5,MAX(0,S$3+ROUND((S$9*($L1028-S$5)),0)),IF($L1028&gt;S$4,S$3,ROUND($L1028*S$7,0)))</f>
        <v>0</v>
      </c>
      <c r="I1028" s="6018">
        <f t="shared" ref="I1028:I1091" si="113">IF($L1028&gt;T$5,MAX(0,T$3+ROUND((T$9*($L1028-T$5)),0)),IF($L1028&gt;T$4,T$3,ROUND($L1028*T$7,0)))</f>
        <v>598</v>
      </c>
      <c r="J1028" s="6019">
        <v>1346</v>
      </c>
      <c r="K1028" s="1732"/>
      <c r="L1028" s="6018">
        <v>51025</v>
      </c>
      <c r="W1028" s="6018">
        <v>51000</v>
      </c>
      <c r="X1028" s="6019">
        <v>51050</v>
      </c>
      <c r="Y1028" s="6018">
        <v>0</v>
      </c>
      <c r="Z1028" s="6018">
        <v>0</v>
      </c>
      <c r="AA1028" s="6018">
        <v>0</v>
      </c>
      <c r="AB1028" s="6019">
        <v>93</v>
      </c>
      <c r="AC1028" s="6018">
        <v>0</v>
      </c>
      <c r="AD1028" s="6018">
        <v>0</v>
      </c>
      <c r="AE1028" s="6018">
        <v>598</v>
      </c>
      <c r="AF1028" s="6019">
        <v>1346</v>
      </c>
    </row>
    <row r="1029" spans="1:32" ht="13.5">
      <c r="A1029" s="6018">
        <v>51050</v>
      </c>
      <c r="B1029" s="6019">
        <v>51100</v>
      </c>
      <c r="C1029" s="6020">
        <f t="shared" si="106"/>
        <v>0</v>
      </c>
      <c r="D1029" s="6018">
        <f t="shared" si="107"/>
        <v>0</v>
      </c>
      <c r="E1029" s="6018">
        <f t="shared" si="108"/>
        <v>0</v>
      </c>
      <c r="F1029" s="6019">
        <v>82</v>
      </c>
      <c r="G1029" s="6020">
        <f t="shared" si="111"/>
        <v>0</v>
      </c>
      <c r="H1029" s="6018">
        <f t="shared" si="112"/>
        <v>0</v>
      </c>
      <c r="I1029" s="6018">
        <f t="shared" si="113"/>
        <v>588</v>
      </c>
      <c r="J1029" s="6019">
        <v>1335</v>
      </c>
      <c r="K1029" s="1732"/>
      <c r="L1029" s="6018">
        <v>51075</v>
      </c>
      <c r="W1029" s="6018">
        <v>51050</v>
      </c>
      <c r="X1029" s="6019">
        <v>51100</v>
      </c>
      <c r="Y1029" s="6018">
        <v>0</v>
      </c>
      <c r="Z1029" s="6018">
        <v>0</v>
      </c>
      <c r="AA1029" s="6018">
        <v>0</v>
      </c>
      <c r="AB1029" s="6019">
        <v>82</v>
      </c>
      <c r="AC1029" s="6018">
        <v>0</v>
      </c>
      <c r="AD1029" s="6018">
        <v>0</v>
      </c>
      <c r="AE1029" s="6018">
        <v>588</v>
      </c>
      <c r="AF1029" s="6019">
        <v>1335</v>
      </c>
    </row>
    <row r="1030" spans="1:32" ht="13.5">
      <c r="A1030" s="6018">
        <v>51100</v>
      </c>
      <c r="B1030" s="6019">
        <v>51150</v>
      </c>
      <c r="C1030" s="6020">
        <f t="shared" ref="C1030:C1093" si="114">IF($L1030&gt;N$5,MAX(0,N$3+ROUND((N$9*($L1030-N$5)),0)),IF($L1030&gt;N$4,N$3,ROUND($L1030*N$7,0)))</f>
        <v>0</v>
      </c>
      <c r="D1030" s="6018">
        <f t="shared" ref="D1030:D1093" si="115">IF($L1030&gt;O$5,MAX(0,O$3+ROUND((O$9*($L1030-O$5)),0)),IF($L1030&gt;O$4,O$3,ROUND($L1030*O$7,0)))</f>
        <v>0</v>
      </c>
      <c r="E1030" s="6018">
        <f t="shared" ref="E1030:E1093" si="116">IF($L1030&gt;P$5,MAX(0,P$3+ROUND((P$9*($L1030-P$5)),0)),IF($L1030&gt;P$4,P$3,ROUND($L1030*P$7,0)))</f>
        <v>0</v>
      </c>
      <c r="F1030" s="6019">
        <v>71</v>
      </c>
      <c r="G1030" s="6020">
        <f t="shared" si="111"/>
        <v>0</v>
      </c>
      <c r="H1030" s="6018">
        <f t="shared" si="112"/>
        <v>0</v>
      </c>
      <c r="I1030" s="6018">
        <f t="shared" si="113"/>
        <v>577</v>
      </c>
      <c r="J1030" s="6019">
        <v>1325</v>
      </c>
      <c r="K1030" s="1732"/>
      <c r="L1030" s="6018">
        <v>51125</v>
      </c>
      <c r="W1030" s="6018">
        <v>51100</v>
      </c>
      <c r="X1030" s="6019">
        <v>51150</v>
      </c>
      <c r="Y1030" s="6018">
        <v>0</v>
      </c>
      <c r="Z1030" s="6018">
        <v>0</v>
      </c>
      <c r="AA1030" s="6018">
        <v>0</v>
      </c>
      <c r="AB1030" s="6019">
        <v>71</v>
      </c>
      <c r="AC1030" s="6018">
        <v>0</v>
      </c>
      <c r="AD1030" s="6018">
        <v>0</v>
      </c>
      <c r="AE1030" s="6018">
        <v>577</v>
      </c>
      <c r="AF1030" s="6019">
        <v>1325</v>
      </c>
    </row>
    <row r="1031" spans="1:32" ht="13.5">
      <c r="A1031" s="6018">
        <v>51150</v>
      </c>
      <c r="B1031" s="6019">
        <v>51200</v>
      </c>
      <c r="C1031" s="6020">
        <f t="shared" si="114"/>
        <v>0</v>
      </c>
      <c r="D1031" s="6018">
        <f t="shared" si="115"/>
        <v>0</v>
      </c>
      <c r="E1031" s="6018">
        <f t="shared" si="116"/>
        <v>0</v>
      </c>
      <c r="F1031" s="6019">
        <v>61</v>
      </c>
      <c r="G1031" s="6020">
        <f t="shared" si="111"/>
        <v>0</v>
      </c>
      <c r="H1031" s="6018">
        <f t="shared" si="112"/>
        <v>0</v>
      </c>
      <c r="I1031" s="6018">
        <f t="shared" si="113"/>
        <v>567</v>
      </c>
      <c r="J1031" s="6019">
        <v>1314</v>
      </c>
      <c r="K1031" s="1732"/>
      <c r="L1031" s="6018">
        <v>51175</v>
      </c>
      <c r="W1031" s="6018">
        <v>51150</v>
      </c>
      <c r="X1031" s="6019">
        <v>51200</v>
      </c>
      <c r="Y1031" s="6018">
        <v>0</v>
      </c>
      <c r="Z1031" s="6018">
        <v>0</v>
      </c>
      <c r="AA1031" s="6018">
        <v>0</v>
      </c>
      <c r="AB1031" s="6019">
        <v>61</v>
      </c>
      <c r="AC1031" s="6018">
        <v>0</v>
      </c>
      <c r="AD1031" s="6018">
        <v>0</v>
      </c>
      <c r="AE1031" s="6018">
        <v>567</v>
      </c>
      <c r="AF1031" s="6019">
        <v>1314</v>
      </c>
    </row>
    <row r="1032" spans="1:32" ht="13.5">
      <c r="A1032" s="6018">
        <v>51200</v>
      </c>
      <c r="B1032" s="6019">
        <v>51250</v>
      </c>
      <c r="C1032" s="6020">
        <f t="shared" si="114"/>
        <v>0</v>
      </c>
      <c r="D1032" s="6018">
        <f t="shared" si="115"/>
        <v>0</v>
      </c>
      <c r="E1032" s="6018">
        <f t="shared" si="116"/>
        <v>0</v>
      </c>
      <c r="F1032" s="6019">
        <v>50</v>
      </c>
      <c r="G1032" s="6020">
        <f t="shared" si="111"/>
        <v>0</v>
      </c>
      <c r="H1032" s="6018">
        <f t="shared" si="112"/>
        <v>0</v>
      </c>
      <c r="I1032" s="6018">
        <f t="shared" si="113"/>
        <v>556</v>
      </c>
      <c r="J1032" s="6019">
        <v>1303</v>
      </c>
      <c r="K1032" s="1732"/>
      <c r="L1032" s="6018">
        <v>51225</v>
      </c>
      <c r="W1032" s="6018">
        <v>51200</v>
      </c>
      <c r="X1032" s="6019">
        <v>51250</v>
      </c>
      <c r="Y1032" s="6018">
        <v>0</v>
      </c>
      <c r="Z1032" s="6018">
        <v>0</v>
      </c>
      <c r="AA1032" s="6018">
        <v>0</v>
      </c>
      <c r="AB1032" s="6019">
        <v>50</v>
      </c>
      <c r="AC1032" s="6018">
        <v>0</v>
      </c>
      <c r="AD1032" s="6018">
        <v>0</v>
      </c>
      <c r="AE1032" s="6018">
        <v>556</v>
      </c>
      <c r="AF1032" s="6019">
        <v>1303</v>
      </c>
    </row>
    <row r="1033" spans="1:32" ht="13.5">
      <c r="A1033" s="6018">
        <v>51250</v>
      </c>
      <c r="B1033" s="6019">
        <v>51300</v>
      </c>
      <c r="C1033" s="6020">
        <f t="shared" si="114"/>
        <v>0</v>
      </c>
      <c r="D1033" s="6018">
        <f t="shared" si="115"/>
        <v>0</v>
      </c>
      <c r="E1033" s="6018">
        <f t="shared" si="116"/>
        <v>0</v>
      </c>
      <c r="F1033" s="6019">
        <v>40</v>
      </c>
      <c r="G1033" s="6020">
        <f t="shared" si="111"/>
        <v>0</v>
      </c>
      <c r="H1033" s="6018">
        <f t="shared" si="112"/>
        <v>0</v>
      </c>
      <c r="I1033" s="6018">
        <f t="shared" si="113"/>
        <v>545</v>
      </c>
      <c r="J1033" s="6019">
        <v>1293</v>
      </c>
      <c r="K1033" s="1732"/>
      <c r="L1033" s="6018">
        <v>51275</v>
      </c>
      <c r="W1033" s="6018">
        <v>51250</v>
      </c>
      <c r="X1033" s="6019">
        <v>51300</v>
      </c>
      <c r="Y1033" s="6018">
        <v>0</v>
      </c>
      <c r="Z1033" s="6018">
        <v>0</v>
      </c>
      <c r="AA1033" s="6018">
        <v>0</v>
      </c>
      <c r="AB1033" s="6019">
        <v>40</v>
      </c>
      <c r="AC1033" s="6018">
        <v>0</v>
      </c>
      <c r="AD1033" s="6018">
        <v>0</v>
      </c>
      <c r="AE1033" s="6018">
        <v>545</v>
      </c>
      <c r="AF1033" s="6019">
        <v>1293</v>
      </c>
    </row>
    <row r="1034" spans="1:32" ht="13.5">
      <c r="A1034" s="6018">
        <v>51300</v>
      </c>
      <c r="B1034" s="6019">
        <v>51350</v>
      </c>
      <c r="C1034" s="6020">
        <f t="shared" si="114"/>
        <v>0</v>
      </c>
      <c r="D1034" s="6018">
        <f t="shared" si="115"/>
        <v>0</v>
      </c>
      <c r="E1034" s="6018">
        <f t="shared" si="116"/>
        <v>0</v>
      </c>
      <c r="F1034" s="6019">
        <v>29</v>
      </c>
      <c r="G1034" s="6020">
        <f t="shared" si="111"/>
        <v>0</v>
      </c>
      <c r="H1034" s="6018">
        <f t="shared" si="112"/>
        <v>0</v>
      </c>
      <c r="I1034" s="6018">
        <f t="shared" si="113"/>
        <v>535</v>
      </c>
      <c r="J1034" s="6019">
        <v>1282</v>
      </c>
      <c r="K1034" s="1732"/>
      <c r="L1034" s="6018">
        <v>51325</v>
      </c>
      <c r="W1034" s="6018">
        <v>51300</v>
      </c>
      <c r="X1034" s="6019">
        <v>51350</v>
      </c>
      <c r="Y1034" s="6018">
        <v>0</v>
      </c>
      <c r="Z1034" s="6018">
        <v>0</v>
      </c>
      <c r="AA1034" s="6018">
        <v>0</v>
      </c>
      <c r="AB1034" s="6019">
        <v>29</v>
      </c>
      <c r="AC1034" s="6018">
        <v>0</v>
      </c>
      <c r="AD1034" s="6018">
        <v>0</v>
      </c>
      <c r="AE1034" s="6018">
        <v>535</v>
      </c>
      <c r="AF1034" s="6019">
        <v>1282</v>
      </c>
    </row>
    <row r="1035" spans="1:32" ht="13.5">
      <c r="A1035" s="6018">
        <v>51350</v>
      </c>
      <c r="B1035" s="6019">
        <v>51400</v>
      </c>
      <c r="C1035" s="6020">
        <f t="shared" si="114"/>
        <v>0</v>
      </c>
      <c r="D1035" s="6018">
        <f t="shared" si="115"/>
        <v>0</v>
      </c>
      <c r="E1035" s="6018">
        <f t="shared" si="116"/>
        <v>0</v>
      </c>
      <c r="F1035" s="6019">
        <v>19</v>
      </c>
      <c r="G1035" s="6020">
        <f t="shared" si="111"/>
        <v>0</v>
      </c>
      <c r="H1035" s="6018">
        <f t="shared" si="112"/>
        <v>0</v>
      </c>
      <c r="I1035" s="6018">
        <f t="shared" si="113"/>
        <v>524</v>
      </c>
      <c r="J1035" s="6019">
        <v>1272</v>
      </c>
      <c r="K1035" s="1732"/>
      <c r="L1035" s="6018">
        <v>51375</v>
      </c>
      <c r="W1035" s="6018">
        <v>51350</v>
      </c>
      <c r="X1035" s="6019">
        <v>51400</v>
      </c>
      <c r="Y1035" s="6018">
        <v>0</v>
      </c>
      <c r="Z1035" s="6018">
        <v>0</v>
      </c>
      <c r="AA1035" s="6018">
        <v>0</v>
      </c>
      <c r="AB1035" s="6019">
        <v>19</v>
      </c>
      <c r="AC1035" s="6018">
        <v>0</v>
      </c>
      <c r="AD1035" s="6018">
        <v>0</v>
      </c>
      <c r="AE1035" s="6018">
        <v>524</v>
      </c>
      <c r="AF1035" s="6019">
        <v>1272</v>
      </c>
    </row>
    <row r="1036" spans="1:32" ht="13.5">
      <c r="A1036" s="6018">
        <v>51400</v>
      </c>
      <c r="B1036" s="6019">
        <v>51450</v>
      </c>
      <c r="C1036" s="6020">
        <f t="shared" si="114"/>
        <v>0</v>
      </c>
      <c r="D1036" s="6018">
        <f t="shared" si="115"/>
        <v>0</v>
      </c>
      <c r="E1036" s="6018">
        <f t="shared" si="116"/>
        <v>0</v>
      </c>
      <c r="F1036" s="6019">
        <v>8</v>
      </c>
      <c r="G1036" s="6020">
        <f t="shared" si="111"/>
        <v>0</v>
      </c>
      <c r="H1036" s="6018">
        <f t="shared" si="112"/>
        <v>0</v>
      </c>
      <c r="I1036" s="6018">
        <f t="shared" si="113"/>
        <v>514</v>
      </c>
      <c r="J1036" s="6019">
        <v>1261</v>
      </c>
      <c r="K1036" s="1732"/>
      <c r="L1036" s="6018">
        <v>51425</v>
      </c>
      <c r="W1036" s="6018">
        <v>51400</v>
      </c>
      <c r="X1036" s="6019">
        <v>51450</v>
      </c>
      <c r="Y1036" s="6018">
        <v>0</v>
      </c>
      <c r="Z1036" s="6018">
        <v>0</v>
      </c>
      <c r="AA1036" s="6018">
        <v>0</v>
      </c>
      <c r="AB1036" s="6019">
        <v>8</v>
      </c>
      <c r="AC1036" s="6018">
        <v>0</v>
      </c>
      <c r="AD1036" s="6018">
        <v>0</v>
      </c>
      <c r="AE1036" s="6018">
        <v>514</v>
      </c>
      <c r="AF1036" s="6019">
        <v>1261</v>
      </c>
    </row>
    <row r="1037" spans="1:32" ht="13.5">
      <c r="A1037" s="6018">
        <v>51450</v>
      </c>
      <c r="B1037" s="6019">
        <v>51464</v>
      </c>
      <c r="C1037" s="6020">
        <f t="shared" si="114"/>
        <v>0</v>
      </c>
      <c r="D1037" s="6018">
        <f t="shared" si="115"/>
        <v>0</v>
      </c>
      <c r="E1037" s="6018">
        <f t="shared" si="116"/>
        <v>0</v>
      </c>
      <c r="F1037" s="6019">
        <v>2</v>
      </c>
      <c r="G1037" s="6020">
        <f t="shared" si="111"/>
        <v>0</v>
      </c>
      <c r="H1037" s="6018">
        <f t="shared" si="112"/>
        <v>0</v>
      </c>
      <c r="I1037" s="6018">
        <v>503</v>
      </c>
      <c r="J1037" s="6019">
        <v>1251</v>
      </c>
      <c r="K1037" s="1732"/>
      <c r="L1037" s="6018">
        <v>51457</v>
      </c>
      <c r="W1037" s="6018">
        <v>51450</v>
      </c>
      <c r="X1037" s="6019">
        <v>51464</v>
      </c>
      <c r="Y1037" s="6018">
        <v>0</v>
      </c>
      <c r="Z1037" s="6018">
        <v>0</v>
      </c>
      <c r="AA1037" s="6018">
        <v>0</v>
      </c>
      <c r="AB1037" s="6019">
        <v>2</v>
      </c>
      <c r="AC1037" s="6018">
        <v>0</v>
      </c>
      <c r="AD1037" s="6018">
        <v>0</v>
      </c>
      <c r="AE1037" s="6018">
        <v>503</v>
      </c>
      <c r="AF1037" s="6019">
        <v>1251</v>
      </c>
    </row>
    <row r="1038" spans="1:32" ht="13.5">
      <c r="A1038" s="6018">
        <v>51464</v>
      </c>
      <c r="B1038" s="6019">
        <v>51500</v>
      </c>
      <c r="C1038" s="6020">
        <f t="shared" si="114"/>
        <v>0</v>
      </c>
      <c r="D1038" s="6018">
        <f t="shared" si="115"/>
        <v>0</v>
      </c>
      <c r="E1038" s="6018">
        <f t="shared" si="116"/>
        <v>0</v>
      </c>
      <c r="F1038" s="6019">
        <f t="shared" ref="F1038:F1093" si="117">IF($L1038&gt;Q$5,MAX(0,Q$3+ROUND((Q$9*($L1038-Q$5)),0)),IF($L1038&gt;Q$4,Q$3,ROUND($L1038*Q$7,0)))</f>
        <v>0</v>
      </c>
      <c r="G1038" s="6020">
        <f t="shared" si="111"/>
        <v>0</v>
      </c>
      <c r="H1038" s="6018">
        <f t="shared" si="112"/>
        <v>0</v>
      </c>
      <c r="I1038" s="6018">
        <v>503</v>
      </c>
      <c r="J1038" s="6019">
        <v>1251</v>
      </c>
      <c r="K1038" s="1732"/>
      <c r="L1038" s="6018">
        <v>51482</v>
      </c>
      <c r="W1038" s="6018">
        <v>51464</v>
      </c>
      <c r="X1038" s="6019">
        <v>51500</v>
      </c>
      <c r="Y1038" s="6018">
        <v>0</v>
      </c>
      <c r="Z1038" s="6018">
        <v>0</v>
      </c>
      <c r="AA1038" s="6018">
        <v>0</v>
      </c>
      <c r="AB1038" s="6019">
        <v>0</v>
      </c>
      <c r="AC1038" s="6018">
        <v>0</v>
      </c>
      <c r="AD1038" s="6018">
        <v>0</v>
      </c>
      <c r="AE1038" s="6018">
        <v>503</v>
      </c>
      <c r="AF1038" s="6019">
        <v>1251</v>
      </c>
    </row>
    <row r="1039" spans="1:32" ht="13.5">
      <c r="A1039" s="6018">
        <v>51500</v>
      </c>
      <c r="B1039" s="6019">
        <v>51550</v>
      </c>
      <c r="C1039" s="6020">
        <f t="shared" si="114"/>
        <v>0</v>
      </c>
      <c r="D1039" s="6018">
        <f t="shared" si="115"/>
        <v>0</v>
      </c>
      <c r="E1039" s="6018">
        <f t="shared" si="116"/>
        <v>0</v>
      </c>
      <c r="F1039" s="6019">
        <f t="shared" si="117"/>
        <v>0</v>
      </c>
      <c r="G1039" s="6020">
        <f t="shared" si="111"/>
        <v>0</v>
      </c>
      <c r="H1039" s="6018">
        <f t="shared" si="112"/>
        <v>0</v>
      </c>
      <c r="I1039" s="6018">
        <f t="shared" si="113"/>
        <v>493</v>
      </c>
      <c r="J1039" s="6019">
        <v>1240</v>
      </c>
      <c r="K1039" s="1732"/>
      <c r="L1039" s="6018">
        <v>51525</v>
      </c>
      <c r="W1039" s="6018">
        <v>51500</v>
      </c>
      <c r="X1039" s="6019">
        <v>51550</v>
      </c>
      <c r="Y1039" s="6018">
        <v>0</v>
      </c>
      <c r="Z1039" s="6018">
        <v>0</v>
      </c>
      <c r="AA1039" s="6018">
        <v>0</v>
      </c>
      <c r="AB1039" s="6019">
        <v>0</v>
      </c>
      <c r="AC1039" s="6018">
        <v>0</v>
      </c>
      <c r="AD1039" s="6018">
        <v>0</v>
      </c>
      <c r="AE1039" s="6018">
        <v>493</v>
      </c>
      <c r="AF1039" s="6019">
        <v>1240</v>
      </c>
    </row>
    <row r="1040" spans="1:32" ht="13.5">
      <c r="A1040" s="6018">
        <v>51550</v>
      </c>
      <c r="B1040" s="6019">
        <v>51600</v>
      </c>
      <c r="C1040" s="6020">
        <f t="shared" si="114"/>
        <v>0</v>
      </c>
      <c r="D1040" s="6018">
        <f t="shared" si="115"/>
        <v>0</v>
      </c>
      <c r="E1040" s="6018">
        <f t="shared" si="116"/>
        <v>0</v>
      </c>
      <c r="F1040" s="6019">
        <f t="shared" si="117"/>
        <v>0</v>
      </c>
      <c r="G1040" s="6020">
        <f t="shared" si="111"/>
        <v>0</v>
      </c>
      <c r="H1040" s="6018">
        <f t="shared" si="112"/>
        <v>0</v>
      </c>
      <c r="I1040" s="6018">
        <f t="shared" si="113"/>
        <v>482</v>
      </c>
      <c r="J1040" s="6019">
        <v>1230</v>
      </c>
      <c r="K1040" s="1732"/>
      <c r="L1040" s="6018">
        <v>51575</v>
      </c>
      <c r="W1040" s="6018">
        <v>51550</v>
      </c>
      <c r="X1040" s="6019">
        <v>51600</v>
      </c>
      <c r="Y1040" s="6018">
        <v>0</v>
      </c>
      <c r="Z1040" s="6018">
        <v>0</v>
      </c>
      <c r="AA1040" s="6018">
        <v>0</v>
      </c>
      <c r="AB1040" s="6019">
        <v>0</v>
      </c>
      <c r="AC1040" s="6018">
        <v>0</v>
      </c>
      <c r="AD1040" s="6018">
        <v>0</v>
      </c>
      <c r="AE1040" s="6018">
        <v>482</v>
      </c>
      <c r="AF1040" s="6019">
        <v>1230</v>
      </c>
    </row>
    <row r="1041" spans="1:32" ht="13.5">
      <c r="A1041" s="6018">
        <v>51600</v>
      </c>
      <c r="B1041" s="6019">
        <v>51650</v>
      </c>
      <c r="C1041" s="6020">
        <f t="shared" si="114"/>
        <v>0</v>
      </c>
      <c r="D1041" s="6018">
        <f t="shared" si="115"/>
        <v>0</v>
      </c>
      <c r="E1041" s="6018">
        <f t="shared" si="116"/>
        <v>0</v>
      </c>
      <c r="F1041" s="6019">
        <f t="shared" si="117"/>
        <v>0</v>
      </c>
      <c r="G1041" s="6020">
        <f t="shared" si="111"/>
        <v>0</v>
      </c>
      <c r="H1041" s="6018">
        <f t="shared" si="112"/>
        <v>0</v>
      </c>
      <c r="I1041" s="6018">
        <f t="shared" si="113"/>
        <v>472</v>
      </c>
      <c r="J1041" s="6019">
        <v>1219</v>
      </c>
      <c r="K1041" s="1732"/>
      <c r="L1041" s="6018">
        <v>51625</v>
      </c>
      <c r="W1041" s="6018">
        <v>51600</v>
      </c>
      <c r="X1041" s="6019">
        <v>51650</v>
      </c>
      <c r="Y1041" s="6018">
        <v>0</v>
      </c>
      <c r="Z1041" s="6018">
        <v>0</v>
      </c>
      <c r="AA1041" s="6018">
        <v>0</v>
      </c>
      <c r="AB1041" s="6019">
        <v>0</v>
      </c>
      <c r="AC1041" s="6018">
        <v>0</v>
      </c>
      <c r="AD1041" s="6018">
        <v>0</v>
      </c>
      <c r="AE1041" s="6018">
        <v>472</v>
      </c>
      <c r="AF1041" s="6019">
        <v>1219</v>
      </c>
    </row>
    <row r="1042" spans="1:32" ht="13.5">
      <c r="A1042" s="6018">
        <v>51650</v>
      </c>
      <c r="B1042" s="6019">
        <v>51700</v>
      </c>
      <c r="C1042" s="6020">
        <f t="shared" si="114"/>
        <v>0</v>
      </c>
      <c r="D1042" s="6018">
        <f t="shared" si="115"/>
        <v>0</v>
      </c>
      <c r="E1042" s="6018">
        <f t="shared" si="116"/>
        <v>0</v>
      </c>
      <c r="F1042" s="6019">
        <f t="shared" si="117"/>
        <v>0</v>
      </c>
      <c r="G1042" s="6020">
        <f t="shared" si="111"/>
        <v>0</v>
      </c>
      <c r="H1042" s="6018">
        <f t="shared" si="112"/>
        <v>0</v>
      </c>
      <c r="I1042" s="6018">
        <f t="shared" si="113"/>
        <v>461</v>
      </c>
      <c r="J1042" s="6019">
        <v>1209</v>
      </c>
      <c r="K1042" s="1732"/>
      <c r="L1042" s="6018">
        <v>51675</v>
      </c>
      <c r="W1042" s="6018">
        <v>51650</v>
      </c>
      <c r="X1042" s="6019">
        <v>51700</v>
      </c>
      <c r="Y1042" s="6018">
        <v>0</v>
      </c>
      <c r="Z1042" s="6018">
        <v>0</v>
      </c>
      <c r="AA1042" s="6018">
        <v>0</v>
      </c>
      <c r="AB1042" s="6019">
        <v>0</v>
      </c>
      <c r="AC1042" s="6018">
        <v>0</v>
      </c>
      <c r="AD1042" s="6018">
        <v>0</v>
      </c>
      <c r="AE1042" s="6018">
        <v>461</v>
      </c>
      <c r="AF1042" s="6019">
        <v>1209</v>
      </c>
    </row>
    <row r="1043" spans="1:32" ht="13.5">
      <c r="A1043" s="6018">
        <v>51700</v>
      </c>
      <c r="B1043" s="6019">
        <v>51750</v>
      </c>
      <c r="C1043" s="6020">
        <f t="shared" si="114"/>
        <v>0</v>
      </c>
      <c r="D1043" s="6018">
        <f t="shared" si="115"/>
        <v>0</v>
      </c>
      <c r="E1043" s="6018">
        <f t="shared" si="116"/>
        <v>0</v>
      </c>
      <c r="F1043" s="6019">
        <f t="shared" si="117"/>
        <v>0</v>
      </c>
      <c r="G1043" s="6020">
        <f t="shared" si="111"/>
        <v>0</v>
      </c>
      <c r="H1043" s="6018">
        <f t="shared" si="112"/>
        <v>0</v>
      </c>
      <c r="I1043" s="6018">
        <f t="shared" si="113"/>
        <v>451</v>
      </c>
      <c r="J1043" s="6019">
        <v>1198</v>
      </c>
      <c r="K1043" s="1732"/>
      <c r="L1043" s="6018">
        <v>51725</v>
      </c>
      <c r="W1043" s="6018">
        <v>51700</v>
      </c>
      <c r="X1043" s="6019">
        <v>51750</v>
      </c>
      <c r="Y1043" s="6018">
        <v>0</v>
      </c>
      <c r="Z1043" s="6018">
        <v>0</v>
      </c>
      <c r="AA1043" s="6018">
        <v>0</v>
      </c>
      <c r="AB1043" s="6019">
        <v>0</v>
      </c>
      <c r="AC1043" s="6018">
        <v>0</v>
      </c>
      <c r="AD1043" s="6018">
        <v>0</v>
      </c>
      <c r="AE1043" s="6018">
        <v>451</v>
      </c>
      <c r="AF1043" s="6019">
        <v>1198</v>
      </c>
    </row>
    <row r="1044" spans="1:32" ht="13.5">
      <c r="A1044" s="6018">
        <v>51750</v>
      </c>
      <c r="B1044" s="6019">
        <v>51800</v>
      </c>
      <c r="C1044" s="6020">
        <f t="shared" si="114"/>
        <v>0</v>
      </c>
      <c r="D1044" s="6018">
        <f t="shared" si="115"/>
        <v>0</v>
      </c>
      <c r="E1044" s="6018">
        <f t="shared" si="116"/>
        <v>0</v>
      </c>
      <c r="F1044" s="6019">
        <f t="shared" si="117"/>
        <v>0</v>
      </c>
      <c r="G1044" s="6020">
        <f t="shared" si="111"/>
        <v>0</v>
      </c>
      <c r="H1044" s="6018">
        <f t="shared" si="112"/>
        <v>0</v>
      </c>
      <c r="I1044" s="6018">
        <f t="shared" si="113"/>
        <v>440</v>
      </c>
      <c r="J1044" s="6019">
        <v>1188</v>
      </c>
      <c r="K1044" s="1732"/>
      <c r="L1044" s="6018">
        <v>51775</v>
      </c>
      <c r="W1044" s="6018">
        <v>51750</v>
      </c>
      <c r="X1044" s="6019">
        <v>51800</v>
      </c>
      <c r="Y1044" s="6018">
        <v>0</v>
      </c>
      <c r="Z1044" s="6018">
        <v>0</v>
      </c>
      <c r="AA1044" s="6018">
        <v>0</v>
      </c>
      <c r="AB1044" s="6019">
        <v>0</v>
      </c>
      <c r="AC1044" s="6018">
        <v>0</v>
      </c>
      <c r="AD1044" s="6018">
        <v>0</v>
      </c>
      <c r="AE1044" s="6018">
        <v>440</v>
      </c>
      <c r="AF1044" s="6019">
        <v>1188</v>
      </c>
    </row>
    <row r="1045" spans="1:32" ht="13.5">
      <c r="A1045" s="6018">
        <v>51800</v>
      </c>
      <c r="B1045" s="6019">
        <v>51850</v>
      </c>
      <c r="C1045" s="6020">
        <f t="shared" si="114"/>
        <v>0</v>
      </c>
      <c r="D1045" s="6018">
        <f t="shared" si="115"/>
        <v>0</v>
      </c>
      <c r="E1045" s="6018">
        <f t="shared" si="116"/>
        <v>0</v>
      </c>
      <c r="F1045" s="6019">
        <f t="shared" si="117"/>
        <v>0</v>
      </c>
      <c r="G1045" s="6020">
        <f t="shared" si="111"/>
        <v>0</v>
      </c>
      <c r="H1045" s="6018">
        <f t="shared" si="112"/>
        <v>0</v>
      </c>
      <c r="I1045" s="6018">
        <f t="shared" si="113"/>
        <v>430</v>
      </c>
      <c r="J1045" s="6019">
        <v>1177</v>
      </c>
      <c r="K1045" s="1732"/>
      <c r="L1045" s="6018">
        <v>51825</v>
      </c>
      <c r="W1045" s="6018">
        <v>51800</v>
      </c>
      <c r="X1045" s="6019">
        <v>51850</v>
      </c>
      <c r="Y1045" s="6018">
        <v>0</v>
      </c>
      <c r="Z1045" s="6018">
        <v>0</v>
      </c>
      <c r="AA1045" s="6018">
        <v>0</v>
      </c>
      <c r="AB1045" s="6019">
        <v>0</v>
      </c>
      <c r="AC1045" s="6018">
        <v>0</v>
      </c>
      <c r="AD1045" s="6018">
        <v>0</v>
      </c>
      <c r="AE1045" s="6018">
        <v>430</v>
      </c>
      <c r="AF1045" s="6019">
        <v>1177</v>
      </c>
    </row>
    <row r="1046" spans="1:32" ht="13.5">
      <c r="A1046" s="6018">
        <v>51850</v>
      </c>
      <c r="B1046" s="6019">
        <v>51900</v>
      </c>
      <c r="C1046" s="6020">
        <f t="shared" si="114"/>
        <v>0</v>
      </c>
      <c r="D1046" s="6018">
        <f t="shared" si="115"/>
        <v>0</v>
      </c>
      <c r="E1046" s="6018">
        <f t="shared" si="116"/>
        <v>0</v>
      </c>
      <c r="F1046" s="6019">
        <f t="shared" si="117"/>
        <v>0</v>
      </c>
      <c r="G1046" s="6020">
        <f t="shared" si="111"/>
        <v>0</v>
      </c>
      <c r="H1046" s="6018">
        <f t="shared" si="112"/>
        <v>0</v>
      </c>
      <c r="I1046" s="6018">
        <f t="shared" si="113"/>
        <v>419</v>
      </c>
      <c r="J1046" s="6019">
        <v>1167</v>
      </c>
      <c r="K1046" s="1732"/>
      <c r="L1046" s="6018">
        <v>51875</v>
      </c>
      <c r="W1046" s="6018">
        <v>51850</v>
      </c>
      <c r="X1046" s="6019">
        <v>51900</v>
      </c>
      <c r="Y1046" s="6018">
        <v>0</v>
      </c>
      <c r="Z1046" s="6018">
        <v>0</v>
      </c>
      <c r="AA1046" s="6018">
        <v>0</v>
      </c>
      <c r="AB1046" s="6019">
        <v>0</v>
      </c>
      <c r="AC1046" s="6018">
        <v>0</v>
      </c>
      <c r="AD1046" s="6018">
        <v>0</v>
      </c>
      <c r="AE1046" s="6018">
        <v>419</v>
      </c>
      <c r="AF1046" s="6019">
        <v>1167</v>
      </c>
    </row>
    <row r="1047" spans="1:32" ht="13.5">
      <c r="A1047" s="6018">
        <v>51900</v>
      </c>
      <c r="B1047" s="6019">
        <v>51950</v>
      </c>
      <c r="C1047" s="6020">
        <f t="shared" si="114"/>
        <v>0</v>
      </c>
      <c r="D1047" s="6018">
        <f t="shared" si="115"/>
        <v>0</v>
      </c>
      <c r="E1047" s="6018">
        <f t="shared" si="116"/>
        <v>0</v>
      </c>
      <c r="F1047" s="6019">
        <f t="shared" si="117"/>
        <v>0</v>
      </c>
      <c r="G1047" s="6020">
        <f t="shared" si="111"/>
        <v>0</v>
      </c>
      <c r="H1047" s="6018">
        <f t="shared" si="112"/>
        <v>0</v>
      </c>
      <c r="I1047" s="6018">
        <f t="shared" si="113"/>
        <v>409</v>
      </c>
      <c r="J1047" s="6019">
        <v>1156</v>
      </c>
      <c r="K1047" s="1732"/>
      <c r="L1047" s="6018">
        <v>51925</v>
      </c>
      <c r="W1047" s="6018">
        <v>51900</v>
      </c>
      <c r="X1047" s="6019">
        <v>51950</v>
      </c>
      <c r="Y1047" s="6018">
        <v>0</v>
      </c>
      <c r="Z1047" s="6018">
        <v>0</v>
      </c>
      <c r="AA1047" s="6018">
        <v>0</v>
      </c>
      <c r="AB1047" s="6019">
        <v>0</v>
      </c>
      <c r="AC1047" s="6018">
        <v>0</v>
      </c>
      <c r="AD1047" s="6018">
        <v>0</v>
      </c>
      <c r="AE1047" s="6018">
        <v>409</v>
      </c>
      <c r="AF1047" s="6019">
        <v>1156</v>
      </c>
    </row>
    <row r="1048" spans="1:32" ht="13.5">
      <c r="A1048" s="6018">
        <v>51950</v>
      </c>
      <c r="B1048" s="6019">
        <v>52000</v>
      </c>
      <c r="C1048" s="6020">
        <f t="shared" si="114"/>
        <v>0</v>
      </c>
      <c r="D1048" s="6018">
        <f t="shared" si="115"/>
        <v>0</v>
      </c>
      <c r="E1048" s="6018">
        <f t="shared" si="116"/>
        <v>0</v>
      </c>
      <c r="F1048" s="6019">
        <f t="shared" si="117"/>
        <v>0</v>
      </c>
      <c r="G1048" s="6020">
        <f t="shared" si="111"/>
        <v>0</v>
      </c>
      <c r="H1048" s="6018">
        <f t="shared" si="112"/>
        <v>0</v>
      </c>
      <c r="I1048" s="6018">
        <f t="shared" si="113"/>
        <v>398</v>
      </c>
      <c r="J1048" s="6019">
        <v>1146</v>
      </c>
      <c r="K1048" s="1732"/>
      <c r="L1048" s="6018">
        <v>51975</v>
      </c>
      <c r="W1048" s="6018">
        <v>51950</v>
      </c>
      <c r="X1048" s="6019">
        <v>52000</v>
      </c>
      <c r="Y1048" s="6018">
        <v>0</v>
      </c>
      <c r="Z1048" s="6018">
        <v>0</v>
      </c>
      <c r="AA1048" s="6018">
        <v>0</v>
      </c>
      <c r="AB1048" s="6019">
        <v>0</v>
      </c>
      <c r="AC1048" s="6018">
        <v>0</v>
      </c>
      <c r="AD1048" s="6018">
        <v>0</v>
      </c>
      <c r="AE1048" s="6018">
        <v>398</v>
      </c>
      <c r="AF1048" s="6019">
        <v>1146</v>
      </c>
    </row>
    <row r="1049" spans="1:32" ht="13.5">
      <c r="A1049" s="6018">
        <v>52000</v>
      </c>
      <c r="B1049" s="6019">
        <v>52050</v>
      </c>
      <c r="C1049" s="6020">
        <f t="shared" si="114"/>
        <v>0</v>
      </c>
      <c r="D1049" s="6018">
        <f t="shared" si="115"/>
        <v>0</v>
      </c>
      <c r="E1049" s="6018">
        <f t="shared" si="116"/>
        <v>0</v>
      </c>
      <c r="F1049" s="6019">
        <f t="shared" si="117"/>
        <v>0</v>
      </c>
      <c r="G1049" s="6020">
        <f t="shared" si="111"/>
        <v>0</v>
      </c>
      <c r="H1049" s="6018">
        <f t="shared" si="112"/>
        <v>0</v>
      </c>
      <c r="I1049" s="6018">
        <f t="shared" si="113"/>
        <v>388</v>
      </c>
      <c r="J1049" s="6019">
        <v>1135</v>
      </c>
      <c r="K1049" s="1732"/>
      <c r="L1049" s="6018">
        <v>52025</v>
      </c>
      <c r="W1049" s="6018">
        <v>52000</v>
      </c>
      <c r="X1049" s="6019">
        <v>52050</v>
      </c>
      <c r="Y1049" s="6018">
        <v>0</v>
      </c>
      <c r="Z1049" s="6018">
        <v>0</v>
      </c>
      <c r="AA1049" s="6018">
        <v>0</v>
      </c>
      <c r="AB1049" s="6019">
        <v>0</v>
      </c>
      <c r="AC1049" s="6018">
        <v>0</v>
      </c>
      <c r="AD1049" s="6018">
        <v>0</v>
      </c>
      <c r="AE1049" s="6018">
        <v>388</v>
      </c>
      <c r="AF1049" s="6019">
        <v>1135</v>
      </c>
    </row>
    <row r="1050" spans="1:32" ht="13.5">
      <c r="A1050" s="6018">
        <v>52050</v>
      </c>
      <c r="B1050" s="6019">
        <v>52100</v>
      </c>
      <c r="C1050" s="6020">
        <f t="shared" si="114"/>
        <v>0</v>
      </c>
      <c r="D1050" s="6018">
        <f t="shared" si="115"/>
        <v>0</v>
      </c>
      <c r="E1050" s="6018">
        <f t="shared" si="116"/>
        <v>0</v>
      </c>
      <c r="F1050" s="6019">
        <f t="shared" si="117"/>
        <v>0</v>
      </c>
      <c r="G1050" s="6020">
        <f t="shared" si="111"/>
        <v>0</v>
      </c>
      <c r="H1050" s="6018">
        <f t="shared" si="112"/>
        <v>0</v>
      </c>
      <c r="I1050" s="6018">
        <f t="shared" si="113"/>
        <v>377</v>
      </c>
      <c r="J1050" s="6019">
        <v>1124</v>
      </c>
      <c r="K1050" s="1732"/>
      <c r="L1050" s="6018">
        <v>52075</v>
      </c>
      <c r="W1050" s="6018">
        <v>52050</v>
      </c>
      <c r="X1050" s="6019">
        <v>52100</v>
      </c>
      <c r="Y1050" s="6018">
        <v>0</v>
      </c>
      <c r="Z1050" s="6018">
        <v>0</v>
      </c>
      <c r="AA1050" s="6018">
        <v>0</v>
      </c>
      <c r="AB1050" s="6019">
        <v>0</v>
      </c>
      <c r="AC1050" s="6018">
        <v>0</v>
      </c>
      <c r="AD1050" s="6018">
        <v>0</v>
      </c>
      <c r="AE1050" s="6018">
        <v>377</v>
      </c>
      <c r="AF1050" s="6019">
        <v>1124</v>
      </c>
    </row>
    <row r="1051" spans="1:32" ht="13.5">
      <c r="A1051" s="6018">
        <v>52100</v>
      </c>
      <c r="B1051" s="6019">
        <v>52150</v>
      </c>
      <c r="C1051" s="6020">
        <f t="shared" si="114"/>
        <v>0</v>
      </c>
      <c r="D1051" s="6018">
        <f t="shared" si="115"/>
        <v>0</v>
      </c>
      <c r="E1051" s="6018">
        <f t="shared" si="116"/>
        <v>0</v>
      </c>
      <c r="F1051" s="6019">
        <f t="shared" si="117"/>
        <v>0</v>
      </c>
      <c r="G1051" s="6020">
        <f t="shared" si="111"/>
        <v>0</v>
      </c>
      <c r="H1051" s="6018">
        <f t="shared" si="112"/>
        <v>0</v>
      </c>
      <c r="I1051" s="6018">
        <f t="shared" si="113"/>
        <v>366</v>
      </c>
      <c r="J1051" s="6019">
        <v>1114</v>
      </c>
      <c r="K1051" s="1732"/>
      <c r="L1051" s="6018">
        <v>52125</v>
      </c>
      <c r="W1051" s="6018">
        <v>52100</v>
      </c>
      <c r="X1051" s="6019">
        <v>52150</v>
      </c>
      <c r="Y1051" s="6018">
        <v>0</v>
      </c>
      <c r="Z1051" s="6018">
        <v>0</v>
      </c>
      <c r="AA1051" s="6018">
        <v>0</v>
      </c>
      <c r="AB1051" s="6019">
        <v>0</v>
      </c>
      <c r="AC1051" s="6018">
        <v>0</v>
      </c>
      <c r="AD1051" s="6018">
        <v>0</v>
      </c>
      <c r="AE1051" s="6018">
        <v>366</v>
      </c>
      <c r="AF1051" s="6019">
        <v>1114</v>
      </c>
    </row>
    <row r="1052" spans="1:32" ht="13.5">
      <c r="A1052" s="6018">
        <v>52150</v>
      </c>
      <c r="B1052" s="6019">
        <v>52200</v>
      </c>
      <c r="C1052" s="6020">
        <f t="shared" si="114"/>
        <v>0</v>
      </c>
      <c r="D1052" s="6018">
        <f t="shared" si="115"/>
        <v>0</v>
      </c>
      <c r="E1052" s="6018">
        <f t="shared" si="116"/>
        <v>0</v>
      </c>
      <c r="F1052" s="6019">
        <f t="shared" si="117"/>
        <v>0</v>
      </c>
      <c r="G1052" s="6020">
        <f t="shared" si="111"/>
        <v>0</v>
      </c>
      <c r="H1052" s="6018">
        <f t="shared" si="112"/>
        <v>0</v>
      </c>
      <c r="I1052" s="6018">
        <f t="shared" si="113"/>
        <v>356</v>
      </c>
      <c r="J1052" s="6019">
        <v>1103</v>
      </c>
      <c r="K1052" s="1732"/>
      <c r="L1052" s="6018">
        <v>52175</v>
      </c>
      <c r="W1052" s="6018">
        <v>52150</v>
      </c>
      <c r="X1052" s="6019">
        <v>52200</v>
      </c>
      <c r="Y1052" s="6018">
        <v>0</v>
      </c>
      <c r="Z1052" s="6018">
        <v>0</v>
      </c>
      <c r="AA1052" s="6018">
        <v>0</v>
      </c>
      <c r="AB1052" s="6019">
        <v>0</v>
      </c>
      <c r="AC1052" s="6018">
        <v>0</v>
      </c>
      <c r="AD1052" s="6018">
        <v>0</v>
      </c>
      <c r="AE1052" s="6018">
        <v>356</v>
      </c>
      <c r="AF1052" s="6019">
        <v>1103</v>
      </c>
    </row>
    <row r="1053" spans="1:32" ht="13.5">
      <c r="A1053" s="6018">
        <v>52200</v>
      </c>
      <c r="B1053" s="6019">
        <v>52250</v>
      </c>
      <c r="C1053" s="6020">
        <f t="shared" si="114"/>
        <v>0</v>
      </c>
      <c r="D1053" s="6018">
        <f t="shared" si="115"/>
        <v>0</v>
      </c>
      <c r="E1053" s="6018">
        <f t="shared" si="116"/>
        <v>0</v>
      </c>
      <c r="F1053" s="6019">
        <f t="shared" si="117"/>
        <v>0</v>
      </c>
      <c r="G1053" s="6020">
        <f t="shared" si="111"/>
        <v>0</v>
      </c>
      <c r="H1053" s="6018">
        <f t="shared" si="112"/>
        <v>0</v>
      </c>
      <c r="I1053" s="6018">
        <f t="shared" si="113"/>
        <v>345</v>
      </c>
      <c r="J1053" s="6019">
        <v>1093</v>
      </c>
      <c r="K1053" s="1732"/>
      <c r="L1053" s="6018">
        <v>52225</v>
      </c>
      <c r="W1053" s="6018">
        <v>52200</v>
      </c>
      <c r="X1053" s="6019">
        <v>52250</v>
      </c>
      <c r="Y1053" s="6018">
        <v>0</v>
      </c>
      <c r="Z1053" s="6018">
        <v>0</v>
      </c>
      <c r="AA1053" s="6018">
        <v>0</v>
      </c>
      <c r="AB1053" s="6019">
        <v>0</v>
      </c>
      <c r="AC1053" s="6018">
        <v>0</v>
      </c>
      <c r="AD1053" s="6018">
        <v>0</v>
      </c>
      <c r="AE1053" s="6018">
        <v>345</v>
      </c>
      <c r="AF1053" s="6019">
        <v>1093</v>
      </c>
    </row>
    <row r="1054" spans="1:32" ht="13.5">
      <c r="A1054" s="6018">
        <v>52250</v>
      </c>
      <c r="B1054" s="6019">
        <v>52300</v>
      </c>
      <c r="C1054" s="6020">
        <f t="shared" si="114"/>
        <v>0</v>
      </c>
      <c r="D1054" s="6018">
        <f t="shared" si="115"/>
        <v>0</v>
      </c>
      <c r="E1054" s="6018">
        <f t="shared" si="116"/>
        <v>0</v>
      </c>
      <c r="F1054" s="6019">
        <f t="shared" si="117"/>
        <v>0</v>
      </c>
      <c r="G1054" s="6020">
        <f t="shared" si="111"/>
        <v>0</v>
      </c>
      <c r="H1054" s="6018">
        <f t="shared" si="112"/>
        <v>0</v>
      </c>
      <c r="I1054" s="6018">
        <f t="shared" si="113"/>
        <v>335</v>
      </c>
      <c r="J1054" s="6019">
        <v>1082</v>
      </c>
      <c r="K1054" s="1732"/>
      <c r="L1054" s="6018">
        <v>52275</v>
      </c>
      <c r="W1054" s="6018">
        <v>52250</v>
      </c>
      <c r="X1054" s="6019">
        <v>52300</v>
      </c>
      <c r="Y1054" s="6018">
        <v>0</v>
      </c>
      <c r="Z1054" s="6018">
        <v>0</v>
      </c>
      <c r="AA1054" s="6018">
        <v>0</v>
      </c>
      <c r="AB1054" s="6019">
        <v>0</v>
      </c>
      <c r="AC1054" s="6018">
        <v>0</v>
      </c>
      <c r="AD1054" s="6018">
        <v>0</v>
      </c>
      <c r="AE1054" s="6018">
        <v>335</v>
      </c>
      <c r="AF1054" s="6019">
        <v>1082</v>
      </c>
    </row>
    <row r="1055" spans="1:32" ht="13.5">
      <c r="A1055" s="6018">
        <v>52300</v>
      </c>
      <c r="B1055" s="6019">
        <v>52350</v>
      </c>
      <c r="C1055" s="6020">
        <f t="shared" si="114"/>
        <v>0</v>
      </c>
      <c r="D1055" s="6018">
        <f t="shared" si="115"/>
        <v>0</v>
      </c>
      <c r="E1055" s="6018">
        <f t="shared" si="116"/>
        <v>0</v>
      </c>
      <c r="F1055" s="6019">
        <f t="shared" si="117"/>
        <v>0</v>
      </c>
      <c r="G1055" s="6020">
        <f t="shared" si="111"/>
        <v>0</v>
      </c>
      <c r="H1055" s="6018">
        <f t="shared" si="112"/>
        <v>0</v>
      </c>
      <c r="I1055" s="6018">
        <f t="shared" si="113"/>
        <v>324</v>
      </c>
      <c r="J1055" s="6019">
        <v>1072</v>
      </c>
      <c r="K1055" s="1732"/>
      <c r="L1055" s="6018">
        <v>52325</v>
      </c>
      <c r="W1055" s="6018">
        <v>52300</v>
      </c>
      <c r="X1055" s="6019">
        <v>52350</v>
      </c>
      <c r="Y1055" s="6018">
        <v>0</v>
      </c>
      <c r="Z1055" s="6018">
        <v>0</v>
      </c>
      <c r="AA1055" s="6018">
        <v>0</v>
      </c>
      <c r="AB1055" s="6019">
        <v>0</v>
      </c>
      <c r="AC1055" s="6018">
        <v>0</v>
      </c>
      <c r="AD1055" s="6018">
        <v>0</v>
      </c>
      <c r="AE1055" s="6018">
        <v>324</v>
      </c>
      <c r="AF1055" s="6019">
        <v>1072</v>
      </c>
    </row>
    <row r="1056" spans="1:32" ht="13.5">
      <c r="A1056" s="6018">
        <v>52350</v>
      </c>
      <c r="B1056" s="6019">
        <v>52400</v>
      </c>
      <c r="C1056" s="6020">
        <f t="shared" si="114"/>
        <v>0</v>
      </c>
      <c r="D1056" s="6018">
        <f t="shared" si="115"/>
        <v>0</v>
      </c>
      <c r="E1056" s="6018">
        <f t="shared" si="116"/>
        <v>0</v>
      </c>
      <c r="F1056" s="6019">
        <f t="shared" si="117"/>
        <v>0</v>
      </c>
      <c r="G1056" s="6020">
        <f t="shared" si="111"/>
        <v>0</v>
      </c>
      <c r="H1056" s="6018">
        <f t="shared" si="112"/>
        <v>0</v>
      </c>
      <c r="I1056" s="6018">
        <f t="shared" si="113"/>
        <v>314</v>
      </c>
      <c r="J1056" s="6019">
        <v>1061</v>
      </c>
      <c r="K1056" s="1732"/>
      <c r="L1056" s="6018">
        <v>52375</v>
      </c>
      <c r="W1056" s="6018">
        <v>52350</v>
      </c>
      <c r="X1056" s="6019">
        <v>52400</v>
      </c>
      <c r="Y1056" s="6018">
        <v>0</v>
      </c>
      <c r="Z1056" s="6018">
        <v>0</v>
      </c>
      <c r="AA1056" s="6018">
        <v>0</v>
      </c>
      <c r="AB1056" s="6019">
        <v>0</v>
      </c>
      <c r="AC1056" s="6018">
        <v>0</v>
      </c>
      <c r="AD1056" s="6018">
        <v>0</v>
      </c>
      <c r="AE1056" s="6018">
        <v>314</v>
      </c>
      <c r="AF1056" s="6019">
        <v>1061</v>
      </c>
    </row>
    <row r="1057" spans="1:32" ht="13.5">
      <c r="A1057" s="6018">
        <v>52400</v>
      </c>
      <c r="B1057" s="6019">
        <v>52450</v>
      </c>
      <c r="C1057" s="6020">
        <f t="shared" si="114"/>
        <v>0</v>
      </c>
      <c r="D1057" s="6018">
        <f t="shared" si="115"/>
        <v>0</v>
      </c>
      <c r="E1057" s="6018">
        <f t="shared" si="116"/>
        <v>0</v>
      </c>
      <c r="F1057" s="6019">
        <f t="shared" si="117"/>
        <v>0</v>
      </c>
      <c r="G1057" s="6020">
        <f t="shared" si="111"/>
        <v>0</v>
      </c>
      <c r="H1057" s="6018">
        <f t="shared" si="112"/>
        <v>0</v>
      </c>
      <c r="I1057" s="6018">
        <f t="shared" si="113"/>
        <v>303</v>
      </c>
      <c r="J1057" s="6019">
        <v>1051</v>
      </c>
      <c r="K1057" s="1732"/>
      <c r="L1057" s="6018">
        <v>52425</v>
      </c>
      <c r="W1057" s="6018">
        <v>52400</v>
      </c>
      <c r="X1057" s="6019">
        <v>52450</v>
      </c>
      <c r="Y1057" s="6018">
        <v>0</v>
      </c>
      <c r="Z1057" s="6018">
        <v>0</v>
      </c>
      <c r="AA1057" s="6018">
        <v>0</v>
      </c>
      <c r="AB1057" s="6019">
        <v>0</v>
      </c>
      <c r="AC1057" s="6018">
        <v>0</v>
      </c>
      <c r="AD1057" s="6018">
        <v>0</v>
      </c>
      <c r="AE1057" s="6018">
        <v>303</v>
      </c>
      <c r="AF1057" s="6019">
        <v>1051</v>
      </c>
    </row>
    <row r="1058" spans="1:32" ht="13.5">
      <c r="A1058" s="6018">
        <v>52450</v>
      </c>
      <c r="B1058" s="6019">
        <v>52500</v>
      </c>
      <c r="C1058" s="6020">
        <f t="shared" si="114"/>
        <v>0</v>
      </c>
      <c r="D1058" s="6018">
        <f t="shared" si="115"/>
        <v>0</v>
      </c>
      <c r="E1058" s="6018">
        <f t="shared" si="116"/>
        <v>0</v>
      </c>
      <c r="F1058" s="6019">
        <f t="shared" si="117"/>
        <v>0</v>
      </c>
      <c r="G1058" s="6020">
        <f t="shared" si="111"/>
        <v>0</v>
      </c>
      <c r="H1058" s="6018">
        <f t="shared" si="112"/>
        <v>0</v>
      </c>
      <c r="I1058" s="6018">
        <f t="shared" si="113"/>
        <v>293</v>
      </c>
      <c r="J1058" s="6019">
        <v>1040</v>
      </c>
      <c r="K1058" s="1732"/>
      <c r="L1058" s="6018">
        <v>52475</v>
      </c>
      <c r="W1058" s="6018">
        <v>52450</v>
      </c>
      <c r="X1058" s="6019">
        <v>52500</v>
      </c>
      <c r="Y1058" s="6018">
        <v>0</v>
      </c>
      <c r="Z1058" s="6018">
        <v>0</v>
      </c>
      <c r="AA1058" s="6018">
        <v>0</v>
      </c>
      <c r="AB1058" s="6019">
        <v>0</v>
      </c>
      <c r="AC1058" s="6018">
        <v>0</v>
      </c>
      <c r="AD1058" s="6018">
        <v>0</v>
      </c>
      <c r="AE1058" s="6018">
        <v>293</v>
      </c>
      <c r="AF1058" s="6019">
        <v>1040</v>
      </c>
    </row>
    <row r="1059" spans="1:32" ht="13.5">
      <c r="A1059" s="6018">
        <v>52500</v>
      </c>
      <c r="B1059" s="6019">
        <v>52550</v>
      </c>
      <c r="C1059" s="6020">
        <f t="shared" si="114"/>
        <v>0</v>
      </c>
      <c r="D1059" s="6018">
        <f t="shared" si="115"/>
        <v>0</v>
      </c>
      <c r="E1059" s="6018">
        <f t="shared" si="116"/>
        <v>0</v>
      </c>
      <c r="F1059" s="6019">
        <f t="shared" si="117"/>
        <v>0</v>
      </c>
      <c r="G1059" s="6020">
        <f t="shared" si="111"/>
        <v>0</v>
      </c>
      <c r="H1059" s="6018">
        <f t="shared" si="112"/>
        <v>0</v>
      </c>
      <c r="I1059" s="6018">
        <f t="shared" si="113"/>
        <v>282</v>
      </c>
      <c r="J1059" s="6019">
        <v>1030</v>
      </c>
      <c r="K1059" s="1732"/>
      <c r="L1059" s="6018">
        <v>52525</v>
      </c>
      <c r="W1059" s="6018">
        <v>52500</v>
      </c>
      <c r="X1059" s="6019">
        <v>52550</v>
      </c>
      <c r="Y1059" s="6018">
        <v>0</v>
      </c>
      <c r="Z1059" s="6018">
        <v>0</v>
      </c>
      <c r="AA1059" s="6018">
        <v>0</v>
      </c>
      <c r="AB1059" s="6019">
        <v>0</v>
      </c>
      <c r="AC1059" s="6018">
        <v>0</v>
      </c>
      <c r="AD1059" s="6018">
        <v>0</v>
      </c>
      <c r="AE1059" s="6018">
        <v>282</v>
      </c>
      <c r="AF1059" s="6019">
        <v>1030</v>
      </c>
    </row>
    <row r="1060" spans="1:32" ht="13.5">
      <c r="A1060" s="6018">
        <v>52550</v>
      </c>
      <c r="B1060" s="6019">
        <v>52600</v>
      </c>
      <c r="C1060" s="6020">
        <f t="shared" si="114"/>
        <v>0</v>
      </c>
      <c r="D1060" s="6018">
        <f t="shared" si="115"/>
        <v>0</v>
      </c>
      <c r="E1060" s="6018">
        <f t="shared" si="116"/>
        <v>0</v>
      </c>
      <c r="F1060" s="6019">
        <f t="shared" si="117"/>
        <v>0</v>
      </c>
      <c r="G1060" s="6020">
        <f t="shared" si="111"/>
        <v>0</v>
      </c>
      <c r="H1060" s="6018">
        <f t="shared" si="112"/>
        <v>0</v>
      </c>
      <c r="I1060" s="6018">
        <f t="shared" si="113"/>
        <v>272</v>
      </c>
      <c r="J1060" s="6019">
        <v>1019</v>
      </c>
      <c r="K1060" s="1732"/>
      <c r="L1060" s="6018">
        <v>52575</v>
      </c>
      <c r="W1060" s="6018">
        <v>52550</v>
      </c>
      <c r="X1060" s="6019">
        <v>52600</v>
      </c>
      <c r="Y1060" s="6018">
        <v>0</v>
      </c>
      <c r="Z1060" s="6018">
        <v>0</v>
      </c>
      <c r="AA1060" s="6018">
        <v>0</v>
      </c>
      <c r="AB1060" s="6019">
        <v>0</v>
      </c>
      <c r="AC1060" s="6018">
        <v>0</v>
      </c>
      <c r="AD1060" s="6018">
        <v>0</v>
      </c>
      <c r="AE1060" s="6018">
        <v>272</v>
      </c>
      <c r="AF1060" s="6019">
        <v>1019</v>
      </c>
    </row>
    <row r="1061" spans="1:32" ht="13.5">
      <c r="A1061" s="6018">
        <v>52600</v>
      </c>
      <c r="B1061" s="6019">
        <v>52650</v>
      </c>
      <c r="C1061" s="6020">
        <f t="shared" si="114"/>
        <v>0</v>
      </c>
      <c r="D1061" s="6018">
        <f t="shared" si="115"/>
        <v>0</v>
      </c>
      <c r="E1061" s="6018">
        <f t="shared" si="116"/>
        <v>0</v>
      </c>
      <c r="F1061" s="6019">
        <f t="shared" si="117"/>
        <v>0</v>
      </c>
      <c r="G1061" s="6020">
        <f t="shared" si="111"/>
        <v>0</v>
      </c>
      <c r="H1061" s="6018">
        <f t="shared" si="112"/>
        <v>0</v>
      </c>
      <c r="I1061" s="6018">
        <f t="shared" si="113"/>
        <v>261</v>
      </c>
      <c r="J1061" s="6019">
        <v>1009</v>
      </c>
      <c r="K1061" s="1732"/>
      <c r="L1061" s="6018">
        <v>52625</v>
      </c>
      <c r="W1061" s="6018">
        <v>52600</v>
      </c>
      <c r="X1061" s="6019">
        <v>52650</v>
      </c>
      <c r="Y1061" s="6018">
        <v>0</v>
      </c>
      <c r="Z1061" s="6018">
        <v>0</v>
      </c>
      <c r="AA1061" s="6018">
        <v>0</v>
      </c>
      <c r="AB1061" s="6019">
        <v>0</v>
      </c>
      <c r="AC1061" s="6018">
        <v>0</v>
      </c>
      <c r="AD1061" s="6018">
        <v>0</v>
      </c>
      <c r="AE1061" s="6018">
        <v>261</v>
      </c>
      <c r="AF1061" s="6019">
        <v>1009</v>
      </c>
    </row>
    <row r="1062" spans="1:32" ht="13.5">
      <c r="A1062" s="6018">
        <v>52650</v>
      </c>
      <c r="B1062" s="6019">
        <v>52700</v>
      </c>
      <c r="C1062" s="6020">
        <f t="shared" si="114"/>
        <v>0</v>
      </c>
      <c r="D1062" s="6018">
        <f t="shared" si="115"/>
        <v>0</v>
      </c>
      <c r="E1062" s="6018">
        <f t="shared" si="116"/>
        <v>0</v>
      </c>
      <c r="F1062" s="6019">
        <f t="shared" si="117"/>
        <v>0</v>
      </c>
      <c r="G1062" s="6020">
        <f t="shared" si="111"/>
        <v>0</v>
      </c>
      <c r="H1062" s="6018">
        <f t="shared" si="112"/>
        <v>0</v>
      </c>
      <c r="I1062" s="6018">
        <f t="shared" si="113"/>
        <v>251</v>
      </c>
      <c r="J1062" s="6019">
        <v>998</v>
      </c>
      <c r="K1062" s="1732"/>
      <c r="L1062" s="6018">
        <v>52675</v>
      </c>
      <c r="W1062" s="6018">
        <v>52650</v>
      </c>
      <c r="X1062" s="6019">
        <v>52700</v>
      </c>
      <c r="Y1062" s="6018">
        <v>0</v>
      </c>
      <c r="Z1062" s="6018">
        <v>0</v>
      </c>
      <c r="AA1062" s="6018">
        <v>0</v>
      </c>
      <c r="AB1062" s="6019">
        <v>0</v>
      </c>
      <c r="AC1062" s="6018">
        <v>0</v>
      </c>
      <c r="AD1062" s="6018">
        <v>0</v>
      </c>
      <c r="AE1062" s="6018">
        <v>251</v>
      </c>
      <c r="AF1062" s="6019">
        <v>998</v>
      </c>
    </row>
    <row r="1063" spans="1:32" ht="13.5">
      <c r="A1063" s="6018">
        <v>52700</v>
      </c>
      <c r="B1063" s="6019">
        <v>52750</v>
      </c>
      <c r="C1063" s="6020">
        <f t="shared" si="114"/>
        <v>0</v>
      </c>
      <c r="D1063" s="6018">
        <f t="shared" si="115"/>
        <v>0</v>
      </c>
      <c r="E1063" s="6018">
        <f t="shared" si="116"/>
        <v>0</v>
      </c>
      <c r="F1063" s="6019">
        <f t="shared" si="117"/>
        <v>0</v>
      </c>
      <c r="G1063" s="6020">
        <f t="shared" si="111"/>
        <v>0</v>
      </c>
      <c r="H1063" s="6018">
        <f t="shared" si="112"/>
        <v>0</v>
      </c>
      <c r="I1063" s="6018">
        <f t="shared" si="113"/>
        <v>240</v>
      </c>
      <c r="J1063" s="6019">
        <v>988</v>
      </c>
      <c r="K1063" s="1732"/>
      <c r="L1063" s="6018">
        <v>52725</v>
      </c>
      <c r="W1063" s="6018">
        <v>52700</v>
      </c>
      <c r="X1063" s="6019">
        <v>52750</v>
      </c>
      <c r="Y1063" s="6018">
        <v>0</v>
      </c>
      <c r="Z1063" s="6018">
        <v>0</v>
      </c>
      <c r="AA1063" s="6018">
        <v>0</v>
      </c>
      <c r="AB1063" s="6019">
        <v>0</v>
      </c>
      <c r="AC1063" s="6018">
        <v>0</v>
      </c>
      <c r="AD1063" s="6018">
        <v>0</v>
      </c>
      <c r="AE1063" s="6018">
        <v>240</v>
      </c>
      <c r="AF1063" s="6019">
        <v>988</v>
      </c>
    </row>
    <row r="1064" spans="1:32" ht="13.5">
      <c r="A1064" s="6018">
        <v>52750</v>
      </c>
      <c r="B1064" s="6019">
        <v>52800</v>
      </c>
      <c r="C1064" s="6020">
        <f t="shared" si="114"/>
        <v>0</v>
      </c>
      <c r="D1064" s="6018">
        <f t="shared" si="115"/>
        <v>0</v>
      </c>
      <c r="E1064" s="6018">
        <f t="shared" si="116"/>
        <v>0</v>
      </c>
      <c r="F1064" s="6019">
        <f t="shared" si="117"/>
        <v>0</v>
      </c>
      <c r="G1064" s="6020">
        <f t="shared" si="111"/>
        <v>0</v>
      </c>
      <c r="H1064" s="6018">
        <f t="shared" si="112"/>
        <v>0</v>
      </c>
      <c r="I1064" s="6018">
        <f t="shared" si="113"/>
        <v>230</v>
      </c>
      <c r="J1064" s="6019">
        <v>977</v>
      </c>
      <c r="K1064" s="1732"/>
      <c r="L1064" s="6018">
        <v>52775</v>
      </c>
      <c r="W1064" s="6018">
        <v>52750</v>
      </c>
      <c r="X1064" s="6019">
        <v>52800</v>
      </c>
      <c r="Y1064" s="6018">
        <v>0</v>
      </c>
      <c r="Z1064" s="6018">
        <v>0</v>
      </c>
      <c r="AA1064" s="6018">
        <v>0</v>
      </c>
      <c r="AB1064" s="6019">
        <v>0</v>
      </c>
      <c r="AC1064" s="6018">
        <v>0</v>
      </c>
      <c r="AD1064" s="6018">
        <v>0</v>
      </c>
      <c r="AE1064" s="6018">
        <v>230</v>
      </c>
      <c r="AF1064" s="6019">
        <v>977</v>
      </c>
    </row>
    <row r="1065" spans="1:32" ht="13.5">
      <c r="A1065" s="6018">
        <v>52800</v>
      </c>
      <c r="B1065" s="6019">
        <v>52850</v>
      </c>
      <c r="C1065" s="6020">
        <f t="shared" si="114"/>
        <v>0</v>
      </c>
      <c r="D1065" s="6018">
        <f t="shared" si="115"/>
        <v>0</v>
      </c>
      <c r="E1065" s="6018">
        <f t="shared" si="116"/>
        <v>0</v>
      </c>
      <c r="F1065" s="6019">
        <f t="shared" si="117"/>
        <v>0</v>
      </c>
      <c r="G1065" s="6020">
        <f t="shared" si="111"/>
        <v>0</v>
      </c>
      <c r="H1065" s="6018">
        <f t="shared" si="112"/>
        <v>0</v>
      </c>
      <c r="I1065" s="6018">
        <f t="shared" si="113"/>
        <v>219</v>
      </c>
      <c r="J1065" s="6019">
        <v>967</v>
      </c>
      <c r="K1065" s="1732"/>
      <c r="L1065" s="6018">
        <v>52825</v>
      </c>
      <c r="W1065" s="6018">
        <v>52800</v>
      </c>
      <c r="X1065" s="6019">
        <v>52850</v>
      </c>
      <c r="Y1065" s="6018">
        <v>0</v>
      </c>
      <c r="Z1065" s="6018">
        <v>0</v>
      </c>
      <c r="AA1065" s="6018">
        <v>0</v>
      </c>
      <c r="AB1065" s="6019">
        <v>0</v>
      </c>
      <c r="AC1065" s="6018">
        <v>0</v>
      </c>
      <c r="AD1065" s="6018">
        <v>0</v>
      </c>
      <c r="AE1065" s="6018">
        <v>219</v>
      </c>
      <c r="AF1065" s="6019">
        <v>967</v>
      </c>
    </row>
    <row r="1066" spans="1:32" ht="13.5">
      <c r="A1066" s="6018">
        <v>52850</v>
      </c>
      <c r="B1066" s="6019">
        <v>52900</v>
      </c>
      <c r="C1066" s="6020">
        <f t="shared" si="114"/>
        <v>0</v>
      </c>
      <c r="D1066" s="6018">
        <f t="shared" si="115"/>
        <v>0</v>
      </c>
      <c r="E1066" s="6018">
        <f t="shared" si="116"/>
        <v>0</v>
      </c>
      <c r="F1066" s="6019">
        <f t="shared" si="117"/>
        <v>0</v>
      </c>
      <c r="G1066" s="6020">
        <f t="shared" si="111"/>
        <v>0</v>
      </c>
      <c r="H1066" s="6018">
        <f t="shared" si="112"/>
        <v>0</v>
      </c>
      <c r="I1066" s="6018">
        <f t="shared" si="113"/>
        <v>209</v>
      </c>
      <c r="J1066" s="6019">
        <v>956</v>
      </c>
      <c r="K1066" s="1732"/>
      <c r="L1066" s="6018">
        <v>52875</v>
      </c>
      <c r="W1066" s="6018">
        <v>52850</v>
      </c>
      <c r="X1066" s="6019">
        <v>52900</v>
      </c>
      <c r="Y1066" s="6018">
        <v>0</v>
      </c>
      <c r="Z1066" s="6018">
        <v>0</v>
      </c>
      <c r="AA1066" s="6018">
        <v>0</v>
      </c>
      <c r="AB1066" s="6019">
        <v>0</v>
      </c>
      <c r="AC1066" s="6018">
        <v>0</v>
      </c>
      <c r="AD1066" s="6018">
        <v>0</v>
      </c>
      <c r="AE1066" s="6018">
        <v>209</v>
      </c>
      <c r="AF1066" s="6019">
        <v>956</v>
      </c>
    </row>
    <row r="1067" spans="1:32" ht="13.5">
      <c r="A1067" s="6018">
        <v>52900</v>
      </c>
      <c r="B1067" s="6019">
        <v>52950</v>
      </c>
      <c r="C1067" s="6020">
        <f t="shared" si="114"/>
        <v>0</v>
      </c>
      <c r="D1067" s="6018">
        <f t="shared" si="115"/>
        <v>0</v>
      </c>
      <c r="E1067" s="6018">
        <f t="shared" si="116"/>
        <v>0</v>
      </c>
      <c r="F1067" s="6019">
        <f t="shared" si="117"/>
        <v>0</v>
      </c>
      <c r="G1067" s="6020">
        <f t="shared" si="111"/>
        <v>0</v>
      </c>
      <c r="H1067" s="6018">
        <f t="shared" si="112"/>
        <v>0</v>
      </c>
      <c r="I1067" s="6018">
        <f t="shared" si="113"/>
        <v>198</v>
      </c>
      <c r="J1067" s="6019">
        <v>945</v>
      </c>
      <c r="K1067" s="1732"/>
      <c r="L1067" s="6018">
        <v>52925</v>
      </c>
      <c r="W1067" s="6018">
        <v>52900</v>
      </c>
      <c r="X1067" s="6019">
        <v>52950</v>
      </c>
      <c r="Y1067" s="6018">
        <v>0</v>
      </c>
      <c r="Z1067" s="6018">
        <v>0</v>
      </c>
      <c r="AA1067" s="6018">
        <v>0</v>
      </c>
      <c r="AB1067" s="6019">
        <v>0</v>
      </c>
      <c r="AC1067" s="6018">
        <v>0</v>
      </c>
      <c r="AD1067" s="6018">
        <v>0</v>
      </c>
      <c r="AE1067" s="6018">
        <v>198</v>
      </c>
      <c r="AF1067" s="6019">
        <v>945</v>
      </c>
    </row>
    <row r="1068" spans="1:32" ht="13.5">
      <c r="A1068" s="6018">
        <v>52950</v>
      </c>
      <c r="B1068" s="6019">
        <v>53000</v>
      </c>
      <c r="C1068" s="6020">
        <f t="shared" si="114"/>
        <v>0</v>
      </c>
      <c r="D1068" s="6018">
        <f t="shared" si="115"/>
        <v>0</v>
      </c>
      <c r="E1068" s="6018">
        <f t="shared" si="116"/>
        <v>0</v>
      </c>
      <c r="F1068" s="6019">
        <f t="shared" si="117"/>
        <v>0</v>
      </c>
      <c r="G1068" s="6020">
        <f t="shared" si="111"/>
        <v>0</v>
      </c>
      <c r="H1068" s="6018">
        <f t="shared" si="112"/>
        <v>0</v>
      </c>
      <c r="I1068" s="6018">
        <f t="shared" si="113"/>
        <v>187</v>
      </c>
      <c r="J1068" s="6019">
        <v>935</v>
      </c>
      <c r="K1068" s="1732"/>
      <c r="L1068" s="6018">
        <v>52975</v>
      </c>
      <c r="W1068" s="6018">
        <v>52950</v>
      </c>
      <c r="X1068" s="6019">
        <v>53000</v>
      </c>
      <c r="Y1068" s="6018">
        <v>0</v>
      </c>
      <c r="Z1068" s="6018">
        <v>0</v>
      </c>
      <c r="AA1068" s="6018">
        <v>0</v>
      </c>
      <c r="AB1068" s="6019">
        <v>0</v>
      </c>
      <c r="AC1068" s="6018">
        <v>0</v>
      </c>
      <c r="AD1068" s="6018">
        <v>0</v>
      </c>
      <c r="AE1068" s="6018">
        <v>187</v>
      </c>
      <c r="AF1068" s="6019">
        <v>935</v>
      </c>
    </row>
    <row r="1069" spans="1:32" ht="13.5">
      <c r="A1069" s="6018">
        <v>53000</v>
      </c>
      <c r="B1069" s="6019">
        <v>53050</v>
      </c>
      <c r="C1069" s="6020">
        <f t="shared" si="114"/>
        <v>0</v>
      </c>
      <c r="D1069" s="6018">
        <f t="shared" si="115"/>
        <v>0</v>
      </c>
      <c r="E1069" s="6018">
        <f t="shared" si="116"/>
        <v>0</v>
      </c>
      <c r="F1069" s="6019">
        <f t="shared" si="117"/>
        <v>0</v>
      </c>
      <c r="G1069" s="6020">
        <f t="shared" si="111"/>
        <v>0</v>
      </c>
      <c r="H1069" s="6018">
        <f t="shared" si="112"/>
        <v>0</v>
      </c>
      <c r="I1069" s="6018">
        <f t="shared" si="113"/>
        <v>177</v>
      </c>
      <c r="J1069" s="6019">
        <v>924</v>
      </c>
      <c r="K1069" s="1732"/>
      <c r="L1069" s="6018">
        <v>53025</v>
      </c>
      <c r="W1069" s="6018">
        <v>53000</v>
      </c>
      <c r="X1069" s="6019">
        <v>53050</v>
      </c>
      <c r="Y1069" s="6018">
        <v>0</v>
      </c>
      <c r="Z1069" s="6018">
        <v>0</v>
      </c>
      <c r="AA1069" s="6018">
        <v>0</v>
      </c>
      <c r="AB1069" s="6019">
        <v>0</v>
      </c>
      <c r="AC1069" s="6018">
        <v>0</v>
      </c>
      <c r="AD1069" s="6018">
        <v>0</v>
      </c>
      <c r="AE1069" s="6018">
        <v>177</v>
      </c>
      <c r="AF1069" s="6019">
        <v>924</v>
      </c>
    </row>
    <row r="1070" spans="1:32" ht="13.5">
      <c r="A1070" s="6018">
        <v>53050</v>
      </c>
      <c r="B1070" s="6019">
        <v>53100</v>
      </c>
      <c r="C1070" s="6020">
        <f t="shared" si="114"/>
        <v>0</v>
      </c>
      <c r="D1070" s="6018">
        <f t="shared" si="115"/>
        <v>0</v>
      </c>
      <c r="E1070" s="6018">
        <f t="shared" si="116"/>
        <v>0</v>
      </c>
      <c r="F1070" s="6019">
        <f t="shared" si="117"/>
        <v>0</v>
      </c>
      <c r="G1070" s="6020">
        <f t="shared" si="111"/>
        <v>0</v>
      </c>
      <c r="H1070" s="6018">
        <f t="shared" si="112"/>
        <v>0</v>
      </c>
      <c r="I1070" s="6018">
        <f t="shared" si="113"/>
        <v>166</v>
      </c>
      <c r="J1070" s="6019">
        <v>914</v>
      </c>
      <c r="K1070" s="1732"/>
      <c r="L1070" s="6018">
        <v>53075</v>
      </c>
      <c r="W1070" s="6018">
        <v>53050</v>
      </c>
      <c r="X1070" s="6019">
        <v>53100</v>
      </c>
      <c r="Y1070" s="6018">
        <v>0</v>
      </c>
      <c r="Z1070" s="6018">
        <v>0</v>
      </c>
      <c r="AA1070" s="6018">
        <v>0</v>
      </c>
      <c r="AB1070" s="6019">
        <v>0</v>
      </c>
      <c r="AC1070" s="6018">
        <v>0</v>
      </c>
      <c r="AD1070" s="6018">
        <v>0</v>
      </c>
      <c r="AE1070" s="6018">
        <v>166</v>
      </c>
      <c r="AF1070" s="6019">
        <v>914</v>
      </c>
    </row>
    <row r="1071" spans="1:32" ht="13.5">
      <c r="A1071" s="6018">
        <v>53100</v>
      </c>
      <c r="B1071" s="6019">
        <v>53150</v>
      </c>
      <c r="C1071" s="6020">
        <f t="shared" si="114"/>
        <v>0</v>
      </c>
      <c r="D1071" s="6018">
        <f t="shared" si="115"/>
        <v>0</v>
      </c>
      <c r="E1071" s="6018">
        <f t="shared" si="116"/>
        <v>0</v>
      </c>
      <c r="F1071" s="6019">
        <f t="shared" si="117"/>
        <v>0</v>
      </c>
      <c r="G1071" s="6020">
        <f t="shared" si="111"/>
        <v>0</v>
      </c>
      <c r="H1071" s="6018">
        <f t="shared" si="112"/>
        <v>0</v>
      </c>
      <c r="I1071" s="6018">
        <f t="shared" si="113"/>
        <v>156</v>
      </c>
      <c r="J1071" s="6019">
        <v>903</v>
      </c>
      <c r="K1071" s="1732"/>
      <c r="L1071" s="6018">
        <v>53125</v>
      </c>
      <c r="W1071" s="6018">
        <v>53100</v>
      </c>
      <c r="X1071" s="6019">
        <v>53150</v>
      </c>
      <c r="Y1071" s="6018">
        <v>0</v>
      </c>
      <c r="Z1071" s="6018">
        <v>0</v>
      </c>
      <c r="AA1071" s="6018">
        <v>0</v>
      </c>
      <c r="AB1071" s="6019">
        <v>0</v>
      </c>
      <c r="AC1071" s="6018">
        <v>0</v>
      </c>
      <c r="AD1071" s="6018">
        <v>0</v>
      </c>
      <c r="AE1071" s="6018">
        <v>156</v>
      </c>
      <c r="AF1071" s="6019">
        <v>903</v>
      </c>
    </row>
    <row r="1072" spans="1:32" ht="13.5">
      <c r="A1072" s="6018">
        <v>53150</v>
      </c>
      <c r="B1072" s="6019">
        <v>53200</v>
      </c>
      <c r="C1072" s="6020">
        <f t="shared" si="114"/>
        <v>0</v>
      </c>
      <c r="D1072" s="6018">
        <f t="shared" si="115"/>
        <v>0</v>
      </c>
      <c r="E1072" s="6018">
        <f t="shared" si="116"/>
        <v>0</v>
      </c>
      <c r="F1072" s="6019">
        <f t="shared" si="117"/>
        <v>0</v>
      </c>
      <c r="G1072" s="6020">
        <f t="shared" si="111"/>
        <v>0</v>
      </c>
      <c r="H1072" s="6018">
        <f t="shared" si="112"/>
        <v>0</v>
      </c>
      <c r="I1072" s="6018">
        <f t="shared" si="113"/>
        <v>145</v>
      </c>
      <c r="J1072" s="6019">
        <v>893</v>
      </c>
      <c r="K1072" s="1732"/>
      <c r="L1072" s="6018">
        <v>53175</v>
      </c>
      <c r="W1072" s="6018">
        <v>53150</v>
      </c>
      <c r="X1072" s="6019">
        <v>53200</v>
      </c>
      <c r="Y1072" s="6018">
        <v>0</v>
      </c>
      <c r="Z1072" s="6018">
        <v>0</v>
      </c>
      <c r="AA1072" s="6018">
        <v>0</v>
      </c>
      <c r="AB1072" s="6019">
        <v>0</v>
      </c>
      <c r="AC1072" s="6018">
        <v>0</v>
      </c>
      <c r="AD1072" s="6018">
        <v>0</v>
      </c>
      <c r="AE1072" s="6018">
        <v>145</v>
      </c>
      <c r="AF1072" s="6019">
        <v>893</v>
      </c>
    </row>
    <row r="1073" spans="1:32" ht="13.5">
      <c r="A1073" s="6018">
        <v>53200</v>
      </c>
      <c r="B1073" s="6019">
        <v>53250</v>
      </c>
      <c r="C1073" s="6020">
        <f t="shared" si="114"/>
        <v>0</v>
      </c>
      <c r="D1073" s="6018">
        <f t="shared" si="115"/>
        <v>0</v>
      </c>
      <c r="E1073" s="6018">
        <f t="shared" si="116"/>
        <v>0</v>
      </c>
      <c r="F1073" s="6019">
        <f t="shared" si="117"/>
        <v>0</v>
      </c>
      <c r="G1073" s="6020">
        <f t="shared" si="111"/>
        <v>0</v>
      </c>
      <c r="H1073" s="6018">
        <f t="shared" si="112"/>
        <v>0</v>
      </c>
      <c r="I1073" s="6018">
        <f t="shared" si="113"/>
        <v>135</v>
      </c>
      <c r="J1073" s="6019">
        <v>882</v>
      </c>
      <c r="K1073" s="1732"/>
      <c r="L1073" s="6018">
        <v>53225</v>
      </c>
      <c r="W1073" s="6018">
        <v>53200</v>
      </c>
      <c r="X1073" s="6019">
        <v>53250</v>
      </c>
      <c r="Y1073" s="6018">
        <v>0</v>
      </c>
      <c r="Z1073" s="6018">
        <v>0</v>
      </c>
      <c r="AA1073" s="6018">
        <v>0</v>
      </c>
      <c r="AB1073" s="6019">
        <v>0</v>
      </c>
      <c r="AC1073" s="6018">
        <v>0</v>
      </c>
      <c r="AD1073" s="6018">
        <v>0</v>
      </c>
      <c r="AE1073" s="6018">
        <v>135</v>
      </c>
      <c r="AF1073" s="6019">
        <v>882</v>
      </c>
    </row>
    <row r="1074" spans="1:32" ht="13.5">
      <c r="A1074" s="6018">
        <v>53250</v>
      </c>
      <c r="B1074" s="6019">
        <v>53300</v>
      </c>
      <c r="C1074" s="6020">
        <f t="shared" si="114"/>
        <v>0</v>
      </c>
      <c r="D1074" s="6018">
        <f t="shared" si="115"/>
        <v>0</v>
      </c>
      <c r="E1074" s="6018">
        <f t="shared" si="116"/>
        <v>0</v>
      </c>
      <c r="F1074" s="6019">
        <f t="shared" si="117"/>
        <v>0</v>
      </c>
      <c r="G1074" s="6020">
        <f t="shared" si="111"/>
        <v>0</v>
      </c>
      <c r="H1074" s="6018">
        <f t="shared" si="112"/>
        <v>0</v>
      </c>
      <c r="I1074" s="6018">
        <f t="shared" si="113"/>
        <v>124</v>
      </c>
      <c r="J1074" s="6019">
        <v>872</v>
      </c>
      <c r="K1074" s="1732"/>
      <c r="L1074" s="6018">
        <v>53275</v>
      </c>
      <c r="W1074" s="6018">
        <v>53250</v>
      </c>
      <c r="X1074" s="6019">
        <v>53300</v>
      </c>
      <c r="Y1074" s="6018">
        <v>0</v>
      </c>
      <c r="Z1074" s="6018">
        <v>0</v>
      </c>
      <c r="AA1074" s="6018">
        <v>0</v>
      </c>
      <c r="AB1074" s="6019">
        <v>0</v>
      </c>
      <c r="AC1074" s="6018">
        <v>0</v>
      </c>
      <c r="AD1074" s="6018">
        <v>0</v>
      </c>
      <c r="AE1074" s="6018">
        <v>124</v>
      </c>
      <c r="AF1074" s="6019">
        <v>872</v>
      </c>
    </row>
    <row r="1075" spans="1:32" ht="13.5">
      <c r="A1075" s="6018">
        <v>53300</v>
      </c>
      <c r="B1075" s="6019">
        <v>53350</v>
      </c>
      <c r="C1075" s="6020">
        <f t="shared" si="114"/>
        <v>0</v>
      </c>
      <c r="D1075" s="6018">
        <f t="shared" si="115"/>
        <v>0</v>
      </c>
      <c r="E1075" s="6018">
        <f t="shared" si="116"/>
        <v>0</v>
      </c>
      <c r="F1075" s="6019">
        <f t="shared" si="117"/>
        <v>0</v>
      </c>
      <c r="G1075" s="6020">
        <f t="shared" si="111"/>
        <v>0</v>
      </c>
      <c r="H1075" s="6018">
        <f t="shared" si="112"/>
        <v>0</v>
      </c>
      <c r="I1075" s="6018">
        <f t="shared" si="113"/>
        <v>114</v>
      </c>
      <c r="J1075" s="6019">
        <v>861</v>
      </c>
      <c r="K1075" s="1732"/>
      <c r="L1075" s="6018">
        <v>53325</v>
      </c>
      <c r="W1075" s="6018">
        <v>53300</v>
      </c>
      <c r="X1075" s="6019">
        <v>53350</v>
      </c>
      <c r="Y1075" s="6018">
        <v>0</v>
      </c>
      <c r="Z1075" s="6018">
        <v>0</v>
      </c>
      <c r="AA1075" s="6018">
        <v>0</v>
      </c>
      <c r="AB1075" s="6019">
        <v>0</v>
      </c>
      <c r="AC1075" s="6018">
        <v>0</v>
      </c>
      <c r="AD1075" s="6018">
        <v>0</v>
      </c>
      <c r="AE1075" s="6018">
        <v>114</v>
      </c>
      <c r="AF1075" s="6019">
        <v>861</v>
      </c>
    </row>
    <row r="1076" spans="1:32" ht="13.5">
      <c r="A1076" s="6018">
        <v>53350</v>
      </c>
      <c r="B1076" s="6019">
        <v>53400</v>
      </c>
      <c r="C1076" s="6020">
        <f t="shared" si="114"/>
        <v>0</v>
      </c>
      <c r="D1076" s="6018">
        <f t="shared" si="115"/>
        <v>0</v>
      </c>
      <c r="E1076" s="6018">
        <f t="shared" si="116"/>
        <v>0</v>
      </c>
      <c r="F1076" s="6019">
        <f t="shared" si="117"/>
        <v>0</v>
      </c>
      <c r="G1076" s="6020">
        <f t="shared" si="111"/>
        <v>0</v>
      </c>
      <c r="H1076" s="6018">
        <f t="shared" si="112"/>
        <v>0</v>
      </c>
      <c r="I1076" s="6018">
        <f t="shared" si="113"/>
        <v>103</v>
      </c>
      <c r="J1076" s="6019">
        <v>851</v>
      </c>
      <c r="K1076" s="1732"/>
      <c r="L1076" s="6018">
        <v>53375</v>
      </c>
      <c r="W1076" s="6018">
        <v>53350</v>
      </c>
      <c r="X1076" s="6019">
        <v>53400</v>
      </c>
      <c r="Y1076" s="6018">
        <v>0</v>
      </c>
      <c r="Z1076" s="6018">
        <v>0</v>
      </c>
      <c r="AA1076" s="6018">
        <v>0</v>
      </c>
      <c r="AB1076" s="6019">
        <v>0</v>
      </c>
      <c r="AC1076" s="6018">
        <v>0</v>
      </c>
      <c r="AD1076" s="6018">
        <v>0</v>
      </c>
      <c r="AE1076" s="6018">
        <v>103</v>
      </c>
      <c r="AF1076" s="6019">
        <v>851</v>
      </c>
    </row>
    <row r="1077" spans="1:32" ht="13.5">
      <c r="A1077" s="6018">
        <v>53400</v>
      </c>
      <c r="B1077" s="6019">
        <v>53450</v>
      </c>
      <c r="C1077" s="6020">
        <f t="shared" si="114"/>
        <v>0</v>
      </c>
      <c r="D1077" s="6018">
        <f t="shared" si="115"/>
        <v>0</v>
      </c>
      <c r="E1077" s="6018">
        <f t="shared" si="116"/>
        <v>0</v>
      </c>
      <c r="F1077" s="6019">
        <f t="shared" si="117"/>
        <v>0</v>
      </c>
      <c r="G1077" s="6020">
        <f t="shared" si="111"/>
        <v>0</v>
      </c>
      <c r="H1077" s="6018">
        <f t="shared" si="112"/>
        <v>0</v>
      </c>
      <c r="I1077" s="6018">
        <f t="shared" si="113"/>
        <v>93</v>
      </c>
      <c r="J1077" s="6019">
        <v>840</v>
      </c>
      <c r="K1077" s="1732"/>
      <c r="L1077" s="6018">
        <v>53425</v>
      </c>
      <c r="W1077" s="6018">
        <v>53400</v>
      </c>
      <c r="X1077" s="6019">
        <v>53450</v>
      </c>
      <c r="Y1077" s="6018">
        <v>0</v>
      </c>
      <c r="Z1077" s="6018">
        <v>0</v>
      </c>
      <c r="AA1077" s="6018">
        <v>0</v>
      </c>
      <c r="AB1077" s="6019">
        <v>0</v>
      </c>
      <c r="AC1077" s="6018">
        <v>0</v>
      </c>
      <c r="AD1077" s="6018">
        <v>0</v>
      </c>
      <c r="AE1077" s="6018">
        <v>93</v>
      </c>
      <c r="AF1077" s="6019">
        <v>840</v>
      </c>
    </row>
    <row r="1078" spans="1:32" ht="13.5">
      <c r="A1078" s="6018">
        <v>53450</v>
      </c>
      <c r="B1078" s="6019">
        <v>53500</v>
      </c>
      <c r="C1078" s="6020">
        <f t="shared" si="114"/>
        <v>0</v>
      </c>
      <c r="D1078" s="6018">
        <f t="shared" si="115"/>
        <v>0</v>
      </c>
      <c r="E1078" s="6018">
        <f t="shared" si="116"/>
        <v>0</v>
      </c>
      <c r="F1078" s="6019">
        <f t="shared" si="117"/>
        <v>0</v>
      </c>
      <c r="G1078" s="6020">
        <f t="shared" si="111"/>
        <v>0</v>
      </c>
      <c r="H1078" s="6018">
        <f t="shared" si="112"/>
        <v>0</v>
      </c>
      <c r="I1078" s="6018">
        <f t="shared" si="113"/>
        <v>82</v>
      </c>
      <c r="J1078" s="6019">
        <v>830</v>
      </c>
      <c r="K1078" s="1732"/>
      <c r="L1078" s="6018">
        <v>53475</v>
      </c>
      <c r="W1078" s="6018">
        <v>53450</v>
      </c>
      <c r="X1078" s="6019">
        <v>53500</v>
      </c>
      <c r="Y1078" s="6018">
        <v>0</v>
      </c>
      <c r="Z1078" s="6018">
        <v>0</v>
      </c>
      <c r="AA1078" s="6018">
        <v>0</v>
      </c>
      <c r="AB1078" s="6019">
        <v>0</v>
      </c>
      <c r="AC1078" s="6018">
        <v>0</v>
      </c>
      <c r="AD1078" s="6018">
        <v>0</v>
      </c>
      <c r="AE1078" s="6018">
        <v>82</v>
      </c>
      <c r="AF1078" s="6019">
        <v>830</v>
      </c>
    </row>
    <row r="1079" spans="1:32" ht="13.5">
      <c r="A1079" s="6018">
        <v>53500</v>
      </c>
      <c r="B1079" s="6019">
        <v>53550</v>
      </c>
      <c r="C1079" s="6020">
        <f t="shared" si="114"/>
        <v>0</v>
      </c>
      <c r="D1079" s="6018">
        <f t="shared" si="115"/>
        <v>0</v>
      </c>
      <c r="E1079" s="6018">
        <f t="shared" si="116"/>
        <v>0</v>
      </c>
      <c r="F1079" s="6019">
        <f t="shared" si="117"/>
        <v>0</v>
      </c>
      <c r="G1079" s="6020">
        <f t="shared" si="111"/>
        <v>0</v>
      </c>
      <c r="H1079" s="6018">
        <f t="shared" si="112"/>
        <v>0</v>
      </c>
      <c r="I1079" s="6018">
        <f t="shared" si="113"/>
        <v>72</v>
      </c>
      <c r="J1079" s="6019">
        <v>819</v>
      </c>
      <c r="K1079" s="1732"/>
      <c r="L1079" s="6018">
        <v>53525</v>
      </c>
      <c r="W1079" s="6018">
        <v>53500</v>
      </c>
      <c r="X1079" s="6019">
        <v>53550</v>
      </c>
      <c r="Y1079" s="6018">
        <v>0</v>
      </c>
      <c r="Z1079" s="6018">
        <v>0</v>
      </c>
      <c r="AA1079" s="6018">
        <v>0</v>
      </c>
      <c r="AB1079" s="6019">
        <v>0</v>
      </c>
      <c r="AC1079" s="6018">
        <v>0</v>
      </c>
      <c r="AD1079" s="6018">
        <v>0</v>
      </c>
      <c r="AE1079" s="6018">
        <v>72</v>
      </c>
      <c r="AF1079" s="6019">
        <v>819</v>
      </c>
    </row>
    <row r="1080" spans="1:32" ht="13.5">
      <c r="A1080" s="6018">
        <v>53550</v>
      </c>
      <c r="B1080" s="6019">
        <v>53600</v>
      </c>
      <c r="C1080" s="6020">
        <f t="shared" si="114"/>
        <v>0</v>
      </c>
      <c r="D1080" s="6018">
        <f t="shared" si="115"/>
        <v>0</v>
      </c>
      <c r="E1080" s="6018">
        <f t="shared" si="116"/>
        <v>0</v>
      </c>
      <c r="F1080" s="6019">
        <f t="shared" si="117"/>
        <v>0</v>
      </c>
      <c r="G1080" s="6020">
        <f t="shared" si="111"/>
        <v>0</v>
      </c>
      <c r="H1080" s="6018">
        <f t="shared" si="112"/>
        <v>0</v>
      </c>
      <c r="I1080" s="6018">
        <f t="shared" si="113"/>
        <v>61</v>
      </c>
      <c r="J1080" s="6019">
        <v>809</v>
      </c>
      <c r="K1080" s="1732"/>
      <c r="L1080" s="6018">
        <v>53575</v>
      </c>
      <c r="W1080" s="6018">
        <v>53550</v>
      </c>
      <c r="X1080" s="6019">
        <v>53600</v>
      </c>
      <c r="Y1080" s="6018">
        <v>0</v>
      </c>
      <c r="Z1080" s="6018">
        <v>0</v>
      </c>
      <c r="AA1080" s="6018">
        <v>0</v>
      </c>
      <c r="AB1080" s="6019">
        <v>0</v>
      </c>
      <c r="AC1080" s="6018">
        <v>0</v>
      </c>
      <c r="AD1080" s="6018">
        <v>0</v>
      </c>
      <c r="AE1080" s="6018">
        <v>61</v>
      </c>
      <c r="AF1080" s="6019">
        <v>809</v>
      </c>
    </row>
    <row r="1081" spans="1:32" ht="13.5">
      <c r="A1081" s="6018">
        <v>53600</v>
      </c>
      <c r="B1081" s="6019">
        <v>53650</v>
      </c>
      <c r="C1081" s="6020">
        <f t="shared" si="114"/>
        <v>0</v>
      </c>
      <c r="D1081" s="6018">
        <f t="shared" si="115"/>
        <v>0</v>
      </c>
      <c r="E1081" s="6018">
        <f t="shared" si="116"/>
        <v>0</v>
      </c>
      <c r="F1081" s="6019">
        <f t="shared" si="117"/>
        <v>0</v>
      </c>
      <c r="G1081" s="6020">
        <f t="shared" si="111"/>
        <v>0</v>
      </c>
      <c r="H1081" s="6018">
        <f t="shared" si="112"/>
        <v>0</v>
      </c>
      <c r="I1081" s="6018">
        <f t="shared" si="113"/>
        <v>51</v>
      </c>
      <c r="J1081" s="6019">
        <v>798</v>
      </c>
      <c r="K1081" s="1732"/>
      <c r="L1081" s="6018">
        <v>53625</v>
      </c>
      <c r="W1081" s="6018">
        <v>53600</v>
      </c>
      <c r="X1081" s="6019">
        <v>53650</v>
      </c>
      <c r="Y1081" s="6018">
        <v>0</v>
      </c>
      <c r="Z1081" s="6018">
        <v>0</v>
      </c>
      <c r="AA1081" s="6018">
        <v>0</v>
      </c>
      <c r="AB1081" s="6019">
        <v>0</v>
      </c>
      <c r="AC1081" s="6018">
        <v>0</v>
      </c>
      <c r="AD1081" s="6018">
        <v>0</v>
      </c>
      <c r="AE1081" s="6018">
        <v>51</v>
      </c>
      <c r="AF1081" s="6019">
        <v>798</v>
      </c>
    </row>
    <row r="1082" spans="1:32" ht="13.5">
      <c r="A1082" s="6018">
        <v>53650</v>
      </c>
      <c r="B1082" s="6019">
        <v>53700</v>
      </c>
      <c r="C1082" s="6020">
        <f t="shared" si="114"/>
        <v>0</v>
      </c>
      <c r="D1082" s="6018">
        <f t="shared" si="115"/>
        <v>0</v>
      </c>
      <c r="E1082" s="6018">
        <f t="shared" si="116"/>
        <v>0</v>
      </c>
      <c r="F1082" s="6019">
        <f t="shared" si="117"/>
        <v>0</v>
      </c>
      <c r="G1082" s="6020">
        <f t="shared" si="111"/>
        <v>0</v>
      </c>
      <c r="H1082" s="6018">
        <f t="shared" si="112"/>
        <v>0</v>
      </c>
      <c r="I1082" s="6018">
        <f t="shared" si="113"/>
        <v>40</v>
      </c>
      <c r="J1082" s="6019">
        <v>788</v>
      </c>
      <c r="K1082" s="1732"/>
      <c r="L1082" s="6018">
        <v>53675</v>
      </c>
      <c r="W1082" s="6018">
        <v>53650</v>
      </c>
      <c r="X1082" s="6019">
        <v>53700</v>
      </c>
      <c r="Y1082" s="6018">
        <v>0</v>
      </c>
      <c r="Z1082" s="6018">
        <v>0</v>
      </c>
      <c r="AA1082" s="6018">
        <v>0</v>
      </c>
      <c r="AB1082" s="6019">
        <v>0</v>
      </c>
      <c r="AC1082" s="6018">
        <v>0</v>
      </c>
      <c r="AD1082" s="6018">
        <v>0</v>
      </c>
      <c r="AE1082" s="6018">
        <v>40</v>
      </c>
      <c r="AF1082" s="6019">
        <v>788</v>
      </c>
    </row>
    <row r="1083" spans="1:32" ht="13.5">
      <c r="A1083" s="6018">
        <v>53700</v>
      </c>
      <c r="B1083" s="6019">
        <v>53750</v>
      </c>
      <c r="C1083" s="6020">
        <f t="shared" si="114"/>
        <v>0</v>
      </c>
      <c r="D1083" s="6018">
        <f t="shared" si="115"/>
        <v>0</v>
      </c>
      <c r="E1083" s="6018">
        <f t="shared" si="116"/>
        <v>0</v>
      </c>
      <c r="F1083" s="6019">
        <f t="shared" si="117"/>
        <v>0</v>
      </c>
      <c r="G1083" s="6020">
        <f t="shared" si="111"/>
        <v>0</v>
      </c>
      <c r="H1083" s="6018">
        <f t="shared" si="112"/>
        <v>0</v>
      </c>
      <c r="I1083" s="6018">
        <f t="shared" si="113"/>
        <v>29</v>
      </c>
      <c r="J1083" s="6019">
        <v>777</v>
      </c>
      <c r="K1083" s="1732"/>
      <c r="L1083" s="6018">
        <v>53725</v>
      </c>
      <c r="W1083" s="6018">
        <v>53700</v>
      </c>
      <c r="X1083" s="6019">
        <v>53750</v>
      </c>
      <c r="Y1083" s="6018">
        <v>0</v>
      </c>
      <c r="Z1083" s="6018">
        <v>0</v>
      </c>
      <c r="AA1083" s="6018">
        <v>0</v>
      </c>
      <c r="AB1083" s="6019">
        <v>0</v>
      </c>
      <c r="AC1083" s="6018">
        <v>0</v>
      </c>
      <c r="AD1083" s="6018">
        <v>0</v>
      </c>
      <c r="AE1083" s="6018">
        <v>29</v>
      </c>
      <c r="AF1083" s="6019">
        <v>777</v>
      </c>
    </row>
    <row r="1084" spans="1:32" ht="13.5">
      <c r="A1084" s="6018">
        <v>53750</v>
      </c>
      <c r="B1084" s="6019">
        <v>53800</v>
      </c>
      <c r="C1084" s="6020">
        <f t="shared" si="114"/>
        <v>0</v>
      </c>
      <c r="D1084" s="6018">
        <f t="shared" si="115"/>
        <v>0</v>
      </c>
      <c r="E1084" s="6018">
        <f t="shared" si="116"/>
        <v>0</v>
      </c>
      <c r="F1084" s="6019">
        <f t="shared" si="117"/>
        <v>0</v>
      </c>
      <c r="G1084" s="6020">
        <f t="shared" si="111"/>
        <v>0</v>
      </c>
      <c r="H1084" s="6018">
        <f t="shared" si="112"/>
        <v>0</v>
      </c>
      <c r="I1084" s="6018">
        <f t="shared" si="113"/>
        <v>19</v>
      </c>
      <c r="J1084" s="6019">
        <v>766</v>
      </c>
      <c r="K1084" s="1732"/>
      <c r="L1084" s="6018">
        <v>53775</v>
      </c>
      <c r="W1084" s="6018">
        <v>53750</v>
      </c>
      <c r="X1084" s="6019">
        <v>53800</v>
      </c>
      <c r="Y1084" s="6018">
        <v>0</v>
      </c>
      <c r="Z1084" s="6018">
        <v>0</v>
      </c>
      <c r="AA1084" s="6018">
        <v>0</v>
      </c>
      <c r="AB1084" s="6019">
        <v>0</v>
      </c>
      <c r="AC1084" s="6018">
        <v>0</v>
      </c>
      <c r="AD1084" s="6018">
        <v>0</v>
      </c>
      <c r="AE1084" s="6018">
        <v>19</v>
      </c>
      <c r="AF1084" s="6019">
        <v>766</v>
      </c>
    </row>
    <row r="1085" spans="1:32" ht="13.5">
      <c r="A1085" s="6018">
        <v>53800</v>
      </c>
      <c r="B1085" s="6019">
        <v>53850</v>
      </c>
      <c r="C1085" s="6020">
        <f t="shared" si="114"/>
        <v>0</v>
      </c>
      <c r="D1085" s="6018">
        <f t="shared" si="115"/>
        <v>0</v>
      </c>
      <c r="E1085" s="6018">
        <f t="shared" si="116"/>
        <v>0</v>
      </c>
      <c r="F1085" s="6019">
        <f t="shared" si="117"/>
        <v>0</v>
      </c>
      <c r="G1085" s="6020">
        <f t="shared" si="111"/>
        <v>0</v>
      </c>
      <c r="H1085" s="6018">
        <f t="shared" si="112"/>
        <v>0</v>
      </c>
      <c r="I1085" s="6018">
        <f t="shared" si="113"/>
        <v>8</v>
      </c>
      <c r="J1085" s="6019">
        <v>756</v>
      </c>
      <c r="K1085" s="1732"/>
      <c r="L1085" s="6018">
        <v>53825</v>
      </c>
      <c r="W1085" s="6018">
        <v>53800</v>
      </c>
      <c r="X1085" s="6019">
        <v>53850</v>
      </c>
      <c r="Y1085" s="6018">
        <v>0</v>
      </c>
      <c r="Z1085" s="6018">
        <v>0</v>
      </c>
      <c r="AA1085" s="6018">
        <v>0</v>
      </c>
      <c r="AB1085" s="6019">
        <v>0</v>
      </c>
      <c r="AC1085" s="6018">
        <v>0</v>
      </c>
      <c r="AD1085" s="6018">
        <v>0</v>
      </c>
      <c r="AE1085" s="6018">
        <v>8</v>
      </c>
      <c r="AF1085" s="6019">
        <v>756</v>
      </c>
    </row>
    <row r="1086" spans="1:32" ht="13.5">
      <c r="A1086" s="6018">
        <v>53850</v>
      </c>
      <c r="B1086" s="6019">
        <v>53865</v>
      </c>
      <c r="C1086" s="6020">
        <f t="shared" si="114"/>
        <v>0</v>
      </c>
      <c r="D1086" s="6018">
        <f t="shared" si="115"/>
        <v>0</v>
      </c>
      <c r="E1086" s="6018">
        <f t="shared" si="116"/>
        <v>0</v>
      </c>
      <c r="F1086" s="6019">
        <f t="shared" si="117"/>
        <v>0</v>
      </c>
      <c r="G1086" s="6020">
        <f t="shared" si="111"/>
        <v>0</v>
      </c>
      <c r="H1086" s="6018">
        <f t="shared" si="112"/>
        <v>0</v>
      </c>
      <c r="I1086" s="6018">
        <v>2</v>
      </c>
      <c r="J1086" s="6019">
        <v>745</v>
      </c>
      <c r="K1086" s="1732"/>
      <c r="L1086" s="6018">
        <f>ROUND(53857.5,0)</f>
        <v>53858</v>
      </c>
      <c r="W1086" s="6018">
        <v>53850</v>
      </c>
      <c r="X1086" s="6019">
        <v>53865</v>
      </c>
      <c r="Y1086" s="6018">
        <v>0</v>
      </c>
      <c r="Z1086" s="6018">
        <v>0</v>
      </c>
      <c r="AA1086" s="6018">
        <v>0</v>
      </c>
      <c r="AB1086" s="6019">
        <v>0</v>
      </c>
      <c r="AC1086" s="6018">
        <v>0</v>
      </c>
      <c r="AD1086" s="6018">
        <v>0</v>
      </c>
      <c r="AE1086" s="6018">
        <v>2</v>
      </c>
      <c r="AF1086" s="6019">
        <v>745</v>
      </c>
    </row>
    <row r="1087" spans="1:32" ht="13.5">
      <c r="A1087" s="6018">
        <v>53865</v>
      </c>
      <c r="B1087" s="6019">
        <v>53900</v>
      </c>
      <c r="C1087" s="6020">
        <f t="shared" si="114"/>
        <v>0</v>
      </c>
      <c r="D1087" s="6018">
        <f t="shared" si="115"/>
        <v>0</v>
      </c>
      <c r="E1087" s="6018">
        <f t="shared" si="116"/>
        <v>0</v>
      </c>
      <c r="F1087" s="6019">
        <f t="shared" si="117"/>
        <v>0</v>
      </c>
      <c r="G1087" s="6020">
        <f t="shared" si="111"/>
        <v>0</v>
      </c>
      <c r="H1087" s="6018">
        <f t="shared" si="112"/>
        <v>0</v>
      </c>
      <c r="I1087" s="6018">
        <f t="shared" si="113"/>
        <v>0</v>
      </c>
      <c r="J1087" s="6019">
        <v>745</v>
      </c>
      <c r="K1087" s="1732"/>
      <c r="L1087" s="6018">
        <v>53882.5</v>
      </c>
      <c r="W1087" s="6018">
        <v>53865</v>
      </c>
      <c r="X1087" s="6019">
        <v>53900</v>
      </c>
      <c r="Y1087" s="6018">
        <v>0</v>
      </c>
      <c r="Z1087" s="6018">
        <v>0</v>
      </c>
      <c r="AA1087" s="6018">
        <v>0</v>
      </c>
      <c r="AB1087" s="6019">
        <v>0</v>
      </c>
      <c r="AC1087" s="6018">
        <v>0</v>
      </c>
      <c r="AD1087" s="6018">
        <v>0</v>
      </c>
      <c r="AE1087" s="6018">
        <v>0</v>
      </c>
      <c r="AF1087" s="6019">
        <v>745</v>
      </c>
    </row>
    <row r="1088" spans="1:32" ht="13.5">
      <c r="A1088" s="6018">
        <v>53900</v>
      </c>
      <c r="B1088" s="6019">
        <v>53950</v>
      </c>
      <c r="C1088" s="6020">
        <f t="shared" si="114"/>
        <v>0</v>
      </c>
      <c r="D1088" s="6018">
        <f t="shared" si="115"/>
        <v>0</v>
      </c>
      <c r="E1088" s="6018">
        <f t="shared" si="116"/>
        <v>0</v>
      </c>
      <c r="F1088" s="6019">
        <f t="shared" si="117"/>
        <v>0</v>
      </c>
      <c r="G1088" s="6020">
        <f t="shared" si="111"/>
        <v>0</v>
      </c>
      <c r="H1088" s="6018">
        <f t="shared" si="112"/>
        <v>0</v>
      </c>
      <c r="I1088" s="6018">
        <f t="shared" si="113"/>
        <v>0</v>
      </c>
      <c r="J1088" s="6019">
        <v>735</v>
      </c>
      <c r="K1088" s="1732"/>
      <c r="L1088" s="6018">
        <v>53925</v>
      </c>
      <c r="W1088" s="6018">
        <v>53900</v>
      </c>
      <c r="X1088" s="6019">
        <v>53950</v>
      </c>
      <c r="Y1088" s="6018">
        <v>0</v>
      </c>
      <c r="Z1088" s="6018">
        <v>0</v>
      </c>
      <c r="AA1088" s="6018">
        <v>0</v>
      </c>
      <c r="AB1088" s="6019">
        <v>0</v>
      </c>
      <c r="AC1088" s="6018">
        <v>0</v>
      </c>
      <c r="AD1088" s="6018">
        <v>0</v>
      </c>
      <c r="AE1088" s="6018">
        <v>0</v>
      </c>
      <c r="AF1088" s="6019">
        <v>735</v>
      </c>
    </row>
    <row r="1089" spans="1:32" ht="13.5">
      <c r="A1089" s="6018">
        <v>53950</v>
      </c>
      <c r="B1089" s="6019">
        <v>54000</v>
      </c>
      <c r="C1089" s="6020">
        <f t="shared" si="114"/>
        <v>0</v>
      </c>
      <c r="D1089" s="6018">
        <f t="shared" si="115"/>
        <v>0</v>
      </c>
      <c r="E1089" s="6018">
        <f t="shared" si="116"/>
        <v>0</v>
      </c>
      <c r="F1089" s="6019">
        <f t="shared" si="117"/>
        <v>0</v>
      </c>
      <c r="G1089" s="6020">
        <f t="shared" si="111"/>
        <v>0</v>
      </c>
      <c r="H1089" s="6018">
        <f t="shared" si="112"/>
        <v>0</v>
      </c>
      <c r="I1089" s="6018">
        <f t="shared" si="113"/>
        <v>0</v>
      </c>
      <c r="J1089" s="6019">
        <v>724</v>
      </c>
      <c r="K1089" s="1732"/>
      <c r="L1089" s="6018">
        <v>53975</v>
      </c>
      <c r="W1089" s="6018">
        <v>53950</v>
      </c>
      <c r="X1089" s="6019">
        <v>54000</v>
      </c>
      <c r="Y1089" s="6018">
        <v>0</v>
      </c>
      <c r="Z1089" s="6018">
        <v>0</v>
      </c>
      <c r="AA1089" s="6018">
        <v>0</v>
      </c>
      <c r="AB1089" s="6019">
        <v>0</v>
      </c>
      <c r="AC1089" s="6018">
        <v>0</v>
      </c>
      <c r="AD1089" s="6018">
        <v>0</v>
      </c>
      <c r="AE1089" s="6018">
        <v>0</v>
      </c>
      <c r="AF1089" s="6019">
        <v>724</v>
      </c>
    </row>
    <row r="1090" spans="1:32" ht="13.5">
      <c r="A1090" s="6018">
        <v>54000</v>
      </c>
      <c r="B1090" s="6019">
        <v>54050</v>
      </c>
      <c r="C1090" s="6020">
        <f t="shared" si="114"/>
        <v>0</v>
      </c>
      <c r="D1090" s="6018">
        <f t="shared" si="115"/>
        <v>0</v>
      </c>
      <c r="E1090" s="6018">
        <f t="shared" si="116"/>
        <v>0</v>
      </c>
      <c r="F1090" s="6019">
        <f t="shared" si="117"/>
        <v>0</v>
      </c>
      <c r="G1090" s="6020">
        <f t="shared" si="111"/>
        <v>0</v>
      </c>
      <c r="H1090" s="6018">
        <f t="shared" si="112"/>
        <v>0</v>
      </c>
      <c r="I1090" s="6018">
        <f t="shared" si="113"/>
        <v>0</v>
      </c>
      <c r="J1090" s="6019">
        <v>714</v>
      </c>
      <c r="K1090" s="1732"/>
      <c r="L1090" s="6018">
        <v>54025</v>
      </c>
      <c r="W1090" s="6018">
        <v>54000</v>
      </c>
      <c r="X1090" s="6019">
        <v>54050</v>
      </c>
      <c r="Y1090" s="6018">
        <v>0</v>
      </c>
      <c r="Z1090" s="6018">
        <v>0</v>
      </c>
      <c r="AA1090" s="6018">
        <v>0</v>
      </c>
      <c r="AB1090" s="6019">
        <v>0</v>
      </c>
      <c r="AC1090" s="6018">
        <v>0</v>
      </c>
      <c r="AD1090" s="6018">
        <v>0</v>
      </c>
      <c r="AE1090" s="6018">
        <v>0</v>
      </c>
      <c r="AF1090" s="6019">
        <v>714</v>
      </c>
    </row>
    <row r="1091" spans="1:32" ht="13.5">
      <c r="A1091" s="6018">
        <v>54050</v>
      </c>
      <c r="B1091" s="6019">
        <v>54100</v>
      </c>
      <c r="C1091" s="6020">
        <f t="shared" si="114"/>
        <v>0</v>
      </c>
      <c r="D1091" s="6018">
        <f t="shared" si="115"/>
        <v>0</v>
      </c>
      <c r="E1091" s="6018">
        <f t="shared" si="116"/>
        <v>0</v>
      </c>
      <c r="F1091" s="6019">
        <f t="shared" si="117"/>
        <v>0</v>
      </c>
      <c r="G1091" s="6020">
        <f t="shared" si="111"/>
        <v>0</v>
      </c>
      <c r="H1091" s="6018">
        <f t="shared" si="112"/>
        <v>0</v>
      </c>
      <c r="I1091" s="6018">
        <f t="shared" si="113"/>
        <v>0</v>
      </c>
      <c r="J1091" s="6019">
        <v>703</v>
      </c>
      <c r="K1091" s="1732"/>
      <c r="L1091" s="6018">
        <v>54075</v>
      </c>
      <c r="W1091" s="6018">
        <v>54050</v>
      </c>
      <c r="X1091" s="6019">
        <v>54100</v>
      </c>
      <c r="Y1091" s="6018">
        <v>0</v>
      </c>
      <c r="Z1091" s="6018">
        <v>0</v>
      </c>
      <c r="AA1091" s="6018">
        <v>0</v>
      </c>
      <c r="AB1091" s="6019">
        <v>0</v>
      </c>
      <c r="AC1091" s="6018">
        <v>0</v>
      </c>
      <c r="AD1091" s="6018">
        <v>0</v>
      </c>
      <c r="AE1091" s="6018">
        <v>0</v>
      </c>
      <c r="AF1091" s="6019">
        <v>703</v>
      </c>
    </row>
    <row r="1092" spans="1:32" ht="13.5">
      <c r="A1092" s="6018">
        <v>54100</v>
      </c>
      <c r="B1092" s="6019">
        <v>54150</v>
      </c>
      <c r="C1092" s="6020">
        <f t="shared" si="114"/>
        <v>0</v>
      </c>
      <c r="D1092" s="6018">
        <f t="shared" si="115"/>
        <v>0</v>
      </c>
      <c r="E1092" s="6018">
        <f t="shared" si="116"/>
        <v>0</v>
      </c>
      <c r="F1092" s="6019">
        <f t="shared" si="117"/>
        <v>0</v>
      </c>
      <c r="G1092" s="6020">
        <f t="shared" ref="G1092:G1155" si="118">IF($L1092&gt;R$5,MAX(0,R$3+ROUND((R$9*($L1092-R$5)),0)),IF($L1092&gt;R$4,R$3,ROUND($L1092*R$7,0)))</f>
        <v>0</v>
      </c>
      <c r="H1092" s="6018">
        <f t="shared" ref="H1092:H1155" si="119">IF($L1092&gt;S$5,MAX(0,S$3+ROUND((S$9*($L1092-S$5)),0)),IF($L1092&gt;S$4,S$3,ROUND($L1092*S$7,0)))</f>
        <v>0</v>
      </c>
      <c r="I1092" s="6018">
        <f t="shared" ref="I1092:I1155" si="120">IF($L1092&gt;T$5,MAX(0,T$3+ROUND((T$9*($L1092-T$5)),0)),IF($L1092&gt;T$4,T$3,ROUND($L1092*T$7,0)))</f>
        <v>0</v>
      </c>
      <c r="J1092" s="6019">
        <v>693</v>
      </c>
      <c r="K1092" s="1732"/>
      <c r="L1092" s="6018">
        <v>54125</v>
      </c>
      <c r="W1092" s="6018">
        <v>54100</v>
      </c>
      <c r="X1092" s="6019">
        <v>54150</v>
      </c>
      <c r="Y1092" s="6018">
        <v>0</v>
      </c>
      <c r="Z1092" s="6018">
        <v>0</v>
      </c>
      <c r="AA1092" s="6018">
        <v>0</v>
      </c>
      <c r="AB1092" s="6019">
        <v>0</v>
      </c>
      <c r="AC1092" s="6018">
        <v>0</v>
      </c>
      <c r="AD1092" s="6018">
        <v>0</v>
      </c>
      <c r="AE1092" s="6018">
        <v>0</v>
      </c>
      <c r="AF1092" s="6019">
        <v>693</v>
      </c>
    </row>
    <row r="1093" spans="1:32" ht="13.5">
      <c r="A1093" s="6018">
        <v>54150</v>
      </c>
      <c r="B1093" s="6019">
        <v>54200</v>
      </c>
      <c r="C1093" s="6020">
        <f t="shared" si="114"/>
        <v>0</v>
      </c>
      <c r="D1093" s="6018">
        <f t="shared" si="115"/>
        <v>0</v>
      </c>
      <c r="E1093" s="6018">
        <f t="shared" si="116"/>
        <v>0</v>
      </c>
      <c r="F1093" s="6019">
        <f t="shared" si="117"/>
        <v>0</v>
      </c>
      <c r="G1093" s="6020">
        <f t="shared" si="118"/>
        <v>0</v>
      </c>
      <c r="H1093" s="6018">
        <f t="shared" si="119"/>
        <v>0</v>
      </c>
      <c r="I1093" s="6018">
        <f t="shared" si="120"/>
        <v>0</v>
      </c>
      <c r="J1093" s="6019">
        <v>682</v>
      </c>
      <c r="K1093" s="1732"/>
      <c r="L1093" s="6018">
        <v>54175</v>
      </c>
      <c r="W1093" s="6018">
        <v>54150</v>
      </c>
      <c r="X1093" s="6019">
        <v>54200</v>
      </c>
      <c r="Y1093" s="6018">
        <v>0</v>
      </c>
      <c r="Z1093" s="6018">
        <v>0</v>
      </c>
      <c r="AA1093" s="6018">
        <v>0</v>
      </c>
      <c r="AB1093" s="6019">
        <v>0</v>
      </c>
      <c r="AC1093" s="6018">
        <v>0</v>
      </c>
      <c r="AD1093" s="6018">
        <v>0</v>
      </c>
      <c r="AE1093" s="6018">
        <v>0</v>
      </c>
      <c r="AF1093" s="6019">
        <v>682</v>
      </c>
    </row>
    <row r="1094" spans="1:32" ht="13.5">
      <c r="A1094" s="6018">
        <v>54200</v>
      </c>
      <c r="B1094" s="6019">
        <v>54250</v>
      </c>
      <c r="C1094" s="6020">
        <f t="shared" ref="C1094:C1157" si="121">IF($L1094&gt;N$5,MAX(0,N$3+ROUND((N$9*($L1094-N$5)),0)),IF($L1094&gt;N$4,N$3,ROUND($L1094*N$7,0)))</f>
        <v>0</v>
      </c>
      <c r="D1094" s="6018">
        <f t="shared" ref="D1094:D1157" si="122">IF($L1094&gt;O$5,MAX(0,O$3+ROUND((O$9*($L1094-O$5)),0)),IF($L1094&gt;O$4,O$3,ROUND($L1094*O$7,0)))</f>
        <v>0</v>
      </c>
      <c r="E1094" s="6018">
        <f t="shared" ref="E1094:E1157" si="123">IF($L1094&gt;P$5,MAX(0,P$3+ROUND((P$9*($L1094-P$5)),0)),IF($L1094&gt;P$4,P$3,ROUND($L1094*P$7,0)))</f>
        <v>0</v>
      </c>
      <c r="F1094" s="6019">
        <f t="shared" ref="F1094:F1157" si="124">IF($L1094&gt;Q$5,MAX(0,Q$3+ROUND((Q$9*($L1094-Q$5)),0)),IF($L1094&gt;Q$4,Q$3,ROUND($L1094*Q$7,0)))</f>
        <v>0</v>
      </c>
      <c r="G1094" s="6020">
        <f t="shared" si="118"/>
        <v>0</v>
      </c>
      <c r="H1094" s="6018">
        <f t="shared" si="119"/>
        <v>0</v>
      </c>
      <c r="I1094" s="6018">
        <f t="shared" si="120"/>
        <v>0</v>
      </c>
      <c r="J1094" s="6019">
        <v>672</v>
      </c>
      <c r="K1094" s="1732"/>
      <c r="L1094" s="6018">
        <v>54225</v>
      </c>
      <c r="W1094" s="6018">
        <v>54200</v>
      </c>
      <c r="X1094" s="6019">
        <v>54250</v>
      </c>
      <c r="Y1094" s="6018">
        <v>0</v>
      </c>
      <c r="Z1094" s="6018">
        <v>0</v>
      </c>
      <c r="AA1094" s="6018">
        <v>0</v>
      </c>
      <c r="AB1094" s="6019">
        <v>0</v>
      </c>
      <c r="AC1094" s="6018">
        <v>0</v>
      </c>
      <c r="AD1094" s="6018">
        <v>0</v>
      </c>
      <c r="AE1094" s="6018">
        <v>0</v>
      </c>
      <c r="AF1094" s="6019">
        <v>672</v>
      </c>
    </row>
    <row r="1095" spans="1:32" ht="13.5">
      <c r="A1095" s="6018">
        <v>54250</v>
      </c>
      <c r="B1095" s="6019">
        <v>54300</v>
      </c>
      <c r="C1095" s="6020">
        <f t="shared" si="121"/>
        <v>0</v>
      </c>
      <c r="D1095" s="6018">
        <f t="shared" si="122"/>
        <v>0</v>
      </c>
      <c r="E1095" s="6018">
        <f t="shared" si="123"/>
        <v>0</v>
      </c>
      <c r="F1095" s="6019">
        <f t="shared" si="124"/>
        <v>0</v>
      </c>
      <c r="G1095" s="6020">
        <f t="shared" si="118"/>
        <v>0</v>
      </c>
      <c r="H1095" s="6018">
        <f t="shared" si="119"/>
        <v>0</v>
      </c>
      <c r="I1095" s="6018">
        <f t="shared" si="120"/>
        <v>0</v>
      </c>
      <c r="J1095" s="6019">
        <v>661</v>
      </c>
      <c r="K1095" s="1732"/>
      <c r="L1095" s="6018">
        <v>54275</v>
      </c>
      <c r="W1095" s="6018">
        <v>54250</v>
      </c>
      <c r="X1095" s="6019">
        <v>54300</v>
      </c>
      <c r="Y1095" s="6018">
        <v>0</v>
      </c>
      <c r="Z1095" s="6018">
        <v>0</v>
      </c>
      <c r="AA1095" s="6018">
        <v>0</v>
      </c>
      <c r="AB1095" s="6019">
        <v>0</v>
      </c>
      <c r="AC1095" s="6018">
        <v>0</v>
      </c>
      <c r="AD1095" s="6018">
        <v>0</v>
      </c>
      <c r="AE1095" s="6018">
        <v>0</v>
      </c>
      <c r="AF1095" s="6019">
        <v>661</v>
      </c>
    </row>
    <row r="1096" spans="1:32" ht="13.5">
      <c r="A1096" s="6018">
        <v>54300</v>
      </c>
      <c r="B1096" s="6019">
        <v>54350</v>
      </c>
      <c r="C1096" s="6020">
        <f t="shared" si="121"/>
        <v>0</v>
      </c>
      <c r="D1096" s="6018">
        <f t="shared" si="122"/>
        <v>0</v>
      </c>
      <c r="E1096" s="6018">
        <f t="shared" si="123"/>
        <v>0</v>
      </c>
      <c r="F1096" s="6019">
        <f t="shared" si="124"/>
        <v>0</v>
      </c>
      <c r="G1096" s="6020">
        <f t="shared" si="118"/>
        <v>0</v>
      </c>
      <c r="H1096" s="6018">
        <f t="shared" si="119"/>
        <v>0</v>
      </c>
      <c r="I1096" s="6018">
        <f t="shared" si="120"/>
        <v>0</v>
      </c>
      <c r="J1096" s="6019">
        <v>651</v>
      </c>
      <c r="K1096" s="1732"/>
      <c r="L1096" s="6018">
        <v>54325</v>
      </c>
      <c r="W1096" s="6018">
        <v>54300</v>
      </c>
      <c r="X1096" s="6019">
        <v>54350</v>
      </c>
      <c r="Y1096" s="6018">
        <v>0</v>
      </c>
      <c r="Z1096" s="6018">
        <v>0</v>
      </c>
      <c r="AA1096" s="6018">
        <v>0</v>
      </c>
      <c r="AB1096" s="6019">
        <v>0</v>
      </c>
      <c r="AC1096" s="6018">
        <v>0</v>
      </c>
      <c r="AD1096" s="6018">
        <v>0</v>
      </c>
      <c r="AE1096" s="6018">
        <v>0</v>
      </c>
      <c r="AF1096" s="6019">
        <v>651</v>
      </c>
    </row>
    <row r="1097" spans="1:32" ht="13.5">
      <c r="A1097" s="6018">
        <v>54350</v>
      </c>
      <c r="B1097" s="6019">
        <v>54400</v>
      </c>
      <c r="C1097" s="6020">
        <f t="shared" si="121"/>
        <v>0</v>
      </c>
      <c r="D1097" s="6018">
        <f t="shared" si="122"/>
        <v>0</v>
      </c>
      <c r="E1097" s="6018">
        <f t="shared" si="123"/>
        <v>0</v>
      </c>
      <c r="F1097" s="6019">
        <f t="shared" si="124"/>
        <v>0</v>
      </c>
      <c r="G1097" s="6020">
        <f t="shared" si="118"/>
        <v>0</v>
      </c>
      <c r="H1097" s="6018">
        <f t="shared" si="119"/>
        <v>0</v>
      </c>
      <c r="I1097" s="6018">
        <f t="shared" si="120"/>
        <v>0</v>
      </c>
      <c r="J1097" s="6019">
        <v>640</v>
      </c>
      <c r="K1097" s="1732"/>
      <c r="L1097" s="6018">
        <v>54375</v>
      </c>
      <c r="W1097" s="6018">
        <v>54350</v>
      </c>
      <c r="X1097" s="6019">
        <v>54400</v>
      </c>
      <c r="Y1097" s="6018">
        <v>0</v>
      </c>
      <c r="Z1097" s="6018">
        <v>0</v>
      </c>
      <c r="AA1097" s="6018">
        <v>0</v>
      </c>
      <c r="AB1097" s="6019">
        <v>0</v>
      </c>
      <c r="AC1097" s="6018">
        <v>0</v>
      </c>
      <c r="AD1097" s="6018">
        <v>0</v>
      </c>
      <c r="AE1097" s="6018">
        <v>0</v>
      </c>
      <c r="AF1097" s="6019">
        <v>640</v>
      </c>
    </row>
    <row r="1098" spans="1:32" ht="13.5">
      <c r="A1098" s="6018">
        <v>54400</v>
      </c>
      <c r="B1098" s="6019">
        <v>54450</v>
      </c>
      <c r="C1098" s="6020">
        <f t="shared" si="121"/>
        <v>0</v>
      </c>
      <c r="D1098" s="6018">
        <f t="shared" si="122"/>
        <v>0</v>
      </c>
      <c r="E1098" s="6018">
        <f t="shared" si="123"/>
        <v>0</v>
      </c>
      <c r="F1098" s="6019">
        <f t="shared" si="124"/>
        <v>0</v>
      </c>
      <c r="G1098" s="6020">
        <f t="shared" si="118"/>
        <v>0</v>
      </c>
      <c r="H1098" s="6018">
        <f t="shared" si="119"/>
        <v>0</v>
      </c>
      <c r="I1098" s="6018">
        <f t="shared" si="120"/>
        <v>0</v>
      </c>
      <c r="J1098" s="6019">
        <v>630</v>
      </c>
      <c r="K1098" s="1732"/>
      <c r="L1098" s="6018">
        <v>54425</v>
      </c>
      <c r="W1098" s="6018">
        <v>54400</v>
      </c>
      <c r="X1098" s="6019">
        <v>54450</v>
      </c>
      <c r="Y1098" s="6018">
        <v>0</v>
      </c>
      <c r="Z1098" s="6018">
        <v>0</v>
      </c>
      <c r="AA1098" s="6018">
        <v>0</v>
      </c>
      <c r="AB1098" s="6019">
        <v>0</v>
      </c>
      <c r="AC1098" s="6018">
        <v>0</v>
      </c>
      <c r="AD1098" s="6018">
        <v>0</v>
      </c>
      <c r="AE1098" s="6018">
        <v>0</v>
      </c>
      <c r="AF1098" s="6019">
        <v>630</v>
      </c>
    </row>
    <row r="1099" spans="1:32" ht="13.5">
      <c r="A1099" s="6018">
        <v>54450</v>
      </c>
      <c r="B1099" s="6019">
        <v>54500</v>
      </c>
      <c r="C1099" s="6020">
        <f t="shared" si="121"/>
        <v>0</v>
      </c>
      <c r="D1099" s="6018">
        <f t="shared" si="122"/>
        <v>0</v>
      </c>
      <c r="E1099" s="6018">
        <f t="shared" si="123"/>
        <v>0</v>
      </c>
      <c r="F1099" s="6019">
        <f t="shared" si="124"/>
        <v>0</v>
      </c>
      <c r="G1099" s="6020">
        <f t="shared" si="118"/>
        <v>0</v>
      </c>
      <c r="H1099" s="6018">
        <f t="shared" si="119"/>
        <v>0</v>
      </c>
      <c r="I1099" s="6018">
        <f t="shared" si="120"/>
        <v>0</v>
      </c>
      <c r="J1099" s="6019">
        <v>619</v>
      </c>
      <c r="K1099" s="1732"/>
      <c r="L1099" s="6018">
        <v>54475</v>
      </c>
      <c r="W1099" s="6018">
        <v>54450</v>
      </c>
      <c r="X1099" s="6019">
        <v>54500</v>
      </c>
      <c r="Y1099" s="6018">
        <v>0</v>
      </c>
      <c r="Z1099" s="6018">
        <v>0</v>
      </c>
      <c r="AA1099" s="6018">
        <v>0</v>
      </c>
      <c r="AB1099" s="6019">
        <v>0</v>
      </c>
      <c r="AC1099" s="6018">
        <v>0</v>
      </c>
      <c r="AD1099" s="6018">
        <v>0</v>
      </c>
      <c r="AE1099" s="6018">
        <v>0</v>
      </c>
      <c r="AF1099" s="6019">
        <v>619</v>
      </c>
    </row>
    <row r="1100" spans="1:32" ht="13.5">
      <c r="A1100" s="6018">
        <v>54500</v>
      </c>
      <c r="B1100" s="6019">
        <v>54550</v>
      </c>
      <c r="C1100" s="6020">
        <f t="shared" si="121"/>
        <v>0</v>
      </c>
      <c r="D1100" s="6018">
        <f t="shared" si="122"/>
        <v>0</v>
      </c>
      <c r="E1100" s="6018">
        <f t="shared" si="123"/>
        <v>0</v>
      </c>
      <c r="F1100" s="6019">
        <f t="shared" si="124"/>
        <v>0</v>
      </c>
      <c r="G1100" s="6020">
        <f t="shared" si="118"/>
        <v>0</v>
      </c>
      <c r="H1100" s="6018">
        <f t="shared" si="119"/>
        <v>0</v>
      </c>
      <c r="I1100" s="6018">
        <f t="shared" si="120"/>
        <v>0</v>
      </c>
      <c r="J1100" s="6019">
        <v>609</v>
      </c>
      <c r="K1100" s="1732"/>
      <c r="L1100" s="6018">
        <v>54525</v>
      </c>
      <c r="W1100" s="6018">
        <v>54500</v>
      </c>
      <c r="X1100" s="6019">
        <v>54550</v>
      </c>
      <c r="Y1100" s="6018">
        <v>0</v>
      </c>
      <c r="Z1100" s="6018">
        <v>0</v>
      </c>
      <c r="AA1100" s="6018">
        <v>0</v>
      </c>
      <c r="AB1100" s="6019">
        <v>0</v>
      </c>
      <c r="AC1100" s="6018">
        <v>0</v>
      </c>
      <c r="AD1100" s="6018">
        <v>0</v>
      </c>
      <c r="AE1100" s="6018">
        <v>0</v>
      </c>
      <c r="AF1100" s="6019">
        <v>609</v>
      </c>
    </row>
    <row r="1101" spans="1:32" ht="13.5">
      <c r="A1101" s="6018">
        <v>54550</v>
      </c>
      <c r="B1101" s="6019">
        <v>54600</v>
      </c>
      <c r="C1101" s="6020">
        <f t="shared" si="121"/>
        <v>0</v>
      </c>
      <c r="D1101" s="6018">
        <f t="shared" si="122"/>
        <v>0</v>
      </c>
      <c r="E1101" s="6018">
        <f t="shared" si="123"/>
        <v>0</v>
      </c>
      <c r="F1101" s="6019">
        <f t="shared" si="124"/>
        <v>0</v>
      </c>
      <c r="G1101" s="6020">
        <f t="shared" si="118"/>
        <v>0</v>
      </c>
      <c r="H1101" s="6018">
        <f t="shared" si="119"/>
        <v>0</v>
      </c>
      <c r="I1101" s="6018">
        <f t="shared" si="120"/>
        <v>0</v>
      </c>
      <c r="J1101" s="6019">
        <v>598</v>
      </c>
      <c r="K1101" s="1732"/>
      <c r="L1101" s="6018">
        <v>54575</v>
      </c>
      <c r="W1101" s="6018">
        <v>54550</v>
      </c>
      <c r="X1101" s="6019">
        <v>54600</v>
      </c>
      <c r="Y1101" s="6018">
        <v>0</v>
      </c>
      <c r="Z1101" s="6018">
        <v>0</v>
      </c>
      <c r="AA1101" s="6018">
        <v>0</v>
      </c>
      <c r="AB1101" s="6019">
        <v>0</v>
      </c>
      <c r="AC1101" s="6018">
        <v>0</v>
      </c>
      <c r="AD1101" s="6018">
        <v>0</v>
      </c>
      <c r="AE1101" s="6018">
        <v>0</v>
      </c>
      <c r="AF1101" s="6019">
        <v>598</v>
      </c>
    </row>
    <row r="1102" spans="1:32" ht="13.5">
      <c r="A1102" s="6018">
        <v>54600</v>
      </c>
      <c r="B1102" s="6019">
        <v>54650</v>
      </c>
      <c r="C1102" s="6020">
        <f t="shared" si="121"/>
        <v>0</v>
      </c>
      <c r="D1102" s="6018">
        <f t="shared" si="122"/>
        <v>0</v>
      </c>
      <c r="E1102" s="6018">
        <f t="shared" si="123"/>
        <v>0</v>
      </c>
      <c r="F1102" s="6019">
        <f t="shared" si="124"/>
        <v>0</v>
      </c>
      <c r="G1102" s="6020">
        <f t="shared" si="118"/>
        <v>0</v>
      </c>
      <c r="H1102" s="6018">
        <f t="shared" si="119"/>
        <v>0</v>
      </c>
      <c r="I1102" s="6018">
        <f t="shared" si="120"/>
        <v>0</v>
      </c>
      <c r="J1102" s="6019">
        <v>587</v>
      </c>
      <c r="K1102" s="1732"/>
      <c r="L1102" s="6018">
        <v>54625</v>
      </c>
      <c r="W1102" s="6018">
        <v>54600</v>
      </c>
      <c r="X1102" s="6019">
        <v>54650</v>
      </c>
      <c r="Y1102" s="6018">
        <v>0</v>
      </c>
      <c r="Z1102" s="6018">
        <v>0</v>
      </c>
      <c r="AA1102" s="6018">
        <v>0</v>
      </c>
      <c r="AB1102" s="6019">
        <v>0</v>
      </c>
      <c r="AC1102" s="6018">
        <v>0</v>
      </c>
      <c r="AD1102" s="6018">
        <v>0</v>
      </c>
      <c r="AE1102" s="6018">
        <v>0</v>
      </c>
      <c r="AF1102" s="6019">
        <v>587</v>
      </c>
    </row>
    <row r="1103" spans="1:32" ht="13.5">
      <c r="A1103" s="6018">
        <v>54650</v>
      </c>
      <c r="B1103" s="6019">
        <v>54700</v>
      </c>
      <c r="C1103" s="6020">
        <f t="shared" si="121"/>
        <v>0</v>
      </c>
      <c r="D1103" s="6018">
        <f t="shared" si="122"/>
        <v>0</v>
      </c>
      <c r="E1103" s="6018">
        <f t="shared" si="123"/>
        <v>0</v>
      </c>
      <c r="F1103" s="6019">
        <f t="shared" si="124"/>
        <v>0</v>
      </c>
      <c r="G1103" s="6020">
        <f t="shared" si="118"/>
        <v>0</v>
      </c>
      <c r="H1103" s="6018">
        <f t="shared" si="119"/>
        <v>0</v>
      </c>
      <c r="I1103" s="6018">
        <f t="shared" si="120"/>
        <v>0</v>
      </c>
      <c r="J1103" s="6019">
        <v>577</v>
      </c>
      <c r="K1103" s="1732"/>
      <c r="L1103" s="6018">
        <v>54675</v>
      </c>
      <c r="W1103" s="6018">
        <v>54650</v>
      </c>
      <c r="X1103" s="6019">
        <v>54700</v>
      </c>
      <c r="Y1103" s="6018">
        <v>0</v>
      </c>
      <c r="Z1103" s="6018">
        <v>0</v>
      </c>
      <c r="AA1103" s="6018">
        <v>0</v>
      </c>
      <c r="AB1103" s="6019">
        <v>0</v>
      </c>
      <c r="AC1103" s="6018">
        <v>0</v>
      </c>
      <c r="AD1103" s="6018">
        <v>0</v>
      </c>
      <c r="AE1103" s="6018">
        <v>0</v>
      </c>
      <c r="AF1103" s="6019">
        <v>577</v>
      </c>
    </row>
    <row r="1104" spans="1:32" ht="13.5">
      <c r="A1104" s="6018">
        <v>54700</v>
      </c>
      <c r="B1104" s="6019">
        <v>54750</v>
      </c>
      <c r="C1104" s="6020">
        <f t="shared" si="121"/>
        <v>0</v>
      </c>
      <c r="D1104" s="6018">
        <f t="shared" si="122"/>
        <v>0</v>
      </c>
      <c r="E1104" s="6018">
        <f t="shared" si="123"/>
        <v>0</v>
      </c>
      <c r="F1104" s="6019">
        <f t="shared" si="124"/>
        <v>0</v>
      </c>
      <c r="G1104" s="6020">
        <f t="shared" si="118"/>
        <v>0</v>
      </c>
      <c r="H1104" s="6018">
        <f t="shared" si="119"/>
        <v>0</v>
      </c>
      <c r="I1104" s="6018">
        <f t="shared" si="120"/>
        <v>0</v>
      </c>
      <c r="J1104" s="6019">
        <v>566</v>
      </c>
      <c r="K1104" s="1732"/>
      <c r="L1104" s="6018">
        <v>54725</v>
      </c>
      <c r="W1104" s="6018">
        <v>54700</v>
      </c>
      <c r="X1104" s="6019">
        <v>54750</v>
      </c>
      <c r="Y1104" s="6018">
        <v>0</v>
      </c>
      <c r="Z1104" s="6018">
        <v>0</v>
      </c>
      <c r="AA1104" s="6018">
        <v>0</v>
      </c>
      <c r="AB1104" s="6019">
        <v>0</v>
      </c>
      <c r="AC1104" s="6018">
        <v>0</v>
      </c>
      <c r="AD1104" s="6018">
        <v>0</v>
      </c>
      <c r="AE1104" s="6018">
        <v>0</v>
      </c>
      <c r="AF1104" s="6019">
        <v>566</v>
      </c>
    </row>
    <row r="1105" spans="1:32" ht="13.5">
      <c r="A1105" s="6018">
        <v>54750</v>
      </c>
      <c r="B1105" s="6019">
        <v>54800</v>
      </c>
      <c r="C1105" s="6020">
        <f t="shared" si="121"/>
        <v>0</v>
      </c>
      <c r="D1105" s="6018">
        <f t="shared" si="122"/>
        <v>0</v>
      </c>
      <c r="E1105" s="6018">
        <f t="shared" si="123"/>
        <v>0</v>
      </c>
      <c r="F1105" s="6019">
        <f t="shared" si="124"/>
        <v>0</v>
      </c>
      <c r="G1105" s="6020">
        <f t="shared" si="118"/>
        <v>0</v>
      </c>
      <c r="H1105" s="6018">
        <f t="shared" si="119"/>
        <v>0</v>
      </c>
      <c r="I1105" s="6018">
        <f t="shared" si="120"/>
        <v>0</v>
      </c>
      <c r="J1105" s="6019">
        <v>556</v>
      </c>
      <c r="K1105" s="1732"/>
      <c r="L1105" s="6018">
        <v>54775</v>
      </c>
      <c r="W1105" s="6018">
        <v>54750</v>
      </c>
      <c r="X1105" s="6019">
        <v>54800</v>
      </c>
      <c r="Y1105" s="6018">
        <v>0</v>
      </c>
      <c r="Z1105" s="6018">
        <v>0</v>
      </c>
      <c r="AA1105" s="6018">
        <v>0</v>
      </c>
      <c r="AB1105" s="6019">
        <v>0</v>
      </c>
      <c r="AC1105" s="6018">
        <v>0</v>
      </c>
      <c r="AD1105" s="6018">
        <v>0</v>
      </c>
      <c r="AE1105" s="6018">
        <v>0</v>
      </c>
      <c r="AF1105" s="6019">
        <v>556</v>
      </c>
    </row>
    <row r="1106" spans="1:32" ht="13.5">
      <c r="A1106" s="6018">
        <v>54800</v>
      </c>
      <c r="B1106" s="6019">
        <v>54850</v>
      </c>
      <c r="C1106" s="6020">
        <f t="shared" si="121"/>
        <v>0</v>
      </c>
      <c r="D1106" s="6018">
        <f t="shared" si="122"/>
        <v>0</v>
      </c>
      <c r="E1106" s="6018">
        <f t="shared" si="123"/>
        <v>0</v>
      </c>
      <c r="F1106" s="6019">
        <f t="shared" si="124"/>
        <v>0</v>
      </c>
      <c r="G1106" s="6020">
        <f t="shared" si="118"/>
        <v>0</v>
      </c>
      <c r="H1106" s="6018">
        <f t="shared" si="119"/>
        <v>0</v>
      </c>
      <c r="I1106" s="6018">
        <f t="shared" si="120"/>
        <v>0</v>
      </c>
      <c r="J1106" s="6019">
        <v>545</v>
      </c>
      <c r="K1106" s="1732"/>
      <c r="L1106" s="6018">
        <v>54825</v>
      </c>
      <c r="W1106" s="6018">
        <v>54800</v>
      </c>
      <c r="X1106" s="6019">
        <v>54850</v>
      </c>
      <c r="Y1106" s="6018">
        <v>0</v>
      </c>
      <c r="Z1106" s="6018">
        <v>0</v>
      </c>
      <c r="AA1106" s="6018">
        <v>0</v>
      </c>
      <c r="AB1106" s="6019">
        <v>0</v>
      </c>
      <c r="AC1106" s="6018">
        <v>0</v>
      </c>
      <c r="AD1106" s="6018">
        <v>0</v>
      </c>
      <c r="AE1106" s="6018">
        <v>0</v>
      </c>
      <c r="AF1106" s="6019">
        <v>545</v>
      </c>
    </row>
    <row r="1107" spans="1:32" ht="13.5">
      <c r="A1107" s="6018">
        <v>54850</v>
      </c>
      <c r="B1107" s="6019">
        <v>54900</v>
      </c>
      <c r="C1107" s="6020">
        <f t="shared" si="121"/>
        <v>0</v>
      </c>
      <c r="D1107" s="6018">
        <f t="shared" si="122"/>
        <v>0</v>
      </c>
      <c r="E1107" s="6018">
        <f t="shared" si="123"/>
        <v>0</v>
      </c>
      <c r="F1107" s="6019">
        <f t="shared" si="124"/>
        <v>0</v>
      </c>
      <c r="G1107" s="6020">
        <f t="shared" si="118"/>
        <v>0</v>
      </c>
      <c r="H1107" s="6018">
        <f t="shared" si="119"/>
        <v>0</v>
      </c>
      <c r="I1107" s="6018">
        <f t="shared" si="120"/>
        <v>0</v>
      </c>
      <c r="J1107" s="6019">
        <v>535</v>
      </c>
      <c r="K1107" s="1732"/>
      <c r="L1107" s="6018">
        <v>54875</v>
      </c>
      <c r="W1107" s="6018">
        <v>54850</v>
      </c>
      <c r="X1107" s="6019">
        <v>54900</v>
      </c>
      <c r="Y1107" s="6018">
        <v>0</v>
      </c>
      <c r="Z1107" s="6018">
        <v>0</v>
      </c>
      <c r="AA1107" s="6018">
        <v>0</v>
      </c>
      <c r="AB1107" s="6019">
        <v>0</v>
      </c>
      <c r="AC1107" s="6018">
        <v>0</v>
      </c>
      <c r="AD1107" s="6018">
        <v>0</v>
      </c>
      <c r="AE1107" s="6018">
        <v>0</v>
      </c>
      <c r="AF1107" s="6019">
        <v>535</v>
      </c>
    </row>
    <row r="1108" spans="1:32" ht="13.5">
      <c r="A1108" s="6018">
        <v>54900</v>
      </c>
      <c r="B1108" s="6019">
        <v>54950</v>
      </c>
      <c r="C1108" s="6020">
        <f t="shared" si="121"/>
        <v>0</v>
      </c>
      <c r="D1108" s="6018">
        <f t="shared" si="122"/>
        <v>0</v>
      </c>
      <c r="E1108" s="6018">
        <f t="shared" si="123"/>
        <v>0</v>
      </c>
      <c r="F1108" s="6019">
        <f t="shared" si="124"/>
        <v>0</v>
      </c>
      <c r="G1108" s="6020">
        <f t="shared" si="118"/>
        <v>0</v>
      </c>
      <c r="H1108" s="6018">
        <f t="shared" si="119"/>
        <v>0</v>
      </c>
      <c r="I1108" s="6018">
        <f t="shared" si="120"/>
        <v>0</v>
      </c>
      <c r="J1108" s="6019">
        <v>524</v>
      </c>
      <c r="K1108" s="1732"/>
      <c r="L1108" s="6018">
        <v>54925</v>
      </c>
      <c r="W1108" s="6018">
        <v>54900</v>
      </c>
      <c r="X1108" s="6019">
        <v>54950</v>
      </c>
      <c r="Y1108" s="6018">
        <v>0</v>
      </c>
      <c r="Z1108" s="6018">
        <v>0</v>
      </c>
      <c r="AA1108" s="6018">
        <v>0</v>
      </c>
      <c r="AB1108" s="6019">
        <v>0</v>
      </c>
      <c r="AC1108" s="6018">
        <v>0</v>
      </c>
      <c r="AD1108" s="6018">
        <v>0</v>
      </c>
      <c r="AE1108" s="6018">
        <v>0</v>
      </c>
      <c r="AF1108" s="6019">
        <v>524</v>
      </c>
    </row>
    <row r="1109" spans="1:32" ht="13.5">
      <c r="A1109" s="6018">
        <v>54950</v>
      </c>
      <c r="B1109" s="6019">
        <v>55000</v>
      </c>
      <c r="C1109" s="6020">
        <f t="shared" si="121"/>
        <v>0</v>
      </c>
      <c r="D1109" s="6018">
        <f t="shared" si="122"/>
        <v>0</v>
      </c>
      <c r="E1109" s="6018">
        <f t="shared" si="123"/>
        <v>0</v>
      </c>
      <c r="F1109" s="6019">
        <f t="shared" si="124"/>
        <v>0</v>
      </c>
      <c r="G1109" s="6020">
        <f t="shared" si="118"/>
        <v>0</v>
      </c>
      <c r="H1109" s="6018">
        <f t="shared" si="119"/>
        <v>0</v>
      </c>
      <c r="I1109" s="6018">
        <f t="shared" si="120"/>
        <v>0</v>
      </c>
      <c r="J1109" s="6019">
        <v>514</v>
      </c>
      <c r="K1109" s="1732"/>
      <c r="L1109" s="6018">
        <v>54975</v>
      </c>
      <c r="W1109" s="6018">
        <v>54950</v>
      </c>
      <c r="X1109" s="6019">
        <v>55000</v>
      </c>
      <c r="Y1109" s="6018">
        <v>0</v>
      </c>
      <c r="Z1109" s="6018">
        <v>0</v>
      </c>
      <c r="AA1109" s="6018">
        <v>0</v>
      </c>
      <c r="AB1109" s="6019">
        <v>0</v>
      </c>
      <c r="AC1109" s="6018">
        <v>0</v>
      </c>
      <c r="AD1109" s="6018">
        <v>0</v>
      </c>
      <c r="AE1109" s="6018">
        <v>0</v>
      </c>
      <c r="AF1109" s="6019">
        <v>514</v>
      </c>
    </row>
    <row r="1110" spans="1:32" ht="13.5">
      <c r="A1110" s="6018">
        <v>55000</v>
      </c>
      <c r="B1110" s="6019">
        <v>55050</v>
      </c>
      <c r="C1110" s="6020">
        <f t="shared" si="121"/>
        <v>0</v>
      </c>
      <c r="D1110" s="6018">
        <f t="shared" si="122"/>
        <v>0</v>
      </c>
      <c r="E1110" s="6018">
        <f t="shared" si="123"/>
        <v>0</v>
      </c>
      <c r="F1110" s="6019">
        <f t="shared" si="124"/>
        <v>0</v>
      </c>
      <c r="G1110" s="6020">
        <f t="shared" si="118"/>
        <v>0</v>
      </c>
      <c r="H1110" s="6018">
        <f t="shared" si="119"/>
        <v>0</v>
      </c>
      <c r="I1110" s="6018">
        <f t="shared" si="120"/>
        <v>0</v>
      </c>
      <c r="J1110" s="6019">
        <v>503</v>
      </c>
      <c r="K1110" s="1732"/>
      <c r="L1110" s="6018">
        <v>55025</v>
      </c>
      <c r="W1110" s="6018">
        <v>55000</v>
      </c>
      <c r="X1110" s="6019">
        <v>55050</v>
      </c>
      <c r="Y1110" s="6018">
        <v>0</v>
      </c>
      <c r="Z1110" s="6018">
        <v>0</v>
      </c>
      <c r="AA1110" s="6018">
        <v>0</v>
      </c>
      <c r="AB1110" s="6019">
        <v>0</v>
      </c>
      <c r="AC1110" s="6018">
        <v>0</v>
      </c>
      <c r="AD1110" s="6018">
        <v>0</v>
      </c>
      <c r="AE1110" s="6018">
        <v>0</v>
      </c>
      <c r="AF1110" s="6019">
        <v>503</v>
      </c>
    </row>
    <row r="1111" spans="1:32" ht="13.5">
      <c r="A1111" s="6018">
        <v>55050</v>
      </c>
      <c r="B1111" s="6019">
        <v>55100</v>
      </c>
      <c r="C1111" s="6020">
        <f t="shared" si="121"/>
        <v>0</v>
      </c>
      <c r="D1111" s="6018">
        <f t="shared" si="122"/>
        <v>0</v>
      </c>
      <c r="E1111" s="6018">
        <f t="shared" si="123"/>
        <v>0</v>
      </c>
      <c r="F1111" s="6019">
        <f t="shared" si="124"/>
        <v>0</v>
      </c>
      <c r="G1111" s="6020">
        <f t="shared" si="118"/>
        <v>0</v>
      </c>
      <c r="H1111" s="6018">
        <f t="shared" si="119"/>
        <v>0</v>
      </c>
      <c r="I1111" s="6018">
        <f t="shared" si="120"/>
        <v>0</v>
      </c>
      <c r="J1111" s="6019">
        <v>493</v>
      </c>
      <c r="K1111" s="1732"/>
      <c r="L1111" s="6018">
        <v>55075</v>
      </c>
      <c r="W1111" s="6018">
        <v>55050</v>
      </c>
      <c r="X1111" s="6019">
        <v>55100</v>
      </c>
      <c r="Y1111" s="6018">
        <v>0</v>
      </c>
      <c r="Z1111" s="6018">
        <v>0</v>
      </c>
      <c r="AA1111" s="6018">
        <v>0</v>
      </c>
      <c r="AB1111" s="6019">
        <v>0</v>
      </c>
      <c r="AC1111" s="6018">
        <v>0</v>
      </c>
      <c r="AD1111" s="6018">
        <v>0</v>
      </c>
      <c r="AE1111" s="6018">
        <v>0</v>
      </c>
      <c r="AF1111" s="6019">
        <v>493</v>
      </c>
    </row>
    <row r="1112" spans="1:32" ht="13.5">
      <c r="A1112" s="6018">
        <v>55100</v>
      </c>
      <c r="B1112" s="6019">
        <v>55150</v>
      </c>
      <c r="C1112" s="6020">
        <f t="shared" si="121"/>
        <v>0</v>
      </c>
      <c r="D1112" s="6018">
        <f t="shared" si="122"/>
        <v>0</v>
      </c>
      <c r="E1112" s="6018">
        <f t="shared" si="123"/>
        <v>0</v>
      </c>
      <c r="F1112" s="6019">
        <f t="shared" si="124"/>
        <v>0</v>
      </c>
      <c r="G1112" s="6020">
        <f t="shared" si="118"/>
        <v>0</v>
      </c>
      <c r="H1112" s="6018">
        <f t="shared" si="119"/>
        <v>0</v>
      </c>
      <c r="I1112" s="6018">
        <f t="shared" si="120"/>
        <v>0</v>
      </c>
      <c r="J1112" s="6019">
        <v>482</v>
      </c>
      <c r="K1112" s="1732"/>
      <c r="L1112" s="6018">
        <v>55125</v>
      </c>
      <c r="W1112" s="6018">
        <v>55100</v>
      </c>
      <c r="X1112" s="6019">
        <v>55150</v>
      </c>
      <c r="Y1112" s="6018">
        <v>0</v>
      </c>
      <c r="Z1112" s="6018">
        <v>0</v>
      </c>
      <c r="AA1112" s="6018">
        <v>0</v>
      </c>
      <c r="AB1112" s="6019">
        <v>0</v>
      </c>
      <c r="AC1112" s="6018">
        <v>0</v>
      </c>
      <c r="AD1112" s="6018">
        <v>0</v>
      </c>
      <c r="AE1112" s="6018">
        <v>0</v>
      </c>
      <c r="AF1112" s="6019">
        <v>482</v>
      </c>
    </row>
    <row r="1113" spans="1:32" ht="13.5">
      <c r="A1113" s="6018">
        <v>55150</v>
      </c>
      <c r="B1113" s="6019">
        <v>55200</v>
      </c>
      <c r="C1113" s="6020">
        <f t="shared" si="121"/>
        <v>0</v>
      </c>
      <c r="D1113" s="6018">
        <f t="shared" si="122"/>
        <v>0</v>
      </c>
      <c r="E1113" s="6018">
        <f t="shared" si="123"/>
        <v>0</v>
      </c>
      <c r="F1113" s="6019">
        <f t="shared" si="124"/>
        <v>0</v>
      </c>
      <c r="G1113" s="6020">
        <f t="shared" si="118"/>
        <v>0</v>
      </c>
      <c r="H1113" s="6018">
        <f t="shared" si="119"/>
        <v>0</v>
      </c>
      <c r="I1113" s="6018">
        <f t="shared" si="120"/>
        <v>0</v>
      </c>
      <c r="J1113" s="6019">
        <v>472</v>
      </c>
      <c r="K1113" s="1732"/>
      <c r="L1113" s="6018">
        <v>55175</v>
      </c>
      <c r="W1113" s="6018">
        <v>55150</v>
      </c>
      <c r="X1113" s="6019">
        <v>55200</v>
      </c>
      <c r="Y1113" s="6018">
        <v>0</v>
      </c>
      <c r="Z1113" s="6018">
        <v>0</v>
      </c>
      <c r="AA1113" s="6018">
        <v>0</v>
      </c>
      <c r="AB1113" s="6019">
        <v>0</v>
      </c>
      <c r="AC1113" s="6018">
        <v>0</v>
      </c>
      <c r="AD1113" s="6018">
        <v>0</v>
      </c>
      <c r="AE1113" s="6018">
        <v>0</v>
      </c>
      <c r="AF1113" s="6019">
        <v>472</v>
      </c>
    </row>
    <row r="1114" spans="1:32" ht="13.5">
      <c r="A1114" s="6018">
        <v>55200</v>
      </c>
      <c r="B1114" s="6019">
        <v>55250</v>
      </c>
      <c r="C1114" s="6020">
        <f t="shared" si="121"/>
        <v>0</v>
      </c>
      <c r="D1114" s="6018">
        <f t="shared" si="122"/>
        <v>0</v>
      </c>
      <c r="E1114" s="6018">
        <f t="shared" si="123"/>
        <v>0</v>
      </c>
      <c r="F1114" s="6019">
        <f t="shared" si="124"/>
        <v>0</v>
      </c>
      <c r="G1114" s="6020">
        <f t="shared" si="118"/>
        <v>0</v>
      </c>
      <c r="H1114" s="6018">
        <f t="shared" si="119"/>
        <v>0</v>
      </c>
      <c r="I1114" s="6018">
        <f t="shared" si="120"/>
        <v>0</v>
      </c>
      <c r="J1114" s="6019">
        <v>461</v>
      </c>
      <c r="K1114" s="1732"/>
      <c r="L1114" s="6018">
        <v>55225</v>
      </c>
      <c r="W1114" s="6018">
        <v>55200</v>
      </c>
      <c r="X1114" s="6019">
        <v>55250</v>
      </c>
      <c r="Y1114" s="6018">
        <v>0</v>
      </c>
      <c r="Z1114" s="6018">
        <v>0</v>
      </c>
      <c r="AA1114" s="6018">
        <v>0</v>
      </c>
      <c r="AB1114" s="6019">
        <v>0</v>
      </c>
      <c r="AC1114" s="6018">
        <v>0</v>
      </c>
      <c r="AD1114" s="6018">
        <v>0</v>
      </c>
      <c r="AE1114" s="6018">
        <v>0</v>
      </c>
      <c r="AF1114" s="6019">
        <v>461</v>
      </c>
    </row>
    <row r="1115" spans="1:32" ht="13.5">
      <c r="A1115" s="6018">
        <v>55250</v>
      </c>
      <c r="B1115" s="6019">
        <v>55300</v>
      </c>
      <c r="C1115" s="6020">
        <f t="shared" si="121"/>
        <v>0</v>
      </c>
      <c r="D1115" s="6018">
        <f t="shared" si="122"/>
        <v>0</v>
      </c>
      <c r="E1115" s="6018">
        <f t="shared" si="123"/>
        <v>0</v>
      </c>
      <c r="F1115" s="6019">
        <f t="shared" si="124"/>
        <v>0</v>
      </c>
      <c r="G1115" s="6020">
        <f t="shared" si="118"/>
        <v>0</v>
      </c>
      <c r="H1115" s="6018">
        <f t="shared" si="119"/>
        <v>0</v>
      </c>
      <c r="I1115" s="6018">
        <f t="shared" si="120"/>
        <v>0</v>
      </c>
      <c r="J1115" s="6019">
        <v>451</v>
      </c>
      <c r="K1115" s="1732"/>
      <c r="L1115" s="6018">
        <v>55275</v>
      </c>
      <c r="W1115" s="6018">
        <v>55250</v>
      </c>
      <c r="X1115" s="6019">
        <v>55300</v>
      </c>
      <c r="Y1115" s="6018">
        <v>0</v>
      </c>
      <c r="Z1115" s="6018">
        <v>0</v>
      </c>
      <c r="AA1115" s="6018">
        <v>0</v>
      </c>
      <c r="AB1115" s="6019">
        <v>0</v>
      </c>
      <c r="AC1115" s="6018">
        <v>0</v>
      </c>
      <c r="AD1115" s="6018">
        <v>0</v>
      </c>
      <c r="AE1115" s="6018">
        <v>0</v>
      </c>
      <c r="AF1115" s="6019">
        <v>451</v>
      </c>
    </row>
    <row r="1116" spans="1:32" ht="13.5">
      <c r="A1116" s="6018">
        <v>55300</v>
      </c>
      <c r="B1116" s="6019">
        <v>55350</v>
      </c>
      <c r="C1116" s="6020">
        <f t="shared" si="121"/>
        <v>0</v>
      </c>
      <c r="D1116" s="6018">
        <f t="shared" si="122"/>
        <v>0</v>
      </c>
      <c r="E1116" s="6018">
        <f t="shared" si="123"/>
        <v>0</v>
      </c>
      <c r="F1116" s="6019">
        <f t="shared" si="124"/>
        <v>0</v>
      </c>
      <c r="G1116" s="6020">
        <f t="shared" si="118"/>
        <v>0</v>
      </c>
      <c r="H1116" s="6018">
        <f t="shared" si="119"/>
        <v>0</v>
      </c>
      <c r="I1116" s="6018">
        <f t="shared" si="120"/>
        <v>0</v>
      </c>
      <c r="J1116" s="6019">
        <v>440</v>
      </c>
      <c r="K1116" s="1732"/>
      <c r="L1116" s="6018">
        <v>55325</v>
      </c>
      <c r="W1116" s="6018">
        <v>55300</v>
      </c>
      <c r="X1116" s="6019">
        <v>55350</v>
      </c>
      <c r="Y1116" s="6018">
        <v>0</v>
      </c>
      <c r="Z1116" s="6018">
        <v>0</v>
      </c>
      <c r="AA1116" s="6018">
        <v>0</v>
      </c>
      <c r="AB1116" s="6019">
        <v>0</v>
      </c>
      <c r="AC1116" s="6018">
        <v>0</v>
      </c>
      <c r="AD1116" s="6018">
        <v>0</v>
      </c>
      <c r="AE1116" s="6018">
        <v>0</v>
      </c>
      <c r="AF1116" s="6019">
        <v>440</v>
      </c>
    </row>
    <row r="1117" spans="1:32" ht="13.5">
      <c r="A1117" s="6018">
        <v>55350</v>
      </c>
      <c r="B1117" s="6019">
        <v>55400</v>
      </c>
      <c r="C1117" s="6020">
        <f t="shared" si="121"/>
        <v>0</v>
      </c>
      <c r="D1117" s="6018">
        <f t="shared" si="122"/>
        <v>0</v>
      </c>
      <c r="E1117" s="6018">
        <f t="shared" si="123"/>
        <v>0</v>
      </c>
      <c r="F1117" s="6019">
        <f t="shared" si="124"/>
        <v>0</v>
      </c>
      <c r="G1117" s="6020">
        <f t="shared" si="118"/>
        <v>0</v>
      </c>
      <c r="H1117" s="6018">
        <f t="shared" si="119"/>
        <v>0</v>
      </c>
      <c r="I1117" s="6018">
        <f t="shared" si="120"/>
        <v>0</v>
      </c>
      <c r="J1117" s="6019">
        <v>430</v>
      </c>
      <c r="K1117" s="1732"/>
      <c r="L1117" s="6018">
        <v>55375</v>
      </c>
      <c r="W1117" s="6018">
        <v>55350</v>
      </c>
      <c r="X1117" s="6019">
        <v>55400</v>
      </c>
      <c r="Y1117" s="6018">
        <v>0</v>
      </c>
      <c r="Z1117" s="6018">
        <v>0</v>
      </c>
      <c r="AA1117" s="6018">
        <v>0</v>
      </c>
      <c r="AB1117" s="6019">
        <v>0</v>
      </c>
      <c r="AC1117" s="6018">
        <v>0</v>
      </c>
      <c r="AD1117" s="6018">
        <v>0</v>
      </c>
      <c r="AE1117" s="6018">
        <v>0</v>
      </c>
      <c r="AF1117" s="6019">
        <v>430</v>
      </c>
    </row>
    <row r="1118" spans="1:32" ht="13.5">
      <c r="A1118" s="6018">
        <v>55400</v>
      </c>
      <c r="B1118" s="6019">
        <v>55450</v>
      </c>
      <c r="C1118" s="6020">
        <f t="shared" si="121"/>
        <v>0</v>
      </c>
      <c r="D1118" s="6018">
        <f t="shared" si="122"/>
        <v>0</v>
      </c>
      <c r="E1118" s="6018">
        <f t="shared" si="123"/>
        <v>0</v>
      </c>
      <c r="F1118" s="6019">
        <f t="shared" si="124"/>
        <v>0</v>
      </c>
      <c r="G1118" s="6020">
        <f t="shared" si="118"/>
        <v>0</v>
      </c>
      <c r="H1118" s="6018">
        <f t="shared" si="119"/>
        <v>0</v>
      </c>
      <c r="I1118" s="6018">
        <f t="shared" si="120"/>
        <v>0</v>
      </c>
      <c r="J1118" s="6019">
        <v>419</v>
      </c>
      <c r="K1118" s="1732"/>
      <c r="L1118" s="6018">
        <v>55425</v>
      </c>
      <c r="W1118" s="6018">
        <v>55400</v>
      </c>
      <c r="X1118" s="6019">
        <v>55450</v>
      </c>
      <c r="Y1118" s="6018">
        <v>0</v>
      </c>
      <c r="Z1118" s="6018">
        <v>0</v>
      </c>
      <c r="AA1118" s="6018">
        <v>0</v>
      </c>
      <c r="AB1118" s="6019">
        <v>0</v>
      </c>
      <c r="AC1118" s="6018">
        <v>0</v>
      </c>
      <c r="AD1118" s="6018">
        <v>0</v>
      </c>
      <c r="AE1118" s="6018">
        <v>0</v>
      </c>
      <c r="AF1118" s="6019">
        <v>419</v>
      </c>
    </row>
    <row r="1119" spans="1:32" ht="13.5">
      <c r="A1119" s="6018">
        <v>55450</v>
      </c>
      <c r="B1119" s="6019">
        <v>55500</v>
      </c>
      <c r="C1119" s="6020">
        <f t="shared" si="121"/>
        <v>0</v>
      </c>
      <c r="D1119" s="6018">
        <f t="shared" si="122"/>
        <v>0</v>
      </c>
      <c r="E1119" s="6018">
        <f t="shared" si="123"/>
        <v>0</v>
      </c>
      <c r="F1119" s="6019">
        <f t="shared" si="124"/>
        <v>0</v>
      </c>
      <c r="G1119" s="6020">
        <f t="shared" si="118"/>
        <v>0</v>
      </c>
      <c r="H1119" s="6018">
        <f t="shared" si="119"/>
        <v>0</v>
      </c>
      <c r="I1119" s="6018">
        <f t="shared" si="120"/>
        <v>0</v>
      </c>
      <c r="J1119" s="6019">
        <v>408</v>
      </c>
      <c r="K1119" s="1732"/>
      <c r="L1119" s="6018">
        <v>55475</v>
      </c>
      <c r="W1119" s="6018">
        <v>55450</v>
      </c>
      <c r="X1119" s="6019">
        <v>55500</v>
      </c>
      <c r="Y1119" s="6018">
        <v>0</v>
      </c>
      <c r="Z1119" s="6018">
        <v>0</v>
      </c>
      <c r="AA1119" s="6018">
        <v>0</v>
      </c>
      <c r="AB1119" s="6019">
        <v>0</v>
      </c>
      <c r="AC1119" s="6018">
        <v>0</v>
      </c>
      <c r="AD1119" s="6018">
        <v>0</v>
      </c>
      <c r="AE1119" s="6018">
        <v>0</v>
      </c>
      <c r="AF1119" s="6019">
        <v>408</v>
      </c>
    </row>
    <row r="1120" spans="1:32" ht="13.5">
      <c r="A1120" s="6018">
        <v>55500</v>
      </c>
      <c r="B1120" s="6019">
        <v>55550</v>
      </c>
      <c r="C1120" s="6020">
        <f t="shared" si="121"/>
        <v>0</v>
      </c>
      <c r="D1120" s="6018">
        <f t="shared" si="122"/>
        <v>0</v>
      </c>
      <c r="E1120" s="6018">
        <f t="shared" si="123"/>
        <v>0</v>
      </c>
      <c r="F1120" s="6019">
        <f t="shared" si="124"/>
        <v>0</v>
      </c>
      <c r="G1120" s="6020">
        <f t="shared" si="118"/>
        <v>0</v>
      </c>
      <c r="H1120" s="6018">
        <f t="shared" si="119"/>
        <v>0</v>
      </c>
      <c r="I1120" s="6018">
        <f t="shared" si="120"/>
        <v>0</v>
      </c>
      <c r="J1120" s="6019">
        <v>398</v>
      </c>
      <c r="K1120" s="1732"/>
      <c r="L1120" s="6018">
        <v>55525</v>
      </c>
      <c r="W1120" s="6018">
        <v>55500</v>
      </c>
      <c r="X1120" s="6019">
        <v>55550</v>
      </c>
      <c r="Y1120" s="6018">
        <v>0</v>
      </c>
      <c r="Z1120" s="6018">
        <v>0</v>
      </c>
      <c r="AA1120" s="6018">
        <v>0</v>
      </c>
      <c r="AB1120" s="6019">
        <v>0</v>
      </c>
      <c r="AC1120" s="6018">
        <v>0</v>
      </c>
      <c r="AD1120" s="6018">
        <v>0</v>
      </c>
      <c r="AE1120" s="6018">
        <v>0</v>
      </c>
      <c r="AF1120" s="6019">
        <v>398</v>
      </c>
    </row>
    <row r="1121" spans="1:32" ht="13.5">
      <c r="A1121" s="6018">
        <v>55550</v>
      </c>
      <c r="B1121" s="6019">
        <v>55600</v>
      </c>
      <c r="C1121" s="6020">
        <f t="shared" si="121"/>
        <v>0</v>
      </c>
      <c r="D1121" s="6018">
        <f t="shared" si="122"/>
        <v>0</v>
      </c>
      <c r="E1121" s="6018">
        <f t="shared" si="123"/>
        <v>0</v>
      </c>
      <c r="F1121" s="6019">
        <f t="shared" si="124"/>
        <v>0</v>
      </c>
      <c r="G1121" s="6020">
        <f t="shared" si="118"/>
        <v>0</v>
      </c>
      <c r="H1121" s="6018">
        <f t="shared" si="119"/>
        <v>0</v>
      </c>
      <c r="I1121" s="6018">
        <f t="shared" si="120"/>
        <v>0</v>
      </c>
      <c r="J1121" s="6019">
        <v>387</v>
      </c>
      <c r="K1121" s="1732"/>
      <c r="L1121" s="6018">
        <v>55575</v>
      </c>
      <c r="W1121" s="6018">
        <v>55550</v>
      </c>
      <c r="X1121" s="6019">
        <v>55600</v>
      </c>
      <c r="Y1121" s="6018">
        <v>0</v>
      </c>
      <c r="Z1121" s="6018">
        <v>0</v>
      </c>
      <c r="AA1121" s="6018">
        <v>0</v>
      </c>
      <c r="AB1121" s="6019">
        <v>0</v>
      </c>
      <c r="AC1121" s="6018">
        <v>0</v>
      </c>
      <c r="AD1121" s="6018">
        <v>0</v>
      </c>
      <c r="AE1121" s="6018">
        <v>0</v>
      </c>
      <c r="AF1121" s="6019">
        <v>387</v>
      </c>
    </row>
    <row r="1122" spans="1:32" ht="13.5">
      <c r="A1122" s="6018">
        <v>55600</v>
      </c>
      <c r="B1122" s="6019">
        <v>55650</v>
      </c>
      <c r="C1122" s="6020">
        <f t="shared" si="121"/>
        <v>0</v>
      </c>
      <c r="D1122" s="6018">
        <f t="shared" si="122"/>
        <v>0</v>
      </c>
      <c r="E1122" s="6018">
        <f t="shared" si="123"/>
        <v>0</v>
      </c>
      <c r="F1122" s="6019">
        <f t="shared" si="124"/>
        <v>0</v>
      </c>
      <c r="G1122" s="6020">
        <f t="shared" si="118"/>
        <v>0</v>
      </c>
      <c r="H1122" s="6018">
        <f t="shared" si="119"/>
        <v>0</v>
      </c>
      <c r="I1122" s="6018">
        <f t="shared" si="120"/>
        <v>0</v>
      </c>
      <c r="J1122" s="6019">
        <v>377</v>
      </c>
      <c r="K1122" s="1732"/>
      <c r="L1122" s="6018">
        <v>55625</v>
      </c>
      <c r="W1122" s="6018">
        <v>55600</v>
      </c>
      <c r="X1122" s="6019">
        <v>55650</v>
      </c>
      <c r="Y1122" s="6018">
        <v>0</v>
      </c>
      <c r="Z1122" s="6018">
        <v>0</v>
      </c>
      <c r="AA1122" s="6018">
        <v>0</v>
      </c>
      <c r="AB1122" s="6019">
        <v>0</v>
      </c>
      <c r="AC1122" s="6018">
        <v>0</v>
      </c>
      <c r="AD1122" s="6018">
        <v>0</v>
      </c>
      <c r="AE1122" s="6018">
        <v>0</v>
      </c>
      <c r="AF1122" s="6019">
        <v>377</v>
      </c>
    </row>
    <row r="1123" spans="1:32" ht="13.5">
      <c r="A1123" s="6018">
        <v>55650</v>
      </c>
      <c r="B1123" s="6019">
        <v>55700</v>
      </c>
      <c r="C1123" s="6020">
        <f t="shared" si="121"/>
        <v>0</v>
      </c>
      <c r="D1123" s="6018">
        <f t="shared" si="122"/>
        <v>0</v>
      </c>
      <c r="E1123" s="6018">
        <f t="shared" si="123"/>
        <v>0</v>
      </c>
      <c r="F1123" s="6019">
        <f t="shared" si="124"/>
        <v>0</v>
      </c>
      <c r="G1123" s="6020">
        <f t="shared" si="118"/>
        <v>0</v>
      </c>
      <c r="H1123" s="6018">
        <f t="shared" si="119"/>
        <v>0</v>
      </c>
      <c r="I1123" s="6018">
        <f t="shared" si="120"/>
        <v>0</v>
      </c>
      <c r="J1123" s="6019">
        <v>366</v>
      </c>
      <c r="K1123" s="1732"/>
      <c r="L1123" s="6018">
        <v>55675</v>
      </c>
      <c r="W1123" s="6018">
        <v>55650</v>
      </c>
      <c r="X1123" s="6019">
        <v>55700</v>
      </c>
      <c r="Y1123" s="6018">
        <v>0</v>
      </c>
      <c r="Z1123" s="6018">
        <v>0</v>
      </c>
      <c r="AA1123" s="6018">
        <v>0</v>
      </c>
      <c r="AB1123" s="6019">
        <v>0</v>
      </c>
      <c r="AC1123" s="6018">
        <v>0</v>
      </c>
      <c r="AD1123" s="6018">
        <v>0</v>
      </c>
      <c r="AE1123" s="6018">
        <v>0</v>
      </c>
      <c r="AF1123" s="6019">
        <v>366</v>
      </c>
    </row>
    <row r="1124" spans="1:32" ht="13.5">
      <c r="A1124" s="6018">
        <v>55700</v>
      </c>
      <c r="B1124" s="6019">
        <v>55750</v>
      </c>
      <c r="C1124" s="6020">
        <f t="shared" si="121"/>
        <v>0</v>
      </c>
      <c r="D1124" s="6018">
        <f t="shared" si="122"/>
        <v>0</v>
      </c>
      <c r="E1124" s="6018">
        <f t="shared" si="123"/>
        <v>0</v>
      </c>
      <c r="F1124" s="6019">
        <f t="shared" si="124"/>
        <v>0</v>
      </c>
      <c r="G1124" s="6020">
        <f t="shared" si="118"/>
        <v>0</v>
      </c>
      <c r="H1124" s="6018">
        <f t="shared" si="119"/>
        <v>0</v>
      </c>
      <c r="I1124" s="6018">
        <f t="shared" si="120"/>
        <v>0</v>
      </c>
      <c r="J1124" s="6019">
        <v>356</v>
      </c>
      <c r="K1124" s="1732"/>
      <c r="L1124" s="6018">
        <v>55725</v>
      </c>
      <c r="W1124" s="6018">
        <v>55700</v>
      </c>
      <c r="X1124" s="6019">
        <v>55750</v>
      </c>
      <c r="Y1124" s="6018">
        <v>0</v>
      </c>
      <c r="Z1124" s="6018">
        <v>0</v>
      </c>
      <c r="AA1124" s="6018">
        <v>0</v>
      </c>
      <c r="AB1124" s="6019">
        <v>0</v>
      </c>
      <c r="AC1124" s="6018">
        <v>0</v>
      </c>
      <c r="AD1124" s="6018">
        <v>0</v>
      </c>
      <c r="AE1124" s="6018">
        <v>0</v>
      </c>
      <c r="AF1124" s="6019">
        <v>356</v>
      </c>
    </row>
    <row r="1125" spans="1:32" ht="13.5">
      <c r="A1125" s="6018">
        <v>55750</v>
      </c>
      <c r="B1125" s="6019">
        <v>55800</v>
      </c>
      <c r="C1125" s="6020">
        <f t="shared" si="121"/>
        <v>0</v>
      </c>
      <c r="D1125" s="6018">
        <f t="shared" si="122"/>
        <v>0</v>
      </c>
      <c r="E1125" s="6018">
        <f t="shared" si="123"/>
        <v>0</v>
      </c>
      <c r="F1125" s="6019">
        <f t="shared" si="124"/>
        <v>0</v>
      </c>
      <c r="G1125" s="6020">
        <f t="shared" si="118"/>
        <v>0</v>
      </c>
      <c r="H1125" s="6018">
        <f t="shared" si="119"/>
        <v>0</v>
      </c>
      <c r="I1125" s="6018">
        <f t="shared" si="120"/>
        <v>0</v>
      </c>
      <c r="J1125" s="6019">
        <v>345</v>
      </c>
      <c r="K1125" s="1732"/>
      <c r="L1125" s="6018">
        <v>55775</v>
      </c>
      <c r="W1125" s="6018">
        <v>55750</v>
      </c>
      <c r="X1125" s="6019">
        <v>55800</v>
      </c>
      <c r="Y1125" s="6018">
        <v>0</v>
      </c>
      <c r="Z1125" s="6018">
        <v>0</v>
      </c>
      <c r="AA1125" s="6018">
        <v>0</v>
      </c>
      <c r="AB1125" s="6019">
        <v>0</v>
      </c>
      <c r="AC1125" s="6018">
        <v>0</v>
      </c>
      <c r="AD1125" s="6018">
        <v>0</v>
      </c>
      <c r="AE1125" s="6018">
        <v>0</v>
      </c>
      <c r="AF1125" s="6019">
        <v>345</v>
      </c>
    </row>
    <row r="1126" spans="1:32" ht="13.5">
      <c r="A1126" s="6018">
        <v>55800</v>
      </c>
      <c r="B1126" s="6019">
        <v>55850</v>
      </c>
      <c r="C1126" s="6020">
        <f t="shared" si="121"/>
        <v>0</v>
      </c>
      <c r="D1126" s="6018">
        <f t="shared" si="122"/>
        <v>0</v>
      </c>
      <c r="E1126" s="6018">
        <f t="shared" si="123"/>
        <v>0</v>
      </c>
      <c r="F1126" s="6019">
        <f t="shared" si="124"/>
        <v>0</v>
      </c>
      <c r="G1126" s="6020">
        <f t="shared" si="118"/>
        <v>0</v>
      </c>
      <c r="H1126" s="6018">
        <f t="shared" si="119"/>
        <v>0</v>
      </c>
      <c r="I1126" s="6018">
        <f t="shared" si="120"/>
        <v>0</v>
      </c>
      <c r="J1126" s="6019">
        <v>335</v>
      </c>
      <c r="K1126" s="1732"/>
      <c r="L1126" s="6018">
        <v>55825</v>
      </c>
      <c r="W1126" s="6018">
        <v>55800</v>
      </c>
      <c r="X1126" s="6019">
        <v>55850</v>
      </c>
      <c r="Y1126" s="6018">
        <v>0</v>
      </c>
      <c r="Z1126" s="6018">
        <v>0</v>
      </c>
      <c r="AA1126" s="6018">
        <v>0</v>
      </c>
      <c r="AB1126" s="6019">
        <v>0</v>
      </c>
      <c r="AC1126" s="6018">
        <v>0</v>
      </c>
      <c r="AD1126" s="6018">
        <v>0</v>
      </c>
      <c r="AE1126" s="6018">
        <v>0</v>
      </c>
      <c r="AF1126" s="6019">
        <v>335</v>
      </c>
    </row>
    <row r="1127" spans="1:32" ht="13.5">
      <c r="A1127" s="6018">
        <v>55850</v>
      </c>
      <c r="B1127" s="6019">
        <v>55900</v>
      </c>
      <c r="C1127" s="6020">
        <f t="shared" si="121"/>
        <v>0</v>
      </c>
      <c r="D1127" s="6018">
        <f t="shared" si="122"/>
        <v>0</v>
      </c>
      <c r="E1127" s="6018">
        <f t="shared" si="123"/>
        <v>0</v>
      </c>
      <c r="F1127" s="6019">
        <f t="shared" si="124"/>
        <v>0</v>
      </c>
      <c r="G1127" s="6020">
        <f t="shared" si="118"/>
        <v>0</v>
      </c>
      <c r="H1127" s="6018">
        <f t="shared" si="119"/>
        <v>0</v>
      </c>
      <c r="I1127" s="6018">
        <f t="shared" si="120"/>
        <v>0</v>
      </c>
      <c r="J1127" s="6019">
        <v>324</v>
      </c>
      <c r="K1127" s="1732"/>
      <c r="L1127" s="6018">
        <v>55875</v>
      </c>
      <c r="W1127" s="6018">
        <v>55850</v>
      </c>
      <c r="X1127" s="6019">
        <v>55900</v>
      </c>
      <c r="Y1127" s="6018">
        <v>0</v>
      </c>
      <c r="Z1127" s="6018">
        <v>0</v>
      </c>
      <c r="AA1127" s="6018">
        <v>0</v>
      </c>
      <c r="AB1127" s="6019">
        <v>0</v>
      </c>
      <c r="AC1127" s="6018">
        <v>0</v>
      </c>
      <c r="AD1127" s="6018">
        <v>0</v>
      </c>
      <c r="AE1127" s="6018">
        <v>0</v>
      </c>
      <c r="AF1127" s="6019">
        <v>324</v>
      </c>
    </row>
    <row r="1128" spans="1:32" ht="13.5">
      <c r="A1128" s="6018">
        <v>55900</v>
      </c>
      <c r="B1128" s="6019">
        <v>55950</v>
      </c>
      <c r="C1128" s="6020">
        <f t="shared" si="121"/>
        <v>0</v>
      </c>
      <c r="D1128" s="6018">
        <f t="shared" si="122"/>
        <v>0</v>
      </c>
      <c r="E1128" s="6018">
        <f t="shared" si="123"/>
        <v>0</v>
      </c>
      <c r="F1128" s="6019">
        <f t="shared" si="124"/>
        <v>0</v>
      </c>
      <c r="G1128" s="6020">
        <f t="shared" si="118"/>
        <v>0</v>
      </c>
      <c r="H1128" s="6018">
        <f t="shared" si="119"/>
        <v>0</v>
      </c>
      <c r="I1128" s="6018">
        <f t="shared" si="120"/>
        <v>0</v>
      </c>
      <c r="J1128" s="6019">
        <v>314</v>
      </c>
      <c r="K1128" s="1732"/>
      <c r="L1128" s="6018">
        <v>55925</v>
      </c>
      <c r="W1128" s="6018">
        <v>55900</v>
      </c>
      <c r="X1128" s="6019">
        <v>55950</v>
      </c>
      <c r="Y1128" s="6018">
        <v>0</v>
      </c>
      <c r="Z1128" s="6018">
        <v>0</v>
      </c>
      <c r="AA1128" s="6018">
        <v>0</v>
      </c>
      <c r="AB1128" s="6019">
        <v>0</v>
      </c>
      <c r="AC1128" s="6018">
        <v>0</v>
      </c>
      <c r="AD1128" s="6018">
        <v>0</v>
      </c>
      <c r="AE1128" s="6018">
        <v>0</v>
      </c>
      <c r="AF1128" s="6019">
        <v>314</v>
      </c>
    </row>
    <row r="1129" spans="1:32" ht="13.5">
      <c r="A1129" s="6018">
        <v>55950</v>
      </c>
      <c r="B1129" s="6019">
        <v>56000</v>
      </c>
      <c r="C1129" s="6020">
        <f t="shared" si="121"/>
        <v>0</v>
      </c>
      <c r="D1129" s="6018">
        <f t="shared" si="122"/>
        <v>0</v>
      </c>
      <c r="E1129" s="6018">
        <f t="shared" si="123"/>
        <v>0</v>
      </c>
      <c r="F1129" s="6019">
        <f t="shared" si="124"/>
        <v>0</v>
      </c>
      <c r="G1129" s="6020">
        <f t="shared" si="118"/>
        <v>0</v>
      </c>
      <c r="H1129" s="6018">
        <f t="shared" si="119"/>
        <v>0</v>
      </c>
      <c r="I1129" s="6018">
        <f t="shared" si="120"/>
        <v>0</v>
      </c>
      <c r="J1129" s="6019">
        <v>303</v>
      </c>
      <c r="K1129" s="1732"/>
      <c r="L1129" s="6018">
        <v>55975</v>
      </c>
      <c r="W1129" s="6018">
        <v>55950</v>
      </c>
      <c r="X1129" s="6019">
        <v>56000</v>
      </c>
      <c r="Y1129" s="6018">
        <v>0</v>
      </c>
      <c r="Z1129" s="6018">
        <v>0</v>
      </c>
      <c r="AA1129" s="6018">
        <v>0</v>
      </c>
      <c r="AB1129" s="6019">
        <v>0</v>
      </c>
      <c r="AC1129" s="6018">
        <v>0</v>
      </c>
      <c r="AD1129" s="6018">
        <v>0</v>
      </c>
      <c r="AE1129" s="6018">
        <v>0</v>
      </c>
      <c r="AF1129" s="6019">
        <v>303</v>
      </c>
    </row>
    <row r="1130" spans="1:32" ht="13.5">
      <c r="A1130" s="6018">
        <v>56000</v>
      </c>
      <c r="B1130" s="6019">
        <v>56050</v>
      </c>
      <c r="C1130" s="6020">
        <f t="shared" si="121"/>
        <v>0</v>
      </c>
      <c r="D1130" s="6018">
        <f t="shared" si="122"/>
        <v>0</v>
      </c>
      <c r="E1130" s="6018">
        <f t="shared" si="123"/>
        <v>0</v>
      </c>
      <c r="F1130" s="6019">
        <f t="shared" si="124"/>
        <v>0</v>
      </c>
      <c r="G1130" s="6020">
        <f t="shared" si="118"/>
        <v>0</v>
      </c>
      <c r="H1130" s="6018">
        <f t="shared" si="119"/>
        <v>0</v>
      </c>
      <c r="I1130" s="6018">
        <f t="shared" si="120"/>
        <v>0</v>
      </c>
      <c r="J1130" s="6019">
        <v>293</v>
      </c>
      <c r="K1130" s="1732"/>
      <c r="L1130" s="6018">
        <v>56025</v>
      </c>
      <c r="W1130" s="6018">
        <v>56000</v>
      </c>
      <c r="X1130" s="6019">
        <v>56050</v>
      </c>
      <c r="Y1130" s="6018">
        <v>0</v>
      </c>
      <c r="Z1130" s="6018">
        <v>0</v>
      </c>
      <c r="AA1130" s="6018">
        <v>0</v>
      </c>
      <c r="AB1130" s="6019">
        <v>0</v>
      </c>
      <c r="AC1130" s="6018">
        <v>0</v>
      </c>
      <c r="AD1130" s="6018">
        <v>0</v>
      </c>
      <c r="AE1130" s="6018">
        <v>0</v>
      </c>
      <c r="AF1130" s="6019">
        <v>293</v>
      </c>
    </row>
    <row r="1131" spans="1:32" ht="13.5">
      <c r="A1131" s="6018">
        <v>56050</v>
      </c>
      <c r="B1131" s="6019">
        <v>56100</v>
      </c>
      <c r="C1131" s="6020">
        <f t="shared" si="121"/>
        <v>0</v>
      </c>
      <c r="D1131" s="6018">
        <f t="shared" si="122"/>
        <v>0</v>
      </c>
      <c r="E1131" s="6018">
        <f t="shared" si="123"/>
        <v>0</v>
      </c>
      <c r="F1131" s="6019">
        <f t="shared" si="124"/>
        <v>0</v>
      </c>
      <c r="G1131" s="6020">
        <f t="shared" si="118"/>
        <v>0</v>
      </c>
      <c r="H1131" s="6018">
        <f t="shared" si="119"/>
        <v>0</v>
      </c>
      <c r="I1131" s="6018">
        <f t="shared" si="120"/>
        <v>0</v>
      </c>
      <c r="J1131" s="6019">
        <v>282</v>
      </c>
      <c r="K1131" s="1732"/>
      <c r="L1131" s="6018">
        <v>56075</v>
      </c>
      <c r="W1131" s="6018">
        <v>56050</v>
      </c>
      <c r="X1131" s="6019">
        <v>56100</v>
      </c>
      <c r="Y1131" s="6018">
        <v>0</v>
      </c>
      <c r="Z1131" s="6018">
        <v>0</v>
      </c>
      <c r="AA1131" s="6018">
        <v>0</v>
      </c>
      <c r="AB1131" s="6019">
        <v>0</v>
      </c>
      <c r="AC1131" s="6018">
        <v>0</v>
      </c>
      <c r="AD1131" s="6018">
        <v>0</v>
      </c>
      <c r="AE1131" s="6018">
        <v>0</v>
      </c>
      <c r="AF1131" s="6019">
        <v>282</v>
      </c>
    </row>
    <row r="1132" spans="1:32" ht="13.5">
      <c r="A1132" s="6018">
        <v>56100</v>
      </c>
      <c r="B1132" s="6019">
        <v>56150</v>
      </c>
      <c r="C1132" s="6020">
        <f t="shared" si="121"/>
        <v>0</v>
      </c>
      <c r="D1132" s="6018">
        <f t="shared" si="122"/>
        <v>0</v>
      </c>
      <c r="E1132" s="6018">
        <f t="shared" si="123"/>
        <v>0</v>
      </c>
      <c r="F1132" s="6019">
        <f t="shared" si="124"/>
        <v>0</v>
      </c>
      <c r="G1132" s="6020">
        <f t="shared" si="118"/>
        <v>0</v>
      </c>
      <c r="H1132" s="6018">
        <f t="shared" si="119"/>
        <v>0</v>
      </c>
      <c r="I1132" s="6018">
        <f t="shared" si="120"/>
        <v>0</v>
      </c>
      <c r="J1132" s="6019">
        <v>272</v>
      </c>
      <c r="K1132" s="1732"/>
      <c r="L1132" s="6018">
        <v>56125</v>
      </c>
      <c r="W1132" s="6018">
        <v>56100</v>
      </c>
      <c r="X1132" s="6019">
        <v>56150</v>
      </c>
      <c r="Y1132" s="6018">
        <v>0</v>
      </c>
      <c r="Z1132" s="6018">
        <v>0</v>
      </c>
      <c r="AA1132" s="6018">
        <v>0</v>
      </c>
      <c r="AB1132" s="6019">
        <v>0</v>
      </c>
      <c r="AC1132" s="6018">
        <v>0</v>
      </c>
      <c r="AD1132" s="6018">
        <v>0</v>
      </c>
      <c r="AE1132" s="6018">
        <v>0</v>
      </c>
      <c r="AF1132" s="6019">
        <v>272</v>
      </c>
    </row>
    <row r="1133" spans="1:32" ht="13.5">
      <c r="A1133" s="6018">
        <v>56150</v>
      </c>
      <c r="B1133" s="6019">
        <v>56200</v>
      </c>
      <c r="C1133" s="6020">
        <f t="shared" si="121"/>
        <v>0</v>
      </c>
      <c r="D1133" s="6018">
        <f t="shared" si="122"/>
        <v>0</v>
      </c>
      <c r="E1133" s="6018">
        <f t="shared" si="123"/>
        <v>0</v>
      </c>
      <c r="F1133" s="6019">
        <f t="shared" si="124"/>
        <v>0</v>
      </c>
      <c r="G1133" s="6020">
        <f t="shared" si="118"/>
        <v>0</v>
      </c>
      <c r="H1133" s="6018">
        <f t="shared" si="119"/>
        <v>0</v>
      </c>
      <c r="I1133" s="6018">
        <f t="shared" si="120"/>
        <v>0</v>
      </c>
      <c r="J1133" s="6019">
        <v>261</v>
      </c>
      <c r="K1133" s="1732"/>
      <c r="L1133" s="6018">
        <v>56175</v>
      </c>
      <c r="W1133" s="6018">
        <v>56150</v>
      </c>
      <c r="X1133" s="6019">
        <v>56200</v>
      </c>
      <c r="Y1133" s="6018">
        <v>0</v>
      </c>
      <c r="Z1133" s="6018">
        <v>0</v>
      </c>
      <c r="AA1133" s="6018">
        <v>0</v>
      </c>
      <c r="AB1133" s="6019">
        <v>0</v>
      </c>
      <c r="AC1133" s="6018">
        <v>0</v>
      </c>
      <c r="AD1133" s="6018">
        <v>0</v>
      </c>
      <c r="AE1133" s="6018">
        <v>0</v>
      </c>
      <c r="AF1133" s="6019">
        <v>261</v>
      </c>
    </row>
    <row r="1134" spans="1:32" ht="13.5">
      <c r="A1134" s="6018">
        <v>56200</v>
      </c>
      <c r="B1134" s="6019">
        <v>56250</v>
      </c>
      <c r="C1134" s="6020">
        <f t="shared" si="121"/>
        <v>0</v>
      </c>
      <c r="D1134" s="6018">
        <f t="shared" si="122"/>
        <v>0</v>
      </c>
      <c r="E1134" s="6018">
        <f t="shared" si="123"/>
        <v>0</v>
      </c>
      <c r="F1134" s="6019">
        <f t="shared" si="124"/>
        <v>0</v>
      </c>
      <c r="G1134" s="6020">
        <f t="shared" si="118"/>
        <v>0</v>
      </c>
      <c r="H1134" s="6018">
        <f t="shared" si="119"/>
        <v>0</v>
      </c>
      <c r="I1134" s="6018">
        <f t="shared" si="120"/>
        <v>0</v>
      </c>
      <c r="J1134" s="6019">
        <v>250</v>
      </c>
      <c r="K1134" s="1732"/>
      <c r="L1134" s="6018">
        <v>56225</v>
      </c>
      <c r="W1134" s="6018">
        <v>56200</v>
      </c>
      <c r="X1134" s="6019">
        <v>56250</v>
      </c>
      <c r="Y1134" s="6018">
        <v>0</v>
      </c>
      <c r="Z1134" s="6018">
        <v>0</v>
      </c>
      <c r="AA1134" s="6018">
        <v>0</v>
      </c>
      <c r="AB1134" s="6019">
        <v>0</v>
      </c>
      <c r="AC1134" s="6018">
        <v>0</v>
      </c>
      <c r="AD1134" s="6018">
        <v>0</v>
      </c>
      <c r="AE1134" s="6018">
        <v>0</v>
      </c>
      <c r="AF1134" s="6019">
        <v>250</v>
      </c>
    </row>
    <row r="1135" spans="1:32" ht="13.5">
      <c r="A1135" s="6018">
        <v>56250</v>
      </c>
      <c r="B1135" s="6019">
        <v>56300</v>
      </c>
      <c r="C1135" s="6020">
        <f t="shared" si="121"/>
        <v>0</v>
      </c>
      <c r="D1135" s="6018">
        <f t="shared" si="122"/>
        <v>0</v>
      </c>
      <c r="E1135" s="6018">
        <f t="shared" si="123"/>
        <v>0</v>
      </c>
      <c r="F1135" s="6019">
        <f t="shared" si="124"/>
        <v>0</v>
      </c>
      <c r="G1135" s="6020">
        <f t="shared" si="118"/>
        <v>0</v>
      </c>
      <c r="H1135" s="6018">
        <f t="shared" si="119"/>
        <v>0</v>
      </c>
      <c r="I1135" s="6018">
        <f t="shared" si="120"/>
        <v>0</v>
      </c>
      <c r="J1135" s="6019">
        <v>240</v>
      </c>
      <c r="K1135" s="1732"/>
      <c r="L1135" s="6018">
        <v>56275</v>
      </c>
      <c r="W1135" s="6018">
        <v>56250</v>
      </c>
      <c r="X1135" s="6019">
        <v>56300</v>
      </c>
      <c r="Y1135" s="6018">
        <v>0</v>
      </c>
      <c r="Z1135" s="6018">
        <v>0</v>
      </c>
      <c r="AA1135" s="6018">
        <v>0</v>
      </c>
      <c r="AB1135" s="6019">
        <v>0</v>
      </c>
      <c r="AC1135" s="6018">
        <v>0</v>
      </c>
      <c r="AD1135" s="6018">
        <v>0</v>
      </c>
      <c r="AE1135" s="6018">
        <v>0</v>
      </c>
      <c r="AF1135" s="6019">
        <v>240</v>
      </c>
    </row>
    <row r="1136" spans="1:32" ht="13.5">
      <c r="A1136" s="6018">
        <v>56300</v>
      </c>
      <c r="B1136" s="6019">
        <v>56350</v>
      </c>
      <c r="C1136" s="6020">
        <f t="shared" si="121"/>
        <v>0</v>
      </c>
      <c r="D1136" s="6018">
        <f t="shared" si="122"/>
        <v>0</v>
      </c>
      <c r="E1136" s="6018">
        <f t="shared" si="123"/>
        <v>0</v>
      </c>
      <c r="F1136" s="6019">
        <f t="shared" si="124"/>
        <v>0</v>
      </c>
      <c r="G1136" s="6020">
        <f t="shared" si="118"/>
        <v>0</v>
      </c>
      <c r="H1136" s="6018">
        <f t="shared" si="119"/>
        <v>0</v>
      </c>
      <c r="I1136" s="6018">
        <f t="shared" si="120"/>
        <v>0</v>
      </c>
      <c r="J1136" s="6019">
        <v>229</v>
      </c>
      <c r="K1136" s="1732"/>
      <c r="L1136" s="6018">
        <v>56325</v>
      </c>
      <c r="W1136" s="6018">
        <v>56300</v>
      </c>
      <c r="X1136" s="6019">
        <v>56350</v>
      </c>
      <c r="Y1136" s="6018">
        <v>0</v>
      </c>
      <c r="Z1136" s="6018">
        <v>0</v>
      </c>
      <c r="AA1136" s="6018">
        <v>0</v>
      </c>
      <c r="AB1136" s="6019">
        <v>0</v>
      </c>
      <c r="AC1136" s="6018">
        <v>0</v>
      </c>
      <c r="AD1136" s="6018">
        <v>0</v>
      </c>
      <c r="AE1136" s="6018">
        <v>0</v>
      </c>
      <c r="AF1136" s="6019">
        <v>229</v>
      </c>
    </row>
    <row r="1137" spans="1:32" ht="13.5">
      <c r="A1137" s="6018">
        <v>56350</v>
      </c>
      <c r="B1137" s="6019">
        <v>56400</v>
      </c>
      <c r="C1137" s="6020">
        <f t="shared" si="121"/>
        <v>0</v>
      </c>
      <c r="D1137" s="6018">
        <f t="shared" si="122"/>
        <v>0</v>
      </c>
      <c r="E1137" s="6018">
        <f t="shared" si="123"/>
        <v>0</v>
      </c>
      <c r="F1137" s="6019">
        <f t="shared" si="124"/>
        <v>0</v>
      </c>
      <c r="G1137" s="6020">
        <f t="shared" si="118"/>
        <v>0</v>
      </c>
      <c r="H1137" s="6018">
        <f t="shared" si="119"/>
        <v>0</v>
      </c>
      <c r="I1137" s="6018">
        <f t="shared" si="120"/>
        <v>0</v>
      </c>
      <c r="J1137" s="6019">
        <v>219</v>
      </c>
      <c r="K1137" s="1732"/>
      <c r="L1137" s="6018">
        <v>56375</v>
      </c>
      <c r="W1137" s="6018">
        <v>56350</v>
      </c>
      <c r="X1137" s="6019">
        <v>56400</v>
      </c>
      <c r="Y1137" s="6018">
        <v>0</v>
      </c>
      <c r="Z1137" s="6018">
        <v>0</v>
      </c>
      <c r="AA1137" s="6018">
        <v>0</v>
      </c>
      <c r="AB1137" s="6019">
        <v>0</v>
      </c>
      <c r="AC1137" s="6018">
        <v>0</v>
      </c>
      <c r="AD1137" s="6018">
        <v>0</v>
      </c>
      <c r="AE1137" s="6018">
        <v>0</v>
      </c>
      <c r="AF1137" s="6019">
        <v>219</v>
      </c>
    </row>
    <row r="1138" spans="1:32" ht="13.5">
      <c r="A1138" s="6018">
        <v>56400</v>
      </c>
      <c r="B1138" s="6019">
        <v>56450</v>
      </c>
      <c r="C1138" s="6020">
        <f t="shared" si="121"/>
        <v>0</v>
      </c>
      <c r="D1138" s="6018">
        <f t="shared" si="122"/>
        <v>0</v>
      </c>
      <c r="E1138" s="6018">
        <f t="shared" si="123"/>
        <v>0</v>
      </c>
      <c r="F1138" s="6019">
        <f t="shared" si="124"/>
        <v>0</v>
      </c>
      <c r="G1138" s="6020">
        <f t="shared" si="118"/>
        <v>0</v>
      </c>
      <c r="H1138" s="6018">
        <f t="shared" si="119"/>
        <v>0</v>
      </c>
      <c r="I1138" s="6018">
        <f t="shared" si="120"/>
        <v>0</v>
      </c>
      <c r="J1138" s="6019">
        <v>208</v>
      </c>
      <c r="K1138" s="1732"/>
      <c r="L1138" s="6018">
        <v>56425</v>
      </c>
      <c r="W1138" s="6018">
        <v>56400</v>
      </c>
      <c r="X1138" s="6019">
        <v>56450</v>
      </c>
      <c r="Y1138" s="6018">
        <v>0</v>
      </c>
      <c r="Z1138" s="6018">
        <v>0</v>
      </c>
      <c r="AA1138" s="6018">
        <v>0</v>
      </c>
      <c r="AB1138" s="6019">
        <v>0</v>
      </c>
      <c r="AC1138" s="6018">
        <v>0</v>
      </c>
      <c r="AD1138" s="6018">
        <v>0</v>
      </c>
      <c r="AE1138" s="6018">
        <v>0</v>
      </c>
      <c r="AF1138" s="6019">
        <v>208</v>
      </c>
    </row>
    <row r="1139" spans="1:32" ht="13.5">
      <c r="A1139" s="6018">
        <v>56450</v>
      </c>
      <c r="B1139" s="6019">
        <v>56500</v>
      </c>
      <c r="C1139" s="6020">
        <f t="shared" si="121"/>
        <v>0</v>
      </c>
      <c r="D1139" s="6018">
        <f t="shared" si="122"/>
        <v>0</v>
      </c>
      <c r="E1139" s="6018">
        <f t="shared" si="123"/>
        <v>0</v>
      </c>
      <c r="F1139" s="6019">
        <f t="shared" si="124"/>
        <v>0</v>
      </c>
      <c r="G1139" s="6020">
        <f t="shared" si="118"/>
        <v>0</v>
      </c>
      <c r="H1139" s="6018">
        <f t="shared" si="119"/>
        <v>0</v>
      </c>
      <c r="I1139" s="6018">
        <f t="shared" si="120"/>
        <v>0</v>
      </c>
      <c r="J1139" s="6019">
        <v>198</v>
      </c>
      <c r="K1139" s="1732"/>
      <c r="L1139" s="6018">
        <v>56475</v>
      </c>
      <c r="W1139" s="6018">
        <v>56450</v>
      </c>
      <c r="X1139" s="6019">
        <v>56500</v>
      </c>
      <c r="Y1139" s="6018">
        <v>0</v>
      </c>
      <c r="Z1139" s="6018">
        <v>0</v>
      </c>
      <c r="AA1139" s="6018">
        <v>0</v>
      </c>
      <c r="AB1139" s="6019">
        <v>0</v>
      </c>
      <c r="AC1139" s="6018">
        <v>0</v>
      </c>
      <c r="AD1139" s="6018">
        <v>0</v>
      </c>
      <c r="AE1139" s="6018">
        <v>0</v>
      </c>
      <c r="AF1139" s="6019">
        <v>198</v>
      </c>
    </row>
    <row r="1140" spans="1:32" ht="13.5">
      <c r="A1140" s="6018">
        <v>56500</v>
      </c>
      <c r="B1140" s="6019">
        <v>56550</v>
      </c>
      <c r="C1140" s="6020">
        <f t="shared" si="121"/>
        <v>0</v>
      </c>
      <c r="D1140" s="6018">
        <f t="shared" si="122"/>
        <v>0</v>
      </c>
      <c r="E1140" s="6018">
        <f t="shared" si="123"/>
        <v>0</v>
      </c>
      <c r="F1140" s="6019">
        <f t="shared" si="124"/>
        <v>0</v>
      </c>
      <c r="G1140" s="6020">
        <f t="shared" si="118"/>
        <v>0</v>
      </c>
      <c r="H1140" s="6018">
        <f t="shared" si="119"/>
        <v>0</v>
      </c>
      <c r="I1140" s="6018">
        <f t="shared" si="120"/>
        <v>0</v>
      </c>
      <c r="J1140" s="6019">
        <v>187</v>
      </c>
      <c r="K1140" s="1732"/>
      <c r="L1140" s="6018">
        <v>56525</v>
      </c>
      <c r="W1140" s="6018">
        <v>56500</v>
      </c>
      <c r="X1140" s="6019">
        <v>56550</v>
      </c>
      <c r="Y1140" s="6018">
        <v>0</v>
      </c>
      <c r="Z1140" s="6018">
        <v>0</v>
      </c>
      <c r="AA1140" s="6018">
        <v>0</v>
      </c>
      <c r="AB1140" s="6019">
        <v>0</v>
      </c>
      <c r="AC1140" s="6018">
        <v>0</v>
      </c>
      <c r="AD1140" s="6018">
        <v>0</v>
      </c>
      <c r="AE1140" s="6018">
        <v>0</v>
      </c>
      <c r="AF1140" s="6019">
        <v>187</v>
      </c>
    </row>
    <row r="1141" spans="1:32" ht="13.5">
      <c r="A1141" s="6018">
        <v>56550</v>
      </c>
      <c r="B1141" s="6019">
        <v>56600</v>
      </c>
      <c r="C1141" s="6020">
        <f t="shared" si="121"/>
        <v>0</v>
      </c>
      <c r="D1141" s="6018">
        <f t="shared" si="122"/>
        <v>0</v>
      </c>
      <c r="E1141" s="6018">
        <f t="shared" si="123"/>
        <v>0</v>
      </c>
      <c r="F1141" s="6019">
        <f t="shared" si="124"/>
        <v>0</v>
      </c>
      <c r="G1141" s="6020">
        <f t="shared" si="118"/>
        <v>0</v>
      </c>
      <c r="H1141" s="6018">
        <f t="shared" si="119"/>
        <v>0</v>
      </c>
      <c r="I1141" s="6018">
        <f t="shared" si="120"/>
        <v>0</v>
      </c>
      <c r="J1141" s="6019">
        <v>177</v>
      </c>
      <c r="K1141" s="1732"/>
      <c r="L1141" s="6018">
        <v>56575</v>
      </c>
      <c r="W1141" s="6018">
        <v>56550</v>
      </c>
      <c r="X1141" s="6019">
        <v>56600</v>
      </c>
      <c r="Y1141" s="6018">
        <v>0</v>
      </c>
      <c r="Z1141" s="6018">
        <v>0</v>
      </c>
      <c r="AA1141" s="6018">
        <v>0</v>
      </c>
      <c r="AB1141" s="6019">
        <v>0</v>
      </c>
      <c r="AC1141" s="6018">
        <v>0</v>
      </c>
      <c r="AD1141" s="6018">
        <v>0</v>
      </c>
      <c r="AE1141" s="6018">
        <v>0</v>
      </c>
      <c r="AF1141" s="6019">
        <v>177</v>
      </c>
    </row>
    <row r="1142" spans="1:32" ht="13.5">
      <c r="A1142" s="6018">
        <v>56600</v>
      </c>
      <c r="B1142" s="6019">
        <v>56650</v>
      </c>
      <c r="C1142" s="6020">
        <f t="shared" si="121"/>
        <v>0</v>
      </c>
      <c r="D1142" s="6018">
        <f t="shared" si="122"/>
        <v>0</v>
      </c>
      <c r="E1142" s="6018">
        <f t="shared" si="123"/>
        <v>0</v>
      </c>
      <c r="F1142" s="6019">
        <f t="shared" si="124"/>
        <v>0</v>
      </c>
      <c r="G1142" s="6020">
        <f t="shared" si="118"/>
        <v>0</v>
      </c>
      <c r="H1142" s="6018">
        <f t="shared" si="119"/>
        <v>0</v>
      </c>
      <c r="I1142" s="6018">
        <f t="shared" si="120"/>
        <v>0</v>
      </c>
      <c r="J1142" s="6019">
        <v>166</v>
      </c>
      <c r="K1142" s="1732"/>
      <c r="L1142" s="6018">
        <v>56625</v>
      </c>
      <c r="W1142" s="6018">
        <v>56600</v>
      </c>
      <c r="X1142" s="6019">
        <v>56650</v>
      </c>
      <c r="Y1142" s="6018">
        <v>0</v>
      </c>
      <c r="Z1142" s="6018">
        <v>0</v>
      </c>
      <c r="AA1142" s="6018">
        <v>0</v>
      </c>
      <c r="AB1142" s="6019">
        <v>0</v>
      </c>
      <c r="AC1142" s="6018">
        <v>0</v>
      </c>
      <c r="AD1142" s="6018">
        <v>0</v>
      </c>
      <c r="AE1142" s="6018">
        <v>0</v>
      </c>
      <c r="AF1142" s="6019">
        <v>166</v>
      </c>
    </row>
    <row r="1143" spans="1:32" ht="13.5">
      <c r="A1143" s="6018">
        <v>56650</v>
      </c>
      <c r="B1143" s="6019">
        <v>56700</v>
      </c>
      <c r="C1143" s="6020">
        <f t="shared" si="121"/>
        <v>0</v>
      </c>
      <c r="D1143" s="6018">
        <f t="shared" si="122"/>
        <v>0</v>
      </c>
      <c r="E1143" s="6018">
        <f t="shared" si="123"/>
        <v>0</v>
      </c>
      <c r="F1143" s="6019">
        <f t="shared" si="124"/>
        <v>0</v>
      </c>
      <c r="G1143" s="6020">
        <f t="shared" si="118"/>
        <v>0</v>
      </c>
      <c r="H1143" s="6018">
        <f t="shared" si="119"/>
        <v>0</v>
      </c>
      <c r="I1143" s="6018">
        <f t="shared" si="120"/>
        <v>0</v>
      </c>
      <c r="J1143" s="6019">
        <v>156</v>
      </c>
      <c r="K1143" s="1732"/>
      <c r="L1143" s="6018">
        <v>56675</v>
      </c>
      <c r="W1143" s="6018">
        <v>56650</v>
      </c>
      <c r="X1143" s="6019">
        <v>56700</v>
      </c>
      <c r="Y1143" s="6018">
        <v>0</v>
      </c>
      <c r="Z1143" s="6018">
        <v>0</v>
      </c>
      <c r="AA1143" s="6018">
        <v>0</v>
      </c>
      <c r="AB1143" s="6019">
        <v>0</v>
      </c>
      <c r="AC1143" s="6018">
        <v>0</v>
      </c>
      <c r="AD1143" s="6018">
        <v>0</v>
      </c>
      <c r="AE1143" s="6018">
        <v>0</v>
      </c>
      <c r="AF1143" s="6019">
        <v>156</v>
      </c>
    </row>
    <row r="1144" spans="1:32" ht="13.5">
      <c r="A1144" s="6018">
        <v>56700</v>
      </c>
      <c r="B1144" s="6019">
        <v>56750</v>
      </c>
      <c r="C1144" s="6020">
        <f t="shared" si="121"/>
        <v>0</v>
      </c>
      <c r="D1144" s="6018">
        <f t="shared" si="122"/>
        <v>0</v>
      </c>
      <c r="E1144" s="6018">
        <f t="shared" si="123"/>
        <v>0</v>
      </c>
      <c r="F1144" s="6019">
        <f t="shared" si="124"/>
        <v>0</v>
      </c>
      <c r="G1144" s="6020">
        <f t="shared" si="118"/>
        <v>0</v>
      </c>
      <c r="H1144" s="6018">
        <f t="shared" si="119"/>
        <v>0</v>
      </c>
      <c r="I1144" s="6018">
        <f t="shared" si="120"/>
        <v>0</v>
      </c>
      <c r="J1144" s="6019">
        <v>145</v>
      </c>
      <c r="K1144" s="1732"/>
      <c r="L1144" s="6018">
        <v>56725</v>
      </c>
      <c r="W1144" s="6018">
        <v>56700</v>
      </c>
      <c r="X1144" s="6019">
        <v>56750</v>
      </c>
      <c r="Y1144" s="6018">
        <v>0</v>
      </c>
      <c r="Z1144" s="6018">
        <v>0</v>
      </c>
      <c r="AA1144" s="6018">
        <v>0</v>
      </c>
      <c r="AB1144" s="6019">
        <v>0</v>
      </c>
      <c r="AC1144" s="6018">
        <v>0</v>
      </c>
      <c r="AD1144" s="6018">
        <v>0</v>
      </c>
      <c r="AE1144" s="6018">
        <v>0</v>
      </c>
      <c r="AF1144" s="6019">
        <v>145</v>
      </c>
    </row>
    <row r="1145" spans="1:32" ht="13.5">
      <c r="A1145" s="6018">
        <v>56750</v>
      </c>
      <c r="B1145" s="6019">
        <v>56800</v>
      </c>
      <c r="C1145" s="6020">
        <f t="shared" si="121"/>
        <v>0</v>
      </c>
      <c r="D1145" s="6018">
        <f t="shared" si="122"/>
        <v>0</v>
      </c>
      <c r="E1145" s="6018">
        <f t="shared" si="123"/>
        <v>0</v>
      </c>
      <c r="F1145" s="6019">
        <f t="shared" si="124"/>
        <v>0</v>
      </c>
      <c r="G1145" s="6020">
        <f t="shared" si="118"/>
        <v>0</v>
      </c>
      <c r="H1145" s="6018">
        <f t="shared" si="119"/>
        <v>0</v>
      </c>
      <c r="I1145" s="6018">
        <f t="shared" si="120"/>
        <v>0</v>
      </c>
      <c r="J1145" s="6019">
        <v>135</v>
      </c>
      <c r="K1145" s="1732"/>
      <c r="L1145" s="6018">
        <v>56775</v>
      </c>
      <c r="W1145" s="6018">
        <v>56750</v>
      </c>
      <c r="X1145" s="6019">
        <v>56800</v>
      </c>
      <c r="Y1145" s="6018">
        <v>0</v>
      </c>
      <c r="Z1145" s="6018">
        <v>0</v>
      </c>
      <c r="AA1145" s="6018">
        <v>0</v>
      </c>
      <c r="AB1145" s="6019">
        <v>0</v>
      </c>
      <c r="AC1145" s="6018">
        <v>0</v>
      </c>
      <c r="AD1145" s="6018">
        <v>0</v>
      </c>
      <c r="AE1145" s="6018">
        <v>0</v>
      </c>
      <c r="AF1145" s="6019">
        <v>135</v>
      </c>
    </row>
    <row r="1146" spans="1:32" ht="13.5">
      <c r="A1146" s="6018">
        <v>56800</v>
      </c>
      <c r="B1146" s="6019">
        <v>56850</v>
      </c>
      <c r="C1146" s="6020">
        <f t="shared" si="121"/>
        <v>0</v>
      </c>
      <c r="D1146" s="6018">
        <f t="shared" si="122"/>
        <v>0</v>
      </c>
      <c r="E1146" s="6018">
        <f t="shared" si="123"/>
        <v>0</v>
      </c>
      <c r="F1146" s="6019">
        <f t="shared" si="124"/>
        <v>0</v>
      </c>
      <c r="G1146" s="6020">
        <f t="shared" si="118"/>
        <v>0</v>
      </c>
      <c r="H1146" s="6018">
        <f t="shared" si="119"/>
        <v>0</v>
      </c>
      <c r="I1146" s="6018">
        <f t="shared" si="120"/>
        <v>0</v>
      </c>
      <c r="J1146" s="6019">
        <v>124</v>
      </c>
      <c r="K1146" s="1732"/>
      <c r="L1146" s="6018">
        <v>56825</v>
      </c>
      <c r="W1146" s="6018">
        <v>56800</v>
      </c>
      <c r="X1146" s="6019">
        <v>56850</v>
      </c>
      <c r="Y1146" s="6018">
        <v>0</v>
      </c>
      <c r="Z1146" s="6018">
        <v>0</v>
      </c>
      <c r="AA1146" s="6018">
        <v>0</v>
      </c>
      <c r="AB1146" s="6019">
        <v>0</v>
      </c>
      <c r="AC1146" s="6018">
        <v>0</v>
      </c>
      <c r="AD1146" s="6018">
        <v>0</v>
      </c>
      <c r="AE1146" s="6018">
        <v>0</v>
      </c>
      <c r="AF1146" s="6019">
        <v>124</v>
      </c>
    </row>
    <row r="1147" spans="1:32" ht="13.5">
      <c r="A1147" s="6018">
        <v>56850</v>
      </c>
      <c r="B1147" s="6019">
        <v>56900</v>
      </c>
      <c r="C1147" s="6020">
        <f t="shared" si="121"/>
        <v>0</v>
      </c>
      <c r="D1147" s="6018">
        <f t="shared" si="122"/>
        <v>0</v>
      </c>
      <c r="E1147" s="6018">
        <f t="shared" si="123"/>
        <v>0</v>
      </c>
      <c r="F1147" s="6019">
        <f t="shared" si="124"/>
        <v>0</v>
      </c>
      <c r="G1147" s="6020">
        <f t="shared" si="118"/>
        <v>0</v>
      </c>
      <c r="H1147" s="6018">
        <f t="shared" si="119"/>
        <v>0</v>
      </c>
      <c r="I1147" s="6018">
        <f t="shared" si="120"/>
        <v>0</v>
      </c>
      <c r="J1147" s="6019">
        <v>114</v>
      </c>
      <c r="K1147" s="1732"/>
      <c r="L1147" s="6018">
        <v>56875</v>
      </c>
      <c r="W1147" s="6018">
        <v>56850</v>
      </c>
      <c r="X1147" s="6019">
        <v>56900</v>
      </c>
      <c r="Y1147" s="6018">
        <v>0</v>
      </c>
      <c r="Z1147" s="6018">
        <v>0</v>
      </c>
      <c r="AA1147" s="6018">
        <v>0</v>
      </c>
      <c r="AB1147" s="6019">
        <v>0</v>
      </c>
      <c r="AC1147" s="6018">
        <v>0</v>
      </c>
      <c r="AD1147" s="6018">
        <v>0</v>
      </c>
      <c r="AE1147" s="6018">
        <v>0</v>
      </c>
      <c r="AF1147" s="6019">
        <v>114</v>
      </c>
    </row>
    <row r="1148" spans="1:32" ht="13.5">
      <c r="A1148" s="6018">
        <v>56900</v>
      </c>
      <c r="B1148" s="6019">
        <v>56950</v>
      </c>
      <c r="C1148" s="6020">
        <f t="shared" si="121"/>
        <v>0</v>
      </c>
      <c r="D1148" s="6018">
        <f t="shared" si="122"/>
        <v>0</v>
      </c>
      <c r="E1148" s="6018">
        <f t="shared" si="123"/>
        <v>0</v>
      </c>
      <c r="F1148" s="6019">
        <f t="shared" si="124"/>
        <v>0</v>
      </c>
      <c r="G1148" s="6020">
        <f t="shared" si="118"/>
        <v>0</v>
      </c>
      <c r="H1148" s="6018">
        <f t="shared" si="119"/>
        <v>0</v>
      </c>
      <c r="I1148" s="6018">
        <f t="shared" si="120"/>
        <v>0</v>
      </c>
      <c r="J1148" s="6019">
        <v>103</v>
      </c>
      <c r="K1148" s="1732"/>
      <c r="L1148" s="6018">
        <v>56925</v>
      </c>
      <c r="W1148" s="6018">
        <v>56900</v>
      </c>
      <c r="X1148" s="6019">
        <v>56950</v>
      </c>
      <c r="Y1148" s="6018">
        <v>0</v>
      </c>
      <c r="Z1148" s="6018">
        <v>0</v>
      </c>
      <c r="AA1148" s="6018">
        <v>0</v>
      </c>
      <c r="AB1148" s="6019">
        <v>0</v>
      </c>
      <c r="AC1148" s="6018">
        <v>0</v>
      </c>
      <c r="AD1148" s="6018">
        <v>0</v>
      </c>
      <c r="AE1148" s="6018">
        <v>0</v>
      </c>
      <c r="AF1148" s="6019">
        <v>103</v>
      </c>
    </row>
    <row r="1149" spans="1:32" ht="13.5">
      <c r="A1149" s="6018">
        <v>56950</v>
      </c>
      <c r="B1149" s="6019">
        <v>57000</v>
      </c>
      <c r="C1149" s="6020">
        <f t="shared" si="121"/>
        <v>0</v>
      </c>
      <c r="D1149" s="6018">
        <f t="shared" si="122"/>
        <v>0</v>
      </c>
      <c r="E1149" s="6018">
        <f t="shared" si="123"/>
        <v>0</v>
      </c>
      <c r="F1149" s="6019">
        <f t="shared" si="124"/>
        <v>0</v>
      </c>
      <c r="G1149" s="6020">
        <f t="shared" si="118"/>
        <v>0</v>
      </c>
      <c r="H1149" s="6018">
        <f t="shared" si="119"/>
        <v>0</v>
      </c>
      <c r="I1149" s="6018">
        <f t="shared" si="120"/>
        <v>0</v>
      </c>
      <c r="J1149" s="6019">
        <v>93</v>
      </c>
      <c r="K1149" s="1732"/>
      <c r="L1149" s="6018">
        <v>56975</v>
      </c>
      <c r="W1149" s="6018">
        <v>56950</v>
      </c>
      <c r="X1149" s="6019">
        <v>57000</v>
      </c>
      <c r="Y1149" s="6018">
        <v>0</v>
      </c>
      <c r="Z1149" s="6018">
        <v>0</v>
      </c>
      <c r="AA1149" s="6018">
        <v>0</v>
      </c>
      <c r="AB1149" s="6019">
        <v>0</v>
      </c>
      <c r="AC1149" s="6018">
        <v>0</v>
      </c>
      <c r="AD1149" s="6018">
        <v>0</v>
      </c>
      <c r="AE1149" s="6018">
        <v>0</v>
      </c>
      <c r="AF1149" s="6019">
        <v>93</v>
      </c>
    </row>
    <row r="1150" spans="1:32" ht="13.5">
      <c r="A1150" s="6018">
        <v>57000</v>
      </c>
      <c r="B1150" s="6019">
        <v>57050</v>
      </c>
      <c r="C1150" s="6020">
        <f t="shared" si="121"/>
        <v>0</v>
      </c>
      <c r="D1150" s="6018">
        <f t="shared" si="122"/>
        <v>0</v>
      </c>
      <c r="E1150" s="6018">
        <f t="shared" si="123"/>
        <v>0</v>
      </c>
      <c r="F1150" s="6019">
        <f t="shared" si="124"/>
        <v>0</v>
      </c>
      <c r="G1150" s="6020">
        <f t="shared" si="118"/>
        <v>0</v>
      </c>
      <c r="H1150" s="6018">
        <f t="shared" si="119"/>
        <v>0</v>
      </c>
      <c r="I1150" s="6018">
        <f t="shared" si="120"/>
        <v>0</v>
      </c>
      <c r="J1150" s="6019">
        <v>82</v>
      </c>
      <c r="K1150" s="1732"/>
      <c r="L1150" s="6018">
        <v>57025</v>
      </c>
      <c r="W1150" s="6018">
        <v>57000</v>
      </c>
      <c r="X1150" s="6019">
        <v>57050</v>
      </c>
      <c r="Y1150" s="6018">
        <v>0</v>
      </c>
      <c r="Z1150" s="6018">
        <v>0</v>
      </c>
      <c r="AA1150" s="6018">
        <v>0</v>
      </c>
      <c r="AB1150" s="6019">
        <v>0</v>
      </c>
      <c r="AC1150" s="6018">
        <v>0</v>
      </c>
      <c r="AD1150" s="6018">
        <v>0</v>
      </c>
      <c r="AE1150" s="6018">
        <v>0</v>
      </c>
      <c r="AF1150" s="6019">
        <v>82</v>
      </c>
    </row>
    <row r="1151" spans="1:32" ht="13.5">
      <c r="A1151" s="6018">
        <v>57050</v>
      </c>
      <c r="B1151" s="6019">
        <v>57100</v>
      </c>
      <c r="C1151" s="6020">
        <f t="shared" si="121"/>
        <v>0</v>
      </c>
      <c r="D1151" s="6018">
        <f t="shared" si="122"/>
        <v>0</v>
      </c>
      <c r="E1151" s="6018">
        <f t="shared" si="123"/>
        <v>0</v>
      </c>
      <c r="F1151" s="6019">
        <f t="shared" si="124"/>
        <v>0</v>
      </c>
      <c r="G1151" s="6020">
        <f t="shared" si="118"/>
        <v>0</v>
      </c>
      <c r="H1151" s="6018">
        <f t="shared" si="119"/>
        <v>0</v>
      </c>
      <c r="I1151" s="6018">
        <f t="shared" si="120"/>
        <v>0</v>
      </c>
      <c r="J1151" s="6019">
        <v>71</v>
      </c>
      <c r="K1151" s="1732"/>
      <c r="L1151" s="6018">
        <v>57075</v>
      </c>
      <c r="W1151" s="6018">
        <v>57050</v>
      </c>
      <c r="X1151" s="6019">
        <v>57100</v>
      </c>
      <c r="Y1151" s="6018">
        <v>0</v>
      </c>
      <c r="Z1151" s="6018">
        <v>0</v>
      </c>
      <c r="AA1151" s="6018">
        <v>0</v>
      </c>
      <c r="AB1151" s="6019">
        <v>0</v>
      </c>
      <c r="AC1151" s="6018">
        <v>0</v>
      </c>
      <c r="AD1151" s="6018">
        <v>0</v>
      </c>
      <c r="AE1151" s="6018">
        <v>0</v>
      </c>
      <c r="AF1151" s="6019">
        <v>71</v>
      </c>
    </row>
    <row r="1152" spans="1:32" ht="13.5">
      <c r="A1152" s="6018">
        <v>57100</v>
      </c>
      <c r="B1152" s="6019">
        <v>57150</v>
      </c>
      <c r="C1152" s="6020">
        <f t="shared" si="121"/>
        <v>0</v>
      </c>
      <c r="D1152" s="6018">
        <f t="shared" si="122"/>
        <v>0</v>
      </c>
      <c r="E1152" s="6018">
        <f t="shared" si="123"/>
        <v>0</v>
      </c>
      <c r="F1152" s="6019">
        <f t="shared" si="124"/>
        <v>0</v>
      </c>
      <c r="G1152" s="6020">
        <f t="shared" si="118"/>
        <v>0</v>
      </c>
      <c r="H1152" s="6018">
        <f t="shared" si="119"/>
        <v>0</v>
      </c>
      <c r="I1152" s="6018">
        <f t="shared" si="120"/>
        <v>0</v>
      </c>
      <c r="J1152" s="6019">
        <v>61</v>
      </c>
      <c r="K1152" s="1732"/>
      <c r="L1152" s="6018">
        <v>57125</v>
      </c>
      <c r="W1152" s="6018">
        <v>57100</v>
      </c>
      <c r="X1152" s="6019">
        <v>57150</v>
      </c>
      <c r="Y1152" s="6018">
        <v>0</v>
      </c>
      <c r="Z1152" s="6018">
        <v>0</v>
      </c>
      <c r="AA1152" s="6018">
        <v>0</v>
      </c>
      <c r="AB1152" s="6019">
        <v>0</v>
      </c>
      <c r="AC1152" s="6018">
        <v>0</v>
      </c>
      <c r="AD1152" s="6018">
        <v>0</v>
      </c>
      <c r="AE1152" s="6018">
        <v>0</v>
      </c>
      <c r="AF1152" s="6019">
        <v>61</v>
      </c>
    </row>
    <row r="1153" spans="1:32" ht="13.5">
      <c r="A1153" s="6018">
        <v>57150</v>
      </c>
      <c r="B1153" s="6019">
        <v>57200</v>
      </c>
      <c r="C1153" s="6020">
        <f t="shared" si="121"/>
        <v>0</v>
      </c>
      <c r="D1153" s="6018">
        <f t="shared" si="122"/>
        <v>0</v>
      </c>
      <c r="E1153" s="6018">
        <f t="shared" si="123"/>
        <v>0</v>
      </c>
      <c r="F1153" s="6019">
        <f t="shared" si="124"/>
        <v>0</v>
      </c>
      <c r="G1153" s="6020">
        <f t="shared" si="118"/>
        <v>0</v>
      </c>
      <c r="H1153" s="6018">
        <f t="shared" si="119"/>
        <v>0</v>
      </c>
      <c r="I1153" s="6018">
        <f t="shared" si="120"/>
        <v>0</v>
      </c>
      <c r="J1153" s="6019">
        <v>50</v>
      </c>
      <c r="K1153" s="1732"/>
      <c r="L1153" s="6018">
        <v>57175</v>
      </c>
      <c r="W1153" s="6018">
        <v>57150</v>
      </c>
      <c r="X1153" s="6019">
        <v>57200</v>
      </c>
      <c r="Y1153" s="6018">
        <v>0</v>
      </c>
      <c r="Z1153" s="6018">
        <v>0</v>
      </c>
      <c r="AA1153" s="6018">
        <v>0</v>
      </c>
      <c r="AB1153" s="6019">
        <v>0</v>
      </c>
      <c r="AC1153" s="6018">
        <v>0</v>
      </c>
      <c r="AD1153" s="6018">
        <v>0</v>
      </c>
      <c r="AE1153" s="6018">
        <v>0</v>
      </c>
      <c r="AF1153" s="6019">
        <v>50</v>
      </c>
    </row>
    <row r="1154" spans="1:32" ht="13.5">
      <c r="A1154" s="6018">
        <v>57200</v>
      </c>
      <c r="B1154" s="6019">
        <v>57250</v>
      </c>
      <c r="C1154" s="6020">
        <f t="shared" si="121"/>
        <v>0</v>
      </c>
      <c r="D1154" s="6018">
        <f t="shared" si="122"/>
        <v>0</v>
      </c>
      <c r="E1154" s="6018">
        <f t="shared" si="123"/>
        <v>0</v>
      </c>
      <c r="F1154" s="6019">
        <f t="shared" si="124"/>
        <v>0</v>
      </c>
      <c r="G1154" s="6020">
        <f t="shared" si="118"/>
        <v>0</v>
      </c>
      <c r="H1154" s="6018">
        <f t="shared" si="119"/>
        <v>0</v>
      </c>
      <c r="I1154" s="6018">
        <f t="shared" si="120"/>
        <v>0</v>
      </c>
      <c r="J1154" s="6019">
        <v>40</v>
      </c>
      <c r="K1154" s="1732"/>
      <c r="L1154" s="6018">
        <v>57225</v>
      </c>
      <c r="W1154" s="6018">
        <v>57200</v>
      </c>
      <c r="X1154" s="6019">
        <v>57250</v>
      </c>
      <c r="Y1154" s="6018">
        <v>0</v>
      </c>
      <c r="Z1154" s="6018">
        <v>0</v>
      </c>
      <c r="AA1154" s="6018">
        <v>0</v>
      </c>
      <c r="AB1154" s="6019">
        <v>0</v>
      </c>
      <c r="AC1154" s="6018">
        <v>0</v>
      </c>
      <c r="AD1154" s="6018">
        <v>0</v>
      </c>
      <c r="AE1154" s="6018">
        <v>0</v>
      </c>
      <c r="AF1154" s="6019">
        <v>40</v>
      </c>
    </row>
    <row r="1155" spans="1:32" ht="13.5">
      <c r="A1155" s="6018">
        <v>57250</v>
      </c>
      <c r="B1155" s="6019">
        <v>57300</v>
      </c>
      <c r="C1155" s="6020">
        <f t="shared" si="121"/>
        <v>0</v>
      </c>
      <c r="D1155" s="6018">
        <f t="shared" si="122"/>
        <v>0</v>
      </c>
      <c r="E1155" s="6018">
        <f t="shared" si="123"/>
        <v>0</v>
      </c>
      <c r="F1155" s="6019">
        <f t="shared" si="124"/>
        <v>0</v>
      </c>
      <c r="G1155" s="6020">
        <f t="shared" si="118"/>
        <v>0</v>
      </c>
      <c r="H1155" s="6018">
        <f t="shared" si="119"/>
        <v>0</v>
      </c>
      <c r="I1155" s="6018">
        <f t="shared" si="120"/>
        <v>0</v>
      </c>
      <c r="J1155" s="6019">
        <v>29</v>
      </c>
      <c r="K1155" s="1732"/>
      <c r="L1155" s="6018">
        <v>57275</v>
      </c>
      <c r="W1155" s="6018">
        <v>57250</v>
      </c>
      <c r="X1155" s="6019">
        <v>57300</v>
      </c>
      <c r="Y1155" s="6018">
        <v>0</v>
      </c>
      <c r="Z1155" s="6018">
        <v>0</v>
      </c>
      <c r="AA1155" s="6018">
        <v>0</v>
      </c>
      <c r="AB1155" s="6019">
        <v>0</v>
      </c>
      <c r="AC1155" s="6018">
        <v>0</v>
      </c>
      <c r="AD1155" s="6018">
        <v>0</v>
      </c>
      <c r="AE1155" s="6018">
        <v>0</v>
      </c>
      <c r="AF1155" s="6019">
        <v>29</v>
      </c>
    </row>
    <row r="1156" spans="1:32" ht="13.5">
      <c r="A1156" s="6018">
        <v>57300</v>
      </c>
      <c r="B1156" s="6019">
        <v>57350</v>
      </c>
      <c r="C1156" s="6020">
        <f t="shared" si="121"/>
        <v>0</v>
      </c>
      <c r="D1156" s="6018">
        <f t="shared" si="122"/>
        <v>0</v>
      </c>
      <c r="E1156" s="6018">
        <f t="shared" si="123"/>
        <v>0</v>
      </c>
      <c r="F1156" s="6019">
        <f t="shared" si="124"/>
        <v>0</v>
      </c>
      <c r="G1156" s="6020">
        <f t="shared" ref="G1156:I1159" si="125">IF($L1156&gt;R$5,MAX(0,R$3+ROUND((R$9*($L1156-R$5)),0)),IF($L1156&gt;R$4,R$3,ROUND($L1156*R$7,0)))</f>
        <v>0</v>
      </c>
      <c r="H1156" s="6018">
        <f t="shared" si="125"/>
        <v>0</v>
      </c>
      <c r="I1156" s="6018">
        <f t="shared" si="125"/>
        <v>0</v>
      </c>
      <c r="J1156" s="6019">
        <v>19</v>
      </c>
      <c r="K1156" s="1732"/>
      <c r="L1156" s="6018">
        <v>57325</v>
      </c>
      <c r="W1156" s="6018">
        <v>57300</v>
      </c>
      <c r="X1156" s="6019">
        <v>57350</v>
      </c>
      <c r="Y1156" s="6018">
        <v>0</v>
      </c>
      <c r="Z1156" s="6018">
        <v>0</v>
      </c>
      <c r="AA1156" s="6018">
        <v>0</v>
      </c>
      <c r="AB1156" s="6019">
        <v>0</v>
      </c>
      <c r="AC1156" s="6018">
        <v>0</v>
      </c>
      <c r="AD1156" s="6018">
        <v>0</v>
      </c>
      <c r="AE1156" s="6018">
        <v>0</v>
      </c>
      <c r="AF1156" s="6019">
        <v>19</v>
      </c>
    </row>
    <row r="1157" spans="1:32" ht="13.5">
      <c r="A1157" s="6018">
        <v>57350</v>
      </c>
      <c r="B1157" s="6019">
        <v>57400</v>
      </c>
      <c r="C1157" s="6020">
        <f t="shared" si="121"/>
        <v>0</v>
      </c>
      <c r="D1157" s="6018">
        <f t="shared" si="122"/>
        <v>0</v>
      </c>
      <c r="E1157" s="6018">
        <f t="shared" si="123"/>
        <v>0</v>
      </c>
      <c r="F1157" s="6019">
        <f t="shared" si="124"/>
        <v>0</v>
      </c>
      <c r="G1157" s="6020">
        <f t="shared" si="125"/>
        <v>0</v>
      </c>
      <c r="H1157" s="6018">
        <f t="shared" si="125"/>
        <v>0</v>
      </c>
      <c r="I1157" s="6018">
        <f t="shared" si="125"/>
        <v>0</v>
      </c>
      <c r="J1157" s="6019">
        <v>8</v>
      </c>
      <c r="K1157" s="1732"/>
      <c r="L1157" s="6018">
        <v>57375</v>
      </c>
      <c r="W1157" s="6018">
        <v>57350</v>
      </c>
      <c r="X1157" s="6019">
        <v>57400</v>
      </c>
      <c r="Y1157" s="6018">
        <v>0</v>
      </c>
      <c r="Z1157" s="6018">
        <v>0</v>
      </c>
      <c r="AA1157" s="6018">
        <v>0</v>
      </c>
      <c r="AB1157" s="6019">
        <v>0</v>
      </c>
      <c r="AC1157" s="6018">
        <v>0</v>
      </c>
      <c r="AD1157" s="6018">
        <v>0</v>
      </c>
      <c r="AE1157" s="6018">
        <v>0</v>
      </c>
      <c r="AF1157" s="6019">
        <v>8</v>
      </c>
    </row>
    <row r="1158" spans="1:32" ht="13.5">
      <c r="A1158" s="6018">
        <v>57400</v>
      </c>
      <c r="B1158" s="6019">
        <v>57413</v>
      </c>
      <c r="C1158" s="6020">
        <f t="shared" ref="C1158:F1159" si="126">IF($L1158&gt;N$5,MAX(0,N$3+ROUND((N$9*($L1158-N$5)),0)),IF($L1158&gt;N$4,N$3,ROUND($L1158*N$7,0)))</f>
        <v>0</v>
      </c>
      <c r="D1158" s="6018">
        <f t="shared" si="126"/>
        <v>0</v>
      </c>
      <c r="E1158" s="6018">
        <f t="shared" si="126"/>
        <v>0</v>
      </c>
      <c r="F1158" s="6019">
        <f t="shared" si="126"/>
        <v>0</v>
      </c>
      <c r="G1158" s="6020">
        <f t="shared" si="125"/>
        <v>0</v>
      </c>
      <c r="H1158" s="6018">
        <f t="shared" si="125"/>
        <v>0</v>
      </c>
      <c r="I1158" s="6018">
        <f t="shared" si="125"/>
        <v>0</v>
      </c>
      <c r="J1158" s="6019">
        <v>2</v>
      </c>
      <c r="K1158" s="1732"/>
      <c r="L1158" s="6018">
        <v>57406.5</v>
      </c>
      <c r="W1158" s="6018">
        <v>57400</v>
      </c>
      <c r="X1158" s="6019">
        <v>57413</v>
      </c>
      <c r="Y1158" s="6018">
        <v>0</v>
      </c>
      <c r="Z1158" s="6018">
        <v>0</v>
      </c>
      <c r="AA1158" s="6018">
        <v>0</v>
      </c>
      <c r="AB1158" s="6019">
        <v>0</v>
      </c>
      <c r="AC1158" s="6018">
        <v>0</v>
      </c>
      <c r="AD1158" s="6018">
        <v>0</v>
      </c>
      <c r="AE1158" s="6018">
        <v>0</v>
      </c>
      <c r="AF1158" s="6019">
        <v>2</v>
      </c>
    </row>
    <row r="1159" spans="1:32" ht="13.5">
      <c r="A1159" s="6018">
        <v>57414</v>
      </c>
      <c r="B1159" s="6019">
        <v>57414</v>
      </c>
      <c r="C1159" s="6020">
        <f t="shared" si="126"/>
        <v>0</v>
      </c>
      <c r="D1159" s="6018">
        <f t="shared" si="126"/>
        <v>0</v>
      </c>
      <c r="E1159" s="6018">
        <f t="shared" si="126"/>
        <v>0</v>
      </c>
      <c r="F1159" s="6019">
        <f t="shared" si="126"/>
        <v>0</v>
      </c>
      <c r="G1159" s="6020">
        <f t="shared" si="125"/>
        <v>0</v>
      </c>
      <c r="H1159" s="6018">
        <f t="shared" si="125"/>
        <v>0</v>
      </c>
      <c r="I1159" s="6018">
        <f t="shared" si="125"/>
        <v>0</v>
      </c>
      <c r="J1159" s="6019">
        <v>0</v>
      </c>
      <c r="L1159" s="6018">
        <v>57414</v>
      </c>
      <c r="W1159" s="6018">
        <v>57414</v>
      </c>
      <c r="X1159" s="6019">
        <v>57414</v>
      </c>
      <c r="Y1159" s="6018">
        <v>0</v>
      </c>
      <c r="Z1159" s="6018">
        <v>0</v>
      </c>
      <c r="AA1159" s="6018">
        <v>0</v>
      </c>
      <c r="AB1159" s="6019">
        <v>0</v>
      </c>
      <c r="AC1159" s="6018">
        <v>0</v>
      </c>
      <c r="AD1159" s="6018">
        <v>0</v>
      </c>
      <c r="AE1159" s="6018">
        <v>0</v>
      </c>
      <c r="AF1159" s="6019">
        <v>0</v>
      </c>
    </row>
  </sheetData>
  <sheetProtection password="F07E" sheet="1" objects="1" scenarios="1"/>
  <mergeCells count="8">
    <mergeCell ref="AC1:AF1"/>
    <mergeCell ref="N1:Q1"/>
    <mergeCell ref="R1:U1"/>
    <mergeCell ref="A1:B1"/>
    <mergeCell ref="C1:F1"/>
    <mergeCell ref="G1:J1"/>
    <mergeCell ref="W1:X1"/>
    <mergeCell ref="Y1:AB1"/>
  </mergeCells>
  <conditionalFormatting sqref="C3:J1159">
    <cfRule type="expression" dxfId="0" priority="1">
      <formula>C3&lt;&gt;Y3</formula>
    </cfRule>
  </conditionalFormatting>
  <pageMargins left="0.55000000000000004" right="0.61" top="0.6" bottom="0.57999999999999996" header="0.5" footer="0.5"/>
  <pageSetup scale="32" fitToHeight="0"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23">
    <pageSetUpPr fitToPage="1"/>
  </sheetPr>
  <dimension ref="A1:AE2064"/>
  <sheetViews>
    <sheetView topLeftCell="B1" zoomScaleNormal="100" workbookViewId="0">
      <pane ySplit="1" topLeftCell="A2" activePane="bottomLeft" state="frozen"/>
      <selection pane="bottomLeft" activeCell="B1" sqref="B1"/>
    </sheetView>
  </sheetViews>
  <sheetFormatPr defaultColWidth="11.7109375" defaultRowHeight="16.5"/>
  <cols>
    <col min="1" max="1" width="0" style="2486" hidden="1" customWidth="1"/>
    <col min="2" max="3" width="12.28515625" style="1852" customWidth="1"/>
    <col min="4" max="4" width="12.85546875" style="1851" bestFit="1" customWidth="1"/>
    <col min="5" max="7" width="12.28515625" style="1851" customWidth="1"/>
    <col min="8" max="8" width="6.7109375" style="2391" customWidth="1"/>
    <col min="9" max="9" width="6.7109375" style="1030" customWidth="1"/>
    <col min="10" max="10" width="13.7109375" style="1030" customWidth="1"/>
    <col min="11" max="12" width="11.7109375" style="1030" customWidth="1"/>
    <col min="13" max="13" width="7.85546875" style="1030" customWidth="1"/>
    <col min="14" max="16" width="15.5703125" style="2485" hidden="1" customWidth="1"/>
    <col min="17" max="17" width="4.28515625" style="2485" customWidth="1"/>
    <col min="18" max="18" width="4.28515625" style="2751" customWidth="1"/>
    <col min="19" max="19" width="11.7109375" style="2748"/>
    <col min="20" max="20" width="23.85546875" style="2749" customWidth="1"/>
    <col min="21" max="21" width="20.5703125" style="2750" customWidth="1"/>
    <col min="22" max="22" width="60.42578125" style="2749" customWidth="1"/>
    <col min="23" max="23" width="5.140625" style="1030" customWidth="1"/>
    <col min="24" max="25" width="5.42578125" style="1030" customWidth="1"/>
    <col min="26" max="30" width="11.7109375" style="1030" customWidth="1"/>
    <col min="31" max="16384" width="11.7109375" style="1030"/>
  </cols>
  <sheetData>
    <row r="1" spans="1:31" s="1088" customFormat="1" ht="65.25" customHeight="1" thickBot="1">
      <c r="A1" s="1087"/>
      <c r="B1" s="1087" t="s">
        <v>463</v>
      </c>
      <c r="C1" s="1087" t="s">
        <v>81</v>
      </c>
      <c r="D1" s="1087" t="s">
        <v>69</v>
      </c>
      <c r="E1" s="1087" t="s">
        <v>464</v>
      </c>
      <c r="F1" s="1087" t="s">
        <v>482</v>
      </c>
      <c r="G1" s="1087" t="s">
        <v>274</v>
      </c>
      <c r="H1" s="2390"/>
      <c r="N1" s="2484"/>
      <c r="O1" s="2484"/>
      <c r="P1" s="2484"/>
      <c r="Q1" s="2484"/>
      <c r="R1" s="2756"/>
      <c r="S1" s="4340"/>
      <c r="T1" s="4341"/>
      <c r="U1" s="4320"/>
      <c r="V1" s="4319"/>
    </row>
    <row r="2" spans="1:31" ht="17.25" thickTop="1" thickBot="1">
      <c r="A2" s="2486">
        <f>AVERAGE(B2,C2)</f>
        <v>2.5</v>
      </c>
      <c r="B2" s="2324">
        <v>0</v>
      </c>
      <c r="C2" s="2324">
        <v>5</v>
      </c>
      <c r="D2" s="2326">
        <f t="shared" ref="D2:D65" si="0">IF($A2&gt;BOTT_A4,ROUND(BASE_A4+RATE_A4*($A2-BOTT_A4),0),IF($A2&gt;BOTT_A3,ROUND(BASE_A3+RATE_A3*($A2-BOTT_A3),0),IF($A2&gt;BOTT_A2,ROUND(BASE_A2+RATE_A2*($A2-BOTT_A2),0),ROUND(RATE_A1*$A2,0))))</f>
        <v>0</v>
      </c>
      <c r="E2" s="2326">
        <f t="shared" ref="E2:E65" si="1">IF($A2&gt;BOTT_B4,ROUND(BASE_B4+RATE_B4*($A2-BOTT_B4),0),IF($A2&gt;BOTT_B3,ROUND(BASE_B3+RATE_B3*($A2-BOTT_B3),0),IF($A2&gt;BOTT_B2,ROUND(BASE_B2+RATE_B2*($A2-BOTT_B2),0),ROUND(RATE_B1*$A2,0))))</f>
        <v>0</v>
      </c>
      <c r="F2" s="2326">
        <f t="shared" ref="F2:F65" si="2">IF($A2&gt;BOTT_C4,ROUND(BASE_C4+RATE_C4*($A2-BOTT_C4),0),IF($A2&gt;BOTT_C3,ROUND(BASE_C3+RATE_C3*($A2-BOTT_C3),0),IF($A2&gt;BOTT_C2,ROUND(BASE_C2+RATE_C2*($A2-BOTT_C2),0),ROUND(RATE_C1*$A2,0))))</f>
        <v>0</v>
      </c>
      <c r="G2" s="2326">
        <f t="shared" ref="G2:G65" si="3">IF($A2&gt;BOTT_D4,ROUND(BASE_D4+RATE_D4*($A2-BOTT_D4),0),IF($A2&gt;BOTT_D3,ROUND(BASE_D3+RATE_D3*($A2-BOTT_D3),0),IF($A2&gt;BOTT_D2,ROUND(BASE_D2+RATE_D2*($A2-BOTT_D2),0),ROUND(RATE_D1*$A2,0))))</f>
        <v>0</v>
      </c>
      <c r="I2" s="4315" t="str">
        <f>TaxYear&amp;" Tax Computation Worksheet"</f>
        <v>2021 Tax Computation Worksheet</v>
      </c>
      <c r="J2" s="2322"/>
      <c r="K2" s="2322"/>
      <c r="L2" s="2322"/>
      <c r="M2" s="2323"/>
      <c r="R2" s="4321"/>
      <c r="S2" s="4322"/>
      <c r="T2" s="4323"/>
      <c r="U2" s="4324"/>
      <c r="V2" s="4323"/>
      <c r="W2" s="4325"/>
    </row>
    <row r="3" spans="1:31" ht="17.25" thickTop="1">
      <c r="A3" s="2486">
        <f t="shared" ref="A3:A66" si="4">AVERAGE(B3,C3)</f>
        <v>10</v>
      </c>
      <c r="B3" s="2324">
        <v>5</v>
      </c>
      <c r="C3" s="2324">
        <v>15</v>
      </c>
      <c r="D3" s="2326">
        <f t="shared" si="0"/>
        <v>1</v>
      </c>
      <c r="E3" s="2326">
        <f t="shared" si="1"/>
        <v>1</v>
      </c>
      <c r="F3" s="2326">
        <f t="shared" si="2"/>
        <v>1</v>
      </c>
      <c r="G3" s="2326">
        <f t="shared" si="3"/>
        <v>1</v>
      </c>
      <c r="H3" s="2392"/>
      <c r="I3" s="2312"/>
      <c r="J3" s="2331" t="s">
        <v>33</v>
      </c>
      <c r="K3" s="2331" t="s">
        <v>47</v>
      </c>
      <c r="L3" s="2331" t="s">
        <v>92</v>
      </c>
      <c r="M3" s="2313"/>
      <c r="R3" s="4326"/>
      <c r="S3" s="2207" t="s">
        <v>2001</v>
      </c>
      <c r="T3" s="4328"/>
      <c r="U3" s="4329"/>
      <c r="V3" s="4328"/>
      <c r="W3" s="4330"/>
      <c r="Y3" s="6122"/>
      <c r="Z3" s="6123" t="s">
        <v>5996</v>
      </c>
      <c r="AA3" s="6124"/>
      <c r="AB3" s="6124"/>
      <c r="AC3" s="6124"/>
      <c r="AD3" s="6124"/>
      <c r="AE3" s="6125"/>
    </row>
    <row r="4" spans="1:31">
      <c r="A4" s="2486">
        <f t="shared" si="4"/>
        <v>20</v>
      </c>
      <c r="B4" s="2324">
        <v>15</v>
      </c>
      <c r="C4" s="2324">
        <v>25</v>
      </c>
      <c r="D4" s="2326">
        <f t="shared" si="0"/>
        <v>2</v>
      </c>
      <c r="E4" s="2326">
        <f t="shared" si="1"/>
        <v>2</v>
      </c>
      <c r="F4" s="2326">
        <f t="shared" si="2"/>
        <v>2</v>
      </c>
      <c r="G4" s="2326">
        <f t="shared" si="3"/>
        <v>2</v>
      </c>
      <c r="H4" s="2392"/>
      <c r="I4" s="2314"/>
      <c r="J4" s="4834" t="s">
        <v>1884</v>
      </c>
      <c r="K4" s="2315"/>
      <c r="L4" s="2315"/>
      <c r="M4" s="2316"/>
      <c r="R4" s="4326"/>
      <c r="S4" s="4331" t="s">
        <v>1997</v>
      </c>
      <c r="T4" s="4332" t="s">
        <v>1999</v>
      </c>
      <c r="U4" s="4332" t="s">
        <v>1998</v>
      </c>
      <c r="V4" s="4328"/>
      <c r="W4" s="4330"/>
      <c r="Y4" s="6112"/>
      <c r="Z4" s="6111" t="s">
        <v>4678</v>
      </c>
      <c r="AA4" s="6113"/>
      <c r="AB4" s="6113"/>
      <c r="AC4" s="6113"/>
      <c r="AD4" s="6113"/>
      <c r="AE4" s="6114"/>
    </row>
    <row r="5" spans="1:31" thickBot="1">
      <c r="A5" s="2486">
        <f t="shared" si="4"/>
        <v>37.5</v>
      </c>
      <c r="B5" s="2324">
        <v>25</v>
      </c>
      <c r="C5" s="2324">
        <v>50</v>
      </c>
      <c r="D5" s="2326">
        <f t="shared" si="0"/>
        <v>4</v>
      </c>
      <c r="E5" s="2326">
        <f t="shared" si="1"/>
        <v>4</v>
      </c>
      <c r="F5" s="2326">
        <f t="shared" si="2"/>
        <v>4</v>
      </c>
      <c r="G5" s="2326">
        <f t="shared" si="3"/>
        <v>4</v>
      </c>
      <c r="H5" s="2392"/>
      <c r="I5" s="2314"/>
      <c r="J5" s="4328" t="s">
        <v>4385</v>
      </c>
      <c r="K5" s="2298"/>
      <c r="L5" s="2298"/>
      <c r="M5" s="2316"/>
      <c r="R5" s="4326" t="s">
        <v>143</v>
      </c>
      <c r="S5" s="2213" t="s">
        <v>2656</v>
      </c>
      <c r="T5" s="4328"/>
      <c r="U5" s="4329"/>
      <c r="V5" s="4328"/>
      <c r="W5" s="4330"/>
      <c r="Y5" s="6115"/>
      <c r="Z5" s="2057" t="s">
        <v>2583</v>
      </c>
      <c r="AA5" s="2057" t="s">
        <v>69</v>
      </c>
      <c r="AB5" s="2057" t="s">
        <v>2552</v>
      </c>
      <c r="AC5" s="2057" t="s">
        <v>458</v>
      </c>
      <c r="AD5" s="2057" t="s">
        <v>2000</v>
      </c>
      <c r="AE5" s="6116" t="s">
        <v>5997</v>
      </c>
    </row>
    <row r="6" spans="1:31" ht="17.25" thickTop="1" thickBot="1">
      <c r="A6" s="2486">
        <f t="shared" si="4"/>
        <v>62.5</v>
      </c>
      <c r="B6" s="2324">
        <v>50</v>
      </c>
      <c r="C6" s="2324">
        <v>75</v>
      </c>
      <c r="D6" s="2326">
        <f t="shared" si="0"/>
        <v>6</v>
      </c>
      <c r="E6" s="2326">
        <f t="shared" si="1"/>
        <v>6</v>
      </c>
      <c r="F6" s="2326">
        <f t="shared" si="2"/>
        <v>6</v>
      </c>
      <c r="G6" s="2326">
        <f t="shared" si="3"/>
        <v>6</v>
      </c>
      <c r="H6" s="2392"/>
      <c r="I6" s="2328">
        <v>1</v>
      </c>
      <c r="J6" s="2299" t="s">
        <v>1936</v>
      </c>
      <c r="K6" s="2307"/>
      <c r="L6" s="2300"/>
      <c r="M6" s="2316"/>
      <c r="R6" s="4326"/>
      <c r="S6" s="4318" t="s">
        <v>1992</v>
      </c>
      <c r="T6" s="4318" t="s">
        <v>1996</v>
      </c>
      <c r="U6" s="4333" t="s">
        <v>1995</v>
      </c>
      <c r="V6" s="2752" t="s">
        <v>3143</v>
      </c>
      <c r="W6" s="4330"/>
      <c r="Y6" s="6115"/>
      <c r="Z6" s="6130"/>
      <c r="AA6" s="6126">
        <f>LOOKUP(Z6,'Tax Table'!$B$2:$B$2063,'Tax Table'!$D$2:$D$2063)</f>
        <v>0</v>
      </c>
      <c r="AB6" s="6126">
        <f>LOOKUP(Z6,'Tax Table'!$B$2:$B$2063,'Tax Table'!$E$2:$E$2063)</f>
        <v>0</v>
      </c>
      <c r="AC6" s="6126">
        <f>LOOKUP(Z6,'Tax Table'!$B$2:$B$2063,'Tax Table'!$F$2:$F$2063)</f>
        <v>0</v>
      </c>
      <c r="AD6" s="6127">
        <f>LOOKUP(Z6,'Tax Table'!$B$2:$B$2063,'Tax Table'!$G$2:$G$2063)</f>
        <v>0</v>
      </c>
      <c r="AE6" s="6117" t="s">
        <v>5998</v>
      </c>
    </row>
    <row r="7" spans="1:31" thickBot="1">
      <c r="A7" s="2486">
        <f t="shared" si="4"/>
        <v>87.5</v>
      </c>
      <c r="B7" s="2324">
        <v>75</v>
      </c>
      <c r="C7" s="2324">
        <v>100</v>
      </c>
      <c r="D7" s="2326">
        <f t="shared" si="0"/>
        <v>9</v>
      </c>
      <c r="E7" s="2326">
        <f t="shared" si="1"/>
        <v>9</v>
      </c>
      <c r="F7" s="2326">
        <f t="shared" si="2"/>
        <v>9</v>
      </c>
      <c r="G7" s="2326">
        <f t="shared" si="3"/>
        <v>9</v>
      </c>
      <c r="H7" s="2392"/>
      <c r="I7" s="2328">
        <v>2</v>
      </c>
      <c r="J7" s="2301" t="s">
        <v>793</v>
      </c>
      <c r="K7" s="2308"/>
      <c r="L7" s="2302"/>
      <c r="M7" s="2316"/>
      <c r="R7" s="4326">
        <v>1</v>
      </c>
      <c r="S7" s="2988">
        <v>0.1</v>
      </c>
      <c r="T7" s="2982">
        <v>0</v>
      </c>
      <c r="U7" s="2982">
        <v>0</v>
      </c>
      <c r="V7" s="2753" t="s">
        <v>1993</v>
      </c>
      <c r="W7" s="4330"/>
      <c r="Y7" s="6115"/>
      <c r="Z7" s="6131"/>
      <c r="AA7" s="6128" t="str">
        <f>IF(Z6&lt;SectA_a3,"---",IF(Z6&lt;=SectA_a4,ROUND((Z6*(SectA_b4/100)-SectA_d4),0),IF(Z6&lt;=SectA_a5,ROUND((Z6*(SectA_b5/100)-SectA_d5),0),IF(Z6&lt;=SectA_a6,ROUND((Z6*(SectA_b6/100)-SectA_d6),0),ROUND((Z6*(SectA_b7/100)-SectA_d7),0)))))</f>
        <v>---</v>
      </c>
      <c r="AB7" s="6128" t="str">
        <f>IF(Z6&lt;SectB_a2,"---",IF(Z6&lt;=SectB_a3,ROUND((Z6*(SectB_b3/100)-SectB_d3),0),IF(Z6&lt;=SectB_a4,ROUND((Z6*(SectB_b4/100)-SectB_d4),0),IF(Z6&lt;=SectB_a5,ROUND((Z6*(SectB_b5/100)-SectB_d5),0),IF(Z6&lt;=SectB_a6,ROUND((Z6*(SectB_b6/100)-SectB_d6),0),ROUND((Z6*(SectB_b7/100)-SectB_d7),0))))))</f>
        <v>---</v>
      </c>
      <c r="AC7" s="6128" t="str">
        <f>IF(Z6&lt;SectC_a2,"---",IF(Z6&lt;=SectC_a3,ROUND((Z6*(SectC_b3/100)-SectC_d3),0),IF(Z6&lt;=SectC_a4,ROUND((Z6*(SectC_b4/100)-SectC_d4),0),IF(Z6&lt;=SectC_a5,ROUND((Z6*(SectC_b5/100)-SectC_d5),0),ROUND((Z6*(SectC_b6/100)-SectC_d6),0)))))</f>
        <v>---</v>
      </c>
      <c r="AD7" s="6129" t="str">
        <f>IF(Z6&lt;SectD_a2,"---",IF(Z6&lt;=SectD_a3,ROUND((Z6*(SectD_b3/100)-SectD_d3),0),IF(Z6&lt;=SectD_a4,ROUND((Z6*(SectD_b4/100)-SectD_d4),0),IF(Z6&lt;=SectD_a5,ROUND((Z6*(SectD_b5/100)-SectD_d5),0),IF(Z6&lt;=SectD_a6,ROUND((Z6*(SectD_b6/100)-SectD_d6),0),ROUND((Z6*(SectD_b7/100)-SectD_d7),0))))))</f>
        <v>---</v>
      </c>
      <c r="AE7" s="6117" t="s">
        <v>5999</v>
      </c>
    </row>
    <row r="8" spans="1:31" thickBot="1">
      <c r="A8" s="2486">
        <f t="shared" si="4"/>
        <v>112.5</v>
      </c>
      <c r="B8" s="2324">
        <v>100</v>
      </c>
      <c r="C8" s="2324">
        <v>125</v>
      </c>
      <c r="D8" s="2326">
        <f t="shared" si="0"/>
        <v>11</v>
      </c>
      <c r="E8" s="2326">
        <f t="shared" si="1"/>
        <v>11</v>
      </c>
      <c r="F8" s="2326">
        <f t="shared" si="2"/>
        <v>11</v>
      </c>
      <c r="G8" s="2326">
        <f t="shared" si="3"/>
        <v>11</v>
      </c>
      <c r="H8" s="2392"/>
      <c r="I8" s="2328">
        <v>3</v>
      </c>
      <c r="J8" s="2303">
        <v>100000</v>
      </c>
      <c r="K8" s="2308"/>
      <c r="L8" s="2302"/>
      <c r="M8" s="2316"/>
      <c r="R8" s="4326">
        <v>2</v>
      </c>
      <c r="S8" s="2989">
        <v>0.12</v>
      </c>
      <c r="T8" s="2983">
        <v>9950</v>
      </c>
      <c r="U8" s="2983">
        <v>995</v>
      </c>
      <c r="V8" s="2754" t="str">
        <f t="shared" ref="V8:V13" si="5">"plus "&amp;TEXT(S8,"0%")&amp;" of the excess over "&amp;TEXT(T8,"$0,000")</f>
        <v>plus 12% of the excess over $9,950</v>
      </c>
      <c r="W8" s="4330"/>
      <c r="Y8" s="6115"/>
      <c r="Z8" s="3342" t="str">
        <f>IF(File_Single&lt;&gt;"",AA6,IF(File_Marr_Joint&lt;&gt;"",AB6,IF(File_Marr_Sep&lt;&gt;"", AC6,IF(File_Head&lt;&gt;"",AD6,IF(File_Qual_Widow&lt;&gt;"",AB6,"Filing status?")))))</f>
        <v>Filing status?</v>
      </c>
      <c r="AA8" s="2087" t="str">
        <f>"&lt;100k"</f>
        <v>&lt;100k</v>
      </c>
      <c r="AB8" s="2087"/>
      <c r="AC8" s="2087"/>
      <c r="AD8" s="3345"/>
      <c r="AE8" s="6118"/>
    </row>
    <row r="9" spans="1:31" thickBot="1">
      <c r="A9" s="2486">
        <f t="shared" si="4"/>
        <v>137.5</v>
      </c>
      <c r="B9" s="2324">
        <v>125</v>
      </c>
      <c r="C9" s="2324">
        <v>150</v>
      </c>
      <c r="D9" s="2326">
        <f t="shared" si="0"/>
        <v>14</v>
      </c>
      <c r="E9" s="2326">
        <f t="shared" si="1"/>
        <v>14</v>
      </c>
      <c r="F9" s="2326">
        <f t="shared" si="2"/>
        <v>14</v>
      </c>
      <c r="G9" s="2326">
        <f t="shared" si="3"/>
        <v>14</v>
      </c>
      <c r="H9" s="2392"/>
      <c r="I9" s="2328">
        <v>4</v>
      </c>
      <c r="J9" s="2303">
        <f>BOTT_A5</f>
        <v>164925</v>
      </c>
      <c r="K9" s="2308">
        <f>RATE_A4*100</f>
        <v>24</v>
      </c>
      <c r="L9" s="2302">
        <f>P10</f>
        <v>5979</v>
      </c>
      <c r="M9" s="2316"/>
      <c r="N9" s="2524">
        <f>BOTT_A3*RATE_A3</f>
        <v>8915.5</v>
      </c>
      <c r="O9" s="2524">
        <f>BASE_A3</f>
        <v>4664</v>
      </c>
      <c r="P9" s="2524">
        <f>SUM(N9,-O9)</f>
        <v>4251.5</v>
      </c>
      <c r="R9" s="4326">
        <v>3</v>
      </c>
      <c r="S9" s="2988">
        <v>0.22</v>
      </c>
      <c r="T9" s="2982">
        <v>40525</v>
      </c>
      <c r="U9" s="2982">
        <v>4664</v>
      </c>
      <c r="V9" s="2753" t="str">
        <f t="shared" si="5"/>
        <v>plus 22% of the excess over $40,525</v>
      </c>
      <c r="W9" s="4330"/>
      <c r="Y9" s="6115"/>
      <c r="Z9" s="3343" t="str">
        <f>IF(File_Single&lt;&gt;"",AA7,IF(OR(File_Marr_Joint&lt;&gt;"",File_Qual_Widow&lt;&gt;""),AB7,IF(File_Marr_Sep&lt;&gt;"", AC7,IF(File_Head&lt;&gt;"",AD7,"Filing status?"))))</f>
        <v>Filing status?</v>
      </c>
      <c r="AA9" s="3344" t="str">
        <f>"&gt;=100k"</f>
        <v>&gt;=100k</v>
      </c>
      <c r="AB9" s="3344"/>
      <c r="AC9" s="3350" t="s">
        <v>2553</v>
      </c>
      <c r="AD9" s="6132" t="str">
        <f>IF(Z6&gt;100000,Z9,Z8)</f>
        <v>Filing status?</v>
      </c>
      <c r="AE9" s="6118"/>
    </row>
    <row r="10" spans="1:31" thickBot="1">
      <c r="A10" s="2486">
        <f t="shared" si="4"/>
        <v>162.5</v>
      </c>
      <c r="B10" s="2324">
        <v>150</v>
      </c>
      <c r="C10" s="2324">
        <v>175</v>
      </c>
      <c r="D10" s="2326">
        <f t="shared" si="0"/>
        <v>16</v>
      </c>
      <c r="E10" s="2326">
        <f t="shared" si="1"/>
        <v>16</v>
      </c>
      <c r="F10" s="2326">
        <f t="shared" si="2"/>
        <v>16</v>
      </c>
      <c r="G10" s="2326">
        <f t="shared" si="3"/>
        <v>16</v>
      </c>
      <c r="H10" s="2392"/>
      <c r="I10" s="2328">
        <v>5</v>
      </c>
      <c r="J10" s="2303">
        <f>BOTT_A6</f>
        <v>209425</v>
      </c>
      <c r="K10" s="2308">
        <f>RATE_A5*100</f>
        <v>32</v>
      </c>
      <c r="L10" s="2304">
        <f>P11</f>
        <v>19173</v>
      </c>
      <c r="M10" s="2316"/>
      <c r="N10" s="2524">
        <f>BOTT_A4*RATE_A4</f>
        <v>20730</v>
      </c>
      <c r="O10" s="2524">
        <f>BASE_A4</f>
        <v>14751</v>
      </c>
      <c r="P10" s="2524">
        <f>SUM(N10,-O10)</f>
        <v>5979</v>
      </c>
      <c r="R10" s="4326">
        <v>4</v>
      </c>
      <c r="S10" s="2989">
        <v>0.24</v>
      </c>
      <c r="T10" s="2983">
        <v>86375</v>
      </c>
      <c r="U10" s="2983">
        <v>14751</v>
      </c>
      <c r="V10" s="2754" t="str">
        <f t="shared" si="5"/>
        <v>plus 24% of the excess over $86,375</v>
      </c>
      <c r="W10" s="4330"/>
      <c r="Y10" s="6119"/>
      <c r="Z10" s="6120"/>
      <c r="AA10" s="6120"/>
      <c r="AB10" s="6120"/>
      <c r="AC10" s="6120"/>
      <c r="AD10" s="6120"/>
      <c r="AE10" s="6121"/>
    </row>
    <row r="11" spans="1:31" thickBot="1">
      <c r="A11" s="2486">
        <f t="shared" si="4"/>
        <v>187.5</v>
      </c>
      <c r="B11" s="2324">
        <v>175</v>
      </c>
      <c r="C11" s="2324">
        <v>200</v>
      </c>
      <c r="D11" s="2326">
        <f t="shared" si="0"/>
        <v>19</v>
      </c>
      <c r="E11" s="2326">
        <f t="shared" si="1"/>
        <v>19</v>
      </c>
      <c r="F11" s="2326">
        <f t="shared" si="2"/>
        <v>19</v>
      </c>
      <c r="G11" s="2326">
        <f t="shared" si="3"/>
        <v>19</v>
      </c>
      <c r="H11" s="2392"/>
      <c r="I11" s="2328">
        <v>6</v>
      </c>
      <c r="J11" s="2303">
        <f>BOTT_A7</f>
        <v>523600</v>
      </c>
      <c r="K11" s="2308">
        <f>RATE_A6*100</f>
        <v>35</v>
      </c>
      <c r="L11" s="2302">
        <f>P12</f>
        <v>25455.75</v>
      </c>
      <c r="M11" s="2316"/>
      <c r="N11" s="2524">
        <f>BOTT_A5*RATE_A5</f>
        <v>52776</v>
      </c>
      <c r="O11" s="2524">
        <f>BASE_A5</f>
        <v>33603</v>
      </c>
      <c r="P11" s="2524">
        <f>SUM(N11,-O11)</f>
        <v>19173</v>
      </c>
      <c r="R11" s="4326">
        <v>5</v>
      </c>
      <c r="S11" s="2988">
        <v>0.32</v>
      </c>
      <c r="T11" s="2982">
        <v>164925</v>
      </c>
      <c r="U11" s="2982">
        <v>33603</v>
      </c>
      <c r="V11" s="2753" t="str">
        <f t="shared" si="5"/>
        <v>plus 32% of the excess over $164,925</v>
      </c>
      <c r="W11" s="4330"/>
    </row>
    <row r="12" spans="1:31" thickBot="1">
      <c r="A12" s="2486">
        <f t="shared" si="4"/>
        <v>212.5</v>
      </c>
      <c r="B12" s="2324">
        <v>200</v>
      </c>
      <c r="C12" s="2324">
        <v>225</v>
      </c>
      <c r="D12" s="2326">
        <f t="shared" si="0"/>
        <v>21</v>
      </c>
      <c r="E12" s="2326">
        <f t="shared" si="1"/>
        <v>21</v>
      </c>
      <c r="F12" s="2326">
        <f t="shared" si="2"/>
        <v>21</v>
      </c>
      <c r="G12" s="2326">
        <f t="shared" si="3"/>
        <v>21</v>
      </c>
      <c r="H12" s="2392"/>
      <c r="I12" s="2328">
        <v>7</v>
      </c>
      <c r="J12" s="2305"/>
      <c r="K12" s="2309">
        <f>RATE_A7*100</f>
        <v>37</v>
      </c>
      <c r="L12" s="2306">
        <f>P13</f>
        <v>35927.75</v>
      </c>
      <c r="M12" s="2316"/>
      <c r="N12" s="2524">
        <f>BOTT_A6*RATE_A6</f>
        <v>73298.75</v>
      </c>
      <c r="O12" s="2524">
        <f>BASE_A6</f>
        <v>47843</v>
      </c>
      <c r="P12" s="2524">
        <f>SUM(N12,-O12)</f>
        <v>25455.75</v>
      </c>
      <c r="R12" s="4326">
        <v>6</v>
      </c>
      <c r="S12" s="2989">
        <v>0.35</v>
      </c>
      <c r="T12" s="2983">
        <v>209425</v>
      </c>
      <c r="U12" s="2983">
        <v>47843</v>
      </c>
      <c r="V12" s="2754" t="str">
        <f t="shared" si="5"/>
        <v>plus 35% of the excess over $209,425</v>
      </c>
      <c r="W12" s="4330"/>
    </row>
    <row r="13" spans="1:31" thickBot="1">
      <c r="A13" s="2486">
        <f t="shared" si="4"/>
        <v>237.5</v>
      </c>
      <c r="B13" s="2324">
        <v>225</v>
      </c>
      <c r="C13" s="2324">
        <v>250</v>
      </c>
      <c r="D13" s="2326">
        <f t="shared" si="0"/>
        <v>24</v>
      </c>
      <c r="E13" s="2326">
        <f t="shared" si="1"/>
        <v>24</v>
      </c>
      <c r="F13" s="2326">
        <f t="shared" si="2"/>
        <v>24</v>
      </c>
      <c r="G13" s="2326">
        <f t="shared" si="3"/>
        <v>24</v>
      </c>
      <c r="H13" s="2392"/>
      <c r="I13" s="2329"/>
      <c r="J13" s="2298"/>
      <c r="K13" s="2298"/>
      <c r="L13" s="2298"/>
      <c r="M13" s="2316"/>
      <c r="N13" s="2524">
        <f>BOTT_A7*RATE_A7</f>
        <v>193732</v>
      </c>
      <c r="O13" s="2524">
        <f>BASE_A7</f>
        <v>157804.25</v>
      </c>
      <c r="P13" s="2524">
        <f>SUM(N13,-O13)</f>
        <v>35927.75</v>
      </c>
      <c r="R13" s="4326">
        <v>7</v>
      </c>
      <c r="S13" s="2988">
        <v>0.37</v>
      </c>
      <c r="T13" s="2982">
        <v>523600</v>
      </c>
      <c r="U13" s="2982">
        <v>157804.25</v>
      </c>
      <c r="V13" s="2753" t="str">
        <f t="shared" si="5"/>
        <v>plus 37% of the excess over $523,600</v>
      </c>
      <c r="W13" s="4330"/>
    </row>
    <row r="14" spans="1:31" ht="15.75">
      <c r="A14" s="2486">
        <f t="shared" si="4"/>
        <v>262.5</v>
      </c>
      <c r="B14" s="2324">
        <v>250</v>
      </c>
      <c r="C14" s="2324">
        <v>275</v>
      </c>
      <c r="D14" s="2326">
        <f t="shared" si="0"/>
        <v>26</v>
      </c>
      <c r="E14" s="2326">
        <f t="shared" si="1"/>
        <v>26</v>
      </c>
      <c r="F14" s="2326">
        <f t="shared" si="2"/>
        <v>26</v>
      </c>
      <c r="G14" s="2326">
        <f t="shared" si="3"/>
        <v>26</v>
      </c>
      <c r="H14" s="2392"/>
      <c r="I14" s="2329"/>
      <c r="J14" s="2332" t="s">
        <v>33</v>
      </c>
      <c r="K14" s="2332" t="s">
        <v>47</v>
      </c>
      <c r="L14" s="2332" t="s">
        <v>92</v>
      </c>
      <c r="M14" s="2316"/>
      <c r="R14" s="4326"/>
      <c r="S14" s="4331" t="s">
        <v>1997</v>
      </c>
      <c r="T14" s="4332" t="s">
        <v>1999</v>
      </c>
      <c r="U14" s="4332" t="s">
        <v>1998</v>
      </c>
      <c r="V14" s="4328"/>
      <c r="W14" s="4330"/>
    </row>
    <row r="15" spans="1:31">
      <c r="A15" s="2486">
        <f t="shared" si="4"/>
        <v>287.5</v>
      </c>
      <c r="B15" s="2324">
        <v>275</v>
      </c>
      <c r="C15" s="2324">
        <v>300</v>
      </c>
      <c r="D15" s="2326">
        <f t="shared" si="0"/>
        <v>29</v>
      </c>
      <c r="E15" s="2326">
        <f t="shared" si="1"/>
        <v>29</v>
      </c>
      <c r="F15" s="2326">
        <f t="shared" si="2"/>
        <v>29</v>
      </c>
      <c r="G15" s="2326">
        <f t="shared" si="3"/>
        <v>29</v>
      </c>
      <c r="H15" s="2392"/>
      <c r="I15" s="2329"/>
      <c r="J15" s="4835" t="s">
        <v>521</v>
      </c>
      <c r="K15" s="2298"/>
      <c r="L15" s="2298"/>
      <c r="M15" s="2316"/>
      <c r="R15" s="4326" t="s">
        <v>288</v>
      </c>
      <c r="S15" s="2213" t="s">
        <v>2657</v>
      </c>
      <c r="T15" s="4328"/>
      <c r="U15" s="4329"/>
      <c r="V15" s="4328"/>
      <c r="W15" s="4330"/>
    </row>
    <row r="16" spans="1:31" thickBot="1">
      <c r="A16" s="2486">
        <f t="shared" si="4"/>
        <v>312.5</v>
      </c>
      <c r="B16" s="2324">
        <v>300</v>
      </c>
      <c r="C16" s="2324">
        <v>325</v>
      </c>
      <c r="D16" s="2326">
        <f t="shared" si="0"/>
        <v>31</v>
      </c>
      <c r="E16" s="2326">
        <f t="shared" si="1"/>
        <v>31</v>
      </c>
      <c r="F16" s="2326">
        <f t="shared" si="2"/>
        <v>31</v>
      </c>
      <c r="G16" s="2326">
        <f t="shared" si="3"/>
        <v>31</v>
      </c>
      <c r="H16" s="2392"/>
      <c r="I16" s="2329"/>
      <c r="J16" s="4328" t="s">
        <v>4384</v>
      </c>
      <c r="K16" s="2298"/>
      <c r="L16" s="2298"/>
      <c r="M16" s="2316"/>
      <c r="R16" s="4326"/>
      <c r="S16" s="4317" t="s">
        <v>1992</v>
      </c>
      <c r="T16" s="4317" t="s">
        <v>1996</v>
      </c>
      <c r="U16" s="4333" t="s">
        <v>1995</v>
      </c>
      <c r="V16" s="2752" t="s">
        <v>3143</v>
      </c>
      <c r="W16" s="4330"/>
    </row>
    <row r="17" spans="1:23" thickBot="1">
      <c r="A17" s="2486">
        <f t="shared" si="4"/>
        <v>337.5</v>
      </c>
      <c r="B17" s="2324">
        <v>325</v>
      </c>
      <c r="C17" s="2324">
        <v>350</v>
      </c>
      <c r="D17" s="2326">
        <f t="shared" si="0"/>
        <v>34</v>
      </c>
      <c r="E17" s="2326">
        <f t="shared" si="1"/>
        <v>34</v>
      </c>
      <c r="F17" s="2326">
        <f t="shared" si="2"/>
        <v>34</v>
      </c>
      <c r="G17" s="2326">
        <f t="shared" si="3"/>
        <v>34</v>
      </c>
      <c r="H17" s="2392"/>
      <c r="I17" s="2328">
        <v>1</v>
      </c>
      <c r="J17" s="2299" t="s">
        <v>1937</v>
      </c>
      <c r="K17" s="2307"/>
      <c r="L17" s="2300"/>
      <c r="M17" s="2316"/>
      <c r="R17" s="4326">
        <v>1</v>
      </c>
      <c r="S17" s="2988">
        <v>0.1</v>
      </c>
      <c r="T17" s="2982">
        <v>0</v>
      </c>
      <c r="U17" s="2982">
        <v>0</v>
      </c>
      <c r="V17" s="2753" t="s">
        <v>1994</v>
      </c>
      <c r="W17" s="4330"/>
    </row>
    <row r="18" spans="1:23" thickBot="1">
      <c r="A18" s="2486">
        <f t="shared" si="4"/>
        <v>362.5</v>
      </c>
      <c r="B18" s="2324">
        <v>350</v>
      </c>
      <c r="C18" s="2324">
        <v>375</v>
      </c>
      <c r="D18" s="2326">
        <f t="shared" si="0"/>
        <v>36</v>
      </c>
      <c r="E18" s="2326">
        <f t="shared" si="1"/>
        <v>36</v>
      </c>
      <c r="F18" s="2326">
        <f t="shared" si="2"/>
        <v>36</v>
      </c>
      <c r="G18" s="2326">
        <f t="shared" si="3"/>
        <v>36</v>
      </c>
      <c r="H18" s="2392"/>
      <c r="I18" s="2328">
        <v>2</v>
      </c>
      <c r="J18" s="2303">
        <v>100000</v>
      </c>
      <c r="K18" s="2308"/>
      <c r="L18" s="2302"/>
      <c r="M18" s="2316"/>
      <c r="R18" s="4326">
        <v>2</v>
      </c>
      <c r="S18" s="2989">
        <v>0.12</v>
      </c>
      <c r="T18" s="2983">
        <v>19900</v>
      </c>
      <c r="U18" s="2983">
        <v>1990</v>
      </c>
      <c r="V18" s="2754" t="str">
        <f t="shared" ref="V18:V23" si="6">"plus "&amp;TEXT(S18,"0%")&amp;" of the excess over "&amp;TEXT(T18,"$0,000")</f>
        <v>plus 12% of the excess over $19,900</v>
      </c>
      <c r="W18" s="4330"/>
    </row>
    <row r="19" spans="1:23" thickBot="1">
      <c r="A19" s="2486">
        <f t="shared" si="4"/>
        <v>387.5</v>
      </c>
      <c r="B19" s="2324">
        <v>375</v>
      </c>
      <c r="C19" s="2324">
        <v>400</v>
      </c>
      <c r="D19" s="2326">
        <f t="shared" si="0"/>
        <v>39</v>
      </c>
      <c r="E19" s="2326">
        <f t="shared" si="1"/>
        <v>39</v>
      </c>
      <c r="F19" s="2326">
        <f t="shared" si="2"/>
        <v>39</v>
      </c>
      <c r="G19" s="2326">
        <f t="shared" si="3"/>
        <v>39</v>
      </c>
      <c r="H19" s="2392"/>
      <c r="I19" s="2328">
        <v>3</v>
      </c>
      <c r="J19" s="2303">
        <f>BOTT_B4</f>
        <v>172750</v>
      </c>
      <c r="K19" s="2308">
        <f>RATE_B3*100</f>
        <v>22</v>
      </c>
      <c r="L19" s="2302">
        <f>P20</f>
        <v>8503</v>
      </c>
      <c r="M19" s="2316"/>
      <c r="R19" s="4326">
        <v>3</v>
      </c>
      <c r="S19" s="2988">
        <v>0.22</v>
      </c>
      <c r="T19" s="2982">
        <v>81050</v>
      </c>
      <c r="U19" s="2982">
        <v>9328</v>
      </c>
      <c r="V19" s="2753" t="str">
        <f t="shared" si="6"/>
        <v>plus 22% of the excess over $81,050</v>
      </c>
      <c r="W19" s="4330"/>
    </row>
    <row r="20" spans="1:23" thickBot="1">
      <c r="A20" s="2486">
        <f t="shared" si="4"/>
        <v>412.5</v>
      </c>
      <c r="B20" s="2324">
        <v>400</v>
      </c>
      <c r="C20" s="2324">
        <v>425</v>
      </c>
      <c r="D20" s="2326">
        <f t="shared" si="0"/>
        <v>41</v>
      </c>
      <c r="E20" s="2326">
        <f t="shared" si="1"/>
        <v>41</v>
      </c>
      <c r="F20" s="2326">
        <f t="shared" si="2"/>
        <v>41</v>
      </c>
      <c r="G20" s="2326">
        <f t="shared" si="3"/>
        <v>41</v>
      </c>
      <c r="H20" s="2392"/>
      <c r="I20" s="2328">
        <v>4</v>
      </c>
      <c r="J20" s="2303">
        <f>BOTT_B5</f>
        <v>329850</v>
      </c>
      <c r="K20" s="2308">
        <f>RATE_B4*100</f>
        <v>24</v>
      </c>
      <c r="L20" s="2302">
        <f>P21</f>
        <v>11958</v>
      </c>
      <c r="M20" s="2316"/>
      <c r="N20" s="2524">
        <f>BOTT_B3*RATE_B3</f>
        <v>17831</v>
      </c>
      <c r="O20" s="2524">
        <f>BASE_B3</f>
        <v>9328</v>
      </c>
      <c r="P20" s="2524">
        <f>SUM(N20,-O20)</f>
        <v>8503</v>
      </c>
      <c r="R20" s="4326">
        <v>4</v>
      </c>
      <c r="S20" s="2989">
        <v>0.24</v>
      </c>
      <c r="T20" s="2983">
        <v>172750</v>
      </c>
      <c r="U20" s="2983">
        <v>29502</v>
      </c>
      <c r="V20" s="2754" t="str">
        <f t="shared" si="6"/>
        <v>plus 24% of the excess over $172,750</v>
      </c>
      <c r="W20" s="4330"/>
    </row>
    <row r="21" spans="1:23" thickBot="1">
      <c r="A21" s="2486">
        <f t="shared" si="4"/>
        <v>437.5</v>
      </c>
      <c r="B21" s="2324">
        <v>425</v>
      </c>
      <c r="C21" s="2324">
        <v>450</v>
      </c>
      <c r="D21" s="2326">
        <f t="shared" si="0"/>
        <v>44</v>
      </c>
      <c r="E21" s="2326">
        <f t="shared" si="1"/>
        <v>44</v>
      </c>
      <c r="F21" s="2326">
        <f t="shared" si="2"/>
        <v>44</v>
      </c>
      <c r="G21" s="2326">
        <f t="shared" si="3"/>
        <v>44</v>
      </c>
      <c r="H21" s="2392"/>
      <c r="I21" s="2328">
        <v>5</v>
      </c>
      <c r="J21" s="2303">
        <f>BOTT_B6</f>
        <v>418850</v>
      </c>
      <c r="K21" s="2308">
        <f>RATE_B5*100</f>
        <v>32</v>
      </c>
      <c r="L21" s="2304">
        <f>P22</f>
        <v>38346</v>
      </c>
      <c r="M21" s="2316"/>
      <c r="N21" s="2524">
        <f>BOTT_B4*RATE_B4</f>
        <v>41460</v>
      </c>
      <c r="O21" s="2524">
        <f>BASE_B4</f>
        <v>29502</v>
      </c>
      <c r="P21" s="2524">
        <f>SUM(N21,-O21)</f>
        <v>11958</v>
      </c>
      <c r="R21" s="4326">
        <v>5</v>
      </c>
      <c r="S21" s="2988">
        <v>0.32</v>
      </c>
      <c r="T21" s="2982">
        <v>329850</v>
      </c>
      <c r="U21" s="2982">
        <v>67206</v>
      </c>
      <c r="V21" s="2753" t="str">
        <f t="shared" si="6"/>
        <v>plus 32% of the excess over $329,850</v>
      </c>
      <c r="W21" s="4330"/>
    </row>
    <row r="22" spans="1:23" thickBot="1">
      <c r="A22" s="2486">
        <f t="shared" si="4"/>
        <v>462.5</v>
      </c>
      <c r="B22" s="2324">
        <v>450</v>
      </c>
      <c r="C22" s="2324">
        <v>475</v>
      </c>
      <c r="D22" s="2326">
        <f t="shared" si="0"/>
        <v>46</v>
      </c>
      <c r="E22" s="2326">
        <f t="shared" si="1"/>
        <v>46</v>
      </c>
      <c r="F22" s="2326">
        <f t="shared" si="2"/>
        <v>46</v>
      </c>
      <c r="G22" s="2326">
        <f t="shared" si="3"/>
        <v>46</v>
      </c>
      <c r="H22" s="2392"/>
      <c r="I22" s="2328">
        <v>6</v>
      </c>
      <c r="J22" s="2303">
        <f>BOTT_B7</f>
        <v>628300</v>
      </c>
      <c r="K22" s="2308">
        <f>RATE_B6*100</f>
        <v>35</v>
      </c>
      <c r="L22" s="2302">
        <f>P23</f>
        <v>50911.5</v>
      </c>
      <c r="M22" s="2316"/>
      <c r="N22" s="2524">
        <f>BOTT_B5*RATE_B5</f>
        <v>105552</v>
      </c>
      <c r="O22" s="2524">
        <f>BASE_B5</f>
        <v>67206</v>
      </c>
      <c r="P22" s="2524">
        <f>SUM(N22,-O22)</f>
        <v>38346</v>
      </c>
      <c r="R22" s="4326">
        <v>6</v>
      </c>
      <c r="S22" s="2989">
        <v>0.35</v>
      </c>
      <c r="T22" s="2983">
        <v>418850</v>
      </c>
      <c r="U22" s="2983">
        <v>95686</v>
      </c>
      <c r="V22" s="2754" t="str">
        <f t="shared" si="6"/>
        <v>plus 35% of the excess over $418,850</v>
      </c>
      <c r="W22" s="4330"/>
    </row>
    <row r="23" spans="1:23" thickBot="1">
      <c r="A23" s="2486">
        <f t="shared" si="4"/>
        <v>487.5</v>
      </c>
      <c r="B23" s="2324">
        <v>475</v>
      </c>
      <c r="C23" s="2324">
        <v>500</v>
      </c>
      <c r="D23" s="2326">
        <f t="shared" si="0"/>
        <v>49</v>
      </c>
      <c r="E23" s="2326">
        <f t="shared" si="1"/>
        <v>49</v>
      </c>
      <c r="F23" s="2326">
        <f t="shared" si="2"/>
        <v>49</v>
      </c>
      <c r="G23" s="2326">
        <f t="shared" si="3"/>
        <v>49</v>
      </c>
      <c r="H23" s="2392"/>
      <c r="I23" s="2328">
        <v>7</v>
      </c>
      <c r="J23" s="2305"/>
      <c r="K23" s="2309">
        <f>RATE_B7*100</f>
        <v>37</v>
      </c>
      <c r="L23" s="2306">
        <f>P24</f>
        <v>63477.5</v>
      </c>
      <c r="M23" s="2316"/>
      <c r="N23" s="2524">
        <f>BOTT_B6*RATE_B6</f>
        <v>146597.5</v>
      </c>
      <c r="O23" s="2524">
        <f>BASE_B6</f>
        <v>95686</v>
      </c>
      <c r="P23" s="2524">
        <f>SUM(N23,-O23)</f>
        <v>50911.5</v>
      </c>
      <c r="R23" s="4326">
        <v>7</v>
      </c>
      <c r="S23" s="2988">
        <v>0.37</v>
      </c>
      <c r="T23" s="2982">
        <v>628300</v>
      </c>
      <c r="U23" s="2982">
        <v>168993.5</v>
      </c>
      <c r="V23" s="2753" t="str">
        <f t="shared" si="6"/>
        <v>plus 37% of the excess over $628,300</v>
      </c>
      <c r="W23" s="4330"/>
    </row>
    <row r="24" spans="1:23" ht="15.75">
      <c r="A24" s="2486">
        <f t="shared" si="4"/>
        <v>512.5</v>
      </c>
      <c r="B24" s="2324">
        <v>500</v>
      </c>
      <c r="C24" s="2324">
        <v>525</v>
      </c>
      <c r="D24" s="2326">
        <f t="shared" si="0"/>
        <v>51</v>
      </c>
      <c r="E24" s="2326">
        <f t="shared" si="1"/>
        <v>51</v>
      </c>
      <c r="F24" s="2326">
        <f t="shared" si="2"/>
        <v>51</v>
      </c>
      <c r="G24" s="2326">
        <f t="shared" si="3"/>
        <v>51</v>
      </c>
      <c r="H24" s="2392"/>
      <c r="I24" s="2329"/>
      <c r="J24" s="2298"/>
      <c r="K24" s="2298"/>
      <c r="L24" s="2308"/>
      <c r="M24" s="2316"/>
      <c r="N24" s="2524">
        <f>BOTT_B7*RATE_B7</f>
        <v>232471</v>
      </c>
      <c r="O24" s="2524">
        <f>BASE_B7</f>
        <v>168993.5</v>
      </c>
      <c r="P24" s="2524">
        <f>SUM(N24,-O24)</f>
        <v>63477.5</v>
      </c>
      <c r="R24" s="4326"/>
      <c r="S24" s="4331" t="s">
        <v>1997</v>
      </c>
      <c r="T24" s="4332" t="s">
        <v>1999</v>
      </c>
      <c r="U24" s="4332" t="s">
        <v>1998</v>
      </c>
      <c r="V24" s="4328"/>
      <c r="W24" s="4330"/>
    </row>
    <row r="25" spans="1:23" ht="15.75">
      <c r="A25" s="2486">
        <f t="shared" si="4"/>
        <v>537.5</v>
      </c>
      <c r="B25" s="2324">
        <v>525</v>
      </c>
      <c r="C25" s="2324">
        <v>550</v>
      </c>
      <c r="D25" s="2326">
        <f t="shared" si="0"/>
        <v>54</v>
      </c>
      <c r="E25" s="2326">
        <f t="shared" si="1"/>
        <v>54</v>
      </c>
      <c r="F25" s="2326">
        <f t="shared" si="2"/>
        <v>54</v>
      </c>
      <c r="G25" s="2326">
        <f t="shared" si="3"/>
        <v>54</v>
      </c>
      <c r="H25" s="2392"/>
      <c r="I25" s="2329"/>
      <c r="J25" s="2332" t="s">
        <v>33</v>
      </c>
      <c r="K25" s="2332" t="s">
        <v>47</v>
      </c>
      <c r="L25" s="2332" t="s">
        <v>92</v>
      </c>
      <c r="M25" s="2316"/>
      <c r="R25" s="4326" t="s">
        <v>144</v>
      </c>
      <c r="S25" s="2213" t="s">
        <v>2658</v>
      </c>
      <c r="T25" s="4328"/>
      <c r="U25" s="4329"/>
      <c r="V25" s="4328"/>
      <c r="W25" s="4330"/>
    </row>
    <row r="26" spans="1:23" ht="17.25" thickBot="1">
      <c r="A26" s="2486">
        <f t="shared" si="4"/>
        <v>562.5</v>
      </c>
      <c r="B26" s="2324">
        <v>550</v>
      </c>
      <c r="C26" s="2324">
        <v>575</v>
      </c>
      <c r="D26" s="2326">
        <f t="shared" si="0"/>
        <v>56</v>
      </c>
      <c r="E26" s="2326">
        <f t="shared" si="1"/>
        <v>56</v>
      </c>
      <c r="F26" s="2326">
        <f t="shared" si="2"/>
        <v>56</v>
      </c>
      <c r="G26" s="2326">
        <f t="shared" si="3"/>
        <v>56</v>
      </c>
      <c r="H26" s="2392"/>
      <c r="I26" s="2329"/>
      <c r="J26" s="4835" t="s">
        <v>522</v>
      </c>
      <c r="K26" s="2298"/>
      <c r="L26" s="2308"/>
      <c r="M26" s="2316"/>
      <c r="R26" s="4326"/>
      <c r="S26" s="4317" t="s">
        <v>1992</v>
      </c>
      <c r="T26" s="4317" t="s">
        <v>1996</v>
      </c>
      <c r="U26" s="4333" t="s">
        <v>1995</v>
      </c>
      <c r="V26" s="2752" t="s">
        <v>3143</v>
      </c>
      <c r="W26" s="4330"/>
    </row>
    <row r="27" spans="1:23" thickBot="1">
      <c r="A27" s="2486">
        <f t="shared" si="4"/>
        <v>587.5</v>
      </c>
      <c r="B27" s="2324">
        <v>575</v>
      </c>
      <c r="C27" s="2324">
        <v>600</v>
      </c>
      <c r="D27" s="2326">
        <f t="shared" si="0"/>
        <v>59</v>
      </c>
      <c r="E27" s="2326">
        <f t="shared" si="1"/>
        <v>59</v>
      </c>
      <c r="F27" s="2326">
        <f t="shared" si="2"/>
        <v>59</v>
      </c>
      <c r="G27" s="2326">
        <f t="shared" si="3"/>
        <v>59</v>
      </c>
      <c r="H27" s="2392"/>
      <c r="I27" s="2329"/>
      <c r="J27" s="4328" t="s">
        <v>4386</v>
      </c>
      <c r="K27" s="2298"/>
      <c r="L27" s="2317"/>
      <c r="M27" s="2316"/>
      <c r="R27" s="4326">
        <v>1</v>
      </c>
      <c r="S27" s="2988">
        <v>0.1</v>
      </c>
      <c r="T27" s="2982">
        <v>0</v>
      </c>
      <c r="U27" s="2982">
        <v>0</v>
      </c>
      <c r="V27" s="2755" t="s">
        <v>1994</v>
      </c>
      <c r="W27" s="4330"/>
    </row>
    <row r="28" spans="1:23" thickBot="1">
      <c r="A28" s="2486">
        <f t="shared" si="4"/>
        <v>612.5</v>
      </c>
      <c r="B28" s="2324">
        <v>600</v>
      </c>
      <c r="C28" s="2324">
        <v>625</v>
      </c>
      <c r="D28" s="2326">
        <f t="shared" si="0"/>
        <v>61</v>
      </c>
      <c r="E28" s="2326">
        <f t="shared" si="1"/>
        <v>61</v>
      </c>
      <c r="F28" s="2326">
        <f t="shared" si="2"/>
        <v>61</v>
      </c>
      <c r="G28" s="2326">
        <f t="shared" si="3"/>
        <v>61</v>
      </c>
      <c r="H28" s="2392"/>
      <c r="I28" s="2328">
        <v>1</v>
      </c>
      <c r="J28" s="2299" t="s">
        <v>1937</v>
      </c>
      <c r="K28" s="2307"/>
      <c r="L28" s="2300"/>
      <c r="M28" s="2316"/>
      <c r="R28" s="4326">
        <v>2</v>
      </c>
      <c r="S28" s="2989">
        <v>0.12</v>
      </c>
      <c r="T28" s="2983">
        <v>9950</v>
      </c>
      <c r="U28" s="2983">
        <v>995</v>
      </c>
      <c r="V28" s="2754" t="str">
        <f t="shared" ref="V28:V33" si="7">"plus "&amp;TEXT(S28,"0%")&amp;" of the excess over "&amp;TEXT(T28,"$0,000")</f>
        <v>plus 12% of the excess over $9,950</v>
      </c>
      <c r="W28" s="4330"/>
    </row>
    <row r="29" spans="1:23" thickBot="1">
      <c r="A29" s="2486">
        <f t="shared" si="4"/>
        <v>637.5</v>
      </c>
      <c r="B29" s="2324">
        <v>625</v>
      </c>
      <c r="C29" s="2324">
        <v>650</v>
      </c>
      <c r="D29" s="2326">
        <f t="shared" si="0"/>
        <v>64</v>
      </c>
      <c r="E29" s="2326">
        <f t="shared" si="1"/>
        <v>64</v>
      </c>
      <c r="F29" s="2326">
        <f t="shared" si="2"/>
        <v>64</v>
      </c>
      <c r="G29" s="2326">
        <f t="shared" si="3"/>
        <v>64</v>
      </c>
      <c r="H29" s="2392"/>
      <c r="I29" s="2328">
        <v>2</v>
      </c>
      <c r="J29" s="2303">
        <v>100000</v>
      </c>
      <c r="K29" s="2308"/>
      <c r="L29" s="2302"/>
      <c r="M29" s="2316"/>
      <c r="R29" s="4326">
        <v>3</v>
      </c>
      <c r="S29" s="2988">
        <v>0.22</v>
      </c>
      <c r="T29" s="2982">
        <v>40525</v>
      </c>
      <c r="U29" s="2982">
        <v>4664</v>
      </c>
      <c r="V29" s="2753" t="str">
        <f t="shared" si="7"/>
        <v>plus 22% of the excess over $40,525</v>
      </c>
      <c r="W29" s="4330"/>
    </row>
    <row r="30" spans="1:23" thickBot="1">
      <c r="A30" s="2486">
        <f t="shared" si="4"/>
        <v>662.5</v>
      </c>
      <c r="B30" s="2324">
        <v>650</v>
      </c>
      <c r="C30" s="2324">
        <v>675</v>
      </c>
      <c r="D30" s="2326">
        <f t="shared" si="0"/>
        <v>66</v>
      </c>
      <c r="E30" s="2326">
        <f t="shared" si="1"/>
        <v>66</v>
      </c>
      <c r="F30" s="2326">
        <f t="shared" si="2"/>
        <v>66</v>
      </c>
      <c r="G30" s="2326">
        <f t="shared" si="3"/>
        <v>66</v>
      </c>
      <c r="H30" s="2392"/>
      <c r="I30" s="2328">
        <v>3</v>
      </c>
      <c r="J30" s="2303">
        <f>BOTT_C5</f>
        <v>164925</v>
      </c>
      <c r="K30" s="2308">
        <f>RATE_C4*100</f>
        <v>24</v>
      </c>
      <c r="L30" s="2302">
        <f>P31</f>
        <v>5979</v>
      </c>
      <c r="M30" s="2316"/>
      <c r="R30" s="4326">
        <v>4</v>
      </c>
      <c r="S30" s="2989">
        <v>0.24</v>
      </c>
      <c r="T30" s="2983">
        <v>86375</v>
      </c>
      <c r="U30" s="2983">
        <v>14751</v>
      </c>
      <c r="V30" s="2754" t="str">
        <f t="shared" si="7"/>
        <v>plus 24% of the excess over $86,375</v>
      </c>
      <c r="W30" s="4330"/>
    </row>
    <row r="31" spans="1:23" thickBot="1">
      <c r="A31" s="2486">
        <f t="shared" si="4"/>
        <v>687.5</v>
      </c>
      <c r="B31" s="2324">
        <v>675</v>
      </c>
      <c r="C31" s="2324">
        <v>700</v>
      </c>
      <c r="D31" s="2326">
        <f t="shared" si="0"/>
        <v>69</v>
      </c>
      <c r="E31" s="2326">
        <f t="shared" si="1"/>
        <v>69</v>
      </c>
      <c r="F31" s="2326">
        <f t="shared" si="2"/>
        <v>69</v>
      </c>
      <c r="G31" s="2326">
        <f t="shared" si="3"/>
        <v>69</v>
      </c>
      <c r="H31" s="2392"/>
      <c r="I31" s="2328">
        <v>4</v>
      </c>
      <c r="J31" s="2303">
        <f>BOTT_C6</f>
        <v>209425</v>
      </c>
      <c r="K31" s="2308">
        <f>RATE_C5*100</f>
        <v>32</v>
      </c>
      <c r="L31" s="2304">
        <f>P32</f>
        <v>19173</v>
      </c>
      <c r="M31" s="2316"/>
      <c r="N31" s="2524">
        <f>BOTT_C4*RATE_C4</f>
        <v>20730</v>
      </c>
      <c r="O31" s="2524">
        <f>BASE_C4</f>
        <v>14751</v>
      </c>
      <c r="P31" s="2524">
        <f>SUM(N31,-O31)</f>
        <v>5979</v>
      </c>
      <c r="R31" s="4326">
        <v>5</v>
      </c>
      <c r="S31" s="2988">
        <v>0.32</v>
      </c>
      <c r="T31" s="2982">
        <v>164925</v>
      </c>
      <c r="U31" s="2982">
        <v>33603</v>
      </c>
      <c r="V31" s="2753" t="str">
        <f t="shared" si="7"/>
        <v>plus 32% of the excess over $164,925</v>
      </c>
      <c r="W31" s="4330"/>
    </row>
    <row r="32" spans="1:23" thickBot="1">
      <c r="A32" s="2486">
        <f t="shared" si="4"/>
        <v>712.5</v>
      </c>
      <c r="B32" s="2324">
        <v>700</v>
      </c>
      <c r="C32" s="2324">
        <v>725</v>
      </c>
      <c r="D32" s="2326">
        <f t="shared" si="0"/>
        <v>71</v>
      </c>
      <c r="E32" s="2326">
        <f t="shared" si="1"/>
        <v>71</v>
      </c>
      <c r="F32" s="2326">
        <f t="shared" si="2"/>
        <v>71</v>
      </c>
      <c r="G32" s="2326">
        <f t="shared" si="3"/>
        <v>71</v>
      </c>
      <c r="H32" s="2392"/>
      <c r="I32" s="2328">
        <v>5</v>
      </c>
      <c r="J32" s="2303">
        <f>BOTT_C7</f>
        <v>314150</v>
      </c>
      <c r="K32" s="2308">
        <f>RATE_C6*100</f>
        <v>35</v>
      </c>
      <c r="L32" s="2304">
        <f>P33</f>
        <v>25455.75</v>
      </c>
      <c r="M32" s="2316"/>
      <c r="N32" s="2524">
        <f>BOTT_C5*RATE_C5</f>
        <v>52776</v>
      </c>
      <c r="O32" s="2524">
        <f>BASE_C5</f>
        <v>33603</v>
      </c>
      <c r="P32" s="2524">
        <f>SUM(N32,-O32)</f>
        <v>19173</v>
      </c>
      <c r="R32" s="4326">
        <v>6</v>
      </c>
      <c r="S32" s="2989">
        <v>0.35</v>
      </c>
      <c r="T32" s="2983">
        <v>209425</v>
      </c>
      <c r="U32" s="2983">
        <v>47843</v>
      </c>
      <c r="V32" s="2754" t="str">
        <f t="shared" si="7"/>
        <v>plus 35% of the excess over $209,425</v>
      </c>
      <c r="W32" s="4330"/>
    </row>
    <row r="33" spans="1:23" thickBot="1">
      <c r="A33" s="2486">
        <f t="shared" si="4"/>
        <v>737.5</v>
      </c>
      <c r="B33" s="2324">
        <v>725</v>
      </c>
      <c r="C33" s="2324">
        <v>750</v>
      </c>
      <c r="D33" s="2326">
        <f t="shared" si="0"/>
        <v>74</v>
      </c>
      <c r="E33" s="2326">
        <f t="shared" si="1"/>
        <v>74</v>
      </c>
      <c r="F33" s="2326">
        <f t="shared" si="2"/>
        <v>74</v>
      </c>
      <c r="G33" s="2326">
        <f t="shared" si="3"/>
        <v>74</v>
      </c>
      <c r="H33" s="2392"/>
      <c r="I33" s="2328">
        <v>6</v>
      </c>
      <c r="J33" s="2305"/>
      <c r="K33" s="2309">
        <f>RATE_C7*100</f>
        <v>37</v>
      </c>
      <c r="L33" s="2306">
        <f>P34</f>
        <v>31738.75</v>
      </c>
      <c r="M33" s="2316"/>
      <c r="N33" s="2524">
        <f>BOTT_C6*RATE_C6</f>
        <v>73298.75</v>
      </c>
      <c r="O33" s="2524">
        <f>BASE_C6</f>
        <v>47843</v>
      </c>
      <c r="P33" s="2524">
        <f>SUM(N33,-O33)</f>
        <v>25455.75</v>
      </c>
      <c r="R33" s="4326">
        <v>7</v>
      </c>
      <c r="S33" s="2988">
        <v>0.37</v>
      </c>
      <c r="T33" s="2982">
        <v>314150</v>
      </c>
      <c r="U33" s="2982">
        <v>84496.75</v>
      </c>
      <c r="V33" s="2753" t="str">
        <f t="shared" si="7"/>
        <v>plus 37% of the excess over $314,150</v>
      </c>
      <c r="W33" s="4330"/>
    </row>
    <row r="34" spans="1:23" ht="15.75">
      <c r="A34" s="2486">
        <f t="shared" si="4"/>
        <v>762.5</v>
      </c>
      <c r="B34" s="2324">
        <v>750</v>
      </c>
      <c r="C34" s="2324">
        <v>775</v>
      </c>
      <c r="D34" s="2326">
        <f t="shared" si="0"/>
        <v>76</v>
      </c>
      <c r="E34" s="2326">
        <f t="shared" si="1"/>
        <v>76</v>
      </c>
      <c r="F34" s="2326">
        <f t="shared" si="2"/>
        <v>76</v>
      </c>
      <c r="G34" s="2326">
        <f t="shared" si="3"/>
        <v>76</v>
      </c>
      <c r="H34" s="2392"/>
      <c r="I34" s="2329"/>
      <c r="J34" s="2310"/>
      <c r="K34" s="2310"/>
      <c r="L34" s="2311"/>
      <c r="M34" s="2316"/>
      <c r="N34" s="2524">
        <f>BOTT_C7*RATE_C7</f>
        <v>116235.5</v>
      </c>
      <c r="O34" s="2524">
        <f>BASE_C7</f>
        <v>84496.75</v>
      </c>
      <c r="P34" s="2524">
        <f>SUM(N34,-O34)</f>
        <v>31738.75</v>
      </c>
      <c r="R34" s="4326"/>
      <c r="S34" s="4327"/>
      <c r="T34" s="4328"/>
      <c r="U34" s="4329"/>
      <c r="V34" s="4328"/>
      <c r="W34" s="4330"/>
    </row>
    <row r="35" spans="1:23" ht="15.75">
      <c r="A35" s="2486">
        <f t="shared" si="4"/>
        <v>787.5</v>
      </c>
      <c r="B35" s="2324">
        <v>775</v>
      </c>
      <c r="C35" s="2324">
        <v>800</v>
      </c>
      <c r="D35" s="2326">
        <f t="shared" si="0"/>
        <v>79</v>
      </c>
      <c r="E35" s="2326">
        <f t="shared" si="1"/>
        <v>79</v>
      </c>
      <c r="F35" s="2326">
        <f t="shared" si="2"/>
        <v>79</v>
      </c>
      <c r="G35" s="2326">
        <f t="shared" si="3"/>
        <v>79</v>
      </c>
      <c r="H35" s="2392"/>
      <c r="I35" s="2329"/>
      <c r="J35" s="2332" t="s">
        <v>33</v>
      </c>
      <c r="K35" s="2332" t="s">
        <v>47</v>
      </c>
      <c r="L35" s="2332" t="s">
        <v>92</v>
      </c>
      <c r="M35" s="2316"/>
      <c r="R35" s="4326"/>
      <c r="S35" s="4331" t="s">
        <v>1997</v>
      </c>
      <c r="T35" s="4332" t="s">
        <v>1999</v>
      </c>
      <c r="U35" s="4332" t="s">
        <v>1998</v>
      </c>
      <c r="V35" s="4328"/>
      <c r="W35" s="4330"/>
    </row>
    <row r="36" spans="1:23">
      <c r="A36" s="2486">
        <f t="shared" si="4"/>
        <v>812.5</v>
      </c>
      <c r="B36" s="2324">
        <v>800</v>
      </c>
      <c r="C36" s="2324">
        <v>825</v>
      </c>
      <c r="D36" s="2326">
        <f t="shared" si="0"/>
        <v>81</v>
      </c>
      <c r="E36" s="2326">
        <f t="shared" si="1"/>
        <v>81</v>
      </c>
      <c r="F36" s="2326">
        <f t="shared" si="2"/>
        <v>81</v>
      </c>
      <c r="G36" s="2326">
        <f t="shared" si="3"/>
        <v>81</v>
      </c>
      <c r="H36" s="2392"/>
      <c r="I36" s="2329"/>
      <c r="J36" s="4835" t="s">
        <v>523</v>
      </c>
      <c r="K36" s="2318"/>
      <c r="L36" s="2319"/>
      <c r="M36" s="2316"/>
      <c r="R36" s="4326" t="s">
        <v>290</v>
      </c>
      <c r="S36" s="2213" t="s">
        <v>2659</v>
      </c>
      <c r="T36" s="4328"/>
      <c r="U36" s="4329"/>
      <c r="V36" s="4328"/>
      <c r="W36" s="4330"/>
    </row>
    <row r="37" spans="1:23" thickBot="1">
      <c r="A37" s="2486">
        <f t="shared" si="4"/>
        <v>837.5</v>
      </c>
      <c r="B37" s="2324">
        <v>825</v>
      </c>
      <c r="C37" s="2324">
        <v>850</v>
      </c>
      <c r="D37" s="2326">
        <f t="shared" si="0"/>
        <v>84</v>
      </c>
      <c r="E37" s="2326">
        <f t="shared" si="1"/>
        <v>84</v>
      </c>
      <c r="F37" s="2326">
        <f t="shared" si="2"/>
        <v>84</v>
      </c>
      <c r="G37" s="2326">
        <f t="shared" si="3"/>
        <v>84</v>
      </c>
      <c r="H37" s="2392"/>
      <c r="I37" s="2329"/>
      <c r="J37" s="4328" t="s">
        <v>4387</v>
      </c>
      <c r="K37" s="2318"/>
      <c r="L37" s="2319"/>
      <c r="M37" s="2316"/>
      <c r="R37" s="4326"/>
      <c r="S37" s="4317" t="s">
        <v>1992</v>
      </c>
      <c r="T37" s="4317" t="s">
        <v>1996</v>
      </c>
      <c r="U37" s="4334" t="s">
        <v>1995</v>
      </c>
      <c r="V37" s="4316" t="s">
        <v>3143</v>
      </c>
      <c r="W37" s="4330"/>
    </row>
    <row r="38" spans="1:23" thickBot="1">
      <c r="A38" s="2486">
        <f t="shared" si="4"/>
        <v>862.5</v>
      </c>
      <c r="B38" s="2324">
        <v>850</v>
      </c>
      <c r="C38" s="2324">
        <v>875</v>
      </c>
      <c r="D38" s="2326">
        <f t="shared" si="0"/>
        <v>86</v>
      </c>
      <c r="E38" s="2326">
        <f t="shared" si="1"/>
        <v>86</v>
      </c>
      <c r="F38" s="2326">
        <f t="shared" si="2"/>
        <v>86</v>
      </c>
      <c r="G38" s="2326">
        <f t="shared" si="3"/>
        <v>86</v>
      </c>
      <c r="H38" s="2392"/>
      <c r="I38" s="2328">
        <v>1</v>
      </c>
      <c r="J38" s="2299" t="s">
        <v>1937</v>
      </c>
      <c r="K38" s="2307"/>
      <c r="L38" s="2300"/>
      <c r="M38" s="2316"/>
      <c r="R38" s="4326">
        <v>1</v>
      </c>
      <c r="S38" s="2988">
        <v>0.1</v>
      </c>
      <c r="T38" s="2982">
        <v>0</v>
      </c>
      <c r="U38" s="2982">
        <v>0</v>
      </c>
      <c r="V38" s="2753" t="s">
        <v>1994</v>
      </c>
      <c r="W38" s="4330"/>
    </row>
    <row r="39" spans="1:23" thickBot="1">
      <c r="A39" s="2486">
        <f t="shared" si="4"/>
        <v>887.5</v>
      </c>
      <c r="B39" s="2324">
        <v>875</v>
      </c>
      <c r="C39" s="2324">
        <v>900</v>
      </c>
      <c r="D39" s="2326">
        <f t="shared" si="0"/>
        <v>89</v>
      </c>
      <c r="E39" s="2326">
        <f t="shared" si="1"/>
        <v>89</v>
      </c>
      <c r="F39" s="2326">
        <f t="shared" si="2"/>
        <v>89</v>
      </c>
      <c r="G39" s="2326">
        <f t="shared" si="3"/>
        <v>89</v>
      </c>
      <c r="H39" s="2392"/>
      <c r="I39" s="2328">
        <v>2</v>
      </c>
      <c r="J39" s="2303">
        <v>100000</v>
      </c>
      <c r="K39" s="2308"/>
      <c r="L39" s="2302"/>
      <c r="M39" s="2316"/>
      <c r="R39" s="4326">
        <v>2</v>
      </c>
      <c r="S39" s="2989">
        <v>0.12</v>
      </c>
      <c r="T39" s="2983">
        <v>14200</v>
      </c>
      <c r="U39" s="2983">
        <v>1420</v>
      </c>
      <c r="V39" s="2754" t="str">
        <f t="shared" ref="V39:V44" si="8">"plus "&amp;TEXT(S39,"0%")&amp;" of the excess over "&amp;TEXT(T39,"$0,000")</f>
        <v>plus 12% of the excess over $14,200</v>
      </c>
      <c r="W39" s="4330"/>
    </row>
    <row r="40" spans="1:23" thickBot="1">
      <c r="A40" s="2486">
        <f t="shared" si="4"/>
        <v>912.5</v>
      </c>
      <c r="B40" s="2324">
        <v>900</v>
      </c>
      <c r="C40" s="2324">
        <v>925</v>
      </c>
      <c r="D40" s="2326">
        <f t="shared" si="0"/>
        <v>91</v>
      </c>
      <c r="E40" s="2326">
        <f t="shared" si="1"/>
        <v>91</v>
      </c>
      <c r="F40" s="2326">
        <f t="shared" si="2"/>
        <v>91</v>
      </c>
      <c r="G40" s="2326">
        <f t="shared" si="3"/>
        <v>91</v>
      </c>
      <c r="H40" s="2392"/>
      <c r="I40" s="2328">
        <v>3</v>
      </c>
      <c r="J40" s="2303">
        <f>BOTT_D5</f>
        <v>164900</v>
      </c>
      <c r="K40" s="2308">
        <f>RATE_D4*100</f>
        <v>24</v>
      </c>
      <c r="L40" s="2302">
        <f>P42</f>
        <v>7431</v>
      </c>
      <c r="M40" s="2316"/>
      <c r="R40" s="4326">
        <v>3</v>
      </c>
      <c r="S40" s="2988">
        <v>0.22</v>
      </c>
      <c r="T40" s="2982">
        <v>54200</v>
      </c>
      <c r="U40" s="2982">
        <v>6220</v>
      </c>
      <c r="V40" s="2753" t="str">
        <f t="shared" si="8"/>
        <v>plus 22% of the excess over $54,200</v>
      </c>
      <c r="W40" s="4330"/>
    </row>
    <row r="41" spans="1:23" thickBot="1">
      <c r="A41" s="2486">
        <f t="shared" si="4"/>
        <v>937.5</v>
      </c>
      <c r="B41" s="2324">
        <v>925</v>
      </c>
      <c r="C41" s="2324">
        <v>950</v>
      </c>
      <c r="D41" s="2326">
        <f t="shared" si="0"/>
        <v>94</v>
      </c>
      <c r="E41" s="2326">
        <f t="shared" si="1"/>
        <v>94</v>
      </c>
      <c r="F41" s="2326">
        <f t="shared" si="2"/>
        <v>94</v>
      </c>
      <c r="G41" s="2326">
        <f t="shared" si="3"/>
        <v>94</v>
      </c>
      <c r="H41" s="2392"/>
      <c r="I41" s="2328">
        <v>4</v>
      </c>
      <c r="J41" s="2303">
        <f>BOTT_D5</f>
        <v>164900</v>
      </c>
      <c r="K41" s="2308">
        <f>RATE_D4*100</f>
        <v>24</v>
      </c>
      <c r="L41" s="2302">
        <f>P42</f>
        <v>7431</v>
      </c>
      <c r="M41" s="2316"/>
      <c r="N41" s="2524">
        <f>BOTT_D3*RATE_D3</f>
        <v>11924</v>
      </c>
      <c r="O41" s="2524">
        <f>BASE_D3</f>
        <v>6220</v>
      </c>
      <c r="P41" s="2524">
        <f>SUM(N41,-O41)</f>
        <v>5704</v>
      </c>
      <c r="R41" s="4326">
        <v>4</v>
      </c>
      <c r="S41" s="2989">
        <v>0.24</v>
      </c>
      <c r="T41" s="2983">
        <v>86350</v>
      </c>
      <c r="U41" s="2983">
        <v>13293</v>
      </c>
      <c r="V41" s="2754" t="str">
        <f t="shared" si="8"/>
        <v>plus 24% of the excess over $86,350</v>
      </c>
      <c r="W41" s="4330"/>
    </row>
    <row r="42" spans="1:23" thickBot="1">
      <c r="A42" s="2486">
        <f t="shared" si="4"/>
        <v>962.5</v>
      </c>
      <c r="B42" s="2324">
        <v>950</v>
      </c>
      <c r="C42" s="2324">
        <v>975</v>
      </c>
      <c r="D42" s="2326">
        <f t="shared" si="0"/>
        <v>96</v>
      </c>
      <c r="E42" s="2326">
        <f t="shared" si="1"/>
        <v>96</v>
      </c>
      <c r="F42" s="2326">
        <f t="shared" si="2"/>
        <v>96</v>
      </c>
      <c r="G42" s="2326">
        <f t="shared" si="3"/>
        <v>96</v>
      </c>
      <c r="H42" s="2392"/>
      <c r="I42" s="2328">
        <v>5</v>
      </c>
      <c r="J42" s="2303">
        <f>BOTT_D6</f>
        <v>209400</v>
      </c>
      <c r="K42" s="2308">
        <f>RATE_D5*100</f>
        <v>32</v>
      </c>
      <c r="L42" s="2302">
        <f>P43</f>
        <v>20623</v>
      </c>
      <c r="M42" s="2316"/>
      <c r="N42" s="2524">
        <f>BOTT_D4*RATE_D4</f>
        <v>20724</v>
      </c>
      <c r="O42" s="2524">
        <f>BASE_D4</f>
        <v>13293</v>
      </c>
      <c r="P42" s="2524">
        <f>SUM(N42,-O42)</f>
        <v>7431</v>
      </c>
      <c r="R42" s="4326">
        <v>5</v>
      </c>
      <c r="S42" s="2988">
        <v>0.32</v>
      </c>
      <c r="T42" s="2982">
        <v>164900</v>
      </c>
      <c r="U42" s="2982">
        <v>32145</v>
      </c>
      <c r="V42" s="2753" t="str">
        <f t="shared" si="8"/>
        <v>plus 32% of the excess over $164,900</v>
      </c>
      <c r="W42" s="4330"/>
    </row>
    <row r="43" spans="1:23" thickBot="1">
      <c r="A43" s="2486">
        <f t="shared" si="4"/>
        <v>987.5</v>
      </c>
      <c r="B43" s="2324">
        <v>975</v>
      </c>
      <c r="C43" s="2325">
        <v>1000</v>
      </c>
      <c r="D43" s="2326">
        <f t="shared" si="0"/>
        <v>99</v>
      </c>
      <c r="E43" s="2326">
        <f t="shared" si="1"/>
        <v>99</v>
      </c>
      <c r="F43" s="2326">
        <f t="shared" si="2"/>
        <v>99</v>
      </c>
      <c r="G43" s="2326">
        <f t="shared" si="3"/>
        <v>99</v>
      </c>
      <c r="H43" s="2392"/>
      <c r="I43" s="2328">
        <v>6</v>
      </c>
      <c r="J43" s="2303">
        <f>BOTT_D7</f>
        <v>523600</v>
      </c>
      <c r="K43" s="2308">
        <f>RATE_D6*100</f>
        <v>35</v>
      </c>
      <c r="L43" s="2302">
        <f>P44</f>
        <v>26905</v>
      </c>
      <c r="M43" s="2316"/>
      <c r="N43" s="2524">
        <f>BOTT_D5*RATE_D5</f>
        <v>52768</v>
      </c>
      <c r="O43" s="2524">
        <f>BASE_D5</f>
        <v>32145</v>
      </c>
      <c r="P43" s="2524">
        <f>SUM(N43,-O43)</f>
        <v>20623</v>
      </c>
      <c r="R43" s="4326">
        <v>6</v>
      </c>
      <c r="S43" s="2989">
        <v>0.35</v>
      </c>
      <c r="T43" s="2983">
        <v>209400</v>
      </c>
      <c r="U43" s="2983">
        <v>46385</v>
      </c>
      <c r="V43" s="2754" t="str">
        <f t="shared" si="8"/>
        <v>plus 35% of the excess over $209,400</v>
      </c>
      <c r="W43" s="4330"/>
    </row>
    <row r="44" spans="1:23" thickBot="1">
      <c r="A44" s="2486">
        <f t="shared" si="4"/>
        <v>1012.5</v>
      </c>
      <c r="B44" s="2325">
        <v>1000</v>
      </c>
      <c r="C44" s="2325">
        <v>1025</v>
      </c>
      <c r="D44" s="2326">
        <f t="shared" si="0"/>
        <v>101</v>
      </c>
      <c r="E44" s="2326">
        <f t="shared" si="1"/>
        <v>101</v>
      </c>
      <c r="F44" s="2326">
        <f t="shared" si="2"/>
        <v>101</v>
      </c>
      <c r="G44" s="2326">
        <f t="shared" si="3"/>
        <v>101</v>
      </c>
      <c r="H44" s="2392"/>
      <c r="I44" s="2328">
        <v>7</v>
      </c>
      <c r="J44" s="2305"/>
      <c r="K44" s="2309">
        <f>RATE_D7*100</f>
        <v>37</v>
      </c>
      <c r="L44" s="2306">
        <f>P45</f>
        <v>37377</v>
      </c>
      <c r="M44" s="2316"/>
      <c r="N44" s="2524">
        <f>BOTT_D6*RATE_D6</f>
        <v>73290</v>
      </c>
      <c r="O44" s="2524">
        <f>BASE_D6</f>
        <v>46385</v>
      </c>
      <c r="P44" s="2524">
        <f>SUM(N44,-O44)</f>
        <v>26905</v>
      </c>
      <c r="R44" s="4326">
        <v>7</v>
      </c>
      <c r="S44" s="2988">
        <v>0.37</v>
      </c>
      <c r="T44" s="2982">
        <v>523600</v>
      </c>
      <c r="U44" s="2982">
        <v>156355</v>
      </c>
      <c r="V44" s="2753" t="str">
        <f t="shared" si="8"/>
        <v>plus 37% of the excess over $523,600</v>
      </c>
      <c r="W44" s="4330"/>
    </row>
    <row r="45" spans="1:23" thickBot="1">
      <c r="A45" s="2486">
        <f t="shared" si="4"/>
        <v>1037.5</v>
      </c>
      <c r="B45" s="2325">
        <v>1025</v>
      </c>
      <c r="C45" s="2325">
        <v>1050</v>
      </c>
      <c r="D45" s="2326">
        <f t="shared" si="0"/>
        <v>104</v>
      </c>
      <c r="E45" s="2326">
        <f t="shared" si="1"/>
        <v>104</v>
      </c>
      <c r="F45" s="2326">
        <f t="shared" si="2"/>
        <v>104</v>
      </c>
      <c r="G45" s="2326">
        <f t="shared" si="3"/>
        <v>104</v>
      </c>
      <c r="H45" s="2392"/>
      <c r="I45" s="2330"/>
      <c r="J45" s="2320"/>
      <c r="K45" s="2320"/>
      <c r="L45" s="2320"/>
      <c r="M45" s="2321"/>
      <c r="N45" s="2524">
        <f>BOTT_D7*RATE_D7</f>
        <v>193732</v>
      </c>
      <c r="O45" s="2524">
        <f>BASE_D7</f>
        <v>156355</v>
      </c>
      <c r="P45" s="2524">
        <f>SUM(N45,-O45)</f>
        <v>37377</v>
      </c>
      <c r="R45" s="4335"/>
      <c r="S45" s="4336"/>
      <c r="T45" s="4337"/>
      <c r="U45" s="4338"/>
      <c r="V45" s="4337"/>
      <c r="W45" s="4339"/>
    </row>
    <row r="46" spans="1:23" thickTop="1">
      <c r="A46" s="2486">
        <f t="shared" si="4"/>
        <v>1062.5</v>
      </c>
      <c r="B46" s="2325">
        <v>1050</v>
      </c>
      <c r="C46" s="2325">
        <v>1075</v>
      </c>
      <c r="D46" s="2326">
        <f t="shared" si="0"/>
        <v>106</v>
      </c>
      <c r="E46" s="2326">
        <f t="shared" si="1"/>
        <v>106</v>
      </c>
      <c r="F46" s="2326">
        <f t="shared" si="2"/>
        <v>106</v>
      </c>
      <c r="G46" s="2326">
        <f t="shared" si="3"/>
        <v>106</v>
      </c>
      <c r="H46" s="2392"/>
    </row>
    <row r="47" spans="1:23" ht="15.75">
      <c r="A47" s="2486">
        <f t="shared" si="4"/>
        <v>1087.5</v>
      </c>
      <c r="B47" s="2325">
        <v>1075</v>
      </c>
      <c r="C47" s="2325">
        <v>1100</v>
      </c>
      <c r="D47" s="2326">
        <f t="shared" si="0"/>
        <v>109</v>
      </c>
      <c r="E47" s="2326">
        <f t="shared" si="1"/>
        <v>109</v>
      </c>
      <c r="F47" s="2326">
        <f t="shared" si="2"/>
        <v>109</v>
      </c>
      <c r="G47" s="2326">
        <f t="shared" si="3"/>
        <v>109</v>
      </c>
    </row>
    <row r="48" spans="1:23" ht="15.75">
      <c r="A48" s="2486">
        <f t="shared" si="4"/>
        <v>1112.5</v>
      </c>
      <c r="B48" s="2325">
        <v>1100</v>
      </c>
      <c r="C48" s="2325">
        <v>1125</v>
      </c>
      <c r="D48" s="2326">
        <f t="shared" si="0"/>
        <v>111</v>
      </c>
      <c r="E48" s="2326">
        <f t="shared" si="1"/>
        <v>111</v>
      </c>
      <c r="F48" s="2326">
        <f t="shared" si="2"/>
        <v>111</v>
      </c>
      <c r="G48" s="2326">
        <f t="shared" si="3"/>
        <v>111</v>
      </c>
    </row>
    <row r="49" spans="1:7" ht="15.75">
      <c r="A49" s="2486">
        <f t="shared" si="4"/>
        <v>1137.5</v>
      </c>
      <c r="B49" s="2325">
        <v>1125</v>
      </c>
      <c r="C49" s="2325">
        <v>1150</v>
      </c>
      <c r="D49" s="2326">
        <f t="shared" si="0"/>
        <v>114</v>
      </c>
      <c r="E49" s="2326">
        <f t="shared" si="1"/>
        <v>114</v>
      </c>
      <c r="F49" s="2326">
        <f t="shared" si="2"/>
        <v>114</v>
      </c>
      <c r="G49" s="2326">
        <f t="shared" si="3"/>
        <v>114</v>
      </c>
    </row>
    <row r="50" spans="1:7" ht="15.75">
      <c r="A50" s="2486">
        <f t="shared" si="4"/>
        <v>1162.5</v>
      </c>
      <c r="B50" s="2325">
        <v>1150</v>
      </c>
      <c r="C50" s="2325">
        <v>1175</v>
      </c>
      <c r="D50" s="2326">
        <f t="shared" si="0"/>
        <v>116</v>
      </c>
      <c r="E50" s="2326">
        <f t="shared" si="1"/>
        <v>116</v>
      </c>
      <c r="F50" s="2326">
        <f t="shared" si="2"/>
        <v>116</v>
      </c>
      <c r="G50" s="2326">
        <f t="shared" si="3"/>
        <v>116</v>
      </c>
    </row>
    <row r="51" spans="1:7" ht="15.75">
      <c r="A51" s="2486">
        <f t="shared" si="4"/>
        <v>1187.5</v>
      </c>
      <c r="B51" s="2325">
        <v>1175</v>
      </c>
      <c r="C51" s="2325">
        <v>1200</v>
      </c>
      <c r="D51" s="2326">
        <f t="shared" si="0"/>
        <v>119</v>
      </c>
      <c r="E51" s="2326">
        <f t="shared" si="1"/>
        <v>119</v>
      </c>
      <c r="F51" s="2326">
        <f t="shared" si="2"/>
        <v>119</v>
      </c>
      <c r="G51" s="2326">
        <f t="shared" si="3"/>
        <v>119</v>
      </c>
    </row>
    <row r="52" spans="1:7" ht="15.75">
      <c r="A52" s="2486">
        <f t="shared" si="4"/>
        <v>1212.5</v>
      </c>
      <c r="B52" s="2325">
        <v>1200</v>
      </c>
      <c r="C52" s="2325">
        <v>1225</v>
      </c>
      <c r="D52" s="2326">
        <f t="shared" si="0"/>
        <v>121</v>
      </c>
      <c r="E52" s="2326">
        <f t="shared" si="1"/>
        <v>121</v>
      </c>
      <c r="F52" s="2326">
        <f t="shared" si="2"/>
        <v>121</v>
      </c>
      <c r="G52" s="2326">
        <f t="shared" si="3"/>
        <v>121</v>
      </c>
    </row>
    <row r="53" spans="1:7" ht="15.75">
      <c r="A53" s="2486">
        <f t="shared" si="4"/>
        <v>1237.5</v>
      </c>
      <c r="B53" s="2325">
        <v>1225</v>
      </c>
      <c r="C53" s="2325">
        <v>1250</v>
      </c>
      <c r="D53" s="2326">
        <f t="shared" si="0"/>
        <v>124</v>
      </c>
      <c r="E53" s="2326">
        <f t="shared" si="1"/>
        <v>124</v>
      </c>
      <c r="F53" s="2326">
        <f t="shared" si="2"/>
        <v>124</v>
      </c>
      <c r="G53" s="2326">
        <f t="shared" si="3"/>
        <v>124</v>
      </c>
    </row>
    <row r="54" spans="1:7" ht="15.75">
      <c r="A54" s="2486">
        <f t="shared" si="4"/>
        <v>1262.5</v>
      </c>
      <c r="B54" s="2325">
        <v>1250</v>
      </c>
      <c r="C54" s="2325">
        <v>1275</v>
      </c>
      <c r="D54" s="2326">
        <f t="shared" si="0"/>
        <v>126</v>
      </c>
      <c r="E54" s="2326">
        <f t="shared" si="1"/>
        <v>126</v>
      </c>
      <c r="F54" s="2326">
        <f t="shared" si="2"/>
        <v>126</v>
      </c>
      <c r="G54" s="2326">
        <f t="shared" si="3"/>
        <v>126</v>
      </c>
    </row>
    <row r="55" spans="1:7" ht="15.75">
      <c r="A55" s="2486">
        <f t="shared" si="4"/>
        <v>1287.5</v>
      </c>
      <c r="B55" s="2325">
        <v>1275</v>
      </c>
      <c r="C55" s="2325">
        <v>1300</v>
      </c>
      <c r="D55" s="2326">
        <f t="shared" si="0"/>
        <v>129</v>
      </c>
      <c r="E55" s="2326">
        <f t="shared" si="1"/>
        <v>129</v>
      </c>
      <c r="F55" s="2326">
        <f t="shared" si="2"/>
        <v>129</v>
      </c>
      <c r="G55" s="2326">
        <f t="shared" si="3"/>
        <v>129</v>
      </c>
    </row>
    <row r="56" spans="1:7" ht="15.75">
      <c r="A56" s="2486">
        <f t="shared" si="4"/>
        <v>1312.5</v>
      </c>
      <c r="B56" s="2325">
        <v>1300</v>
      </c>
      <c r="C56" s="2325">
        <v>1325</v>
      </c>
      <c r="D56" s="2326">
        <f t="shared" si="0"/>
        <v>131</v>
      </c>
      <c r="E56" s="2326">
        <f t="shared" si="1"/>
        <v>131</v>
      </c>
      <c r="F56" s="2326">
        <f t="shared" si="2"/>
        <v>131</v>
      </c>
      <c r="G56" s="2326">
        <f t="shared" si="3"/>
        <v>131</v>
      </c>
    </row>
    <row r="57" spans="1:7" ht="15.75">
      <c r="A57" s="2486">
        <f t="shared" si="4"/>
        <v>1337.5</v>
      </c>
      <c r="B57" s="2325">
        <v>1325</v>
      </c>
      <c r="C57" s="2325">
        <v>1350</v>
      </c>
      <c r="D57" s="2326">
        <f t="shared" si="0"/>
        <v>134</v>
      </c>
      <c r="E57" s="2326">
        <f t="shared" si="1"/>
        <v>134</v>
      </c>
      <c r="F57" s="2326">
        <f t="shared" si="2"/>
        <v>134</v>
      </c>
      <c r="G57" s="2326">
        <f t="shared" si="3"/>
        <v>134</v>
      </c>
    </row>
    <row r="58" spans="1:7" ht="15.75">
      <c r="A58" s="2486">
        <f t="shared" si="4"/>
        <v>1362.5</v>
      </c>
      <c r="B58" s="2325">
        <v>1350</v>
      </c>
      <c r="C58" s="2325">
        <v>1375</v>
      </c>
      <c r="D58" s="2326">
        <f t="shared" si="0"/>
        <v>136</v>
      </c>
      <c r="E58" s="2326">
        <f t="shared" si="1"/>
        <v>136</v>
      </c>
      <c r="F58" s="2326">
        <f t="shared" si="2"/>
        <v>136</v>
      </c>
      <c r="G58" s="2326">
        <f t="shared" si="3"/>
        <v>136</v>
      </c>
    </row>
    <row r="59" spans="1:7" ht="15.75">
      <c r="A59" s="2486">
        <f t="shared" si="4"/>
        <v>1387.5</v>
      </c>
      <c r="B59" s="2325">
        <v>1375</v>
      </c>
      <c r="C59" s="2325">
        <v>1400</v>
      </c>
      <c r="D59" s="2326">
        <f t="shared" si="0"/>
        <v>139</v>
      </c>
      <c r="E59" s="2326">
        <f t="shared" si="1"/>
        <v>139</v>
      </c>
      <c r="F59" s="2326">
        <f t="shared" si="2"/>
        <v>139</v>
      </c>
      <c r="G59" s="2326">
        <f t="shared" si="3"/>
        <v>139</v>
      </c>
    </row>
    <row r="60" spans="1:7" ht="15.75">
      <c r="A60" s="2486">
        <f t="shared" si="4"/>
        <v>1412.5</v>
      </c>
      <c r="B60" s="2325">
        <v>1400</v>
      </c>
      <c r="C60" s="2325">
        <v>1425</v>
      </c>
      <c r="D60" s="2326">
        <f t="shared" si="0"/>
        <v>141</v>
      </c>
      <c r="E60" s="2326">
        <f t="shared" si="1"/>
        <v>141</v>
      </c>
      <c r="F60" s="2326">
        <f t="shared" si="2"/>
        <v>141</v>
      </c>
      <c r="G60" s="2326">
        <f t="shared" si="3"/>
        <v>141</v>
      </c>
    </row>
    <row r="61" spans="1:7" ht="15.75">
      <c r="A61" s="2486">
        <f t="shared" si="4"/>
        <v>1437.5</v>
      </c>
      <c r="B61" s="2325">
        <v>1425</v>
      </c>
      <c r="C61" s="2325">
        <v>1450</v>
      </c>
      <c r="D61" s="2326">
        <f t="shared" si="0"/>
        <v>144</v>
      </c>
      <c r="E61" s="2326">
        <f t="shared" si="1"/>
        <v>144</v>
      </c>
      <c r="F61" s="2326">
        <f t="shared" si="2"/>
        <v>144</v>
      </c>
      <c r="G61" s="2326">
        <f t="shared" si="3"/>
        <v>144</v>
      </c>
    </row>
    <row r="62" spans="1:7" ht="15.75">
      <c r="A62" s="2486">
        <f t="shared" si="4"/>
        <v>1462.5</v>
      </c>
      <c r="B62" s="2325">
        <v>1450</v>
      </c>
      <c r="C62" s="2325">
        <v>1475</v>
      </c>
      <c r="D62" s="2326">
        <f t="shared" si="0"/>
        <v>146</v>
      </c>
      <c r="E62" s="2326">
        <f t="shared" si="1"/>
        <v>146</v>
      </c>
      <c r="F62" s="2326">
        <f t="shared" si="2"/>
        <v>146</v>
      </c>
      <c r="G62" s="2326">
        <f t="shared" si="3"/>
        <v>146</v>
      </c>
    </row>
    <row r="63" spans="1:7" ht="15.75">
      <c r="A63" s="2486">
        <f t="shared" si="4"/>
        <v>1487.5</v>
      </c>
      <c r="B63" s="2325">
        <v>1475</v>
      </c>
      <c r="C63" s="2325">
        <v>1500</v>
      </c>
      <c r="D63" s="2326">
        <f t="shared" si="0"/>
        <v>149</v>
      </c>
      <c r="E63" s="2326">
        <f t="shared" si="1"/>
        <v>149</v>
      </c>
      <c r="F63" s="2326">
        <f t="shared" si="2"/>
        <v>149</v>
      </c>
      <c r="G63" s="2326">
        <f t="shared" si="3"/>
        <v>149</v>
      </c>
    </row>
    <row r="64" spans="1:7" ht="15.75">
      <c r="A64" s="2486">
        <f t="shared" si="4"/>
        <v>1512.5</v>
      </c>
      <c r="B64" s="2325">
        <v>1500</v>
      </c>
      <c r="C64" s="2325">
        <v>1525</v>
      </c>
      <c r="D64" s="2326">
        <f t="shared" si="0"/>
        <v>151</v>
      </c>
      <c r="E64" s="2326">
        <f t="shared" si="1"/>
        <v>151</v>
      </c>
      <c r="F64" s="2326">
        <f t="shared" si="2"/>
        <v>151</v>
      </c>
      <c r="G64" s="2326">
        <f t="shared" si="3"/>
        <v>151</v>
      </c>
    </row>
    <row r="65" spans="1:7" ht="15.75">
      <c r="A65" s="2486">
        <f t="shared" si="4"/>
        <v>1537.5</v>
      </c>
      <c r="B65" s="2325">
        <v>1525</v>
      </c>
      <c r="C65" s="2325">
        <v>1550</v>
      </c>
      <c r="D65" s="2326">
        <f t="shared" si="0"/>
        <v>154</v>
      </c>
      <c r="E65" s="2326">
        <f t="shared" si="1"/>
        <v>154</v>
      </c>
      <c r="F65" s="2326">
        <f t="shared" si="2"/>
        <v>154</v>
      </c>
      <c r="G65" s="2326">
        <f t="shared" si="3"/>
        <v>154</v>
      </c>
    </row>
    <row r="66" spans="1:7" ht="15.75">
      <c r="A66" s="2486">
        <f t="shared" si="4"/>
        <v>1562.5</v>
      </c>
      <c r="B66" s="2325">
        <v>1550</v>
      </c>
      <c r="C66" s="2325">
        <v>1575</v>
      </c>
      <c r="D66" s="2326">
        <f t="shared" ref="D66:D129" si="9">IF($A66&gt;BOTT_A4,ROUND(BASE_A4+RATE_A4*($A66-BOTT_A4),0),IF($A66&gt;BOTT_A3,ROUND(BASE_A3+RATE_A3*($A66-BOTT_A3),0),IF($A66&gt;BOTT_A2,ROUND(BASE_A2+RATE_A2*($A66-BOTT_A2),0),ROUND(RATE_A1*$A66,0))))</f>
        <v>156</v>
      </c>
      <c r="E66" s="2326">
        <f t="shared" ref="E66:E129" si="10">IF($A66&gt;BOTT_B4,ROUND(BASE_B4+RATE_B4*($A66-BOTT_B4),0),IF($A66&gt;BOTT_B3,ROUND(BASE_B3+RATE_B3*($A66-BOTT_B3),0),IF($A66&gt;BOTT_B2,ROUND(BASE_B2+RATE_B2*($A66-BOTT_B2),0),ROUND(RATE_B1*$A66,0))))</f>
        <v>156</v>
      </c>
      <c r="F66" s="2326">
        <f t="shared" ref="F66:F129" si="11">IF($A66&gt;BOTT_C4,ROUND(BASE_C4+RATE_C4*($A66-BOTT_C4),0),IF($A66&gt;BOTT_C3,ROUND(BASE_C3+RATE_C3*($A66-BOTT_C3),0),IF($A66&gt;BOTT_C2,ROUND(BASE_C2+RATE_C2*($A66-BOTT_C2),0),ROUND(RATE_C1*$A66,0))))</f>
        <v>156</v>
      </c>
      <c r="G66" s="2326">
        <f t="shared" ref="G66:G129" si="12">IF($A66&gt;BOTT_D4,ROUND(BASE_D4+RATE_D4*($A66-BOTT_D4),0),IF($A66&gt;BOTT_D3,ROUND(BASE_D3+RATE_D3*($A66-BOTT_D3),0),IF($A66&gt;BOTT_D2,ROUND(BASE_D2+RATE_D2*($A66-BOTT_D2),0),ROUND(RATE_D1*$A66,0))))</f>
        <v>156</v>
      </c>
    </row>
    <row r="67" spans="1:7" ht="15.75">
      <c r="A67" s="2486">
        <f t="shared" ref="A67:A130" si="13">AVERAGE(B67,C67)</f>
        <v>1587.5</v>
      </c>
      <c r="B67" s="2325">
        <v>1575</v>
      </c>
      <c r="C67" s="2325">
        <v>1600</v>
      </c>
      <c r="D67" s="2326">
        <f t="shared" si="9"/>
        <v>159</v>
      </c>
      <c r="E67" s="2326">
        <f t="shared" si="10"/>
        <v>159</v>
      </c>
      <c r="F67" s="2326">
        <f t="shared" si="11"/>
        <v>159</v>
      </c>
      <c r="G67" s="2326">
        <f t="shared" si="12"/>
        <v>159</v>
      </c>
    </row>
    <row r="68" spans="1:7" ht="15.75">
      <c r="A68" s="2486">
        <f t="shared" si="13"/>
        <v>1612.5</v>
      </c>
      <c r="B68" s="2325">
        <v>1600</v>
      </c>
      <c r="C68" s="2325">
        <v>1625</v>
      </c>
      <c r="D68" s="2326">
        <f t="shared" si="9"/>
        <v>161</v>
      </c>
      <c r="E68" s="2326">
        <f t="shared" si="10"/>
        <v>161</v>
      </c>
      <c r="F68" s="2326">
        <f t="shared" si="11"/>
        <v>161</v>
      </c>
      <c r="G68" s="2326">
        <f t="shared" si="12"/>
        <v>161</v>
      </c>
    </row>
    <row r="69" spans="1:7" ht="15.75">
      <c r="A69" s="2486">
        <f t="shared" si="13"/>
        <v>1637.5</v>
      </c>
      <c r="B69" s="2325">
        <v>1625</v>
      </c>
      <c r="C69" s="2325">
        <v>1650</v>
      </c>
      <c r="D69" s="2326">
        <f t="shared" si="9"/>
        <v>164</v>
      </c>
      <c r="E69" s="2326">
        <f t="shared" si="10"/>
        <v>164</v>
      </c>
      <c r="F69" s="2326">
        <f t="shared" si="11"/>
        <v>164</v>
      </c>
      <c r="G69" s="2326">
        <f t="shared" si="12"/>
        <v>164</v>
      </c>
    </row>
    <row r="70" spans="1:7" ht="15.75">
      <c r="A70" s="2486">
        <f t="shared" si="13"/>
        <v>1662.5</v>
      </c>
      <c r="B70" s="2325">
        <v>1650</v>
      </c>
      <c r="C70" s="2325">
        <v>1675</v>
      </c>
      <c r="D70" s="2326">
        <f t="shared" si="9"/>
        <v>166</v>
      </c>
      <c r="E70" s="2326">
        <f t="shared" si="10"/>
        <v>166</v>
      </c>
      <c r="F70" s="2326">
        <f t="shared" si="11"/>
        <v>166</v>
      </c>
      <c r="G70" s="2326">
        <f t="shared" si="12"/>
        <v>166</v>
      </c>
    </row>
    <row r="71" spans="1:7" ht="15.75">
      <c r="A71" s="2486">
        <f t="shared" si="13"/>
        <v>1687.5</v>
      </c>
      <c r="B71" s="2325">
        <v>1675</v>
      </c>
      <c r="C71" s="2325">
        <v>1700</v>
      </c>
      <c r="D71" s="2326">
        <f t="shared" si="9"/>
        <v>169</v>
      </c>
      <c r="E71" s="2326">
        <f t="shared" si="10"/>
        <v>169</v>
      </c>
      <c r="F71" s="2326">
        <f t="shared" si="11"/>
        <v>169</v>
      </c>
      <c r="G71" s="2326">
        <f t="shared" si="12"/>
        <v>169</v>
      </c>
    </row>
    <row r="72" spans="1:7" ht="15.75">
      <c r="A72" s="2486">
        <f t="shared" si="13"/>
        <v>1712.5</v>
      </c>
      <c r="B72" s="2325">
        <v>1700</v>
      </c>
      <c r="C72" s="2325">
        <v>1725</v>
      </c>
      <c r="D72" s="2326">
        <f t="shared" si="9"/>
        <v>171</v>
      </c>
      <c r="E72" s="2326">
        <f t="shared" si="10"/>
        <v>171</v>
      </c>
      <c r="F72" s="2326">
        <f t="shared" si="11"/>
        <v>171</v>
      </c>
      <c r="G72" s="2326">
        <f t="shared" si="12"/>
        <v>171</v>
      </c>
    </row>
    <row r="73" spans="1:7" ht="15.75">
      <c r="A73" s="2486">
        <f t="shared" si="13"/>
        <v>1737.5</v>
      </c>
      <c r="B73" s="2325">
        <v>1725</v>
      </c>
      <c r="C73" s="2325">
        <v>1750</v>
      </c>
      <c r="D73" s="2326">
        <f t="shared" si="9"/>
        <v>174</v>
      </c>
      <c r="E73" s="2326">
        <f t="shared" si="10"/>
        <v>174</v>
      </c>
      <c r="F73" s="2326">
        <f t="shared" si="11"/>
        <v>174</v>
      </c>
      <c r="G73" s="2326">
        <f t="shared" si="12"/>
        <v>174</v>
      </c>
    </row>
    <row r="74" spans="1:7" ht="15.75">
      <c r="A74" s="2486">
        <f t="shared" si="13"/>
        <v>1762.5</v>
      </c>
      <c r="B74" s="2325">
        <v>1750</v>
      </c>
      <c r="C74" s="2325">
        <v>1775</v>
      </c>
      <c r="D74" s="2326">
        <f t="shared" si="9"/>
        <v>176</v>
      </c>
      <c r="E74" s="2326">
        <f t="shared" si="10"/>
        <v>176</v>
      </c>
      <c r="F74" s="2326">
        <f t="shared" si="11"/>
        <v>176</v>
      </c>
      <c r="G74" s="2326">
        <f t="shared" si="12"/>
        <v>176</v>
      </c>
    </row>
    <row r="75" spans="1:7" ht="15.75">
      <c r="A75" s="2486">
        <f t="shared" si="13"/>
        <v>1787.5</v>
      </c>
      <c r="B75" s="2325">
        <v>1775</v>
      </c>
      <c r="C75" s="2325">
        <v>1800</v>
      </c>
      <c r="D75" s="2326">
        <f t="shared" si="9"/>
        <v>179</v>
      </c>
      <c r="E75" s="2326">
        <f t="shared" si="10"/>
        <v>179</v>
      </c>
      <c r="F75" s="2326">
        <f t="shared" si="11"/>
        <v>179</v>
      </c>
      <c r="G75" s="2326">
        <f t="shared" si="12"/>
        <v>179</v>
      </c>
    </row>
    <row r="76" spans="1:7" ht="15.75">
      <c r="A76" s="2486">
        <f t="shared" si="13"/>
        <v>1812.5</v>
      </c>
      <c r="B76" s="2325">
        <v>1800</v>
      </c>
      <c r="C76" s="2325">
        <v>1825</v>
      </c>
      <c r="D76" s="2326">
        <f t="shared" si="9"/>
        <v>181</v>
      </c>
      <c r="E76" s="2326">
        <f t="shared" si="10"/>
        <v>181</v>
      </c>
      <c r="F76" s="2326">
        <f t="shared" si="11"/>
        <v>181</v>
      </c>
      <c r="G76" s="2326">
        <f t="shared" si="12"/>
        <v>181</v>
      </c>
    </row>
    <row r="77" spans="1:7" ht="15.75">
      <c r="A77" s="2486">
        <f t="shared" si="13"/>
        <v>1837.5</v>
      </c>
      <c r="B77" s="2325">
        <v>1825</v>
      </c>
      <c r="C77" s="2325">
        <v>1850</v>
      </c>
      <c r="D77" s="2326">
        <f t="shared" si="9"/>
        <v>184</v>
      </c>
      <c r="E77" s="2326">
        <f t="shared" si="10"/>
        <v>184</v>
      </c>
      <c r="F77" s="2326">
        <f t="shared" si="11"/>
        <v>184</v>
      </c>
      <c r="G77" s="2326">
        <f t="shared" si="12"/>
        <v>184</v>
      </c>
    </row>
    <row r="78" spans="1:7" ht="15.75">
      <c r="A78" s="2486">
        <f t="shared" si="13"/>
        <v>1862.5</v>
      </c>
      <c r="B78" s="2325">
        <v>1850</v>
      </c>
      <c r="C78" s="2325">
        <v>1875</v>
      </c>
      <c r="D78" s="2326">
        <f t="shared" si="9"/>
        <v>186</v>
      </c>
      <c r="E78" s="2326">
        <f t="shared" si="10"/>
        <v>186</v>
      </c>
      <c r="F78" s="2326">
        <f t="shared" si="11"/>
        <v>186</v>
      </c>
      <c r="G78" s="2326">
        <f t="shared" si="12"/>
        <v>186</v>
      </c>
    </row>
    <row r="79" spans="1:7" ht="15.75">
      <c r="A79" s="2486">
        <f t="shared" si="13"/>
        <v>1887.5</v>
      </c>
      <c r="B79" s="2325">
        <v>1875</v>
      </c>
      <c r="C79" s="2325">
        <v>1900</v>
      </c>
      <c r="D79" s="2326">
        <f t="shared" si="9"/>
        <v>189</v>
      </c>
      <c r="E79" s="2326">
        <f t="shared" si="10"/>
        <v>189</v>
      </c>
      <c r="F79" s="2326">
        <f t="shared" si="11"/>
        <v>189</v>
      </c>
      <c r="G79" s="2326">
        <f t="shared" si="12"/>
        <v>189</v>
      </c>
    </row>
    <row r="80" spans="1:7" ht="15.75">
      <c r="A80" s="2486">
        <f t="shared" si="13"/>
        <v>1912.5</v>
      </c>
      <c r="B80" s="2325">
        <v>1900</v>
      </c>
      <c r="C80" s="2325">
        <v>1925</v>
      </c>
      <c r="D80" s="2326">
        <f t="shared" si="9"/>
        <v>191</v>
      </c>
      <c r="E80" s="2326">
        <f t="shared" si="10"/>
        <v>191</v>
      </c>
      <c r="F80" s="2326">
        <f t="shared" si="11"/>
        <v>191</v>
      </c>
      <c r="G80" s="2326">
        <f t="shared" si="12"/>
        <v>191</v>
      </c>
    </row>
    <row r="81" spans="1:7" ht="15.75">
      <c r="A81" s="2486">
        <f t="shared" si="13"/>
        <v>1937.5</v>
      </c>
      <c r="B81" s="2325">
        <v>1925</v>
      </c>
      <c r="C81" s="2325">
        <v>1950</v>
      </c>
      <c r="D81" s="2326">
        <f t="shared" si="9"/>
        <v>194</v>
      </c>
      <c r="E81" s="2326">
        <f t="shared" si="10"/>
        <v>194</v>
      </c>
      <c r="F81" s="2326">
        <f t="shared" si="11"/>
        <v>194</v>
      </c>
      <c r="G81" s="2326">
        <f t="shared" si="12"/>
        <v>194</v>
      </c>
    </row>
    <row r="82" spans="1:7" ht="15.75">
      <c r="A82" s="2486">
        <f t="shared" si="13"/>
        <v>1962.5</v>
      </c>
      <c r="B82" s="2325">
        <v>1950</v>
      </c>
      <c r="C82" s="2325">
        <v>1975</v>
      </c>
      <c r="D82" s="2326">
        <f t="shared" si="9"/>
        <v>196</v>
      </c>
      <c r="E82" s="2326">
        <f t="shared" si="10"/>
        <v>196</v>
      </c>
      <c r="F82" s="2326">
        <f t="shared" si="11"/>
        <v>196</v>
      </c>
      <c r="G82" s="2326">
        <f t="shared" si="12"/>
        <v>196</v>
      </c>
    </row>
    <row r="83" spans="1:7" ht="15.75">
      <c r="A83" s="2486">
        <f t="shared" si="13"/>
        <v>1987.5</v>
      </c>
      <c r="B83" s="2325">
        <v>1975</v>
      </c>
      <c r="C83" s="2325">
        <v>2000</v>
      </c>
      <c r="D83" s="2326">
        <f t="shared" si="9"/>
        <v>199</v>
      </c>
      <c r="E83" s="2326">
        <f t="shared" si="10"/>
        <v>199</v>
      </c>
      <c r="F83" s="2326">
        <f t="shared" si="11"/>
        <v>199</v>
      </c>
      <c r="G83" s="2326">
        <f t="shared" si="12"/>
        <v>199</v>
      </c>
    </row>
    <row r="84" spans="1:7" ht="15.75">
      <c r="A84" s="2486">
        <f t="shared" si="13"/>
        <v>2012.5</v>
      </c>
      <c r="B84" s="2325">
        <v>2000</v>
      </c>
      <c r="C84" s="2325">
        <v>2025</v>
      </c>
      <c r="D84" s="2326">
        <f t="shared" si="9"/>
        <v>201</v>
      </c>
      <c r="E84" s="2326">
        <f t="shared" si="10"/>
        <v>201</v>
      </c>
      <c r="F84" s="2326">
        <f t="shared" si="11"/>
        <v>201</v>
      </c>
      <c r="G84" s="2326">
        <f t="shared" si="12"/>
        <v>201</v>
      </c>
    </row>
    <row r="85" spans="1:7" ht="15.75">
      <c r="A85" s="2486">
        <f t="shared" si="13"/>
        <v>2037.5</v>
      </c>
      <c r="B85" s="2325">
        <v>2025</v>
      </c>
      <c r="C85" s="2325">
        <v>2050</v>
      </c>
      <c r="D85" s="2326">
        <f t="shared" si="9"/>
        <v>204</v>
      </c>
      <c r="E85" s="2326">
        <f t="shared" si="10"/>
        <v>204</v>
      </c>
      <c r="F85" s="2326">
        <f t="shared" si="11"/>
        <v>204</v>
      </c>
      <c r="G85" s="2326">
        <f t="shared" si="12"/>
        <v>204</v>
      </c>
    </row>
    <row r="86" spans="1:7" ht="15.75">
      <c r="A86" s="2486">
        <f t="shared" si="13"/>
        <v>2062.5</v>
      </c>
      <c r="B86" s="2325">
        <v>2050</v>
      </c>
      <c r="C86" s="2325">
        <v>2075</v>
      </c>
      <c r="D86" s="2326">
        <f t="shared" si="9"/>
        <v>206</v>
      </c>
      <c r="E86" s="2326">
        <f t="shared" si="10"/>
        <v>206</v>
      </c>
      <c r="F86" s="2326">
        <f t="shared" si="11"/>
        <v>206</v>
      </c>
      <c r="G86" s="2326">
        <f t="shared" si="12"/>
        <v>206</v>
      </c>
    </row>
    <row r="87" spans="1:7" ht="15.75">
      <c r="A87" s="2486">
        <f t="shared" si="13"/>
        <v>2087.5</v>
      </c>
      <c r="B87" s="2325">
        <v>2075</v>
      </c>
      <c r="C87" s="2325">
        <v>2100</v>
      </c>
      <c r="D87" s="2326">
        <f t="shared" si="9"/>
        <v>209</v>
      </c>
      <c r="E87" s="2326">
        <f t="shared" si="10"/>
        <v>209</v>
      </c>
      <c r="F87" s="2326">
        <f t="shared" si="11"/>
        <v>209</v>
      </c>
      <c r="G87" s="2326">
        <f t="shared" si="12"/>
        <v>209</v>
      </c>
    </row>
    <row r="88" spans="1:7" ht="15.75">
      <c r="A88" s="2486">
        <f t="shared" si="13"/>
        <v>2112.5</v>
      </c>
      <c r="B88" s="2325">
        <v>2100</v>
      </c>
      <c r="C88" s="2325">
        <v>2125</v>
      </c>
      <c r="D88" s="2326">
        <f t="shared" si="9"/>
        <v>211</v>
      </c>
      <c r="E88" s="2326">
        <f t="shared" si="10"/>
        <v>211</v>
      </c>
      <c r="F88" s="2326">
        <f t="shared" si="11"/>
        <v>211</v>
      </c>
      <c r="G88" s="2326">
        <f t="shared" si="12"/>
        <v>211</v>
      </c>
    </row>
    <row r="89" spans="1:7" ht="15.75">
      <c r="A89" s="2486">
        <f t="shared" si="13"/>
        <v>2137.5</v>
      </c>
      <c r="B89" s="2325">
        <v>2125</v>
      </c>
      <c r="C89" s="2325">
        <v>2150</v>
      </c>
      <c r="D89" s="2326">
        <f t="shared" si="9"/>
        <v>214</v>
      </c>
      <c r="E89" s="2326">
        <f t="shared" si="10"/>
        <v>214</v>
      </c>
      <c r="F89" s="2326">
        <f t="shared" si="11"/>
        <v>214</v>
      </c>
      <c r="G89" s="2326">
        <f t="shared" si="12"/>
        <v>214</v>
      </c>
    </row>
    <row r="90" spans="1:7" ht="15.75">
      <c r="A90" s="2486">
        <f t="shared" si="13"/>
        <v>2162.5</v>
      </c>
      <c r="B90" s="2325">
        <v>2150</v>
      </c>
      <c r="C90" s="2325">
        <v>2175</v>
      </c>
      <c r="D90" s="2326">
        <f t="shared" si="9"/>
        <v>216</v>
      </c>
      <c r="E90" s="2326">
        <f t="shared" si="10"/>
        <v>216</v>
      </c>
      <c r="F90" s="2326">
        <f t="shared" si="11"/>
        <v>216</v>
      </c>
      <c r="G90" s="2326">
        <f t="shared" si="12"/>
        <v>216</v>
      </c>
    </row>
    <row r="91" spans="1:7" ht="15.75">
      <c r="A91" s="2486">
        <f t="shared" si="13"/>
        <v>2187.5</v>
      </c>
      <c r="B91" s="2325">
        <v>2175</v>
      </c>
      <c r="C91" s="2325">
        <v>2200</v>
      </c>
      <c r="D91" s="2326">
        <f t="shared" si="9"/>
        <v>219</v>
      </c>
      <c r="E91" s="2326">
        <f t="shared" si="10"/>
        <v>219</v>
      </c>
      <c r="F91" s="2326">
        <f t="shared" si="11"/>
        <v>219</v>
      </c>
      <c r="G91" s="2326">
        <f t="shared" si="12"/>
        <v>219</v>
      </c>
    </row>
    <row r="92" spans="1:7" ht="15.75">
      <c r="A92" s="2486">
        <f t="shared" si="13"/>
        <v>2212.5</v>
      </c>
      <c r="B92" s="2325">
        <v>2200</v>
      </c>
      <c r="C92" s="2325">
        <v>2225</v>
      </c>
      <c r="D92" s="2326">
        <f t="shared" si="9"/>
        <v>221</v>
      </c>
      <c r="E92" s="2326">
        <f t="shared" si="10"/>
        <v>221</v>
      </c>
      <c r="F92" s="2326">
        <f t="shared" si="11"/>
        <v>221</v>
      </c>
      <c r="G92" s="2326">
        <f t="shared" si="12"/>
        <v>221</v>
      </c>
    </row>
    <row r="93" spans="1:7" ht="15.75">
      <c r="A93" s="2486">
        <f t="shared" si="13"/>
        <v>2237.5</v>
      </c>
      <c r="B93" s="2325">
        <v>2225</v>
      </c>
      <c r="C93" s="2325">
        <v>2250</v>
      </c>
      <c r="D93" s="2326">
        <f t="shared" si="9"/>
        <v>224</v>
      </c>
      <c r="E93" s="2326">
        <f t="shared" si="10"/>
        <v>224</v>
      </c>
      <c r="F93" s="2326">
        <f t="shared" si="11"/>
        <v>224</v>
      </c>
      <c r="G93" s="2326">
        <f t="shared" si="12"/>
        <v>224</v>
      </c>
    </row>
    <row r="94" spans="1:7" ht="15.75">
      <c r="A94" s="2486">
        <f t="shared" si="13"/>
        <v>2262.5</v>
      </c>
      <c r="B94" s="2325">
        <v>2250</v>
      </c>
      <c r="C94" s="2325">
        <v>2275</v>
      </c>
      <c r="D94" s="2326">
        <f t="shared" si="9"/>
        <v>226</v>
      </c>
      <c r="E94" s="2326">
        <f t="shared" si="10"/>
        <v>226</v>
      </c>
      <c r="F94" s="2326">
        <f t="shared" si="11"/>
        <v>226</v>
      </c>
      <c r="G94" s="2326">
        <f t="shared" si="12"/>
        <v>226</v>
      </c>
    </row>
    <row r="95" spans="1:7" ht="15.75">
      <c r="A95" s="2486">
        <f t="shared" si="13"/>
        <v>2287.5</v>
      </c>
      <c r="B95" s="2325">
        <v>2275</v>
      </c>
      <c r="C95" s="2325">
        <v>2300</v>
      </c>
      <c r="D95" s="2326">
        <f t="shared" si="9"/>
        <v>229</v>
      </c>
      <c r="E95" s="2326">
        <f t="shared" si="10"/>
        <v>229</v>
      </c>
      <c r="F95" s="2326">
        <f t="shared" si="11"/>
        <v>229</v>
      </c>
      <c r="G95" s="2326">
        <f t="shared" si="12"/>
        <v>229</v>
      </c>
    </row>
    <row r="96" spans="1:7" ht="15.75">
      <c r="A96" s="2486">
        <f t="shared" si="13"/>
        <v>2312.5</v>
      </c>
      <c r="B96" s="2325">
        <v>2300</v>
      </c>
      <c r="C96" s="2325">
        <v>2325</v>
      </c>
      <c r="D96" s="2326">
        <f t="shared" si="9"/>
        <v>231</v>
      </c>
      <c r="E96" s="2326">
        <f t="shared" si="10"/>
        <v>231</v>
      </c>
      <c r="F96" s="2326">
        <f t="shared" si="11"/>
        <v>231</v>
      </c>
      <c r="G96" s="2326">
        <f t="shared" si="12"/>
        <v>231</v>
      </c>
    </row>
    <row r="97" spans="1:7" ht="15.75">
      <c r="A97" s="2486">
        <f t="shared" si="13"/>
        <v>2337.5</v>
      </c>
      <c r="B97" s="2325">
        <v>2325</v>
      </c>
      <c r="C97" s="2325">
        <v>2350</v>
      </c>
      <c r="D97" s="2326">
        <f t="shared" si="9"/>
        <v>234</v>
      </c>
      <c r="E97" s="2326">
        <f t="shared" si="10"/>
        <v>234</v>
      </c>
      <c r="F97" s="2326">
        <f t="shared" si="11"/>
        <v>234</v>
      </c>
      <c r="G97" s="2326">
        <f t="shared" si="12"/>
        <v>234</v>
      </c>
    </row>
    <row r="98" spans="1:7" ht="15.75">
      <c r="A98" s="2486">
        <f t="shared" si="13"/>
        <v>2362.5</v>
      </c>
      <c r="B98" s="2325">
        <v>2350</v>
      </c>
      <c r="C98" s="2325">
        <v>2375</v>
      </c>
      <c r="D98" s="2326">
        <f t="shared" si="9"/>
        <v>236</v>
      </c>
      <c r="E98" s="2326">
        <f t="shared" si="10"/>
        <v>236</v>
      </c>
      <c r="F98" s="2326">
        <f t="shared" si="11"/>
        <v>236</v>
      </c>
      <c r="G98" s="2326">
        <f t="shared" si="12"/>
        <v>236</v>
      </c>
    </row>
    <row r="99" spans="1:7" ht="15.75">
      <c r="A99" s="2486">
        <f t="shared" si="13"/>
        <v>2387.5</v>
      </c>
      <c r="B99" s="2325">
        <v>2375</v>
      </c>
      <c r="C99" s="2325">
        <v>2400</v>
      </c>
      <c r="D99" s="2326">
        <f t="shared" si="9"/>
        <v>239</v>
      </c>
      <c r="E99" s="2326">
        <f t="shared" si="10"/>
        <v>239</v>
      </c>
      <c r="F99" s="2326">
        <f t="shared" si="11"/>
        <v>239</v>
      </c>
      <c r="G99" s="2326">
        <f t="shared" si="12"/>
        <v>239</v>
      </c>
    </row>
    <row r="100" spans="1:7" ht="15.75">
      <c r="A100" s="2486">
        <f t="shared" si="13"/>
        <v>2412.5</v>
      </c>
      <c r="B100" s="2325">
        <v>2400</v>
      </c>
      <c r="C100" s="2325">
        <v>2425</v>
      </c>
      <c r="D100" s="2326">
        <f t="shared" si="9"/>
        <v>241</v>
      </c>
      <c r="E100" s="2326">
        <f t="shared" si="10"/>
        <v>241</v>
      </c>
      <c r="F100" s="2326">
        <f t="shared" si="11"/>
        <v>241</v>
      </c>
      <c r="G100" s="2326">
        <f t="shared" si="12"/>
        <v>241</v>
      </c>
    </row>
    <row r="101" spans="1:7" ht="15.75">
      <c r="A101" s="2486">
        <f t="shared" si="13"/>
        <v>2437.5</v>
      </c>
      <c r="B101" s="2325">
        <v>2425</v>
      </c>
      <c r="C101" s="2325">
        <v>2450</v>
      </c>
      <c r="D101" s="2326">
        <f t="shared" si="9"/>
        <v>244</v>
      </c>
      <c r="E101" s="2326">
        <f t="shared" si="10"/>
        <v>244</v>
      </c>
      <c r="F101" s="2326">
        <f t="shared" si="11"/>
        <v>244</v>
      </c>
      <c r="G101" s="2326">
        <f t="shared" si="12"/>
        <v>244</v>
      </c>
    </row>
    <row r="102" spans="1:7" ht="15.75">
      <c r="A102" s="2486">
        <f t="shared" si="13"/>
        <v>2462.5</v>
      </c>
      <c r="B102" s="2325">
        <v>2450</v>
      </c>
      <c r="C102" s="2325">
        <v>2475</v>
      </c>
      <c r="D102" s="2326">
        <f t="shared" si="9"/>
        <v>246</v>
      </c>
      <c r="E102" s="2326">
        <f t="shared" si="10"/>
        <v>246</v>
      </c>
      <c r="F102" s="2326">
        <f t="shared" si="11"/>
        <v>246</v>
      </c>
      <c r="G102" s="2326">
        <f t="shared" si="12"/>
        <v>246</v>
      </c>
    </row>
    <row r="103" spans="1:7" ht="15.75">
      <c r="A103" s="2486">
        <f t="shared" si="13"/>
        <v>2487.5</v>
      </c>
      <c r="B103" s="2325">
        <v>2475</v>
      </c>
      <c r="C103" s="2325">
        <v>2500</v>
      </c>
      <c r="D103" s="2326">
        <f t="shared" si="9"/>
        <v>249</v>
      </c>
      <c r="E103" s="2326">
        <f t="shared" si="10"/>
        <v>249</v>
      </c>
      <c r="F103" s="2326">
        <f t="shared" si="11"/>
        <v>249</v>
      </c>
      <c r="G103" s="2326">
        <f t="shared" si="12"/>
        <v>249</v>
      </c>
    </row>
    <row r="104" spans="1:7" ht="15.75">
      <c r="A104" s="2486">
        <f t="shared" si="13"/>
        <v>2512.5</v>
      </c>
      <c r="B104" s="2325">
        <v>2500</v>
      </c>
      <c r="C104" s="2325">
        <v>2525</v>
      </c>
      <c r="D104" s="2326">
        <f t="shared" si="9"/>
        <v>251</v>
      </c>
      <c r="E104" s="2326">
        <f t="shared" si="10"/>
        <v>251</v>
      </c>
      <c r="F104" s="2326">
        <f t="shared" si="11"/>
        <v>251</v>
      </c>
      <c r="G104" s="2326">
        <f t="shared" si="12"/>
        <v>251</v>
      </c>
    </row>
    <row r="105" spans="1:7" ht="15.75">
      <c r="A105" s="2486">
        <f t="shared" si="13"/>
        <v>2537.5</v>
      </c>
      <c r="B105" s="2325">
        <v>2525</v>
      </c>
      <c r="C105" s="2325">
        <v>2550</v>
      </c>
      <c r="D105" s="2326">
        <f t="shared" si="9"/>
        <v>254</v>
      </c>
      <c r="E105" s="2326">
        <f t="shared" si="10"/>
        <v>254</v>
      </c>
      <c r="F105" s="2326">
        <f t="shared" si="11"/>
        <v>254</v>
      </c>
      <c r="G105" s="2326">
        <f t="shared" si="12"/>
        <v>254</v>
      </c>
    </row>
    <row r="106" spans="1:7" ht="15.75">
      <c r="A106" s="2486">
        <f t="shared" si="13"/>
        <v>2562.5</v>
      </c>
      <c r="B106" s="2325">
        <v>2550</v>
      </c>
      <c r="C106" s="2325">
        <v>2575</v>
      </c>
      <c r="D106" s="2326">
        <f t="shared" si="9"/>
        <v>256</v>
      </c>
      <c r="E106" s="2326">
        <f t="shared" si="10"/>
        <v>256</v>
      </c>
      <c r="F106" s="2326">
        <f t="shared" si="11"/>
        <v>256</v>
      </c>
      <c r="G106" s="2326">
        <f t="shared" si="12"/>
        <v>256</v>
      </c>
    </row>
    <row r="107" spans="1:7" ht="15.75">
      <c r="A107" s="2486">
        <f t="shared" si="13"/>
        <v>2587.5</v>
      </c>
      <c r="B107" s="2325">
        <v>2575</v>
      </c>
      <c r="C107" s="2325">
        <v>2600</v>
      </c>
      <c r="D107" s="2326">
        <f t="shared" si="9"/>
        <v>259</v>
      </c>
      <c r="E107" s="2326">
        <f t="shared" si="10"/>
        <v>259</v>
      </c>
      <c r="F107" s="2326">
        <f t="shared" si="11"/>
        <v>259</v>
      </c>
      <c r="G107" s="2326">
        <f t="shared" si="12"/>
        <v>259</v>
      </c>
    </row>
    <row r="108" spans="1:7" ht="15.75">
      <c r="A108" s="2486">
        <f t="shared" si="13"/>
        <v>2612.5</v>
      </c>
      <c r="B108" s="2325">
        <v>2600</v>
      </c>
      <c r="C108" s="2325">
        <v>2625</v>
      </c>
      <c r="D108" s="2326">
        <f t="shared" si="9"/>
        <v>261</v>
      </c>
      <c r="E108" s="2326">
        <f t="shared" si="10"/>
        <v>261</v>
      </c>
      <c r="F108" s="2326">
        <f t="shared" si="11"/>
        <v>261</v>
      </c>
      <c r="G108" s="2326">
        <f t="shared" si="12"/>
        <v>261</v>
      </c>
    </row>
    <row r="109" spans="1:7" ht="15.75">
      <c r="A109" s="2486">
        <f t="shared" si="13"/>
        <v>2637.5</v>
      </c>
      <c r="B109" s="2325">
        <v>2625</v>
      </c>
      <c r="C109" s="2325">
        <v>2650</v>
      </c>
      <c r="D109" s="2326">
        <f t="shared" si="9"/>
        <v>264</v>
      </c>
      <c r="E109" s="2326">
        <f t="shared" si="10"/>
        <v>264</v>
      </c>
      <c r="F109" s="2326">
        <f t="shared" si="11"/>
        <v>264</v>
      </c>
      <c r="G109" s="2326">
        <f t="shared" si="12"/>
        <v>264</v>
      </c>
    </row>
    <row r="110" spans="1:7" ht="15.75">
      <c r="A110" s="2486">
        <f t="shared" si="13"/>
        <v>2662.5</v>
      </c>
      <c r="B110" s="2325">
        <v>2650</v>
      </c>
      <c r="C110" s="2325">
        <v>2675</v>
      </c>
      <c r="D110" s="2326">
        <f t="shared" si="9"/>
        <v>266</v>
      </c>
      <c r="E110" s="2326">
        <f t="shared" si="10"/>
        <v>266</v>
      </c>
      <c r="F110" s="2326">
        <f t="shared" si="11"/>
        <v>266</v>
      </c>
      <c r="G110" s="2326">
        <f t="shared" si="12"/>
        <v>266</v>
      </c>
    </row>
    <row r="111" spans="1:7" ht="15.75">
      <c r="A111" s="2486">
        <f t="shared" si="13"/>
        <v>2687.5</v>
      </c>
      <c r="B111" s="2325">
        <v>2675</v>
      </c>
      <c r="C111" s="2325">
        <v>2700</v>
      </c>
      <c r="D111" s="2326">
        <f t="shared" si="9"/>
        <v>269</v>
      </c>
      <c r="E111" s="2326">
        <f t="shared" si="10"/>
        <v>269</v>
      </c>
      <c r="F111" s="2326">
        <f t="shared" si="11"/>
        <v>269</v>
      </c>
      <c r="G111" s="2326">
        <f t="shared" si="12"/>
        <v>269</v>
      </c>
    </row>
    <row r="112" spans="1:7" ht="15.75">
      <c r="A112" s="2486">
        <f t="shared" si="13"/>
        <v>2712.5</v>
      </c>
      <c r="B112" s="2325">
        <v>2700</v>
      </c>
      <c r="C112" s="2325">
        <v>2725</v>
      </c>
      <c r="D112" s="2326">
        <f t="shared" si="9"/>
        <v>271</v>
      </c>
      <c r="E112" s="2326">
        <f t="shared" si="10"/>
        <v>271</v>
      </c>
      <c r="F112" s="2326">
        <f t="shared" si="11"/>
        <v>271</v>
      </c>
      <c r="G112" s="2326">
        <f t="shared" si="12"/>
        <v>271</v>
      </c>
    </row>
    <row r="113" spans="1:7" ht="15.75">
      <c r="A113" s="2486">
        <f t="shared" si="13"/>
        <v>2737.5</v>
      </c>
      <c r="B113" s="2325">
        <v>2725</v>
      </c>
      <c r="C113" s="2325">
        <v>2750</v>
      </c>
      <c r="D113" s="2326">
        <f t="shared" si="9"/>
        <v>274</v>
      </c>
      <c r="E113" s="2326">
        <f t="shared" si="10"/>
        <v>274</v>
      </c>
      <c r="F113" s="2326">
        <f t="shared" si="11"/>
        <v>274</v>
      </c>
      <c r="G113" s="2326">
        <f t="shared" si="12"/>
        <v>274</v>
      </c>
    </row>
    <row r="114" spans="1:7" ht="15.75">
      <c r="A114" s="2486">
        <f t="shared" si="13"/>
        <v>2762.5</v>
      </c>
      <c r="B114" s="2325">
        <v>2750</v>
      </c>
      <c r="C114" s="2325">
        <v>2775</v>
      </c>
      <c r="D114" s="2326">
        <f t="shared" si="9"/>
        <v>276</v>
      </c>
      <c r="E114" s="2326">
        <f t="shared" si="10"/>
        <v>276</v>
      </c>
      <c r="F114" s="2326">
        <f t="shared" si="11"/>
        <v>276</v>
      </c>
      <c r="G114" s="2326">
        <f t="shared" si="12"/>
        <v>276</v>
      </c>
    </row>
    <row r="115" spans="1:7" ht="15.75">
      <c r="A115" s="2486">
        <f t="shared" si="13"/>
        <v>2787.5</v>
      </c>
      <c r="B115" s="2325">
        <v>2775</v>
      </c>
      <c r="C115" s="2325">
        <v>2800</v>
      </c>
      <c r="D115" s="2326">
        <f t="shared" si="9"/>
        <v>279</v>
      </c>
      <c r="E115" s="2326">
        <f t="shared" si="10"/>
        <v>279</v>
      </c>
      <c r="F115" s="2326">
        <f t="shared" si="11"/>
        <v>279</v>
      </c>
      <c r="G115" s="2326">
        <f t="shared" si="12"/>
        <v>279</v>
      </c>
    </row>
    <row r="116" spans="1:7" ht="15.75">
      <c r="A116" s="2486">
        <f t="shared" si="13"/>
        <v>2812.5</v>
      </c>
      <c r="B116" s="2325">
        <v>2800</v>
      </c>
      <c r="C116" s="2325">
        <v>2825</v>
      </c>
      <c r="D116" s="2326">
        <f t="shared" si="9"/>
        <v>281</v>
      </c>
      <c r="E116" s="2326">
        <f t="shared" si="10"/>
        <v>281</v>
      </c>
      <c r="F116" s="2326">
        <f t="shared" si="11"/>
        <v>281</v>
      </c>
      <c r="G116" s="2326">
        <f t="shared" si="12"/>
        <v>281</v>
      </c>
    </row>
    <row r="117" spans="1:7" ht="15.75">
      <c r="A117" s="2486">
        <f t="shared" si="13"/>
        <v>2837.5</v>
      </c>
      <c r="B117" s="2325">
        <v>2825</v>
      </c>
      <c r="C117" s="2325">
        <v>2850</v>
      </c>
      <c r="D117" s="2326">
        <f t="shared" si="9"/>
        <v>284</v>
      </c>
      <c r="E117" s="2326">
        <f t="shared" si="10"/>
        <v>284</v>
      </c>
      <c r="F117" s="2326">
        <f t="shared" si="11"/>
        <v>284</v>
      </c>
      <c r="G117" s="2326">
        <f t="shared" si="12"/>
        <v>284</v>
      </c>
    </row>
    <row r="118" spans="1:7" ht="15.75">
      <c r="A118" s="2486">
        <f t="shared" si="13"/>
        <v>2862.5</v>
      </c>
      <c r="B118" s="2325">
        <v>2850</v>
      </c>
      <c r="C118" s="2325">
        <v>2875</v>
      </c>
      <c r="D118" s="2326">
        <f t="shared" si="9"/>
        <v>286</v>
      </c>
      <c r="E118" s="2326">
        <f t="shared" si="10"/>
        <v>286</v>
      </c>
      <c r="F118" s="2326">
        <f t="shared" si="11"/>
        <v>286</v>
      </c>
      <c r="G118" s="2326">
        <f t="shared" si="12"/>
        <v>286</v>
      </c>
    </row>
    <row r="119" spans="1:7" ht="15.75">
      <c r="A119" s="2486">
        <f t="shared" si="13"/>
        <v>2887.5</v>
      </c>
      <c r="B119" s="2325">
        <v>2875</v>
      </c>
      <c r="C119" s="2325">
        <v>2900</v>
      </c>
      <c r="D119" s="2326">
        <f t="shared" si="9"/>
        <v>289</v>
      </c>
      <c r="E119" s="2326">
        <f t="shared" si="10"/>
        <v>289</v>
      </c>
      <c r="F119" s="2326">
        <f t="shared" si="11"/>
        <v>289</v>
      </c>
      <c r="G119" s="2326">
        <f t="shared" si="12"/>
        <v>289</v>
      </c>
    </row>
    <row r="120" spans="1:7" ht="15.75">
      <c r="A120" s="2486">
        <f t="shared" si="13"/>
        <v>2912.5</v>
      </c>
      <c r="B120" s="2325">
        <v>2900</v>
      </c>
      <c r="C120" s="2325">
        <v>2925</v>
      </c>
      <c r="D120" s="2326">
        <f t="shared" si="9"/>
        <v>291</v>
      </c>
      <c r="E120" s="2326">
        <f t="shared" si="10"/>
        <v>291</v>
      </c>
      <c r="F120" s="2326">
        <f t="shared" si="11"/>
        <v>291</v>
      </c>
      <c r="G120" s="2326">
        <f t="shared" si="12"/>
        <v>291</v>
      </c>
    </row>
    <row r="121" spans="1:7" ht="15.75">
      <c r="A121" s="2486">
        <f t="shared" si="13"/>
        <v>2937.5</v>
      </c>
      <c r="B121" s="2325">
        <v>2925</v>
      </c>
      <c r="C121" s="2325">
        <v>2950</v>
      </c>
      <c r="D121" s="2326">
        <f t="shared" si="9"/>
        <v>294</v>
      </c>
      <c r="E121" s="2326">
        <f t="shared" si="10"/>
        <v>294</v>
      </c>
      <c r="F121" s="2326">
        <f t="shared" si="11"/>
        <v>294</v>
      </c>
      <c r="G121" s="2326">
        <f t="shared" si="12"/>
        <v>294</v>
      </c>
    </row>
    <row r="122" spans="1:7" ht="15.75">
      <c r="A122" s="2486">
        <f t="shared" si="13"/>
        <v>2962.5</v>
      </c>
      <c r="B122" s="2325">
        <v>2950</v>
      </c>
      <c r="C122" s="2325">
        <v>2975</v>
      </c>
      <c r="D122" s="2326">
        <f t="shared" si="9"/>
        <v>296</v>
      </c>
      <c r="E122" s="2326">
        <f t="shared" si="10"/>
        <v>296</v>
      </c>
      <c r="F122" s="2326">
        <f t="shared" si="11"/>
        <v>296</v>
      </c>
      <c r="G122" s="2326">
        <f t="shared" si="12"/>
        <v>296</v>
      </c>
    </row>
    <row r="123" spans="1:7" ht="15.75">
      <c r="A123" s="2486">
        <f t="shared" si="13"/>
        <v>2987.5</v>
      </c>
      <c r="B123" s="2325">
        <v>2975</v>
      </c>
      <c r="C123" s="2325">
        <v>3000</v>
      </c>
      <c r="D123" s="2326">
        <f t="shared" si="9"/>
        <v>299</v>
      </c>
      <c r="E123" s="2326">
        <f t="shared" si="10"/>
        <v>299</v>
      </c>
      <c r="F123" s="2326">
        <f t="shared" si="11"/>
        <v>299</v>
      </c>
      <c r="G123" s="2326">
        <f t="shared" si="12"/>
        <v>299</v>
      </c>
    </row>
    <row r="124" spans="1:7" ht="15.75">
      <c r="A124" s="2486">
        <f t="shared" si="13"/>
        <v>3025</v>
      </c>
      <c r="B124" s="2325">
        <v>3000</v>
      </c>
      <c r="C124" s="2325">
        <v>3050</v>
      </c>
      <c r="D124" s="2326">
        <f t="shared" si="9"/>
        <v>303</v>
      </c>
      <c r="E124" s="2326">
        <f t="shared" si="10"/>
        <v>303</v>
      </c>
      <c r="F124" s="2326">
        <f t="shared" si="11"/>
        <v>303</v>
      </c>
      <c r="G124" s="2326">
        <f t="shared" si="12"/>
        <v>303</v>
      </c>
    </row>
    <row r="125" spans="1:7" ht="15.75">
      <c r="A125" s="2486">
        <f t="shared" si="13"/>
        <v>3075</v>
      </c>
      <c r="B125" s="2325">
        <v>3050</v>
      </c>
      <c r="C125" s="2325">
        <v>3100</v>
      </c>
      <c r="D125" s="2326">
        <f t="shared" si="9"/>
        <v>308</v>
      </c>
      <c r="E125" s="2326">
        <f t="shared" si="10"/>
        <v>308</v>
      </c>
      <c r="F125" s="2326">
        <f t="shared" si="11"/>
        <v>308</v>
      </c>
      <c r="G125" s="2326">
        <f t="shared" si="12"/>
        <v>308</v>
      </c>
    </row>
    <row r="126" spans="1:7" ht="15.75">
      <c r="A126" s="2486">
        <f t="shared" si="13"/>
        <v>3125</v>
      </c>
      <c r="B126" s="2325">
        <v>3100</v>
      </c>
      <c r="C126" s="2325">
        <v>3150</v>
      </c>
      <c r="D126" s="2326">
        <f t="shared" si="9"/>
        <v>313</v>
      </c>
      <c r="E126" s="2326">
        <f t="shared" si="10"/>
        <v>313</v>
      </c>
      <c r="F126" s="2326">
        <f t="shared" si="11"/>
        <v>313</v>
      </c>
      <c r="G126" s="2326">
        <f t="shared" si="12"/>
        <v>313</v>
      </c>
    </row>
    <row r="127" spans="1:7" ht="15.75">
      <c r="A127" s="2486">
        <f t="shared" si="13"/>
        <v>3175</v>
      </c>
      <c r="B127" s="2325">
        <v>3150</v>
      </c>
      <c r="C127" s="2325">
        <v>3200</v>
      </c>
      <c r="D127" s="2326">
        <f t="shared" si="9"/>
        <v>318</v>
      </c>
      <c r="E127" s="2326">
        <f t="shared" si="10"/>
        <v>318</v>
      </c>
      <c r="F127" s="2326">
        <f t="shared" si="11"/>
        <v>318</v>
      </c>
      <c r="G127" s="2326">
        <f t="shared" si="12"/>
        <v>318</v>
      </c>
    </row>
    <row r="128" spans="1:7" ht="15.75">
      <c r="A128" s="2486">
        <f t="shared" si="13"/>
        <v>3225</v>
      </c>
      <c r="B128" s="2325">
        <v>3200</v>
      </c>
      <c r="C128" s="2325">
        <v>3250</v>
      </c>
      <c r="D128" s="2326">
        <f t="shared" si="9"/>
        <v>323</v>
      </c>
      <c r="E128" s="2326">
        <f t="shared" si="10"/>
        <v>323</v>
      </c>
      <c r="F128" s="2326">
        <f t="shared" si="11"/>
        <v>323</v>
      </c>
      <c r="G128" s="2326">
        <f t="shared" si="12"/>
        <v>323</v>
      </c>
    </row>
    <row r="129" spans="1:7" ht="15.75">
      <c r="A129" s="2486">
        <f t="shared" si="13"/>
        <v>3275</v>
      </c>
      <c r="B129" s="2325">
        <v>3250</v>
      </c>
      <c r="C129" s="2325">
        <v>3300</v>
      </c>
      <c r="D129" s="2326">
        <f t="shared" si="9"/>
        <v>328</v>
      </c>
      <c r="E129" s="2326">
        <f t="shared" si="10"/>
        <v>328</v>
      </c>
      <c r="F129" s="2326">
        <f t="shared" si="11"/>
        <v>328</v>
      </c>
      <c r="G129" s="2326">
        <f t="shared" si="12"/>
        <v>328</v>
      </c>
    </row>
    <row r="130" spans="1:7" ht="15.75">
      <c r="A130" s="2486">
        <f t="shared" si="13"/>
        <v>3325</v>
      </c>
      <c r="B130" s="2325">
        <v>3300</v>
      </c>
      <c r="C130" s="2325">
        <v>3350</v>
      </c>
      <c r="D130" s="2326">
        <f t="shared" ref="D130:D193" si="14">IF($A130&gt;BOTT_A4,ROUND(BASE_A4+RATE_A4*($A130-BOTT_A4),0),IF($A130&gt;BOTT_A3,ROUND(BASE_A3+RATE_A3*($A130-BOTT_A3),0),IF($A130&gt;BOTT_A2,ROUND(BASE_A2+RATE_A2*($A130-BOTT_A2),0),ROUND(RATE_A1*$A130,0))))</f>
        <v>333</v>
      </c>
      <c r="E130" s="2326">
        <f t="shared" ref="E130:E193" si="15">IF($A130&gt;BOTT_B4,ROUND(BASE_B4+RATE_B4*($A130-BOTT_B4),0),IF($A130&gt;BOTT_B3,ROUND(BASE_B3+RATE_B3*($A130-BOTT_B3),0),IF($A130&gt;BOTT_B2,ROUND(BASE_B2+RATE_B2*($A130-BOTT_B2),0),ROUND(RATE_B1*$A130,0))))</f>
        <v>333</v>
      </c>
      <c r="F130" s="2326">
        <f t="shared" ref="F130:F193" si="16">IF($A130&gt;BOTT_C4,ROUND(BASE_C4+RATE_C4*($A130-BOTT_C4),0),IF($A130&gt;BOTT_C3,ROUND(BASE_C3+RATE_C3*($A130-BOTT_C3),0),IF($A130&gt;BOTT_C2,ROUND(BASE_C2+RATE_C2*($A130-BOTT_C2),0),ROUND(RATE_C1*$A130,0))))</f>
        <v>333</v>
      </c>
      <c r="G130" s="2326">
        <f t="shared" ref="G130:G193" si="17">IF($A130&gt;BOTT_D4,ROUND(BASE_D4+RATE_D4*($A130-BOTT_D4),0),IF($A130&gt;BOTT_D3,ROUND(BASE_D3+RATE_D3*($A130-BOTT_D3),0),IF($A130&gt;BOTT_D2,ROUND(BASE_D2+RATE_D2*($A130-BOTT_D2),0),ROUND(RATE_D1*$A130,0))))</f>
        <v>333</v>
      </c>
    </row>
    <row r="131" spans="1:7" ht="15.75">
      <c r="A131" s="2486">
        <f t="shared" ref="A131:A194" si="18">AVERAGE(B131,C131)</f>
        <v>3375</v>
      </c>
      <c r="B131" s="2325">
        <v>3350</v>
      </c>
      <c r="C131" s="2325">
        <v>3400</v>
      </c>
      <c r="D131" s="2326">
        <f t="shared" si="14"/>
        <v>338</v>
      </c>
      <c r="E131" s="2326">
        <f t="shared" si="15"/>
        <v>338</v>
      </c>
      <c r="F131" s="2326">
        <f t="shared" si="16"/>
        <v>338</v>
      </c>
      <c r="G131" s="2326">
        <f t="shared" si="17"/>
        <v>338</v>
      </c>
    </row>
    <row r="132" spans="1:7" ht="15.75">
      <c r="A132" s="2486">
        <f t="shared" si="18"/>
        <v>3425</v>
      </c>
      <c r="B132" s="2325">
        <v>3400</v>
      </c>
      <c r="C132" s="2325">
        <v>3450</v>
      </c>
      <c r="D132" s="2326">
        <f t="shared" si="14"/>
        <v>343</v>
      </c>
      <c r="E132" s="2326">
        <f t="shared" si="15"/>
        <v>343</v>
      </c>
      <c r="F132" s="2326">
        <f t="shared" si="16"/>
        <v>343</v>
      </c>
      <c r="G132" s="2326">
        <f t="shared" si="17"/>
        <v>343</v>
      </c>
    </row>
    <row r="133" spans="1:7" ht="15.75">
      <c r="A133" s="2486">
        <f t="shared" si="18"/>
        <v>3475</v>
      </c>
      <c r="B133" s="2325">
        <v>3450</v>
      </c>
      <c r="C133" s="2325">
        <v>3500</v>
      </c>
      <c r="D133" s="2326">
        <f t="shared" si="14"/>
        <v>348</v>
      </c>
      <c r="E133" s="2326">
        <f t="shared" si="15"/>
        <v>348</v>
      </c>
      <c r="F133" s="2326">
        <f t="shared" si="16"/>
        <v>348</v>
      </c>
      <c r="G133" s="2326">
        <f t="shared" si="17"/>
        <v>348</v>
      </c>
    </row>
    <row r="134" spans="1:7" ht="15.75">
      <c r="A134" s="2486">
        <f t="shared" si="18"/>
        <v>3525</v>
      </c>
      <c r="B134" s="2325">
        <v>3500</v>
      </c>
      <c r="C134" s="2325">
        <v>3550</v>
      </c>
      <c r="D134" s="2326">
        <f t="shared" si="14"/>
        <v>353</v>
      </c>
      <c r="E134" s="2326">
        <f t="shared" si="15"/>
        <v>353</v>
      </c>
      <c r="F134" s="2326">
        <f t="shared" si="16"/>
        <v>353</v>
      </c>
      <c r="G134" s="2326">
        <f t="shared" si="17"/>
        <v>353</v>
      </c>
    </row>
    <row r="135" spans="1:7" ht="15.75">
      <c r="A135" s="2486">
        <f t="shared" si="18"/>
        <v>3575</v>
      </c>
      <c r="B135" s="2325">
        <v>3550</v>
      </c>
      <c r="C135" s="2325">
        <v>3600</v>
      </c>
      <c r="D135" s="2326">
        <f t="shared" si="14"/>
        <v>358</v>
      </c>
      <c r="E135" s="2326">
        <f t="shared" si="15"/>
        <v>358</v>
      </c>
      <c r="F135" s="2326">
        <f t="shared" si="16"/>
        <v>358</v>
      </c>
      <c r="G135" s="2326">
        <f t="shared" si="17"/>
        <v>358</v>
      </c>
    </row>
    <row r="136" spans="1:7" ht="15.75">
      <c r="A136" s="2486">
        <f t="shared" si="18"/>
        <v>3625</v>
      </c>
      <c r="B136" s="2325">
        <v>3600</v>
      </c>
      <c r="C136" s="2325">
        <v>3650</v>
      </c>
      <c r="D136" s="2326">
        <f t="shared" si="14"/>
        <v>363</v>
      </c>
      <c r="E136" s="2326">
        <f t="shared" si="15"/>
        <v>363</v>
      </c>
      <c r="F136" s="2326">
        <f t="shared" si="16"/>
        <v>363</v>
      </c>
      <c r="G136" s="2326">
        <f t="shared" si="17"/>
        <v>363</v>
      </c>
    </row>
    <row r="137" spans="1:7" ht="15.75">
      <c r="A137" s="2486">
        <f t="shared" si="18"/>
        <v>3675</v>
      </c>
      <c r="B137" s="2325">
        <v>3650</v>
      </c>
      <c r="C137" s="2325">
        <v>3700</v>
      </c>
      <c r="D137" s="2326">
        <f t="shared" si="14"/>
        <v>368</v>
      </c>
      <c r="E137" s="2326">
        <f t="shared" si="15"/>
        <v>368</v>
      </c>
      <c r="F137" s="2326">
        <f t="shared" si="16"/>
        <v>368</v>
      </c>
      <c r="G137" s="2326">
        <f t="shared" si="17"/>
        <v>368</v>
      </c>
    </row>
    <row r="138" spans="1:7" ht="15.75">
      <c r="A138" s="2486">
        <f t="shared" si="18"/>
        <v>3725</v>
      </c>
      <c r="B138" s="2325">
        <v>3700</v>
      </c>
      <c r="C138" s="2325">
        <v>3750</v>
      </c>
      <c r="D138" s="2326">
        <f t="shared" si="14"/>
        <v>373</v>
      </c>
      <c r="E138" s="2326">
        <f t="shared" si="15"/>
        <v>373</v>
      </c>
      <c r="F138" s="2326">
        <f t="shared" si="16"/>
        <v>373</v>
      </c>
      <c r="G138" s="2326">
        <f t="shared" si="17"/>
        <v>373</v>
      </c>
    </row>
    <row r="139" spans="1:7" ht="15.75">
      <c r="A139" s="2486">
        <f t="shared" si="18"/>
        <v>3775</v>
      </c>
      <c r="B139" s="2325">
        <v>3750</v>
      </c>
      <c r="C139" s="2325">
        <v>3800</v>
      </c>
      <c r="D139" s="2326">
        <f t="shared" si="14"/>
        <v>378</v>
      </c>
      <c r="E139" s="2326">
        <f t="shared" si="15"/>
        <v>378</v>
      </c>
      <c r="F139" s="2326">
        <f t="shared" si="16"/>
        <v>378</v>
      </c>
      <c r="G139" s="2326">
        <f t="shared" si="17"/>
        <v>378</v>
      </c>
    </row>
    <row r="140" spans="1:7" ht="15.75">
      <c r="A140" s="2486">
        <f t="shared" si="18"/>
        <v>3825</v>
      </c>
      <c r="B140" s="2325">
        <v>3800</v>
      </c>
      <c r="C140" s="2325">
        <v>3850</v>
      </c>
      <c r="D140" s="2326">
        <f t="shared" si="14"/>
        <v>383</v>
      </c>
      <c r="E140" s="2326">
        <f t="shared" si="15"/>
        <v>383</v>
      </c>
      <c r="F140" s="2326">
        <f t="shared" si="16"/>
        <v>383</v>
      </c>
      <c r="G140" s="2326">
        <f t="shared" si="17"/>
        <v>383</v>
      </c>
    </row>
    <row r="141" spans="1:7" ht="15.75">
      <c r="A141" s="2486">
        <f t="shared" si="18"/>
        <v>3875</v>
      </c>
      <c r="B141" s="2325">
        <v>3850</v>
      </c>
      <c r="C141" s="2325">
        <v>3900</v>
      </c>
      <c r="D141" s="2326">
        <f t="shared" si="14"/>
        <v>388</v>
      </c>
      <c r="E141" s="2326">
        <f t="shared" si="15"/>
        <v>388</v>
      </c>
      <c r="F141" s="2326">
        <f t="shared" si="16"/>
        <v>388</v>
      </c>
      <c r="G141" s="2326">
        <f t="shared" si="17"/>
        <v>388</v>
      </c>
    </row>
    <row r="142" spans="1:7" ht="15.75">
      <c r="A142" s="2486">
        <f t="shared" si="18"/>
        <v>3925</v>
      </c>
      <c r="B142" s="2325">
        <v>3900</v>
      </c>
      <c r="C142" s="2325">
        <v>3950</v>
      </c>
      <c r="D142" s="2326">
        <f t="shared" si="14"/>
        <v>393</v>
      </c>
      <c r="E142" s="2326">
        <f t="shared" si="15"/>
        <v>393</v>
      </c>
      <c r="F142" s="2326">
        <f t="shared" si="16"/>
        <v>393</v>
      </c>
      <c r="G142" s="2326">
        <f t="shared" si="17"/>
        <v>393</v>
      </c>
    </row>
    <row r="143" spans="1:7" ht="15.75">
      <c r="A143" s="2486">
        <f t="shared" si="18"/>
        <v>3975</v>
      </c>
      <c r="B143" s="2325">
        <v>3950</v>
      </c>
      <c r="C143" s="2325">
        <v>4000</v>
      </c>
      <c r="D143" s="2326">
        <f t="shared" si="14"/>
        <v>398</v>
      </c>
      <c r="E143" s="2326">
        <f t="shared" si="15"/>
        <v>398</v>
      </c>
      <c r="F143" s="2326">
        <f t="shared" si="16"/>
        <v>398</v>
      </c>
      <c r="G143" s="2326">
        <f t="shared" si="17"/>
        <v>398</v>
      </c>
    </row>
    <row r="144" spans="1:7" ht="15.75">
      <c r="A144" s="2486">
        <f t="shared" si="18"/>
        <v>4025</v>
      </c>
      <c r="B144" s="2325">
        <v>4000</v>
      </c>
      <c r="C144" s="2325">
        <v>4050</v>
      </c>
      <c r="D144" s="2326">
        <f t="shared" si="14"/>
        <v>403</v>
      </c>
      <c r="E144" s="2326">
        <f t="shared" si="15"/>
        <v>403</v>
      </c>
      <c r="F144" s="2326">
        <f t="shared" si="16"/>
        <v>403</v>
      </c>
      <c r="G144" s="2326">
        <f t="shared" si="17"/>
        <v>403</v>
      </c>
    </row>
    <row r="145" spans="1:7" ht="15.75">
      <c r="A145" s="2486">
        <f t="shared" si="18"/>
        <v>4075</v>
      </c>
      <c r="B145" s="2325">
        <v>4050</v>
      </c>
      <c r="C145" s="2325">
        <v>4100</v>
      </c>
      <c r="D145" s="2326">
        <f t="shared" si="14"/>
        <v>408</v>
      </c>
      <c r="E145" s="2326">
        <f t="shared" si="15"/>
        <v>408</v>
      </c>
      <c r="F145" s="2326">
        <f t="shared" si="16"/>
        <v>408</v>
      </c>
      <c r="G145" s="2326">
        <f t="shared" si="17"/>
        <v>408</v>
      </c>
    </row>
    <row r="146" spans="1:7" ht="15.75">
      <c r="A146" s="2486">
        <f t="shared" si="18"/>
        <v>4125</v>
      </c>
      <c r="B146" s="2325">
        <v>4100</v>
      </c>
      <c r="C146" s="2325">
        <v>4150</v>
      </c>
      <c r="D146" s="2326">
        <f t="shared" si="14"/>
        <v>413</v>
      </c>
      <c r="E146" s="2326">
        <f t="shared" si="15"/>
        <v>413</v>
      </c>
      <c r="F146" s="2326">
        <f t="shared" si="16"/>
        <v>413</v>
      </c>
      <c r="G146" s="2326">
        <f t="shared" si="17"/>
        <v>413</v>
      </c>
    </row>
    <row r="147" spans="1:7" ht="15.75">
      <c r="A147" s="2486">
        <f t="shared" si="18"/>
        <v>4175</v>
      </c>
      <c r="B147" s="2325">
        <v>4150</v>
      </c>
      <c r="C147" s="2325">
        <v>4200</v>
      </c>
      <c r="D147" s="2326">
        <f t="shared" si="14"/>
        <v>418</v>
      </c>
      <c r="E147" s="2326">
        <f t="shared" si="15"/>
        <v>418</v>
      </c>
      <c r="F147" s="2326">
        <f t="shared" si="16"/>
        <v>418</v>
      </c>
      <c r="G147" s="2326">
        <f t="shared" si="17"/>
        <v>418</v>
      </c>
    </row>
    <row r="148" spans="1:7" ht="15.75">
      <c r="A148" s="2486">
        <f t="shared" si="18"/>
        <v>4225</v>
      </c>
      <c r="B148" s="2325">
        <v>4200</v>
      </c>
      <c r="C148" s="2325">
        <v>4250</v>
      </c>
      <c r="D148" s="2326">
        <f t="shared" si="14"/>
        <v>423</v>
      </c>
      <c r="E148" s="2326">
        <f t="shared" si="15"/>
        <v>423</v>
      </c>
      <c r="F148" s="2326">
        <f t="shared" si="16"/>
        <v>423</v>
      </c>
      <c r="G148" s="2326">
        <f t="shared" si="17"/>
        <v>423</v>
      </c>
    </row>
    <row r="149" spans="1:7" ht="15.75">
      <c r="A149" s="2486">
        <f t="shared" si="18"/>
        <v>4275</v>
      </c>
      <c r="B149" s="2325">
        <v>4250</v>
      </c>
      <c r="C149" s="2325">
        <v>4300</v>
      </c>
      <c r="D149" s="2326">
        <f t="shared" si="14"/>
        <v>428</v>
      </c>
      <c r="E149" s="2326">
        <f t="shared" si="15"/>
        <v>428</v>
      </c>
      <c r="F149" s="2326">
        <f t="shared" si="16"/>
        <v>428</v>
      </c>
      <c r="G149" s="2326">
        <f t="shared" si="17"/>
        <v>428</v>
      </c>
    </row>
    <row r="150" spans="1:7" ht="15.75">
      <c r="A150" s="2486">
        <f t="shared" si="18"/>
        <v>4325</v>
      </c>
      <c r="B150" s="2325">
        <v>4300</v>
      </c>
      <c r="C150" s="2325">
        <v>4350</v>
      </c>
      <c r="D150" s="2326">
        <f t="shared" si="14"/>
        <v>433</v>
      </c>
      <c r="E150" s="2326">
        <f t="shared" si="15"/>
        <v>433</v>
      </c>
      <c r="F150" s="2326">
        <f t="shared" si="16"/>
        <v>433</v>
      </c>
      <c r="G150" s="2326">
        <f t="shared" si="17"/>
        <v>433</v>
      </c>
    </row>
    <row r="151" spans="1:7" ht="15.75">
      <c r="A151" s="2486">
        <f t="shared" si="18"/>
        <v>4375</v>
      </c>
      <c r="B151" s="2325">
        <v>4350</v>
      </c>
      <c r="C151" s="2325">
        <v>4400</v>
      </c>
      <c r="D151" s="2326">
        <f t="shared" si="14"/>
        <v>438</v>
      </c>
      <c r="E151" s="2326">
        <f t="shared" si="15"/>
        <v>438</v>
      </c>
      <c r="F151" s="2326">
        <f t="shared" si="16"/>
        <v>438</v>
      </c>
      <c r="G151" s="2326">
        <f t="shared" si="17"/>
        <v>438</v>
      </c>
    </row>
    <row r="152" spans="1:7" ht="15.75">
      <c r="A152" s="2486">
        <f t="shared" si="18"/>
        <v>4425</v>
      </c>
      <c r="B152" s="2325">
        <v>4400</v>
      </c>
      <c r="C152" s="2325">
        <v>4450</v>
      </c>
      <c r="D152" s="2326">
        <f t="shared" si="14"/>
        <v>443</v>
      </c>
      <c r="E152" s="2326">
        <f t="shared" si="15"/>
        <v>443</v>
      </c>
      <c r="F152" s="2326">
        <f t="shared" si="16"/>
        <v>443</v>
      </c>
      <c r="G152" s="2326">
        <f t="shared" si="17"/>
        <v>443</v>
      </c>
    </row>
    <row r="153" spans="1:7" ht="15.75">
      <c r="A153" s="2486">
        <f t="shared" si="18"/>
        <v>4475</v>
      </c>
      <c r="B153" s="2325">
        <v>4450</v>
      </c>
      <c r="C153" s="2325">
        <v>4500</v>
      </c>
      <c r="D153" s="2326">
        <f t="shared" si="14"/>
        <v>448</v>
      </c>
      <c r="E153" s="2326">
        <f t="shared" si="15"/>
        <v>448</v>
      </c>
      <c r="F153" s="2326">
        <f t="shared" si="16"/>
        <v>448</v>
      </c>
      <c r="G153" s="2326">
        <f t="shared" si="17"/>
        <v>448</v>
      </c>
    </row>
    <row r="154" spans="1:7" ht="15.75">
      <c r="A154" s="2486">
        <f t="shared" si="18"/>
        <v>4525</v>
      </c>
      <c r="B154" s="2325">
        <v>4500</v>
      </c>
      <c r="C154" s="2325">
        <v>4550</v>
      </c>
      <c r="D154" s="2326">
        <f t="shared" si="14"/>
        <v>453</v>
      </c>
      <c r="E154" s="2326">
        <f t="shared" si="15"/>
        <v>453</v>
      </c>
      <c r="F154" s="2326">
        <f t="shared" si="16"/>
        <v>453</v>
      </c>
      <c r="G154" s="2326">
        <f t="shared" si="17"/>
        <v>453</v>
      </c>
    </row>
    <row r="155" spans="1:7" ht="15.75">
      <c r="A155" s="2486">
        <f t="shared" si="18"/>
        <v>4575</v>
      </c>
      <c r="B155" s="2325">
        <v>4550</v>
      </c>
      <c r="C155" s="2325">
        <v>4600</v>
      </c>
      <c r="D155" s="2326">
        <f t="shared" si="14"/>
        <v>458</v>
      </c>
      <c r="E155" s="2326">
        <f t="shared" si="15"/>
        <v>458</v>
      </c>
      <c r="F155" s="2326">
        <f t="shared" si="16"/>
        <v>458</v>
      </c>
      <c r="G155" s="2326">
        <f t="shared" si="17"/>
        <v>458</v>
      </c>
    </row>
    <row r="156" spans="1:7" ht="15.75">
      <c r="A156" s="2486">
        <f t="shared" si="18"/>
        <v>4625</v>
      </c>
      <c r="B156" s="2325">
        <v>4600</v>
      </c>
      <c r="C156" s="2325">
        <v>4650</v>
      </c>
      <c r="D156" s="2326">
        <f t="shared" si="14"/>
        <v>463</v>
      </c>
      <c r="E156" s="2326">
        <f t="shared" si="15"/>
        <v>463</v>
      </c>
      <c r="F156" s="2326">
        <f t="shared" si="16"/>
        <v>463</v>
      </c>
      <c r="G156" s="2326">
        <f t="shared" si="17"/>
        <v>463</v>
      </c>
    </row>
    <row r="157" spans="1:7" ht="15.75">
      <c r="A157" s="2486">
        <f t="shared" si="18"/>
        <v>4675</v>
      </c>
      <c r="B157" s="2325">
        <v>4650</v>
      </c>
      <c r="C157" s="2325">
        <v>4700</v>
      </c>
      <c r="D157" s="2326">
        <f t="shared" si="14"/>
        <v>468</v>
      </c>
      <c r="E157" s="2326">
        <f t="shared" si="15"/>
        <v>468</v>
      </c>
      <c r="F157" s="2326">
        <f t="shared" si="16"/>
        <v>468</v>
      </c>
      <c r="G157" s="2326">
        <f t="shared" si="17"/>
        <v>468</v>
      </c>
    </row>
    <row r="158" spans="1:7" ht="15.75">
      <c r="A158" s="2486">
        <f t="shared" si="18"/>
        <v>4725</v>
      </c>
      <c r="B158" s="2325">
        <v>4700</v>
      </c>
      <c r="C158" s="2325">
        <v>4750</v>
      </c>
      <c r="D158" s="2326">
        <f t="shared" si="14"/>
        <v>473</v>
      </c>
      <c r="E158" s="2326">
        <f t="shared" si="15"/>
        <v>473</v>
      </c>
      <c r="F158" s="2326">
        <f t="shared" si="16"/>
        <v>473</v>
      </c>
      <c r="G158" s="2326">
        <f t="shared" si="17"/>
        <v>473</v>
      </c>
    </row>
    <row r="159" spans="1:7" ht="15.75">
      <c r="A159" s="2486">
        <f t="shared" si="18"/>
        <v>4775</v>
      </c>
      <c r="B159" s="2325">
        <v>4750</v>
      </c>
      <c r="C159" s="2325">
        <v>4800</v>
      </c>
      <c r="D159" s="2326">
        <f t="shared" si="14"/>
        <v>478</v>
      </c>
      <c r="E159" s="2326">
        <f t="shared" si="15"/>
        <v>478</v>
      </c>
      <c r="F159" s="2326">
        <f t="shared" si="16"/>
        <v>478</v>
      </c>
      <c r="G159" s="2326">
        <f t="shared" si="17"/>
        <v>478</v>
      </c>
    </row>
    <row r="160" spans="1:7" ht="15.75">
      <c r="A160" s="2486">
        <f t="shared" si="18"/>
        <v>4825</v>
      </c>
      <c r="B160" s="2325">
        <v>4800</v>
      </c>
      <c r="C160" s="2325">
        <v>4850</v>
      </c>
      <c r="D160" s="2326">
        <f t="shared" si="14"/>
        <v>483</v>
      </c>
      <c r="E160" s="2326">
        <f t="shared" si="15"/>
        <v>483</v>
      </c>
      <c r="F160" s="2326">
        <f t="shared" si="16"/>
        <v>483</v>
      </c>
      <c r="G160" s="2326">
        <f t="shared" si="17"/>
        <v>483</v>
      </c>
    </row>
    <row r="161" spans="1:7" ht="15.75">
      <c r="A161" s="2486">
        <f t="shared" si="18"/>
        <v>4875</v>
      </c>
      <c r="B161" s="2325">
        <v>4850</v>
      </c>
      <c r="C161" s="2325">
        <v>4900</v>
      </c>
      <c r="D161" s="2326">
        <f t="shared" si="14"/>
        <v>488</v>
      </c>
      <c r="E161" s="2326">
        <f t="shared" si="15"/>
        <v>488</v>
      </c>
      <c r="F161" s="2326">
        <f t="shared" si="16"/>
        <v>488</v>
      </c>
      <c r="G161" s="2326">
        <f t="shared" si="17"/>
        <v>488</v>
      </c>
    </row>
    <row r="162" spans="1:7" ht="15.75">
      <c r="A162" s="2486">
        <f t="shared" si="18"/>
        <v>4925</v>
      </c>
      <c r="B162" s="2325">
        <v>4900</v>
      </c>
      <c r="C162" s="2325">
        <v>4950</v>
      </c>
      <c r="D162" s="2326">
        <f t="shared" si="14"/>
        <v>493</v>
      </c>
      <c r="E162" s="2326">
        <f t="shared" si="15"/>
        <v>493</v>
      </c>
      <c r="F162" s="2326">
        <f t="shared" si="16"/>
        <v>493</v>
      </c>
      <c r="G162" s="2326">
        <f t="shared" si="17"/>
        <v>493</v>
      </c>
    </row>
    <row r="163" spans="1:7" ht="15.75">
      <c r="A163" s="2486">
        <f t="shared" si="18"/>
        <v>4975</v>
      </c>
      <c r="B163" s="2325">
        <v>4950</v>
      </c>
      <c r="C163" s="2325">
        <v>5000</v>
      </c>
      <c r="D163" s="2326">
        <f t="shared" si="14"/>
        <v>498</v>
      </c>
      <c r="E163" s="2326">
        <f t="shared" si="15"/>
        <v>498</v>
      </c>
      <c r="F163" s="2326">
        <f t="shared" si="16"/>
        <v>498</v>
      </c>
      <c r="G163" s="2326">
        <f t="shared" si="17"/>
        <v>498</v>
      </c>
    </row>
    <row r="164" spans="1:7" ht="15.75">
      <c r="A164" s="2486">
        <f t="shared" si="18"/>
        <v>5025</v>
      </c>
      <c r="B164" s="2325">
        <v>5000</v>
      </c>
      <c r="C164" s="2325">
        <v>5050</v>
      </c>
      <c r="D164" s="2326">
        <f t="shared" si="14"/>
        <v>503</v>
      </c>
      <c r="E164" s="2326">
        <f t="shared" si="15"/>
        <v>503</v>
      </c>
      <c r="F164" s="2326">
        <f t="shared" si="16"/>
        <v>503</v>
      </c>
      <c r="G164" s="2326">
        <f t="shared" si="17"/>
        <v>503</v>
      </c>
    </row>
    <row r="165" spans="1:7" ht="15.75">
      <c r="A165" s="2486">
        <f t="shared" si="18"/>
        <v>5075</v>
      </c>
      <c r="B165" s="2325">
        <v>5050</v>
      </c>
      <c r="C165" s="2325">
        <v>5100</v>
      </c>
      <c r="D165" s="2326">
        <f t="shared" si="14"/>
        <v>508</v>
      </c>
      <c r="E165" s="2326">
        <f t="shared" si="15"/>
        <v>508</v>
      </c>
      <c r="F165" s="2326">
        <f t="shared" si="16"/>
        <v>508</v>
      </c>
      <c r="G165" s="2326">
        <f t="shared" si="17"/>
        <v>508</v>
      </c>
    </row>
    <row r="166" spans="1:7" ht="15.75">
      <c r="A166" s="2486">
        <f t="shared" si="18"/>
        <v>5125</v>
      </c>
      <c r="B166" s="2325">
        <v>5100</v>
      </c>
      <c r="C166" s="2325">
        <v>5150</v>
      </c>
      <c r="D166" s="2326">
        <f t="shared" si="14"/>
        <v>513</v>
      </c>
      <c r="E166" s="2326">
        <f t="shared" si="15"/>
        <v>513</v>
      </c>
      <c r="F166" s="2326">
        <f t="shared" si="16"/>
        <v>513</v>
      </c>
      <c r="G166" s="2326">
        <f t="shared" si="17"/>
        <v>513</v>
      </c>
    </row>
    <row r="167" spans="1:7" ht="15.75">
      <c r="A167" s="2486">
        <f t="shared" si="18"/>
        <v>5175</v>
      </c>
      <c r="B167" s="2325">
        <v>5150</v>
      </c>
      <c r="C167" s="2325">
        <v>5200</v>
      </c>
      <c r="D167" s="2326">
        <f t="shared" si="14"/>
        <v>518</v>
      </c>
      <c r="E167" s="2326">
        <f t="shared" si="15"/>
        <v>518</v>
      </c>
      <c r="F167" s="2326">
        <f t="shared" si="16"/>
        <v>518</v>
      </c>
      <c r="G167" s="2326">
        <f t="shared" si="17"/>
        <v>518</v>
      </c>
    </row>
    <row r="168" spans="1:7" ht="15.75">
      <c r="A168" s="2486">
        <f t="shared" si="18"/>
        <v>5225</v>
      </c>
      <c r="B168" s="2325">
        <v>5200</v>
      </c>
      <c r="C168" s="2325">
        <v>5250</v>
      </c>
      <c r="D168" s="2326">
        <f t="shared" si="14"/>
        <v>523</v>
      </c>
      <c r="E168" s="2326">
        <f t="shared" si="15"/>
        <v>523</v>
      </c>
      <c r="F168" s="2326">
        <f t="shared" si="16"/>
        <v>523</v>
      </c>
      <c r="G168" s="2326">
        <f t="shared" si="17"/>
        <v>523</v>
      </c>
    </row>
    <row r="169" spans="1:7" ht="15.75">
      <c r="A169" s="2486">
        <f t="shared" si="18"/>
        <v>5275</v>
      </c>
      <c r="B169" s="2325">
        <v>5250</v>
      </c>
      <c r="C169" s="2325">
        <v>5300</v>
      </c>
      <c r="D169" s="2326">
        <f t="shared" si="14"/>
        <v>528</v>
      </c>
      <c r="E169" s="2326">
        <f t="shared" si="15"/>
        <v>528</v>
      </c>
      <c r="F169" s="2326">
        <f t="shared" si="16"/>
        <v>528</v>
      </c>
      <c r="G169" s="2326">
        <f t="shared" si="17"/>
        <v>528</v>
      </c>
    </row>
    <row r="170" spans="1:7" ht="15.75">
      <c r="A170" s="2486">
        <f t="shared" si="18"/>
        <v>5325</v>
      </c>
      <c r="B170" s="2325">
        <v>5300</v>
      </c>
      <c r="C170" s="2325">
        <v>5350</v>
      </c>
      <c r="D170" s="2326">
        <f t="shared" si="14"/>
        <v>533</v>
      </c>
      <c r="E170" s="2326">
        <f t="shared" si="15"/>
        <v>533</v>
      </c>
      <c r="F170" s="2326">
        <f t="shared" si="16"/>
        <v>533</v>
      </c>
      <c r="G170" s="2326">
        <f t="shared" si="17"/>
        <v>533</v>
      </c>
    </row>
    <row r="171" spans="1:7" ht="15.75">
      <c r="A171" s="2486">
        <f t="shared" si="18"/>
        <v>5375</v>
      </c>
      <c r="B171" s="2325">
        <v>5350</v>
      </c>
      <c r="C171" s="2325">
        <v>5400</v>
      </c>
      <c r="D171" s="2326">
        <f t="shared" si="14"/>
        <v>538</v>
      </c>
      <c r="E171" s="2326">
        <f t="shared" si="15"/>
        <v>538</v>
      </c>
      <c r="F171" s="2326">
        <f t="shared" si="16"/>
        <v>538</v>
      </c>
      <c r="G171" s="2326">
        <f t="shared" si="17"/>
        <v>538</v>
      </c>
    </row>
    <row r="172" spans="1:7" ht="15.75">
      <c r="A172" s="2486">
        <f t="shared" si="18"/>
        <v>5425</v>
      </c>
      <c r="B172" s="2325">
        <v>5400</v>
      </c>
      <c r="C172" s="2325">
        <v>5450</v>
      </c>
      <c r="D172" s="2326">
        <f t="shared" si="14"/>
        <v>543</v>
      </c>
      <c r="E172" s="2326">
        <f t="shared" si="15"/>
        <v>543</v>
      </c>
      <c r="F172" s="2326">
        <f t="shared" si="16"/>
        <v>543</v>
      </c>
      <c r="G172" s="2326">
        <f t="shared" si="17"/>
        <v>543</v>
      </c>
    </row>
    <row r="173" spans="1:7" ht="15.75">
      <c r="A173" s="2486">
        <f t="shared" si="18"/>
        <v>5475</v>
      </c>
      <c r="B173" s="2325">
        <v>5450</v>
      </c>
      <c r="C173" s="2325">
        <v>5500</v>
      </c>
      <c r="D173" s="2326">
        <f t="shared" si="14"/>
        <v>548</v>
      </c>
      <c r="E173" s="2326">
        <f t="shared" si="15"/>
        <v>548</v>
      </c>
      <c r="F173" s="2326">
        <f t="shared" si="16"/>
        <v>548</v>
      </c>
      <c r="G173" s="2326">
        <f t="shared" si="17"/>
        <v>548</v>
      </c>
    </row>
    <row r="174" spans="1:7" ht="15.75">
      <c r="A174" s="2486">
        <f t="shared" si="18"/>
        <v>5525</v>
      </c>
      <c r="B174" s="2325">
        <v>5500</v>
      </c>
      <c r="C174" s="2325">
        <v>5550</v>
      </c>
      <c r="D174" s="2326">
        <f t="shared" si="14"/>
        <v>553</v>
      </c>
      <c r="E174" s="2326">
        <f t="shared" si="15"/>
        <v>553</v>
      </c>
      <c r="F174" s="2326">
        <f t="shared" si="16"/>
        <v>553</v>
      </c>
      <c r="G174" s="2326">
        <f t="shared" si="17"/>
        <v>553</v>
      </c>
    </row>
    <row r="175" spans="1:7" ht="15.75">
      <c r="A175" s="2486">
        <f t="shared" si="18"/>
        <v>5575</v>
      </c>
      <c r="B175" s="2325">
        <v>5550</v>
      </c>
      <c r="C175" s="2325">
        <v>5600</v>
      </c>
      <c r="D175" s="2326">
        <f t="shared" si="14"/>
        <v>558</v>
      </c>
      <c r="E175" s="2326">
        <f t="shared" si="15"/>
        <v>558</v>
      </c>
      <c r="F175" s="2326">
        <f t="shared" si="16"/>
        <v>558</v>
      </c>
      <c r="G175" s="2326">
        <f t="shared" si="17"/>
        <v>558</v>
      </c>
    </row>
    <row r="176" spans="1:7" ht="15.75">
      <c r="A176" s="2486">
        <f t="shared" si="18"/>
        <v>5625</v>
      </c>
      <c r="B176" s="2325">
        <v>5600</v>
      </c>
      <c r="C176" s="2325">
        <v>5650</v>
      </c>
      <c r="D176" s="2326">
        <f t="shared" si="14"/>
        <v>563</v>
      </c>
      <c r="E176" s="2326">
        <f t="shared" si="15"/>
        <v>563</v>
      </c>
      <c r="F176" s="2326">
        <f t="shared" si="16"/>
        <v>563</v>
      </c>
      <c r="G176" s="2326">
        <f t="shared" si="17"/>
        <v>563</v>
      </c>
    </row>
    <row r="177" spans="1:7" ht="15.75">
      <c r="A177" s="2486">
        <f t="shared" si="18"/>
        <v>5675</v>
      </c>
      <c r="B177" s="2325">
        <v>5650</v>
      </c>
      <c r="C177" s="2325">
        <v>5700</v>
      </c>
      <c r="D177" s="2326">
        <f t="shared" si="14"/>
        <v>568</v>
      </c>
      <c r="E177" s="2326">
        <f t="shared" si="15"/>
        <v>568</v>
      </c>
      <c r="F177" s="2326">
        <f t="shared" si="16"/>
        <v>568</v>
      </c>
      <c r="G177" s="2326">
        <f t="shared" si="17"/>
        <v>568</v>
      </c>
    </row>
    <row r="178" spans="1:7" ht="15.75">
      <c r="A178" s="2486">
        <f t="shared" si="18"/>
        <v>5725</v>
      </c>
      <c r="B178" s="2325">
        <v>5700</v>
      </c>
      <c r="C178" s="2325">
        <v>5750</v>
      </c>
      <c r="D178" s="2326">
        <f t="shared" si="14"/>
        <v>573</v>
      </c>
      <c r="E178" s="2326">
        <f t="shared" si="15"/>
        <v>573</v>
      </c>
      <c r="F178" s="2326">
        <f t="shared" si="16"/>
        <v>573</v>
      </c>
      <c r="G178" s="2326">
        <f t="shared" si="17"/>
        <v>573</v>
      </c>
    </row>
    <row r="179" spans="1:7" ht="15.75">
      <c r="A179" s="2486">
        <f t="shared" si="18"/>
        <v>5775</v>
      </c>
      <c r="B179" s="2325">
        <v>5750</v>
      </c>
      <c r="C179" s="2325">
        <v>5800</v>
      </c>
      <c r="D179" s="2326">
        <f t="shared" si="14"/>
        <v>578</v>
      </c>
      <c r="E179" s="2326">
        <f t="shared" si="15"/>
        <v>578</v>
      </c>
      <c r="F179" s="2326">
        <f t="shared" si="16"/>
        <v>578</v>
      </c>
      <c r="G179" s="2326">
        <f t="shared" si="17"/>
        <v>578</v>
      </c>
    </row>
    <row r="180" spans="1:7" ht="15.75">
      <c r="A180" s="2486">
        <f t="shared" si="18"/>
        <v>5825</v>
      </c>
      <c r="B180" s="2325">
        <v>5800</v>
      </c>
      <c r="C180" s="2325">
        <v>5850</v>
      </c>
      <c r="D180" s="2326">
        <f t="shared" si="14"/>
        <v>583</v>
      </c>
      <c r="E180" s="2326">
        <f t="shared" si="15"/>
        <v>583</v>
      </c>
      <c r="F180" s="2326">
        <f t="shared" si="16"/>
        <v>583</v>
      </c>
      <c r="G180" s="2326">
        <f t="shared" si="17"/>
        <v>583</v>
      </c>
    </row>
    <row r="181" spans="1:7" ht="15.75">
      <c r="A181" s="2486">
        <f t="shared" si="18"/>
        <v>5875</v>
      </c>
      <c r="B181" s="2325">
        <v>5850</v>
      </c>
      <c r="C181" s="2325">
        <v>5900</v>
      </c>
      <c r="D181" s="2326">
        <f t="shared" si="14"/>
        <v>588</v>
      </c>
      <c r="E181" s="2326">
        <f t="shared" si="15"/>
        <v>588</v>
      </c>
      <c r="F181" s="2326">
        <f t="shared" si="16"/>
        <v>588</v>
      </c>
      <c r="G181" s="2326">
        <f t="shared" si="17"/>
        <v>588</v>
      </c>
    </row>
    <row r="182" spans="1:7" ht="15.75">
      <c r="A182" s="2486">
        <f t="shared" si="18"/>
        <v>5925</v>
      </c>
      <c r="B182" s="2325">
        <v>5900</v>
      </c>
      <c r="C182" s="2325">
        <v>5950</v>
      </c>
      <c r="D182" s="2326">
        <f t="shared" si="14"/>
        <v>593</v>
      </c>
      <c r="E182" s="2326">
        <f t="shared" si="15"/>
        <v>593</v>
      </c>
      <c r="F182" s="2326">
        <f t="shared" si="16"/>
        <v>593</v>
      </c>
      <c r="G182" s="2326">
        <f t="shared" si="17"/>
        <v>593</v>
      </c>
    </row>
    <row r="183" spans="1:7" ht="15.75">
      <c r="A183" s="2486">
        <f t="shared" si="18"/>
        <v>5975</v>
      </c>
      <c r="B183" s="2325">
        <v>5950</v>
      </c>
      <c r="C183" s="2325">
        <v>6000</v>
      </c>
      <c r="D183" s="2326">
        <f t="shared" si="14"/>
        <v>598</v>
      </c>
      <c r="E183" s="2326">
        <f t="shared" si="15"/>
        <v>598</v>
      </c>
      <c r="F183" s="2326">
        <f t="shared" si="16"/>
        <v>598</v>
      </c>
      <c r="G183" s="2326">
        <f t="shared" si="17"/>
        <v>598</v>
      </c>
    </row>
    <row r="184" spans="1:7" ht="15.75">
      <c r="A184" s="2486">
        <f t="shared" si="18"/>
        <v>6025</v>
      </c>
      <c r="B184" s="2325">
        <v>6000</v>
      </c>
      <c r="C184" s="2325">
        <v>6050</v>
      </c>
      <c r="D184" s="2326">
        <f t="shared" si="14"/>
        <v>603</v>
      </c>
      <c r="E184" s="2326">
        <f t="shared" si="15"/>
        <v>603</v>
      </c>
      <c r="F184" s="2326">
        <f t="shared" si="16"/>
        <v>603</v>
      </c>
      <c r="G184" s="2326">
        <f t="shared" si="17"/>
        <v>603</v>
      </c>
    </row>
    <row r="185" spans="1:7" ht="15.75">
      <c r="A185" s="2486">
        <f t="shared" si="18"/>
        <v>6075</v>
      </c>
      <c r="B185" s="2325">
        <v>6050</v>
      </c>
      <c r="C185" s="2325">
        <v>6100</v>
      </c>
      <c r="D185" s="2326">
        <f t="shared" si="14"/>
        <v>608</v>
      </c>
      <c r="E185" s="2326">
        <f t="shared" si="15"/>
        <v>608</v>
      </c>
      <c r="F185" s="2326">
        <f t="shared" si="16"/>
        <v>608</v>
      </c>
      <c r="G185" s="2326">
        <f t="shared" si="17"/>
        <v>608</v>
      </c>
    </row>
    <row r="186" spans="1:7" ht="15.75">
      <c r="A186" s="2486">
        <f t="shared" si="18"/>
        <v>6125</v>
      </c>
      <c r="B186" s="2325">
        <v>6100</v>
      </c>
      <c r="C186" s="2325">
        <v>6150</v>
      </c>
      <c r="D186" s="2326">
        <f t="shared" si="14"/>
        <v>613</v>
      </c>
      <c r="E186" s="2326">
        <f t="shared" si="15"/>
        <v>613</v>
      </c>
      <c r="F186" s="2326">
        <f t="shared" si="16"/>
        <v>613</v>
      </c>
      <c r="G186" s="2326">
        <f t="shared" si="17"/>
        <v>613</v>
      </c>
    </row>
    <row r="187" spans="1:7" ht="15.75">
      <c r="A187" s="2486">
        <f t="shared" si="18"/>
        <v>6175</v>
      </c>
      <c r="B187" s="2325">
        <v>6150</v>
      </c>
      <c r="C187" s="2325">
        <v>6200</v>
      </c>
      <c r="D187" s="2326">
        <f t="shared" si="14"/>
        <v>618</v>
      </c>
      <c r="E187" s="2326">
        <f t="shared" si="15"/>
        <v>618</v>
      </c>
      <c r="F187" s="2326">
        <f t="shared" si="16"/>
        <v>618</v>
      </c>
      <c r="G187" s="2326">
        <f t="shared" si="17"/>
        <v>618</v>
      </c>
    </row>
    <row r="188" spans="1:7" ht="15.75">
      <c r="A188" s="2486">
        <f t="shared" si="18"/>
        <v>6225</v>
      </c>
      <c r="B188" s="2325">
        <v>6200</v>
      </c>
      <c r="C188" s="2325">
        <v>6250</v>
      </c>
      <c r="D188" s="2326">
        <f t="shared" si="14"/>
        <v>623</v>
      </c>
      <c r="E188" s="2326">
        <f t="shared" si="15"/>
        <v>623</v>
      </c>
      <c r="F188" s="2326">
        <f t="shared" si="16"/>
        <v>623</v>
      </c>
      <c r="G188" s="2326">
        <f t="shared" si="17"/>
        <v>623</v>
      </c>
    </row>
    <row r="189" spans="1:7" ht="15.75">
      <c r="A189" s="2486">
        <f t="shared" si="18"/>
        <v>6275</v>
      </c>
      <c r="B189" s="2325">
        <v>6250</v>
      </c>
      <c r="C189" s="2325">
        <v>6300</v>
      </c>
      <c r="D189" s="2326">
        <f t="shared" si="14"/>
        <v>628</v>
      </c>
      <c r="E189" s="2326">
        <f t="shared" si="15"/>
        <v>628</v>
      </c>
      <c r="F189" s="2326">
        <f t="shared" si="16"/>
        <v>628</v>
      </c>
      <c r="G189" s="2326">
        <f t="shared" si="17"/>
        <v>628</v>
      </c>
    </row>
    <row r="190" spans="1:7" ht="15.75">
      <c r="A190" s="2486">
        <f t="shared" si="18"/>
        <v>6325</v>
      </c>
      <c r="B190" s="2325">
        <v>6300</v>
      </c>
      <c r="C190" s="2325">
        <v>6350</v>
      </c>
      <c r="D190" s="2326">
        <f t="shared" si="14"/>
        <v>633</v>
      </c>
      <c r="E190" s="2326">
        <f t="shared" si="15"/>
        <v>633</v>
      </c>
      <c r="F190" s="2326">
        <f t="shared" si="16"/>
        <v>633</v>
      </c>
      <c r="G190" s="2326">
        <f t="shared" si="17"/>
        <v>633</v>
      </c>
    </row>
    <row r="191" spans="1:7" ht="15.75">
      <c r="A191" s="2486">
        <f t="shared" si="18"/>
        <v>6375</v>
      </c>
      <c r="B191" s="2325">
        <v>6350</v>
      </c>
      <c r="C191" s="2325">
        <v>6400</v>
      </c>
      <c r="D191" s="2326">
        <f t="shared" si="14"/>
        <v>638</v>
      </c>
      <c r="E191" s="2326">
        <f t="shared" si="15"/>
        <v>638</v>
      </c>
      <c r="F191" s="2326">
        <f t="shared" si="16"/>
        <v>638</v>
      </c>
      <c r="G191" s="2326">
        <f t="shared" si="17"/>
        <v>638</v>
      </c>
    </row>
    <row r="192" spans="1:7" ht="15.75">
      <c r="A192" s="2486">
        <f t="shared" si="18"/>
        <v>6425</v>
      </c>
      <c r="B192" s="2325">
        <v>6400</v>
      </c>
      <c r="C192" s="2325">
        <v>6450</v>
      </c>
      <c r="D192" s="2326">
        <f t="shared" si="14"/>
        <v>643</v>
      </c>
      <c r="E192" s="2326">
        <f t="shared" si="15"/>
        <v>643</v>
      </c>
      <c r="F192" s="2326">
        <f t="shared" si="16"/>
        <v>643</v>
      </c>
      <c r="G192" s="2326">
        <f t="shared" si="17"/>
        <v>643</v>
      </c>
    </row>
    <row r="193" spans="1:7" ht="15.75">
      <c r="A193" s="2486">
        <f t="shared" si="18"/>
        <v>6475</v>
      </c>
      <c r="B193" s="2325">
        <v>6450</v>
      </c>
      <c r="C193" s="2325">
        <v>6500</v>
      </c>
      <c r="D193" s="2326">
        <f t="shared" si="14"/>
        <v>648</v>
      </c>
      <c r="E193" s="2326">
        <f t="shared" si="15"/>
        <v>648</v>
      </c>
      <c r="F193" s="2326">
        <f t="shared" si="16"/>
        <v>648</v>
      </c>
      <c r="G193" s="2326">
        <f t="shared" si="17"/>
        <v>648</v>
      </c>
    </row>
    <row r="194" spans="1:7" ht="15.75">
      <c r="A194" s="2486">
        <f t="shared" si="18"/>
        <v>6525</v>
      </c>
      <c r="B194" s="2325">
        <v>6500</v>
      </c>
      <c r="C194" s="2325">
        <v>6550</v>
      </c>
      <c r="D194" s="2326">
        <f t="shared" ref="D194:D257" si="19">IF($A194&gt;BOTT_A4,ROUND(BASE_A4+RATE_A4*($A194-BOTT_A4),0),IF($A194&gt;BOTT_A3,ROUND(BASE_A3+RATE_A3*($A194-BOTT_A3),0),IF($A194&gt;BOTT_A2,ROUND(BASE_A2+RATE_A2*($A194-BOTT_A2),0),ROUND(RATE_A1*$A194,0))))</f>
        <v>653</v>
      </c>
      <c r="E194" s="2326">
        <f t="shared" ref="E194:E257" si="20">IF($A194&gt;BOTT_B4,ROUND(BASE_B4+RATE_B4*($A194-BOTT_B4),0),IF($A194&gt;BOTT_B3,ROUND(BASE_B3+RATE_B3*($A194-BOTT_B3),0),IF($A194&gt;BOTT_B2,ROUND(BASE_B2+RATE_B2*($A194-BOTT_B2),0),ROUND(RATE_B1*$A194,0))))</f>
        <v>653</v>
      </c>
      <c r="F194" s="2326">
        <f t="shared" ref="F194:F257" si="21">IF($A194&gt;BOTT_C4,ROUND(BASE_C4+RATE_C4*($A194-BOTT_C4),0),IF($A194&gt;BOTT_C3,ROUND(BASE_C3+RATE_C3*($A194-BOTT_C3),0),IF($A194&gt;BOTT_C2,ROUND(BASE_C2+RATE_C2*($A194-BOTT_C2),0),ROUND(RATE_C1*$A194,0))))</f>
        <v>653</v>
      </c>
      <c r="G194" s="2326">
        <f t="shared" ref="G194:G257" si="22">IF($A194&gt;BOTT_D4,ROUND(BASE_D4+RATE_D4*($A194-BOTT_D4),0),IF($A194&gt;BOTT_D3,ROUND(BASE_D3+RATE_D3*($A194-BOTT_D3),0),IF($A194&gt;BOTT_D2,ROUND(BASE_D2+RATE_D2*($A194-BOTT_D2),0),ROUND(RATE_D1*$A194,0))))</f>
        <v>653</v>
      </c>
    </row>
    <row r="195" spans="1:7" ht="15.75">
      <c r="A195" s="2486">
        <f t="shared" ref="A195:A258" si="23">AVERAGE(B195,C195)</f>
        <v>6575</v>
      </c>
      <c r="B195" s="2325">
        <v>6550</v>
      </c>
      <c r="C195" s="2325">
        <v>6600</v>
      </c>
      <c r="D195" s="2326">
        <f t="shared" si="19"/>
        <v>658</v>
      </c>
      <c r="E195" s="2326">
        <f t="shared" si="20"/>
        <v>658</v>
      </c>
      <c r="F195" s="2326">
        <f t="shared" si="21"/>
        <v>658</v>
      </c>
      <c r="G195" s="2326">
        <f t="shared" si="22"/>
        <v>658</v>
      </c>
    </row>
    <row r="196" spans="1:7" ht="15.75">
      <c r="A196" s="2486">
        <f t="shared" si="23"/>
        <v>6625</v>
      </c>
      <c r="B196" s="2325">
        <v>6600</v>
      </c>
      <c r="C196" s="2325">
        <v>6650</v>
      </c>
      <c r="D196" s="2326">
        <f t="shared" si="19"/>
        <v>663</v>
      </c>
      <c r="E196" s="2326">
        <f t="shared" si="20"/>
        <v>663</v>
      </c>
      <c r="F196" s="2326">
        <f t="shared" si="21"/>
        <v>663</v>
      </c>
      <c r="G196" s="2326">
        <f t="shared" si="22"/>
        <v>663</v>
      </c>
    </row>
    <row r="197" spans="1:7" ht="15.75">
      <c r="A197" s="2486">
        <f t="shared" si="23"/>
        <v>6675</v>
      </c>
      <c r="B197" s="2325">
        <v>6650</v>
      </c>
      <c r="C197" s="2325">
        <v>6700</v>
      </c>
      <c r="D197" s="2326">
        <f t="shared" si="19"/>
        <v>668</v>
      </c>
      <c r="E197" s="2326">
        <f t="shared" si="20"/>
        <v>668</v>
      </c>
      <c r="F197" s="2326">
        <f t="shared" si="21"/>
        <v>668</v>
      </c>
      <c r="G197" s="2326">
        <f t="shared" si="22"/>
        <v>668</v>
      </c>
    </row>
    <row r="198" spans="1:7" ht="15.75">
      <c r="A198" s="2486">
        <f t="shared" si="23"/>
        <v>6725</v>
      </c>
      <c r="B198" s="2325">
        <v>6700</v>
      </c>
      <c r="C198" s="2325">
        <v>6750</v>
      </c>
      <c r="D198" s="2326">
        <f t="shared" si="19"/>
        <v>673</v>
      </c>
      <c r="E198" s="2326">
        <f t="shared" si="20"/>
        <v>673</v>
      </c>
      <c r="F198" s="2326">
        <f t="shared" si="21"/>
        <v>673</v>
      </c>
      <c r="G198" s="2326">
        <f t="shared" si="22"/>
        <v>673</v>
      </c>
    </row>
    <row r="199" spans="1:7" ht="15.75">
      <c r="A199" s="2486">
        <f t="shared" si="23"/>
        <v>6775</v>
      </c>
      <c r="B199" s="2325">
        <v>6750</v>
      </c>
      <c r="C199" s="2325">
        <v>6800</v>
      </c>
      <c r="D199" s="2326">
        <f t="shared" si="19"/>
        <v>678</v>
      </c>
      <c r="E199" s="2326">
        <f t="shared" si="20"/>
        <v>678</v>
      </c>
      <c r="F199" s="2326">
        <f t="shared" si="21"/>
        <v>678</v>
      </c>
      <c r="G199" s="2326">
        <f t="shared" si="22"/>
        <v>678</v>
      </c>
    </row>
    <row r="200" spans="1:7" ht="15.75">
      <c r="A200" s="2486">
        <f t="shared" si="23"/>
        <v>6825</v>
      </c>
      <c r="B200" s="2325">
        <v>6800</v>
      </c>
      <c r="C200" s="2325">
        <v>6850</v>
      </c>
      <c r="D200" s="2326">
        <f t="shared" si="19"/>
        <v>683</v>
      </c>
      <c r="E200" s="2326">
        <f t="shared" si="20"/>
        <v>683</v>
      </c>
      <c r="F200" s="2326">
        <f t="shared" si="21"/>
        <v>683</v>
      </c>
      <c r="G200" s="2326">
        <f t="shared" si="22"/>
        <v>683</v>
      </c>
    </row>
    <row r="201" spans="1:7" ht="15.75">
      <c r="A201" s="2486">
        <f t="shared" si="23"/>
        <v>6875</v>
      </c>
      <c r="B201" s="2325">
        <v>6850</v>
      </c>
      <c r="C201" s="2325">
        <v>6900</v>
      </c>
      <c r="D201" s="2326">
        <f t="shared" si="19"/>
        <v>688</v>
      </c>
      <c r="E201" s="2326">
        <f t="shared" si="20"/>
        <v>688</v>
      </c>
      <c r="F201" s="2326">
        <f t="shared" si="21"/>
        <v>688</v>
      </c>
      <c r="G201" s="2326">
        <f t="shared" si="22"/>
        <v>688</v>
      </c>
    </row>
    <row r="202" spans="1:7" ht="15.75">
      <c r="A202" s="2486">
        <f t="shared" si="23"/>
        <v>6925</v>
      </c>
      <c r="B202" s="2325">
        <v>6900</v>
      </c>
      <c r="C202" s="2325">
        <v>6950</v>
      </c>
      <c r="D202" s="2326">
        <f t="shared" si="19"/>
        <v>693</v>
      </c>
      <c r="E202" s="2326">
        <f t="shared" si="20"/>
        <v>693</v>
      </c>
      <c r="F202" s="2326">
        <f t="shared" si="21"/>
        <v>693</v>
      </c>
      <c r="G202" s="2326">
        <f t="shared" si="22"/>
        <v>693</v>
      </c>
    </row>
    <row r="203" spans="1:7" ht="15.75">
      <c r="A203" s="2486">
        <f t="shared" si="23"/>
        <v>6975</v>
      </c>
      <c r="B203" s="2325">
        <v>6950</v>
      </c>
      <c r="C203" s="2325">
        <v>7000</v>
      </c>
      <c r="D203" s="2326">
        <f t="shared" si="19"/>
        <v>698</v>
      </c>
      <c r="E203" s="2326">
        <f t="shared" si="20"/>
        <v>698</v>
      </c>
      <c r="F203" s="2326">
        <f t="shared" si="21"/>
        <v>698</v>
      </c>
      <c r="G203" s="2326">
        <f t="shared" si="22"/>
        <v>698</v>
      </c>
    </row>
    <row r="204" spans="1:7" ht="15.75">
      <c r="A204" s="2486">
        <f t="shared" si="23"/>
        <v>7025</v>
      </c>
      <c r="B204" s="2325">
        <v>7000</v>
      </c>
      <c r="C204" s="2325">
        <v>7050</v>
      </c>
      <c r="D204" s="2326">
        <f t="shared" si="19"/>
        <v>703</v>
      </c>
      <c r="E204" s="2326">
        <f t="shared" si="20"/>
        <v>703</v>
      </c>
      <c r="F204" s="2326">
        <f t="shared" si="21"/>
        <v>703</v>
      </c>
      <c r="G204" s="2326">
        <f t="shared" si="22"/>
        <v>703</v>
      </c>
    </row>
    <row r="205" spans="1:7" ht="15.75">
      <c r="A205" s="2486">
        <f t="shared" si="23"/>
        <v>7075</v>
      </c>
      <c r="B205" s="2325">
        <v>7050</v>
      </c>
      <c r="C205" s="2325">
        <v>7100</v>
      </c>
      <c r="D205" s="2326">
        <f t="shared" si="19"/>
        <v>708</v>
      </c>
      <c r="E205" s="2326">
        <f t="shared" si="20"/>
        <v>708</v>
      </c>
      <c r="F205" s="2326">
        <f t="shared" si="21"/>
        <v>708</v>
      </c>
      <c r="G205" s="2326">
        <f t="shared" si="22"/>
        <v>708</v>
      </c>
    </row>
    <row r="206" spans="1:7" ht="15.75">
      <c r="A206" s="2486">
        <f t="shared" si="23"/>
        <v>7125</v>
      </c>
      <c r="B206" s="2325">
        <v>7100</v>
      </c>
      <c r="C206" s="2325">
        <v>7150</v>
      </c>
      <c r="D206" s="2326">
        <f t="shared" si="19"/>
        <v>713</v>
      </c>
      <c r="E206" s="2326">
        <f t="shared" si="20"/>
        <v>713</v>
      </c>
      <c r="F206" s="2326">
        <f t="shared" si="21"/>
        <v>713</v>
      </c>
      <c r="G206" s="2326">
        <f t="shared" si="22"/>
        <v>713</v>
      </c>
    </row>
    <row r="207" spans="1:7" ht="15.75">
      <c r="A207" s="2486">
        <f t="shared" si="23"/>
        <v>7175</v>
      </c>
      <c r="B207" s="2325">
        <v>7150</v>
      </c>
      <c r="C207" s="2325">
        <v>7200</v>
      </c>
      <c r="D207" s="2326">
        <f t="shared" si="19"/>
        <v>718</v>
      </c>
      <c r="E207" s="2326">
        <f t="shared" si="20"/>
        <v>718</v>
      </c>
      <c r="F207" s="2326">
        <f t="shared" si="21"/>
        <v>718</v>
      </c>
      <c r="G207" s="2326">
        <f t="shared" si="22"/>
        <v>718</v>
      </c>
    </row>
    <row r="208" spans="1:7" ht="15.75">
      <c r="A208" s="2486">
        <f t="shared" si="23"/>
        <v>7225</v>
      </c>
      <c r="B208" s="2325">
        <v>7200</v>
      </c>
      <c r="C208" s="2325">
        <v>7250</v>
      </c>
      <c r="D208" s="2326">
        <f t="shared" si="19"/>
        <v>723</v>
      </c>
      <c r="E208" s="2326">
        <f t="shared" si="20"/>
        <v>723</v>
      </c>
      <c r="F208" s="2326">
        <f t="shared" si="21"/>
        <v>723</v>
      </c>
      <c r="G208" s="2326">
        <f t="shared" si="22"/>
        <v>723</v>
      </c>
    </row>
    <row r="209" spans="1:7" ht="15.75">
      <c r="A209" s="2486">
        <f t="shared" si="23"/>
        <v>7275</v>
      </c>
      <c r="B209" s="2325">
        <v>7250</v>
      </c>
      <c r="C209" s="2325">
        <v>7300</v>
      </c>
      <c r="D209" s="2326">
        <f t="shared" si="19"/>
        <v>728</v>
      </c>
      <c r="E209" s="2326">
        <f t="shared" si="20"/>
        <v>728</v>
      </c>
      <c r="F209" s="2326">
        <f t="shared" si="21"/>
        <v>728</v>
      </c>
      <c r="G209" s="2326">
        <f t="shared" si="22"/>
        <v>728</v>
      </c>
    </row>
    <row r="210" spans="1:7" ht="15.75">
      <c r="A210" s="2486">
        <f t="shared" si="23"/>
        <v>7325</v>
      </c>
      <c r="B210" s="2325">
        <v>7300</v>
      </c>
      <c r="C210" s="2325">
        <v>7350</v>
      </c>
      <c r="D210" s="2326">
        <f t="shared" si="19"/>
        <v>733</v>
      </c>
      <c r="E210" s="2326">
        <f t="shared" si="20"/>
        <v>733</v>
      </c>
      <c r="F210" s="2326">
        <f t="shared" si="21"/>
        <v>733</v>
      </c>
      <c r="G210" s="2326">
        <f t="shared" si="22"/>
        <v>733</v>
      </c>
    </row>
    <row r="211" spans="1:7" ht="15.75">
      <c r="A211" s="2486">
        <f t="shared" si="23"/>
        <v>7375</v>
      </c>
      <c r="B211" s="2325">
        <v>7350</v>
      </c>
      <c r="C211" s="2325">
        <v>7400</v>
      </c>
      <c r="D211" s="2326">
        <f t="shared" si="19"/>
        <v>738</v>
      </c>
      <c r="E211" s="2326">
        <f t="shared" si="20"/>
        <v>738</v>
      </c>
      <c r="F211" s="2326">
        <f t="shared" si="21"/>
        <v>738</v>
      </c>
      <c r="G211" s="2326">
        <f t="shared" si="22"/>
        <v>738</v>
      </c>
    </row>
    <row r="212" spans="1:7" ht="15.75">
      <c r="A212" s="2486">
        <f t="shared" si="23"/>
        <v>7425</v>
      </c>
      <c r="B212" s="2325">
        <v>7400</v>
      </c>
      <c r="C212" s="2325">
        <v>7450</v>
      </c>
      <c r="D212" s="2326">
        <f t="shared" si="19"/>
        <v>743</v>
      </c>
      <c r="E212" s="2326">
        <f t="shared" si="20"/>
        <v>743</v>
      </c>
      <c r="F212" s="2326">
        <f t="shared" si="21"/>
        <v>743</v>
      </c>
      <c r="G212" s="2326">
        <f t="shared" si="22"/>
        <v>743</v>
      </c>
    </row>
    <row r="213" spans="1:7" ht="15.75">
      <c r="A213" s="2486">
        <f t="shared" si="23"/>
        <v>7475</v>
      </c>
      <c r="B213" s="2325">
        <v>7450</v>
      </c>
      <c r="C213" s="2325">
        <v>7500</v>
      </c>
      <c r="D213" s="2326">
        <f t="shared" si="19"/>
        <v>748</v>
      </c>
      <c r="E213" s="2326">
        <f t="shared" si="20"/>
        <v>748</v>
      </c>
      <c r="F213" s="2326">
        <f t="shared" si="21"/>
        <v>748</v>
      </c>
      <c r="G213" s="2326">
        <f t="shared" si="22"/>
        <v>748</v>
      </c>
    </row>
    <row r="214" spans="1:7" ht="15.75">
      <c r="A214" s="2486">
        <f t="shared" si="23"/>
        <v>7525</v>
      </c>
      <c r="B214" s="2325">
        <v>7500</v>
      </c>
      <c r="C214" s="2325">
        <v>7550</v>
      </c>
      <c r="D214" s="2326">
        <f t="shared" si="19"/>
        <v>753</v>
      </c>
      <c r="E214" s="2326">
        <f t="shared" si="20"/>
        <v>753</v>
      </c>
      <c r="F214" s="2326">
        <f t="shared" si="21"/>
        <v>753</v>
      </c>
      <c r="G214" s="2326">
        <f t="shared" si="22"/>
        <v>753</v>
      </c>
    </row>
    <row r="215" spans="1:7" ht="15.75">
      <c r="A215" s="2486">
        <f t="shared" si="23"/>
        <v>7575</v>
      </c>
      <c r="B215" s="2325">
        <v>7550</v>
      </c>
      <c r="C215" s="2325">
        <v>7600</v>
      </c>
      <c r="D215" s="2326">
        <f t="shared" si="19"/>
        <v>758</v>
      </c>
      <c r="E215" s="2326">
        <f t="shared" si="20"/>
        <v>758</v>
      </c>
      <c r="F215" s="2326">
        <f t="shared" si="21"/>
        <v>758</v>
      </c>
      <c r="G215" s="2326">
        <f t="shared" si="22"/>
        <v>758</v>
      </c>
    </row>
    <row r="216" spans="1:7" ht="15.75">
      <c r="A216" s="2486">
        <f t="shared" si="23"/>
        <v>7625</v>
      </c>
      <c r="B216" s="2325">
        <v>7600</v>
      </c>
      <c r="C216" s="2325">
        <v>7650</v>
      </c>
      <c r="D216" s="2326">
        <f t="shared" si="19"/>
        <v>763</v>
      </c>
      <c r="E216" s="2326">
        <f t="shared" si="20"/>
        <v>763</v>
      </c>
      <c r="F216" s="2326">
        <f t="shared" si="21"/>
        <v>763</v>
      </c>
      <c r="G216" s="2326">
        <f t="shared" si="22"/>
        <v>763</v>
      </c>
    </row>
    <row r="217" spans="1:7" ht="15.75">
      <c r="A217" s="2486">
        <f t="shared" si="23"/>
        <v>7675</v>
      </c>
      <c r="B217" s="2325">
        <v>7650</v>
      </c>
      <c r="C217" s="2325">
        <v>7700</v>
      </c>
      <c r="D217" s="2326">
        <f t="shared" si="19"/>
        <v>768</v>
      </c>
      <c r="E217" s="2326">
        <f t="shared" si="20"/>
        <v>768</v>
      </c>
      <c r="F217" s="2326">
        <f t="shared" si="21"/>
        <v>768</v>
      </c>
      <c r="G217" s="2326">
        <f t="shared" si="22"/>
        <v>768</v>
      </c>
    </row>
    <row r="218" spans="1:7" ht="15.75">
      <c r="A218" s="2486">
        <f t="shared" si="23"/>
        <v>7725</v>
      </c>
      <c r="B218" s="2325">
        <v>7700</v>
      </c>
      <c r="C218" s="2325">
        <v>7750</v>
      </c>
      <c r="D218" s="2326">
        <f t="shared" si="19"/>
        <v>773</v>
      </c>
      <c r="E218" s="2326">
        <f t="shared" si="20"/>
        <v>773</v>
      </c>
      <c r="F218" s="2326">
        <f t="shared" si="21"/>
        <v>773</v>
      </c>
      <c r="G218" s="2326">
        <f t="shared" si="22"/>
        <v>773</v>
      </c>
    </row>
    <row r="219" spans="1:7" ht="15.75">
      <c r="A219" s="2486">
        <f t="shared" si="23"/>
        <v>7775</v>
      </c>
      <c r="B219" s="2325">
        <v>7750</v>
      </c>
      <c r="C219" s="2325">
        <v>7800</v>
      </c>
      <c r="D219" s="2326">
        <f t="shared" si="19"/>
        <v>778</v>
      </c>
      <c r="E219" s="2326">
        <f t="shared" si="20"/>
        <v>778</v>
      </c>
      <c r="F219" s="2326">
        <f t="shared" si="21"/>
        <v>778</v>
      </c>
      <c r="G219" s="2326">
        <f t="shared" si="22"/>
        <v>778</v>
      </c>
    </row>
    <row r="220" spans="1:7" ht="15.75">
      <c r="A220" s="2486">
        <f t="shared" si="23"/>
        <v>7825</v>
      </c>
      <c r="B220" s="2325">
        <v>7800</v>
      </c>
      <c r="C220" s="2325">
        <v>7850</v>
      </c>
      <c r="D220" s="2326">
        <f t="shared" si="19"/>
        <v>783</v>
      </c>
      <c r="E220" s="2326">
        <f t="shared" si="20"/>
        <v>783</v>
      </c>
      <c r="F220" s="2326">
        <f t="shared" si="21"/>
        <v>783</v>
      </c>
      <c r="G220" s="2326">
        <f t="shared" si="22"/>
        <v>783</v>
      </c>
    </row>
    <row r="221" spans="1:7" ht="15.75">
      <c r="A221" s="2486">
        <f t="shared" si="23"/>
        <v>7875</v>
      </c>
      <c r="B221" s="2325">
        <v>7850</v>
      </c>
      <c r="C221" s="2325">
        <v>7900</v>
      </c>
      <c r="D221" s="2326">
        <f t="shared" si="19"/>
        <v>788</v>
      </c>
      <c r="E221" s="2326">
        <f t="shared" si="20"/>
        <v>788</v>
      </c>
      <c r="F221" s="2326">
        <f t="shared" si="21"/>
        <v>788</v>
      </c>
      <c r="G221" s="2326">
        <f t="shared" si="22"/>
        <v>788</v>
      </c>
    </row>
    <row r="222" spans="1:7" ht="15.75">
      <c r="A222" s="2486">
        <f t="shared" si="23"/>
        <v>7925</v>
      </c>
      <c r="B222" s="2325">
        <v>7900</v>
      </c>
      <c r="C222" s="2325">
        <v>7950</v>
      </c>
      <c r="D222" s="2326">
        <f t="shared" si="19"/>
        <v>793</v>
      </c>
      <c r="E222" s="2326">
        <f t="shared" si="20"/>
        <v>793</v>
      </c>
      <c r="F222" s="2326">
        <f t="shared" si="21"/>
        <v>793</v>
      </c>
      <c r="G222" s="2326">
        <f t="shared" si="22"/>
        <v>793</v>
      </c>
    </row>
    <row r="223" spans="1:7" ht="15.75">
      <c r="A223" s="2486">
        <f t="shared" si="23"/>
        <v>7975</v>
      </c>
      <c r="B223" s="2325">
        <v>7950</v>
      </c>
      <c r="C223" s="2325">
        <v>8000</v>
      </c>
      <c r="D223" s="2326">
        <f t="shared" si="19"/>
        <v>798</v>
      </c>
      <c r="E223" s="2326">
        <f t="shared" si="20"/>
        <v>798</v>
      </c>
      <c r="F223" s="2326">
        <f t="shared" si="21"/>
        <v>798</v>
      </c>
      <c r="G223" s="2326">
        <f t="shared" si="22"/>
        <v>798</v>
      </c>
    </row>
    <row r="224" spans="1:7" ht="15.75">
      <c r="A224" s="2486">
        <f t="shared" si="23"/>
        <v>8025</v>
      </c>
      <c r="B224" s="2325">
        <v>8000</v>
      </c>
      <c r="C224" s="2325">
        <v>8050</v>
      </c>
      <c r="D224" s="2326">
        <f t="shared" si="19"/>
        <v>803</v>
      </c>
      <c r="E224" s="2326">
        <f t="shared" si="20"/>
        <v>803</v>
      </c>
      <c r="F224" s="2326">
        <f t="shared" si="21"/>
        <v>803</v>
      </c>
      <c r="G224" s="2326">
        <f t="shared" si="22"/>
        <v>803</v>
      </c>
    </row>
    <row r="225" spans="1:7" ht="15.75">
      <c r="A225" s="2486">
        <f t="shared" si="23"/>
        <v>8075</v>
      </c>
      <c r="B225" s="2325">
        <v>8050</v>
      </c>
      <c r="C225" s="2325">
        <v>8100</v>
      </c>
      <c r="D225" s="2326">
        <f t="shared" si="19"/>
        <v>808</v>
      </c>
      <c r="E225" s="2326">
        <f t="shared" si="20"/>
        <v>808</v>
      </c>
      <c r="F225" s="2326">
        <f t="shared" si="21"/>
        <v>808</v>
      </c>
      <c r="G225" s="2326">
        <f t="shared" si="22"/>
        <v>808</v>
      </c>
    </row>
    <row r="226" spans="1:7" ht="15.75">
      <c r="A226" s="2486">
        <f t="shared" si="23"/>
        <v>8125</v>
      </c>
      <c r="B226" s="2325">
        <v>8100</v>
      </c>
      <c r="C226" s="2325">
        <v>8150</v>
      </c>
      <c r="D226" s="2326">
        <f t="shared" si="19"/>
        <v>813</v>
      </c>
      <c r="E226" s="2326">
        <f t="shared" si="20"/>
        <v>813</v>
      </c>
      <c r="F226" s="2326">
        <f t="shared" si="21"/>
        <v>813</v>
      </c>
      <c r="G226" s="2326">
        <f t="shared" si="22"/>
        <v>813</v>
      </c>
    </row>
    <row r="227" spans="1:7" ht="15.75">
      <c r="A227" s="2486">
        <f t="shared" si="23"/>
        <v>8175</v>
      </c>
      <c r="B227" s="2325">
        <v>8150</v>
      </c>
      <c r="C227" s="2325">
        <v>8200</v>
      </c>
      <c r="D227" s="2326">
        <f t="shared" si="19"/>
        <v>818</v>
      </c>
      <c r="E227" s="2326">
        <f t="shared" si="20"/>
        <v>818</v>
      </c>
      <c r="F227" s="2326">
        <f t="shared" si="21"/>
        <v>818</v>
      </c>
      <c r="G227" s="2326">
        <f t="shared" si="22"/>
        <v>818</v>
      </c>
    </row>
    <row r="228" spans="1:7" ht="15.75">
      <c r="A228" s="2486">
        <f t="shared" si="23"/>
        <v>8225</v>
      </c>
      <c r="B228" s="2325">
        <v>8200</v>
      </c>
      <c r="C228" s="2325">
        <v>8250</v>
      </c>
      <c r="D228" s="2326">
        <f t="shared" si="19"/>
        <v>823</v>
      </c>
      <c r="E228" s="2326">
        <f t="shared" si="20"/>
        <v>823</v>
      </c>
      <c r="F228" s="2326">
        <f t="shared" si="21"/>
        <v>823</v>
      </c>
      <c r="G228" s="2326">
        <f t="shared" si="22"/>
        <v>823</v>
      </c>
    </row>
    <row r="229" spans="1:7" ht="15.75">
      <c r="A229" s="2486">
        <f t="shared" si="23"/>
        <v>8275</v>
      </c>
      <c r="B229" s="2325">
        <v>8250</v>
      </c>
      <c r="C229" s="2325">
        <v>8300</v>
      </c>
      <c r="D229" s="2326">
        <f t="shared" si="19"/>
        <v>828</v>
      </c>
      <c r="E229" s="2326">
        <f t="shared" si="20"/>
        <v>828</v>
      </c>
      <c r="F229" s="2326">
        <f t="shared" si="21"/>
        <v>828</v>
      </c>
      <c r="G229" s="2326">
        <f t="shared" si="22"/>
        <v>828</v>
      </c>
    </row>
    <row r="230" spans="1:7" ht="15.75">
      <c r="A230" s="2486">
        <f t="shared" si="23"/>
        <v>8325</v>
      </c>
      <c r="B230" s="2325">
        <v>8300</v>
      </c>
      <c r="C230" s="2325">
        <v>8350</v>
      </c>
      <c r="D230" s="2326">
        <f t="shared" si="19"/>
        <v>833</v>
      </c>
      <c r="E230" s="2326">
        <f t="shared" si="20"/>
        <v>833</v>
      </c>
      <c r="F230" s="2326">
        <f t="shared" si="21"/>
        <v>833</v>
      </c>
      <c r="G230" s="2326">
        <f t="shared" si="22"/>
        <v>833</v>
      </c>
    </row>
    <row r="231" spans="1:7" ht="15.75">
      <c r="A231" s="2486">
        <f t="shared" si="23"/>
        <v>8375</v>
      </c>
      <c r="B231" s="2325">
        <v>8350</v>
      </c>
      <c r="C231" s="2325">
        <v>8400</v>
      </c>
      <c r="D231" s="2326">
        <f t="shared" si="19"/>
        <v>838</v>
      </c>
      <c r="E231" s="2326">
        <f t="shared" si="20"/>
        <v>838</v>
      </c>
      <c r="F231" s="2326">
        <f t="shared" si="21"/>
        <v>838</v>
      </c>
      <c r="G231" s="2326">
        <f t="shared" si="22"/>
        <v>838</v>
      </c>
    </row>
    <row r="232" spans="1:7" ht="15.75">
      <c r="A232" s="2486">
        <f t="shared" si="23"/>
        <v>8425</v>
      </c>
      <c r="B232" s="2325">
        <v>8400</v>
      </c>
      <c r="C232" s="2325">
        <v>8450</v>
      </c>
      <c r="D232" s="2326">
        <f t="shared" si="19"/>
        <v>843</v>
      </c>
      <c r="E232" s="2326">
        <f t="shared" si="20"/>
        <v>843</v>
      </c>
      <c r="F232" s="2326">
        <f t="shared" si="21"/>
        <v>843</v>
      </c>
      <c r="G232" s="2326">
        <f t="shared" si="22"/>
        <v>843</v>
      </c>
    </row>
    <row r="233" spans="1:7" ht="15.75">
      <c r="A233" s="2486">
        <f t="shared" si="23"/>
        <v>8475</v>
      </c>
      <c r="B233" s="2325">
        <v>8450</v>
      </c>
      <c r="C233" s="2325">
        <v>8500</v>
      </c>
      <c r="D233" s="2326">
        <f t="shared" si="19"/>
        <v>848</v>
      </c>
      <c r="E233" s="2326">
        <f t="shared" si="20"/>
        <v>848</v>
      </c>
      <c r="F233" s="2326">
        <f t="shared" si="21"/>
        <v>848</v>
      </c>
      <c r="G233" s="2326">
        <f t="shared" si="22"/>
        <v>848</v>
      </c>
    </row>
    <row r="234" spans="1:7" ht="15.75">
      <c r="A234" s="2486">
        <f t="shared" si="23"/>
        <v>8525</v>
      </c>
      <c r="B234" s="2325">
        <v>8500</v>
      </c>
      <c r="C234" s="2325">
        <v>8550</v>
      </c>
      <c r="D234" s="2326">
        <f t="shared" si="19"/>
        <v>853</v>
      </c>
      <c r="E234" s="2326">
        <f t="shared" si="20"/>
        <v>853</v>
      </c>
      <c r="F234" s="2326">
        <f t="shared" si="21"/>
        <v>853</v>
      </c>
      <c r="G234" s="2326">
        <f t="shared" si="22"/>
        <v>853</v>
      </c>
    </row>
    <row r="235" spans="1:7" ht="15.75">
      <c r="A235" s="2486">
        <f t="shared" si="23"/>
        <v>8575</v>
      </c>
      <c r="B235" s="2325">
        <v>8550</v>
      </c>
      <c r="C235" s="2325">
        <v>8600</v>
      </c>
      <c r="D235" s="2326">
        <f t="shared" si="19"/>
        <v>858</v>
      </c>
      <c r="E235" s="2326">
        <f t="shared" si="20"/>
        <v>858</v>
      </c>
      <c r="F235" s="2326">
        <f t="shared" si="21"/>
        <v>858</v>
      </c>
      <c r="G235" s="2326">
        <f t="shared" si="22"/>
        <v>858</v>
      </c>
    </row>
    <row r="236" spans="1:7" ht="15.75">
      <c r="A236" s="2486">
        <f t="shared" si="23"/>
        <v>8625</v>
      </c>
      <c r="B236" s="2325">
        <v>8600</v>
      </c>
      <c r="C236" s="2325">
        <v>8650</v>
      </c>
      <c r="D236" s="2326">
        <f t="shared" si="19"/>
        <v>863</v>
      </c>
      <c r="E236" s="2326">
        <f t="shared" si="20"/>
        <v>863</v>
      </c>
      <c r="F236" s="2326">
        <f t="shared" si="21"/>
        <v>863</v>
      </c>
      <c r="G236" s="2326">
        <f t="shared" si="22"/>
        <v>863</v>
      </c>
    </row>
    <row r="237" spans="1:7" ht="15.75">
      <c r="A237" s="2486">
        <f t="shared" si="23"/>
        <v>8675</v>
      </c>
      <c r="B237" s="2325">
        <v>8650</v>
      </c>
      <c r="C237" s="2325">
        <v>8700</v>
      </c>
      <c r="D237" s="2326">
        <f t="shared" si="19"/>
        <v>868</v>
      </c>
      <c r="E237" s="2326">
        <f t="shared" si="20"/>
        <v>868</v>
      </c>
      <c r="F237" s="2326">
        <f t="shared" si="21"/>
        <v>868</v>
      </c>
      <c r="G237" s="2326">
        <f t="shared" si="22"/>
        <v>868</v>
      </c>
    </row>
    <row r="238" spans="1:7" ht="15.75">
      <c r="A238" s="2486">
        <f t="shared" si="23"/>
        <v>8725</v>
      </c>
      <c r="B238" s="2325">
        <v>8700</v>
      </c>
      <c r="C238" s="2325">
        <v>8750</v>
      </c>
      <c r="D238" s="2326">
        <f t="shared" si="19"/>
        <v>873</v>
      </c>
      <c r="E238" s="2326">
        <f t="shared" si="20"/>
        <v>873</v>
      </c>
      <c r="F238" s="2326">
        <f t="shared" si="21"/>
        <v>873</v>
      </c>
      <c r="G238" s="2326">
        <f t="shared" si="22"/>
        <v>873</v>
      </c>
    </row>
    <row r="239" spans="1:7" ht="15.75">
      <c r="A239" s="2486">
        <f t="shared" si="23"/>
        <v>8775</v>
      </c>
      <c r="B239" s="2325">
        <v>8750</v>
      </c>
      <c r="C239" s="2325">
        <v>8800</v>
      </c>
      <c r="D239" s="2326">
        <f t="shared" si="19"/>
        <v>878</v>
      </c>
      <c r="E239" s="2326">
        <f t="shared" si="20"/>
        <v>878</v>
      </c>
      <c r="F239" s="2326">
        <f t="shared" si="21"/>
        <v>878</v>
      </c>
      <c r="G239" s="2326">
        <f t="shared" si="22"/>
        <v>878</v>
      </c>
    </row>
    <row r="240" spans="1:7" ht="15.75">
      <c r="A240" s="2486">
        <f t="shared" si="23"/>
        <v>8825</v>
      </c>
      <c r="B240" s="2325">
        <v>8800</v>
      </c>
      <c r="C240" s="2325">
        <v>8850</v>
      </c>
      <c r="D240" s="2326">
        <f t="shared" si="19"/>
        <v>883</v>
      </c>
      <c r="E240" s="2326">
        <f t="shared" si="20"/>
        <v>883</v>
      </c>
      <c r="F240" s="2326">
        <f t="shared" si="21"/>
        <v>883</v>
      </c>
      <c r="G240" s="2326">
        <f t="shared" si="22"/>
        <v>883</v>
      </c>
    </row>
    <row r="241" spans="1:7" ht="15.75">
      <c r="A241" s="2486">
        <f t="shared" si="23"/>
        <v>8875</v>
      </c>
      <c r="B241" s="2325">
        <v>8850</v>
      </c>
      <c r="C241" s="2325">
        <v>8900</v>
      </c>
      <c r="D241" s="2326">
        <f t="shared" si="19"/>
        <v>888</v>
      </c>
      <c r="E241" s="2326">
        <f t="shared" si="20"/>
        <v>888</v>
      </c>
      <c r="F241" s="2326">
        <f t="shared" si="21"/>
        <v>888</v>
      </c>
      <c r="G241" s="2326">
        <f t="shared" si="22"/>
        <v>888</v>
      </c>
    </row>
    <row r="242" spans="1:7" ht="15.75">
      <c r="A242" s="2486">
        <f t="shared" si="23"/>
        <v>8925</v>
      </c>
      <c r="B242" s="2325">
        <v>8900</v>
      </c>
      <c r="C242" s="2325">
        <v>8950</v>
      </c>
      <c r="D242" s="2326">
        <f t="shared" si="19"/>
        <v>893</v>
      </c>
      <c r="E242" s="2326">
        <f t="shared" si="20"/>
        <v>893</v>
      </c>
      <c r="F242" s="2326">
        <f t="shared" si="21"/>
        <v>893</v>
      </c>
      <c r="G242" s="2326">
        <f t="shared" si="22"/>
        <v>893</v>
      </c>
    </row>
    <row r="243" spans="1:7" ht="15.75">
      <c r="A243" s="2486">
        <f t="shared" si="23"/>
        <v>8975</v>
      </c>
      <c r="B243" s="2325">
        <v>8950</v>
      </c>
      <c r="C243" s="2325">
        <v>9000</v>
      </c>
      <c r="D243" s="2326">
        <f t="shared" si="19"/>
        <v>898</v>
      </c>
      <c r="E243" s="2326">
        <f t="shared" si="20"/>
        <v>898</v>
      </c>
      <c r="F243" s="2326">
        <f t="shared" si="21"/>
        <v>898</v>
      </c>
      <c r="G243" s="2326">
        <f t="shared" si="22"/>
        <v>898</v>
      </c>
    </row>
    <row r="244" spans="1:7" ht="15.75">
      <c r="A244" s="2486">
        <f t="shared" si="23"/>
        <v>9025</v>
      </c>
      <c r="B244" s="2325">
        <v>9000</v>
      </c>
      <c r="C244" s="2325">
        <v>9050</v>
      </c>
      <c r="D244" s="2326">
        <f t="shared" si="19"/>
        <v>903</v>
      </c>
      <c r="E244" s="2326">
        <f t="shared" si="20"/>
        <v>903</v>
      </c>
      <c r="F244" s="2326">
        <f t="shared" si="21"/>
        <v>903</v>
      </c>
      <c r="G244" s="2326">
        <f t="shared" si="22"/>
        <v>903</v>
      </c>
    </row>
    <row r="245" spans="1:7" ht="15.75">
      <c r="A245" s="2486">
        <f t="shared" si="23"/>
        <v>9075</v>
      </c>
      <c r="B245" s="2325">
        <v>9050</v>
      </c>
      <c r="C245" s="2325">
        <v>9100</v>
      </c>
      <c r="D245" s="2326">
        <f t="shared" si="19"/>
        <v>908</v>
      </c>
      <c r="E245" s="2326">
        <f t="shared" si="20"/>
        <v>908</v>
      </c>
      <c r="F245" s="2326">
        <f t="shared" si="21"/>
        <v>908</v>
      </c>
      <c r="G245" s="2326">
        <f t="shared" si="22"/>
        <v>908</v>
      </c>
    </row>
    <row r="246" spans="1:7" ht="15.75">
      <c r="A246" s="2486">
        <f t="shared" si="23"/>
        <v>9125</v>
      </c>
      <c r="B246" s="2325">
        <v>9100</v>
      </c>
      <c r="C246" s="2325">
        <v>9150</v>
      </c>
      <c r="D246" s="2326">
        <f t="shared" si="19"/>
        <v>913</v>
      </c>
      <c r="E246" s="2326">
        <f t="shared" si="20"/>
        <v>913</v>
      </c>
      <c r="F246" s="2326">
        <f t="shared" si="21"/>
        <v>913</v>
      </c>
      <c r="G246" s="2326">
        <f t="shared" si="22"/>
        <v>913</v>
      </c>
    </row>
    <row r="247" spans="1:7" ht="15.75">
      <c r="A247" s="2486">
        <f t="shared" si="23"/>
        <v>9175</v>
      </c>
      <c r="B247" s="2325">
        <v>9150</v>
      </c>
      <c r="C247" s="2325">
        <v>9200</v>
      </c>
      <c r="D247" s="2326">
        <f t="shared" si="19"/>
        <v>918</v>
      </c>
      <c r="E247" s="2326">
        <f t="shared" si="20"/>
        <v>918</v>
      </c>
      <c r="F247" s="2326">
        <f t="shared" si="21"/>
        <v>918</v>
      </c>
      <c r="G247" s="2326">
        <f t="shared" si="22"/>
        <v>918</v>
      </c>
    </row>
    <row r="248" spans="1:7" ht="15.75">
      <c r="A248" s="2486">
        <f t="shared" si="23"/>
        <v>9225</v>
      </c>
      <c r="B248" s="2325">
        <v>9200</v>
      </c>
      <c r="C248" s="2325">
        <v>9250</v>
      </c>
      <c r="D248" s="2326">
        <f t="shared" si="19"/>
        <v>923</v>
      </c>
      <c r="E248" s="2326">
        <f t="shared" si="20"/>
        <v>923</v>
      </c>
      <c r="F248" s="2326">
        <f t="shared" si="21"/>
        <v>923</v>
      </c>
      <c r="G248" s="2326">
        <f t="shared" si="22"/>
        <v>923</v>
      </c>
    </row>
    <row r="249" spans="1:7" ht="15.75">
      <c r="A249" s="2486">
        <f t="shared" si="23"/>
        <v>9275</v>
      </c>
      <c r="B249" s="2325">
        <v>9250</v>
      </c>
      <c r="C249" s="2325">
        <v>9300</v>
      </c>
      <c r="D249" s="2326">
        <f t="shared" si="19"/>
        <v>928</v>
      </c>
      <c r="E249" s="2326">
        <f t="shared" si="20"/>
        <v>928</v>
      </c>
      <c r="F249" s="2326">
        <f t="shared" si="21"/>
        <v>928</v>
      </c>
      <c r="G249" s="2326">
        <f t="shared" si="22"/>
        <v>928</v>
      </c>
    </row>
    <row r="250" spans="1:7" ht="15.75">
      <c r="A250" s="2486">
        <f t="shared" si="23"/>
        <v>9325</v>
      </c>
      <c r="B250" s="2325">
        <v>9300</v>
      </c>
      <c r="C250" s="2325">
        <v>9350</v>
      </c>
      <c r="D250" s="2326">
        <f t="shared" si="19"/>
        <v>933</v>
      </c>
      <c r="E250" s="2326">
        <f t="shared" si="20"/>
        <v>933</v>
      </c>
      <c r="F250" s="2326">
        <f t="shared" si="21"/>
        <v>933</v>
      </c>
      <c r="G250" s="2326">
        <f t="shared" si="22"/>
        <v>933</v>
      </c>
    </row>
    <row r="251" spans="1:7" ht="15.75">
      <c r="A251" s="2486">
        <f t="shared" si="23"/>
        <v>9375</v>
      </c>
      <c r="B251" s="2325">
        <v>9350</v>
      </c>
      <c r="C251" s="2325">
        <v>9400</v>
      </c>
      <c r="D251" s="2326">
        <f t="shared" si="19"/>
        <v>938</v>
      </c>
      <c r="E251" s="2326">
        <f t="shared" si="20"/>
        <v>938</v>
      </c>
      <c r="F251" s="2326">
        <f t="shared" si="21"/>
        <v>938</v>
      </c>
      <c r="G251" s="2326">
        <f t="shared" si="22"/>
        <v>938</v>
      </c>
    </row>
    <row r="252" spans="1:7" ht="15.75">
      <c r="A252" s="2486">
        <f t="shared" si="23"/>
        <v>9425</v>
      </c>
      <c r="B252" s="2325">
        <v>9400</v>
      </c>
      <c r="C252" s="2325">
        <v>9450</v>
      </c>
      <c r="D252" s="2326">
        <f t="shared" si="19"/>
        <v>943</v>
      </c>
      <c r="E252" s="2326">
        <f t="shared" si="20"/>
        <v>943</v>
      </c>
      <c r="F252" s="2326">
        <f t="shared" si="21"/>
        <v>943</v>
      </c>
      <c r="G252" s="2326">
        <f t="shared" si="22"/>
        <v>943</v>
      </c>
    </row>
    <row r="253" spans="1:7" ht="15.75">
      <c r="A253" s="2486">
        <f t="shared" si="23"/>
        <v>9475</v>
      </c>
      <c r="B253" s="2325">
        <v>9450</v>
      </c>
      <c r="C253" s="2325">
        <v>9500</v>
      </c>
      <c r="D253" s="2326">
        <f t="shared" si="19"/>
        <v>948</v>
      </c>
      <c r="E253" s="2326">
        <f t="shared" si="20"/>
        <v>948</v>
      </c>
      <c r="F253" s="2326">
        <f t="shared" si="21"/>
        <v>948</v>
      </c>
      <c r="G253" s="2326">
        <f t="shared" si="22"/>
        <v>948</v>
      </c>
    </row>
    <row r="254" spans="1:7" ht="15.75">
      <c r="A254" s="2486">
        <f t="shared" si="23"/>
        <v>9525</v>
      </c>
      <c r="B254" s="2325">
        <v>9500</v>
      </c>
      <c r="C254" s="2325">
        <v>9550</v>
      </c>
      <c r="D254" s="2326">
        <f t="shared" si="19"/>
        <v>953</v>
      </c>
      <c r="E254" s="2326">
        <f t="shared" si="20"/>
        <v>953</v>
      </c>
      <c r="F254" s="2326">
        <f t="shared" si="21"/>
        <v>953</v>
      </c>
      <c r="G254" s="2326">
        <f t="shared" si="22"/>
        <v>953</v>
      </c>
    </row>
    <row r="255" spans="1:7" ht="15.75">
      <c r="A255" s="2486">
        <f t="shared" si="23"/>
        <v>9575</v>
      </c>
      <c r="B255" s="2325">
        <v>9550</v>
      </c>
      <c r="C255" s="2325">
        <v>9600</v>
      </c>
      <c r="D255" s="2326">
        <f t="shared" si="19"/>
        <v>958</v>
      </c>
      <c r="E255" s="2326">
        <f t="shared" si="20"/>
        <v>958</v>
      </c>
      <c r="F255" s="2326">
        <f t="shared" si="21"/>
        <v>958</v>
      </c>
      <c r="G255" s="2326">
        <f t="shared" si="22"/>
        <v>958</v>
      </c>
    </row>
    <row r="256" spans="1:7" ht="15.75">
      <c r="A256" s="2486">
        <f t="shared" si="23"/>
        <v>9625</v>
      </c>
      <c r="B256" s="2325">
        <v>9600</v>
      </c>
      <c r="C256" s="2325">
        <v>9650</v>
      </c>
      <c r="D256" s="2326">
        <f t="shared" si="19"/>
        <v>963</v>
      </c>
      <c r="E256" s="2326">
        <f t="shared" si="20"/>
        <v>963</v>
      </c>
      <c r="F256" s="2326">
        <f t="shared" si="21"/>
        <v>963</v>
      </c>
      <c r="G256" s="2326">
        <f t="shared" si="22"/>
        <v>963</v>
      </c>
    </row>
    <row r="257" spans="1:7" ht="15.75">
      <c r="A257" s="2486">
        <f t="shared" si="23"/>
        <v>9675</v>
      </c>
      <c r="B257" s="2325">
        <v>9650</v>
      </c>
      <c r="C257" s="2325">
        <v>9700</v>
      </c>
      <c r="D257" s="2326">
        <f t="shared" si="19"/>
        <v>968</v>
      </c>
      <c r="E257" s="2326">
        <f t="shared" si="20"/>
        <v>968</v>
      </c>
      <c r="F257" s="2326">
        <f t="shared" si="21"/>
        <v>968</v>
      </c>
      <c r="G257" s="2326">
        <f t="shared" si="22"/>
        <v>968</v>
      </c>
    </row>
    <row r="258" spans="1:7" ht="15.75">
      <c r="A258" s="2486">
        <f t="shared" si="23"/>
        <v>9725</v>
      </c>
      <c r="B258" s="2325">
        <v>9700</v>
      </c>
      <c r="C258" s="2325">
        <v>9750</v>
      </c>
      <c r="D258" s="2326">
        <f t="shared" ref="D258:D321" si="24">IF($A258&gt;BOTT_A4,ROUND(BASE_A4+RATE_A4*($A258-BOTT_A4),0),IF($A258&gt;BOTT_A3,ROUND(BASE_A3+RATE_A3*($A258-BOTT_A3),0),IF($A258&gt;BOTT_A2,ROUND(BASE_A2+RATE_A2*($A258-BOTT_A2),0),ROUND(RATE_A1*$A258,0))))</f>
        <v>973</v>
      </c>
      <c r="E258" s="2326">
        <f t="shared" ref="E258:E321" si="25">IF($A258&gt;BOTT_B4,ROUND(BASE_B4+RATE_B4*($A258-BOTT_B4),0),IF($A258&gt;BOTT_B3,ROUND(BASE_B3+RATE_B3*($A258-BOTT_B3),0),IF($A258&gt;BOTT_B2,ROUND(BASE_B2+RATE_B2*($A258-BOTT_B2),0),ROUND(RATE_B1*$A258,0))))</f>
        <v>973</v>
      </c>
      <c r="F258" s="2326">
        <f t="shared" ref="F258:F321" si="26">IF($A258&gt;BOTT_C4,ROUND(BASE_C4+RATE_C4*($A258-BOTT_C4),0),IF($A258&gt;BOTT_C3,ROUND(BASE_C3+RATE_C3*($A258-BOTT_C3),0),IF($A258&gt;BOTT_C2,ROUND(BASE_C2+RATE_C2*($A258-BOTT_C2),0),ROUND(RATE_C1*$A258,0))))</f>
        <v>973</v>
      </c>
      <c r="G258" s="2326">
        <f t="shared" ref="G258:G321" si="27">IF($A258&gt;BOTT_D4,ROUND(BASE_D4+RATE_D4*($A258-BOTT_D4),0),IF($A258&gt;BOTT_D3,ROUND(BASE_D3+RATE_D3*($A258-BOTT_D3),0),IF($A258&gt;BOTT_D2,ROUND(BASE_D2+RATE_D2*($A258-BOTT_D2),0),ROUND(RATE_D1*$A258,0))))</f>
        <v>973</v>
      </c>
    </row>
    <row r="259" spans="1:7" ht="15.75">
      <c r="A259" s="2486">
        <f t="shared" ref="A259:A322" si="28">AVERAGE(B259,C259)</f>
        <v>9775</v>
      </c>
      <c r="B259" s="2325">
        <v>9750</v>
      </c>
      <c r="C259" s="2325">
        <v>9800</v>
      </c>
      <c r="D259" s="2326">
        <f t="shared" si="24"/>
        <v>978</v>
      </c>
      <c r="E259" s="2326">
        <f t="shared" si="25"/>
        <v>978</v>
      </c>
      <c r="F259" s="2326">
        <f t="shared" si="26"/>
        <v>978</v>
      </c>
      <c r="G259" s="2326">
        <f t="shared" si="27"/>
        <v>978</v>
      </c>
    </row>
    <row r="260" spans="1:7" ht="15.75">
      <c r="A260" s="2486">
        <f t="shared" si="28"/>
        <v>9825</v>
      </c>
      <c r="B260" s="2325">
        <v>9800</v>
      </c>
      <c r="C260" s="2325">
        <v>9850</v>
      </c>
      <c r="D260" s="2326">
        <f t="shared" si="24"/>
        <v>983</v>
      </c>
      <c r="E260" s="2326">
        <f t="shared" si="25"/>
        <v>983</v>
      </c>
      <c r="F260" s="2326">
        <f t="shared" si="26"/>
        <v>983</v>
      </c>
      <c r="G260" s="2326">
        <f t="shared" si="27"/>
        <v>983</v>
      </c>
    </row>
    <row r="261" spans="1:7" ht="15.75">
      <c r="A261" s="2486">
        <f t="shared" si="28"/>
        <v>9875</v>
      </c>
      <c r="B261" s="2325">
        <v>9850</v>
      </c>
      <c r="C261" s="2325">
        <v>9900</v>
      </c>
      <c r="D261" s="2326">
        <f t="shared" si="24"/>
        <v>988</v>
      </c>
      <c r="E261" s="2326">
        <f t="shared" si="25"/>
        <v>988</v>
      </c>
      <c r="F261" s="2326">
        <f t="shared" si="26"/>
        <v>988</v>
      </c>
      <c r="G261" s="2326">
        <f t="shared" si="27"/>
        <v>988</v>
      </c>
    </row>
    <row r="262" spans="1:7" ht="15.75">
      <c r="A262" s="2486">
        <f t="shared" si="28"/>
        <v>9925</v>
      </c>
      <c r="B262" s="2325">
        <v>9900</v>
      </c>
      <c r="C262" s="2325">
        <v>9950</v>
      </c>
      <c r="D262" s="2326">
        <f t="shared" si="24"/>
        <v>993</v>
      </c>
      <c r="E262" s="2326">
        <f t="shared" si="25"/>
        <v>993</v>
      </c>
      <c r="F262" s="2326">
        <f t="shared" si="26"/>
        <v>993</v>
      </c>
      <c r="G262" s="2326">
        <f t="shared" si="27"/>
        <v>993</v>
      </c>
    </row>
    <row r="263" spans="1:7" ht="15.75">
      <c r="A263" s="2486">
        <f t="shared" si="28"/>
        <v>9975</v>
      </c>
      <c r="B263" s="2325">
        <v>9950</v>
      </c>
      <c r="C263" s="2325">
        <v>10000</v>
      </c>
      <c r="D263" s="2326">
        <f t="shared" si="24"/>
        <v>998</v>
      </c>
      <c r="E263" s="2326">
        <f t="shared" si="25"/>
        <v>998</v>
      </c>
      <c r="F263" s="2326">
        <f t="shared" si="26"/>
        <v>998</v>
      </c>
      <c r="G263" s="2326">
        <f t="shared" si="27"/>
        <v>998</v>
      </c>
    </row>
    <row r="264" spans="1:7" ht="15.75">
      <c r="A264" s="2486">
        <f t="shared" si="28"/>
        <v>10025</v>
      </c>
      <c r="B264" s="2325">
        <v>10000</v>
      </c>
      <c r="C264" s="2325">
        <v>10050</v>
      </c>
      <c r="D264" s="2326">
        <f t="shared" si="24"/>
        <v>1004</v>
      </c>
      <c r="E264" s="2326">
        <f t="shared" si="25"/>
        <v>1003</v>
      </c>
      <c r="F264" s="2326">
        <f t="shared" si="26"/>
        <v>1004</v>
      </c>
      <c r="G264" s="2326">
        <f t="shared" si="27"/>
        <v>1003</v>
      </c>
    </row>
    <row r="265" spans="1:7" ht="15.75">
      <c r="A265" s="2486">
        <f t="shared" si="28"/>
        <v>10075</v>
      </c>
      <c r="B265" s="2325">
        <v>10050</v>
      </c>
      <c r="C265" s="2325">
        <v>10100</v>
      </c>
      <c r="D265" s="2326">
        <f t="shared" si="24"/>
        <v>1010</v>
      </c>
      <c r="E265" s="2326">
        <f t="shared" si="25"/>
        <v>1008</v>
      </c>
      <c r="F265" s="2326">
        <f t="shared" si="26"/>
        <v>1010</v>
      </c>
      <c r="G265" s="2326">
        <f t="shared" si="27"/>
        <v>1008</v>
      </c>
    </row>
    <row r="266" spans="1:7" ht="15.75">
      <c r="A266" s="2486">
        <f t="shared" si="28"/>
        <v>10125</v>
      </c>
      <c r="B266" s="2325">
        <v>10100</v>
      </c>
      <c r="C266" s="2325">
        <v>10150</v>
      </c>
      <c r="D266" s="2326">
        <f t="shared" si="24"/>
        <v>1016</v>
      </c>
      <c r="E266" s="2326">
        <f t="shared" si="25"/>
        <v>1013</v>
      </c>
      <c r="F266" s="2326">
        <f t="shared" si="26"/>
        <v>1016</v>
      </c>
      <c r="G266" s="2326">
        <f t="shared" si="27"/>
        <v>1013</v>
      </c>
    </row>
    <row r="267" spans="1:7" ht="15.75">
      <c r="A267" s="2486">
        <f t="shared" si="28"/>
        <v>10175</v>
      </c>
      <c r="B267" s="2325">
        <v>10150</v>
      </c>
      <c r="C267" s="2325">
        <v>10200</v>
      </c>
      <c r="D267" s="2326">
        <f t="shared" si="24"/>
        <v>1022</v>
      </c>
      <c r="E267" s="2326">
        <f t="shared" si="25"/>
        <v>1018</v>
      </c>
      <c r="F267" s="2326">
        <f t="shared" si="26"/>
        <v>1022</v>
      </c>
      <c r="G267" s="2326">
        <f t="shared" si="27"/>
        <v>1018</v>
      </c>
    </row>
    <row r="268" spans="1:7" ht="15.75">
      <c r="A268" s="2486">
        <f t="shared" si="28"/>
        <v>10225</v>
      </c>
      <c r="B268" s="2325">
        <v>10200</v>
      </c>
      <c r="C268" s="2325">
        <v>10250</v>
      </c>
      <c r="D268" s="2326">
        <f t="shared" si="24"/>
        <v>1028</v>
      </c>
      <c r="E268" s="2326">
        <f t="shared" si="25"/>
        <v>1023</v>
      </c>
      <c r="F268" s="2326">
        <f t="shared" si="26"/>
        <v>1028</v>
      </c>
      <c r="G268" s="2326">
        <f t="shared" si="27"/>
        <v>1023</v>
      </c>
    </row>
    <row r="269" spans="1:7" ht="15.75">
      <c r="A269" s="2486">
        <f t="shared" si="28"/>
        <v>10275</v>
      </c>
      <c r="B269" s="2325">
        <v>10250</v>
      </c>
      <c r="C269" s="2325">
        <v>10300</v>
      </c>
      <c r="D269" s="2326">
        <f t="shared" si="24"/>
        <v>1034</v>
      </c>
      <c r="E269" s="2326">
        <f t="shared" si="25"/>
        <v>1028</v>
      </c>
      <c r="F269" s="2326">
        <f t="shared" si="26"/>
        <v>1034</v>
      </c>
      <c r="G269" s="2326">
        <f t="shared" si="27"/>
        <v>1028</v>
      </c>
    </row>
    <row r="270" spans="1:7" ht="15.75">
      <c r="A270" s="2486">
        <f t="shared" si="28"/>
        <v>10325</v>
      </c>
      <c r="B270" s="2325">
        <v>10300</v>
      </c>
      <c r="C270" s="2325">
        <v>10350</v>
      </c>
      <c r="D270" s="2326">
        <f t="shared" si="24"/>
        <v>1040</v>
      </c>
      <c r="E270" s="2326">
        <f t="shared" si="25"/>
        <v>1033</v>
      </c>
      <c r="F270" s="2326">
        <f t="shared" si="26"/>
        <v>1040</v>
      </c>
      <c r="G270" s="2326">
        <f t="shared" si="27"/>
        <v>1033</v>
      </c>
    </row>
    <row r="271" spans="1:7" ht="15.75">
      <c r="A271" s="2486">
        <f t="shared" si="28"/>
        <v>10375</v>
      </c>
      <c r="B271" s="2325">
        <v>10350</v>
      </c>
      <c r="C271" s="2325">
        <v>10400</v>
      </c>
      <c r="D271" s="2326">
        <f t="shared" si="24"/>
        <v>1046</v>
      </c>
      <c r="E271" s="2326">
        <f t="shared" si="25"/>
        <v>1038</v>
      </c>
      <c r="F271" s="2326">
        <f t="shared" si="26"/>
        <v>1046</v>
      </c>
      <c r="G271" s="2326">
        <f t="shared" si="27"/>
        <v>1038</v>
      </c>
    </row>
    <row r="272" spans="1:7" ht="15.75">
      <c r="A272" s="2486">
        <f t="shared" si="28"/>
        <v>10425</v>
      </c>
      <c r="B272" s="2325">
        <v>10400</v>
      </c>
      <c r="C272" s="2325">
        <v>10450</v>
      </c>
      <c r="D272" s="2326">
        <f t="shared" si="24"/>
        <v>1052</v>
      </c>
      <c r="E272" s="2326">
        <f t="shared" si="25"/>
        <v>1043</v>
      </c>
      <c r="F272" s="2326">
        <f t="shared" si="26"/>
        <v>1052</v>
      </c>
      <c r="G272" s="2326">
        <f t="shared" si="27"/>
        <v>1043</v>
      </c>
    </row>
    <row r="273" spans="1:7" ht="15.75">
      <c r="A273" s="2486">
        <f t="shared" si="28"/>
        <v>10475</v>
      </c>
      <c r="B273" s="2325">
        <v>10450</v>
      </c>
      <c r="C273" s="2325">
        <v>10500</v>
      </c>
      <c r="D273" s="2326">
        <f t="shared" si="24"/>
        <v>1058</v>
      </c>
      <c r="E273" s="2326">
        <f t="shared" si="25"/>
        <v>1048</v>
      </c>
      <c r="F273" s="2326">
        <f t="shared" si="26"/>
        <v>1058</v>
      </c>
      <c r="G273" s="2326">
        <f t="shared" si="27"/>
        <v>1048</v>
      </c>
    </row>
    <row r="274" spans="1:7" ht="15.75">
      <c r="A274" s="2486">
        <f t="shared" si="28"/>
        <v>10525</v>
      </c>
      <c r="B274" s="2325">
        <v>10500</v>
      </c>
      <c r="C274" s="2325">
        <v>10550</v>
      </c>
      <c r="D274" s="2326">
        <f t="shared" si="24"/>
        <v>1064</v>
      </c>
      <c r="E274" s="2326">
        <f t="shared" si="25"/>
        <v>1053</v>
      </c>
      <c r="F274" s="2326">
        <f t="shared" si="26"/>
        <v>1064</v>
      </c>
      <c r="G274" s="2326">
        <f t="shared" si="27"/>
        <v>1053</v>
      </c>
    </row>
    <row r="275" spans="1:7" ht="15.75">
      <c r="A275" s="2486">
        <f t="shared" si="28"/>
        <v>10575</v>
      </c>
      <c r="B275" s="2325">
        <v>10550</v>
      </c>
      <c r="C275" s="2325">
        <v>10600</v>
      </c>
      <c r="D275" s="2326">
        <f t="shared" si="24"/>
        <v>1070</v>
      </c>
      <c r="E275" s="2326">
        <f t="shared" si="25"/>
        <v>1058</v>
      </c>
      <c r="F275" s="2326">
        <f t="shared" si="26"/>
        <v>1070</v>
      </c>
      <c r="G275" s="2326">
        <f t="shared" si="27"/>
        <v>1058</v>
      </c>
    </row>
    <row r="276" spans="1:7" ht="15.75">
      <c r="A276" s="2486">
        <f t="shared" si="28"/>
        <v>10625</v>
      </c>
      <c r="B276" s="2325">
        <v>10600</v>
      </c>
      <c r="C276" s="2325">
        <v>10650</v>
      </c>
      <c r="D276" s="2326">
        <f t="shared" si="24"/>
        <v>1076</v>
      </c>
      <c r="E276" s="2326">
        <f t="shared" si="25"/>
        <v>1063</v>
      </c>
      <c r="F276" s="2326">
        <f t="shared" si="26"/>
        <v>1076</v>
      </c>
      <c r="G276" s="2326">
        <f t="shared" si="27"/>
        <v>1063</v>
      </c>
    </row>
    <row r="277" spans="1:7" ht="15.75">
      <c r="A277" s="2486">
        <f t="shared" si="28"/>
        <v>10675</v>
      </c>
      <c r="B277" s="2325">
        <v>10650</v>
      </c>
      <c r="C277" s="2325">
        <v>10700</v>
      </c>
      <c r="D277" s="2326">
        <f t="shared" si="24"/>
        <v>1082</v>
      </c>
      <c r="E277" s="2326">
        <f t="shared" si="25"/>
        <v>1068</v>
      </c>
      <c r="F277" s="2326">
        <f t="shared" si="26"/>
        <v>1082</v>
      </c>
      <c r="G277" s="2326">
        <f t="shared" si="27"/>
        <v>1068</v>
      </c>
    </row>
    <row r="278" spans="1:7" ht="15.75">
      <c r="A278" s="2486">
        <f t="shared" si="28"/>
        <v>10725</v>
      </c>
      <c r="B278" s="2325">
        <v>10700</v>
      </c>
      <c r="C278" s="2325">
        <v>10750</v>
      </c>
      <c r="D278" s="2326">
        <f t="shared" si="24"/>
        <v>1088</v>
      </c>
      <c r="E278" s="2326">
        <f t="shared" si="25"/>
        <v>1073</v>
      </c>
      <c r="F278" s="2326">
        <f t="shared" si="26"/>
        <v>1088</v>
      </c>
      <c r="G278" s="2326">
        <f t="shared" si="27"/>
        <v>1073</v>
      </c>
    </row>
    <row r="279" spans="1:7" ht="15.75">
      <c r="A279" s="2486">
        <f t="shared" si="28"/>
        <v>10775</v>
      </c>
      <c r="B279" s="2325">
        <v>10750</v>
      </c>
      <c r="C279" s="2325">
        <v>10800</v>
      </c>
      <c r="D279" s="2326">
        <f t="shared" si="24"/>
        <v>1094</v>
      </c>
      <c r="E279" s="2326">
        <f t="shared" si="25"/>
        <v>1078</v>
      </c>
      <c r="F279" s="2326">
        <f t="shared" si="26"/>
        <v>1094</v>
      </c>
      <c r="G279" s="2326">
        <f t="shared" si="27"/>
        <v>1078</v>
      </c>
    </row>
    <row r="280" spans="1:7" ht="15.75">
      <c r="A280" s="2486">
        <f t="shared" si="28"/>
        <v>10825</v>
      </c>
      <c r="B280" s="2325">
        <v>10800</v>
      </c>
      <c r="C280" s="2325">
        <v>10850</v>
      </c>
      <c r="D280" s="2326">
        <f t="shared" si="24"/>
        <v>1100</v>
      </c>
      <c r="E280" s="2326">
        <f t="shared" si="25"/>
        <v>1083</v>
      </c>
      <c r="F280" s="2326">
        <f t="shared" si="26"/>
        <v>1100</v>
      </c>
      <c r="G280" s="2326">
        <f t="shared" si="27"/>
        <v>1083</v>
      </c>
    </row>
    <row r="281" spans="1:7" ht="15.75">
      <c r="A281" s="2486">
        <f t="shared" si="28"/>
        <v>10875</v>
      </c>
      <c r="B281" s="2325">
        <v>10850</v>
      </c>
      <c r="C281" s="2325">
        <v>10900</v>
      </c>
      <c r="D281" s="2326">
        <f t="shared" si="24"/>
        <v>1106</v>
      </c>
      <c r="E281" s="2326">
        <f t="shared" si="25"/>
        <v>1088</v>
      </c>
      <c r="F281" s="2326">
        <f t="shared" si="26"/>
        <v>1106</v>
      </c>
      <c r="G281" s="2326">
        <f t="shared" si="27"/>
        <v>1088</v>
      </c>
    </row>
    <row r="282" spans="1:7" ht="15.75">
      <c r="A282" s="2486">
        <f t="shared" si="28"/>
        <v>10925</v>
      </c>
      <c r="B282" s="2325">
        <v>10900</v>
      </c>
      <c r="C282" s="2325">
        <v>10950</v>
      </c>
      <c r="D282" s="2326">
        <f t="shared" si="24"/>
        <v>1112</v>
      </c>
      <c r="E282" s="2326">
        <f t="shared" si="25"/>
        <v>1093</v>
      </c>
      <c r="F282" s="2326">
        <f t="shared" si="26"/>
        <v>1112</v>
      </c>
      <c r="G282" s="2326">
        <f t="shared" si="27"/>
        <v>1093</v>
      </c>
    </row>
    <row r="283" spans="1:7" ht="15.75">
      <c r="A283" s="2486">
        <f t="shared" si="28"/>
        <v>10975</v>
      </c>
      <c r="B283" s="2325">
        <v>10950</v>
      </c>
      <c r="C283" s="2325">
        <v>11000</v>
      </c>
      <c r="D283" s="2326">
        <f t="shared" si="24"/>
        <v>1118</v>
      </c>
      <c r="E283" s="2326">
        <f t="shared" si="25"/>
        <v>1098</v>
      </c>
      <c r="F283" s="2326">
        <f t="shared" si="26"/>
        <v>1118</v>
      </c>
      <c r="G283" s="2326">
        <f t="shared" si="27"/>
        <v>1098</v>
      </c>
    </row>
    <row r="284" spans="1:7" ht="15.75">
      <c r="A284" s="2486">
        <f t="shared" si="28"/>
        <v>11025</v>
      </c>
      <c r="B284" s="2325">
        <v>11000</v>
      </c>
      <c r="C284" s="2325">
        <v>11050</v>
      </c>
      <c r="D284" s="2326">
        <f t="shared" si="24"/>
        <v>1124</v>
      </c>
      <c r="E284" s="2326">
        <f t="shared" si="25"/>
        <v>1103</v>
      </c>
      <c r="F284" s="2326">
        <f t="shared" si="26"/>
        <v>1124</v>
      </c>
      <c r="G284" s="2326">
        <f t="shared" si="27"/>
        <v>1103</v>
      </c>
    </row>
    <row r="285" spans="1:7" ht="15.75">
      <c r="A285" s="2486">
        <f t="shared" si="28"/>
        <v>11075</v>
      </c>
      <c r="B285" s="2325">
        <v>11050</v>
      </c>
      <c r="C285" s="2325">
        <v>11100</v>
      </c>
      <c r="D285" s="2326">
        <f t="shared" si="24"/>
        <v>1130</v>
      </c>
      <c r="E285" s="2326">
        <f t="shared" si="25"/>
        <v>1108</v>
      </c>
      <c r="F285" s="2326">
        <f t="shared" si="26"/>
        <v>1130</v>
      </c>
      <c r="G285" s="2326">
        <f t="shared" si="27"/>
        <v>1108</v>
      </c>
    </row>
    <row r="286" spans="1:7" ht="15.75">
      <c r="A286" s="2486">
        <f t="shared" si="28"/>
        <v>11125</v>
      </c>
      <c r="B286" s="2325">
        <v>11100</v>
      </c>
      <c r="C286" s="2325">
        <v>11150</v>
      </c>
      <c r="D286" s="2326">
        <f t="shared" si="24"/>
        <v>1136</v>
      </c>
      <c r="E286" s="2326">
        <f t="shared" si="25"/>
        <v>1113</v>
      </c>
      <c r="F286" s="2326">
        <f t="shared" si="26"/>
        <v>1136</v>
      </c>
      <c r="G286" s="2326">
        <f t="shared" si="27"/>
        <v>1113</v>
      </c>
    </row>
    <row r="287" spans="1:7" ht="15.75">
      <c r="A287" s="2486">
        <f t="shared" si="28"/>
        <v>11175</v>
      </c>
      <c r="B287" s="2325">
        <v>11150</v>
      </c>
      <c r="C287" s="2325">
        <v>11200</v>
      </c>
      <c r="D287" s="2326">
        <f t="shared" si="24"/>
        <v>1142</v>
      </c>
      <c r="E287" s="2326">
        <f t="shared" si="25"/>
        <v>1118</v>
      </c>
      <c r="F287" s="2326">
        <f t="shared" si="26"/>
        <v>1142</v>
      </c>
      <c r="G287" s="2326">
        <f t="shared" si="27"/>
        <v>1118</v>
      </c>
    </row>
    <row r="288" spans="1:7" ht="15.75">
      <c r="A288" s="2486">
        <f t="shared" si="28"/>
        <v>11225</v>
      </c>
      <c r="B288" s="2325">
        <v>11200</v>
      </c>
      <c r="C288" s="2325">
        <v>11250</v>
      </c>
      <c r="D288" s="2326">
        <f t="shared" si="24"/>
        <v>1148</v>
      </c>
      <c r="E288" s="2326">
        <f t="shared" si="25"/>
        <v>1123</v>
      </c>
      <c r="F288" s="2326">
        <f t="shared" si="26"/>
        <v>1148</v>
      </c>
      <c r="G288" s="2326">
        <f t="shared" si="27"/>
        <v>1123</v>
      </c>
    </row>
    <row r="289" spans="1:7" ht="15.75">
      <c r="A289" s="2486">
        <f t="shared" si="28"/>
        <v>11275</v>
      </c>
      <c r="B289" s="2325">
        <v>11250</v>
      </c>
      <c r="C289" s="2325">
        <v>11300</v>
      </c>
      <c r="D289" s="2326">
        <f t="shared" si="24"/>
        <v>1154</v>
      </c>
      <c r="E289" s="2326">
        <f t="shared" si="25"/>
        <v>1128</v>
      </c>
      <c r="F289" s="2326">
        <f t="shared" si="26"/>
        <v>1154</v>
      </c>
      <c r="G289" s="2326">
        <f t="shared" si="27"/>
        <v>1128</v>
      </c>
    </row>
    <row r="290" spans="1:7" ht="15.75">
      <c r="A290" s="2486">
        <f t="shared" si="28"/>
        <v>11325</v>
      </c>
      <c r="B290" s="2325">
        <v>11300</v>
      </c>
      <c r="C290" s="2325">
        <v>11350</v>
      </c>
      <c r="D290" s="2326">
        <f t="shared" si="24"/>
        <v>1160</v>
      </c>
      <c r="E290" s="2326">
        <f t="shared" si="25"/>
        <v>1133</v>
      </c>
      <c r="F290" s="2326">
        <f t="shared" si="26"/>
        <v>1160</v>
      </c>
      <c r="G290" s="2326">
        <f t="shared" si="27"/>
        <v>1133</v>
      </c>
    </row>
    <row r="291" spans="1:7" ht="15.75">
      <c r="A291" s="2486">
        <f t="shared" si="28"/>
        <v>11375</v>
      </c>
      <c r="B291" s="2325">
        <v>11350</v>
      </c>
      <c r="C291" s="2325">
        <v>11400</v>
      </c>
      <c r="D291" s="2326">
        <f t="shared" si="24"/>
        <v>1166</v>
      </c>
      <c r="E291" s="2326">
        <f t="shared" si="25"/>
        <v>1138</v>
      </c>
      <c r="F291" s="2326">
        <f t="shared" si="26"/>
        <v>1166</v>
      </c>
      <c r="G291" s="2326">
        <f t="shared" si="27"/>
        <v>1138</v>
      </c>
    </row>
    <row r="292" spans="1:7" ht="15.75">
      <c r="A292" s="2486">
        <f t="shared" si="28"/>
        <v>11425</v>
      </c>
      <c r="B292" s="2325">
        <v>11400</v>
      </c>
      <c r="C292" s="2325">
        <v>11450</v>
      </c>
      <c r="D292" s="2326">
        <f t="shared" si="24"/>
        <v>1172</v>
      </c>
      <c r="E292" s="2326">
        <f t="shared" si="25"/>
        <v>1143</v>
      </c>
      <c r="F292" s="2326">
        <f t="shared" si="26"/>
        <v>1172</v>
      </c>
      <c r="G292" s="2326">
        <f t="shared" si="27"/>
        <v>1143</v>
      </c>
    </row>
    <row r="293" spans="1:7" ht="15.75">
      <c r="A293" s="2486">
        <f t="shared" si="28"/>
        <v>11475</v>
      </c>
      <c r="B293" s="2325">
        <v>11450</v>
      </c>
      <c r="C293" s="2325">
        <v>11500</v>
      </c>
      <c r="D293" s="2326">
        <f t="shared" si="24"/>
        <v>1178</v>
      </c>
      <c r="E293" s="2326">
        <f t="shared" si="25"/>
        <v>1148</v>
      </c>
      <c r="F293" s="2326">
        <f t="shared" si="26"/>
        <v>1178</v>
      </c>
      <c r="G293" s="2326">
        <f t="shared" si="27"/>
        <v>1148</v>
      </c>
    </row>
    <row r="294" spans="1:7" ht="15.75">
      <c r="A294" s="2486">
        <f t="shared" si="28"/>
        <v>11525</v>
      </c>
      <c r="B294" s="2325">
        <v>11500</v>
      </c>
      <c r="C294" s="2325">
        <v>11550</v>
      </c>
      <c r="D294" s="2326">
        <f t="shared" si="24"/>
        <v>1184</v>
      </c>
      <c r="E294" s="2326">
        <f t="shared" si="25"/>
        <v>1153</v>
      </c>
      <c r="F294" s="2326">
        <f t="shared" si="26"/>
        <v>1184</v>
      </c>
      <c r="G294" s="2326">
        <f t="shared" si="27"/>
        <v>1153</v>
      </c>
    </row>
    <row r="295" spans="1:7" ht="15.75">
      <c r="A295" s="2486">
        <f t="shared" si="28"/>
        <v>11575</v>
      </c>
      <c r="B295" s="2325">
        <v>11550</v>
      </c>
      <c r="C295" s="2325">
        <v>11600</v>
      </c>
      <c r="D295" s="2326">
        <f t="shared" si="24"/>
        <v>1190</v>
      </c>
      <c r="E295" s="2326">
        <f t="shared" si="25"/>
        <v>1158</v>
      </c>
      <c r="F295" s="2326">
        <f t="shared" si="26"/>
        <v>1190</v>
      </c>
      <c r="G295" s="2326">
        <f t="shared" si="27"/>
        <v>1158</v>
      </c>
    </row>
    <row r="296" spans="1:7" ht="15.75">
      <c r="A296" s="2486">
        <f t="shared" si="28"/>
        <v>11625</v>
      </c>
      <c r="B296" s="2325">
        <v>11600</v>
      </c>
      <c r="C296" s="2325">
        <v>11650</v>
      </c>
      <c r="D296" s="2326">
        <f t="shared" si="24"/>
        <v>1196</v>
      </c>
      <c r="E296" s="2326">
        <f t="shared" si="25"/>
        <v>1163</v>
      </c>
      <c r="F296" s="2326">
        <f t="shared" si="26"/>
        <v>1196</v>
      </c>
      <c r="G296" s="2326">
        <f t="shared" si="27"/>
        <v>1163</v>
      </c>
    </row>
    <row r="297" spans="1:7" ht="15.75">
      <c r="A297" s="2486">
        <f t="shared" si="28"/>
        <v>11675</v>
      </c>
      <c r="B297" s="2325">
        <v>11650</v>
      </c>
      <c r="C297" s="2325">
        <v>11700</v>
      </c>
      <c r="D297" s="2326">
        <f t="shared" si="24"/>
        <v>1202</v>
      </c>
      <c r="E297" s="2326">
        <f t="shared" si="25"/>
        <v>1168</v>
      </c>
      <c r="F297" s="2326">
        <f t="shared" si="26"/>
        <v>1202</v>
      </c>
      <c r="G297" s="2326">
        <f t="shared" si="27"/>
        <v>1168</v>
      </c>
    </row>
    <row r="298" spans="1:7" ht="15.75">
      <c r="A298" s="2486">
        <f t="shared" si="28"/>
        <v>11725</v>
      </c>
      <c r="B298" s="2325">
        <v>11700</v>
      </c>
      <c r="C298" s="2325">
        <v>11750</v>
      </c>
      <c r="D298" s="2326">
        <f t="shared" si="24"/>
        <v>1208</v>
      </c>
      <c r="E298" s="2326">
        <f t="shared" si="25"/>
        <v>1173</v>
      </c>
      <c r="F298" s="2326">
        <f t="shared" si="26"/>
        <v>1208</v>
      </c>
      <c r="G298" s="2326">
        <f t="shared" si="27"/>
        <v>1173</v>
      </c>
    </row>
    <row r="299" spans="1:7" ht="15.75">
      <c r="A299" s="2486">
        <f t="shared" si="28"/>
        <v>11775</v>
      </c>
      <c r="B299" s="2325">
        <v>11750</v>
      </c>
      <c r="C299" s="2325">
        <v>11800</v>
      </c>
      <c r="D299" s="2326">
        <f t="shared" si="24"/>
        <v>1214</v>
      </c>
      <c r="E299" s="2326">
        <f t="shared" si="25"/>
        <v>1178</v>
      </c>
      <c r="F299" s="2326">
        <f t="shared" si="26"/>
        <v>1214</v>
      </c>
      <c r="G299" s="2326">
        <f t="shared" si="27"/>
        <v>1178</v>
      </c>
    </row>
    <row r="300" spans="1:7" ht="15.75">
      <c r="A300" s="2486">
        <f t="shared" si="28"/>
        <v>11825</v>
      </c>
      <c r="B300" s="2325">
        <v>11800</v>
      </c>
      <c r="C300" s="2325">
        <v>11850</v>
      </c>
      <c r="D300" s="2326">
        <f t="shared" si="24"/>
        <v>1220</v>
      </c>
      <c r="E300" s="2326">
        <f t="shared" si="25"/>
        <v>1183</v>
      </c>
      <c r="F300" s="2326">
        <f t="shared" si="26"/>
        <v>1220</v>
      </c>
      <c r="G300" s="2326">
        <f t="shared" si="27"/>
        <v>1183</v>
      </c>
    </row>
    <row r="301" spans="1:7" ht="15.75">
      <c r="A301" s="2486">
        <f t="shared" si="28"/>
        <v>11875</v>
      </c>
      <c r="B301" s="2325">
        <v>11850</v>
      </c>
      <c r="C301" s="2325">
        <v>11900</v>
      </c>
      <c r="D301" s="2326">
        <f t="shared" si="24"/>
        <v>1226</v>
      </c>
      <c r="E301" s="2326">
        <f t="shared" si="25"/>
        <v>1188</v>
      </c>
      <c r="F301" s="2326">
        <f t="shared" si="26"/>
        <v>1226</v>
      </c>
      <c r="G301" s="2326">
        <f t="shared" si="27"/>
        <v>1188</v>
      </c>
    </row>
    <row r="302" spans="1:7" ht="15.75">
      <c r="A302" s="2486">
        <f t="shared" si="28"/>
        <v>11925</v>
      </c>
      <c r="B302" s="2325">
        <v>11900</v>
      </c>
      <c r="C302" s="2325">
        <v>11950</v>
      </c>
      <c r="D302" s="2326">
        <f t="shared" si="24"/>
        <v>1232</v>
      </c>
      <c r="E302" s="2326">
        <f t="shared" si="25"/>
        <v>1193</v>
      </c>
      <c r="F302" s="2326">
        <f t="shared" si="26"/>
        <v>1232</v>
      </c>
      <c r="G302" s="2326">
        <f t="shared" si="27"/>
        <v>1193</v>
      </c>
    </row>
    <row r="303" spans="1:7" ht="15.75">
      <c r="A303" s="2486">
        <f t="shared" si="28"/>
        <v>11975</v>
      </c>
      <c r="B303" s="2325">
        <v>11950</v>
      </c>
      <c r="C303" s="2325">
        <v>12000</v>
      </c>
      <c r="D303" s="2326">
        <f t="shared" si="24"/>
        <v>1238</v>
      </c>
      <c r="E303" s="2326">
        <f t="shared" si="25"/>
        <v>1198</v>
      </c>
      <c r="F303" s="2326">
        <f t="shared" si="26"/>
        <v>1238</v>
      </c>
      <c r="G303" s="2326">
        <f t="shared" si="27"/>
        <v>1198</v>
      </c>
    </row>
    <row r="304" spans="1:7" ht="15.75">
      <c r="A304" s="2486">
        <f t="shared" si="28"/>
        <v>12025</v>
      </c>
      <c r="B304" s="2325">
        <v>12000</v>
      </c>
      <c r="C304" s="2325">
        <v>12050</v>
      </c>
      <c r="D304" s="2326">
        <f t="shared" si="24"/>
        <v>1244</v>
      </c>
      <c r="E304" s="2326">
        <f t="shared" si="25"/>
        <v>1203</v>
      </c>
      <c r="F304" s="2326">
        <f t="shared" si="26"/>
        <v>1244</v>
      </c>
      <c r="G304" s="2326">
        <f t="shared" si="27"/>
        <v>1203</v>
      </c>
    </row>
    <row r="305" spans="1:7" ht="15.75">
      <c r="A305" s="2486">
        <f t="shared" si="28"/>
        <v>12075</v>
      </c>
      <c r="B305" s="2325">
        <v>12050</v>
      </c>
      <c r="C305" s="2325">
        <v>12100</v>
      </c>
      <c r="D305" s="2326">
        <f t="shared" si="24"/>
        <v>1250</v>
      </c>
      <c r="E305" s="2326">
        <f t="shared" si="25"/>
        <v>1208</v>
      </c>
      <c r="F305" s="2326">
        <f t="shared" si="26"/>
        <v>1250</v>
      </c>
      <c r="G305" s="2326">
        <f t="shared" si="27"/>
        <v>1208</v>
      </c>
    </row>
    <row r="306" spans="1:7" ht="15.75">
      <c r="A306" s="2486">
        <f t="shared" si="28"/>
        <v>12125</v>
      </c>
      <c r="B306" s="2325">
        <v>12100</v>
      </c>
      <c r="C306" s="2325">
        <v>12150</v>
      </c>
      <c r="D306" s="2326">
        <f t="shared" si="24"/>
        <v>1256</v>
      </c>
      <c r="E306" s="2326">
        <f t="shared" si="25"/>
        <v>1213</v>
      </c>
      <c r="F306" s="2326">
        <f t="shared" si="26"/>
        <v>1256</v>
      </c>
      <c r="G306" s="2326">
        <f t="shared" si="27"/>
        <v>1213</v>
      </c>
    </row>
    <row r="307" spans="1:7" ht="15.75">
      <c r="A307" s="2486">
        <f t="shared" si="28"/>
        <v>12175</v>
      </c>
      <c r="B307" s="2325">
        <v>12150</v>
      </c>
      <c r="C307" s="2325">
        <v>12200</v>
      </c>
      <c r="D307" s="2326">
        <f t="shared" si="24"/>
        <v>1262</v>
      </c>
      <c r="E307" s="2326">
        <f t="shared" si="25"/>
        <v>1218</v>
      </c>
      <c r="F307" s="2326">
        <f t="shared" si="26"/>
        <v>1262</v>
      </c>
      <c r="G307" s="2326">
        <f t="shared" si="27"/>
        <v>1218</v>
      </c>
    </row>
    <row r="308" spans="1:7" ht="15.75">
      <c r="A308" s="2486">
        <f t="shared" si="28"/>
        <v>12225</v>
      </c>
      <c r="B308" s="2325">
        <v>12200</v>
      </c>
      <c r="C308" s="2325">
        <v>12250</v>
      </c>
      <c r="D308" s="2326">
        <f t="shared" si="24"/>
        <v>1268</v>
      </c>
      <c r="E308" s="2326">
        <f t="shared" si="25"/>
        <v>1223</v>
      </c>
      <c r="F308" s="2326">
        <f t="shared" si="26"/>
        <v>1268</v>
      </c>
      <c r="G308" s="2326">
        <f t="shared" si="27"/>
        <v>1223</v>
      </c>
    </row>
    <row r="309" spans="1:7" ht="15.75">
      <c r="A309" s="2486">
        <f t="shared" si="28"/>
        <v>12275</v>
      </c>
      <c r="B309" s="2325">
        <v>12250</v>
      </c>
      <c r="C309" s="2325">
        <v>12300</v>
      </c>
      <c r="D309" s="2326">
        <f t="shared" si="24"/>
        <v>1274</v>
      </c>
      <c r="E309" s="2326">
        <f t="shared" si="25"/>
        <v>1228</v>
      </c>
      <c r="F309" s="2326">
        <f t="shared" si="26"/>
        <v>1274</v>
      </c>
      <c r="G309" s="2326">
        <f t="shared" si="27"/>
        <v>1228</v>
      </c>
    </row>
    <row r="310" spans="1:7" ht="15.75">
      <c r="A310" s="2486">
        <f t="shared" si="28"/>
        <v>12325</v>
      </c>
      <c r="B310" s="2325">
        <v>12300</v>
      </c>
      <c r="C310" s="2325">
        <v>12350</v>
      </c>
      <c r="D310" s="2326">
        <f t="shared" si="24"/>
        <v>1280</v>
      </c>
      <c r="E310" s="2326">
        <f t="shared" si="25"/>
        <v>1233</v>
      </c>
      <c r="F310" s="2326">
        <f t="shared" si="26"/>
        <v>1280</v>
      </c>
      <c r="G310" s="2326">
        <f t="shared" si="27"/>
        <v>1233</v>
      </c>
    </row>
    <row r="311" spans="1:7" ht="15.75">
      <c r="A311" s="2486">
        <f t="shared" si="28"/>
        <v>12375</v>
      </c>
      <c r="B311" s="2325">
        <v>12350</v>
      </c>
      <c r="C311" s="2325">
        <v>12400</v>
      </c>
      <c r="D311" s="2326">
        <f t="shared" si="24"/>
        <v>1286</v>
      </c>
      <c r="E311" s="2326">
        <f t="shared" si="25"/>
        <v>1238</v>
      </c>
      <c r="F311" s="2326">
        <f t="shared" si="26"/>
        <v>1286</v>
      </c>
      <c r="G311" s="2326">
        <f t="shared" si="27"/>
        <v>1238</v>
      </c>
    </row>
    <row r="312" spans="1:7" ht="15.75">
      <c r="A312" s="2486">
        <f t="shared" si="28"/>
        <v>12425</v>
      </c>
      <c r="B312" s="2325">
        <v>12400</v>
      </c>
      <c r="C312" s="2325">
        <v>12450</v>
      </c>
      <c r="D312" s="2326">
        <f t="shared" si="24"/>
        <v>1292</v>
      </c>
      <c r="E312" s="2326">
        <f t="shared" si="25"/>
        <v>1243</v>
      </c>
      <c r="F312" s="2326">
        <f t="shared" si="26"/>
        <v>1292</v>
      </c>
      <c r="G312" s="2326">
        <f t="shared" si="27"/>
        <v>1243</v>
      </c>
    </row>
    <row r="313" spans="1:7" ht="15.75">
      <c r="A313" s="2486">
        <f t="shared" si="28"/>
        <v>12475</v>
      </c>
      <c r="B313" s="2325">
        <v>12450</v>
      </c>
      <c r="C313" s="2325">
        <v>12500</v>
      </c>
      <c r="D313" s="2326">
        <f t="shared" si="24"/>
        <v>1298</v>
      </c>
      <c r="E313" s="2326">
        <f t="shared" si="25"/>
        <v>1248</v>
      </c>
      <c r="F313" s="2326">
        <f t="shared" si="26"/>
        <v>1298</v>
      </c>
      <c r="G313" s="2326">
        <f t="shared" si="27"/>
        <v>1248</v>
      </c>
    </row>
    <row r="314" spans="1:7" ht="15.75">
      <c r="A314" s="2486">
        <f t="shared" si="28"/>
        <v>12525</v>
      </c>
      <c r="B314" s="2325">
        <v>12500</v>
      </c>
      <c r="C314" s="2325">
        <v>12550</v>
      </c>
      <c r="D314" s="2326">
        <f t="shared" si="24"/>
        <v>1304</v>
      </c>
      <c r="E314" s="2326">
        <f t="shared" si="25"/>
        <v>1253</v>
      </c>
      <c r="F314" s="2326">
        <f t="shared" si="26"/>
        <v>1304</v>
      </c>
      <c r="G314" s="2326">
        <f t="shared" si="27"/>
        <v>1253</v>
      </c>
    </row>
    <row r="315" spans="1:7" ht="15.75">
      <c r="A315" s="2486">
        <f t="shared" si="28"/>
        <v>12575</v>
      </c>
      <c r="B315" s="2325">
        <v>12550</v>
      </c>
      <c r="C315" s="2325">
        <v>12600</v>
      </c>
      <c r="D315" s="2326">
        <f t="shared" si="24"/>
        <v>1310</v>
      </c>
      <c r="E315" s="2326">
        <f t="shared" si="25"/>
        <v>1258</v>
      </c>
      <c r="F315" s="2326">
        <f t="shared" si="26"/>
        <v>1310</v>
      </c>
      <c r="G315" s="2326">
        <f t="shared" si="27"/>
        <v>1258</v>
      </c>
    </row>
    <row r="316" spans="1:7" ht="15.75">
      <c r="A316" s="2486">
        <f t="shared" si="28"/>
        <v>12625</v>
      </c>
      <c r="B316" s="2325">
        <v>12600</v>
      </c>
      <c r="C316" s="2325">
        <v>12650</v>
      </c>
      <c r="D316" s="2326">
        <f t="shared" si="24"/>
        <v>1316</v>
      </c>
      <c r="E316" s="2326">
        <f t="shared" si="25"/>
        <v>1263</v>
      </c>
      <c r="F316" s="2326">
        <f t="shared" si="26"/>
        <v>1316</v>
      </c>
      <c r="G316" s="2326">
        <f t="shared" si="27"/>
        <v>1263</v>
      </c>
    </row>
    <row r="317" spans="1:7" ht="15.75">
      <c r="A317" s="2486">
        <f t="shared" si="28"/>
        <v>12675</v>
      </c>
      <c r="B317" s="2325">
        <v>12650</v>
      </c>
      <c r="C317" s="2325">
        <v>12700</v>
      </c>
      <c r="D317" s="2326">
        <f t="shared" si="24"/>
        <v>1322</v>
      </c>
      <c r="E317" s="2326">
        <f t="shared" si="25"/>
        <v>1268</v>
      </c>
      <c r="F317" s="2326">
        <f t="shared" si="26"/>
        <v>1322</v>
      </c>
      <c r="G317" s="2326">
        <f t="shared" si="27"/>
        <v>1268</v>
      </c>
    </row>
    <row r="318" spans="1:7" ht="15.75">
      <c r="A318" s="2486">
        <f t="shared" si="28"/>
        <v>12725</v>
      </c>
      <c r="B318" s="2325">
        <v>12700</v>
      </c>
      <c r="C318" s="2325">
        <v>12750</v>
      </c>
      <c r="D318" s="2326">
        <f t="shared" si="24"/>
        <v>1328</v>
      </c>
      <c r="E318" s="2326">
        <f t="shared" si="25"/>
        <v>1273</v>
      </c>
      <c r="F318" s="2326">
        <f t="shared" si="26"/>
        <v>1328</v>
      </c>
      <c r="G318" s="2326">
        <f t="shared" si="27"/>
        <v>1273</v>
      </c>
    </row>
    <row r="319" spans="1:7" ht="15.75">
      <c r="A319" s="2486">
        <f t="shared" si="28"/>
        <v>12775</v>
      </c>
      <c r="B319" s="2325">
        <v>12750</v>
      </c>
      <c r="C319" s="2325">
        <v>12800</v>
      </c>
      <c r="D319" s="2326">
        <f t="shared" si="24"/>
        <v>1334</v>
      </c>
      <c r="E319" s="2326">
        <f t="shared" si="25"/>
        <v>1278</v>
      </c>
      <c r="F319" s="2326">
        <f t="shared" si="26"/>
        <v>1334</v>
      </c>
      <c r="G319" s="2326">
        <f t="shared" si="27"/>
        <v>1278</v>
      </c>
    </row>
    <row r="320" spans="1:7" ht="15.75">
      <c r="A320" s="2486">
        <f t="shared" si="28"/>
        <v>12825</v>
      </c>
      <c r="B320" s="2325">
        <v>12800</v>
      </c>
      <c r="C320" s="2325">
        <v>12850</v>
      </c>
      <c r="D320" s="2326">
        <f t="shared" si="24"/>
        <v>1340</v>
      </c>
      <c r="E320" s="2326">
        <f t="shared" si="25"/>
        <v>1283</v>
      </c>
      <c r="F320" s="2326">
        <f t="shared" si="26"/>
        <v>1340</v>
      </c>
      <c r="G320" s="2326">
        <f t="shared" si="27"/>
        <v>1283</v>
      </c>
    </row>
    <row r="321" spans="1:7" ht="15.75">
      <c r="A321" s="2486">
        <f t="shared" si="28"/>
        <v>12875</v>
      </c>
      <c r="B321" s="2325">
        <v>12850</v>
      </c>
      <c r="C321" s="2325">
        <v>12900</v>
      </c>
      <c r="D321" s="2326">
        <f t="shared" si="24"/>
        <v>1346</v>
      </c>
      <c r="E321" s="2326">
        <f t="shared" si="25"/>
        <v>1288</v>
      </c>
      <c r="F321" s="2326">
        <f t="shared" si="26"/>
        <v>1346</v>
      </c>
      <c r="G321" s="2326">
        <f t="shared" si="27"/>
        <v>1288</v>
      </c>
    </row>
    <row r="322" spans="1:7" ht="15.75">
      <c r="A322" s="2486">
        <f t="shared" si="28"/>
        <v>12925</v>
      </c>
      <c r="B322" s="2325">
        <v>12900</v>
      </c>
      <c r="C322" s="2325">
        <v>12950</v>
      </c>
      <c r="D322" s="2326">
        <f t="shared" ref="D322:D385" si="29">IF($A322&gt;BOTT_A4,ROUND(BASE_A4+RATE_A4*($A322-BOTT_A4),0),IF($A322&gt;BOTT_A3,ROUND(BASE_A3+RATE_A3*($A322-BOTT_A3),0),IF($A322&gt;BOTT_A2,ROUND(BASE_A2+RATE_A2*($A322-BOTT_A2),0),ROUND(RATE_A1*$A322,0))))</f>
        <v>1352</v>
      </c>
      <c r="E322" s="2326">
        <f t="shared" ref="E322:E385" si="30">IF($A322&gt;BOTT_B4,ROUND(BASE_B4+RATE_B4*($A322-BOTT_B4),0),IF($A322&gt;BOTT_B3,ROUND(BASE_B3+RATE_B3*($A322-BOTT_B3),0),IF($A322&gt;BOTT_B2,ROUND(BASE_B2+RATE_B2*($A322-BOTT_B2),0),ROUND(RATE_B1*$A322,0))))</f>
        <v>1293</v>
      </c>
      <c r="F322" s="2326">
        <f t="shared" ref="F322:F385" si="31">IF($A322&gt;BOTT_C4,ROUND(BASE_C4+RATE_C4*($A322-BOTT_C4),0),IF($A322&gt;BOTT_C3,ROUND(BASE_C3+RATE_C3*($A322-BOTT_C3),0),IF($A322&gt;BOTT_C2,ROUND(BASE_C2+RATE_C2*($A322-BOTT_C2),0),ROUND(RATE_C1*$A322,0))))</f>
        <v>1352</v>
      </c>
      <c r="G322" s="2326">
        <f t="shared" ref="G322:G385" si="32">IF($A322&gt;BOTT_D4,ROUND(BASE_D4+RATE_D4*($A322-BOTT_D4),0),IF($A322&gt;BOTT_D3,ROUND(BASE_D3+RATE_D3*($A322-BOTT_D3),0),IF($A322&gt;BOTT_D2,ROUND(BASE_D2+RATE_D2*($A322-BOTT_D2),0),ROUND(RATE_D1*$A322,0))))</f>
        <v>1293</v>
      </c>
    </row>
    <row r="323" spans="1:7" ht="15.75">
      <c r="A323" s="2486">
        <f t="shared" ref="A323:A386" si="33">AVERAGE(B323,C323)</f>
        <v>12975</v>
      </c>
      <c r="B323" s="2325">
        <v>12950</v>
      </c>
      <c r="C323" s="2325">
        <v>13000</v>
      </c>
      <c r="D323" s="2326">
        <f t="shared" si="29"/>
        <v>1358</v>
      </c>
      <c r="E323" s="2326">
        <f t="shared" si="30"/>
        <v>1298</v>
      </c>
      <c r="F323" s="2326">
        <f t="shared" si="31"/>
        <v>1358</v>
      </c>
      <c r="G323" s="2326">
        <f t="shared" si="32"/>
        <v>1298</v>
      </c>
    </row>
    <row r="324" spans="1:7" ht="15.75">
      <c r="A324" s="2486">
        <f t="shared" si="33"/>
        <v>13025</v>
      </c>
      <c r="B324" s="2325">
        <v>13000</v>
      </c>
      <c r="C324" s="2325">
        <v>13050</v>
      </c>
      <c r="D324" s="2326">
        <f t="shared" si="29"/>
        <v>1364</v>
      </c>
      <c r="E324" s="2326">
        <f t="shared" si="30"/>
        <v>1303</v>
      </c>
      <c r="F324" s="2326">
        <f t="shared" si="31"/>
        <v>1364</v>
      </c>
      <c r="G324" s="2326">
        <f t="shared" si="32"/>
        <v>1303</v>
      </c>
    </row>
    <row r="325" spans="1:7" ht="15.75">
      <c r="A325" s="2486">
        <f t="shared" si="33"/>
        <v>13075</v>
      </c>
      <c r="B325" s="2325">
        <v>13050</v>
      </c>
      <c r="C325" s="2325">
        <v>13100</v>
      </c>
      <c r="D325" s="2326">
        <f t="shared" si="29"/>
        <v>1370</v>
      </c>
      <c r="E325" s="2326">
        <f t="shared" si="30"/>
        <v>1308</v>
      </c>
      <c r="F325" s="2326">
        <f t="shared" si="31"/>
        <v>1370</v>
      </c>
      <c r="G325" s="2326">
        <f t="shared" si="32"/>
        <v>1308</v>
      </c>
    </row>
    <row r="326" spans="1:7" ht="15.75">
      <c r="A326" s="2486">
        <f t="shared" si="33"/>
        <v>13125</v>
      </c>
      <c r="B326" s="2325">
        <v>13100</v>
      </c>
      <c r="C326" s="2325">
        <v>13150</v>
      </c>
      <c r="D326" s="2326">
        <f t="shared" si="29"/>
        <v>1376</v>
      </c>
      <c r="E326" s="2326">
        <f t="shared" si="30"/>
        <v>1313</v>
      </c>
      <c r="F326" s="2326">
        <f t="shared" si="31"/>
        <v>1376</v>
      </c>
      <c r="G326" s="2326">
        <f t="shared" si="32"/>
        <v>1313</v>
      </c>
    </row>
    <row r="327" spans="1:7" ht="15.75">
      <c r="A327" s="2486">
        <f t="shared" si="33"/>
        <v>13175</v>
      </c>
      <c r="B327" s="2325">
        <v>13150</v>
      </c>
      <c r="C327" s="2325">
        <v>13200</v>
      </c>
      <c r="D327" s="2326">
        <f t="shared" si="29"/>
        <v>1382</v>
      </c>
      <c r="E327" s="2326">
        <f t="shared" si="30"/>
        <v>1318</v>
      </c>
      <c r="F327" s="2326">
        <f t="shared" si="31"/>
        <v>1382</v>
      </c>
      <c r="G327" s="2326">
        <f t="shared" si="32"/>
        <v>1318</v>
      </c>
    </row>
    <row r="328" spans="1:7" ht="15.75">
      <c r="A328" s="2486">
        <f t="shared" si="33"/>
        <v>13225</v>
      </c>
      <c r="B328" s="2325">
        <v>13200</v>
      </c>
      <c r="C328" s="2325">
        <v>13250</v>
      </c>
      <c r="D328" s="2326">
        <f t="shared" si="29"/>
        <v>1388</v>
      </c>
      <c r="E328" s="2326">
        <f t="shared" si="30"/>
        <v>1323</v>
      </c>
      <c r="F328" s="2326">
        <f t="shared" si="31"/>
        <v>1388</v>
      </c>
      <c r="G328" s="2326">
        <f t="shared" si="32"/>
        <v>1323</v>
      </c>
    </row>
    <row r="329" spans="1:7" ht="15.75">
      <c r="A329" s="2486">
        <f t="shared" si="33"/>
        <v>13275</v>
      </c>
      <c r="B329" s="2325">
        <v>13250</v>
      </c>
      <c r="C329" s="2325">
        <v>13300</v>
      </c>
      <c r="D329" s="2326">
        <f t="shared" si="29"/>
        <v>1394</v>
      </c>
      <c r="E329" s="2326">
        <f t="shared" si="30"/>
        <v>1328</v>
      </c>
      <c r="F329" s="2326">
        <f t="shared" si="31"/>
        <v>1394</v>
      </c>
      <c r="G329" s="2326">
        <f t="shared" si="32"/>
        <v>1328</v>
      </c>
    </row>
    <row r="330" spans="1:7" ht="15.75">
      <c r="A330" s="2486">
        <f t="shared" si="33"/>
        <v>13325</v>
      </c>
      <c r="B330" s="2325">
        <v>13300</v>
      </c>
      <c r="C330" s="2325">
        <v>13350</v>
      </c>
      <c r="D330" s="2326">
        <f t="shared" si="29"/>
        <v>1400</v>
      </c>
      <c r="E330" s="2326">
        <f t="shared" si="30"/>
        <v>1333</v>
      </c>
      <c r="F330" s="2326">
        <f t="shared" si="31"/>
        <v>1400</v>
      </c>
      <c r="G330" s="2326">
        <f t="shared" si="32"/>
        <v>1333</v>
      </c>
    </row>
    <row r="331" spans="1:7" ht="15.75">
      <c r="A331" s="2486">
        <f t="shared" si="33"/>
        <v>13375</v>
      </c>
      <c r="B331" s="2325">
        <v>13350</v>
      </c>
      <c r="C331" s="2325">
        <v>13400</v>
      </c>
      <c r="D331" s="2326">
        <f t="shared" si="29"/>
        <v>1406</v>
      </c>
      <c r="E331" s="2326">
        <f t="shared" si="30"/>
        <v>1338</v>
      </c>
      <c r="F331" s="2326">
        <f t="shared" si="31"/>
        <v>1406</v>
      </c>
      <c r="G331" s="2326">
        <f t="shared" si="32"/>
        <v>1338</v>
      </c>
    </row>
    <row r="332" spans="1:7" ht="15.75">
      <c r="A332" s="2486">
        <f t="shared" si="33"/>
        <v>13425</v>
      </c>
      <c r="B332" s="2325">
        <v>13400</v>
      </c>
      <c r="C332" s="2325">
        <v>13450</v>
      </c>
      <c r="D332" s="2326">
        <f t="shared" si="29"/>
        <v>1412</v>
      </c>
      <c r="E332" s="2326">
        <f t="shared" si="30"/>
        <v>1343</v>
      </c>
      <c r="F332" s="2326">
        <f t="shared" si="31"/>
        <v>1412</v>
      </c>
      <c r="G332" s="2326">
        <f t="shared" si="32"/>
        <v>1343</v>
      </c>
    </row>
    <row r="333" spans="1:7" ht="15.75">
      <c r="A333" s="2486">
        <f t="shared" si="33"/>
        <v>13475</v>
      </c>
      <c r="B333" s="2325">
        <v>13450</v>
      </c>
      <c r="C333" s="2325">
        <v>13500</v>
      </c>
      <c r="D333" s="2326">
        <f t="shared" si="29"/>
        <v>1418</v>
      </c>
      <c r="E333" s="2326">
        <f t="shared" si="30"/>
        <v>1348</v>
      </c>
      <c r="F333" s="2326">
        <f t="shared" si="31"/>
        <v>1418</v>
      </c>
      <c r="G333" s="2326">
        <f t="shared" si="32"/>
        <v>1348</v>
      </c>
    </row>
    <row r="334" spans="1:7" ht="15.75">
      <c r="A334" s="2486">
        <f t="shared" si="33"/>
        <v>13525</v>
      </c>
      <c r="B334" s="2325">
        <v>13500</v>
      </c>
      <c r="C334" s="2325">
        <v>13550</v>
      </c>
      <c r="D334" s="2326">
        <f t="shared" si="29"/>
        <v>1424</v>
      </c>
      <c r="E334" s="2326">
        <f t="shared" si="30"/>
        <v>1353</v>
      </c>
      <c r="F334" s="2326">
        <f t="shared" si="31"/>
        <v>1424</v>
      </c>
      <c r="G334" s="2326">
        <f t="shared" si="32"/>
        <v>1353</v>
      </c>
    </row>
    <row r="335" spans="1:7" ht="15.75">
      <c r="A335" s="2486">
        <f t="shared" si="33"/>
        <v>13575</v>
      </c>
      <c r="B335" s="2325">
        <v>13550</v>
      </c>
      <c r="C335" s="2325">
        <v>13600</v>
      </c>
      <c r="D335" s="2326">
        <f t="shared" si="29"/>
        <v>1430</v>
      </c>
      <c r="E335" s="2326">
        <f t="shared" si="30"/>
        <v>1358</v>
      </c>
      <c r="F335" s="2326">
        <f t="shared" si="31"/>
        <v>1430</v>
      </c>
      <c r="G335" s="2326">
        <f t="shared" si="32"/>
        <v>1358</v>
      </c>
    </row>
    <row r="336" spans="1:7" ht="15.75">
      <c r="A336" s="2486">
        <f t="shared" si="33"/>
        <v>13625</v>
      </c>
      <c r="B336" s="2325">
        <v>13600</v>
      </c>
      <c r="C336" s="2325">
        <v>13650</v>
      </c>
      <c r="D336" s="2326">
        <f t="shared" si="29"/>
        <v>1436</v>
      </c>
      <c r="E336" s="2326">
        <f t="shared" si="30"/>
        <v>1363</v>
      </c>
      <c r="F336" s="2326">
        <f t="shared" si="31"/>
        <v>1436</v>
      </c>
      <c r="G336" s="2326">
        <f t="shared" si="32"/>
        <v>1363</v>
      </c>
    </row>
    <row r="337" spans="1:7" ht="15.75">
      <c r="A337" s="2486">
        <f t="shared" si="33"/>
        <v>13675</v>
      </c>
      <c r="B337" s="2325">
        <v>13650</v>
      </c>
      <c r="C337" s="2325">
        <v>13700</v>
      </c>
      <c r="D337" s="2326">
        <f t="shared" si="29"/>
        <v>1442</v>
      </c>
      <c r="E337" s="2326">
        <f t="shared" si="30"/>
        <v>1368</v>
      </c>
      <c r="F337" s="2326">
        <f t="shared" si="31"/>
        <v>1442</v>
      </c>
      <c r="G337" s="2326">
        <f t="shared" si="32"/>
        <v>1368</v>
      </c>
    </row>
    <row r="338" spans="1:7" ht="15.75">
      <c r="A338" s="2486">
        <f t="shared" si="33"/>
        <v>13725</v>
      </c>
      <c r="B338" s="2325">
        <v>13700</v>
      </c>
      <c r="C338" s="2325">
        <v>13750</v>
      </c>
      <c r="D338" s="2326">
        <f t="shared" si="29"/>
        <v>1448</v>
      </c>
      <c r="E338" s="2326">
        <f t="shared" si="30"/>
        <v>1373</v>
      </c>
      <c r="F338" s="2326">
        <f t="shared" si="31"/>
        <v>1448</v>
      </c>
      <c r="G338" s="2326">
        <f t="shared" si="32"/>
        <v>1373</v>
      </c>
    </row>
    <row r="339" spans="1:7" ht="15.75">
      <c r="A339" s="2486">
        <f t="shared" si="33"/>
        <v>13775</v>
      </c>
      <c r="B339" s="2325">
        <v>13750</v>
      </c>
      <c r="C339" s="2325">
        <v>13800</v>
      </c>
      <c r="D339" s="2326">
        <f t="shared" si="29"/>
        <v>1454</v>
      </c>
      <c r="E339" s="2326">
        <f t="shared" si="30"/>
        <v>1378</v>
      </c>
      <c r="F339" s="2326">
        <f t="shared" si="31"/>
        <v>1454</v>
      </c>
      <c r="G339" s="2326">
        <f t="shared" si="32"/>
        <v>1378</v>
      </c>
    </row>
    <row r="340" spans="1:7" ht="15.75">
      <c r="A340" s="2486">
        <f t="shared" si="33"/>
        <v>13825</v>
      </c>
      <c r="B340" s="2325">
        <v>13800</v>
      </c>
      <c r="C340" s="2325">
        <v>13850</v>
      </c>
      <c r="D340" s="2326">
        <f t="shared" si="29"/>
        <v>1460</v>
      </c>
      <c r="E340" s="2326">
        <f t="shared" si="30"/>
        <v>1383</v>
      </c>
      <c r="F340" s="2326">
        <f t="shared" si="31"/>
        <v>1460</v>
      </c>
      <c r="G340" s="2326">
        <f t="shared" si="32"/>
        <v>1383</v>
      </c>
    </row>
    <row r="341" spans="1:7" ht="15.75">
      <c r="A341" s="2486">
        <f t="shared" si="33"/>
        <v>13875</v>
      </c>
      <c r="B341" s="2325">
        <v>13850</v>
      </c>
      <c r="C341" s="2325">
        <v>13900</v>
      </c>
      <c r="D341" s="2326">
        <f t="shared" si="29"/>
        <v>1466</v>
      </c>
      <c r="E341" s="2326">
        <f t="shared" si="30"/>
        <v>1388</v>
      </c>
      <c r="F341" s="2326">
        <f t="shared" si="31"/>
        <v>1466</v>
      </c>
      <c r="G341" s="2326">
        <f t="shared" si="32"/>
        <v>1388</v>
      </c>
    </row>
    <row r="342" spans="1:7" ht="15.75">
      <c r="A342" s="2486">
        <f t="shared" si="33"/>
        <v>13925</v>
      </c>
      <c r="B342" s="2325">
        <v>13900</v>
      </c>
      <c r="C342" s="2325">
        <v>13950</v>
      </c>
      <c r="D342" s="2326">
        <f t="shared" si="29"/>
        <v>1472</v>
      </c>
      <c r="E342" s="2326">
        <f t="shared" si="30"/>
        <v>1393</v>
      </c>
      <c r="F342" s="2326">
        <f t="shared" si="31"/>
        <v>1472</v>
      </c>
      <c r="G342" s="2326">
        <f t="shared" si="32"/>
        <v>1393</v>
      </c>
    </row>
    <row r="343" spans="1:7" ht="15.75">
      <c r="A343" s="2486">
        <f t="shared" si="33"/>
        <v>13975</v>
      </c>
      <c r="B343" s="2325">
        <v>13950</v>
      </c>
      <c r="C343" s="2325">
        <v>14000</v>
      </c>
      <c r="D343" s="2326">
        <f t="shared" si="29"/>
        <v>1478</v>
      </c>
      <c r="E343" s="2326">
        <f t="shared" si="30"/>
        <v>1398</v>
      </c>
      <c r="F343" s="2326">
        <f t="shared" si="31"/>
        <v>1478</v>
      </c>
      <c r="G343" s="2326">
        <f t="shared" si="32"/>
        <v>1398</v>
      </c>
    </row>
    <row r="344" spans="1:7" ht="15.75">
      <c r="A344" s="2486">
        <f t="shared" si="33"/>
        <v>14025</v>
      </c>
      <c r="B344" s="2325">
        <v>14000</v>
      </c>
      <c r="C344" s="2325">
        <v>14050</v>
      </c>
      <c r="D344" s="2326">
        <f t="shared" si="29"/>
        <v>1484</v>
      </c>
      <c r="E344" s="2326">
        <f t="shared" si="30"/>
        <v>1403</v>
      </c>
      <c r="F344" s="2326">
        <f t="shared" si="31"/>
        <v>1484</v>
      </c>
      <c r="G344" s="2326">
        <f t="shared" si="32"/>
        <v>1403</v>
      </c>
    </row>
    <row r="345" spans="1:7" ht="15.75">
      <c r="A345" s="2486">
        <f t="shared" si="33"/>
        <v>14075</v>
      </c>
      <c r="B345" s="2325">
        <v>14050</v>
      </c>
      <c r="C345" s="2325">
        <v>14100</v>
      </c>
      <c r="D345" s="2326">
        <f t="shared" si="29"/>
        <v>1490</v>
      </c>
      <c r="E345" s="2326">
        <f t="shared" si="30"/>
        <v>1408</v>
      </c>
      <c r="F345" s="2326">
        <f t="shared" si="31"/>
        <v>1490</v>
      </c>
      <c r="G345" s="2326">
        <f t="shared" si="32"/>
        <v>1408</v>
      </c>
    </row>
    <row r="346" spans="1:7" ht="15.75">
      <c r="A346" s="2486">
        <f t="shared" si="33"/>
        <v>14125</v>
      </c>
      <c r="B346" s="2325">
        <v>14100</v>
      </c>
      <c r="C346" s="2325">
        <v>14150</v>
      </c>
      <c r="D346" s="2326">
        <f t="shared" si="29"/>
        <v>1496</v>
      </c>
      <c r="E346" s="2326">
        <f t="shared" si="30"/>
        <v>1413</v>
      </c>
      <c r="F346" s="2326">
        <f t="shared" si="31"/>
        <v>1496</v>
      </c>
      <c r="G346" s="2326">
        <f t="shared" si="32"/>
        <v>1413</v>
      </c>
    </row>
    <row r="347" spans="1:7" ht="15.75">
      <c r="A347" s="2486">
        <f t="shared" si="33"/>
        <v>14175</v>
      </c>
      <c r="B347" s="2325">
        <v>14150</v>
      </c>
      <c r="C347" s="2325">
        <v>14200</v>
      </c>
      <c r="D347" s="2326">
        <f t="shared" si="29"/>
        <v>1502</v>
      </c>
      <c r="E347" s="2326">
        <f t="shared" si="30"/>
        <v>1418</v>
      </c>
      <c r="F347" s="2326">
        <f t="shared" si="31"/>
        <v>1502</v>
      </c>
      <c r="G347" s="2326">
        <f t="shared" si="32"/>
        <v>1418</v>
      </c>
    </row>
    <row r="348" spans="1:7" ht="15.75">
      <c r="A348" s="2486">
        <f t="shared" si="33"/>
        <v>14225</v>
      </c>
      <c r="B348" s="2325">
        <v>14200</v>
      </c>
      <c r="C348" s="2325">
        <v>14250</v>
      </c>
      <c r="D348" s="2326">
        <f t="shared" si="29"/>
        <v>1508</v>
      </c>
      <c r="E348" s="2326">
        <f t="shared" si="30"/>
        <v>1423</v>
      </c>
      <c r="F348" s="2326">
        <f t="shared" si="31"/>
        <v>1508</v>
      </c>
      <c r="G348" s="2326">
        <f t="shared" si="32"/>
        <v>1423</v>
      </c>
    </row>
    <row r="349" spans="1:7" ht="15.75">
      <c r="A349" s="2486">
        <f t="shared" si="33"/>
        <v>14275</v>
      </c>
      <c r="B349" s="2325">
        <v>14250</v>
      </c>
      <c r="C349" s="2325">
        <v>14300</v>
      </c>
      <c r="D349" s="2326">
        <f t="shared" si="29"/>
        <v>1514</v>
      </c>
      <c r="E349" s="2326">
        <f t="shared" si="30"/>
        <v>1428</v>
      </c>
      <c r="F349" s="2326">
        <f t="shared" si="31"/>
        <v>1514</v>
      </c>
      <c r="G349" s="2326">
        <f t="shared" si="32"/>
        <v>1429</v>
      </c>
    </row>
    <row r="350" spans="1:7" ht="15.75">
      <c r="A350" s="2486">
        <f t="shared" si="33"/>
        <v>14325</v>
      </c>
      <c r="B350" s="2325">
        <v>14300</v>
      </c>
      <c r="C350" s="2325">
        <v>14350</v>
      </c>
      <c r="D350" s="2326">
        <f t="shared" si="29"/>
        <v>1520</v>
      </c>
      <c r="E350" s="2326">
        <f t="shared" si="30"/>
        <v>1433</v>
      </c>
      <c r="F350" s="2326">
        <f t="shared" si="31"/>
        <v>1520</v>
      </c>
      <c r="G350" s="2326">
        <f t="shared" si="32"/>
        <v>1435</v>
      </c>
    </row>
    <row r="351" spans="1:7" ht="15.75">
      <c r="A351" s="2486">
        <f t="shared" si="33"/>
        <v>14375</v>
      </c>
      <c r="B351" s="2325">
        <v>14350</v>
      </c>
      <c r="C351" s="2325">
        <v>14400</v>
      </c>
      <c r="D351" s="2326">
        <f t="shared" si="29"/>
        <v>1526</v>
      </c>
      <c r="E351" s="2326">
        <f t="shared" si="30"/>
        <v>1438</v>
      </c>
      <c r="F351" s="2326">
        <f t="shared" si="31"/>
        <v>1526</v>
      </c>
      <c r="G351" s="2326">
        <f t="shared" si="32"/>
        <v>1441</v>
      </c>
    </row>
    <row r="352" spans="1:7" ht="15.75">
      <c r="A352" s="2486">
        <f t="shared" si="33"/>
        <v>14425</v>
      </c>
      <c r="B352" s="2325">
        <v>14400</v>
      </c>
      <c r="C352" s="2325">
        <v>14450</v>
      </c>
      <c r="D352" s="2326">
        <f t="shared" si="29"/>
        <v>1532</v>
      </c>
      <c r="E352" s="2326">
        <f t="shared" si="30"/>
        <v>1443</v>
      </c>
      <c r="F352" s="2326">
        <f t="shared" si="31"/>
        <v>1532</v>
      </c>
      <c r="G352" s="2326">
        <f t="shared" si="32"/>
        <v>1447</v>
      </c>
    </row>
    <row r="353" spans="1:7" ht="15.75">
      <c r="A353" s="2486">
        <f t="shared" si="33"/>
        <v>14475</v>
      </c>
      <c r="B353" s="2325">
        <v>14450</v>
      </c>
      <c r="C353" s="2325">
        <v>14500</v>
      </c>
      <c r="D353" s="2326">
        <f t="shared" si="29"/>
        <v>1538</v>
      </c>
      <c r="E353" s="2326">
        <f t="shared" si="30"/>
        <v>1448</v>
      </c>
      <c r="F353" s="2326">
        <f t="shared" si="31"/>
        <v>1538</v>
      </c>
      <c r="G353" s="2326">
        <f t="shared" si="32"/>
        <v>1453</v>
      </c>
    </row>
    <row r="354" spans="1:7" ht="15.75">
      <c r="A354" s="2486">
        <f t="shared" si="33"/>
        <v>14525</v>
      </c>
      <c r="B354" s="2325">
        <v>14500</v>
      </c>
      <c r="C354" s="2325">
        <v>14550</v>
      </c>
      <c r="D354" s="2326">
        <f t="shared" si="29"/>
        <v>1544</v>
      </c>
      <c r="E354" s="2326">
        <f t="shared" si="30"/>
        <v>1453</v>
      </c>
      <c r="F354" s="2326">
        <f t="shared" si="31"/>
        <v>1544</v>
      </c>
      <c r="G354" s="2326">
        <f t="shared" si="32"/>
        <v>1459</v>
      </c>
    </row>
    <row r="355" spans="1:7" ht="15.75">
      <c r="A355" s="2486">
        <f t="shared" si="33"/>
        <v>14575</v>
      </c>
      <c r="B355" s="2325">
        <v>14550</v>
      </c>
      <c r="C355" s="2325">
        <v>14600</v>
      </c>
      <c r="D355" s="2326">
        <f t="shared" si="29"/>
        <v>1550</v>
      </c>
      <c r="E355" s="2326">
        <f t="shared" si="30"/>
        <v>1458</v>
      </c>
      <c r="F355" s="2326">
        <f t="shared" si="31"/>
        <v>1550</v>
      </c>
      <c r="G355" s="2326">
        <f t="shared" si="32"/>
        <v>1465</v>
      </c>
    </row>
    <row r="356" spans="1:7" ht="15.75">
      <c r="A356" s="2486">
        <f t="shared" si="33"/>
        <v>14625</v>
      </c>
      <c r="B356" s="2325">
        <v>14600</v>
      </c>
      <c r="C356" s="2325">
        <v>14650</v>
      </c>
      <c r="D356" s="2326">
        <f t="shared" si="29"/>
        <v>1556</v>
      </c>
      <c r="E356" s="2326">
        <f t="shared" si="30"/>
        <v>1463</v>
      </c>
      <c r="F356" s="2326">
        <f t="shared" si="31"/>
        <v>1556</v>
      </c>
      <c r="G356" s="2326">
        <f t="shared" si="32"/>
        <v>1471</v>
      </c>
    </row>
    <row r="357" spans="1:7" ht="15.75">
      <c r="A357" s="2486">
        <f t="shared" si="33"/>
        <v>14675</v>
      </c>
      <c r="B357" s="2325">
        <v>14650</v>
      </c>
      <c r="C357" s="2325">
        <v>14700</v>
      </c>
      <c r="D357" s="2326">
        <f t="shared" si="29"/>
        <v>1562</v>
      </c>
      <c r="E357" s="2326">
        <f t="shared" si="30"/>
        <v>1468</v>
      </c>
      <c r="F357" s="2326">
        <f t="shared" si="31"/>
        <v>1562</v>
      </c>
      <c r="G357" s="2326">
        <f t="shared" si="32"/>
        <v>1477</v>
      </c>
    </row>
    <row r="358" spans="1:7" ht="15.75">
      <c r="A358" s="2486">
        <f t="shared" si="33"/>
        <v>14725</v>
      </c>
      <c r="B358" s="2325">
        <v>14700</v>
      </c>
      <c r="C358" s="2325">
        <v>14750</v>
      </c>
      <c r="D358" s="2326">
        <f t="shared" si="29"/>
        <v>1568</v>
      </c>
      <c r="E358" s="2326">
        <f t="shared" si="30"/>
        <v>1473</v>
      </c>
      <c r="F358" s="2326">
        <f t="shared" si="31"/>
        <v>1568</v>
      </c>
      <c r="G358" s="2326">
        <f t="shared" si="32"/>
        <v>1483</v>
      </c>
    </row>
    <row r="359" spans="1:7" ht="15.75">
      <c r="A359" s="2486">
        <f t="shared" si="33"/>
        <v>14775</v>
      </c>
      <c r="B359" s="2325">
        <v>14750</v>
      </c>
      <c r="C359" s="2325">
        <v>14800</v>
      </c>
      <c r="D359" s="2326">
        <f t="shared" si="29"/>
        <v>1574</v>
      </c>
      <c r="E359" s="2326">
        <f t="shared" si="30"/>
        <v>1478</v>
      </c>
      <c r="F359" s="2326">
        <f t="shared" si="31"/>
        <v>1574</v>
      </c>
      <c r="G359" s="2326">
        <f t="shared" si="32"/>
        <v>1489</v>
      </c>
    </row>
    <row r="360" spans="1:7" ht="15.75">
      <c r="A360" s="2486">
        <f t="shared" si="33"/>
        <v>14825</v>
      </c>
      <c r="B360" s="2325">
        <v>14800</v>
      </c>
      <c r="C360" s="2325">
        <v>14850</v>
      </c>
      <c r="D360" s="2326">
        <f t="shared" si="29"/>
        <v>1580</v>
      </c>
      <c r="E360" s="2326">
        <f t="shared" si="30"/>
        <v>1483</v>
      </c>
      <c r="F360" s="2326">
        <f t="shared" si="31"/>
        <v>1580</v>
      </c>
      <c r="G360" s="2326">
        <f t="shared" si="32"/>
        <v>1495</v>
      </c>
    </row>
    <row r="361" spans="1:7" ht="15.75">
      <c r="A361" s="2486">
        <f t="shared" si="33"/>
        <v>14875</v>
      </c>
      <c r="B361" s="2325">
        <v>14850</v>
      </c>
      <c r="C361" s="2325">
        <v>14900</v>
      </c>
      <c r="D361" s="2326">
        <f t="shared" si="29"/>
        <v>1586</v>
      </c>
      <c r="E361" s="2326">
        <f t="shared" si="30"/>
        <v>1488</v>
      </c>
      <c r="F361" s="2326">
        <f t="shared" si="31"/>
        <v>1586</v>
      </c>
      <c r="G361" s="2326">
        <f t="shared" si="32"/>
        <v>1501</v>
      </c>
    </row>
    <row r="362" spans="1:7" ht="15.75">
      <c r="A362" s="2486">
        <f t="shared" si="33"/>
        <v>14925</v>
      </c>
      <c r="B362" s="2325">
        <v>14900</v>
      </c>
      <c r="C362" s="2325">
        <v>14950</v>
      </c>
      <c r="D362" s="2326">
        <f t="shared" si="29"/>
        <v>1592</v>
      </c>
      <c r="E362" s="2326">
        <f t="shared" si="30"/>
        <v>1493</v>
      </c>
      <c r="F362" s="2326">
        <f t="shared" si="31"/>
        <v>1592</v>
      </c>
      <c r="G362" s="2326">
        <f t="shared" si="32"/>
        <v>1507</v>
      </c>
    </row>
    <row r="363" spans="1:7" ht="15.75">
      <c r="A363" s="2486">
        <f t="shared" si="33"/>
        <v>14975</v>
      </c>
      <c r="B363" s="2325">
        <v>14950</v>
      </c>
      <c r="C363" s="2325">
        <v>15000</v>
      </c>
      <c r="D363" s="2326">
        <f t="shared" si="29"/>
        <v>1598</v>
      </c>
      <c r="E363" s="2326">
        <f t="shared" si="30"/>
        <v>1498</v>
      </c>
      <c r="F363" s="2326">
        <f t="shared" si="31"/>
        <v>1598</v>
      </c>
      <c r="G363" s="2326">
        <f t="shared" si="32"/>
        <v>1513</v>
      </c>
    </row>
    <row r="364" spans="1:7" ht="15.75">
      <c r="A364" s="2486">
        <f t="shared" si="33"/>
        <v>15025</v>
      </c>
      <c r="B364" s="2325">
        <v>15000</v>
      </c>
      <c r="C364" s="2325">
        <v>15050</v>
      </c>
      <c r="D364" s="2326">
        <f t="shared" si="29"/>
        <v>1604</v>
      </c>
      <c r="E364" s="2326">
        <f t="shared" si="30"/>
        <v>1503</v>
      </c>
      <c r="F364" s="2326">
        <f t="shared" si="31"/>
        <v>1604</v>
      </c>
      <c r="G364" s="2326">
        <f t="shared" si="32"/>
        <v>1519</v>
      </c>
    </row>
    <row r="365" spans="1:7" ht="15.75">
      <c r="A365" s="2486">
        <f t="shared" si="33"/>
        <v>15075</v>
      </c>
      <c r="B365" s="2325">
        <v>15050</v>
      </c>
      <c r="C365" s="2325">
        <v>15100</v>
      </c>
      <c r="D365" s="2326">
        <f t="shared" si="29"/>
        <v>1610</v>
      </c>
      <c r="E365" s="2326">
        <f t="shared" si="30"/>
        <v>1508</v>
      </c>
      <c r="F365" s="2326">
        <f t="shared" si="31"/>
        <v>1610</v>
      </c>
      <c r="G365" s="2326">
        <f t="shared" si="32"/>
        <v>1525</v>
      </c>
    </row>
    <row r="366" spans="1:7" ht="15.75">
      <c r="A366" s="2486">
        <f t="shared" si="33"/>
        <v>15125</v>
      </c>
      <c r="B366" s="2325">
        <v>15100</v>
      </c>
      <c r="C366" s="2325">
        <v>15150</v>
      </c>
      <c r="D366" s="2326">
        <f t="shared" si="29"/>
        <v>1616</v>
      </c>
      <c r="E366" s="2326">
        <f t="shared" si="30"/>
        <v>1513</v>
      </c>
      <c r="F366" s="2326">
        <f t="shared" si="31"/>
        <v>1616</v>
      </c>
      <c r="G366" s="2326">
        <f t="shared" si="32"/>
        <v>1531</v>
      </c>
    </row>
    <row r="367" spans="1:7" ht="15.75">
      <c r="A367" s="2486">
        <f t="shared" si="33"/>
        <v>15175</v>
      </c>
      <c r="B367" s="2325">
        <v>15150</v>
      </c>
      <c r="C367" s="2325">
        <v>15200</v>
      </c>
      <c r="D367" s="2326">
        <f t="shared" si="29"/>
        <v>1622</v>
      </c>
      <c r="E367" s="2326">
        <f t="shared" si="30"/>
        <v>1518</v>
      </c>
      <c r="F367" s="2326">
        <f t="shared" si="31"/>
        <v>1622</v>
      </c>
      <c r="G367" s="2326">
        <f t="shared" si="32"/>
        <v>1537</v>
      </c>
    </row>
    <row r="368" spans="1:7" ht="15.75">
      <c r="A368" s="2486">
        <f t="shared" si="33"/>
        <v>15225</v>
      </c>
      <c r="B368" s="2325">
        <v>15200</v>
      </c>
      <c r="C368" s="2325">
        <v>15250</v>
      </c>
      <c r="D368" s="2326">
        <f t="shared" si="29"/>
        <v>1628</v>
      </c>
      <c r="E368" s="2326">
        <f t="shared" si="30"/>
        <v>1523</v>
      </c>
      <c r="F368" s="2326">
        <f t="shared" si="31"/>
        <v>1628</v>
      </c>
      <c r="G368" s="2326">
        <f t="shared" si="32"/>
        <v>1543</v>
      </c>
    </row>
    <row r="369" spans="1:7" ht="15.75">
      <c r="A369" s="2486">
        <f t="shared" si="33"/>
        <v>15275</v>
      </c>
      <c r="B369" s="2325">
        <v>15250</v>
      </c>
      <c r="C369" s="2325">
        <v>15300</v>
      </c>
      <c r="D369" s="2326">
        <f t="shared" si="29"/>
        <v>1634</v>
      </c>
      <c r="E369" s="2326">
        <f t="shared" si="30"/>
        <v>1528</v>
      </c>
      <c r="F369" s="2326">
        <f t="shared" si="31"/>
        <v>1634</v>
      </c>
      <c r="G369" s="2326">
        <f t="shared" si="32"/>
        <v>1549</v>
      </c>
    </row>
    <row r="370" spans="1:7" ht="15.75">
      <c r="A370" s="2486">
        <f t="shared" si="33"/>
        <v>15325</v>
      </c>
      <c r="B370" s="2325">
        <v>15300</v>
      </c>
      <c r="C370" s="2325">
        <v>15350</v>
      </c>
      <c r="D370" s="2326">
        <f t="shared" si="29"/>
        <v>1640</v>
      </c>
      <c r="E370" s="2326">
        <f t="shared" si="30"/>
        <v>1533</v>
      </c>
      <c r="F370" s="2326">
        <f t="shared" si="31"/>
        <v>1640</v>
      </c>
      <c r="G370" s="2326">
        <f t="shared" si="32"/>
        <v>1555</v>
      </c>
    </row>
    <row r="371" spans="1:7" ht="15.75">
      <c r="A371" s="2486">
        <f t="shared" si="33"/>
        <v>15375</v>
      </c>
      <c r="B371" s="2325">
        <v>15350</v>
      </c>
      <c r="C371" s="2325">
        <v>15400</v>
      </c>
      <c r="D371" s="2326">
        <f t="shared" si="29"/>
        <v>1646</v>
      </c>
      <c r="E371" s="2326">
        <f t="shared" si="30"/>
        <v>1538</v>
      </c>
      <c r="F371" s="2326">
        <f t="shared" si="31"/>
        <v>1646</v>
      </c>
      <c r="G371" s="2326">
        <f t="shared" si="32"/>
        <v>1561</v>
      </c>
    </row>
    <row r="372" spans="1:7" ht="15.75">
      <c r="A372" s="2486">
        <f t="shared" si="33"/>
        <v>15425</v>
      </c>
      <c r="B372" s="2325">
        <v>15400</v>
      </c>
      <c r="C372" s="2325">
        <v>15450</v>
      </c>
      <c r="D372" s="2326">
        <f t="shared" si="29"/>
        <v>1652</v>
      </c>
      <c r="E372" s="2326">
        <f t="shared" si="30"/>
        <v>1543</v>
      </c>
      <c r="F372" s="2326">
        <f t="shared" si="31"/>
        <v>1652</v>
      </c>
      <c r="G372" s="2326">
        <f t="shared" si="32"/>
        <v>1567</v>
      </c>
    </row>
    <row r="373" spans="1:7" ht="15.75">
      <c r="A373" s="2486">
        <f t="shared" si="33"/>
        <v>15475</v>
      </c>
      <c r="B373" s="2325">
        <v>15450</v>
      </c>
      <c r="C373" s="2325">
        <v>15500</v>
      </c>
      <c r="D373" s="2326">
        <f t="shared" si="29"/>
        <v>1658</v>
      </c>
      <c r="E373" s="2326">
        <f t="shared" si="30"/>
        <v>1548</v>
      </c>
      <c r="F373" s="2326">
        <f t="shared" si="31"/>
        <v>1658</v>
      </c>
      <c r="G373" s="2326">
        <f t="shared" si="32"/>
        <v>1573</v>
      </c>
    </row>
    <row r="374" spans="1:7" ht="15.75">
      <c r="A374" s="2486">
        <f t="shared" si="33"/>
        <v>15525</v>
      </c>
      <c r="B374" s="2325">
        <v>15500</v>
      </c>
      <c r="C374" s="2325">
        <v>15550</v>
      </c>
      <c r="D374" s="2326">
        <f t="shared" si="29"/>
        <v>1664</v>
      </c>
      <c r="E374" s="2326">
        <f t="shared" si="30"/>
        <v>1553</v>
      </c>
      <c r="F374" s="2326">
        <f t="shared" si="31"/>
        <v>1664</v>
      </c>
      <c r="G374" s="2326">
        <f t="shared" si="32"/>
        <v>1579</v>
      </c>
    </row>
    <row r="375" spans="1:7" ht="15.75">
      <c r="A375" s="2486">
        <f t="shared" si="33"/>
        <v>15575</v>
      </c>
      <c r="B375" s="2325">
        <v>15550</v>
      </c>
      <c r="C375" s="2325">
        <v>15600</v>
      </c>
      <c r="D375" s="2326">
        <f t="shared" si="29"/>
        <v>1670</v>
      </c>
      <c r="E375" s="2326">
        <f t="shared" si="30"/>
        <v>1558</v>
      </c>
      <c r="F375" s="2326">
        <f t="shared" si="31"/>
        <v>1670</v>
      </c>
      <c r="G375" s="2326">
        <f t="shared" si="32"/>
        <v>1585</v>
      </c>
    </row>
    <row r="376" spans="1:7" ht="15.75">
      <c r="A376" s="2486">
        <f t="shared" si="33"/>
        <v>15625</v>
      </c>
      <c r="B376" s="2325">
        <v>15600</v>
      </c>
      <c r="C376" s="2325">
        <v>15650</v>
      </c>
      <c r="D376" s="2326">
        <f t="shared" si="29"/>
        <v>1676</v>
      </c>
      <c r="E376" s="2326">
        <f t="shared" si="30"/>
        <v>1563</v>
      </c>
      <c r="F376" s="2326">
        <f t="shared" si="31"/>
        <v>1676</v>
      </c>
      <c r="G376" s="2326">
        <f t="shared" si="32"/>
        <v>1591</v>
      </c>
    </row>
    <row r="377" spans="1:7" ht="15.75">
      <c r="A377" s="2486">
        <f t="shared" si="33"/>
        <v>15675</v>
      </c>
      <c r="B377" s="2325">
        <v>15650</v>
      </c>
      <c r="C377" s="2325">
        <v>15700</v>
      </c>
      <c r="D377" s="2326">
        <f t="shared" si="29"/>
        <v>1682</v>
      </c>
      <c r="E377" s="2326">
        <f t="shared" si="30"/>
        <v>1568</v>
      </c>
      <c r="F377" s="2326">
        <f t="shared" si="31"/>
        <v>1682</v>
      </c>
      <c r="G377" s="2326">
        <f t="shared" si="32"/>
        <v>1597</v>
      </c>
    </row>
    <row r="378" spans="1:7" ht="15.75">
      <c r="A378" s="2486">
        <f t="shared" si="33"/>
        <v>15725</v>
      </c>
      <c r="B378" s="2325">
        <v>15700</v>
      </c>
      <c r="C378" s="2325">
        <v>15750</v>
      </c>
      <c r="D378" s="2326">
        <f t="shared" si="29"/>
        <v>1688</v>
      </c>
      <c r="E378" s="2326">
        <f t="shared" si="30"/>
        <v>1573</v>
      </c>
      <c r="F378" s="2326">
        <f t="shared" si="31"/>
        <v>1688</v>
      </c>
      <c r="G378" s="2326">
        <f t="shared" si="32"/>
        <v>1603</v>
      </c>
    </row>
    <row r="379" spans="1:7" ht="15.75">
      <c r="A379" s="2486">
        <f t="shared" si="33"/>
        <v>15775</v>
      </c>
      <c r="B379" s="2325">
        <v>15750</v>
      </c>
      <c r="C379" s="2325">
        <v>15800</v>
      </c>
      <c r="D379" s="2326">
        <f t="shared" si="29"/>
        <v>1694</v>
      </c>
      <c r="E379" s="2326">
        <f t="shared" si="30"/>
        <v>1578</v>
      </c>
      <c r="F379" s="2326">
        <f t="shared" si="31"/>
        <v>1694</v>
      </c>
      <c r="G379" s="2326">
        <f t="shared" si="32"/>
        <v>1609</v>
      </c>
    </row>
    <row r="380" spans="1:7" ht="15.75">
      <c r="A380" s="2486">
        <f t="shared" si="33"/>
        <v>15825</v>
      </c>
      <c r="B380" s="2325">
        <v>15800</v>
      </c>
      <c r="C380" s="2325">
        <v>15850</v>
      </c>
      <c r="D380" s="2326">
        <f t="shared" si="29"/>
        <v>1700</v>
      </c>
      <c r="E380" s="2326">
        <f t="shared" si="30"/>
        <v>1583</v>
      </c>
      <c r="F380" s="2326">
        <f t="shared" si="31"/>
        <v>1700</v>
      </c>
      <c r="G380" s="2326">
        <f t="shared" si="32"/>
        <v>1615</v>
      </c>
    </row>
    <row r="381" spans="1:7" ht="15.75">
      <c r="A381" s="2486">
        <f t="shared" si="33"/>
        <v>15875</v>
      </c>
      <c r="B381" s="2325">
        <v>15850</v>
      </c>
      <c r="C381" s="2325">
        <v>15900</v>
      </c>
      <c r="D381" s="2326">
        <f t="shared" si="29"/>
        <v>1706</v>
      </c>
      <c r="E381" s="2326">
        <f t="shared" si="30"/>
        <v>1588</v>
      </c>
      <c r="F381" s="2326">
        <f t="shared" si="31"/>
        <v>1706</v>
      </c>
      <c r="G381" s="2326">
        <f t="shared" si="32"/>
        <v>1621</v>
      </c>
    </row>
    <row r="382" spans="1:7" ht="15.75">
      <c r="A382" s="2486">
        <f t="shared" si="33"/>
        <v>15925</v>
      </c>
      <c r="B382" s="2325">
        <v>15900</v>
      </c>
      <c r="C382" s="2325">
        <v>15950</v>
      </c>
      <c r="D382" s="2326">
        <f t="shared" si="29"/>
        <v>1712</v>
      </c>
      <c r="E382" s="2326">
        <f t="shared" si="30"/>
        <v>1593</v>
      </c>
      <c r="F382" s="2326">
        <f t="shared" si="31"/>
        <v>1712</v>
      </c>
      <c r="G382" s="2326">
        <f t="shared" si="32"/>
        <v>1627</v>
      </c>
    </row>
    <row r="383" spans="1:7" ht="15.75">
      <c r="A383" s="2486">
        <f t="shared" si="33"/>
        <v>15975</v>
      </c>
      <c r="B383" s="2325">
        <v>15950</v>
      </c>
      <c r="C383" s="2325">
        <v>16000</v>
      </c>
      <c r="D383" s="2326">
        <f t="shared" si="29"/>
        <v>1718</v>
      </c>
      <c r="E383" s="2326">
        <f t="shared" si="30"/>
        <v>1598</v>
      </c>
      <c r="F383" s="2326">
        <f t="shared" si="31"/>
        <v>1718</v>
      </c>
      <c r="G383" s="2326">
        <f t="shared" si="32"/>
        <v>1633</v>
      </c>
    </row>
    <row r="384" spans="1:7" ht="15.75">
      <c r="A384" s="2486">
        <f t="shared" si="33"/>
        <v>16025</v>
      </c>
      <c r="B384" s="2325">
        <v>16000</v>
      </c>
      <c r="C384" s="2325">
        <v>16050</v>
      </c>
      <c r="D384" s="2326">
        <f t="shared" si="29"/>
        <v>1724</v>
      </c>
      <c r="E384" s="2326">
        <f t="shared" si="30"/>
        <v>1603</v>
      </c>
      <c r="F384" s="2326">
        <f t="shared" si="31"/>
        <v>1724</v>
      </c>
      <c r="G384" s="2326">
        <f t="shared" si="32"/>
        <v>1639</v>
      </c>
    </row>
    <row r="385" spans="1:7" ht="15.75">
      <c r="A385" s="2486">
        <f t="shared" si="33"/>
        <v>16075</v>
      </c>
      <c r="B385" s="2325">
        <v>16050</v>
      </c>
      <c r="C385" s="2325">
        <v>16100</v>
      </c>
      <c r="D385" s="2326">
        <f t="shared" si="29"/>
        <v>1730</v>
      </c>
      <c r="E385" s="2326">
        <f t="shared" si="30"/>
        <v>1608</v>
      </c>
      <c r="F385" s="2326">
        <f t="shared" si="31"/>
        <v>1730</v>
      </c>
      <c r="G385" s="2326">
        <f t="shared" si="32"/>
        <v>1645</v>
      </c>
    </row>
    <row r="386" spans="1:7" ht="15.75">
      <c r="A386" s="2486">
        <f t="shared" si="33"/>
        <v>16125</v>
      </c>
      <c r="B386" s="2325">
        <v>16100</v>
      </c>
      <c r="C386" s="2325">
        <v>16150</v>
      </c>
      <c r="D386" s="2326">
        <f t="shared" ref="D386:D449" si="34">IF($A386&gt;BOTT_A4,ROUND(BASE_A4+RATE_A4*($A386-BOTT_A4),0),IF($A386&gt;BOTT_A3,ROUND(BASE_A3+RATE_A3*($A386-BOTT_A3),0),IF($A386&gt;BOTT_A2,ROUND(BASE_A2+RATE_A2*($A386-BOTT_A2),0),ROUND(RATE_A1*$A386,0))))</f>
        <v>1736</v>
      </c>
      <c r="E386" s="2326">
        <f t="shared" ref="E386:E449" si="35">IF($A386&gt;BOTT_B4,ROUND(BASE_B4+RATE_B4*($A386-BOTT_B4),0),IF($A386&gt;BOTT_B3,ROUND(BASE_B3+RATE_B3*($A386-BOTT_B3),0),IF($A386&gt;BOTT_B2,ROUND(BASE_B2+RATE_B2*($A386-BOTT_B2),0),ROUND(RATE_B1*$A386,0))))</f>
        <v>1613</v>
      </c>
      <c r="F386" s="2326">
        <f t="shared" ref="F386:F449" si="36">IF($A386&gt;BOTT_C4,ROUND(BASE_C4+RATE_C4*($A386-BOTT_C4),0),IF($A386&gt;BOTT_C3,ROUND(BASE_C3+RATE_C3*($A386-BOTT_C3),0),IF($A386&gt;BOTT_C2,ROUND(BASE_C2+RATE_C2*($A386-BOTT_C2),0),ROUND(RATE_C1*$A386,0))))</f>
        <v>1736</v>
      </c>
      <c r="G386" s="2326">
        <f t="shared" ref="G386:G449" si="37">IF($A386&gt;BOTT_D4,ROUND(BASE_D4+RATE_D4*($A386-BOTT_D4),0),IF($A386&gt;BOTT_D3,ROUND(BASE_D3+RATE_D3*($A386-BOTT_D3),0),IF($A386&gt;BOTT_D2,ROUND(BASE_D2+RATE_D2*($A386-BOTT_D2),0),ROUND(RATE_D1*$A386,0))))</f>
        <v>1651</v>
      </c>
    </row>
    <row r="387" spans="1:7" ht="15.75">
      <c r="A387" s="2486">
        <f t="shared" ref="A387:A450" si="38">AVERAGE(B387,C387)</f>
        <v>16175</v>
      </c>
      <c r="B387" s="2325">
        <v>16150</v>
      </c>
      <c r="C387" s="2325">
        <v>16200</v>
      </c>
      <c r="D387" s="2326">
        <f t="shared" si="34"/>
        <v>1742</v>
      </c>
      <c r="E387" s="2326">
        <f t="shared" si="35"/>
        <v>1618</v>
      </c>
      <c r="F387" s="2326">
        <f t="shared" si="36"/>
        <v>1742</v>
      </c>
      <c r="G387" s="2326">
        <f t="shared" si="37"/>
        <v>1657</v>
      </c>
    </row>
    <row r="388" spans="1:7" ht="15.75">
      <c r="A388" s="2486">
        <f t="shared" si="38"/>
        <v>16225</v>
      </c>
      <c r="B388" s="2325">
        <v>16200</v>
      </c>
      <c r="C388" s="2325">
        <v>16250</v>
      </c>
      <c r="D388" s="2326">
        <f t="shared" si="34"/>
        <v>1748</v>
      </c>
      <c r="E388" s="2326">
        <f t="shared" si="35"/>
        <v>1623</v>
      </c>
      <c r="F388" s="2326">
        <f t="shared" si="36"/>
        <v>1748</v>
      </c>
      <c r="G388" s="2326">
        <f t="shared" si="37"/>
        <v>1663</v>
      </c>
    </row>
    <row r="389" spans="1:7" ht="15.75">
      <c r="A389" s="2486">
        <f t="shared" si="38"/>
        <v>16275</v>
      </c>
      <c r="B389" s="2325">
        <v>16250</v>
      </c>
      <c r="C389" s="2325">
        <v>16300</v>
      </c>
      <c r="D389" s="2326">
        <f t="shared" si="34"/>
        <v>1754</v>
      </c>
      <c r="E389" s="2326">
        <f t="shared" si="35"/>
        <v>1628</v>
      </c>
      <c r="F389" s="2326">
        <f t="shared" si="36"/>
        <v>1754</v>
      </c>
      <c r="G389" s="2326">
        <f t="shared" si="37"/>
        <v>1669</v>
      </c>
    </row>
    <row r="390" spans="1:7" ht="15.75">
      <c r="A390" s="2486">
        <f t="shared" si="38"/>
        <v>16325</v>
      </c>
      <c r="B390" s="2325">
        <v>16300</v>
      </c>
      <c r="C390" s="2325">
        <v>16350</v>
      </c>
      <c r="D390" s="2326">
        <f t="shared" si="34"/>
        <v>1760</v>
      </c>
      <c r="E390" s="2326">
        <f t="shared" si="35"/>
        <v>1633</v>
      </c>
      <c r="F390" s="2326">
        <f t="shared" si="36"/>
        <v>1760</v>
      </c>
      <c r="G390" s="2326">
        <f t="shared" si="37"/>
        <v>1675</v>
      </c>
    </row>
    <row r="391" spans="1:7" ht="15.75">
      <c r="A391" s="2486">
        <f t="shared" si="38"/>
        <v>16375</v>
      </c>
      <c r="B391" s="2325">
        <v>16350</v>
      </c>
      <c r="C391" s="2325">
        <v>16400</v>
      </c>
      <c r="D391" s="2326">
        <f t="shared" si="34"/>
        <v>1766</v>
      </c>
      <c r="E391" s="2326">
        <f t="shared" si="35"/>
        <v>1638</v>
      </c>
      <c r="F391" s="2326">
        <f t="shared" si="36"/>
        <v>1766</v>
      </c>
      <c r="G391" s="2326">
        <f t="shared" si="37"/>
        <v>1681</v>
      </c>
    </row>
    <row r="392" spans="1:7" ht="15.75">
      <c r="A392" s="2486">
        <f t="shared" si="38"/>
        <v>16425</v>
      </c>
      <c r="B392" s="2325">
        <v>16400</v>
      </c>
      <c r="C392" s="2325">
        <v>16450</v>
      </c>
      <c r="D392" s="2326">
        <f t="shared" si="34"/>
        <v>1772</v>
      </c>
      <c r="E392" s="2326">
        <f t="shared" si="35"/>
        <v>1643</v>
      </c>
      <c r="F392" s="2326">
        <f t="shared" si="36"/>
        <v>1772</v>
      </c>
      <c r="G392" s="2326">
        <f t="shared" si="37"/>
        <v>1687</v>
      </c>
    </row>
    <row r="393" spans="1:7" ht="15.75">
      <c r="A393" s="2486">
        <f t="shared" si="38"/>
        <v>16475</v>
      </c>
      <c r="B393" s="2325">
        <v>16450</v>
      </c>
      <c r="C393" s="2325">
        <v>16500</v>
      </c>
      <c r="D393" s="2326">
        <f t="shared" si="34"/>
        <v>1778</v>
      </c>
      <c r="E393" s="2326">
        <f t="shared" si="35"/>
        <v>1648</v>
      </c>
      <c r="F393" s="2326">
        <f t="shared" si="36"/>
        <v>1778</v>
      </c>
      <c r="G393" s="2326">
        <f t="shared" si="37"/>
        <v>1693</v>
      </c>
    </row>
    <row r="394" spans="1:7" ht="15.75">
      <c r="A394" s="2486">
        <f t="shared" si="38"/>
        <v>16525</v>
      </c>
      <c r="B394" s="2325">
        <v>16500</v>
      </c>
      <c r="C394" s="2325">
        <v>16550</v>
      </c>
      <c r="D394" s="2326">
        <f t="shared" si="34"/>
        <v>1784</v>
      </c>
      <c r="E394" s="2326">
        <f t="shared" si="35"/>
        <v>1653</v>
      </c>
      <c r="F394" s="2326">
        <f t="shared" si="36"/>
        <v>1784</v>
      </c>
      <c r="G394" s="2326">
        <f t="shared" si="37"/>
        <v>1699</v>
      </c>
    </row>
    <row r="395" spans="1:7" ht="15.75">
      <c r="A395" s="2486">
        <f t="shared" si="38"/>
        <v>16575</v>
      </c>
      <c r="B395" s="2325">
        <v>16550</v>
      </c>
      <c r="C395" s="2325">
        <v>16600</v>
      </c>
      <c r="D395" s="2326">
        <f t="shared" si="34"/>
        <v>1790</v>
      </c>
      <c r="E395" s="2326">
        <f t="shared" si="35"/>
        <v>1658</v>
      </c>
      <c r="F395" s="2326">
        <f t="shared" si="36"/>
        <v>1790</v>
      </c>
      <c r="G395" s="2326">
        <f t="shared" si="37"/>
        <v>1705</v>
      </c>
    </row>
    <row r="396" spans="1:7" ht="15.75">
      <c r="A396" s="2486">
        <f t="shared" si="38"/>
        <v>16625</v>
      </c>
      <c r="B396" s="2325">
        <v>16600</v>
      </c>
      <c r="C396" s="2325">
        <v>16650</v>
      </c>
      <c r="D396" s="2326">
        <f t="shared" si="34"/>
        <v>1796</v>
      </c>
      <c r="E396" s="2326">
        <f t="shared" si="35"/>
        <v>1663</v>
      </c>
      <c r="F396" s="2326">
        <f t="shared" si="36"/>
        <v>1796</v>
      </c>
      <c r="G396" s="2326">
        <f t="shared" si="37"/>
        <v>1711</v>
      </c>
    </row>
    <row r="397" spans="1:7" ht="15.75">
      <c r="A397" s="2486">
        <f t="shared" si="38"/>
        <v>16675</v>
      </c>
      <c r="B397" s="2325">
        <v>16650</v>
      </c>
      <c r="C397" s="2325">
        <v>16700</v>
      </c>
      <c r="D397" s="2326">
        <f t="shared" si="34"/>
        <v>1802</v>
      </c>
      <c r="E397" s="2326">
        <f t="shared" si="35"/>
        <v>1668</v>
      </c>
      <c r="F397" s="2326">
        <f t="shared" si="36"/>
        <v>1802</v>
      </c>
      <c r="G397" s="2326">
        <f t="shared" si="37"/>
        <v>1717</v>
      </c>
    </row>
    <row r="398" spans="1:7" ht="15.75">
      <c r="A398" s="2486">
        <f t="shared" si="38"/>
        <v>16725</v>
      </c>
      <c r="B398" s="2325">
        <v>16700</v>
      </c>
      <c r="C398" s="2325">
        <v>16750</v>
      </c>
      <c r="D398" s="2326">
        <f t="shared" si="34"/>
        <v>1808</v>
      </c>
      <c r="E398" s="2326">
        <f t="shared" si="35"/>
        <v>1673</v>
      </c>
      <c r="F398" s="2326">
        <f t="shared" si="36"/>
        <v>1808</v>
      </c>
      <c r="G398" s="2326">
        <f t="shared" si="37"/>
        <v>1723</v>
      </c>
    </row>
    <row r="399" spans="1:7" ht="15.75">
      <c r="A399" s="2486">
        <f t="shared" si="38"/>
        <v>16775</v>
      </c>
      <c r="B399" s="2325">
        <v>16750</v>
      </c>
      <c r="C399" s="2325">
        <v>16800</v>
      </c>
      <c r="D399" s="2326">
        <f t="shared" si="34"/>
        <v>1814</v>
      </c>
      <c r="E399" s="2326">
        <f t="shared" si="35"/>
        <v>1678</v>
      </c>
      <c r="F399" s="2326">
        <f t="shared" si="36"/>
        <v>1814</v>
      </c>
      <c r="G399" s="2326">
        <f t="shared" si="37"/>
        <v>1729</v>
      </c>
    </row>
    <row r="400" spans="1:7" ht="15.75">
      <c r="A400" s="2486">
        <f t="shared" si="38"/>
        <v>16825</v>
      </c>
      <c r="B400" s="2325">
        <v>16800</v>
      </c>
      <c r="C400" s="2325">
        <v>16850</v>
      </c>
      <c r="D400" s="2326">
        <f t="shared" si="34"/>
        <v>1820</v>
      </c>
      <c r="E400" s="2326">
        <f t="shared" si="35"/>
        <v>1683</v>
      </c>
      <c r="F400" s="2326">
        <f t="shared" si="36"/>
        <v>1820</v>
      </c>
      <c r="G400" s="2326">
        <f t="shared" si="37"/>
        <v>1735</v>
      </c>
    </row>
    <row r="401" spans="1:7" ht="15.75">
      <c r="A401" s="2486">
        <f t="shared" si="38"/>
        <v>16875</v>
      </c>
      <c r="B401" s="2325">
        <v>16850</v>
      </c>
      <c r="C401" s="2325">
        <v>16900</v>
      </c>
      <c r="D401" s="2326">
        <f t="shared" si="34"/>
        <v>1826</v>
      </c>
      <c r="E401" s="2326">
        <f t="shared" si="35"/>
        <v>1688</v>
      </c>
      <c r="F401" s="2326">
        <f t="shared" si="36"/>
        <v>1826</v>
      </c>
      <c r="G401" s="2326">
        <f t="shared" si="37"/>
        <v>1741</v>
      </c>
    </row>
    <row r="402" spans="1:7" ht="15.75">
      <c r="A402" s="2486">
        <f t="shared" si="38"/>
        <v>16925</v>
      </c>
      <c r="B402" s="2325">
        <v>16900</v>
      </c>
      <c r="C402" s="2325">
        <v>16950</v>
      </c>
      <c r="D402" s="2326">
        <f t="shared" si="34"/>
        <v>1832</v>
      </c>
      <c r="E402" s="2326">
        <f t="shared" si="35"/>
        <v>1693</v>
      </c>
      <c r="F402" s="2326">
        <f t="shared" si="36"/>
        <v>1832</v>
      </c>
      <c r="G402" s="2326">
        <f t="shared" si="37"/>
        <v>1747</v>
      </c>
    </row>
    <row r="403" spans="1:7" ht="15.75">
      <c r="A403" s="2486">
        <f t="shared" si="38"/>
        <v>16975</v>
      </c>
      <c r="B403" s="2325">
        <v>16950</v>
      </c>
      <c r="C403" s="2325">
        <v>17000</v>
      </c>
      <c r="D403" s="2326">
        <f t="shared" si="34"/>
        <v>1838</v>
      </c>
      <c r="E403" s="2326">
        <f t="shared" si="35"/>
        <v>1698</v>
      </c>
      <c r="F403" s="2326">
        <f t="shared" si="36"/>
        <v>1838</v>
      </c>
      <c r="G403" s="2326">
        <f t="shared" si="37"/>
        <v>1753</v>
      </c>
    </row>
    <row r="404" spans="1:7" ht="15.75">
      <c r="A404" s="2486">
        <f t="shared" si="38"/>
        <v>17025</v>
      </c>
      <c r="B404" s="2325">
        <v>17000</v>
      </c>
      <c r="C404" s="2325">
        <v>17050</v>
      </c>
      <c r="D404" s="2326">
        <f t="shared" si="34"/>
        <v>1844</v>
      </c>
      <c r="E404" s="2326">
        <f t="shared" si="35"/>
        <v>1703</v>
      </c>
      <c r="F404" s="2326">
        <f t="shared" si="36"/>
        <v>1844</v>
      </c>
      <c r="G404" s="2326">
        <f t="shared" si="37"/>
        <v>1759</v>
      </c>
    </row>
    <row r="405" spans="1:7" ht="15.75">
      <c r="A405" s="2486">
        <f t="shared" si="38"/>
        <v>17075</v>
      </c>
      <c r="B405" s="2325">
        <v>17050</v>
      </c>
      <c r="C405" s="2325">
        <v>17100</v>
      </c>
      <c r="D405" s="2326">
        <f t="shared" si="34"/>
        <v>1850</v>
      </c>
      <c r="E405" s="2326">
        <f t="shared" si="35"/>
        <v>1708</v>
      </c>
      <c r="F405" s="2326">
        <f t="shared" si="36"/>
        <v>1850</v>
      </c>
      <c r="G405" s="2326">
        <f t="shared" si="37"/>
        <v>1765</v>
      </c>
    </row>
    <row r="406" spans="1:7" ht="15.75">
      <c r="A406" s="2486">
        <f t="shared" si="38"/>
        <v>17125</v>
      </c>
      <c r="B406" s="2325">
        <v>17100</v>
      </c>
      <c r="C406" s="2325">
        <v>17150</v>
      </c>
      <c r="D406" s="2326">
        <f t="shared" si="34"/>
        <v>1856</v>
      </c>
      <c r="E406" s="2326">
        <f t="shared" si="35"/>
        <v>1713</v>
      </c>
      <c r="F406" s="2326">
        <f t="shared" si="36"/>
        <v>1856</v>
      </c>
      <c r="G406" s="2326">
        <f t="shared" si="37"/>
        <v>1771</v>
      </c>
    </row>
    <row r="407" spans="1:7" ht="15.75">
      <c r="A407" s="2486">
        <f t="shared" si="38"/>
        <v>17175</v>
      </c>
      <c r="B407" s="2325">
        <v>17150</v>
      </c>
      <c r="C407" s="2325">
        <v>17200</v>
      </c>
      <c r="D407" s="2326">
        <f t="shared" si="34"/>
        <v>1862</v>
      </c>
      <c r="E407" s="2326">
        <f t="shared" si="35"/>
        <v>1718</v>
      </c>
      <c r="F407" s="2326">
        <f t="shared" si="36"/>
        <v>1862</v>
      </c>
      <c r="G407" s="2326">
        <f t="shared" si="37"/>
        <v>1777</v>
      </c>
    </row>
    <row r="408" spans="1:7" ht="15.75">
      <c r="A408" s="2486">
        <f t="shared" si="38"/>
        <v>17225</v>
      </c>
      <c r="B408" s="2325">
        <v>17200</v>
      </c>
      <c r="C408" s="2325">
        <v>17250</v>
      </c>
      <c r="D408" s="2326">
        <f t="shared" si="34"/>
        <v>1868</v>
      </c>
      <c r="E408" s="2326">
        <f t="shared" si="35"/>
        <v>1723</v>
      </c>
      <c r="F408" s="2326">
        <f t="shared" si="36"/>
        <v>1868</v>
      </c>
      <c r="G408" s="2326">
        <f t="shared" si="37"/>
        <v>1783</v>
      </c>
    </row>
    <row r="409" spans="1:7" ht="15.75">
      <c r="A409" s="2486">
        <f t="shared" si="38"/>
        <v>17275</v>
      </c>
      <c r="B409" s="2325">
        <v>17250</v>
      </c>
      <c r="C409" s="2325">
        <v>17300</v>
      </c>
      <c r="D409" s="2326">
        <f t="shared" si="34"/>
        <v>1874</v>
      </c>
      <c r="E409" s="2326">
        <f t="shared" si="35"/>
        <v>1728</v>
      </c>
      <c r="F409" s="2326">
        <f t="shared" si="36"/>
        <v>1874</v>
      </c>
      <c r="G409" s="2326">
        <f t="shared" si="37"/>
        <v>1789</v>
      </c>
    </row>
    <row r="410" spans="1:7" ht="15.75">
      <c r="A410" s="2486">
        <f t="shared" si="38"/>
        <v>17325</v>
      </c>
      <c r="B410" s="2325">
        <v>17300</v>
      </c>
      <c r="C410" s="2325">
        <v>17350</v>
      </c>
      <c r="D410" s="2326">
        <f t="shared" si="34"/>
        <v>1880</v>
      </c>
      <c r="E410" s="2326">
        <f t="shared" si="35"/>
        <v>1733</v>
      </c>
      <c r="F410" s="2326">
        <f t="shared" si="36"/>
        <v>1880</v>
      </c>
      <c r="G410" s="2326">
        <f t="shared" si="37"/>
        <v>1795</v>
      </c>
    </row>
    <row r="411" spans="1:7" ht="15.75">
      <c r="A411" s="2486">
        <f t="shared" si="38"/>
        <v>17375</v>
      </c>
      <c r="B411" s="2325">
        <v>17350</v>
      </c>
      <c r="C411" s="2325">
        <v>17400</v>
      </c>
      <c r="D411" s="2326">
        <f t="shared" si="34"/>
        <v>1886</v>
      </c>
      <c r="E411" s="2326">
        <f t="shared" si="35"/>
        <v>1738</v>
      </c>
      <c r="F411" s="2326">
        <f t="shared" si="36"/>
        <v>1886</v>
      </c>
      <c r="G411" s="2326">
        <f t="shared" si="37"/>
        <v>1801</v>
      </c>
    </row>
    <row r="412" spans="1:7" ht="15.75">
      <c r="A412" s="2486">
        <f t="shared" si="38"/>
        <v>17425</v>
      </c>
      <c r="B412" s="2325">
        <v>17400</v>
      </c>
      <c r="C412" s="2325">
        <v>17450</v>
      </c>
      <c r="D412" s="2326">
        <f t="shared" si="34"/>
        <v>1892</v>
      </c>
      <c r="E412" s="2326">
        <f t="shared" si="35"/>
        <v>1743</v>
      </c>
      <c r="F412" s="2326">
        <f t="shared" si="36"/>
        <v>1892</v>
      </c>
      <c r="G412" s="2326">
        <f t="shared" si="37"/>
        <v>1807</v>
      </c>
    </row>
    <row r="413" spans="1:7" ht="15.75">
      <c r="A413" s="2486">
        <f t="shared" si="38"/>
        <v>17475</v>
      </c>
      <c r="B413" s="2325">
        <v>17450</v>
      </c>
      <c r="C413" s="2325">
        <v>17500</v>
      </c>
      <c r="D413" s="2326">
        <f t="shared" si="34"/>
        <v>1898</v>
      </c>
      <c r="E413" s="2326">
        <f t="shared" si="35"/>
        <v>1748</v>
      </c>
      <c r="F413" s="2326">
        <f t="shared" si="36"/>
        <v>1898</v>
      </c>
      <c r="G413" s="2326">
        <f t="shared" si="37"/>
        <v>1813</v>
      </c>
    </row>
    <row r="414" spans="1:7" ht="15.75">
      <c r="A414" s="2486">
        <f t="shared" si="38"/>
        <v>17525</v>
      </c>
      <c r="B414" s="2325">
        <v>17500</v>
      </c>
      <c r="C414" s="2325">
        <v>17550</v>
      </c>
      <c r="D414" s="2326">
        <f t="shared" si="34"/>
        <v>1904</v>
      </c>
      <c r="E414" s="2326">
        <f t="shared" si="35"/>
        <v>1753</v>
      </c>
      <c r="F414" s="2326">
        <f t="shared" si="36"/>
        <v>1904</v>
      </c>
      <c r="G414" s="2326">
        <f t="shared" si="37"/>
        <v>1819</v>
      </c>
    </row>
    <row r="415" spans="1:7" ht="15.75">
      <c r="A415" s="2486">
        <f t="shared" si="38"/>
        <v>17575</v>
      </c>
      <c r="B415" s="2325">
        <v>17550</v>
      </c>
      <c r="C415" s="2325">
        <v>17600</v>
      </c>
      <c r="D415" s="2326">
        <f t="shared" si="34"/>
        <v>1910</v>
      </c>
      <c r="E415" s="2326">
        <f t="shared" si="35"/>
        <v>1758</v>
      </c>
      <c r="F415" s="2326">
        <f t="shared" si="36"/>
        <v>1910</v>
      </c>
      <c r="G415" s="2326">
        <f t="shared" si="37"/>
        <v>1825</v>
      </c>
    </row>
    <row r="416" spans="1:7" ht="15.75">
      <c r="A416" s="2486">
        <f t="shared" si="38"/>
        <v>17625</v>
      </c>
      <c r="B416" s="2325">
        <v>17600</v>
      </c>
      <c r="C416" s="2325">
        <v>17650</v>
      </c>
      <c r="D416" s="2326">
        <f t="shared" si="34"/>
        <v>1916</v>
      </c>
      <c r="E416" s="2326">
        <f t="shared" si="35"/>
        <v>1763</v>
      </c>
      <c r="F416" s="2326">
        <f t="shared" si="36"/>
        <v>1916</v>
      </c>
      <c r="G416" s="2326">
        <f t="shared" si="37"/>
        <v>1831</v>
      </c>
    </row>
    <row r="417" spans="1:7" ht="15.75">
      <c r="A417" s="2486">
        <f t="shared" si="38"/>
        <v>17675</v>
      </c>
      <c r="B417" s="2325">
        <v>17650</v>
      </c>
      <c r="C417" s="2325">
        <v>17700</v>
      </c>
      <c r="D417" s="2326">
        <f t="shared" si="34"/>
        <v>1922</v>
      </c>
      <c r="E417" s="2326">
        <f t="shared" si="35"/>
        <v>1768</v>
      </c>
      <c r="F417" s="2326">
        <f t="shared" si="36"/>
        <v>1922</v>
      </c>
      <c r="G417" s="2326">
        <f t="shared" si="37"/>
        <v>1837</v>
      </c>
    </row>
    <row r="418" spans="1:7" ht="15.75">
      <c r="A418" s="2486">
        <f t="shared" si="38"/>
        <v>17725</v>
      </c>
      <c r="B418" s="2325">
        <v>17700</v>
      </c>
      <c r="C418" s="2325">
        <v>17750</v>
      </c>
      <c r="D418" s="2326">
        <f t="shared" si="34"/>
        <v>1928</v>
      </c>
      <c r="E418" s="2326">
        <f t="shared" si="35"/>
        <v>1773</v>
      </c>
      <c r="F418" s="2326">
        <f t="shared" si="36"/>
        <v>1928</v>
      </c>
      <c r="G418" s="2326">
        <f t="shared" si="37"/>
        <v>1843</v>
      </c>
    </row>
    <row r="419" spans="1:7" ht="15.75">
      <c r="A419" s="2486">
        <f t="shared" si="38"/>
        <v>17775</v>
      </c>
      <c r="B419" s="2325">
        <v>17750</v>
      </c>
      <c r="C419" s="2325">
        <v>17800</v>
      </c>
      <c r="D419" s="2326">
        <f t="shared" si="34"/>
        <v>1934</v>
      </c>
      <c r="E419" s="2326">
        <f t="shared" si="35"/>
        <v>1778</v>
      </c>
      <c r="F419" s="2326">
        <f t="shared" si="36"/>
        <v>1934</v>
      </c>
      <c r="G419" s="2326">
        <f t="shared" si="37"/>
        <v>1849</v>
      </c>
    </row>
    <row r="420" spans="1:7" ht="15.75">
      <c r="A420" s="2486">
        <f t="shared" si="38"/>
        <v>17825</v>
      </c>
      <c r="B420" s="2325">
        <v>17800</v>
      </c>
      <c r="C420" s="2325">
        <v>17850</v>
      </c>
      <c r="D420" s="2326">
        <f t="shared" si="34"/>
        <v>1940</v>
      </c>
      <c r="E420" s="2326">
        <f t="shared" si="35"/>
        <v>1783</v>
      </c>
      <c r="F420" s="2326">
        <f t="shared" si="36"/>
        <v>1940</v>
      </c>
      <c r="G420" s="2326">
        <f t="shared" si="37"/>
        <v>1855</v>
      </c>
    </row>
    <row r="421" spans="1:7" ht="15.75">
      <c r="A421" s="2486">
        <f t="shared" si="38"/>
        <v>17875</v>
      </c>
      <c r="B421" s="2325">
        <v>17850</v>
      </c>
      <c r="C421" s="2325">
        <v>17900</v>
      </c>
      <c r="D421" s="2326">
        <f t="shared" si="34"/>
        <v>1946</v>
      </c>
      <c r="E421" s="2326">
        <f t="shared" si="35"/>
        <v>1788</v>
      </c>
      <c r="F421" s="2326">
        <f t="shared" si="36"/>
        <v>1946</v>
      </c>
      <c r="G421" s="2326">
        <f t="shared" si="37"/>
        <v>1861</v>
      </c>
    </row>
    <row r="422" spans="1:7" ht="15.75">
      <c r="A422" s="2486">
        <f t="shared" si="38"/>
        <v>17925</v>
      </c>
      <c r="B422" s="2325">
        <v>17900</v>
      </c>
      <c r="C422" s="2325">
        <v>17950</v>
      </c>
      <c r="D422" s="2326">
        <f t="shared" si="34"/>
        <v>1952</v>
      </c>
      <c r="E422" s="2326">
        <f t="shared" si="35"/>
        <v>1793</v>
      </c>
      <c r="F422" s="2326">
        <f t="shared" si="36"/>
        <v>1952</v>
      </c>
      <c r="G422" s="2326">
        <f t="shared" si="37"/>
        <v>1867</v>
      </c>
    </row>
    <row r="423" spans="1:7" ht="15.75">
      <c r="A423" s="2486">
        <f t="shared" si="38"/>
        <v>17975</v>
      </c>
      <c r="B423" s="2325">
        <v>17950</v>
      </c>
      <c r="C423" s="2325">
        <v>18000</v>
      </c>
      <c r="D423" s="2326">
        <f t="shared" si="34"/>
        <v>1958</v>
      </c>
      <c r="E423" s="2326">
        <f t="shared" si="35"/>
        <v>1798</v>
      </c>
      <c r="F423" s="2326">
        <f t="shared" si="36"/>
        <v>1958</v>
      </c>
      <c r="G423" s="2326">
        <f t="shared" si="37"/>
        <v>1873</v>
      </c>
    </row>
    <row r="424" spans="1:7" ht="15.75">
      <c r="A424" s="2486">
        <f t="shared" si="38"/>
        <v>18025</v>
      </c>
      <c r="B424" s="2325">
        <v>18000</v>
      </c>
      <c r="C424" s="2325">
        <v>18050</v>
      </c>
      <c r="D424" s="2326">
        <f t="shared" si="34"/>
        <v>1964</v>
      </c>
      <c r="E424" s="2326">
        <f t="shared" si="35"/>
        <v>1803</v>
      </c>
      <c r="F424" s="2326">
        <f t="shared" si="36"/>
        <v>1964</v>
      </c>
      <c r="G424" s="2326">
        <f t="shared" si="37"/>
        <v>1879</v>
      </c>
    </row>
    <row r="425" spans="1:7" ht="15.75">
      <c r="A425" s="2486">
        <f t="shared" si="38"/>
        <v>18075</v>
      </c>
      <c r="B425" s="2325">
        <v>18050</v>
      </c>
      <c r="C425" s="2325">
        <v>18100</v>
      </c>
      <c r="D425" s="2326">
        <f t="shared" si="34"/>
        <v>1970</v>
      </c>
      <c r="E425" s="2326">
        <f t="shared" si="35"/>
        <v>1808</v>
      </c>
      <c r="F425" s="2326">
        <f t="shared" si="36"/>
        <v>1970</v>
      </c>
      <c r="G425" s="2326">
        <f t="shared" si="37"/>
        <v>1885</v>
      </c>
    </row>
    <row r="426" spans="1:7" ht="15.75">
      <c r="A426" s="2486">
        <f t="shared" si="38"/>
        <v>18125</v>
      </c>
      <c r="B426" s="2325">
        <v>18100</v>
      </c>
      <c r="C426" s="2325">
        <v>18150</v>
      </c>
      <c r="D426" s="2326">
        <f t="shared" si="34"/>
        <v>1976</v>
      </c>
      <c r="E426" s="2326">
        <f t="shared" si="35"/>
        <v>1813</v>
      </c>
      <c r="F426" s="2326">
        <f t="shared" si="36"/>
        <v>1976</v>
      </c>
      <c r="G426" s="2326">
        <f t="shared" si="37"/>
        <v>1891</v>
      </c>
    </row>
    <row r="427" spans="1:7" ht="15.75">
      <c r="A427" s="2486">
        <f t="shared" si="38"/>
        <v>18175</v>
      </c>
      <c r="B427" s="2325">
        <v>18150</v>
      </c>
      <c r="C427" s="2325">
        <v>18200</v>
      </c>
      <c r="D427" s="2326">
        <f t="shared" si="34"/>
        <v>1982</v>
      </c>
      <c r="E427" s="2326">
        <f t="shared" si="35"/>
        <v>1818</v>
      </c>
      <c r="F427" s="2326">
        <f t="shared" si="36"/>
        <v>1982</v>
      </c>
      <c r="G427" s="2326">
        <f t="shared" si="37"/>
        <v>1897</v>
      </c>
    </row>
    <row r="428" spans="1:7" ht="15.75">
      <c r="A428" s="2486">
        <f t="shared" si="38"/>
        <v>18225</v>
      </c>
      <c r="B428" s="2325">
        <v>18200</v>
      </c>
      <c r="C428" s="2325">
        <v>18250</v>
      </c>
      <c r="D428" s="2326">
        <f t="shared" si="34"/>
        <v>1988</v>
      </c>
      <c r="E428" s="2326">
        <f t="shared" si="35"/>
        <v>1823</v>
      </c>
      <c r="F428" s="2326">
        <f t="shared" si="36"/>
        <v>1988</v>
      </c>
      <c r="G428" s="2326">
        <f t="shared" si="37"/>
        <v>1903</v>
      </c>
    </row>
    <row r="429" spans="1:7" ht="15.75">
      <c r="A429" s="2486">
        <f t="shared" si="38"/>
        <v>18275</v>
      </c>
      <c r="B429" s="2325">
        <v>18250</v>
      </c>
      <c r="C429" s="2325">
        <v>18300</v>
      </c>
      <c r="D429" s="2326">
        <f t="shared" si="34"/>
        <v>1994</v>
      </c>
      <c r="E429" s="2326">
        <f t="shared" si="35"/>
        <v>1828</v>
      </c>
      <c r="F429" s="2326">
        <f t="shared" si="36"/>
        <v>1994</v>
      </c>
      <c r="G429" s="2326">
        <f t="shared" si="37"/>
        <v>1909</v>
      </c>
    </row>
    <row r="430" spans="1:7" ht="15.75">
      <c r="A430" s="2486">
        <f t="shared" si="38"/>
        <v>18325</v>
      </c>
      <c r="B430" s="2325">
        <v>18300</v>
      </c>
      <c r="C430" s="2325">
        <v>18350</v>
      </c>
      <c r="D430" s="2326">
        <f t="shared" si="34"/>
        <v>2000</v>
      </c>
      <c r="E430" s="2326">
        <f t="shared" si="35"/>
        <v>1833</v>
      </c>
      <c r="F430" s="2326">
        <f t="shared" si="36"/>
        <v>2000</v>
      </c>
      <c r="G430" s="2326">
        <f t="shared" si="37"/>
        <v>1915</v>
      </c>
    </row>
    <row r="431" spans="1:7" ht="15.75">
      <c r="A431" s="2486">
        <f t="shared" si="38"/>
        <v>18375</v>
      </c>
      <c r="B431" s="2325">
        <v>18350</v>
      </c>
      <c r="C431" s="2325">
        <v>18400</v>
      </c>
      <c r="D431" s="2326">
        <f t="shared" si="34"/>
        <v>2006</v>
      </c>
      <c r="E431" s="2326">
        <f t="shared" si="35"/>
        <v>1838</v>
      </c>
      <c r="F431" s="2326">
        <f t="shared" si="36"/>
        <v>2006</v>
      </c>
      <c r="G431" s="2326">
        <f t="shared" si="37"/>
        <v>1921</v>
      </c>
    </row>
    <row r="432" spans="1:7" ht="15.75">
      <c r="A432" s="2486">
        <f t="shared" si="38"/>
        <v>18425</v>
      </c>
      <c r="B432" s="2325">
        <v>18400</v>
      </c>
      <c r="C432" s="2325">
        <v>18450</v>
      </c>
      <c r="D432" s="2326">
        <f t="shared" si="34"/>
        <v>2012</v>
      </c>
      <c r="E432" s="2326">
        <f t="shared" si="35"/>
        <v>1843</v>
      </c>
      <c r="F432" s="2326">
        <f t="shared" si="36"/>
        <v>2012</v>
      </c>
      <c r="G432" s="2326">
        <f t="shared" si="37"/>
        <v>1927</v>
      </c>
    </row>
    <row r="433" spans="1:7" ht="15.75">
      <c r="A433" s="2486">
        <f t="shared" si="38"/>
        <v>18475</v>
      </c>
      <c r="B433" s="2325">
        <v>18450</v>
      </c>
      <c r="C433" s="2325">
        <v>18500</v>
      </c>
      <c r="D433" s="2326">
        <f t="shared" si="34"/>
        <v>2018</v>
      </c>
      <c r="E433" s="2326">
        <f t="shared" si="35"/>
        <v>1848</v>
      </c>
      <c r="F433" s="2326">
        <f t="shared" si="36"/>
        <v>2018</v>
      </c>
      <c r="G433" s="2326">
        <f t="shared" si="37"/>
        <v>1933</v>
      </c>
    </row>
    <row r="434" spans="1:7" ht="15.75">
      <c r="A434" s="2486">
        <f t="shared" si="38"/>
        <v>18525</v>
      </c>
      <c r="B434" s="2325">
        <v>18500</v>
      </c>
      <c r="C434" s="2325">
        <v>18550</v>
      </c>
      <c r="D434" s="2326">
        <f t="shared" si="34"/>
        <v>2024</v>
      </c>
      <c r="E434" s="2326">
        <f t="shared" si="35"/>
        <v>1853</v>
      </c>
      <c r="F434" s="2326">
        <f t="shared" si="36"/>
        <v>2024</v>
      </c>
      <c r="G434" s="2326">
        <f t="shared" si="37"/>
        <v>1939</v>
      </c>
    </row>
    <row r="435" spans="1:7" ht="15.75">
      <c r="A435" s="2486">
        <f t="shared" si="38"/>
        <v>18575</v>
      </c>
      <c r="B435" s="2325">
        <v>18550</v>
      </c>
      <c r="C435" s="2325">
        <v>18600</v>
      </c>
      <c r="D435" s="2326">
        <f t="shared" si="34"/>
        <v>2030</v>
      </c>
      <c r="E435" s="2326">
        <f t="shared" si="35"/>
        <v>1858</v>
      </c>
      <c r="F435" s="2326">
        <f t="shared" si="36"/>
        <v>2030</v>
      </c>
      <c r="G435" s="2326">
        <f t="shared" si="37"/>
        <v>1945</v>
      </c>
    </row>
    <row r="436" spans="1:7" ht="15.75">
      <c r="A436" s="2486">
        <f t="shared" si="38"/>
        <v>18625</v>
      </c>
      <c r="B436" s="2325">
        <v>18600</v>
      </c>
      <c r="C436" s="2325">
        <v>18650</v>
      </c>
      <c r="D436" s="2326">
        <f t="shared" si="34"/>
        <v>2036</v>
      </c>
      <c r="E436" s="2326">
        <f t="shared" si="35"/>
        <v>1863</v>
      </c>
      <c r="F436" s="2326">
        <f t="shared" si="36"/>
        <v>2036</v>
      </c>
      <c r="G436" s="2326">
        <f t="shared" si="37"/>
        <v>1951</v>
      </c>
    </row>
    <row r="437" spans="1:7" ht="15.75">
      <c r="A437" s="2486">
        <f t="shared" si="38"/>
        <v>18675</v>
      </c>
      <c r="B437" s="2325">
        <v>18650</v>
      </c>
      <c r="C437" s="2325">
        <v>18700</v>
      </c>
      <c r="D437" s="2326">
        <f t="shared" si="34"/>
        <v>2042</v>
      </c>
      <c r="E437" s="2326">
        <f t="shared" si="35"/>
        <v>1868</v>
      </c>
      <c r="F437" s="2326">
        <f t="shared" si="36"/>
        <v>2042</v>
      </c>
      <c r="G437" s="2326">
        <f t="shared" si="37"/>
        <v>1957</v>
      </c>
    </row>
    <row r="438" spans="1:7" ht="15.75">
      <c r="A438" s="2486">
        <f t="shared" si="38"/>
        <v>18725</v>
      </c>
      <c r="B438" s="2325">
        <v>18700</v>
      </c>
      <c r="C438" s="2325">
        <v>18750</v>
      </c>
      <c r="D438" s="2326">
        <f t="shared" si="34"/>
        <v>2048</v>
      </c>
      <c r="E438" s="2326">
        <f t="shared" si="35"/>
        <v>1873</v>
      </c>
      <c r="F438" s="2326">
        <f t="shared" si="36"/>
        <v>2048</v>
      </c>
      <c r="G438" s="2326">
        <f t="shared" si="37"/>
        <v>1963</v>
      </c>
    </row>
    <row r="439" spans="1:7" ht="15.75">
      <c r="A439" s="2486">
        <f t="shared" si="38"/>
        <v>18775</v>
      </c>
      <c r="B439" s="2325">
        <v>18750</v>
      </c>
      <c r="C439" s="2325">
        <v>18800</v>
      </c>
      <c r="D439" s="2326">
        <f t="shared" si="34"/>
        <v>2054</v>
      </c>
      <c r="E439" s="2326">
        <f t="shared" si="35"/>
        <v>1878</v>
      </c>
      <c r="F439" s="2326">
        <f t="shared" si="36"/>
        <v>2054</v>
      </c>
      <c r="G439" s="2326">
        <f t="shared" si="37"/>
        <v>1969</v>
      </c>
    </row>
    <row r="440" spans="1:7" ht="15.75">
      <c r="A440" s="2486">
        <f t="shared" si="38"/>
        <v>18825</v>
      </c>
      <c r="B440" s="2325">
        <v>18800</v>
      </c>
      <c r="C440" s="2325">
        <v>18850</v>
      </c>
      <c r="D440" s="2326">
        <f t="shared" si="34"/>
        <v>2060</v>
      </c>
      <c r="E440" s="2326">
        <f t="shared" si="35"/>
        <v>1883</v>
      </c>
      <c r="F440" s="2326">
        <f t="shared" si="36"/>
        <v>2060</v>
      </c>
      <c r="G440" s="2326">
        <f t="shared" si="37"/>
        <v>1975</v>
      </c>
    </row>
    <row r="441" spans="1:7" ht="15.75">
      <c r="A441" s="2486">
        <f t="shared" si="38"/>
        <v>18875</v>
      </c>
      <c r="B441" s="2325">
        <v>18850</v>
      </c>
      <c r="C441" s="2325">
        <v>18900</v>
      </c>
      <c r="D441" s="2326">
        <f t="shared" si="34"/>
        <v>2066</v>
      </c>
      <c r="E441" s="2326">
        <f t="shared" si="35"/>
        <v>1888</v>
      </c>
      <c r="F441" s="2326">
        <f t="shared" si="36"/>
        <v>2066</v>
      </c>
      <c r="G441" s="2326">
        <f t="shared" si="37"/>
        <v>1981</v>
      </c>
    </row>
    <row r="442" spans="1:7" ht="15.75">
      <c r="A442" s="2486">
        <f t="shared" si="38"/>
        <v>18925</v>
      </c>
      <c r="B442" s="2325">
        <v>18900</v>
      </c>
      <c r="C442" s="2325">
        <v>18950</v>
      </c>
      <c r="D442" s="2326">
        <f t="shared" si="34"/>
        <v>2072</v>
      </c>
      <c r="E442" s="2326">
        <f t="shared" si="35"/>
        <v>1893</v>
      </c>
      <c r="F442" s="2326">
        <f t="shared" si="36"/>
        <v>2072</v>
      </c>
      <c r="G442" s="2326">
        <f t="shared" si="37"/>
        <v>1987</v>
      </c>
    </row>
    <row r="443" spans="1:7" ht="15.75">
      <c r="A443" s="2486">
        <f t="shared" si="38"/>
        <v>18975</v>
      </c>
      <c r="B443" s="2325">
        <v>18950</v>
      </c>
      <c r="C443" s="2325">
        <v>19000</v>
      </c>
      <c r="D443" s="2326">
        <f t="shared" si="34"/>
        <v>2078</v>
      </c>
      <c r="E443" s="2326">
        <f t="shared" si="35"/>
        <v>1898</v>
      </c>
      <c r="F443" s="2326">
        <f t="shared" si="36"/>
        <v>2078</v>
      </c>
      <c r="G443" s="2326">
        <f t="shared" si="37"/>
        <v>1993</v>
      </c>
    </row>
    <row r="444" spans="1:7" ht="15.75">
      <c r="A444" s="2486">
        <f t="shared" si="38"/>
        <v>19025</v>
      </c>
      <c r="B444" s="2325">
        <v>19000</v>
      </c>
      <c r="C444" s="2325">
        <v>19050</v>
      </c>
      <c r="D444" s="2326">
        <f t="shared" si="34"/>
        <v>2084</v>
      </c>
      <c r="E444" s="2326">
        <f t="shared" si="35"/>
        <v>1903</v>
      </c>
      <c r="F444" s="2326">
        <f t="shared" si="36"/>
        <v>2084</v>
      </c>
      <c r="G444" s="2326">
        <f t="shared" si="37"/>
        <v>1999</v>
      </c>
    </row>
    <row r="445" spans="1:7" ht="15.75">
      <c r="A445" s="2486">
        <f t="shared" si="38"/>
        <v>19075</v>
      </c>
      <c r="B445" s="2325">
        <v>19050</v>
      </c>
      <c r="C445" s="2325">
        <v>19100</v>
      </c>
      <c r="D445" s="2326">
        <f t="shared" si="34"/>
        <v>2090</v>
      </c>
      <c r="E445" s="2326">
        <f t="shared" si="35"/>
        <v>1908</v>
      </c>
      <c r="F445" s="2326">
        <f t="shared" si="36"/>
        <v>2090</v>
      </c>
      <c r="G445" s="2326">
        <f t="shared" si="37"/>
        <v>2005</v>
      </c>
    </row>
    <row r="446" spans="1:7" ht="15.75">
      <c r="A446" s="2486">
        <f t="shared" si="38"/>
        <v>19125</v>
      </c>
      <c r="B446" s="2325">
        <v>19100</v>
      </c>
      <c r="C446" s="2325">
        <v>19150</v>
      </c>
      <c r="D446" s="2326">
        <f t="shared" si="34"/>
        <v>2096</v>
      </c>
      <c r="E446" s="2326">
        <f t="shared" si="35"/>
        <v>1913</v>
      </c>
      <c r="F446" s="2326">
        <f t="shared" si="36"/>
        <v>2096</v>
      </c>
      <c r="G446" s="2326">
        <f t="shared" si="37"/>
        <v>2011</v>
      </c>
    </row>
    <row r="447" spans="1:7" ht="15.75">
      <c r="A447" s="2486">
        <f t="shared" si="38"/>
        <v>19175</v>
      </c>
      <c r="B447" s="2325">
        <v>19150</v>
      </c>
      <c r="C447" s="2325">
        <v>19200</v>
      </c>
      <c r="D447" s="2326">
        <f t="shared" si="34"/>
        <v>2102</v>
      </c>
      <c r="E447" s="2326">
        <f t="shared" si="35"/>
        <v>1918</v>
      </c>
      <c r="F447" s="2326">
        <f t="shared" si="36"/>
        <v>2102</v>
      </c>
      <c r="G447" s="2326">
        <f t="shared" si="37"/>
        <v>2017</v>
      </c>
    </row>
    <row r="448" spans="1:7" ht="15.75">
      <c r="A448" s="2486">
        <f t="shared" si="38"/>
        <v>19225</v>
      </c>
      <c r="B448" s="2325">
        <v>19200</v>
      </c>
      <c r="C448" s="2325">
        <v>19250</v>
      </c>
      <c r="D448" s="2326">
        <f t="shared" si="34"/>
        <v>2108</v>
      </c>
      <c r="E448" s="2326">
        <f t="shared" si="35"/>
        <v>1923</v>
      </c>
      <c r="F448" s="2326">
        <f t="shared" si="36"/>
        <v>2108</v>
      </c>
      <c r="G448" s="2326">
        <f t="shared" si="37"/>
        <v>2023</v>
      </c>
    </row>
    <row r="449" spans="1:7" ht="15.75">
      <c r="A449" s="2486">
        <f t="shared" si="38"/>
        <v>19275</v>
      </c>
      <c r="B449" s="2325">
        <v>19250</v>
      </c>
      <c r="C449" s="2325">
        <v>19300</v>
      </c>
      <c r="D449" s="2326">
        <f t="shared" si="34"/>
        <v>2114</v>
      </c>
      <c r="E449" s="2326">
        <f t="shared" si="35"/>
        <v>1928</v>
      </c>
      <c r="F449" s="2326">
        <f t="shared" si="36"/>
        <v>2114</v>
      </c>
      <c r="G449" s="2326">
        <f t="shared" si="37"/>
        <v>2029</v>
      </c>
    </row>
    <row r="450" spans="1:7" ht="15.75">
      <c r="A450" s="2486">
        <f t="shared" si="38"/>
        <v>19325</v>
      </c>
      <c r="B450" s="2325">
        <v>19300</v>
      </c>
      <c r="C450" s="2325">
        <v>19350</v>
      </c>
      <c r="D450" s="2326">
        <f t="shared" ref="D450:D513" si="39">IF($A450&gt;BOTT_A4,ROUND(BASE_A4+RATE_A4*($A450-BOTT_A4),0),IF($A450&gt;BOTT_A3,ROUND(BASE_A3+RATE_A3*($A450-BOTT_A3),0),IF($A450&gt;BOTT_A2,ROUND(BASE_A2+RATE_A2*($A450-BOTT_A2),0),ROUND(RATE_A1*$A450,0))))</f>
        <v>2120</v>
      </c>
      <c r="E450" s="2326">
        <f t="shared" ref="E450:E513" si="40">IF($A450&gt;BOTT_B4,ROUND(BASE_B4+RATE_B4*($A450-BOTT_B4),0),IF($A450&gt;BOTT_B3,ROUND(BASE_B3+RATE_B3*($A450-BOTT_B3),0),IF($A450&gt;BOTT_B2,ROUND(BASE_B2+RATE_B2*($A450-BOTT_B2),0),ROUND(RATE_B1*$A450,0))))</f>
        <v>1933</v>
      </c>
      <c r="F450" s="2326">
        <f t="shared" ref="F450:F513" si="41">IF($A450&gt;BOTT_C4,ROUND(BASE_C4+RATE_C4*($A450-BOTT_C4),0),IF($A450&gt;BOTT_C3,ROUND(BASE_C3+RATE_C3*($A450-BOTT_C3),0),IF($A450&gt;BOTT_C2,ROUND(BASE_C2+RATE_C2*($A450-BOTT_C2),0),ROUND(RATE_C1*$A450,0))))</f>
        <v>2120</v>
      </c>
      <c r="G450" s="2326">
        <f t="shared" ref="G450:G513" si="42">IF($A450&gt;BOTT_D4,ROUND(BASE_D4+RATE_D4*($A450-BOTT_D4),0),IF($A450&gt;BOTT_D3,ROUND(BASE_D3+RATE_D3*($A450-BOTT_D3),0),IF($A450&gt;BOTT_D2,ROUND(BASE_D2+RATE_D2*($A450-BOTT_D2),0),ROUND(RATE_D1*$A450,0))))</f>
        <v>2035</v>
      </c>
    </row>
    <row r="451" spans="1:7" ht="15.75">
      <c r="A451" s="2486">
        <f t="shared" ref="A451:A514" si="43">AVERAGE(B451,C451)</f>
        <v>19375</v>
      </c>
      <c r="B451" s="2325">
        <v>19350</v>
      </c>
      <c r="C451" s="2325">
        <v>19400</v>
      </c>
      <c r="D451" s="2326">
        <f t="shared" si="39"/>
        <v>2126</v>
      </c>
      <c r="E451" s="2326">
        <f t="shared" si="40"/>
        <v>1938</v>
      </c>
      <c r="F451" s="2326">
        <f t="shared" si="41"/>
        <v>2126</v>
      </c>
      <c r="G451" s="2326">
        <f t="shared" si="42"/>
        <v>2041</v>
      </c>
    </row>
    <row r="452" spans="1:7" ht="15.75">
      <c r="A452" s="2486">
        <f t="shared" si="43"/>
        <v>19425</v>
      </c>
      <c r="B452" s="2325">
        <v>19400</v>
      </c>
      <c r="C452" s="2325">
        <v>19450</v>
      </c>
      <c r="D452" s="2326">
        <f t="shared" si="39"/>
        <v>2132</v>
      </c>
      <c r="E452" s="2326">
        <f t="shared" si="40"/>
        <v>1943</v>
      </c>
      <c r="F452" s="2326">
        <f t="shared" si="41"/>
        <v>2132</v>
      </c>
      <c r="G452" s="2326">
        <f t="shared" si="42"/>
        <v>2047</v>
      </c>
    </row>
    <row r="453" spans="1:7" ht="15.75">
      <c r="A453" s="2486">
        <f t="shared" si="43"/>
        <v>19475</v>
      </c>
      <c r="B453" s="2325">
        <v>19450</v>
      </c>
      <c r="C453" s="2325">
        <v>19500</v>
      </c>
      <c r="D453" s="2326">
        <f t="shared" si="39"/>
        <v>2138</v>
      </c>
      <c r="E453" s="2326">
        <f t="shared" si="40"/>
        <v>1948</v>
      </c>
      <c r="F453" s="2326">
        <f t="shared" si="41"/>
        <v>2138</v>
      </c>
      <c r="G453" s="2326">
        <f t="shared" si="42"/>
        <v>2053</v>
      </c>
    </row>
    <row r="454" spans="1:7" ht="15.75">
      <c r="A454" s="2486">
        <f t="shared" si="43"/>
        <v>19525</v>
      </c>
      <c r="B454" s="2325">
        <v>19500</v>
      </c>
      <c r="C454" s="2325">
        <v>19550</v>
      </c>
      <c r="D454" s="2326">
        <f t="shared" si="39"/>
        <v>2144</v>
      </c>
      <c r="E454" s="2326">
        <f t="shared" si="40"/>
        <v>1953</v>
      </c>
      <c r="F454" s="2326">
        <f t="shared" si="41"/>
        <v>2144</v>
      </c>
      <c r="G454" s="2326">
        <f t="shared" si="42"/>
        <v>2059</v>
      </c>
    </row>
    <row r="455" spans="1:7" ht="15.75">
      <c r="A455" s="2486">
        <f t="shared" si="43"/>
        <v>19575</v>
      </c>
      <c r="B455" s="2325">
        <v>19550</v>
      </c>
      <c r="C455" s="2325">
        <v>19600</v>
      </c>
      <c r="D455" s="2326">
        <f t="shared" si="39"/>
        <v>2150</v>
      </c>
      <c r="E455" s="2326">
        <f t="shared" si="40"/>
        <v>1958</v>
      </c>
      <c r="F455" s="2326">
        <f t="shared" si="41"/>
        <v>2150</v>
      </c>
      <c r="G455" s="2326">
        <f t="shared" si="42"/>
        <v>2065</v>
      </c>
    </row>
    <row r="456" spans="1:7" ht="15.75">
      <c r="A456" s="2486">
        <f t="shared" si="43"/>
        <v>19625</v>
      </c>
      <c r="B456" s="2325">
        <v>19600</v>
      </c>
      <c r="C456" s="2325">
        <v>19650</v>
      </c>
      <c r="D456" s="2326">
        <f t="shared" si="39"/>
        <v>2156</v>
      </c>
      <c r="E456" s="2326">
        <f t="shared" si="40"/>
        <v>1963</v>
      </c>
      <c r="F456" s="2326">
        <f t="shared" si="41"/>
        <v>2156</v>
      </c>
      <c r="G456" s="2326">
        <f t="shared" si="42"/>
        <v>2071</v>
      </c>
    </row>
    <row r="457" spans="1:7" ht="15.75">
      <c r="A457" s="2486">
        <f t="shared" si="43"/>
        <v>19675</v>
      </c>
      <c r="B457" s="2325">
        <v>19650</v>
      </c>
      <c r="C457" s="2325">
        <v>19700</v>
      </c>
      <c r="D457" s="2326">
        <f t="shared" si="39"/>
        <v>2162</v>
      </c>
      <c r="E457" s="2326">
        <f t="shared" si="40"/>
        <v>1968</v>
      </c>
      <c r="F457" s="2326">
        <f t="shared" si="41"/>
        <v>2162</v>
      </c>
      <c r="G457" s="2326">
        <f t="shared" si="42"/>
        <v>2077</v>
      </c>
    </row>
    <row r="458" spans="1:7" ht="15.75">
      <c r="A458" s="2486">
        <f t="shared" si="43"/>
        <v>19725</v>
      </c>
      <c r="B458" s="2325">
        <v>19700</v>
      </c>
      <c r="C458" s="2325">
        <v>19750</v>
      </c>
      <c r="D458" s="2326">
        <f t="shared" si="39"/>
        <v>2168</v>
      </c>
      <c r="E458" s="2326">
        <f t="shared" si="40"/>
        <v>1973</v>
      </c>
      <c r="F458" s="2326">
        <f t="shared" si="41"/>
        <v>2168</v>
      </c>
      <c r="G458" s="2326">
        <f t="shared" si="42"/>
        <v>2083</v>
      </c>
    </row>
    <row r="459" spans="1:7" ht="15.75">
      <c r="A459" s="2486">
        <f t="shared" si="43"/>
        <v>19775</v>
      </c>
      <c r="B459" s="2325">
        <v>19750</v>
      </c>
      <c r="C459" s="2325">
        <v>19800</v>
      </c>
      <c r="D459" s="2326">
        <f t="shared" si="39"/>
        <v>2174</v>
      </c>
      <c r="E459" s="2326">
        <f t="shared" si="40"/>
        <v>1978</v>
      </c>
      <c r="F459" s="2326">
        <f t="shared" si="41"/>
        <v>2174</v>
      </c>
      <c r="G459" s="2326">
        <f t="shared" si="42"/>
        <v>2089</v>
      </c>
    </row>
    <row r="460" spans="1:7" ht="15.75">
      <c r="A460" s="2486">
        <f t="shared" si="43"/>
        <v>19825</v>
      </c>
      <c r="B460" s="2325">
        <v>19800</v>
      </c>
      <c r="C460" s="2325">
        <v>19850</v>
      </c>
      <c r="D460" s="2326">
        <f t="shared" si="39"/>
        <v>2180</v>
      </c>
      <c r="E460" s="2326">
        <f t="shared" si="40"/>
        <v>1983</v>
      </c>
      <c r="F460" s="2326">
        <f t="shared" si="41"/>
        <v>2180</v>
      </c>
      <c r="G460" s="2326">
        <f t="shared" si="42"/>
        <v>2095</v>
      </c>
    </row>
    <row r="461" spans="1:7" ht="15.75">
      <c r="A461" s="2486">
        <f t="shared" si="43"/>
        <v>19875</v>
      </c>
      <c r="B461" s="2325">
        <v>19850</v>
      </c>
      <c r="C461" s="2325">
        <v>19900</v>
      </c>
      <c r="D461" s="2326">
        <f t="shared" si="39"/>
        <v>2186</v>
      </c>
      <c r="E461" s="2326">
        <f t="shared" si="40"/>
        <v>1988</v>
      </c>
      <c r="F461" s="2326">
        <f t="shared" si="41"/>
        <v>2186</v>
      </c>
      <c r="G461" s="2326">
        <f t="shared" si="42"/>
        <v>2101</v>
      </c>
    </row>
    <row r="462" spans="1:7" ht="15.75">
      <c r="A462" s="2486">
        <f t="shared" si="43"/>
        <v>19925</v>
      </c>
      <c r="B462" s="2325">
        <v>19900</v>
      </c>
      <c r="C462" s="2325">
        <v>19950</v>
      </c>
      <c r="D462" s="2326">
        <f t="shared" si="39"/>
        <v>2192</v>
      </c>
      <c r="E462" s="2326">
        <f t="shared" si="40"/>
        <v>1993</v>
      </c>
      <c r="F462" s="2326">
        <f t="shared" si="41"/>
        <v>2192</v>
      </c>
      <c r="G462" s="2326">
        <f t="shared" si="42"/>
        <v>2107</v>
      </c>
    </row>
    <row r="463" spans="1:7" ht="15.75">
      <c r="A463" s="2486">
        <f t="shared" si="43"/>
        <v>19975</v>
      </c>
      <c r="B463" s="2325">
        <v>19950</v>
      </c>
      <c r="C463" s="2325">
        <v>20000</v>
      </c>
      <c r="D463" s="2326">
        <f t="shared" si="39"/>
        <v>2198</v>
      </c>
      <c r="E463" s="2326">
        <f t="shared" si="40"/>
        <v>1999</v>
      </c>
      <c r="F463" s="2326">
        <f t="shared" si="41"/>
        <v>2198</v>
      </c>
      <c r="G463" s="2326">
        <f t="shared" si="42"/>
        <v>2113</v>
      </c>
    </row>
    <row r="464" spans="1:7" ht="15.75">
      <c r="A464" s="2486">
        <f t="shared" si="43"/>
        <v>20025</v>
      </c>
      <c r="B464" s="2325">
        <v>20000</v>
      </c>
      <c r="C464" s="2325">
        <v>20050</v>
      </c>
      <c r="D464" s="2326">
        <f t="shared" si="39"/>
        <v>2204</v>
      </c>
      <c r="E464" s="2326">
        <f t="shared" si="40"/>
        <v>2005</v>
      </c>
      <c r="F464" s="2326">
        <f t="shared" si="41"/>
        <v>2204</v>
      </c>
      <c r="G464" s="2326">
        <f t="shared" si="42"/>
        <v>2119</v>
      </c>
    </row>
    <row r="465" spans="1:7" ht="15.75">
      <c r="A465" s="2486">
        <f t="shared" si="43"/>
        <v>20075</v>
      </c>
      <c r="B465" s="2325">
        <v>20050</v>
      </c>
      <c r="C465" s="2325">
        <v>20100</v>
      </c>
      <c r="D465" s="2326">
        <f t="shared" si="39"/>
        <v>2210</v>
      </c>
      <c r="E465" s="2326">
        <f t="shared" si="40"/>
        <v>2011</v>
      </c>
      <c r="F465" s="2326">
        <f t="shared" si="41"/>
        <v>2210</v>
      </c>
      <c r="G465" s="2326">
        <f t="shared" si="42"/>
        <v>2125</v>
      </c>
    </row>
    <row r="466" spans="1:7" ht="15.75">
      <c r="A466" s="2486">
        <f t="shared" si="43"/>
        <v>20125</v>
      </c>
      <c r="B466" s="2325">
        <v>20100</v>
      </c>
      <c r="C466" s="2325">
        <v>20150</v>
      </c>
      <c r="D466" s="2326">
        <f t="shared" si="39"/>
        <v>2216</v>
      </c>
      <c r="E466" s="2326">
        <f t="shared" si="40"/>
        <v>2017</v>
      </c>
      <c r="F466" s="2326">
        <f t="shared" si="41"/>
        <v>2216</v>
      </c>
      <c r="G466" s="2326">
        <f t="shared" si="42"/>
        <v>2131</v>
      </c>
    </row>
    <row r="467" spans="1:7" ht="15.75">
      <c r="A467" s="2486">
        <f t="shared" si="43"/>
        <v>20175</v>
      </c>
      <c r="B467" s="2325">
        <v>20150</v>
      </c>
      <c r="C467" s="2325">
        <v>20200</v>
      </c>
      <c r="D467" s="2326">
        <f t="shared" si="39"/>
        <v>2222</v>
      </c>
      <c r="E467" s="2326">
        <f t="shared" si="40"/>
        <v>2023</v>
      </c>
      <c r="F467" s="2326">
        <f t="shared" si="41"/>
        <v>2222</v>
      </c>
      <c r="G467" s="2326">
        <f t="shared" si="42"/>
        <v>2137</v>
      </c>
    </row>
    <row r="468" spans="1:7" ht="15.75">
      <c r="A468" s="2486">
        <f t="shared" si="43"/>
        <v>20225</v>
      </c>
      <c r="B468" s="2325">
        <v>20200</v>
      </c>
      <c r="C468" s="2325">
        <v>20250</v>
      </c>
      <c r="D468" s="2326">
        <f t="shared" si="39"/>
        <v>2228</v>
      </c>
      <c r="E468" s="2326">
        <f t="shared" si="40"/>
        <v>2029</v>
      </c>
      <c r="F468" s="2326">
        <f t="shared" si="41"/>
        <v>2228</v>
      </c>
      <c r="G468" s="2326">
        <f t="shared" si="42"/>
        <v>2143</v>
      </c>
    </row>
    <row r="469" spans="1:7" ht="15.75">
      <c r="A469" s="2486">
        <f t="shared" si="43"/>
        <v>20275</v>
      </c>
      <c r="B469" s="2325">
        <v>20250</v>
      </c>
      <c r="C469" s="2325">
        <v>20300</v>
      </c>
      <c r="D469" s="2326">
        <f t="shared" si="39"/>
        <v>2234</v>
      </c>
      <c r="E469" s="2326">
        <f t="shared" si="40"/>
        <v>2035</v>
      </c>
      <c r="F469" s="2326">
        <f t="shared" si="41"/>
        <v>2234</v>
      </c>
      <c r="G469" s="2326">
        <f t="shared" si="42"/>
        <v>2149</v>
      </c>
    </row>
    <row r="470" spans="1:7" ht="15.75">
      <c r="A470" s="2486">
        <f t="shared" si="43"/>
        <v>20325</v>
      </c>
      <c r="B470" s="2325">
        <v>20300</v>
      </c>
      <c r="C470" s="2325">
        <v>20350</v>
      </c>
      <c r="D470" s="2326">
        <f t="shared" si="39"/>
        <v>2240</v>
      </c>
      <c r="E470" s="2326">
        <f t="shared" si="40"/>
        <v>2041</v>
      </c>
      <c r="F470" s="2326">
        <f t="shared" si="41"/>
        <v>2240</v>
      </c>
      <c r="G470" s="2326">
        <f t="shared" si="42"/>
        <v>2155</v>
      </c>
    </row>
    <row r="471" spans="1:7" ht="15.75">
      <c r="A471" s="2486">
        <f t="shared" si="43"/>
        <v>20375</v>
      </c>
      <c r="B471" s="2325">
        <v>20350</v>
      </c>
      <c r="C471" s="2325">
        <v>20400</v>
      </c>
      <c r="D471" s="2326">
        <f t="shared" si="39"/>
        <v>2246</v>
      </c>
      <c r="E471" s="2326">
        <f t="shared" si="40"/>
        <v>2047</v>
      </c>
      <c r="F471" s="2326">
        <f t="shared" si="41"/>
        <v>2246</v>
      </c>
      <c r="G471" s="2326">
        <f t="shared" si="42"/>
        <v>2161</v>
      </c>
    </row>
    <row r="472" spans="1:7" ht="15.75">
      <c r="A472" s="2486">
        <f t="shared" si="43"/>
        <v>20425</v>
      </c>
      <c r="B472" s="2325">
        <v>20400</v>
      </c>
      <c r="C472" s="2325">
        <v>20450</v>
      </c>
      <c r="D472" s="2326">
        <f t="shared" si="39"/>
        <v>2252</v>
      </c>
      <c r="E472" s="2326">
        <f t="shared" si="40"/>
        <v>2053</v>
      </c>
      <c r="F472" s="2326">
        <f t="shared" si="41"/>
        <v>2252</v>
      </c>
      <c r="G472" s="2326">
        <f t="shared" si="42"/>
        <v>2167</v>
      </c>
    </row>
    <row r="473" spans="1:7" ht="15.75">
      <c r="A473" s="2486">
        <f t="shared" si="43"/>
        <v>20475</v>
      </c>
      <c r="B473" s="2325">
        <v>20450</v>
      </c>
      <c r="C473" s="2325">
        <v>20500</v>
      </c>
      <c r="D473" s="2326">
        <f t="shared" si="39"/>
        <v>2258</v>
      </c>
      <c r="E473" s="2326">
        <f t="shared" si="40"/>
        <v>2059</v>
      </c>
      <c r="F473" s="2326">
        <f t="shared" si="41"/>
        <v>2258</v>
      </c>
      <c r="G473" s="2326">
        <f t="shared" si="42"/>
        <v>2173</v>
      </c>
    </row>
    <row r="474" spans="1:7" ht="15.75">
      <c r="A474" s="2486">
        <f t="shared" si="43"/>
        <v>20525</v>
      </c>
      <c r="B474" s="2325">
        <v>20500</v>
      </c>
      <c r="C474" s="2325">
        <v>20550</v>
      </c>
      <c r="D474" s="2326">
        <f t="shared" si="39"/>
        <v>2264</v>
      </c>
      <c r="E474" s="2326">
        <f t="shared" si="40"/>
        <v>2065</v>
      </c>
      <c r="F474" s="2326">
        <f t="shared" si="41"/>
        <v>2264</v>
      </c>
      <c r="G474" s="2326">
        <f t="shared" si="42"/>
        <v>2179</v>
      </c>
    </row>
    <row r="475" spans="1:7" ht="15.75">
      <c r="A475" s="2486">
        <f t="shared" si="43"/>
        <v>20575</v>
      </c>
      <c r="B475" s="2325">
        <v>20550</v>
      </c>
      <c r="C475" s="2325">
        <v>20600</v>
      </c>
      <c r="D475" s="2326">
        <f t="shared" si="39"/>
        <v>2270</v>
      </c>
      <c r="E475" s="2326">
        <f t="shared" si="40"/>
        <v>2071</v>
      </c>
      <c r="F475" s="2326">
        <f t="shared" si="41"/>
        <v>2270</v>
      </c>
      <c r="G475" s="2326">
        <f t="shared" si="42"/>
        <v>2185</v>
      </c>
    </row>
    <row r="476" spans="1:7" ht="15.75">
      <c r="A476" s="2486">
        <f t="shared" si="43"/>
        <v>20625</v>
      </c>
      <c r="B476" s="2325">
        <v>20600</v>
      </c>
      <c r="C476" s="2325">
        <v>20650</v>
      </c>
      <c r="D476" s="2326">
        <f t="shared" si="39"/>
        <v>2276</v>
      </c>
      <c r="E476" s="2326">
        <f t="shared" si="40"/>
        <v>2077</v>
      </c>
      <c r="F476" s="2326">
        <f t="shared" si="41"/>
        <v>2276</v>
      </c>
      <c r="G476" s="2326">
        <f t="shared" si="42"/>
        <v>2191</v>
      </c>
    </row>
    <row r="477" spans="1:7" ht="15.75">
      <c r="A477" s="2486">
        <f t="shared" si="43"/>
        <v>20675</v>
      </c>
      <c r="B477" s="2325">
        <v>20650</v>
      </c>
      <c r="C477" s="2325">
        <v>20700</v>
      </c>
      <c r="D477" s="2326">
        <f t="shared" si="39"/>
        <v>2282</v>
      </c>
      <c r="E477" s="2326">
        <f t="shared" si="40"/>
        <v>2083</v>
      </c>
      <c r="F477" s="2326">
        <f t="shared" si="41"/>
        <v>2282</v>
      </c>
      <c r="G477" s="2326">
        <f t="shared" si="42"/>
        <v>2197</v>
      </c>
    </row>
    <row r="478" spans="1:7" ht="15.75">
      <c r="A478" s="2486">
        <f t="shared" si="43"/>
        <v>20725</v>
      </c>
      <c r="B478" s="2325">
        <v>20700</v>
      </c>
      <c r="C478" s="2325">
        <v>20750</v>
      </c>
      <c r="D478" s="2326">
        <f t="shared" si="39"/>
        <v>2288</v>
      </c>
      <c r="E478" s="2326">
        <f t="shared" si="40"/>
        <v>2089</v>
      </c>
      <c r="F478" s="2326">
        <f t="shared" si="41"/>
        <v>2288</v>
      </c>
      <c r="G478" s="2326">
        <f t="shared" si="42"/>
        <v>2203</v>
      </c>
    </row>
    <row r="479" spans="1:7" ht="15.75">
      <c r="A479" s="2486">
        <f t="shared" si="43"/>
        <v>20775</v>
      </c>
      <c r="B479" s="2325">
        <v>20750</v>
      </c>
      <c r="C479" s="2325">
        <v>20800</v>
      </c>
      <c r="D479" s="2326">
        <f t="shared" si="39"/>
        <v>2294</v>
      </c>
      <c r="E479" s="2326">
        <f t="shared" si="40"/>
        <v>2095</v>
      </c>
      <c r="F479" s="2326">
        <f t="shared" si="41"/>
        <v>2294</v>
      </c>
      <c r="G479" s="2326">
        <f t="shared" si="42"/>
        <v>2209</v>
      </c>
    </row>
    <row r="480" spans="1:7" ht="15.75">
      <c r="A480" s="2486">
        <f t="shared" si="43"/>
        <v>20825</v>
      </c>
      <c r="B480" s="2325">
        <v>20800</v>
      </c>
      <c r="C480" s="2325">
        <v>20850</v>
      </c>
      <c r="D480" s="2326">
        <f t="shared" si="39"/>
        <v>2300</v>
      </c>
      <c r="E480" s="2326">
        <f t="shared" si="40"/>
        <v>2101</v>
      </c>
      <c r="F480" s="2326">
        <f t="shared" si="41"/>
        <v>2300</v>
      </c>
      <c r="G480" s="2326">
        <f t="shared" si="42"/>
        <v>2215</v>
      </c>
    </row>
    <row r="481" spans="1:7" ht="15.75">
      <c r="A481" s="2486">
        <f t="shared" si="43"/>
        <v>20875</v>
      </c>
      <c r="B481" s="2325">
        <v>20850</v>
      </c>
      <c r="C481" s="2325">
        <v>20900</v>
      </c>
      <c r="D481" s="2326">
        <f t="shared" si="39"/>
        <v>2306</v>
      </c>
      <c r="E481" s="2326">
        <f t="shared" si="40"/>
        <v>2107</v>
      </c>
      <c r="F481" s="2326">
        <f t="shared" si="41"/>
        <v>2306</v>
      </c>
      <c r="G481" s="2326">
        <f t="shared" si="42"/>
        <v>2221</v>
      </c>
    </row>
    <row r="482" spans="1:7" ht="15.75">
      <c r="A482" s="2486">
        <f t="shared" si="43"/>
        <v>20925</v>
      </c>
      <c r="B482" s="2325">
        <v>20900</v>
      </c>
      <c r="C482" s="2325">
        <v>20950</v>
      </c>
      <c r="D482" s="2326">
        <f t="shared" si="39"/>
        <v>2312</v>
      </c>
      <c r="E482" s="2326">
        <f t="shared" si="40"/>
        <v>2113</v>
      </c>
      <c r="F482" s="2326">
        <f t="shared" si="41"/>
        <v>2312</v>
      </c>
      <c r="G482" s="2326">
        <f t="shared" si="42"/>
        <v>2227</v>
      </c>
    </row>
    <row r="483" spans="1:7" ht="15.75">
      <c r="A483" s="2486">
        <f t="shared" si="43"/>
        <v>20975</v>
      </c>
      <c r="B483" s="2325">
        <v>20950</v>
      </c>
      <c r="C483" s="2325">
        <v>21000</v>
      </c>
      <c r="D483" s="2326">
        <f t="shared" si="39"/>
        <v>2318</v>
      </c>
      <c r="E483" s="2326">
        <f t="shared" si="40"/>
        <v>2119</v>
      </c>
      <c r="F483" s="2326">
        <f t="shared" si="41"/>
        <v>2318</v>
      </c>
      <c r="G483" s="2326">
        <f t="shared" si="42"/>
        <v>2233</v>
      </c>
    </row>
    <row r="484" spans="1:7" ht="15.75">
      <c r="A484" s="2486">
        <f t="shared" si="43"/>
        <v>21025</v>
      </c>
      <c r="B484" s="2325">
        <v>21000</v>
      </c>
      <c r="C484" s="2325">
        <v>21050</v>
      </c>
      <c r="D484" s="2326">
        <f t="shared" si="39"/>
        <v>2324</v>
      </c>
      <c r="E484" s="2326">
        <f t="shared" si="40"/>
        <v>2125</v>
      </c>
      <c r="F484" s="2326">
        <f t="shared" si="41"/>
        <v>2324</v>
      </c>
      <c r="G484" s="2326">
        <f t="shared" si="42"/>
        <v>2239</v>
      </c>
    </row>
    <row r="485" spans="1:7" ht="15.75">
      <c r="A485" s="2486">
        <f t="shared" si="43"/>
        <v>21075</v>
      </c>
      <c r="B485" s="2325">
        <v>21050</v>
      </c>
      <c r="C485" s="2325">
        <v>21100</v>
      </c>
      <c r="D485" s="2326">
        <f t="shared" si="39"/>
        <v>2330</v>
      </c>
      <c r="E485" s="2326">
        <f t="shared" si="40"/>
        <v>2131</v>
      </c>
      <c r="F485" s="2326">
        <f t="shared" si="41"/>
        <v>2330</v>
      </c>
      <c r="G485" s="2326">
        <f t="shared" si="42"/>
        <v>2245</v>
      </c>
    </row>
    <row r="486" spans="1:7" ht="15.75">
      <c r="A486" s="2486">
        <f t="shared" si="43"/>
        <v>21125</v>
      </c>
      <c r="B486" s="2325">
        <v>21100</v>
      </c>
      <c r="C486" s="2325">
        <v>21150</v>
      </c>
      <c r="D486" s="2326">
        <f t="shared" si="39"/>
        <v>2336</v>
      </c>
      <c r="E486" s="2326">
        <f t="shared" si="40"/>
        <v>2137</v>
      </c>
      <c r="F486" s="2326">
        <f t="shared" si="41"/>
        <v>2336</v>
      </c>
      <c r="G486" s="2326">
        <f t="shared" si="42"/>
        <v>2251</v>
      </c>
    </row>
    <row r="487" spans="1:7" ht="15.75">
      <c r="A487" s="2486">
        <f t="shared" si="43"/>
        <v>21175</v>
      </c>
      <c r="B487" s="2325">
        <v>21150</v>
      </c>
      <c r="C487" s="2325">
        <v>21200</v>
      </c>
      <c r="D487" s="2326">
        <f t="shared" si="39"/>
        <v>2342</v>
      </c>
      <c r="E487" s="2326">
        <f t="shared" si="40"/>
        <v>2143</v>
      </c>
      <c r="F487" s="2326">
        <f t="shared" si="41"/>
        <v>2342</v>
      </c>
      <c r="G487" s="2326">
        <f t="shared" si="42"/>
        <v>2257</v>
      </c>
    </row>
    <row r="488" spans="1:7" ht="15.75">
      <c r="A488" s="2486">
        <f t="shared" si="43"/>
        <v>21225</v>
      </c>
      <c r="B488" s="2325">
        <v>21200</v>
      </c>
      <c r="C488" s="2325">
        <v>21250</v>
      </c>
      <c r="D488" s="2326">
        <f t="shared" si="39"/>
        <v>2348</v>
      </c>
      <c r="E488" s="2326">
        <f t="shared" si="40"/>
        <v>2149</v>
      </c>
      <c r="F488" s="2326">
        <f t="shared" si="41"/>
        <v>2348</v>
      </c>
      <c r="G488" s="2326">
        <f t="shared" si="42"/>
        <v>2263</v>
      </c>
    </row>
    <row r="489" spans="1:7" ht="15.75">
      <c r="A489" s="2486">
        <f t="shared" si="43"/>
        <v>21275</v>
      </c>
      <c r="B489" s="2325">
        <v>21250</v>
      </c>
      <c r="C489" s="2325">
        <v>21300</v>
      </c>
      <c r="D489" s="2326">
        <f t="shared" si="39"/>
        <v>2354</v>
      </c>
      <c r="E489" s="2326">
        <f t="shared" si="40"/>
        <v>2155</v>
      </c>
      <c r="F489" s="2326">
        <f t="shared" si="41"/>
        <v>2354</v>
      </c>
      <c r="G489" s="2326">
        <f t="shared" si="42"/>
        <v>2269</v>
      </c>
    </row>
    <row r="490" spans="1:7" ht="15.75">
      <c r="A490" s="2486">
        <f t="shared" si="43"/>
        <v>21325</v>
      </c>
      <c r="B490" s="2325">
        <v>21300</v>
      </c>
      <c r="C490" s="2325">
        <v>21350</v>
      </c>
      <c r="D490" s="2326">
        <f t="shared" si="39"/>
        <v>2360</v>
      </c>
      <c r="E490" s="2326">
        <f t="shared" si="40"/>
        <v>2161</v>
      </c>
      <c r="F490" s="2326">
        <f t="shared" si="41"/>
        <v>2360</v>
      </c>
      <c r="G490" s="2326">
        <f t="shared" si="42"/>
        <v>2275</v>
      </c>
    </row>
    <row r="491" spans="1:7" ht="15.75">
      <c r="A491" s="2486">
        <f t="shared" si="43"/>
        <v>21375</v>
      </c>
      <c r="B491" s="2325">
        <v>21350</v>
      </c>
      <c r="C491" s="2325">
        <v>21400</v>
      </c>
      <c r="D491" s="2326">
        <f t="shared" si="39"/>
        <v>2366</v>
      </c>
      <c r="E491" s="2326">
        <f t="shared" si="40"/>
        <v>2167</v>
      </c>
      <c r="F491" s="2326">
        <f t="shared" si="41"/>
        <v>2366</v>
      </c>
      <c r="G491" s="2326">
        <f t="shared" si="42"/>
        <v>2281</v>
      </c>
    </row>
    <row r="492" spans="1:7" ht="15.75">
      <c r="A492" s="2486">
        <f t="shared" si="43"/>
        <v>21425</v>
      </c>
      <c r="B492" s="2325">
        <v>21400</v>
      </c>
      <c r="C492" s="2325">
        <v>21450</v>
      </c>
      <c r="D492" s="2326">
        <f t="shared" si="39"/>
        <v>2372</v>
      </c>
      <c r="E492" s="2326">
        <f t="shared" si="40"/>
        <v>2173</v>
      </c>
      <c r="F492" s="2326">
        <f t="shared" si="41"/>
        <v>2372</v>
      </c>
      <c r="G492" s="2326">
        <f t="shared" si="42"/>
        <v>2287</v>
      </c>
    </row>
    <row r="493" spans="1:7" ht="15.75">
      <c r="A493" s="2486">
        <f t="shared" si="43"/>
        <v>21475</v>
      </c>
      <c r="B493" s="2325">
        <v>21450</v>
      </c>
      <c r="C493" s="2325">
        <v>21500</v>
      </c>
      <c r="D493" s="2326">
        <f t="shared" si="39"/>
        <v>2378</v>
      </c>
      <c r="E493" s="2326">
        <f t="shared" si="40"/>
        <v>2179</v>
      </c>
      <c r="F493" s="2326">
        <f t="shared" si="41"/>
        <v>2378</v>
      </c>
      <c r="G493" s="2326">
        <f t="shared" si="42"/>
        <v>2293</v>
      </c>
    </row>
    <row r="494" spans="1:7" ht="15.75">
      <c r="A494" s="2486">
        <f t="shared" si="43"/>
        <v>21525</v>
      </c>
      <c r="B494" s="2325">
        <v>21500</v>
      </c>
      <c r="C494" s="2325">
        <v>21550</v>
      </c>
      <c r="D494" s="2326">
        <f t="shared" si="39"/>
        <v>2384</v>
      </c>
      <c r="E494" s="2326">
        <f t="shared" si="40"/>
        <v>2185</v>
      </c>
      <c r="F494" s="2326">
        <f t="shared" si="41"/>
        <v>2384</v>
      </c>
      <c r="G494" s="2326">
        <f t="shared" si="42"/>
        <v>2299</v>
      </c>
    </row>
    <row r="495" spans="1:7" ht="15.75">
      <c r="A495" s="2486">
        <f t="shared" si="43"/>
        <v>21575</v>
      </c>
      <c r="B495" s="2325">
        <v>21550</v>
      </c>
      <c r="C495" s="2325">
        <v>21600</v>
      </c>
      <c r="D495" s="2326">
        <f t="shared" si="39"/>
        <v>2390</v>
      </c>
      <c r="E495" s="2326">
        <f t="shared" si="40"/>
        <v>2191</v>
      </c>
      <c r="F495" s="2326">
        <f t="shared" si="41"/>
        <v>2390</v>
      </c>
      <c r="G495" s="2326">
        <f t="shared" si="42"/>
        <v>2305</v>
      </c>
    </row>
    <row r="496" spans="1:7" ht="15.75">
      <c r="A496" s="2486">
        <f t="shared" si="43"/>
        <v>21625</v>
      </c>
      <c r="B496" s="2325">
        <v>21600</v>
      </c>
      <c r="C496" s="2325">
        <v>21650</v>
      </c>
      <c r="D496" s="2326">
        <f t="shared" si="39"/>
        <v>2396</v>
      </c>
      <c r="E496" s="2326">
        <f t="shared" si="40"/>
        <v>2197</v>
      </c>
      <c r="F496" s="2326">
        <f t="shared" si="41"/>
        <v>2396</v>
      </c>
      <c r="G496" s="2326">
        <f t="shared" si="42"/>
        <v>2311</v>
      </c>
    </row>
    <row r="497" spans="1:7" ht="15.75">
      <c r="A497" s="2486">
        <f t="shared" si="43"/>
        <v>21675</v>
      </c>
      <c r="B497" s="2325">
        <v>21650</v>
      </c>
      <c r="C497" s="2325">
        <v>21700</v>
      </c>
      <c r="D497" s="2326">
        <f t="shared" si="39"/>
        <v>2402</v>
      </c>
      <c r="E497" s="2326">
        <f t="shared" si="40"/>
        <v>2203</v>
      </c>
      <c r="F497" s="2326">
        <f t="shared" si="41"/>
        <v>2402</v>
      </c>
      <c r="G497" s="2326">
        <f t="shared" si="42"/>
        <v>2317</v>
      </c>
    </row>
    <row r="498" spans="1:7" ht="15.75">
      <c r="A498" s="2486">
        <f t="shared" si="43"/>
        <v>21725</v>
      </c>
      <c r="B498" s="2325">
        <v>21700</v>
      </c>
      <c r="C498" s="2325">
        <v>21750</v>
      </c>
      <c r="D498" s="2326">
        <f t="shared" si="39"/>
        <v>2408</v>
      </c>
      <c r="E498" s="2326">
        <f t="shared" si="40"/>
        <v>2209</v>
      </c>
      <c r="F498" s="2326">
        <f t="shared" si="41"/>
        <v>2408</v>
      </c>
      <c r="G498" s="2326">
        <f t="shared" si="42"/>
        <v>2323</v>
      </c>
    </row>
    <row r="499" spans="1:7" ht="15.75">
      <c r="A499" s="2486">
        <f t="shared" si="43"/>
        <v>21775</v>
      </c>
      <c r="B499" s="2325">
        <v>21750</v>
      </c>
      <c r="C499" s="2325">
        <v>21800</v>
      </c>
      <c r="D499" s="2326">
        <f t="shared" si="39"/>
        <v>2414</v>
      </c>
      <c r="E499" s="2326">
        <f t="shared" si="40"/>
        <v>2215</v>
      </c>
      <c r="F499" s="2326">
        <f t="shared" si="41"/>
        <v>2414</v>
      </c>
      <c r="G499" s="2326">
        <f t="shared" si="42"/>
        <v>2329</v>
      </c>
    </row>
    <row r="500" spans="1:7" ht="15.75">
      <c r="A500" s="2486">
        <f t="shared" si="43"/>
        <v>21825</v>
      </c>
      <c r="B500" s="2325">
        <v>21800</v>
      </c>
      <c r="C500" s="2325">
        <v>21850</v>
      </c>
      <c r="D500" s="2326">
        <f t="shared" si="39"/>
        <v>2420</v>
      </c>
      <c r="E500" s="2326">
        <f t="shared" si="40"/>
        <v>2221</v>
      </c>
      <c r="F500" s="2326">
        <f t="shared" si="41"/>
        <v>2420</v>
      </c>
      <c r="G500" s="2326">
        <f t="shared" si="42"/>
        <v>2335</v>
      </c>
    </row>
    <row r="501" spans="1:7" ht="15.75">
      <c r="A501" s="2486">
        <f t="shared" si="43"/>
        <v>21875</v>
      </c>
      <c r="B501" s="2325">
        <v>21850</v>
      </c>
      <c r="C501" s="2325">
        <v>21900</v>
      </c>
      <c r="D501" s="2326">
        <f t="shared" si="39"/>
        <v>2426</v>
      </c>
      <c r="E501" s="2326">
        <f t="shared" si="40"/>
        <v>2227</v>
      </c>
      <c r="F501" s="2326">
        <f t="shared" si="41"/>
        <v>2426</v>
      </c>
      <c r="G501" s="2326">
        <f t="shared" si="42"/>
        <v>2341</v>
      </c>
    </row>
    <row r="502" spans="1:7" ht="15.75">
      <c r="A502" s="2486">
        <f t="shared" si="43"/>
        <v>21925</v>
      </c>
      <c r="B502" s="2325">
        <v>21900</v>
      </c>
      <c r="C502" s="2325">
        <v>21950</v>
      </c>
      <c r="D502" s="2326">
        <f t="shared" si="39"/>
        <v>2432</v>
      </c>
      <c r="E502" s="2326">
        <f t="shared" si="40"/>
        <v>2233</v>
      </c>
      <c r="F502" s="2326">
        <f t="shared" si="41"/>
        <v>2432</v>
      </c>
      <c r="G502" s="2326">
        <f t="shared" si="42"/>
        <v>2347</v>
      </c>
    </row>
    <row r="503" spans="1:7" ht="15.75">
      <c r="A503" s="2486">
        <f t="shared" si="43"/>
        <v>21975</v>
      </c>
      <c r="B503" s="2325">
        <v>21950</v>
      </c>
      <c r="C503" s="2325">
        <v>22000</v>
      </c>
      <c r="D503" s="2326">
        <f t="shared" si="39"/>
        <v>2438</v>
      </c>
      <c r="E503" s="2326">
        <f t="shared" si="40"/>
        <v>2239</v>
      </c>
      <c r="F503" s="2326">
        <f t="shared" si="41"/>
        <v>2438</v>
      </c>
      <c r="G503" s="2326">
        <f t="shared" si="42"/>
        <v>2353</v>
      </c>
    </row>
    <row r="504" spans="1:7" ht="15.75">
      <c r="A504" s="2486">
        <f t="shared" si="43"/>
        <v>22025</v>
      </c>
      <c r="B504" s="2325">
        <v>22000</v>
      </c>
      <c r="C504" s="2325">
        <v>22050</v>
      </c>
      <c r="D504" s="2326">
        <f t="shared" si="39"/>
        <v>2444</v>
      </c>
      <c r="E504" s="2326">
        <f t="shared" si="40"/>
        <v>2245</v>
      </c>
      <c r="F504" s="2326">
        <f t="shared" si="41"/>
        <v>2444</v>
      </c>
      <c r="G504" s="2326">
        <f t="shared" si="42"/>
        <v>2359</v>
      </c>
    </row>
    <row r="505" spans="1:7" ht="15.75">
      <c r="A505" s="2486">
        <f t="shared" si="43"/>
        <v>22075</v>
      </c>
      <c r="B505" s="2325">
        <v>22050</v>
      </c>
      <c r="C505" s="2325">
        <v>22100</v>
      </c>
      <c r="D505" s="2326">
        <f t="shared" si="39"/>
        <v>2450</v>
      </c>
      <c r="E505" s="2326">
        <f t="shared" si="40"/>
        <v>2251</v>
      </c>
      <c r="F505" s="2326">
        <f t="shared" si="41"/>
        <v>2450</v>
      </c>
      <c r="G505" s="2326">
        <f t="shared" si="42"/>
        <v>2365</v>
      </c>
    </row>
    <row r="506" spans="1:7" ht="15.75">
      <c r="A506" s="2486">
        <f t="shared" si="43"/>
        <v>22125</v>
      </c>
      <c r="B506" s="2325">
        <v>22100</v>
      </c>
      <c r="C506" s="2325">
        <v>22150</v>
      </c>
      <c r="D506" s="2326">
        <f t="shared" si="39"/>
        <v>2456</v>
      </c>
      <c r="E506" s="2326">
        <f t="shared" si="40"/>
        <v>2257</v>
      </c>
      <c r="F506" s="2326">
        <f t="shared" si="41"/>
        <v>2456</v>
      </c>
      <c r="G506" s="2326">
        <f t="shared" si="42"/>
        <v>2371</v>
      </c>
    </row>
    <row r="507" spans="1:7" ht="15.75">
      <c r="A507" s="2486">
        <f t="shared" si="43"/>
        <v>22175</v>
      </c>
      <c r="B507" s="2325">
        <v>22150</v>
      </c>
      <c r="C507" s="2325">
        <v>22200</v>
      </c>
      <c r="D507" s="2326">
        <f t="shared" si="39"/>
        <v>2462</v>
      </c>
      <c r="E507" s="2326">
        <f t="shared" si="40"/>
        <v>2263</v>
      </c>
      <c r="F507" s="2326">
        <f t="shared" si="41"/>
        <v>2462</v>
      </c>
      <c r="G507" s="2326">
        <f t="shared" si="42"/>
        <v>2377</v>
      </c>
    </row>
    <row r="508" spans="1:7" ht="15.75">
      <c r="A508" s="2486">
        <f t="shared" si="43"/>
        <v>22225</v>
      </c>
      <c r="B508" s="2325">
        <v>22200</v>
      </c>
      <c r="C508" s="2325">
        <v>22250</v>
      </c>
      <c r="D508" s="2326">
        <f t="shared" si="39"/>
        <v>2468</v>
      </c>
      <c r="E508" s="2326">
        <f t="shared" si="40"/>
        <v>2269</v>
      </c>
      <c r="F508" s="2326">
        <f t="shared" si="41"/>
        <v>2468</v>
      </c>
      <c r="G508" s="2326">
        <f t="shared" si="42"/>
        <v>2383</v>
      </c>
    </row>
    <row r="509" spans="1:7" ht="15.75">
      <c r="A509" s="2486">
        <f t="shared" si="43"/>
        <v>22275</v>
      </c>
      <c r="B509" s="2325">
        <v>22250</v>
      </c>
      <c r="C509" s="2325">
        <v>22300</v>
      </c>
      <c r="D509" s="2326">
        <f t="shared" si="39"/>
        <v>2474</v>
      </c>
      <c r="E509" s="2326">
        <f t="shared" si="40"/>
        <v>2275</v>
      </c>
      <c r="F509" s="2326">
        <f t="shared" si="41"/>
        <v>2474</v>
      </c>
      <c r="G509" s="2326">
        <f t="shared" si="42"/>
        <v>2389</v>
      </c>
    </row>
    <row r="510" spans="1:7" ht="15.75">
      <c r="A510" s="2486">
        <f t="shared" si="43"/>
        <v>22325</v>
      </c>
      <c r="B510" s="2325">
        <v>22300</v>
      </c>
      <c r="C510" s="2325">
        <v>22350</v>
      </c>
      <c r="D510" s="2326">
        <f t="shared" si="39"/>
        <v>2480</v>
      </c>
      <c r="E510" s="2326">
        <f t="shared" si="40"/>
        <v>2281</v>
      </c>
      <c r="F510" s="2326">
        <f t="shared" si="41"/>
        <v>2480</v>
      </c>
      <c r="G510" s="2326">
        <f t="shared" si="42"/>
        <v>2395</v>
      </c>
    </row>
    <row r="511" spans="1:7" ht="15.75">
      <c r="A511" s="2486">
        <f t="shared" si="43"/>
        <v>22375</v>
      </c>
      <c r="B511" s="2325">
        <v>22350</v>
      </c>
      <c r="C511" s="2325">
        <v>22400</v>
      </c>
      <c r="D511" s="2326">
        <f t="shared" si="39"/>
        <v>2486</v>
      </c>
      <c r="E511" s="2326">
        <f t="shared" si="40"/>
        <v>2287</v>
      </c>
      <c r="F511" s="2326">
        <f t="shared" si="41"/>
        <v>2486</v>
      </c>
      <c r="G511" s="2326">
        <f t="shared" si="42"/>
        <v>2401</v>
      </c>
    </row>
    <row r="512" spans="1:7" ht="15.75">
      <c r="A512" s="2486">
        <f t="shared" si="43"/>
        <v>22425</v>
      </c>
      <c r="B512" s="2325">
        <v>22400</v>
      </c>
      <c r="C512" s="2325">
        <v>22450</v>
      </c>
      <c r="D512" s="2326">
        <f t="shared" si="39"/>
        <v>2492</v>
      </c>
      <c r="E512" s="2326">
        <f t="shared" si="40"/>
        <v>2293</v>
      </c>
      <c r="F512" s="2326">
        <f t="shared" si="41"/>
        <v>2492</v>
      </c>
      <c r="G512" s="2326">
        <f t="shared" si="42"/>
        <v>2407</v>
      </c>
    </row>
    <row r="513" spans="1:7" ht="15.75">
      <c r="A513" s="2486">
        <f t="shared" si="43"/>
        <v>22475</v>
      </c>
      <c r="B513" s="2325">
        <v>22450</v>
      </c>
      <c r="C513" s="2325">
        <v>22500</v>
      </c>
      <c r="D513" s="2326">
        <f t="shared" si="39"/>
        <v>2498</v>
      </c>
      <c r="E513" s="2326">
        <f t="shared" si="40"/>
        <v>2299</v>
      </c>
      <c r="F513" s="2326">
        <f t="shared" si="41"/>
        <v>2498</v>
      </c>
      <c r="G513" s="2326">
        <f t="shared" si="42"/>
        <v>2413</v>
      </c>
    </row>
    <row r="514" spans="1:7" ht="15.75">
      <c r="A514" s="2486">
        <f t="shared" si="43"/>
        <v>22525</v>
      </c>
      <c r="B514" s="2325">
        <v>22500</v>
      </c>
      <c r="C514" s="2325">
        <v>22550</v>
      </c>
      <c r="D514" s="2326">
        <f t="shared" ref="D514:D577" si="44">IF($A514&gt;BOTT_A4,ROUND(BASE_A4+RATE_A4*($A514-BOTT_A4),0),IF($A514&gt;BOTT_A3,ROUND(BASE_A3+RATE_A3*($A514-BOTT_A3),0),IF($A514&gt;BOTT_A2,ROUND(BASE_A2+RATE_A2*($A514-BOTT_A2),0),ROUND(RATE_A1*$A514,0))))</f>
        <v>2504</v>
      </c>
      <c r="E514" s="2326">
        <f t="shared" ref="E514:E577" si="45">IF($A514&gt;BOTT_B4,ROUND(BASE_B4+RATE_B4*($A514-BOTT_B4),0),IF($A514&gt;BOTT_B3,ROUND(BASE_B3+RATE_B3*($A514-BOTT_B3),0),IF($A514&gt;BOTT_B2,ROUND(BASE_B2+RATE_B2*($A514-BOTT_B2),0),ROUND(RATE_B1*$A514,0))))</f>
        <v>2305</v>
      </c>
      <c r="F514" s="2326">
        <f t="shared" ref="F514:F577" si="46">IF($A514&gt;BOTT_C4,ROUND(BASE_C4+RATE_C4*($A514-BOTT_C4),0),IF($A514&gt;BOTT_C3,ROUND(BASE_C3+RATE_C3*($A514-BOTT_C3),0),IF($A514&gt;BOTT_C2,ROUND(BASE_C2+RATE_C2*($A514-BOTT_C2),0),ROUND(RATE_C1*$A514,0))))</f>
        <v>2504</v>
      </c>
      <c r="G514" s="2326">
        <f t="shared" ref="G514:G577" si="47">IF($A514&gt;BOTT_D4,ROUND(BASE_D4+RATE_D4*($A514-BOTT_D4),0),IF($A514&gt;BOTT_D3,ROUND(BASE_D3+RATE_D3*($A514-BOTT_D3),0),IF($A514&gt;BOTT_D2,ROUND(BASE_D2+RATE_D2*($A514-BOTT_D2),0),ROUND(RATE_D1*$A514,0))))</f>
        <v>2419</v>
      </c>
    </row>
    <row r="515" spans="1:7" ht="15.75">
      <c r="A515" s="2486">
        <f t="shared" ref="A515:A578" si="48">AVERAGE(B515,C515)</f>
        <v>22575</v>
      </c>
      <c r="B515" s="2325">
        <v>22550</v>
      </c>
      <c r="C515" s="2325">
        <v>22600</v>
      </c>
      <c r="D515" s="2326">
        <f t="shared" si="44"/>
        <v>2510</v>
      </c>
      <c r="E515" s="2326">
        <f t="shared" si="45"/>
        <v>2311</v>
      </c>
      <c r="F515" s="2326">
        <f t="shared" si="46"/>
        <v>2510</v>
      </c>
      <c r="G515" s="2326">
        <f t="shared" si="47"/>
        <v>2425</v>
      </c>
    </row>
    <row r="516" spans="1:7" ht="15.75">
      <c r="A516" s="2486">
        <f t="shared" si="48"/>
        <v>22625</v>
      </c>
      <c r="B516" s="2325">
        <v>22600</v>
      </c>
      <c r="C516" s="2325">
        <v>22650</v>
      </c>
      <c r="D516" s="2326">
        <f t="shared" si="44"/>
        <v>2516</v>
      </c>
      <c r="E516" s="2326">
        <f t="shared" si="45"/>
        <v>2317</v>
      </c>
      <c r="F516" s="2326">
        <f t="shared" si="46"/>
        <v>2516</v>
      </c>
      <c r="G516" s="2326">
        <f t="shared" si="47"/>
        <v>2431</v>
      </c>
    </row>
    <row r="517" spans="1:7" ht="15.75">
      <c r="A517" s="2486">
        <f t="shared" si="48"/>
        <v>22675</v>
      </c>
      <c r="B517" s="2325">
        <v>22650</v>
      </c>
      <c r="C517" s="2325">
        <v>22700</v>
      </c>
      <c r="D517" s="2326">
        <f t="shared" si="44"/>
        <v>2522</v>
      </c>
      <c r="E517" s="2326">
        <f t="shared" si="45"/>
        <v>2323</v>
      </c>
      <c r="F517" s="2326">
        <f t="shared" si="46"/>
        <v>2522</v>
      </c>
      <c r="G517" s="2326">
        <f t="shared" si="47"/>
        <v>2437</v>
      </c>
    </row>
    <row r="518" spans="1:7" ht="15.75">
      <c r="A518" s="2486">
        <f t="shared" si="48"/>
        <v>22725</v>
      </c>
      <c r="B518" s="2325">
        <v>22700</v>
      </c>
      <c r="C518" s="2325">
        <v>22750</v>
      </c>
      <c r="D518" s="2326">
        <f t="shared" si="44"/>
        <v>2528</v>
      </c>
      <c r="E518" s="2326">
        <f t="shared" si="45"/>
        <v>2329</v>
      </c>
      <c r="F518" s="2326">
        <f t="shared" si="46"/>
        <v>2528</v>
      </c>
      <c r="G518" s="2326">
        <f t="shared" si="47"/>
        <v>2443</v>
      </c>
    </row>
    <row r="519" spans="1:7" ht="15.75">
      <c r="A519" s="2486">
        <f t="shared" si="48"/>
        <v>22775</v>
      </c>
      <c r="B519" s="2325">
        <v>22750</v>
      </c>
      <c r="C519" s="2325">
        <v>22800</v>
      </c>
      <c r="D519" s="2326">
        <f t="shared" si="44"/>
        <v>2534</v>
      </c>
      <c r="E519" s="2326">
        <f t="shared" si="45"/>
        <v>2335</v>
      </c>
      <c r="F519" s="2326">
        <f t="shared" si="46"/>
        <v>2534</v>
      </c>
      <c r="G519" s="2326">
        <f t="shared" si="47"/>
        <v>2449</v>
      </c>
    </row>
    <row r="520" spans="1:7" ht="15.75">
      <c r="A520" s="2486">
        <f t="shared" si="48"/>
        <v>22825</v>
      </c>
      <c r="B520" s="2325">
        <v>22800</v>
      </c>
      <c r="C520" s="2325">
        <v>22850</v>
      </c>
      <c r="D520" s="2326">
        <f t="shared" si="44"/>
        <v>2540</v>
      </c>
      <c r="E520" s="2326">
        <f t="shared" si="45"/>
        <v>2341</v>
      </c>
      <c r="F520" s="2326">
        <f t="shared" si="46"/>
        <v>2540</v>
      </c>
      <c r="G520" s="2326">
        <f t="shared" si="47"/>
        <v>2455</v>
      </c>
    </row>
    <row r="521" spans="1:7" ht="15.75">
      <c r="A521" s="2486">
        <f t="shared" si="48"/>
        <v>22875</v>
      </c>
      <c r="B521" s="2325">
        <v>22850</v>
      </c>
      <c r="C521" s="2325">
        <v>22900</v>
      </c>
      <c r="D521" s="2326">
        <f t="shared" si="44"/>
        <v>2546</v>
      </c>
      <c r="E521" s="2326">
        <f t="shared" si="45"/>
        <v>2347</v>
      </c>
      <c r="F521" s="2326">
        <f t="shared" si="46"/>
        <v>2546</v>
      </c>
      <c r="G521" s="2326">
        <f t="shared" si="47"/>
        <v>2461</v>
      </c>
    </row>
    <row r="522" spans="1:7" ht="15.75">
      <c r="A522" s="2486">
        <f t="shared" si="48"/>
        <v>22925</v>
      </c>
      <c r="B522" s="2325">
        <v>22900</v>
      </c>
      <c r="C522" s="2325">
        <v>22950</v>
      </c>
      <c r="D522" s="2326">
        <f t="shared" si="44"/>
        <v>2552</v>
      </c>
      <c r="E522" s="2326">
        <f t="shared" si="45"/>
        <v>2353</v>
      </c>
      <c r="F522" s="2326">
        <f t="shared" si="46"/>
        <v>2552</v>
      </c>
      <c r="G522" s="2326">
        <f t="shared" si="47"/>
        <v>2467</v>
      </c>
    </row>
    <row r="523" spans="1:7" ht="15.75">
      <c r="A523" s="2486">
        <f t="shared" si="48"/>
        <v>22975</v>
      </c>
      <c r="B523" s="2325">
        <v>22950</v>
      </c>
      <c r="C523" s="2325">
        <v>23000</v>
      </c>
      <c r="D523" s="2326">
        <f t="shared" si="44"/>
        <v>2558</v>
      </c>
      <c r="E523" s="2326">
        <f t="shared" si="45"/>
        <v>2359</v>
      </c>
      <c r="F523" s="2326">
        <f t="shared" si="46"/>
        <v>2558</v>
      </c>
      <c r="G523" s="2326">
        <f t="shared" si="47"/>
        <v>2473</v>
      </c>
    </row>
    <row r="524" spans="1:7" ht="15.75">
      <c r="A524" s="2486">
        <f t="shared" si="48"/>
        <v>23025</v>
      </c>
      <c r="B524" s="2325">
        <v>23000</v>
      </c>
      <c r="C524" s="2325">
        <v>23050</v>
      </c>
      <c r="D524" s="2326">
        <f t="shared" si="44"/>
        <v>2564</v>
      </c>
      <c r="E524" s="2326">
        <f t="shared" si="45"/>
        <v>2365</v>
      </c>
      <c r="F524" s="2326">
        <f t="shared" si="46"/>
        <v>2564</v>
      </c>
      <c r="G524" s="2326">
        <f t="shared" si="47"/>
        <v>2479</v>
      </c>
    </row>
    <row r="525" spans="1:7" ht="15.75">
      <c r="A525" s="2486">
        <f t="shared" si="48"/>
        <v>23075</v>
      </c>
      <c r="B525" s="2325">
        <v>23050</v>
      </c>
      <c r="C525" s="2325">
        <v>23100</v>
      </c>
      <c r="D525" s="2326">
        <f t="shared" si="44"/>
        <v>2570</v>
      </c>
      <c r="E525" s="2326">
        <f t="shared" si="45"/>
        <v>2371</v>
      </c>
      <c r="F525" s="2326">
        <f t="shared" si="46"/>
        <v>2570</v>
      </c>
      <c r="G525" s="2326">
        <f t="shared" si="47"/>
        <v>2485</v>
      </c>
    </row>
    <row r="526" spans="1:7" ht="15.75">
      <c r="A526" s="2486">
        <f t="shared" si="48"/>
        <v>23125</v>
      </c>
      <c r="B526" s="2325">
        <v>23100</v>
      </c>
      <c r="C526" s="2325">
        <v>23150</v>
      </c>
      <c r="D526" s="2326">
        <f t="shared" si="44"/>
        <v>2576</v>
      </c>
      <c r="E526" s="2326">
        <f t="shared" si="45"/>
        <v>2377</v>
      </c>
      <c r="F526" s="2326">
        <f t="shared" si="46"/>
        <v>2576</v>
      </c>
      <c r="G526" s="2326">
        <f t="shared" si="47"/>
        <v>2491</v>
      </c>
    </row>
    <row r="527" spans="1:7" ht="15.75">
      <c r="A527" s="2486">
        <f t="shared" si="48"/>
        <v>23175</v>
      </c>
      <c r="B527" s="2325">
        <v>23150</v>
      </c>
      <c r="C527" s="2325">
        <v>23200</v>
      </c>
      <c r="D527" s="2326">
        <f t="shared" si="44"/>
        <v>2582</v>
      </c>
      <c r="E527" s="2326">
        <f t="shared" si="45"/>
        <v>2383</v>
      </c>
      <c r="F527" s="2326">
        <f t="shared" si="46"/>
        <v>2582</v>
      </c>
      <c r="G527" s="2326">
        <f t="shared" si="47"/>
        <v>2497</v>
      </c>
    </row>
    <row r="528" spans="1:7" ht="15.75">
      <c r="A528" s="2486">
        <f t="shared" si="48"/>
        <v>23225</v>
      </c>
      <c r="B528" s="2325">
        <v>23200</v>
      </c>
      <c r="C528" s="2325">
        <v>23250</v>
      </c>
      <c r="D528" s="2326">
        <f t="shared" si="44"/>
        <v>2588</v>
      </c>
      <c r="E528" s="2326">
        <f t="shared" si="45"/>
        <v>2389</v>
      </c>
      <c r="F528" s="2326">
        <f t="shared" si="46"/>
        <v>2588</v>
      </c>
      <c r="G528" s="2326">
        <f t="shared" si="47"/>
        <v>2503</v>
      </c>
    </row>
    <row r="529" spans="1:7" ht="15.75">
      <c r="A529" s="2486">
        <f t="shared" si="48"/>
        <v>23275</v>
      </c>
      <c r="B529" s="2325">
        <v>23250</v>
      </c>
      <c r="C529" s="2325">
        <v>23300</v>
      </c>
      <c r="D529" s="2326">
        <f t="shared" si="44"/>
        <v>2594</v>
      </c>
      <c r="E529" s="2326">
        <f t="shared" si="45"/>
        <v>2395</v>
      </c>
      <c r="F529" s="2326">
        <f t="shared" si="46"/>
        <v>2594</v>
      </c>
      <c r="G529" s="2326">
        <f t="shared" si="47"/>
        <v>2509</v>
      </c>
    </row>
    <row r="530" spans="1:7" ht="15.75">
      <c r="A530" s="2486">
        <f t="shared" si="48"/>
        <v>23325</v>
      </c>
      <c r="B530" s="2325">
        <v>23300</v>
      </c>
      <c r="C530" s="2325">
        <v>23350</v>
      </c>
      <c r="D530" s="2326">
        <f t="shared" si="44"/>
        <v>2600</v>
      </c>
      <c r="E530" s="2326">
        <f t="shared" si="45"/>
        <v>2401</v>
      </c>
      <c r="F530" s="2326">
        <f t="shared" si="46"/>
        <v>2600</v>
      </c>
      <c r="G530" s="2326">
        <f t="shared" si="47"/>
        <v>2515</v>
      </c>
    </row>
    <row r="531" spans="1:7" ht="15.75">
      <c r="A531" s="2486">
        <f t="shared" si="48"/>
        <v>23375</v>
      </c>
      <c r="B531" s="2325">
        <v>23350</v>
      </c>
      <c r="C531" s="2325">
        <v>23400</v>
      </c>
      <c r="D531" s="2326">
        <f t="shared" si="44"/>
        <v>2606</v>
      </c>
      <c r="E531" s="2326">
        <f t="shared" si="45"/>
        <v>2407</v>
      </c>
      <c r="F531" s="2326">
        <f t="shared" si="46"/>
        <v>2606</v>
      </c>
      <c r="G531" s="2326">
        <f t="shared" si="47"/>
        <v>2521</v>
      </c>
    </row>
    <row r="532" spans="1:7" ht="15.75">
      <c r="A532" s="2486">
        <f t="shared" si="48"/>
        <v>23425</v>
      </c>
      <c r="B532" s="2325">
        <v>23400</v>
      </c>
      <c r="C532" s="2325">
        <v>23450</v>
      </c>
      <c r="D532" s="2326">
        <f t="shared" si="44"/>
        <v>2612</v>
      </c>
      <c r="E532" s="2326">
        <f t="shared" si="45"/>
        <v>2413</v>
      </c>
      <c r="F532" s="2326">
        <f t="shared" si="46"/>
        <v>2612</v>
      </c>
      <c r="G532" s="2326">
        <f t="shared" si="47"/>
        <v>2527</v>
      </c>
    </row>
    <row r="533" spans="1:7" ht="15.75">
      <c r="A533" s="2486">
        <f t="shared" si="48"/>
        <v>23475</v>
      </c>
      <c r="B533" s="2325">
        <v>23450</v>
      </c>
      <c r="C533" s="2325">
        <v>23500</v>
      </c>
      <c r="D533" s="2326">
        <f t="shared" si="44"/>
        <v>2618</v>
      </c>
      <c r="E533" s="2326">
        <f t="shared" si="45"/>
        <v>2419</v>
      </c>
      <c r="F533" s="2326">
        <f t="shared" si="46"/>
        <v>2618</v>
      </c>
      <c r="G533" s="2326">
        <f t="shared" si="47"/>
        <v>2533</v>
      </c>
    </row>
    <row r="534" spans="1:7" ht="15.75">
      <c r="A534" s="2486">
        <f t="shared" si="48"/>
        <v>23525</v>
      </c>
      <c r="B534" s="2325">
        <v>23500</v>
      </c>
      <c r="C534" s="2325">
        <v>23550</v>
      </c>
      <c r="D534" s="2326">
        <f t="shared" si="44"/>
        <v>2624</v>
      </c>
      <c r="E534" s="2326">
        <f t="shared" si="45"/>
        <v>2425</v>
      </c>
      <c r="F534" s="2326">
        <f t="shared" si="46"/>
        <v>2624</v>
      </c>
      <c r="G534" s="2326">
        <f t="shared" si="47"/>
        <v>2539</v>
      </c>
    </row>
    <row r="535" spans="1:7" ht="15.75">
      <c r="A535" s="2486">
        <f t="shared" si="48"/>
        <v>23575</v>
      </c>
      <c r="B535" s="2325">
        <v>23550</v>
      </c>
      <c r="C535" s="2325">
        <v>23600</v>
      </c>
      <c r="D535" s="2326">
        <f t="shared" si="44"/>
        <v>2630</v>
      </c>
      <c r="E535" s="2326">
        <f t="shared" si="45"/>
        <v>2431</v>
      </c>
      <c r="F535" s="2326">
        <f t="shared" si="46"/>
        <v>2630</v>
      </c>
      <c r="G535" s="2326">
        <f t="shared" si="47"/>
        <v>2545</v>
      </c>
    </row>
    <row r="536" spans="1:7" ht="15.75">
      <c r="A536" s="2486">
        <f t="shared" si="48"/>
        <v>23625</v>
      </c>
      <c r="B536" s="2325">
        <v>23600</v>
      </c>
      <c r="C536" s="2325">
        <v>23650</v>
      </c>
      <c r="D536" s="2326">
        <f t="shared" si="44"/>
        <v>2636</v>
      </c>
      <c r="E536" s="2326">
        <f t="shared" si="45"/>
        <v>2437</v>
      </c>
      <c r="F536" s="2326">
        <f t="shared" si="46"/>
        <v>2636</v>
      </c>
      <c r="G536" s="2326">
        <f t="shared" si="47"/>
        <v>2551</v>
      </c>
    </row>
    <row r="537" spans="1:7" ht="15.75">
      <c r="A537" s="2486">
        <f t="shared" si="48"/>
        <v>23675</v>
      </c>
      <c r="B537" s="2325">
        <v>23650</v>
      </c>
      <c r="C537" s="2325">
        <v>23700</v>
      </c>
      <c r="D537" s="2326">
        <f t="shared" si="44"/>
        <v>2642</v>
      </c>
      <c r="E537" s="2326">
        <f t="shared" si="45"/>
        <v>2443</v>
      </c>
      <c r="F537" s="2326">
        <f t="shared" si="46"/>
        <v>2642</v>
      </c>
      <c r="G537" s="2326">
        <f t="shared" si="47"/>
        <v>2557</v>
      </c>
    </row>
    <row r="538" spans="1:7" ht="15.75">
      <c r="A538" s="2486">
        <f t="shared" si="48"/>
        <v>23725</v>
      </c>
      <c r="B538" s="2325">
        <v>23700</v>
      </c>
      <c r="C538" s="2325">
        <v>23750</v>
      </c>
      <c r="D538" s="2326">
        <f t="shared" si="44"/>
        <v>2648</v>
      </c>
      <c r="E538" s="2326">
        <f t="shared" si="45"/>
        <v>2449</v>
      </c>
      <c r="F538" s="2326">
        <f t="shared" si="46"/>
        <v>2648</v>
      </c>
      <c r="G538" s="2326">
        <f t="shared" si="47"/>
        <v>2563</v>
      </c>
    </row>
    <row r="539" spans="1:7" ht="15.75">
      <c r="A539" s="2486">
        <f t="shared" si="48"/>
        <v>23775</v>
      </c>
      <c r="B539" s="2325">
        <v>23750</v>
      </c>
      <c r="C539" s="2325">
        <v>23800</v>
      </c>
      <c r="D539" s="2326">
        <f t="shared" si="44"/>
        <v>2654</v>
      </c>
      <c r="E539" s="2326">
        <f t="shared" si="45"/>
        <v>2455</v>
      </c>
      <c r="F539" s="2326">
        <f t="shared" si="46"/>
        <v>2654</v>
      </c>
      <c r="G539" s="2326">
        <f t="shared" si="47"/>
        <v>2569</v>
      </c>
    </row>
    <row r="540" spans="1:7" ht="15.75">
      <c r="A540" s="2486">
        <f t="shared" si="48"/>
        <v>23825</v>
      </c>
      <c r="B540" s="2325">
        <v>23800</v>
      </c>
      <c r="C540" s="2325">
        <v>23850</v>
      </c>
      <c r="D540" s="2326">
        <f t="shared" si="44"/>
        <v>2660</v>
      </c>
      <c r="E540" s="2326">
        <f t="shared" si="45"/>
        <v>2461</v>
      </c>
      <c r="F540" s="2326">
        <f t="shared" si="46"/>
        <v>2660</v>
      </c>
      <c r="G540" s="2326">
        <f t="shared" si="47"/>
        <v>2575</v>
      </c>
    </row>
    <row r="541" spans="1:7" ht="15.75">
      <c r="A541" s="2486">
        <f t="shared" si="48"/>
        <v>23875</v>
      </c>
      <c r="B541" s="2325">
        <v>23850</v>
      </c>
      <c r="C541" s="2325">
        <v>23900</v>
      </c>
      <c r="D541" s="2326">
        <f t="shared" si="44"/>
        <v>2666</v>
      </c>
      <c r="E541" s="2326">
        <f t="shared" si="45"/>
        <v>2467</v>
      </c>
      <c r="F541" s="2326">
        <f t="shared" si="46"/>
        <v>2666</v>
      </c>
      <c r="G541" s="2326">
        <f t="shared" si="47"/>
        <v>2581</v>
      </c>
    </row>
    <row r="542" spans="1:7" ht="15.75">
      <c r="A542" s="2486">
        <f t="shared" si="48"/>
        <v>23925</v>
      </c>
      <c r="B542" s="2325">
        <v>23900</v>
      </c>
      <c r="C542" s="2325">
        <v>23950</v>
      </c>
      <c r="D542" s="2326">
        <f t="shared" si="44"/>
        <v>2672</v>
      </c>
      <c r="E542" s="2326">
        <f t="shared" si="45"/>
        <v>2473</v>
      </c>
      <c r="F542" s="2326">
        <f t="shared" si="46"/>
        <v>2672</v>
      </c>
      <c r="G542" s="2326">
        <f t="shared" si="47"/>
        <v>2587</v>
      </c>
    </row>
    <row r="543" spans="1:7" ht="15.75">
      <c r="A543" s="2486">
        <f t="shared" si="48"/>
        <v>23975</v>
      </c>
      <c r="B543" s="2325">
        <v>23950</v>
      </c>
      <c r="C543" s="2325">
        <v>24000</v>
      </c>
      <c r="D543" s="2326">
        <f t="shared" si="44"/>
        <v>2678</v>
      </c>
      <c r="E543" s="2326">
        <f t="shared" si="45"/>
        <v>2479</v>
      </c>
      <c r="F543" s="2326">
        <f t="shared" si="46"/>
        <v>2678</v>
      </c>
      <c r="G543" s="2326">
        <f t="shared" si="47"/>
        <v>2593</v>
      </c>
    </row>
    <row r="544" spans="1:7" ht="15.75">
      <c r="A544" s="2486">
        <f t="shared" si="48"/>
        <v>24025</v>
      </c>
      <c r="B544" s="2325">
        <v>24000</v>
      </c>
      <c r="C544" s="2325">
        <v>24050</v>
      </c>
      <c r="D544" s="2326">
        <f t="shared" si="44"/>
        <v>2684</v>
      </c>
      <c r="E544" s="2326">
        <f t="shared" si="45"/>
        <v>2485</v>
      </c>
      <c r="F544" s="2326">
        <f t="shared" si="46"/>
        <v>2684</v>
      </c>
      <c r="G544" s="2326">
        <f t="shared" si="47"/>
        <v>2599</v>
      </c>
    </row>
    <row r="545" spans="1:7" ht="15.75">
      <c r="A545" s="2486">
        <f t="shared" si="48"/>
        <v>24075</v>
      </c>
      <c r="B545" s="2325">
        <v>24050</v>
      </c>
      <c r="C545" s="2325">
        <v>24100</v>
      </c>
      <c r="D545" s="2326">
        <f t="shared" si="44"/>
        <v>2690</v>
      </c>
      <c r="E545" s="2326">
        <f t="shared" si="45"/>
        <v>2491</v>
      </c>
      <c r="F545" s="2326">
        <f t="shared" si="46"/>
        <v>2690</v>
      </c>
      <c r="G545" s="2326">
        <f t="shared" si="47"/>
        <v>2605</v>
      </c>
    </row>
    <row r="546" spans="1:7" ht="15.75">
      <c r="A546" s="2486">
        <f t="shared" si="48"/>
        <v>24125</v>
      </c>
      <c r="B546" s="2325">
        <v>24100</v>
      </c>
      <c r="C546" s="2325">
        <v>24150</v>
      </c>
      <c r="D546" s="2326">
        <f t="shared" si="44"/>
        <v>2696</v>
      </c>
      <c r="E546" s="2326">
        <f t="shared" si="45"/>
        <v>2497</v>
      </c>
      <c r="F546" s="2326">
        <f t="shared" si="46"/>
        <v>2696</v>
      </c>
      <c r="G546" s="2326">
        <f t="shared" si="47"/>
        <v>2611</v>
      </c>
    </row>
    <row r="547" spans="1:7" ht="15.75">
      <c r="A547" s="2486">
        <f t="shared" si="48"/>
        <v>24175</v>
      </c>
      <c r="B547" s="2325">
        <v>24150</v>
      </c>
      <c r="C547" s="2325">
        <v>24200</v>
      </c>
      <c r="D547" s="2326">
        <f t="shared" si="44"/>
        <v>2702</v>
      </c>
      <c r="E547" s="2326">
        <f t="shared" si="45"/>
        <v>2503</v>
      </c>
      <c r="F547" s="2326">
        <f t="shared" si="46"/>
        <v>2702</v>
      </c>
      <c r="G547" s="2326">
        <f t="shared" si="47"/>
        <v>2617</v>
      </c>
    </row>
    <row r="548" spans="1:7" ht="15.75">
      <c r="A548" s="2486">
        <f t="shared" si="48"/>
        <v>24225</v>
      </c>
      <c r="B548" s="2325">
        <v>24200</v>
      </c>
      <c r="C548" s="2325">
        <v>24250</v>
      </c>
      <c r="D548" s="2326">
        <f t="shared" si="44"/>
        <v>2708</v>
      </c>
      <c r="E548" s="2326">
        <f t="shared" si="45"/>
        <v>2509</v>
      </c>
      <c r="F548" s="2326">
        <f t="shared" si="46"/>
        <v>2708</v>
      </c>
      <c r="G548" s="2326">
        <f t="shared" si="47"/>
        <v>2623</v>
      </c>
    </row>
    <row r="549" spans="1:7" ht="15.75">
      <c r="A549" s="2486">
        <f t="shared" si="48"/>
        <v>24275</v>
      </c>
      <c r="B549" s="2325">
        <v>24250</v>
      </c>
      <c r="C549" s="2325">
        <v>24300</v>
      </c>
      <c r="D549" s="2326">
        <f t="shared" si="44"/>
        <v>2714</v>
      </c>
      <c r="E549" s="2326">
        <f t="shared" si="45"/>
        <v>2515</v>
      </c>
      <c r="F549" s="2326">
        <f t="shared" si="46"/>
        <v>2714</v>
      </c>
      <c r="G549" s="2326">
        <f t="shared" si="47"/>
        <v>2629</v>
      </c>
    </row>
    <row r="550" spans="1:7" ht="15.75">
      <c r="A550" s="2486">
        <f t="shared" si="48"/>
        <v>24325</v>
      </c>
      <c r="B550" s="2325">
        <v>24300</v>
      </c>
      <c r="C550" s="2325">
        <v>24350</v>
      </c>
      <c r="D550" s="2326">
        <f t="shared" si="44"/>
        <v>2720</v>
      </c>
      <c r="E550" s="2326">
        <f t="shared" si="45"/>
        <v>2521</v>
      </c>
      <c r="F550" s="2326">
        <f t="shared" si="46"/>
        <v>2720</v>
      </c>
      <c r="G550" s="2326">
        <f t="shared" si="47"/>
        <v>2635</v>
      </c>
    </row>
    <row r="551" spans="1:7" ht="15.75">
      <c r="A551" s="2486">
        <f t="shared" si="48"/>
        <v>24375</v>
      </c>
      <c r="B551" s="2325">
        <v>24350</v>
      </c>
      <c r="C551" s="2325">
        <v>24400</v>
      </c>
      <c r="D551" s="2326">
        <f t="shared" si="44"/>
        <v>2726</v>
      </c>
      <c r="E551" s="2326">
        <f t="shared" si="45"/>
        <v>2527</v>
      </c>
      <c r="F551" s="2326">
        <f t="shared" si="46"/>
        <v>2726</v>
      </c>
      <c r="G551" s="2326">
        <f t="shared" si="47"/>
        <v>2641</v>
      </c>
    </row>
    <row r="552" spans="1:7" ht="15.75">
      <c r="A552" s="2486">
        <f t="shared" si="48"/>
        <v>24425</v>
      </c>
      <c r="B552" s="2325">
        <v>24400</v>
      </c>
      <c r="C552" s="2325">
        <v>24450</v>
      </c>
      <c r="D552" s="2326">
        <f t="shared" si="44"/>
        <v>2732</v>
      </c>
      <c r="E552" s="2326">
        <f t="shared" si="45"/>
        <v>2533</v>
      </c>
      <c r="F552" s="2326">
        <f t="shared" si="46"/>
        <v>2732</v>
      </c>
      <c r="G552" s="2326">
        <f t="shared" si="47"/>
        <v>2647</v>
      </c>
    </row>
    <row r="553" spans="1:7" ht="15.75">
      <c r="A553" s="2486">
        <f t="shared" si="48"/>
        <v>24475</v>
      </c>
      <c r="B553" s="2325">
        <v>24450</v>
      </c>
      <c r="C553" s="2325">
        <v>24500</v>
      </c>
      <c r="D553" s="2326">
        <f t="shared" si="44"/>
        <v>2738</v>
      </c>
      <c r="E553" s="2326">
        <f t="shared" si="45"/>
        <v>2539</v>
      </c>
      <c r="F553" s="2326">
        <f t="shared" si="46"/>
        <v>2738</v>
      </c>
      <c r="G553" s="2326">
        <f t="shared" si="47"/>
        <v>2653</v>
      </c>
    </row>
    <row r="554" spans="1:7" ht="15.75">
      <c r="A554" s="2486">
        <f t="shared" si="48"/>
        <v>24525</v>
      </c>
      <c r="B554" s="2325">
        <v>24500</v>
      </c>
      <c r="C554" s="2325">
        <v>24550</v>
      </c>
      <c r="D554" s="2326">
        <f t="shared" si="44"/>
        <v>2744</v>
      </c>
      <c r="E554" s="2326">
        <f t="shared" si="45"/>
        <v>2545</v>
      </c>
      <c r="F554" s="2326">
        <f t="shared" si="46"/>
        <v>2744</v>
      </c>
      <c r="G554" s="2326">
        <f t="shared" si="47"/>
        <v>2659</v>
      </c>
    </row>
    <row r="555" spans="1:7" ht="15.75">
      <c r="A555" s="2486">
        <f t="shared" si="48"/>
        <v>24575</v>
      </c>
      <c r="B555" s="2325">
        <v>24550</v>
      </c>
      <c r="C555" s="2325">
        <v>24600</v>
      </c>
      <c r="D555" s="2326">
        <f t="shared" si="44"/>
        <v>2750</v>
      </c>
      <c r="E555" s="2326">
        <f t="shared" si="45"/>
        <v>2551</v>
      </c>
      <c r="F555" s="2326">
        <f t="shared" si="46"/>
        <v>2750</v>
      </c>
      <c r="G555" s="2326">
        <f t="shared" si="47"/>
        <v>2665</v>
      </c>
    </row>
    <row r="556" spans="1:7" ht="15.75">
      <c r="A556" s="2486">
        <f t="shared" si="48"/>
        <v>24625</v>
      </c>
      <c r="B556" s="2325">
        <v>24600</v>
      </c>
      <c r="C556" s="2325">
        <v>24650</v>
      </c>
      <c r="D556" s="2326">
        <f t="shared" si="44"/>
        <v>2756</v>
      </c>
      <c r="E556" s="2326">
        <f t="shared" si="45"/>
        <v>2557</v>
      </c>
      <c r="F556" s="2326">
        <f t="shared" si="46"/>
        <v>2756</v>
      </c>
      <c r="G556" s="2326">
        <f t="shared" si="47"/>
        <v>2671</v>
      </c>
    </row>
    <row r="557" spans="1:7" ht="15.75">
      <c r="A557" s="2486">
        <f t="shared" si="48"/>
        <v>24675</v>
      </c>
      <c r="B557" s="2325">
        <v>24650</v>
      </c>
      <c r="C557" s="2325">
        <v>24700</v>
      </c>
      <c r="D557" s="2326">
        <f t="shared" si="44"/>
        <v>2762</v>
      </c>
      <c r="E557" s="2326">
        <f t="shared" si="45"/>
        <v>2563</v>
      </c>
      <c r="F557" s="2326">
        <f t="shared" si="46"/>
        <v>2762</v>
      </c>
      <c r="G557" s="2326">
        <f t="shared" si="47"/>
        <v>2677</v>
      </c>
    </row>
    <row r="558" spans="1:7" ht="15.75">
      <c r="A558" s="2486">
        <f t="shared" si="48"/>
        <v>24725</v>
      </c>
      <c r="B558" s="2325">
        <v>24700</v>
      </c>
      <c r="C558" s="2325">
        <v>24750</v>
      </c>
      <c r="D558" s="2326">
        <f t="shared" si="44"/>
        <v>2768</v>
      </c>
      <c r="E558" s="2326">
        <f t="shared" si="45"/>
        <v>2569</v>
      </c>
      <c r="F558" s="2326">
        <f t="shared" si="46"/>
        <v>2768</v>
      </c>
      <c r="G558" s="2326">
        <f t="shared" si="47"/>
        <v>2683</v>
      </c>
    </row>
    <row r="559" spans="1:7" ht="15.75">
      <c r="A559" s="2486">
        <f t="shared" si="48"/>
        <v>24775</v>
      </c>
      <c r="B559" s="2325">
        <v>24750</v>
      </c>
      <c r="C559" s="2325">
        <v>24800</v>
      </c>
      <c r="D559" s="2326">
        <f t="shared" si="44"/>
        <v>2774</v>
      </c>
      <c r="E559" s="2326">
        <f t="shared" si="45"/>
        <v>2575</v>
      </c>
      <c r="F559" s="2326">
        <f t="shared" si="46"/>
        <v>2774</v>
      </c>
      <c r="G559" s="2326">
        <f t="shared" si="47"/>
        <v>2689</v>
      </c>
    </row>
    <row r="560" spans="1:7" ht="15.75">
      <c r="A560" s="2486">
        <f t="shared" si="48"/>
        <v>24825</v>
      </c>
      <c r="B560" s="2325">
        <v>24800</v>
      </c>
      <c r="C560" s="2325">
        <v>24850</v>
      </c>
      <c r="D560" s="2326">
        <f t="shared" si="44"/>
        <v>2780</v>
      </c>
      <c r="E560" s="2326">
        <f t="shared" si="45"/>
        <v>2581</v>
      </c>
      <c r="F560" s="2326">
        <f t="shared" si="46"/>
        <v>2780</v>
      </c>
      <c r="G560" s="2326">
        <f t="shared" si="47"/>
        <v>2695</v>
      </c>
    </row>
    <row r="561" spans="1:7" ht="15.75">
      <c r="A561" s="2486">
        <f t="shared" si="48"/>
        <v>24875</v>
      </c>
      <c r="B561" s="2325">
        <v>24850</v>
      </c>
      <c r="C561" s="2325">
        <v>24900</v>
      </c>
      <c r="D561" s="2326">
        <f t="shared" si="44"/>
        <v>2786</v>
      </c>
      <c r="E561" s="2326">
        <f t="shared" si="45"/>
        <v>2587</v>
      </c>
      <c r="F561" s="2326">
        <f t="shared" si="46"/>
        <v>2786</v>
      </c>
      <c r="G561" s="2326">
        <f t="shared" si="47"/>
        <v>2701</v>
      </c>
    </row>
    <row r="562" spans="1:7" ht="15.75">
      <c r="A562" s="2486">
        <f t="shared" si="48"/>
        <v>24925</v>
      </c>
      <c r="B562" s="2325">
        <v>24900</v>
      </c>
      <c r="C562" s="2325">
        <v>24950</v>
      </c>
      <c r="D562" s="2326">
        <f t="shared" si="44"/>
        <v>2792</v>
      </c>
      <c r="E562" s="2326">
        <f t="shared" si="45"/>
        <v>2593</v>
      </c>
      <c r="F562" s="2326">
        <f t="shared" si="46"/>
        <v>2792</v>
      </c>
      <c r="G562" s="2326">
        <f t="shared" si="47"/>
        <v>2707</v>
      </c>
    </row>
    <row r="563" spans="1:7" ht="15.75">
      <c r="A563" s="2486">
        <f t="shared" si="48"/>
        <v>24975</v>
      </c>
      <c r="B563" s="2325">
        <v>24950</v>
      </c>
      <c r="C563" s="2325">
        <v>25000</v>
      </c>
      <c r="D563" s="2326">
        <f t="shared" si="44"/>
        <v>2798</v>
      </c>
      <c r="E563" s="2326">
        <f t="shared" si="45"/>
        <v>2599</v>
      </c>
      <c r="F563" s="2326">
        <f t="shared" si="46"/>
        <v>2798</v>
      </c>
      <c r="G563" s="2326">
        <f t="shared" si="47"/>
        <v>2713</v>
      </c>
    </row>
    <row r="564" spans="1:7" ht="15.75">
      <c r="A564" s="2486">
        <f t="shared" si="48"/>
        <v>25025</v>
      </c>
      <c r="B564" s="2325">
        <v>25000</v>
      </c>
      <c r="C564" s="2325">
        <v>25050</v>
      </c>
      <c r="D564" s="2326">
        <f t="shared" si="44"/>
        <v>2804</v>
      </c>
      <c r="E564" s="2326">
        <f t="shared" si="45"/>
        <v>2605</v>
      </c>
      <c r="F564" s="2326">
        <f t="shared" si="46"/>
        <v>2804</v>
      </c>
      <c r="G564" s="2326">
        <f t="shared" si="47"/>
        <v>2719</v>
      </c>
    </row>
    <row r="565" spans="1:7" ht="15.75">
      <c r="A565" s="2486">
        <f t="shared" si="48"/>
        <v>25075</v>
      </c>
      <c r="B565" s="2325">
        <v>25050</v>
      </c>
      <c r="C565" s="2325">
        <v>25100</v>
      </c>
      <c r="D565" s="2326">
        <f t="shared" si="44"/>
        <v>2810</v>
      </c>
      <c r="E565" s="2326">
        <f t="shared" si="45"/>
        <v>2611</v>
      </c>
      <c r="F565" s="2326">
        <f t="shared" si="46"/>
        <v>2810</v>
      </c>
      <c r="G565" s="2326">
        <f t="shared" si="47"/>
        <v>2725</v>
      </c>
    </row>
    <row r="566" spans="1:7" ht="15.75">
      <c r="A566" s="2486">
        <f t="shared" si="48"/>
        <v>25125</v>
      </c>
      <c r="B566" s="2325">
        <v>25100</v>
      </c>
      <c r="C566" s="2325">
        <v>25150</v>
      </c>
      <c r="D566" s="2326">
        <f t="shared" si="44"/>
        <v>2816</v>
      </c>
      <c r="E566" s="2326">
        <f t="shared" si="45"/>
        <v>2617</v>
      </c>
      <c r="F566" s="2326">
        <f t="shared" si="46"/>
        <v>2816</v>
      </c>
      <c r="G566" s="2326">
        <f t="shared" si="47"/>
        <v>2731</v>
      </c>
    </row>
    <row r="567" spans="1:7" ht="15.75">
      <c r="A567" s="2486">
        <f t="shared" si="48"/>
        <v>25175</v>
      </c>
      <c r="B567" s="2325">
        <v>25150</v>
      </c>
      <c r="C567" s="2325">
        <v>25200</v>
      </c>
      <c r="D567" s="2326">
        <f t="shared" si="44"/>
        <v>2822</v>
      </c>
      <c r="E567" s="2326">
        <f t="shared" si="45"/>
        <v>2623</v>
      </c>
      <c r="F567" s="2326">
        <f t="shared" si="46"/>
        <v>2822</v>
      </c>
      <c r="G567" s="2326">
        <f t="shared" si="47"/>
        <v>2737</v>
      </c>
    </row>
    <row r="568" spans="1:7" ht="15.75">
      <c r="A568" s="2486">
        <f t="shared" si="48"/>
        <v>25225</v>
      </c>
      <c r="B568" s="2325">
        <v>25200</v>
      </c>
      <c r="C568" s="2325">
        <v>25250</v>
      </c>
      <c r="D568" s="2326">
        <f t="shared" si="44"/>
        <v>2828</v>
      </c>
      <c r="E568" s="2326">
        <f t="shared" si="45"/>
        <v>2629</v>
      </c>
      <c r="F568" s="2326">
        <f t="shared" si="46"/>
        <v>2828</v>
      </c>
      <c r="G568" s="2326">
        <f t="shared" si="47"/>
        <v>2743</v>
      </c>
    </row>
    <row r="569" spans="1:7" ht="15.75">
      <c r="A569" s="2486">
        <f t="shared" si="48"/>
        <v>25275</v>
      </c>
      <c r="B569" s="2325">
        <v>25250</v>
      </c>
      <c r="C569" s="2325">
        <v>25300</v>
      </c>
      <c r="D569" s="2326">
        <f t="shared" si="44"/>
        <v>2834</v>
      </c>
      <c r="E569" s="2326">
        <f t="shared" si="45"/>
        <v>2635</v>
      </c>
      <c r="F569" s="2326">
        <f t="shared" si="46"/>
        <v>2834</v>
      </c>
      <c r="G569" s="2326">
        <f t="shared" si="47"/>
        <v>2749</v>
      </c>
    </row>
    <row r="570" spans="1:7" ht="15.75">
      <c r="A570" s="2486">
        <f t="shared" si="48"/>
        <v>25325</v>
      </c>
      <c r="B570" s="2325">
        <v>25300</v>
      </c>
      <c r="C570" s="2325">
        <v>25350</v>
      </c>
      <c r="D570" s="2326">
        <f t="shared" si="44"/>
        <v>2840</v>
      </c>
      <c r="E570" s="2326">
        <f t="shared" si="45"/>
        <v>2641</v>
      </c>
      <c r="F570" s="2326">
        <f t="shared" si="46"/>
        <v>2840</v>
      </c>
      <c r="G570" s="2326">
        <f t="shared" si="47"/>
        <v>2755</v>
      </c>
    </row>
    <row r="571" spans="1:7" ht="15.75">
      <c r="A571" s="2486">
        <f t="shared" si="48"/>
        <v>25375</v>
      </c>
      <c r="B571" s="2325">
        <v>25350</v>
      </c>
      <c r="C571" s="2325">
        <v>25400</v>
      </c>
      <c r="D571" s="2326">
        <f t="shared" si="44"/>
        <v>2846</v>
      </c>
      <c r="E571" s="2326">
        <f t="shared" si="45"/>
        <v>2647</v>
      </c>
      <c r="F571" s="2326">
        <f t="shared" si="46"/>
        <v>2846</v>
      </c>
      <c r="G571" s="2326">
        <f t="shared" si="47"/>
        <v>2761</v>
      </c>
    </row>
    <row r="572" spans="1:7" ht="15.75">
      <c r="A572" s="2486">
        <f t="shared" si="48"/>
        <v>25425</v>
      </c>
      <c r="B572" s="2325">
        <v>25400</v>
      </c>
      <c r="C572" s="2325">
        <v>25450</v>
      </c>
      <c r="D572" s="2326">
        <f t="shared" si="44"/>
        <v>2852</v>
      </c>
      <c r="E572" s="2326">
        <f t="shared" si="45"/>
        <v>2653</v>
      </c>
      <c r="F572" s="2326">
        <f t="shared" si="46"/>
        <v>2852</v>
      </c>
      <c r="G572" s="2326">
        <f t="shared" si="47"/>
        <v>2767</v>
      </c>
    </row>
    <row r="573" spans="1:7" ht="15.75">
      <c r="A573" s="2486">
        <f t="shared" si="48"/>
        <v>25475</v>
      </c>
      <c r="B573" s="2325">
        <v>25450</v>
      </c>
      <c r="C573" s="2325">
        <v>25500</v>
      </c>
      <c r="D573" s="2326">
        <f t="shared" si="44"/>
        <v>2858</v>
      </c>
      <c r="E573" s="2326">
        <f t="shared" si="45"/>
        <v>2659</v>
      </c>
      <c r="F573" s="2326">
        <f t="shared" si="46"/>
        <v>2858</v>
      </c>
      <c r="G573" s="2326">
        <f t="shared" si="47"/>
        <v>2773</v>
      </c>
    </row>
    <row r="574" spans="1:7" ht="15.75">
      <c r="A574" s="2486">
        <f t="shared" si="48"/>
        <v>25525</v>
      </c>
      <c r="B574" s="2325">
        <v>25500</v>
      </c>
      <c r="C574" s="2325">
        <v>25550</v>
      </c>
      <c r="D574" s="2326">
        <f t="shared" si="44"/>
        <v>2864</v>
      </c>
      <c r="E574" s="2326">
        <f t="shared" si="45"/>
        <v>2665</v>
      </c>
      <c r="F574" s="2326">
        <f t="shared" si="46"/>
        <v>2864</v>
      </c>
      <c r="G574" s="2326">
        <f t="shared" si="47"/>
        <v>2779</v>
      </c>
    </row>
    <row r="575" spans="1:7" ht="15.75">
      <c r="A575" s="2486">
        <f t="shared" si="48"/>
        <v>25575</v>
      </c>
      <c r="B575" s="2325">
        <v>25550</v>
      </c>
      <c r="C575" s="2325">
        <v>25600</v>
      </c>
      <c r="D575" s="2326">
        <f t="shared" si="44"/>
        <v>2870</v>
      </c>
      <c r="E575" s="2326">
        <f t="shared" si="45"/>
        <v>2671</v>
      </c>
      <c r="F575" s="2326">
        <f t="shared" si="46"/>
        <v>2870</v>
      </c>
      <c r="G575" s="2326">
        <f t="shared" si="47"/>
        <v>2785</v>
      </c>
    </row>
    <row r="576" spans="1:7" ht="15.75">
      <c r="A576" s="2486">
        <f t="shared" si="48"/>
        <v>25625</v>
      </c>
      <c r="B576" s="2325">
        <v>25600</v>
      </c>
      <c r="C576" s="2325">
        <v>25650</v>
      </c>
      <c r="D576" s="2326">
        <f t="shared" si="44"/>
        <v>2876</v>
      </c>
      <c r="E576" s="2326">
        <f t="shared" si="45"/>
        <v>2677</v>
      </c>
      <c r="F576" s="2326">
        <f t="shared" si="46"/>
        <v>2876</v>
      </c>
      <c r="G576" s="2326">
        <f t="shared" si="47"/>
        <v>2791</v>
      </c>
    </row>
    <row r="577" spans="1:7" ht="15.75">
      <c r="A577" s="2486">
        <f t="shared" si="48"/>
        <v>25675</v>
      </c>
      <c r="B577" s="2325">
        <v>25650</v>
      </c>
      <c r="C577" s="2325">
        <v>25700</v>
      </c>
      <c r="D577" s="2326">
        <f t="shared" si="44"/>
        <v>2882</v>
      </c>
      <c r="E577" s="2326">
        <f t="shared" si="45"/>
        <v>2683</v>
      </c>
      <c r="F577" s="2326">
        <f t="shared" si="46"/>
        <v>2882</v>
      </c>
      <c r="G577" s="2326">
        <f t="shared" si="47"/>
        <v>2797</v>
      </c>
    </row>
    <row r="578" spans="1:7" ht="15.75">
      <c r="A578" s="2486">
        <f t="shared" si="48"/>
        <v>25725</v>
      </c>
      <c r="B578" s="2325">
        <v>25700</v>
      </c>
      <c r="C578" s="2325">
        <v>25750</v>
      </c>
      <c r="D578" s="2326">
        <f t="shared" ref="D578:D641" si="49">IF($A578&gt;BOTT_A4,ROUND(BASE_A4+RATE_A4*($A578-BOTT_A4),0),IF($A578&gt;BOTT_A3,ROUND(BASE_A3+RATE_A3*($A578-BOTT_A3),0),IF($A578&gt;BOTT_A2,ROUND(BASE_A2+RATE_A2*($A578-BOTT_A2),0),ROUND(RATE_A1*$A578,0))))</f>
        <v>2888</v>
      </c>
      <c r="E578" s="2326">
        <f t="shared" ref="E578:E641" si="50">IF($A578&gt;BOTT_B4,ROUND(BASE_B4+RATE_B4*($A578-BOTT_B4),0),IF($A578&gt;BOTT_B3,ROUND(BASE_B3+RATE_B3*($A578-BOTT_B3),0),IF($A578&gt;BOTT_B2,ROUND(BASE_B2+RATE_B2*($A578-BOTT_B2),0),ROUND(RATE_B1*$A578,0))))</f>
        <v>2689</v>
      </c>
      <c r="F578" s="2326">
        <f t="shared" ref="F578:F641" si="51">IF($A578&gt;BOTT_C4,ROUND(BASE_C4+RATE_C4*($A578-BOTT_C4),0),IF($A578&gt;BOTT_C3,ROUND(BASE_C3+RATE_C3*($A578-BOTT_C3),0),IF($A578&gt;BOTT_C2,ROUND(BASE_C2+RATE_C2*($A578-BOTT_C2),0),ROUND(RATE_C1*$A578,0))))</f>
        <v>2888</v>
      </c>
      <c r="G578" s="2326">
        <f t="shared" ref="G578:G641" si="52">IF($A578&gt;BOTT_D4,ROUND(BASE_D4+RATE_D4*($A578-BOTT_D4),0),IF($A578&gt;BOTT_D3,ROUND(BASE_D3+RATE_D3*($A578-BOTT_D3),0),IF($A578&gt;BOTT_D2,ROUND(BASE_D2+RATE_D2*($A578-BOTT_D2),0),ROUND(RATE_D1*$A578,0))))</f>
        <v>2803</v>
      </c>
    </row>
    <row r="579" spans="1:7" ht="15.75">
      <c r="A579" s="2486">
        <f t="shared" ref="A579:A642" si="53">AVERAGE(B579,C579)</f>
        <v>25775</v>
      </c>
      <c r="B579" s="2325">
        <v>25750</v>
      </c>
      <c r="C579" s="2325">
        <v>25800</v>
      </c>
      <c r="D579" s="2326">
        <f t="shared" si="49"/>
        <v>2894</v>
      </c>
      <c r="E579" s="2326">
        <f t="shared" si="50"/>
        <v>2695</v>
      </c>
      <c r="F579" s="2326">
        <f t="shared" si="51"/>
        <v>2894</v>
      </c>
      <c r="G579" s="2326">
        <f t="shared" si="52"/>
        <v>2809</v>
      </c>
    </row>
    <row r="580" spans="1:7" ht="15.75">
      <c r="A580" s="2486">
        <f t="shared" si="53"/>
        <v>25825</v>
      </c>
      <c r="B580" s="2325">
        <v>25800</v>
      </c>
      <c r="C580" s="2325">
        <v>25850</v>
      </c>
      <c r="D580" s="2326">
        <f t="shared" si="49"/>
        <v>2900</v>
      </c>
      <c r="E580" s="2326">
        <f t="shared" si="50"/>
        <v>2701</v>
      </c>
      <c r="F580" s="2326">
        <f t="shared" si="51"/>
        <v>2900</v>
      </c>
      <c r="G580" s="2326">
        <f t="shared" si="52"/>
        <v>2815</v>
      </c>
    </row>
    <row r="581" spans="1:7" ht="15.75">
      <c r="A581" s="2486">
        <f t="shared" si="53"/>
        <v>25875</v>
      </c>
      <c r="B581" s="2325">
        <v>25850</v>
      </c>
      <c r="C581" s="2325">
        <v>25900</v>
      </c>
      <c r="D581" s="2326">
        <f t="shared" si="49"/>
        <v>2906</v>
      </c>
      <c r="E581" s="2326">
        <f t="shared" si="50"/>
        <v>2707</v>
      </c>
      <c r="F581" s="2326">
        <f t="shared" si="51"/>
        <v>2906</v>
      </c>
      <c r="G581" s="2326">
        <f t="shared" si="52"/>
        <v>2821</v>
      </c>
    </row>
    <row r="582" spans="1:7" ht="15.75">
      <c r="A582" s="2486">
        <f t="shared" si="53"/>
        <v>25925</v>
      </c>
      <c r="B582" s="2325">
        <v>25900</v>
      </c>
      <c r="C582" s="2325">
        <v>25950</v>
      </c>
      <c r="D582" s="2326">
        <f t="shared" si="49"/>
        <v>2912</v>
      </c>
      <c r="E582" s="2326">
        <f t="shared" si="50"/>
        <v>2713</v>
      </c>
      <c r="F582" s="2326">
        <f t="shared" si="51"/>
        <v>2912</v>
      </c>
      <c r="G582" s="2326">
        <f t="shared" si="52"/>
        <v>2827</v>
      </c>
    </row>
    <row r="583" spans="1:7" ht="15.75">
      <c r="A583" s="2486">
        <f t="shared" si="53"/>
        <v>25975</v>
      </c>
      <c r="B583" s="2325">
        <v>25950</v>
      </c>
      <c r="C583" s="2325">
        <v>26000</v>
      </c>
      <c r="D583" s="2326">
        <f t="shared" si="49"/>
        <v>2918</v>
      </c>
      <c r="E583" s="2326">
        <f t="shared" si="50"/>
        <v>2719</v>
      </c>
      <c r="F583" s="2326">
        <f t="shared" si="51"/>
        <v>2918</v>
      </c>
      <c r="G583" s="2326">
        <f t="shared" si="52"/>
        <v>2833</v>
      </c>
    </row>
    <row r="584" spans="1:7" ht="15.75">
      <c r="A584" s="2486">
        <f t="shared" si="53"/>
        <v>26025</v>
      </c>
      <c r="B584" s="2325">
        <v>26000</v>
      </c>
      <c r="C584" s="2325">
        <v>26050</v>
      </c>
      <c r="D584" s="2326">
        <f t="shared" si="49"/>
        <v>2924</v>
      </c>
      <c r="E584" s="2326">
        <f t="shared" si="50"/>
        <v>2725</v>
      </c>
      <c r="F584" s="2326">
        <f t="shared" si="51"/>
        <v>2924</v>
      </c>
      <c r="G584" s="2326">
        <f t="shared" si="52"/>
        <v>2839</v>
      </c>
    </row>
    <row r="585" spans="1:7" ht="15.75">
      <c r="A585" s="2486">
        <f t="shared" si="53"/>
        <v>26075</v>
      </c>
      <c r="B585" s="2325">
        <v>26050</v>
      </c>
      <c r="C585" s="2325">
        <v>26100</v>
      </c>
      <c r="D585" s="2326">
        <f t="shared" si="49"/>
        <v>2930</v>
      </c>
      <c r="E585" s="2326">
        <f t="shared" si="50"/>
        <v>2731</v>
      </c>
      <c r="F585" s="2326">
        <f t="shared" si="51"/>
        <v>2930</v>
      </c>
      <c r="G585" s="2326">
        <f t="shared" si="52"/>
        <v>2845</v>
      </c>
    </row>
    <row r="586" spans="1:7" ht="15.75">
      <c r="A586" s="2486">
        <f t="shared" si="53"/>
        <v>26125</v>
      </c>
      <c r="B586" s="2325">
        <v>26100</v>
      </c>
      <c r="C586" s="2325">
        <v>26150</v>
      </c>
      <c r="D586" s="2326">
        <f t="shared" si="49"/>
        <v>2936</v>
      </c>
      <c r="E586" s="2326">
        <f t="shared" si="50"/>
        <v>2737</v>
      </c>
      <c r="F586" s="2326">
        <f t="shared" si="51"/>
        <v>2936</v>
      </c>
      <c r="G586" s="2326">
        <f t="shared" si="52"/>
        <v>2851</v>
      </c>
    </row>
    <row r="587" spans="1:7" ht="15.75">
      <c r="A587" s="2486">
        <f t="shared" si="53"/>
        <v>26175</v>
      </c>
      <c r="B587" s="2325">
        <v>26150</v>
      </c>
      <c r="C587" s="2325">
        <v>26200</v>
      </c>
      <c r="D587" s="2326">
        <f t="shared" si="49"/>
        <v>2942</v>
      </c>
      <c r="E587" s="2326">
        <f t="shared" si="50"/>
        <v>2743</v>
      </c>
      <c r="F587" s="2326">
        <f t="shared" si="51"/>
        <v>2942</v>
      </c>
      <c r="G587" s="2326">
        <f t="shared" si="52"/>
        <v>2857</v>
      </c>
    </row>
    <row r="588" spans="1:7" ht="15.75">
      <c r="A588" s="2486">
        <f t="shared" si="53"/>
        <v>26225</v>
      </c>
      <c r="B588" s="2325">
        <v>26200</v>
      </c>
      <c r="C588" s="2325">
        <v>26250</v>
      </c>
      <c r="D588" s="2326">
        <f t="shared" si="49"/>
        <v>2948</v>
      </c>
      <c r="E588" s="2326">
        <f t="shared" si="50"/>
        <v>2749</v>
      </c>
      <c r="F588" s="2326">
        <f t="shared" si="51"/>
        <v>2948</v>
      </c>
      <c r="G588" s="2326">
        <f t="shared" si="52"/>
        <v>2863</v>
      </c>
    </row>
    <row r="589" spans="1:7" ht="15.75">
      <c r="A589" s="2486">
        <f t="shared" si="53"/>
        <v>26275</v>
      </c>
      <c r="B589" s="2325">
        <v>26250</v>
      </c>
      <c r="C589" s="2325">
        <v>26300</v>
      </c>
      <c r="D589" s="2326">
        <f t="shared" si="49"/>
        <v>2954</v>
      </c>
      <c r="E589" s="2326">
        <f t="shared" si="50"/>
        <v>2755</v>
      </c>
      <c r="F589" s="2326">
        <f t="shared" si="51"/>
        <v>2954</v>
      </c>
      <c r="G589" s="2326">
        <f t="shared" si="52"/>
        <v>2869</v>
      </c>
    </row>
    <row r="590" spans="1:7" ht="15.75">
      <c r="A590" s="2486">
        <f t="shared" si="53"/>
        <v>26325</v>
      </c>
      <c r="B590" s="2325">
        <v>26300</v>
      </c>
      <c r="C590" s="2325">
        <v>26350</v>
      </c>
      <c r="D590" s="2326">
        <f t="shared" si="49"/>
        <v>2960</v>
      </c>
      <c r="E590" s="2326">
        <f t="shared" si="50"/>
        <v>2761</v>
      </c>
      <c r="F590" s="2326">
        <f t="shared" si="51"/>
        <v>2960</v>
      </c>
      <c r="G590" s="2326">
        <f t="shared" si="52"/>
        <v>2875</v>
      </c>
    </row>
    <row r="591" spans="1:7" ht="15.75">
      <c r="A591" s="2486">
        <f t="shared" si="53"/>
        <v>26375</v>
      </c>
      <c r="B591" s="2325">
        <v>26350</v>
      </c>
      <c r="C591" s="2325">
        <v>26400</v>
      </c>
      <c r="D591" s="2326">
        <f t="shared" si="49"/>
        <v>2966</v>
      </c>
      <c r="E591" s="2326">
        <f t="shared" si="50"/>
        <v>2767</v>
      </c>
      <c r="F591" s="2326">
        <f t="shared" si="51"/>
        <v>2966</v>
      </c>
      <c r="G591" s="2326">
        <f t="shared" si="52"/>
        <v>2881</v>
      </c>
    </row>
    <row r="592" spans="1:7" ht="15.75">
      <c r="A592" s="2486">
        <f t="shared" si="53"/>
        <v>26425</v>
      </c>
      <c r="B592" s="2325">
        <v>26400</v>
      </c>
      <c r="C592" s="2325">
        <v>26450</v>
      </c>
      <c r="D592" s="2326">
        <f t="shared" si="49"/>
        <v>2972</v>
      </c>
      <c r="E592" s="2326">
        <f t="shared" si="50"/>
        <v>2773</v>
      </c>
      <c r="F592" s="2326">
        <f t="shared" si="51"/>
        <v>2972</v>
      </c>
      <c r="G592" s="2326">
        <f t="shared" si="52"/>
        <v>2887</v>
      </c>
    </row>
    <row r="593" spans="1:7" ht="15.75">
      <c r="A593" s="2486">
        <f t="shared" si="53"/>
        <v>26475</v>
      </c>
      <c r="B593" s="2325">
        <v>26450</v>
      </c>
      <c r="C593" s="2325">
        <v>26500</v>
      </c>
      <c r="D593" s="2326">
        <f t="shared" si="49"/>
        <v>2978</v>
      </c>
      <c r="E593" s="2326">
        <f t="shared" si="50"/>
        <v>2779</v>
      </c>
      <c r="F593" s="2326">
        <f t="shared" si="51"/>
        <v>2978</v>
      </c>
      <c r="G593" s="2326">
        <f t="shared" si="52"/>
        <v>2893</v>
      </c>
    </row>
    <row r="594" spans="1:7" ht="15.75">
      <c r="A594" s="2486">
        <f t="shared" si="53"/>
        <v>26525</v>
      </c>
      <c r="B594" s="2325">
        <v>26500</v>
      </c>
      <c r="C594" s="2325">
        <v>26550</v>
      </c>
      <c r="D594" s="2326">
        <f t="shared" si="49"/>
        <v>2984</v>
      </c>
      <c r="E594" s="2326">
        <f t="shared" si="50"/>
        <v>2785</v>
      </c>
      <c r="F594" s="2326">
        <f t="shared" si="51"/>
        <v>2984</v>
      </c>
      <c r="G594" s="2326">
        <f t="shared" si="52"/>
        <v>2899</v>
      </c>
    </row>
    <row r="595" spans="1:7" ht="15.75">
      <c r="A595" s="2486">
        <f t="shared" si="53"/>
        <v>26575</v>
      </c>
      <c r="B595" s="2325">
        <v>26550</v>
      </c>
      <c r="C595" s="2325">
        <v>26600</v>
      </c>
      <c r="D595" s="2326">
        <f t="shared" si="49"/>
        <v>2990</v>
      </c>
      <c r="E595" s="2326">
        <f t="shared" si="50"/>
        <v>2791</v>
      </c>
      <c r="F595" s="2326">
        <f t="shared" si="51"/>
        <v>2990</v>
      </c>
      <c r="G595" s="2326">
        <f t="shared" si="52"/>
        <v>2905</v>
      </c>
    </row>
    <row r="596" spans="1:7" ht="15.75">
      <c r="A596" s="2486">
        <f t="shared" si="53"/>
        <v>26625</v>
      </c>
      <c r="B596" s="2325">
        <v>26600</v>
      </c>
      <c r="C596" s="2325">
        <v>26650</v>
      </c>
      <c r="D596" s="2326">
        <f t="shared" si="49"/>
        <v>2996</v>
      </c>
      <c r="E596" s="2326">
        <f t="shared" si="50"/>
        <v>2797</v>
      </c>
      <c r="F596" s="2326">
        <f t="shared" si="51"/>
        <v>2996</v>
      </c>
      <c r="G596" s="2326">
        <f t="shared" si="52"/>
        <v>2911</v>
      </c>
    </row>
    <row r="597" spans="1:7" ht="15.75">
      <c r="A597" s="2486">
        <f t="shared" si="53"/>
        <v>26675</v>
      </c>
      <c r="B597" s="2325">
        <v>26650</v>
      </c>
      <c r="C597" s="2325">
        <v>26700</v>
      </c>
      <c r="D597" s="2326">
        <f t="shared" si="49"/>
        <v>3002</v>
      </c>
      <c r="E597" s="2326">
        <f t="shared" si="50"/>
        <v>2803</v>
      </c>
      <c r="F597" s="2326">
        <f t="shared" si="51"/>
        <v>3002</v>
      </c>
      <c r="G597" s="2326">
        <f t="shared" si="52"/>
        <v>2917</v>
      </c>
    </row>
    <row r="598" spans="1:7" ht="15.75">
      <c r="A598" s="2486">
        <f t="shared" si="53"/>
        <v>26725</v>
      </c>
      <c r="B598" s="2325">
        <v>26700</v>
      </c>
      <c r="C598" s="2325">
        <v>26750</v>
      </c>
      <c r="D598" s="2326">
        <f t="shared" si="49"/>
        <v>3008</v>
      </c>
      <c r="E598" s="2326">
        <f t="shared" si="50"/>
        <v>2809</v>
      </c>
      <c r="F598" s="2326">
        <f t="shared" si="51"/>
        <v>3008</v>
      </c>
      <c r="G598" s="2326">
        <f t="shared" si="52"/>
        <v>2923</v>
      </c>
    </row>
    <row r="599" spans="1:7" ht="15.75">
      <c r="A599" s="2486">
        <f t="shared" si="53"/>
        <v>26775</v>
      </c>
      <c r="B599" s="2325">
        <v>26750</v>
      </c>
      <c r="C599" s="2325">
        <v>26800</v>
      </c>
      <c r="D599" s="2326">
        <f t="shared" si="49"/>
        <v>3014</v>
      </c>
      <c r="E599" s="2326">
        <f t="shared" si="50"/>
        <v>2815</v>
      </c>
      <c r="F599" s="2326">
        <f t="shared" si="51"/>
        <v>3014</v>
      </c>
      <c r="G599" s="2326">
        <f t="shared" si="52"/>
        <v>2929</v>
      </c>
    </row>
    <row r="600" spans="1:7" ht="15.75">
      <c r="A600" s="2486">
        <f t="shared" si="53"/>
        <v>26825</v>
      </c>
      <c r="B600" s="2325">
        <v>26800</v>
      </c>
      <c r="C600" s="2325">
        <v>26850</v>
      </c>
      <c r="D600" s="2326">
        <f t="shared" si="49"/>
        <v>3020</v>
      </c>
      <c r="E600" s="2326">
        <f t="shared" si="50"/>
        <v>2821</v>
      </c>
      <c r="F600" s="2326">
        <f t="shared" si="51"/>
        <v>3020</v>
      </c>
      <c r="G600" s="2326">
        <f t="shared" si="52"/>
        <v>2935</v>
      </c>
    </row>
    <row r="601" spans="1:7" ht="15.75">
      <c r="A601" s="2486">
        <f t="shared" si="53"/>
        <v>26875</v>
      </c>
      <c r="B601" s="2325">
        <v>26850</v>
      </c>
      <c r="C601" s="2325">
        <v>26900</v>
      </c>
      <c r="D601" s="2326">
        <f t="shared" si="49"/>
        <v>3026</v>
      </c>
      <c r="E601" s="2326">
        <f t="shared" si="50"/>
        <v>2827</v>
      </c>
      <c r="F601" s="2326">
        <f t="shared" si="51"/>
        <v>3026</v>
      </c>
      <c r="G601" s="2326">
        <f t="shared" si="52"/>
        <v>2941</v>
      </c>
    </row>
    <row r="602" spans="1:7" ht="15.75">
      <c r="A602" s="2486">
        <f t="shared" si="53"/>
        <v>26925</v>
      </c>
      <c r="B602" s="2325">
        <v>26900</v>
      </c>
      <c r="C602" s="2325">
        <v>26950</v>
      </c>
      <c r="D602" s="2326">
        <f t="shared" si="49"/>
        <v>3032</v>
      </c>
      <c r="E602" s="2326">
        <f t="shared" si="50"/>
        <v>2833</v>
      </c>
      <c r="F602" s="2326">
        <f t="shared" si="51"/>
        <v>3032</v>
      </c>
      <c r="G602" s="2326">
        <f t="shared" si="52"/>
        <v>2947</v>
      </c>
    </row>
    <row r="603" spans="1:7" ht="15.75">
      <c r="A603" s="2486">
        <f t="shared" si="53"/>
        <v>26975</v>
      </c>
      <c r="B603" s="2325">
        <v>26950</v>
      </c>
      <c r="C603" s="2325">
        <v>27000</v>
      </c>
      <c r="D603" s="2326">
        <f t="shared" si="49"/>
        <v>3038</v>
      </c>
      <c r="E603" s="2326">
        <f t="shared" si="50"/>
        <v>2839</v>
      </c>
      <c r="F603" s="2326">
        <f t="shared" si="51"/>
        <v>3038</v>
      </c>
      <c r="G603" s="2326">
        <f t="shared" si="52"/>
        <v>2953</v>
      </c>
    </row>
    <row r="604" spans="1:7" ht="15.75">
      <c r="A604" s="2486">
        <f t="shared" si="53"/>
        <v>27025</v>
      </c>
      <c r="B604" s="2325">
        <v>27000</v>
      </c>
      <c r="C604" s="2325">
        <v>27050</v>
      </c>
      <c r="D604" s="2326">
        <f t="shared" si="49"/>
        <v>3044</v>
      </c>
      <c r="E604" s="2326">
        <f t="shared" si="50"/>
        <v>2845</v>
      </c>
      <c r="F604" s="2326">
        <f t="shared" si="51"/>
        <v>3044</v>
      </c>
      <c r="G604" s="2326">
        <f t="shared" si="52"/>
        <v>2959</v>
      </c>
    </row>
    <row r="605" spans="1:7" ht="15.75">
      <c r="A605" s="2486">
        <f t="shared" si="53"/>
        <v>27075</v>
      </c>
      <c r="B605" s="2325">
        <v>27050</v>
      </c>
      <c r="C605" s="2325">
        <v>27100</v>
      </c>
      <c r="D605" s="2326">
        <f t="shared" si="49"/>
        <v>3050</v>
      </c>
      <c r="E605" s="2326">
        <f t="shared" si="50"/>
        <v>2851</v>
      </c>
      <c r="F605" s="2326">
        <f t="shared" si="51"/>
        <v>3050</v>
      </c>
      <c r="G605" s="2326">
        <f t="shared" si="52"/>
        <v>2965</v>
      </c>
    </row>
    <row r="606" spans="1:7" ht="15.75">
      <c r="A606" s="2486">
        <f t="shared" si="53"/>
        <v>27125</v>
      </c>
      <c r="B606" s="2325">
        <v>27100</v>
      </c>
      <c r="C606" s="2325">
        <v>27150</v>
      </c>
      <c r="D606" s="2326">
        <f t="shared" si="49"/>
        <v>3056</v>
      </c>
      <c r="E606" s="2326">
        <f t="shared" si="50"/>
        <v>2857</v>
      </c>
      <c r="F606" s="2326">
        <f t="shared" si="51"/>
        <v>3056</v>
      </c>
      <c r="G606" s="2326">
        <f t="shared" si="52"/>
        <v>2971</v>
      </c>
    </row>
    <row r="607" spans="1:7" ht="15.75">
      <c r="A607" s="2486">
        <f t="shared" si="53"/>
        <v>27175</v>
      </c>
      <c r="B607" s="2325">
        <v>27150</v>
      </c>
      <c r="C607" s="2325">
        <v>27200</v>
      </c>
      <c r="D607" s="2326">
        <f t="shared" si="49"/>
        <v>3062</v>
      </c>
      <c r="E607" s="2326">
        <f t="shared" si="50"/>
        <v>2863</v>
      </c>
      <c r="F607" s="2326">
        <f t="shared" si="51"/>
        <v>3062</v>
      </c>
      <c r="G607" s="2326">
        <f t="shared" si="52"/>
        <v>2977</v>
      </c>
    </row>
    <row r="608" spans="1:7" ht="15.75">
      <c r="A608" s="2486">
        <f t="shared" si="53"/>
        <v>27225</v>
      </c>
      <c r="B608" s="2325">
        <v>27200</v>
      </c>
      <c r="C608" s="2325">
        <v>27250</v>
      </c>
      <c r="D608" s="2326">
        <f t="shared" si="49"/>
        <v>3068</v>
      </c>
      <c r="E608" s="2326">
        <f t="shared" si="50"/>
        <v>2869</v>
      </c>
      <c r="F608" s="2326">
        <f t="shared" si="51"/>
        <v>3068</v>
      </c>
      <c r="G608" s="2326">
        <f t="shared" si="52"/>
        <v>2983</v>
      </c>
    </row>
    <row r="609" spans="1:7" ht="15.75">
      <c r="A609" s="2486">
        <f t="shared" si="53"/>
        <v>27275</v>
      </c>
      <c r="B609" s="2325">
        <v>27250</v>
      </c>
      <c r="C609" s="2325">
        <v>27300</v>
      </c>
      <c r="D609" s="2326">
        <f t="shared" si="49"/>
        <v>3074</v>
      </c>
      <c r="E609" s="2326">
        <f t="shared" si="50"/>
        <v>2875</v>
      </c>
      <c r="F609" s="2326">
        <f t="shared" si="51"/>
        <v>3074</v>
      </c>
      <c r="G609" s="2326">
        <f t="shared" si="52"/>
        <v>2989</v>
      </c>
    </row>
    <row r="610" spans="1:7" ht="15.75">
      <c r="A610" s="2486">
        <f t="shared" si="53"/>
        <v>27325</v>
      </c>
      <c r="B610" s="2325">
        <v>27300</v>
      </c>
      <c r="C610" s="2325">
        <v>27350</v>
      </c>
      <c r="D610" s="2326">
        <f t="shared" si="49"/>
        <v>3080</v>
      </c>
      <c r="E610" s="2326">
        <f t="shared" si="50"/>
        <v>2881</v>
      </c>
      <c r="F610" s="2326">
        <f t="shared" si="51"/>
        <v>3080</v>
      </c>
      <c r="G610" s="2326">
        <f t="shared" si="52"/>
        <v>2995</v>
      </c>
    </row>
    <row r="611" spans="1:7" ht="15.75">
      <c r="A611" s="2486">
        <f t="shared" si="53"/>
        <v>27375</v>
      </c>
      <c r="B611" s="2325">
        <v>27350</v>
      </c>
      <c r="C611" s="2325">
        <v>27400</v>
      </c>
      <c r="D611" s="2326">
        <f t="shared" si="49"/>
        <v>3086</v>
      </c>
      <c r="E611" s="2326">
        <f t="shared" si="50"/>
        <v>2887</v>
      </c>
      <c r="F611" s="2326">
        <f t="shared" si="51"/>
        <v>3086</v>
      </c>
      <c r="G611" s="2326">
        <f t="shared" si="52"/>
        <v>3001</v>
      </c>
    </row>
    <row r="612" spans="1:7" ht="15.75">
      <c r="A612" s="2486">
        <f t="shared" si="53"/>
        <v>27425</v>
      </c>
      <c r="B612" s="2325">
        <v>27400</v>
      </c>
      <c r="C612" s="2325">
        <v>27450</v>
      </c>
      <c r="D612" s="2326">
        <f t="shared" si="49"/>
        <v>3092</v>
      </c>
      <c r="E612" s="2326">
        <f t="shared" si="50"/>
        <v>2893</v>
      </c>
      <c r="F612" s="2326">
        <f t="shared" si="51"/>
        <v>3092</v>
      </c>
      <c r="G612" s="2326">
        <f t="shared" si="52"/>
        <v>3007</v>
      </c>
    </row>
    <row r="613" spans="1:7" ht="15.75">
      <c r="A613" s="2486">
        <f t="shared" si="53"/>
        <v>27475</v>
      </c>
      <c r="B613" s="2325">
        <v>27450</v>
      </c>
      <c r="C613" s="2325">
        <v>27500</v>
      </c>
      <c r="D613" s="2326">
        <f t="shared" si="49"/>
        <v>3098</v>
      </c>
      <c r="E613" s="2326">
        <f t="shared" si="50"/>
        <v>2899</v>
      </c>
      <c r="F613" s="2326">
        <f t="shared" si="51"/>
        <v>3098</v>
      </c>
      <c r="G613" s="2326">
        <f t="shared" si="52"/>
        <v>3013</v>
      </c>
    </row>
    <row r="614" spans="1:7" ht="15.75">
      <c r="A614" s="2486">
        <f t="shared" si="53"/>
        <v>27525</v>
      </c>
      <c r="B614" s="2325">
        <v>27500</v>
      </c>
      <c r="C614" s="2325">
        <v>27550</v>
      </c>
      <c r="D614" s="2326">
        <f t="shared" si="49"/>
        <v>3104</v>
      </c>
      <c r="E614" s="2326">
        <f t="shared" si="50"/>
        <v>2905</v>
      </c>
      <c r="F614" s="2326">
        <f t="shared" si="51"/>
        <v>3104</v>
      </c>
      <c r="G614" s="2326">
        <f t="shared" si="52"/>
        <v>3019</v>
      </c>
    </row>
    <row r="615" spans="1:7" ht="15.75">
      <c r="A615" s="2486">
        <f t="shared" si="53"/>
        <v>27575</v>
      </c>
      <c r="B615" s="2325">
        <v>27550</v>
      </c>
      <c r="C615" s="2325">
        <v>27600</v>
      </c>
      <c r="D615" s="2326">
        <f t="shared" si="49"/>
        <v>3110</v>
      </c>
      <c r="E615" s="2326">
        <f t="shared" si="50"/>
        <v>2911</v>
      </c>
      <c r="F615" s="2326">
        <f t="shared" si="51"/>
        <v>3110</v>
      </c>
      <c r="G615" s="2326">
        <f t="shared" si="52"/>
        <v>3025</v>
      </c>
    </row>
    <row r="616" spans="1:7" ht="15.75">
      <c r="A616" s="2486">
        <f t="shared" si="53"/>
        <v>27625</v>
      </c>
      <c r="B616" s="2325">
        <v>27600</v>
      </c>
      <c r="C616" s="2325">
        <v>27650</v>
      </c>
      <c r="D616" s="2326">
        <f t="shared" si="49"/>
        <v>3116</v>
      </c>
      <c r="E616" s="2326">
        <f t="shared" si="50"/>
        <v>2917</v>
      </c>
      <c r="F616" s="2326">
        <f t="shared" si="51"/>
        <v>3116</v>
      </c>
      <c r="G616" s="2326">
        <f t="shared" si="52"/>
        <v>3031</v>
      </c>
    </row>
    <row r="617" spans="1:7" ht="15.75">
      <c r="A617" s="2486">
        <f t="shared" si="53"/>
        <v>27675</v>
      </c>
      <c r="B617" s="2325">
        <v>27650</v>
      </c>
      <c r="C617" s="2325">
        <v>27700</v>
      </c>
      <c r="D617" s="2326">
        <f t="shared" si="49"/>
        <v>3122</v>
      </c>
      <c r="E617" s="2326">
        <f t="shared" si="50"/>
        <v>2923</v>
      </c>
      <c r="F617" s="2326">
        <f t="shared" si="51"/>
        <v>3122</v>
      </c>
      <c r="G617" s="2326">
        <f t="shared" si="52"/>
        <v>3037</v>
      </c>
    </row>
    <row r="618" spans="1:7" ht="15.75">
      <c r="A618" s="2486">
        <f t="shared" si="53"/>
        <v>27725</v>
      </c>
      <c r="B618" s="2325">
        <v>27700</v>
      </c>
      <c r="C618" s="2325">
        <v>27750</v>
      </c>
      <c r="D618" s="2326">
        <f t="shared" si="49"/>
        <v>3128</v>
      </c>
      <c r="E618" s="2326">
        <f t="shared" si="50"/>
        <v>2929</v>
      </c>
      <c r="F618" s="2326">
        <f t="shared" si="51"/>
        <v>3128</v>
      </c>
      <c r="G618" s="2326">
        <f t="shared" si="52"/>
        <v>3043</v>
      </c>
    </row>
    <row r="619" spans="1:7" ht="15.75">
      <c r="A619" s="2486">
        <f t="shared" si="53"/>
        <v>27775</v>
      </c>
      <c r="B619" s="2325">
        <v>27750</v>
      </c>
      <c r="C619" s="2325">
        <v>27800</v>
      </c>
      <c r="D619" s="2326">
        <f t="shared" si="49"/>
        <v>3134</v>
      </c>
      <c r="E619" s="2326">
        <f t="shared" si="50"/>
        <v>2935</v>
      </c>
      <c r="F619" s="2326">
        <f t="shared" si="51"/>
        <v>3134</v>
      </c>
      <c r="G619" s="2326">
        <f t="shared" si="52"/>
        <v>3049</v>
      </c>
    </row>
    <row r="620" spans="1:7" ht="15.75">
      <c r="A620" s="2486">
        <f t="shared" si="53"/>
        <v>27825</v>
      </c>
      <c r="B620" s="2325">
        <v>27800</v>
      </c>
      <c r="C620" s="2325">
        <v>27850</v>
      </c>
      <c r="D620" s="2326">
        <f t="shared" si="49"/>
        <v>3140</v>
      </c>
      <c r="E620" s="2326">
        <f t="shared" si="50"/>
        <v>2941</v>
      </c>
      <c r="F620" s="2326">
        <f t="shared" si="51"/>
        <v>3140</v>
      </c>
      <c r="G620" s="2326">
        <f t="shared" si="52"/>
        <v>3055</v>
      </c>
    </row>
    <row r="621" spans="1:7" ht="15.75">
      <c r="A621" s="2486">
        <f t="shared" si="53"/>
        <v>27875</v>
      </c>
      <c r="B621" s="2325">
        <v>27850</v>
      </c>
      <c r="C621" s="2325">
        <v>27900</v>
      </c>
      <c r="D621" s="2326">
        <f t="shared" si="49"/>
        <v>3146</v>
      </c>
      <c r="E621" s="2326">
        <f t="shared" si="50"/>
        <v>2947</v>
      </c>
      <c r="F621" s="2326">
        <f t="shared" si="51"/>
        <v>3146</v>
      </c>
      <c r="G621" s="2326">
        <f t="shared" si="52"/>
        <v>3061</v>
      </c>
    </row>
    <row r="622" spans="1:7" ht="15.75">
      <c r="A622" s="2486">
        <f t="shared" si="53"/>
        <v>27925</v>
      </c>
      <c r="B622" s="2325">
        <v>27900</v>
      </c>
      <c r="C622" s="2325">
        <v>27950</v>
      </c>
      <c r="D622" s="2326">
        <f t="shared" si="49"/>
        <v>3152</v>
      </c>
      <c r="E622" s="2326">
        <f t="shared" si="50"/>
        <v>2953</v>
      </c>
      <c r="F622" s="2326">
        <f t="shared" si="51"/>
        <v>3152</v>
      </c>
      <c r="G622" s="2326">
        <f t="shared" si="52"/>
        <v>3067</v>
      </c>
    </row>
    <row r="623" spans="1:7" ht="15.75">
      <c r="A623" s="2486">
        <f t="shared" si="53"/>
        <v>27975</v>
      </c>
      <c r="B623" s="2325">
        <v>27950</v>
      </c>
      <c r="C623" s="2325">
        <v>28000</v>
      </c>
      <c r="D623" s="2326">
        <f t="shared" si="49"/>
        <v>3158</v>
      </c>
      <c r="E623" s="2326">
        <f t="shared" si="50"/>
        <v>2959</v>
      </c>
      <c r="F623" s="2326">
        <f t="shared" si="51"/>
        <v>3158</v>
      </c>
      <c r="G623" s="2326">
        <f t="shared" si="52"/>
        <v>3073</v>
      </c>
    </row>
    <row r="624" spans="1:7" ht="15.75">
      <c r="A624" s="2486">
        <f t="shared" si="53"/>
        <v>28025</v>
      </c>
      <c r="B624" s="2325">
        <v>28000</v>
      </c>
      <c r="C624" s="2325">
        <v>28050</v>
      </c>
      <c r="D624" s="2326">
        <f t="shared" si="49"/>
        <v>3164</v>
      </c>
      <c r="E624" s="2326">
        <f t="shared" si="50"/>
        <v>2965</v>
      </c>
      <c r="F624" s="2326">
        <f t="shared" si="51"/>
        <v>3164</v>
      </c>
      <c r="G624" s="2326">
        <f t="shared" si="52"/>
        <v>3079</v>
      </c>
    </row>
    <row r="625" spans="1:7" ht="15.75">
      <c r="A625" s="2486">
        <f t="shared" si="53"/>
        <v>28075</v>
      </c>
      <c r="B625" s="2325">
        <v>28050</v>
      </c>
      <c r="C625" s="2325">
        <v>28100</v>
      </c>
      <c r="D625" s="2326">
        <f t="shared" si="49"/>
        <v>3170</v>
      </c>
      <c r="E625" s="2326">
        <f t="shared" si="50"/>
        <v>2971</v>
      </c>
      <c r="F625" s="2326">
        <f t="shared" si="51"/>
        <v>3170</v>
      </c>
      <c r="G625" s="2326">
        <f t="shared" si="52"/>
        <v>3085</v>
      </c>
    </row>
    <row r="626" spans="1:7" ht="15.75">
      <c r="A626" s="2486">
        <f t="shared" si="53"/>
        <v>28125</v>
      </c>
      <c r="B626" s="2325">
        <v>28100</v>
      </c>
      <c r="C626" s="2325">
        <v>28150</v>
      </c>
      <c r="D626" s="2326">
        <f t="shared" si="49"/>
        <v>3176</v>
      </c>
      <c r="E626" s="2326">
        <f t="shared" si="50"/>
        <v>2977</v>
      </c>
      <c r="F626" s="2326">
        <f t="shared" si="51"/>
        <v>3176</v>
      </c>
      <c r="G626" s="2326">
        <f t="shared" si="52"/>
        <v>3091</v>
      </c>
    </row>
    <row r="627" spans="1:7" ht="15.75">
      <c r="A627" s="2486">
        <f t="shared" si="53"/>
        <v>28175</v>
      </c>
      <c r="B627" s="2325">
        <v>28150</v>
      </c>
      <c r="C627" s="2325">
        <v>28200</v>
      </c>
      <c r="D627" s="2326">
        <f t="shared" si="49"/>
        <v>3182</v>
      </c>
      <c r="E627" s="2326">
        <f t="shared" si="50"/>
        <v>2983</v>
      </c>
      <c r="F627" s="2326">
        <f t="shared" si="51"/>
        <v>3182</v>
      </c>
      <c r="G627" s="2326">
        <f t="shared" si="52"/>
        <v>3097</v>
      </c>
    </row>
    <row r="628" spans="1:7" ht="15.75">
      <c r="A628" s="2486">
        <f t="shared" si="53"/>
        <v>28225</v>
      </c>
      <c r="B628" s="2325">
        <v>28200</v>
      </c>
      <c r="C628" s="2325">
        <v>28250</v>
      </c>
      <c r="D628" s="2326">
        <f t="shared" si="49"/>
        <v>3188</v>
      </c>
      <c r="E628" s="2326">
        <f t="shared" si="50"/>
        <v>2989</v>
      </c>
      <c r="F628" s="2326">
        <f t="shared" si="51"/>
        <v>3188</v>
      </c>
      <c r="G628" s="2326">
        <f t="shared" si="52"/>
        <v>3103</v>
      </c>
    </row>
    <row r="629" spans="1:7" ht="15.75">
      <c r="A629" s="2486">
        <f t="shared" si="53"/>
        <v>28275</v>
      </c>
      <c r="B629" s="2325">
        <v>28250</v>
      </c>
      <c r="C629" s="2325">
        <v>28300</v>
      </c>
      <c r="D629" s="2326">
        <f t="shared" si="49"/>
        <v>3194</v>
      </c>
      <c r="E629" s="2326">
        <f t="shared" si="50"/>
        <v>2995</v>
      </c>
      <c r="F629" s="2326">
        <f t="shared" si="51"/>
        <v>3194</v>
      </c>
      <c r="G629" s="2326">
        <f t="shared" si="52"/>
        <v>3109</v>
      </c>
    </row>
    <row r="630" spans="1:7" ht="15.75">
      <c r="A630" s="2486">
        <f t="shared" si="53"/>
        <v>28325</v>
      </c>
      <c r="B630" s="2325">
        <v>28300</v>
      </c>
      <c r="C630" s="2325">
        <v>28350</v>
      </c>
      <c r="D630" s="2326">
        <f t="shared" si="49"/>
        <v>3200</v>
      </c>
      <c r="E630" s="2326">
        <f t="shared" si="50"/>
        <v>3001</v>
      </c>
      <c r="F630" s="2326">
        <f t="shared" si="51"/>
        <v>3200</v>
      </c>
      <c r="G630" s="2326">
        <f t="shared" si="52"/>
        <v>3115</v>
      </c>
    </row>
    <row r="631" spans="1:7" ht="15.75">
      <c r="A631" s="2486">
        <f t="shared" si="53"/>
        <v>28375</v>
      </c>
      <c r="B631" s="2325">
        <v>28350</v>
      </c>
      <c r="C631" s="2325">
        <v>28400</v>
      </c>
      <c r="D631" s="2326">
        <f t="shared" si="49"/>
        <v>3206</v>
      </c>
      <c r="E631" s="2326">
        <f t="shared" si="50"/>
        <v>3007</v>
      </c>
      <c r="F631" s="2326">
        <f t="shared" si="51"/>
        <v>3206</v>
      </c>
      <c r="G631" s="2326">
        <f t="shared" si="52"/>
        <v>3121</v>
      </c>
    </row>
    <row r="632" spans="1:7" ht="15.75">
      <c r="A632" s="2486">
        <f t="shared" si="53"/>
        <v>28425</v>
      </c>
      <c r="B632" s="2325">
        <v>28400</v>
      </c>
      <c r="C632" s="2325">
        <v>28450</v>
      </c>
      <c r="D632" s="2326">
        <f t="shared" si="49"/>
        <v>3212</v>
      </c>
      <c r="E632" s="2326">
        <f t="shared" si="50"/>
        <v>3013</v>
      </c>
      <c r="F632" s="2326">
        <f t="shared" si="51"/>
        <v>3212</v>
      </c>
      <c r="G632" s="2326">
        <f t="shared" si="52"/>
        <v>3127</v>
      </c>
    </row>
    <row r="633" spans="1:7" ht="15.75">
      <c r="A633" s="2486">
        <f t="shared" si="53"/>
        <v>28475</v>
      </c>
      <c r="B633" s="2325">
        <v>28450</v>
      </c>
      <c r="C633" s="2325">
        <v>28500</v>
      </c>
      <c r="D633" s="2326">
        <f t="shared" si="49"/>
        <v>3218</v>
      </c>
      <c r="E633" s="2326">
        <f t="shared" si="50"/>
        <v>3019</v>
      </c>
      <c r="F633" s="2326">
        <f t="shared" si="51"/>
        <v>3218</v>
      </c>
      <c r="G633" s="2326">
        <f t="shared" si="52"/>
        <v>3133</v>
      </c>
    </row>
    <row r="634" spans="1:7" ht="15.75">
      <c r="A634" s="2486">
        <f t="shared" si="53"/>
        <v>28525</v>
      </c>
      <c r="B634" s="2325">
        <v>28500</v>
      </c>
      <c r="C634" s="2325">
        <v>28550</v>
      </c>
      <c r="D634" s="2326">
        <f t="shared" si="49"/>
        <v>3224</v>
      </c>
      <c r="E634" s="2326">
        <f t="shared" si="50"/>
        <v>3025</v>
      </c>
      <c r="F634" s="2326">
        <f t="shared" si="51"/>
        <v>3224</v>
      </c>
      <c r="G634" s="2326">
        <f t="shared" si="52"/>
        <v>3139</v>
      </c>
    </row>
    <row r="635" spans="1:7" ht="15.75">
      <c r="A635" s="2486">
        <f t="shared" si="53"/>
        <v>28575</v>
      </c>
      <c r="B635" s="2325">
        <v>28550</v>
      </c>
      <c r="C635" s="2325">
        <v>28600</v>
      </c>
      <c r="D635" s="2326">
        <f t="shared" si="49"/>
        <v>3230</v>
      </c>
      <c r="E635" s="2326">
        <f t="shared" si="50"/>
        <v>3031</v>
      </c>
      <c r="F635" s="2326">
        <f t="shared" si="51"/>
        <v>3230</v>
      </c>
      <c r="G635" s="2326">
        <f t="shared" si="52"/>
        <v>3145</v>
      </c>
    </row>
    <row r="636" spans="1:7" ht="15.75">
      <c r="A636" s="2486">
        <f t="shared" si="53"/>
        <v>28625</v>
      </c>
      <c r="B636" s="2325">
        <v>28600</v>
      </c>
      <c r="C636" s="2325">
        <v>28650</v>
      </c>
      <c r="D636" s="2326">
        <f t="shared" si="49"/>
        <v>3236</v>
      </c>
      <c r="E636" s="2326">
        <f t="shared" si="50"/>
        <v>3037</v>
      </c>
      <c r="F636" s="2326">
        <f t="shared" si="51"/>
        <v>3236</v>
      </c>
      <c r="G636" s="2326">
        <f t="shared" si="52"/>
        <v>3151</v>
      </c>
    </row>
    <row r="637" spans="1:7" ht="15.75">
      <c r="A637" s="2486">
        <f t="shared" si="53"/>
        <v>28675</v>
      </c>
      <c r="B637" s="2325">
        <v>28650</v>
      </c>
      <c r="C637" s="2325">
        <v>28700</v>
      </c>
      <c r="D637" s="2326">
        <f t="shared" si="49"/>
        <v>3242</v>
      </c>
      <c r="E637" s="2326">
        <f t="shared" si="50"/>
        <v>3043</v>
      </c>
      <c r="F637" s="2326">
        <f t="shared" si="51"/>
        <v>3242</v>
      </c>
      <c r="G637" s="2326">
        <f t="shared" si="52"/>
        <v>3157</v>
      </c>
    </row>
    <row r="638" spans="1:7" ht="15.75">
      <c r="A638" s="2486">
        <f t="shared" si="53"/>
        <v>28725</v>
      </c>
      <c r="B638" s="2325">
        <v>28700</v>
      </c>
      <c r="C638" s="2325">
        <v>28750</v>
      </c>
      <c r="D638" s="2326">
        <f t="shared" si="49"/>
        <v>3248</v>
      </c>
      <c r="E638" s="2326">
        <f t="shared" si="50"/>
        <v>3049</v>
      </c>
      <c r="F638" s="2326">
        <f t="shared" si="51"/>
        <v>3248</v>
      </c>
      <c r="G638" s="2326">
        <f t="shared" si="52"/>
        <v>3163</v>
      </c>
    </row>
    <row r="639" spans="1:7" ht="15.75">
      <c r="A639" s="2486">
        <f t="shared" si="53"/>
        <v>28775</v>
      </c>
      <c r="B639" s="2325">
        <v>28750</v>
      </c>
      <c r="C639" s="2325">
        <v>28800</v>
      </c>
      <c r="D639" s="2326">
        <f t="shared" si="49"/>
        <v>3254</v>
      </c>
      <c r="E639" s="2326">
        <f t="shared" si="50"/>
        <v>3055</v>
      </c>
      <c r="F639" s="2326">
        <f t="shared" si="51"/>
        <v>3254</v>
      </c>
      <c r="G639" s="2326">
        <f t="shared" si="52"/>
        <v>3169</v>
      </c>
    </row>
    <row r="640" spans="1:7" ht="15.75">
      <c r="A640" s="2486">
        <f t="shared" si="53"/>
        <v>28825</v>
      </c>
      <c r="B640" s="2325">
        <v>28800</v>
      </c>
      <c r="C640" s="2325">
        <v>28850</v>
      </c>
      <c r="D640" s="2326">
        <f t="shared" si="49"/>
        <v>3260</v>
      </c>
      <c r="E640" s="2326">
        <f t="shared" si="50"/>
        <v>3061</v>
      </c>
      <c r="F640" s="2326">
        <f t="shared" si="51"/>
        <v>3260</v>
      </c>
      <c r="G640" s="2326">
        <f t="shared" si="52"/>
        <v>3175</v>
      </c>
    </row>
    <row r="641" spans="1:7" ht="15.75">
      <c r="A641" s="2486">
        <f t="shared" si="53"/>
        <v>28875</v>
      </c>
      <c r="B641" s="2325">
        <v>28850</v>
      </c>
      <c r="C641" s="2325">
        <v>28900</v>
      </c>
      <c r="D641" s="2326">
        <f t="shared" si="49"/>
        <v>3266</v>
      </c>
      <c r="E641" s="2326">
        <f t="shared" si="50"/>
        <v>3067</v>
      </c>
      <c r="F641" s="2326">
        <f t="shared" si="51"/>
        <v>3266</v>
      </c>
      <c r="G641" s="2326">
        <f t="shared" si="52"/>
        <v>3181</v>
      </c>
    </row>
    <row r="642" spans="1:7" ht="15.75">
      <c r="A642" s="2486">
        <f t="shared" si="53"/>
        <v>28925</v>
      </c>
      <c r="B642" s="2325">
        <v>28900</v>
      </c>
      <c r="C642" s="2325">
        <v>28950</v>
      </c>
      <c r="D642" s="2326">
        <f t="shared" ref="D642:D705" si="54">IF($A642&gt;BOTT_A4,ROUND(BASE_A4+RATE_A4*($A642-BOTT_A4),0),IF($A642&gt;BOTT_A3,ROUND(BASE_A3+RATE_A3*($A642-BOTT_A3),0),IF($A642&gt;BOTT_A2,ROUND(BASE_A2+RATE_A2*($A642-BOTT_A2),0),ROUND(RATE_A1*$A642,0))))</f>
        <v>3272</v>
      </c>
      <c r="E642" s="2326">
        <f t="shared" ref="E642:E705" si="55">IF($A642&gt;BOTT_B4,ROUND(BASE_B4+RATE_B4*($A642-BOTT_B4),0),IF($A642&gt;BOTT_B3,ROUND(BASE_B3+RATE_B3*($A642-BOTT_B3),0),IF($A642&gt;BOTT_B2,ROUND(BASE_B2+RATE_B2*($A642-BOTT_B2),0),ROUND(RATE_B1*$A642,0))))</f>
        <v>3073</v>
      </c>
      <c r="F642" s="2326">
        <f t="shared" ref="F642:F705" si="56">IF($A642&gt;BOTT_C4,ROUND(BASE_C4+RATE_C4*($A642-BOTT_C4),0),IF($A642&gt;BOTT_C3,ROUND(BASE_C3+RATE_C3*($A642-BOTT_C3),0),IF($A642&gt;BOTT_C2,ROUND(BASE_C2+RATE_C2*($A642-BOTT_C2),0),ROUND(RATE_C1*$A642,0))))</f>
        <v>3272</v>
      </c>
      <c r="G642" s="2326">
        <f t="shared" ref="G642:G705" si="57">IF($A642&gt;BOTT_D4,ROUND(BASE_D4+RATE_D4*($A642-BOTT_D4),0),IF($A642&gt;BOTT_D3,ROUND(BASE_D3+RATE_D3*($A642-BOTT_D3),0),IF($A642&gt;BOTT_D2,ROUND(BASE_D2+RATE_D2*($A642-BOTT_D2),0),ROUND(RATE_D1*$A642,0))))</f>
        <v>3187</v>
      </c>
    </row>
    <row r="643" spans="1:7" ht="15.75">
      <c r="A643" s="2486">
        <f t="shared" ref="A643:A706" si="58">AVERAGE(B643,C643)</f>
        <v>28975</v>
      </c>
      <c r="B643" s="2325">
        <v>28950</v>
      </c>
      <c r="C643" s="2325">
        <v>29000</v>
      </c>
      <c r="D643" s="2326">
        <f t="shared" si="54"/>
        <v>3278</v>
      </c>
      <c r="E643" s="2326">
        <f t="shared" si="55"/>
        <v>3079</v>
      </c>
      <c r="F643" s="2326">
        <f t="shared" si="56"/>
        <v>3278</v>
      </c>
      <c r="G643" s="2326">
        <f t="shared" si="57"/>
        <v>3193</v>
      </c>
    </row>
    <row r="644" spans="1:7" ht="15.75">
      <c r="A644" s="2486">
        <f t="shared" si="58"/>
        <v>29025</v>
      </c>
      <c r="B644" s="2325">
        <v>29000</v>
      </c>
      <c r="C644" s="2325">
        <v>29050</v>
      </c>
      <c r="D644" s="2326">
        <f t="shared" si="54"/>
        <v>3284</v>
      </c>
      <c r="E644" s="2326">
        <f t="shared" si="55"/>
        <v>3085</v>
      </c>
      <c r="F644" s="2326">
        <f t="shared" si="56"/>
        <v>3284</v>
      </c>
      <c r="G644" s="2326">
        <f t="shared" si="57"/>
        <v>3199</v>
      </c>
    </row>
    <row r="645" spans="1:7" ht="15.75">
      <c r="A645" s="2486">
        <f t="shared" si="58"/>
        <v>29075</v>
      </c>
      <c r="B645" s="2325">
        <v>29050</v>
      </c>
      <c r="C645" s="2325">
        <v>29100</v>
      </c>
      <c r="D645" s="2326">
        <f t="shared" si="54"/>
        <v>3290</v>
      </c>
      <c r="E645" s="2326">
        <f t="shared" si="55"/>
        <v>3091</v>
      </c>
      <c r="F645" s="2326">
        <f t="shared" si="56"/>
        <v>3290</v>
      </c>
      <c r="G645" s="2326">
        <f t="shared" si="57"/>
        <v>3205</v>
      </c>
    </row>
    <row r="646" spans="1:7" ht="15.75">
      <c r="A646" s="2486">
        <f t="shared" si="58"/>
        <v>29125</v>
      </c>
      <c r="B646" s="2325">
        <v>29100</v>
      </c>
      <c r="C646" s="2325">
        <v>29150</v>
      </c>
      <c r="D646" s="2326">
        <f t="shared" si="54"/>
        <v>3296</v>
      </c>
      <c r="E646" s="2326">
        <f t="shared" si="55"/>
        <v>3097</v>
      </c>
      <c r="F646" s="2326">
        <f t="shared" si="56"/>
        <v>3296</v>
      </c>
      <c r="G646" s="2326">
        <f t="shared" si="57"/>
        <v>3211</v>
      </c>
    </row>
    <row r="647" spans="1:7" ht="15.75">
      <c r="A647" s="2486">
        <f t="shared" si="58"/>
        <v>29175</v>
      </c>
      <c r="B647" s="2325">
        <v>29150</v>
      </c>
      <c r="C647" s="2325">
        <v>29200</v>
      </c>
      <c r="D647" s="2326">
        <f t="shared" si="54"/>
        <v>3302</v>
      </c>
      <c r="E647" s="2326">
        <f t="shared" si="55"/>
        <v>3103</v>
      </c>
      <c r="F647" s="2326">
        <f t="shared" si="56"/>
        <v>3302</v>
      </c>
      <c r="G647" s="2326">
        <f t="shared" si="57"/>
        <v>3217</v>
      </c>
    </row>
    <row r="648" spans="1:7" ht="15.75">
      <c r="A648" s="2486">
        <f t="shared" si="58"/>
        <v>29225</v>
      </c>
      <c r="B648" s="2325">
        <v>29200</v>
      </c>
      <c r="C648" s="2325">
        <v>29250</v>
      </c>
      <c r="D648" s="2326">
        <f t="shared" si="54"/>
        <v>3308</v>
      </c>
      <c r="E648" s="2326">
        <f t="shared" si="55"/>
        <v>3109</v>
      </c>
      <c r="F648" s="2326">
        <f t="shared" si="56"/>
        <v>3308</v>
      </c>
      <c r="G648" s="2326">
        <f t="shared" si="57"/>
        <v>3223</v>
      </c>
    </row>
    <row r="649" spans="1:7" ht="15.75">
      <c r="A649" s="2486">
        <f t="shared" si="58"/>
        <v>29275</v>
      </c>
      <c r="B649" s="2325">
        <v>29250</v>
      </c>
      <c r="C649" s="2325">
        <v>29300</v>
      </c>
      <c r="D649" s="2326">
        <f t="shared" si="54"/>
        <v>3314</v>
      </c>
      <c r="E649" s="2326">
        <f t="shared" si="55"/>
        <v>3115</v>
      </c>
      <c r="F649" s="2326">
        <f t="shared" si="56"/>
        <v>3314</v>
      </c>
      <c r="G649" s="2326">
        <f t="shared" si="57"/>
        <v>3229</v>
      </c>
    </row>
    <row r="650" spans="1:7" ht="15.75">
      <c r="A650" s="2486">
        <f t="shared" si="58"/>
        <v>29325</v>
      </c>
      <c r="B650" s="2325">
        <v>29300</v>
      </c>
      <c r="C650" s="2325">
        <v>29350</v>
      </c>
      <c r="D650" s="2326">
        <f t="shared" si="54"/>
        <v>3320</v>
      </c>
      <c r="E650" s="2326">
        <f t="shared" si="55"/>
        <v>3121</v>
      </c>
      <c r="F650" s="2326">
        <f t="shared" si="56"/>
        <v>3320</v>
      </c>
      <c r="G650" s="2326">
        <f t="shared" si="57"/>
        <v>3235</v>
      </c>
    </row>
    <row r="651" spans="1:7" ht="15.75">
      <c r="A651" s="2486">
        <f t="shared" si="58"/>
        <v>29375</v>
      </c>
      <c r="B651" s="2325">
        <v>29350</v>
      </c>
      <c r="C651" s="2325">
        <v>29400</v>
      </c>
      <c r="D651" s="2326">
        <f t="shared" si="54"/>
        <v>3326</v>
      </c>
      <c r="E651" s="2326">
        <f t="shared" si="55"/>
        <v>3127</v>
      </c>
      <c r="F651" s="2326">
        <f t="shared" si="56"/>
        <v>3326</v>
      </c>
      <c r="G651" s="2326">
        <f t="shared" si="57"/>
        <v>3241</v>
      </c>
    </row>
    <row r="652" spans="1:7" ht="15.75">
      <c r="A652" s="2486">
        <f t="shared" si="58"/>
        <v>29425</v>
      </c>
      <c r="B652" s="2325">
        <v>29400</v>
      </c>
      <c r="C652" s="2325">
        <v>29450</v>
      </c>
      <c r="D652" s="2326">
        <f t="shared" si="54"/>
        <v>3332</v>
      </c>
      <c r="E652" s="2326">
        <f t="shared" si="55"/>
        <v>3133</v>
      </c>
      <c r="F652" s="2326">
        <f t="shared" si="56"/>
        <v>3332</v>
      </c>
      <c r="G652" s="2326">
        <f t="shared" si="57"/>
        <v>3247</v>
      </c>
    </row>
    <row r="653" spans="1:7" ht="15.75">
      <c r="A653" s="2486">
        <f t="shared" si="58"/>
        <v>29475</v>
      </c>
      <c r="B653" s="2325">
        <v>29450</v>
      </c>
      <c r="C653" s="2325">
        <v>29500</v>
      </c>
      <c r="D653" s="2326">
        <f t="shared" si="54"/>
        <v>3338</v>
      </c>
      <c r="E653" s="2326">
        <f t="shared" si="55"/>
        <v>3139</v>
      </c>
      <c r="F653" s="2326">
        <f t="shared" si="56"/>
        <v>3338</v>
      </c>
      <c r="G653" s="2326">
        <f t="shared" si="57"/>
        <v>3253</v>
      </c>
    </row>
    <row r="654" spans="1:7" ht="15.75">
      <c r="A654" s="2486">
        <f t="shared" si="58"/>
        <v>29525</v>
      </c>
      <c r="B654" s="2325">
        <v>29500</v>
      </c>
      <c r="C654" s="2325">
        <v>29550</v>
      </c>
      <c r="D654" s="2326">
        <f t="shared" si="54"/>
        <v>3344</v>
      </c>
      <c r="E654" s="2326">
        <f t="shared" si="55"/>
        <v>3145</v>
      </c>
      <c r="F654" s="2326">
        <f t="shared" si="56"/>
        <v>3344</v>
      </c>
      <c r="G654" s="2326">
        <f t="shared" si="57"/>
        <v>3259</v>
      </c>
    </row>
    <row r="655" spans="1:7" ht="15.75">
      <c r="A655" s="2486">
        <f t="shared" si="58"/>
        <v>29575</v>
      </c>
      <c r="B655" s="2325">
        <v>29550</v>
      </c>
      <c r="C655" s="2325">
        <v>29600</v>
      </c>
      <c r="D655" s="2326">
        <f t="shared" si="54"/>
        <v>3350</v>
      </c>
      <c r="E655" s="2326">
        <f t="shared" si="55"/>
        <v>3151</v>
      </c>
      <c r="F655" s="2326">
        <f t="shared" si="56"/>
        <v>3350</v>
      </c>
      <c r="G655" s="2326">
        <f t="shared" si="57"/>
        <v>3265</v>
      </c>
    </row>
    <row r="656" spans="1:7" ht="15.75">
      <c r="A656" s="2486">
        <f t="shared" si="58"/>
        <v>29625</v>
      </c>
      <c r="B656" s="2325">
        <v>29600</v>
      </c>
      <c r="C656" s="2325">
        <v>29650</v>
      </c>
      <c r="D656" s="2326">
        <f t="shared" si="54"/>
        <v>3356</v>
      </c>
      <c r="E656" s="2326">
        <f t="shared" si="55"/>
        <v>3157</v>
      </c>
      <c r="F656" s="2326">
        <f t="shared" si="56"/>
        <v>3356</v>
      </c>
      <c r="G656" s="2326">
        <f t="shared" si="57"/>
        <v>3271</v>
      </c>
    </row>
    <row r="657" spans="1:7" ht="15.75">
      <c r="A657" s="2486">
        <f t="shared" si="58"/>
        <v>29675</v>
      </c>
      <c r="B657" s="2325">
        <v>29650</v>
      </c>
      <c r="C657" s="2325">
        <v>29700</v>
      </c>
      <c r="D657" s="2326">
        <f t="shared" si="54"/>
        <v>3362</v>
      </c>
      <c r="E657" s="2326">
        <f t="shared" si="55"/>
        <v>3163</v>
      </c>
      <c r="F657" s="2326">
        <f t="shared" si="56"/>
        <v>3362</v>
      </c>
      <c r="G657" s="2326">
        <f t="shared" si="57"/>
        <v>3277</v>
      </c>
    </row>
    <row r="658" spans="1:7" ht="15.75">
      <c r="A658" s="2486">
        <f t="shared" si="58"/>
        <v>29725</v>
      </c>
      <c r="B658" s="2325">
        <v>29700</v>
      </c>
      <c r="C658" s="2325">
        <v>29750</v>
      </c>
      <c r="D658" s="2326">
        <f t="shared" si="54"/>
        <v>3368</v>
      </c>
      <c r="E658" s="2326">
        <f t="shared" si="55"/>
        <v>3169</v>
      </c>
      <c r="F658" s="2326">
        <f t="shared" si="56"/>
        <v>3368</v>
      </c>
      <c r="G658" s="2326">
        <f t="shared" si="57"/>
        <v>3283</v>
      </c>
    </row>
    <row r="659" spans="1:7" ht="15.75">
      <c r="A659" s="2486">
        <f t="shared" si="58"/>
        <v>29775</v>
      </c>
      <c r="B659" s="2325">
        <v>29750</v>
      </c>
      <c r="C659" s="2325">
        <v>29800</v>
      </c>
      <c r="D659" s="2326">
        <f t="shared" si="54"/>
        <v>3374</v>
      </c>
      <c r="E659" s="2326">
        <f t="shared" si="55"/>
        <v>3175</v>
      </c>
      <c r="F659" s="2326">
        <f t="shared" si="56"/>
        <v>3374</v>
      </c>
      <c r="G659" s="2326">
        <f t="shared" si="57"/>
        <v>3289</v>
      </c>
    </row>
    <row r="660" spans="1:7" ht="15.75">
      <c r="A660" s="2486">
        <f t="shared" si="58"/>
        <v>29825</v>
      </c>
      <c r="B660" s="2325">
        <v>29800</v>
      </c>
      <c r="C660" s="2325">
        <v>29850</v>
      </c>
      <c r="D660" s="2326">
        <f t="shared" si="54"/>
        <v>3380</v>
      </c>
      <c r="E660" s="2326">
        <f t="shared" si="55"/>
        <v>3181</v>
      </c>
      <c r="F660" s="2326">
        <f t="shared" si="56"/>
        <v>3380</v>
      </c>
      <c r="G660" s="2326">
        <f t="shared" si="57"/>
        <v>3295</v>
      </c>
    </row>
    <row r="661" spans="1:7" ht="15.75">
      <c r="A661" s="2486">
        <f t="shared" si="58"/>
        <v>29875</v>
      </c>
      <c r="B661" s="2325">
        <v>29850</v>
      </c>
      <c r="C661" s="2325">
        <v>29900</v>
      </c>
      <c r="D661" s="2326">
        <f t="shared" si="54"/>
        <v>3386</v>
      </c>
      <c r="E661" s="2326">
        <f t="shared" si="55"/>
        <v>3187</v>
      </c>
      <c r="F661" s="2326">
        <f t="shared" si="56"/>
        <v>3386</v>
      </c>
      <c r="G661" s="2326">
        <f t="shared" si="57"/>
        <v>3301</v>
      </c>
    </row>
    <row r="662" spans="1:7" ht="15.75">
      <c r="A662" s="2486">
        <f t="shared" si="58"/>
        <v>29925</v>
      </c>
      <c r="B662" s="2325">
        <v>29900</v>
      </c>
      <c r="C662" s="2325">
        <v>29950</v>
      </c>
      <c r="D662" s="2326">
        <f t="shared" si="54"/>
        <v>3392</v>
      </c>
      <c r="E662" s="2326">
        <f t="shared" si="55"/>
        <v>3193</v>
      </c>
      <c r="F662" s="2326">
        <f t="shared" si="56"/>
        <v>3392</v>
      </c>
      <c r="G662" s="2326">
        <f t="shared" si="57"/>
        <v>3307</v>
      </c>
    </row>
    <row r="663" spans="1:7" ht="15.75">
      <c r="A663" s="2486">
        <f t="shared" si="58"/>
        <v>29975</v>
      </c>
      <c r="B663" s="2325">
        <v>29950</v>
      </c>
      <c r="C663" s="2325">
        <v>30000</v>
      </c>
      <c r="D663" s="2326">
        <f t="shared" si="54"/>
        <v>3398</v>
      </c>
      <c r="E663" s="2326">
        <f t="shared" si="55"/>
        <v>3199</v>
      </c>
      <c r="F663" s="2326">
        <f t="shared" si="56"/>
        <v>3398</v>
      </c>
      <c r="G663" s="2326">
        <f t="shared" si="57"/>
        <v>3313</v>
      </c>
    </row>
    <row r="664" spans="1:7" ht="15.75">
      <c r="A664" s="2486">
        <f t="shared" si="58"/>
        <v>30025</v>
      </c>
      <c r="B664" s="2325">
        <v>30000</v>
      </c>
      <c r="C664" s="2325">
        <v>30050</v>
      </c>
      <c r="D664" s="2326">
        <f t="shared" si="54"/>
        <v>3404</v>
      </c>
      <c r="E664" s="2326">
        <f t="shared" si="55"/>
        <v>3205</v>
      </c>
      <c r="F664" s="2326">
        <f t="shared" si="56"/>
        <v>3404</v>
      </c>
      <c r="G664" s="2326">
        <f t="shared" si="57"/>
        <v>3319</v>
      </c>
    </row>
    <row r="665" spans="1:7" ht="15.75">
      <c r="A665" s="2486">
        <f t="shared" si="58"/>
        <v>30075</v>
      </c>
      <c r="B665" s="2325">
        <v>30050</v>
      </c>
      <c r="C665" s="2325">
        <v>30100</v>
      </c>
      <c r="D665" s="2326">
        <f t="shared" si="54"/>
        <v>3410</v>
      </c>
      <c r="E665" s="2326">
        <f t="shared" si="55"/>
        <v>3211</v>
      </c>
      <c r="F665" s="2326">
        <f t="shared" si="56"/>
        <v>3410</v>
      </c>
      <c r="G665" s="2326">
        <f t="shared" si="57"/>
        <v>3325</v>
      </c>
    </row>
    <row r="666" spans="1:7" ht="15.75">
      <c r="A666" s="2486">
        <f t="shared" si="58"/>
        <v>30125</v>
      </c>
      <c r="B666" s="2325">
        <v>30100</v>
      </c>
      <c r="C666" s="2325">
        <v>30150</v>
      </c>
      <c r="D666" s="2326">
        <f t="shared" si="54"/>
        <v>3416</v>
      </c>
      <c r="E666" s="2326">
        <f t="shared" si="55"/>
        <v>3217</v>
      </c>
      <c r="F666" s="2326">
        <f t="shared" si="56"/>
        <v>3416</v>
      </c>
      <c r="G666" s="2326">
        <f t="shared" si="57"/>
        <v>3331</v>
      </c>
    </row>
    <row r="667" spans="1:7" ht="15.75">
      <c r="A667" s="2486">
        <f t="shared" si="58"/>
        <v>30175</v>
      </c>
      <c r="B667" s="2325">
        <v>30150</v>
      </c>
      <c r="C667" s="2325">
        <v>30200</v>
      </c>
      <c r="D667" s="2326">
        <f t="shared" si="54"/>
        <v>3422</v>
      </c>
      <c r="E667" s="2326">
        <f t="shared" si="55"/>
        <v>3223</v>
      </c>
      <c r="F667" s="2326">
        <f t="shared" si="56"/>
        <v>3422</v>
      </c>
      <c r="G667" s="2326">
        <f t="shared" si="57"/>
        <v>3337</v>
      </c>
    </row>
    <row r="668" spans="1:7" ht="15.75">
      <c r="A668" s="2486">
        <f t="shared" si="58"/>
        <v>30225</v>
      </c>
      <c r="B668" s="2325">
        <v>30200</v>
      </c>
      <c r="C668" s="2325">
        <v>30250</v>
      </c>
      <c r="D668" s="2326">
        <f t="shared" si="54"/>
        <v>3428</v>
      </c>
      <c r="E668" s="2326">
        <f t="shared" si="55"/>
        <v>3229</v>
      </c>
      <c r="F668" s="2326">
        <f t="shared" si="56"/>
        <v>3428</v>
      </c>
      <c r="G668" s="2326">
        <f t="shared" si="57"/>
        <v>3343</v>
      </c>
    </row>
    <row r="669" spans="1:7" ht="15.75">
      <c r="A669" s="2486">
        <f t="shared" si="58"/>
        <v>30275</v>
      </c>
      <c r="B669" s="2325">
        <v>30250</v>
      </c>
      <c r="C669" s="2325">
        <v>30300</v>
      </c>
      <c r="D669" s="2326">
        <f t="shared" si="54"/>
        <v>3434</v>
      </c>
      <c r="E669" s="2326">
        <f t="shared" si="55"/>
        <v>3235</v>
      </c>
      <c r="F669" s="2326">
        <f t="shared" si="56"/>
        <v>3434</v>
      </c>
      <c r="G669" s="2326">
        <f t="shared" si="57"/>
        <v>3349</v>
      </c>
    </row>
    <row r="670" spans="1:7" ht="15.75">
      <c r="A670" s="2486">
        <f t="shared" si="58"/>
        <v>30325</v>
      </c>
      <c r="B670" s="2325">
        <v>30300</v>
      </c>
      <c r="C670" s="2325">
        <v>30350</v>
      </c>
      <c r="D670" s="2326">
        <f t="shared" si="54"/>
        <v>3440</v>
      </c>
      <c r="E670" s="2326">
        <f t="shared" si="55"/>
        <v>3241</v>
      </c>
      <c r="F670" s="2326">
        <f t="shared" si="56"/>
        <v>3440</v>
      </c>
      <c r="G670" s="2326">
        <f t="shared" si="57"/>
        <v>3355</v>
      </c>
    </row>
    <row r="671" spans="1:7" ht="15.75">
      <c r="A671" s="2486">
        <f t="shared" si="58"/>
        <v>30375</v>
      </c>
      <c r="B671" s="2325">
        <v>30350</v>
      </c>
      <c r="C671" s="2325">
        <v>30400</v>
      </c>
      <c r="D671" s="2326">
        <f t="shared" si="54"/>
        <v>3446</v>
      </c>
      <c r="E671" s="2326">
        <f t="shared" si="55"/>
        <v>3247</v>
      </c>
      <c r="F671" s="2326">
        <f t="shared" si="56"/>
        <v>3446</v>
      </c>
      <c r="G671" s="2326">
        <f t="shared" si="57"/>
        <v>3361</v>
      </c>
    </row>
    <row r="672" spans="1:7" ht="15.75">
      <c r="A672" s="2486">
        <f t="shared" si="58"/>
        <v>30425</v>
      </c>
      <c r="B672" s="2325">
        <v>30400</v>
      </c>
      <c r="C672" s="2325">
        <v>30450</v>
      </c>
      <c r="D672" s="2326">
        <f t="shared" si="54"/>
        <v>3452</v>
      </c>
      <c r="E672" s="2326">
        <f t="shared" si="55"/>
        <v>3253</v>
      </c>
      <c r="F672" s="2326">
        <f t="shared" si="56"/>
        <v>3452</v>
      </c>
      <c r="G672" s="2326">
        <f t="shared" si="57"/>
        <v>3367</v>
      </c>
    </row>
    <row r="673" spans="1:7" ht="15.75">
      <c r="A673" s="2486">
        <f t="shared" si="58"/>
        <v>30475</v>
      </c>
      <c r="B673" s="2325">
        <v>30450</v>
      </c>
      <c r="C673" s="2325">
        <v>30500</v>
      </c>
      <c r="D673" s="2326">
        <f t="shared" si="54"/>
        <v>3458</v>
      </c>
      <c r="E673" s="2326">
        <f t="shared" si="55"/>
        <v>3259</v>
      </c>
      <c r="F673" s="2326">
        <f t="shared" si="56"/>
        <v>3458</v>
      </c>
      <c r="G673" s="2326">
        <f t="shared" si="57"/>
        <v>3373</v>
      </c>
    </row>
    <row r="674" spans="1:7" ht="15.75">
      <c r="A674" s="2486">
        <f t="shared" si="58"/>
        <v>30525</v>
      </c>
      <c r="B674" s="2325">
        <v>30500</v>
      </c>
      <c r="C674" s="2325">
        <v>30550</v>
      </c>
      <c r="D674" s="2326">
        <f t="shared" si="54"/>
        <v>3464</v>
      </c>
      <c r="E674" s="2326">
        <f t="shared" si="55"/>
        <v>3265</v>
      </c>
      <c r="F674" s="2326">
        <f t="shared" si="56"/>
        <v>3464</v>
      </c>
      <c r="G674" s="2326">
        <f t="shared" si="57"/>
        <v>3379</v>
      </c>
    </row>
    <row r="675" spans="1:7" ht="15.75">
      <c r="A675" s="2486">
        <f t="shared" si="58"/>
        <v>30575</v>
      </c>
      <c r="B675" s="2325">
        <v>30550</v>
      </c>
      <c r="C675" s="2325">
        <v>30600</v>
      </c>
      <c r="D675" s="2326">
        <f t="shared" si="54"/>
        <v>3470</v>
      </c>
      <c r="E675" s="2326">
        <f t="shared" si="55"/>
        <v>3271</v>
      </c>
      <c r="F675" s="2326">
        <f t="shared" si="56"/>
        <v>3470</v>
      </c>
      <c r="G675" s="2326">
        <f t="shared" si="57"/>
        <v>3385</v>
      </c>
    </row>
    <row r="676" spans="1:7" ht="15.75">
      <c r="A676" s="2486">
        <f t="shared" si="58"/>
        <v>30625</v>
      </c>
      <c r="B676" s="2325">
        <v>30600</v>
      </c>
      <c r="C676" s="2325">
        <v>30650</v>
      </c>
      <c r="D676" s="2326">
        <f t="shared" si="54"/>
        <v>3476</v>
      </c>
      <c r="E676" s="2326">
        <f t="shared" si="55"/>
        <v>3277</v>
      </c>
      <c r="F676" s="2326">
        <f t="shared" si="56"/>
        <v>3476</v>
      </c>
      <c r="G676" s="2326">
        <f t="shared" si="57"/>
        <v>3391</v>
      </c>
    </row>
    <row r="677" spans="1:7" ht="15.75">
      <c r="A677" s="2486">
        <f t="shared" si="58"/>
        <v>30675</v>
      </c>
      <c r="B677" s="2325">
        <v>30650</v>
      </c>
      <c r="C677" s="2325">
        <v>30700</v>
      </c>
      <c r="D677" s="2326">
        <f t="shared" si="54"/>
        <v>3482</v>
      </c>
      <c r="E677" s="2326">
        <f t="shared" si="55"/>
        <v>3283</v>
      </c>
      <c r="F677" s="2326">
        <f t="shared" si="56"/>
        <v>3482</v>
      </c>
      <c r="G677" s="2326">
        <f t="shared" si="57"/>
        <v>3397</v>
      </c>
    </row>
    <row r="678" spans="1:7" ht="15.75">
      <c r="A678" s="2486">
        <f t="shared" si="58"/>
        <v>30725</v>
      </c>
      <c r="B678" s="2325">
        <v>30700</v>
      </c>
      <c r="C678" s="2325">
        <v>30750</v>
      </c>
      <c r="D678" s="2326">
        <f t="shared" si="54"/>
        <v>3488</v>
      </c>
      <c r="E678" s="2326">
        <f t="shared" si="55"/>
        <v>3289</v>
      </c>
      <c r="F678" s="2326">
        <f t="shared" si="56"/>
        <v>3488</v>
      </c>
      <c r="G678" s="2326">
        <f t="shared" si="57"/>
        <v>3403</v>
      </c>
    </row>
    <row r="679" spans="1:7" ht="15.75">
      <c r="A679" s="2486">
        <f t="shared" si="58"/>
        <v>30775</v>
      </c>
      <c r="B679" s="2325">
        <v>30750</v>
      </c>
      <c r="C679" s="2325">
        <v>30800</v>
      </c>
      <c r="D679" s="2326">
        <f t="shared" si="54"/>
        <v>3494</v>
      </c>
      <c r="E679" s="2326">
        <f t="shared" si="55"/>
        <v>3295</v>
      </c>
      <c r="F679" s="2326">
        <f t="shared" si="56"/>
        <v>3494</v>
      </c>
      <c r="G679" s="2326">
        <f t="shared" si="57"/>
        <v>3409</v>
      </c>
    </row>
    <row r="680" spans="1:7" ht="15.75">
      <c r="A680" s="2486">
        <f t="shared" si="58"/>
        <v>30825</v>
      </c>
      <c r="B680" s="2325">
        <v>30800</v>
      </c>
      <c r="C680" s="2325">
        <v>30850</v>
      </c>
      <c r="D680" s="2326">
        <f t="shared" si="54"/>
        <v>3500</v>
      </c>
      <c r="E680" s="2326">
        <f t="shared" si="55"/>
        <v>3301</v>
      </c>
      <c r="F680" s="2326">
        <f t="shared" si="56"/>
        <v>3500</v>
      </c>
      <c r="G680" s="2326">
        <f t="shared" si="57"/>
        <v>3415</v>
      </c>
    </row>
    <row r="681" spans="1:7" ht="15.75">
      <c r="A681" s="2486">
        <f t="shared" si="58"/>
        <v>30875</v>
      </c>
      <c r="B681" s="2325">
        <v>30850</v>
      </c>
      <c r="C681" s="2325">
        <v>30900</v>
      </c>
      <c r="D681" s="2326">
        <f t="shared" si="54"/>
        <v>3506</v>
      </c>
      <c r="E681" s="2326">
        <f t="shared" si="55"/>
        <v>3307</v>
      </c>
      <c r="F681" s="2326">
        <f t="shared" si="56"/>
        <v>3506</v>
      </c>
      <c r="G681" s="2326">
        <f t="shared" si="57"/>
        <v>3421</v>
      </c>
    </row>
    <row r="682" spans="1:7" ht="15.75">
      <c r="A682" s="2486">
        <f t="shared" si="58"/>
        <v>30925</v>
      </c>
      <c r="B682" s="2325">
        <v>30900</v>
      </c>
      <c r="C682" s="2325">
        <v>30950</v>
      </c>
      <c r="D682" s="2326">
        <f t="shared" si="54"/>
        <v>3512</v>
      </c>
      <c r="E682" s="2326">
        <f t="shared" si="55"/>
        <v>3313</v>
      </c>
      <c r="F682" s="2326">
        <f t="shared" si="56"/>
        <v>3512</v>
      </c>
      <c r="G682" s="2326">
        <f t="shared" si="57"/>
        <v>3427</v>
      </c>
    </row>
    <row r="683" spans="1:7" ht="15.75">
      <c r="A683" s="2486">
        <f t="shared" si="58"/>
        <v>30975</v>
      </c>
      <c r="B683" s="2325">
        <v>30950</v>
      </c>
      <c r="C683" s="2325">
        <v>31000</v>
      </c>
      <c r="D683" s="2326">
        <f t="shared" si="54"/>
        <v>3518</v>
      </c>
      <c r="E683" s="2326">
        <f t="shared" si="55"/>
        <v>3319</v>
      </c>
      <c r="F683" s="2326">
        <f t="shared" si="56"/>
        <v>3518</v>
      </c>
      <c r="G683" s="2326">
        <f t="shared" si="57"/>
        <v>3433</v>
      </c>
    </row>
    <row r="684" spans="1:7" ht="15.75">
      <c r="A684" s="2486">
        <f t="shared" si="58"/>
        <v>31025</v>
      </c>
      <c r="B684" s="2325">
        <v>31000</v>
      </c>
      <c r="C684" s="2325">
        <v>31050</v>
      </c>
      <c r="D684" s="2326">
        <f t="shared" si="54"/>
        <v>3524</v>
      </c>
      <c r="E684" s="2326">
        <f t="shared" si="55"/>
        <v>3325</v>
      </c>
      <c r="F684" s="2326">
        <f t="shared" si="56"/>
        <v>3524</v>
      </c>
      <c r="G684" s="2326">
        <f t="shared" si="57"/>
        <v>3439</v>
      </c>
    </row>
    <row r="685" spans="1:7" ht="15.75">
      <c r="A685" s="2486">
        <f t="shared" si="58"/>
        <v>31075</v>
      </c>
      <c r="B685" s="2325">
        <v>31050</v>
      </c>
      <c r="C685" s="2325">
        <v>31100</v>
      </c>
      <c r="D685" s="2326">
        <f t="shared" si="54"/>
        <v>3530</v>
      </c>
      <c r="E685" s="2326">
        <f t="shared" si="55"/>
        <v>3331</v>
      </c>
      <c r="F685" s="2326">
        <f t="shared" si="56"/>
        <v>3530</v>
      </c>
      <c r="G685" s="2326">
        <f t="shared" si="57"/>
        <v>3445</v>
      </c>
    </row>
    <row r="686" spans="1:7" ht="15.75">
      <c r="A686" s="2486">
        <f t="shared" si="58"/>
        <v>31125</v>
      </c>
      <c r="B686" s="2325">
        <v>31100</v>
      </c>
      <c r="C686" s="2325">
        <v>31150</v>
      </c>
      <c r="D686" s="2326">
        <f t="shared" si="54"/>
        <v>3536</v>
      </c>
      <c r="E686" s="2326">
        <f t="shared" si="55"/>
        <v>3337</v>
      </c>
      <c r="F686" s="2326">
        <f t="shared" si="56"/>
        <v>3536</v>
      </c>
      <c r="G686" s="2326">
        <f t="shared" si="57"/>
        <v>3451</v>
      </c>
    </row>
    <row r="687" spans="1:7" ht="15.75">
      <c r="A687" s="2486">
        <f t="shared" si="58"/>
        <v>31175</v>
      </c>
      <c r="B687" s="2325">
        <v>31150</v>
      </c>
      <c r="C687" s="2325">
        <v>31200</v>
      </c>
      <c r="D687" s="2326">
        <f t="shared" si="54"/>
        <v>3542</v>
      </c>
      <c r="E687" s="2326">
        <f t="shared" si="55"/>
        <v>3343</v>
      </c>
      <c r="F687" s="2326">
        <f t="shared" si="56"/>
        <v>3542</v>
      </c>
      <c r="G687" s="2326">
        <f t="shared" si="57"/>
        <v>3457</v>
      </c>
    </row>
    <row r="688" spans="1:7" ht="15.75">
      <c r="A688" s="2486">
        <f t="shared" si="58"/>
        <v>31225</v>
      </c>
      <c r="B688" s="2325">
        <v>31200</v>
      </c>
      <c r="C688" s="2325">
        <v>31250</v>
      </c>
      <c r="D688" s="2326">
        <f t="shared" si="54"/>
        <v>3548</v>
      </c>
      <c r="E688" s="2326">
        <f t="shared" si="55"/>
        <v>3349</v>
      </c>
      <c r="F688" s="2326">
        <f t="shared" si="56"/>
        <v>3548</v>
      </c>
      <c r="G688" s="2326">
        <f t="shared" si="57"/>
        <v>3463</v>
      </c>
    </row>
    <row r="689" spans="1:7" ht="15.75">
      <c r="A689" s="2486">
        <f t="shared" si="58"/>
        <v>31275</v>
      </c>
      <c r="B689" s="2325">
        <v>31250</v>
      </c>
      <c r="C689" s="2325">
        <v>31300</v>
      </c>
      <c r="D689" s="2326">
        <f t="shared" si="54"/>
        <v>3554</v>
      </c>
      <c r="E689" s="2326">
        <f t="shared" si="55"/>
        <v>3355</v>
      </c>
      <c r="F689" s="2326">
        <f t="shared" si="56"/>
        <v>3554</v>
      </c>
      <c r="G689" s="2326">
        <f t="shared" si="57"/>
        <v>3469</v>
      </c>
    </row>
    <row r="690" spans="1:7" ht="15.75">
      <c r="A690" s="2486">
        <f t="shared" si="58"/>
        <v>31325</v>
      </c>
      <c r="B690" s="2325">
        <v>31300</v>
      </c>
      <c r="C690" s="2325">
        <v>31350</v>
      </c>
      <c r="D690" s="2326">
        <f t="shared" si="54"/>
        <v>3560</v>
      </c>
      <c r="E690" s="2326">
        <f t="shared" si="55"/>
        <v>3361</v>
      </c>
      <c r="F690" s="2326">
        <f t="shared" si="56"/>
        <v>3560</v>
      </c>
      <c r="G690" s="2326">
        <f t="shared" si="57"/>
        <v>3475</v>
      </c>
    </row>
    <row r="691" spans="1:7" ht="15.75">
      <c r="A691" s="2486">
        <f t="shared" si="58"/>
        <v>31375</v>
      </c>
      <c r="B691" s="2325">
        <v>31350</v>
      </c>
      <c r="C691" s="2325">
        <v>31400</v>
      </c>
      <c r="D691" s="2326">
        <f t="shared" si="54"/>
        <v>3566</v>
      </c>
      <c r="E691" s="2326">
        <f t="shared" si="55"/>
        <v>3367</v>
      </c>
      <c r="F691" s="2326">
        <f t="shared" si="56"/>
        <v>3566</v>
      </c>
      <c r="G691" s="2326">
        <f t="shared" si="57"/>
        <v>3481</v>
      </c>
    </row>
    <row r="692" spans="1:7" ht="15.75">
      <c r="A692" s="2486">
        <f t="shared" si="58"/>
        <v>31425</v>
      </c>
      <c r="B692" s="2325">
        <v>31400</v>
      </c>
      <c r="C692" s="2325">
        <v>31450</v>
      </c>
      <c r="D692" s="2326">
        <f t="shared" si="54"/>
        <v>3572</v>
      </c>
      <c r="E692" s="2326">
        <f t="shared" si="55"/>
        <v>3373</v>
      </c>
      <c r="F692" s="2326">
        <f t="shared" si="56"/>
        <v>3572</v>
      </c>
      <c r="G692" s="2326">
        <f t="shared" si="57"/>
        <v>3487</v>
      </c>
    </row>
    <row r="693" spans="1:7" ht="15.75">
      <c r="A693" s="2486">
        <f t="shared" si="58"/>
        <v>31475</v>
      </c>
      <c r="B693" s="2325">
        <v>31450</v>
      </c>
      <c r="C693" s="2325">
        <v>31500</v>
      </c>
      <c r="D693" s="2326">
        <f t="shared" si="54"/>
        <v>3578</v>
      </c>
      <c r="E693" s="2326">
        <f t="shared" si="55"/>
        <v>3379</v>
      </c>
      <c r="F693" s="2326">
        <f t="shared" si="56"/>
        <v>3578</v>
      </c>
      <c r="G693" s="2326">
        <f t="shared" si="57"/>
        <v>3493</v>
      </c>
    </row>
    <row r="694" spans="1:7" ht="15.75">
      <c r="A694" s="2486">
        <f t="shared" si="58"/>
        <v>31525</v>
      </c>
      <c r="B694" s="2325">
        <v>31500</v>
      </c>
      <c r="C694" s="2325">
        <v>31550</v>
      </c>
      <c r="D694" s="2326">
        <f t="shared" si="54"/>
        <v>3584</v>
      </c>
      <c r="E694" s="2326">
        <f t="shared" si="55"/>
        <v>3385</v>
      </c>
      <c r="F694" s="2326">
        <f t="shared" si="56"/>
        <v>3584</v>
      </c>
      <c r="G694" s="2326">
        <f t="shared" si="57"/>
        <v>3499</v>
      </c>
    </row>
    <row r="695" spans="1:7" ht="15.75">
      <c r="A695" s="2486">
        <f t="shared" si="58"/>
        <v>31575</v>
      </c>
      <c r="B695" s="2325">
        <v>31550</v>
      </c>
      <c r="C695" s="2325">
        <v>31600</v>
      </c>
      <c r="D695" s="2326">
        <f t="shared" si="54"/>
        <v>3590</v>
      </c>
      <c r="E695" s="2326">
        <f t="shared" si="55"/>
        <v>3391</v>
      </c>
      <c r="F695" s="2326">
        <f t="shared" si="56"/>
        <v>3590</v>
      </c>
      <c r="G695" s="2326">
        <f t="shared" si="57"/>
        <v>3505</v>
      </c>
    </row>
    <row r="696" spans="1:7" ht="15.75">
      <c r="A696" s="2486">
        <f t="shared" si="58"/>
        <v>31625</v>
      </c>
      <c r="B696" s="2325">
        <v>31600</v>
      </c>
      <c r="C696" s="2325">
        <v>31650</v>
      </c>
      <c r="D696" s="2326">
        <f t="shared" si="54"/>
        <v>3596</v>
      </c>
      <c r="E696" s="2326">
        <f t="shared" si="55"/>
        <v>3397</v>
      </c>
      <c r="F696" s="2326">
        <f t="shared" si="56"/>
        <v>3596</v>
      </c>
      <c r="G696" s="2326">
        <f t="shared" si="57"/>
        <v>3511</v>
      </c>
    </row>
    <row r="697" spans="1:7" ht="15.75">
      <c r="A697" s="2486">
        <f t="shared" si="58"/>
        <v>31675</v>
      </c>
      <c r="B697" s="2325">
        <v>31650</v>
      </c>
      <c r="C697" s="2325">
        <v>31700</v>
      </c>
      <c r="D697" s="2326">
        <f t="shared" si="54"/>
        <v>3602</v>
      </c>
      <c r="E697" s="2326">
        <f t="shared" si="55"/>
        <v>3403</v>
      </c>
      <c r="F697" s="2326">
        <f t="shared" si="56"/>
        <v>3602</v>
      </c>
      <c r="G697" s="2326">
        <f t="shared" si="57"/>
        <v>3517</v>
      </c>
    </row>
    <row r="698" spans="1:7" ht="15.75">
      <c r="A698" s="2486">
        <f t="shared" si="58"/>
        <v>31725</v>
      </c>
      <c r="B698" s="2325">
        <v>31700</v>
      </c>
      <c r="C698" s="2325">
        <v>31750</v>
      </c>
      <c r="D698" s="2326">
        <f t="shared" si="54"/>
        <v>3608</v>
      </c>
      <c r="E698" s="2326">
        <f t="shared" si="55"/>
        <v>3409</v>
      </c>
      <c r="F698" s="2326">
        <f t="shared" si="56"/>
        <v>3608</v>
      </c>
      <c r="G698" s="2326">
        <f t="shared" si="57"/>
        <v>3523</v>
      </c>
    </row>
    <row r="699" spans="1:7" ht="15.75">
      <c r="A699" s="2486">
        <f t="shared" si="58"/>
        <v>31775</v>
      </c>
      <c r="B699" s="2325">
        <v>31750</v>
      </c>
      <c r="C699" s="2325">
        <v>31800</v>
      </c>
      <c r="D699" s="2326">
        <f t="shared" si="54"/>
        <v>3614</v>
      </c>
      <c r="E699" s="2326">
        <f t="shared" si="55"/>
        <v>3415</v>
      </c>
      <c r="F699" s="2326">
        <f t="shared" si="56"/>
        <v>3614</v>
      </c>
      <c r="G699" s="2326">
        <f t="shared" si="57"/>
        <v>3529</v>
      </c>
    </row>
    <row r="700" spans="1:7" ht="15.75">
      <c r="A700" s="2486">
        <f t="shared" si="58"/>
        <v>31825</v>
      </c>
      <c r="B700" s="2325">
        <v>31800</v>
      </c>
      <c r="C700" s="2325">
        <v>31850</v>
      </c>
      <c r="D700" s="2326">
        <f t="shared" si="54"/>
        <v>3620</v>
      </c>
      <c r="E700" s="2326">
        <f t="shared" si="55"/>
        <v>3421</v>
      </c>
      <c r="F700" s="2326">
        <f t="shared" si="56"/>
        <v>3620</v>
      </c>
      <c r="G700" s="2326">
        <f t="shared" si="57"/>
        <v>3535</v>
      </c>
    </row>
    <row r="701" spans="1:7" ht="15.75">
      <c r="A701" s="2486">
        <f t="shared" si="58"/>
        <v>31875</v>
      </c>
      <c r="B701" s="2325">
        <v>31850</v>
      </c>
      <c r="C701" s="2325">
        <v>31900</v>
      </c>
      <c r="D701" s="2326">
        <f t="shared" si="54"/>
        <v>3626</v>
      </c>
      <c r="E701" s="2326">
        <f t="shared" si="55"/>
        <v>3427</v>
      </c>
      <c r="F701" s="2326">
        <f t="shared" si="56"/>
        <v>3626</v>
      </c>
      <c r="G701" s="2326">
        <f t="shared" si="57"/>
        <v>3541</v>
      </c>
    </row>
    <row r="702" spans="1:7" ht="15.75">
      <c r="A702" s="2486">
        <f t="shared" si="58"/>
        <v>31925</v>
      </c>
      <c r="B702" s="2325">
        <v>31900</v>
      </c>
      <c r="C702" s="2325">
        <v>31950</v>
      </c>
      <c r="D702" s="2326">
        <f t="shared" si="54"/>
        <v>3632</v>
      </c>
      <c r="E702" s="2326">
        <f t="shared" si="55"/>
        <v>3433</v>
      </c>
      <c r="F702" s="2326">
        <f t="shared" si="56"/>
        <v>3632</v>
      </c>
      <c r="G702" s="2326">
        <f t="shared" si="57"/>
        <v>3547</v>
      </c>
    </row>
    <row r="703" spans="1:7" ht="15.75">
      <c r="A703" s="2486">
        <f t="shared" si="58"/>
        <v>31975</v>
      </c>
      <c r="B703" s="2325">
        <v>31950</v>
      </c>
      <c r="C703" s="2325">
        <v>32000</v>
      </c>
      <c r="D703" s="2326">
        <f t="shared" si="54"/>
        <v>3638</v>
      </c>
      <c r="E703" s="2326">
        <f t="shared" si="55"/>
        <v>3439</v>
      </c>
      <c r="F703" s="2326">
        <f t="shared" si="56"/>
        <v>3638</v>
      </c>
      <c r="G703" s="2326">
        <f t="shared" si="57"/>
        <v>3553</v>
      </c>
    </row>
    <row r="704" spans="1:7" ht="15.75">
      <c r="A704" s="2486">
        <f t="shared" si="58"/>
        <v>32025</v>
      </c>
      <c r="B704" s="2325">
        <v>32000</v>
      </c>
      <c r="C704" s="2325">
        <v>32050</v>
      </c>
      <c r="D704" s="2326">
        <f t="shared" si="54"/>
        <v>3644</v>
      </c>
      <c r="E704" s="2326">
        <f t="shared" si="55"/>
        <v>3445</v>
      </c>
      <c r="F704" s="2326">
        <f t="shared" si="56"/>
        <v>3644</v>
      </c>
      <c r="G704" s="2326">
        <f t="shared" si="57"/>
        <v>3559</v>
      </c>
    </row>
    <row r="705" spans="1:7" ht="15.75">
      <c r="A705" s="2486">
        <f t="shared" si="58"/>
        <v>32075</v>
      </c>
      <c r="B705" s="2325">
        <v>32050</v>
      </c>
      <c r="C705" s="2325">
        <v>32100</v>
      </c>
      <c r="D705" s="2326">
        <f t="shared" si="54"/>
        <v>3650</v>
      </c>
      <c r="E705" s="2326">
        <f t="shared" si="55"/>
        <v>3451</v>
      </c>
      <c r="F705" s="2326">
        <f t="shared" si="56"/>
        <v>3650</v>
      </c>
      <c r="G705" s="2326">
        <f t="shared" si="57"/>
        <v>3565</v>
      </c>
    </row>
    <row r="706" spans="1:7" ht="15.75">
      <c r="A706" s="2486">
        <f t="shared" si="58"/>
        <v>32125</v>
      </c>
      <c r="B706" s="2325">
        <v>32100</v>
      </c>
      <c r="C706" s="2325">
        <v>32150</v>
      </c>
      <c r="D706" s="2326">
        <f t="shared" ref="D706:D769" si="59">IF($A706&gt;BOTT_A4,ROUND(BASE_A4+RATE_A4*($A706-BOTT_A4),0),IF($A706&gt;BOTT_A3,ROUND(BASE_A3+RATE_A3*($A706-BOTT_A3),0),IF($A706&gt;BOTT_A2,ROUND(BASE_A2+RATE_A2*($A706-BOTT_A2),0),ROUND(RATE_A1*$A706,0))))</f>
        <v>3656</v>
      </c>
      <c r="E706" s="2326">
        <f t="shared" ref="E706:E769" si="60">IF($A706&gt;BOTT_B4,ROUND(BASE_B4+RATE_B4*($A706-BOTT_B4),0),IF($A706&gt;BOTT_B3,ROUND(BASE_B3+RATE_B3*($A706-BOTT_B3),0),IF($A706&gt;BOTT_B2,ROUND(BASE_B2+RATE_B2*($A706-BOTT_B2),0),ROUND(RATE_B1*$A706,0))))</f>
        <v>3457</v>
      </c>
      <c r="F706" s="2326">
        <f t="shared" ref="F706:F769" si="61">IF($A706&gt;BOTT_C4,ROUND(BASE_C4+RATE_C4*($A706-BOTT_C4),0),IF($A706&gt;BOTT_C3,ROUND(BASE_C3+RATE_C3*($A706-BOTT_C3),0),IF($A706&gt;BOTT_C2,ROUND(BASE_C2+RATE_C2*($A706-BOTT_C2),0),ROUND(RATE_C1*$A706,0))))</f>
        <v>3656</v>
      </c>
      <c r="G706" s="2326">
        <f t="shared" ref="G706:G769" si="62">IF($A706&gt;BOTT_D4,ROUND(BASE_D4+RATE_D4*($A706-BOTT_D4),0),IF($A706&gt;BOTT_D3,ROUND(BASE_D3+RATE_D3*($A706-BOTT_D3),0),IF($A706&gt;BOTT_D2,ROUND(BASE_D2+RATE_D2*($A706-BOTT_D2),0),ROUND(RATE_D1*$A706,0))))</f>
        <v>3571</v>
      </c>
    </row>
    <row r="707" spans="1:7" ht="15.75">
      <c r="A707" s="2486">
        <f t="shared" ref="A707:A770" si="63">AVERAGE(B707,C707)</f>
        <v>32175</v>
      </c>
      <c r="B707" s="2325">
        <v>32150</v>
      </c>
      <c r="C707" s="2325">
        <v>32200</v>
      </c>
      <c r="D707" s="2326">
        <f t="shared" si="59"/>
        <v>3662</v>
      </c>
      <c r="E707" s="2326">
        <f t="shared" si="60"/>
        <v>3463</v>
      </c>
      <c r="F707" s="2326">
        <f t="shared" si="61"/>
        <v>3662</v>
      </c>
      <c r="G707" s="2326">
        <f t="shared" si="62"/>
        <v>3577</v>
      </c>
    </row>
    <row r="708" spans="1:7" ht="15.75">
      <c r="A708" s="2486">
        <f t="shared" si="63"/>
        <v>32225</v>
      </c>
      <c r="B708" s="2325">
        <v>32200</v>
      </c>
      <c r="C708" s="2325">
        <v>32250</v>
      </c>
      <c r="D708" s="2326">
        <f t="shared" si="59"/>
        <v>3668</v>
      </c>
      <c r="E708" s="2326">
        <f t="shared" si="60"/>
        <v>3469</v>
      </c>
      <c r="F708" s="2326">
        <f t="shared" si="61"/>
        <v>3668</v>
      </c>
      <c r="G708" s="2326">
        <f t="shared" si="62"/>
        <v>3583</v>
      </c>
    </row>
    <row r="709" spans="1:7" ht="15.75">
      <c r="A709" s="2486">
        <f t="shared" si="63"/>
        <v>32275</v>
      </c>
      <c r="B709" s="2325">
        <v>32250</v>
      </c>
      <c r="C709" s="2325">
        <v>32300</v>
      </c>
      <c r="D709" s="2326">
        <f t="shared" si="59"/>
        <v>3674</v>
      </c>
      <c r="E709" s="2326">
        <f t="shared" si="60"/>
        <v>3475</v>
      </c>
      <c r="F709" s="2326">
        <f t="shared" si="61"/>
        <v>3674</v>
      </c>
      <c r="G709" s="2326">
        <f t="shared" si="62"/>
        <v>3589</v>
      </c>
    </row>
    <row r="710" spans="1:7" ht="15.75">
      <c r="A710" s="2486">
        <f t="shared" si="63"/>
        <v>32325</v>
      </c>
      <c r="B710" s="2325">
        <v>32300</v>
      </c>
      <c r="C710" s="2325">
        <v>32350</v>
      </c>
      <c r="D710" s="2326">
        <f t="shared" si="59"/>
        <v>3680</v>
      </c>
      <c r="E710" s="2326">
        <f t="shared" si="60"/>
        <v>3481</v>
      </c>
      <c r="F710" s="2326">
        <f t="shared" si="61"/>
        <v>3680</v>
      </c>
      <c r="G710" s="2326">
        <f t="shared" si="62"/>
        <v>3595</v>
      </c>
    </row>
    <row r="711" spans="1:7" ht="15.75">
      <c r="A711" s="2486">
        <f t="shared" si="63"/>
        <v>32375</v>
      </c>
      <c r="B711" s="2325">
        <v>32350</v>
      </c>
      <c r="C711" s="2325">
        <v>32400</v>
      </c>
      <c r="D711" s="2326">
        <f t="shared" si="59"/>
        <v>3686</v>
      </c>
      <c r="E711" s="2326">
        <f t="shared" si="60"/>
        <v>3487</v>
      </c>
      <c r="F711" s="2326">
        <f t="shared" si="61"/>
        <v>3686</v>
      </c>
      <c r="G711" s="2326">
        <f t="shared" si="62"/>
        <v>3601</v>
      </c>
    </row>
    <row r="712" spans="1:7" ht="15.75">
      <c r="A712" s="2486">
        <f t="shared" si="63"/>
        <v>32425</v>
      </c>
      <c r="B712" s="2325">
        <v>32400</v>
      </c>
      <c r="C712" s="2325">
        <v>32450</v>
      </c>
      <c r="D712" s="2326">
        <f t="shared" si="59"/>
        <v>3692</v>
      </c>
      <c r="E712" s="2326">
        <f t="shared" si="60"/>
        <v>3493</v>
      </c>
      <c r="F712" s="2326">
        <f t="shared" si="61"/>
        <v>3692</v>
      </c>
      <c r="G712" s="2326">
        <f t="shared" si="62"/>
        <v>3607</v>
      </c>
    </row>
    <row r="713" spans="1:7" ht="15.75">
      <c r="A713" s="2486">
        <f t="shared" si="63"/>
        <v>32475</v>
      </c>
      <c r="B713" s="2325">
        <v>32450</v>
      </c>
      <c r="C713" s="2325">
        <v>32500</v>
      </c>
      <c r="D713" s="2326">
        <f t="shared" si="59"/>
        <v>3698</v>
      </c>
      <c r="E713" s="2326">
        <f t="shared" si="60"/>
        <v>3499</v>
      </c>
      <c r="F713" s="2326">
        <f t="shared" si="61"/>
        <v>3698</v>
      </c>
      <c r="G713" s="2326">
        <f t="shared" si="62"/>
        <v>3613</v>
      </c>
    </row>
    <row r="714" spans="1:7" ht="15.75">
      <c r="A714" s="2486">
        <f t="shared" si="63"/>
        <v>32525</v>
      </c>
      <c r="B714" s="2325">
        <v>32500</v>
      </c>
      <c r="C714" s="2325">
        <v>32550</v>
      </c>
      <c r="D714" s="2326">
        <f t="shared" si="59"/>
        <v>3704</v>
      </c>
      <c r="E714" s="2326">
        <f t="shared" si="60"/>
        <v>3505</v>
      </c>
      <c r="F714" s="2326">
        <f t="shared" si="61"/>
        <v>3704</v>
      </c>
      <c r="G714" s="2326">
        <f t="shared" si="62"/>
        <v>3619</v>
      </c>
    </row>
    <row r="715" spans="1:7" ht="15.75">
      <c r="A715" s="2486">
        <f t="shared" si="63"/>
        <v>32575</v>
      </c>
      <c r="B715" s="2325">
        <v>32550</v>
      </c>
      <c r="C715" s="2325">
        <v>32600</v>
      </c>
      <c r="D715" s="2326">
        <f t="shared" si="59"/>
        <v>3710</v>
      </c>
      <c r="E715" s="2326">
        <f t="shared" si="60"/>
        <v>3511</v>
      </c>
      <c r="F715" s="2326">
        <f t="shared" si="61"/>
        <v>3710</v>
      </c>
      <c r="G715" s="2326">
        <f t="shared" si="62"/>
        <v>3625</v>
      </c>
    </row>
    <row r="716" spans="1:7" ht="15.75">
      <c r="A716" s="2486">
        <f t="shared" si="63"/>
        <v>32625</v>
      </c>
      <c r="B716" s="2325">
        <v>32600</v>
      </c>
      <c r="C716" s="2325">
        <v>32650</v>
      </c>
      <c r="D716" s="2326">
        <f t="shared" si="59"/>
        <v>3716</v>
      </c>
      <c r="E716" s="2326">
        <f t="shared" si="60"/>
        <v>3517</v>
      </c>
      <c r="F716" s="2326">
        <f t="shared" si="61"/>
        <v>3716</v>
      </c>
      <c r="G716" s="2326">
        <f t="shared" si="62"/>
        <v>3631</v>
      </c>
    </row>
    <row r="717" spans="1:7" ht="15.75">
      <c r="A717" s="2486">
        <f t="shared" si="63"/>
        <v>32675</v>
      </c>
      <c r="B717" s="2325">
        <v>32650</v>
      </c>
      <c r="C717" s="2325">
        <v>32700</v>
      </c>
      <c r="D717" s="2326">
        <f t="shared" si="59"/>
        <v>3722</v>
      </c>
      <c r="E717" s="2326">
        <f t="shared" si="60"/>
        <v>3523</v>
      </c>
      <c r="F717" s="2326">
        <f t="shared" si="61"/>
        <v>3722</v>
      </c>
      <c r="G717" s="2326">
        <f t="shared" si="62"/>
        <v>3637</v>
      </c>
    </row>
    <row r="718" spans="1:7" ht="15.75">
      <c r="A718" s="2486">
        <f t="shared" si="63"/>
        <v>32725</v>
      </c>
      <c r="B718" s="2325">
        <v>32700</v>
      </c>
      <c r="C718" s="2325">
        <v>32750</v>
      </c>
      <c r="D718" s="2326">
        <f t="shared" si="59"/>
        <v>3728</v>
      </c>
      <c r="E718" s="2326">
        <f t="shared" si="60"/>
        <v>3529</v>
      </c>
      <c r="F718" s="2326">
        <f t="shared" si="61"/>
        <v>3728</v>
      </c>
      <c r="G718" s="2326">
        <f t="shared" si="62"/>
        <v>3643</v>
      </c>
    </row>
    <row r="719" spans="1:7" ht="15.75">
      <c r="A719" s="2486">
        <f t="shared" si="63"/>
        <v>32775</v>
      </c>
      <c r="B719" s="2325">
        <v>32750</v>
      </c>
      <c r="C719" s="2325">
        <v>32800</v>
      </c>
      <c r="D719" s="2326">
        <f t="shared" si="59"/>
        <v>3734</v>
      </c>
      <c r="E719" s="2326">
        <f t="shared" si="60"/>
        <v>3535</v>
      </c>
      <c r="F719" s="2326">
        <f t="shared" si="61"/>
        <v>3734</v>
      </c>
      <c r="G719" s="2326">
        <f t="shared" si="62"/>
        <v>3649</v>
      </c>
    </row>
    <row r="720" spans="1:7" ht="15.75">
      <c r="A720" s="2486">
        <f t="shared" si="63"/>
        <v>32825</v>
      </c>
      <c r="B720" s="2325">
        <v>32800</v>
      </c>
      <c r="C720" s="2325">
        <v>32850</v>
      </c>
      <c r="D720" s="2326">
        <f t="shared" si="59"/>
        <v>3740</v>
      </c>
      <c r="E720" s="2326">
        <f t="shared" si="60"/>
        <v>3541</v>
      </c>
      <c r="F720" s="2326">
        <f t="shared" si="61"/>
        <v>3740</v>
      </c>
      <c r="G720" s="2326">
        <f t="shared" si="62"/>
        <v>3655</v>
      </c>
    </row>
    <row r="721" spans="1:7" ht="15.75">
      <c r="A721" s="2486">
        <f t="shared" si="63"/>
        <v>32875</v>
      </c>
      <c r="B721" s="2325">
        <v>32850</v>
      </c>
      <c r="C721" s="2325">
        <v>32900</v>
      </c>
      <c r="D721" s="2326">
        <f t="shared" si="59"/>
        <v>3746</v>
      </c>
      <c r="E721" s="2326">
        <f t="shared" si="60"/>
        <v>3547</v>
      </c>
      <c r="F721" s="2326">
        <f t="shared" si="61"/>
        <v>3746</v>
      </c>
      <c r="G721" s="2326">
        <f t="shared" si="62"/>
        <v>3661</v>
      </c>
    </row>
    <row r="722" spans="1:7" ht="15.75">
      <c r="A722" s="2486">
        <f t="shared" si="63"/>
        <v>32925</v>
      </c>
      <c r="B722" s="2325">
        <v>32900</v>
      </c>
      <c r="C722" s="2325">
        <v>32950</v>
      </c>
      <c r="D722" s="2326">
        <f t="shared" si="59"/>
        <v>3752</v>
      </c>
      <c r="E722" s="2326">
        <f t="shared" si="60"/>
        <v>3553</v>
      </c>
      <c r="F722" s="2326">
        <f t="shared" si="61"/>
        <v>3752</v>
      </c>
      <c r="G722" s="2326">
        <f t="shared" si="62"/>
        <v>3667</v>
      </c>
    </row>
    <row r="723" spans="1:7" ht="15.75">
      <c r="A723" s="2486">
        <f t="shared" si="63"/>
        <v>32975</v>
      </c>
      <c r="B723" s="2325">
        <v>32950</v>
      </c>
      <c r="C723" s="2325">
        <v>33000</v>
      </c>
      <c r="D723" s="2326">
        <f t="shared" si="59"/>
        <v>3758</v>
      </c>
      <c r="E723" s="2326">
        <f t="shared" si="60"/>
        <v>3559</v>
      </c>
      <c r="F723" s="2326">
        <f t="shared" si="61"/>
        <v>3758</v>
      </c>
      <c r="G723" s="2326">
        <f t="shared" si="62"/>
        <v>3673</v>
      </c>
    </row>
    <row r="724" spans="1:7" ht="15.75">
      <c r="A724" s="2486">
        <f t="shared" si="63"/>
        <v>33025</v>
      </c>
      <c r="B724" s="2325">
        <v>33000</v>
      </c>
      <c r="C724" s="2325">
        <v>33050</v>
      </c>
      <c r="D724" s="2326">
        <f t="shared" si="59"/>
        <v>3764</v>
      </c>
      <c r="E724" s="2326">
        <f t="shared" si="60"/>
        <v>3565</v>
      </c>
      <c r="F724" s="2326">
        <f t="shared" si="61"/>
        <v>3764</v>
      </c>
      <c r="G724" s="2326">
        <f t="shared" si="62"/>
        <v>3679</v>
      </c>
    </row>
    <row r="725" spans="1:7" ht="15.75">
      <c r="A725" s="2486">
        <f t="shared" si="63"/>
        <v>33075</v>
      </c>
      <c r="B725" s="2325">
        <v>33050</v>
      </c>
      <c r="C725" s="2325">
        <v>33100</v>
      </c>
      <c r="D725" s="2326">
        <f t="shared" si="59"/>
        <v>3770</v>
      </c>
      <c r="E725" s="2326">
        <f t="shared" si="60"/>
        <v>3571</v>
      </c>
      <c r="F725" s="2326">
        <f t="shared" si="61"/>
        <v>3770</v>
      </c>
      <c r="G725" s="2326">
        <f t="shared" si="62"/>
        <v>3685</v>
      </c>
    </row>
    <row r="726" spans="1:7" ht="15.75">
      <c r="A726" s="2486">
        <f t="shared" si="63"/>
        <v>33125</v>
      </c>
      <c r="B726" s="2325">
        <v>33100</v>
      </c>
      <c r="C726" s="2325">
        <v>33150</v>
      </c>
      <c r="D726" s="2326">
        <f t="shared" si="59"/>
        <v>3776</v>
      </c>
      <c r="E726" s="2326">
        <f t="shared" si="60"/>
        <v>3577</v>
      </c>
      <c r="F726" s="2326">
        <f t="shared" si="61"/>
        <v>3776</v>
      </c>
      <c r="G726" s="2326">
        <f t="shared" si="62"/>
        <v>3691</v>
      </c>
    </row>
    <row r="727" spans="1:7" ht="15.75">
      <c r="A727" s="2486">
        <f t="shared" si="63"/>
        <v>33175</v>
      </c>
      <c r="B727" s="2325">
        <v>33150</v>
      </c>
      <c r="C727" s="2325">
        <v>33200</v>
      </c>
      <c r="D727" s="2326">
        <f t="shared" si="59"/>
        <v>3782</v>
      </c>
      <c r="E727" s="2326">
        <f t="shared" si="60"/>
        <v>3583</v>
      </c>
      <c r="F727" s="2326">
        <f t="shared" si="61"/>
        <v>3782</v>
      </c>
      <c r="G727" s="2326">
        <f t="shared" si="62"/>
        <v>3697</v>
      </c>
    </row>
    <row r="728" spans="1:7" ht="15.75">
      <c r="A728" s="2486">
        <f t="shared" si="63"/>
        <v>33225</v>
      </c>
      <c r="B728" s="2325">
        <v>33200</v>
      </c>
      <c r="C728" s="2325">
        <v>33250</v>
      </c>
      <c r="D728" s="2326">
        <f t="shared" si="59"/>
        <v>3788</v>
      </c>
      <c r="E728" s="2326">
        <f t="shared" si="60"/>
        <v>3589</v>
      </c>
      <c r="F728" s="2326">
        <f t="shared" si="61"/>
        <v>3788</v>
      </c>
      <c r="G728" s="2326">
        <f t="shared" si="62"/>
        <v>3703</v>
      </c>
    </row>
    <row r="729" spans="1:7" ht="15.75">
      <c r="A729" s="2486">
        <f t="shared" si="63"/>
        <v>33275</v>
      </c>
      <c r="B729" s="2325">
        <v>33250</v>
      </c>
      <c r="C729" s="2325">
        <v>33300</v>
      </c>
      <c r="D729" s="2326">
        <f t="shared" si="59"/>
        <v>3794</v>
      </c>
      <c r="E729" s="2326">
        <f t="shared" si="60"/>
        <v>3595</v>
      </c>
      <c r="F729" s="2326">
        <f t="shared" si="61"/>
        <v>3794</v>
      </c>
      <c r="G729" s="2326">
        <f t="shared" si="62"/>
        <v>3709</v>
      </c>
    </row>
    <row r="730" spans="1:7" ht="15.75">
      <c r="A730" s="2486">
        <f t="shared" si="63"/>
        <v>33325</v>
      </c>
      <c r="B730" s="2325">
        <v>33300</v>
      </c>
      <c r="C730" s="2325">
        <v>33350</v>
      </c>
      <c r="D730" s="2326">
        <f t="shared" si="59"/>
        <v>3800</v>
      </c>
      <c r="E730" s="2326">
        <f t="shared" si="60"/>
        <v>3601</v>
      </c>
      <c r="F730" s="2326">
        <f t="shared" si="61"/>
        <v>3800</v>
      </c>
      <c r="G730" s="2326">
        <f t="shared" si="62"/>
        <v>3715</v>
      </c>
    </row>
    <row r="731" spans="1:7" ht="15.75">
      <c r="A731" s="2486">
        <f t="shared" si="63"/>
        <v>33375</v>
      </c>
      <c r="B731" s="2325">
        <v>33350</v>
      </c>
      <c r="C731" s="2325">
        <v>33400</v>
      </c>
      <c r="D731" s="2326">
        <f t="shared" si="59"/>
        <v>3806</v>
      </c>
      <c r="E731" s="2326">
        <f t="shared" si="60"/>
        <v>3607</v>
      </c>
      <c r="F731" s="2326">
        <f t="shared" si="61"/>
        <v>3806</v>
      </c>
      <c r="G731" s="2326">
        <f t="shared" si="62"/>
        <v>3721</v>
      </c>
    </row>
    <row r="732" spans="1:7" ht="15.75">
      <c r="A732" s="2486">
        <f t="shared" si="63"/>
        <v>33425</v>
      </c>
      <c r="B732" s="2325">
        <v>33400</v>
      </c>
      <c r="C732" s="2325">
        <v>33450</v>
      </c>
      <c r="D732" s="2326">
        <f t="shared" si="59"/>
        <v>3812</v>
      </c>
      <c r="E732" s="2326">
        <f t="shared" si="60"/>
        <v>3613</v>
      </c>
      <c r="F732" s="2326">
        <f t="shared" si="61"/>
        <v>3812</v>
      </c>
      <c r="G732" s="2326">
        <f t="shared" si="62"/>
        <v>3727</v>
      </c>
    </row>
    <row r="733" spans="1:7" ht="15.75">
      <c r="A733" s="2486">
        <f t="shared" si="63"/>
        <v>33475</v>
      </c>
      <c r="B733" s="2325">
        <v>33450</v>
      </c>
      <c r="C733" s="2325">
        <v>33500</v>
      </c>
      <c r="D733" s="2326">
        <f t="shared" si="59"/>
        <v>3818</v>
      </c>
      <c r="E733" s="2326">
        <f t="shared" si="60"/>
        <v>3619</v>
      </c>
      <c r="F733" s="2326">
        <f t="shared" si="61"/>
        <v>3818</v>
      </c>
      <c r="G733" s="2326">
        <f t="shared" si="62"/>
        <v>3733</v>
      </c>
    </row>
    <row r="734" spans="1:7" ht="15.75">
      <c r="A734" s="2486">
        <f t="shared" si="63"/>
        <v>33525</v>
      </c>
      <c r="B734" s="2325">
        <v>33500</v>
      </c>
      <c r="C734" s="2325">
        <v>33550</v>
      </c>
      <c r="D734" s="2326">
        <f t="shared" si="59"/>
        <v>3824</v>
      </c>
      <c r="E734" s="2326">
        <f t="shared" si="60"/>
        <v>3625</v>
      </c>
      <c r="F734" s="2326">
        <f t="shared" si="61"/>
        <v>3824</v>
      </c>
      <c r="G734" s="2326">
        <f t="shared" si="62"/>
        <v>3739</v>
      </c>
    </row>
    <row r="735" spans="1:7" ht="15.75">
      <c r="A735" s="2486">
        <f t="shared" si="63"/>
        <v>33575</v>
      </c>
      <c r="B735" s="2325">
        <v>33550</v>
      </c>
      <c r="C735" s="2325">
        <v>33600</v>
      </c>
      <c r="D735" s="2326">
        <f t="shared" si="59"/>
        <v>3830</v>
      </c>
      <c r="E735" s="2326">
        <f t="shared" si="60"/>
        <v>3631</v>
      </c>
      <c r="F735" s="2326">
        <f t="shared" si="61"/>
        <v>3830</v>
      </c>
      <c r="G735" s="2326">
        <f t="shared" si="62"/>
        <v>3745</v>
      </c>
    </row>
    <row r="736" spans="1:7" ht="15.75">
      <c r="A736" s="2486">
        <f t="shared" si="63"/>
        <v>33625</v>
      </c>
      <c r="B736" s="2325">
        <v>33600</v>
      </c>
      <c r="C736" s="2325">
        <v>33650</v>
      </c>
      <c r="D736" s="2326">
        <f t="shared" si="59"/>
        <v>3836</v>
      </c>
      <c r="E736" s="2326">
        <f t="shared" si="60"/>
        <v>3637</v>
      </c>
      <c r="F736" s="2326">
        <f t="shared" si="61"/>
        <v>3836</v>
      </c>
      <c r="G736" s="2326">
        <f t="shared" si="62"/>
        <v>3751</v>
      </c>
    </row>
    <row r="737" spans="1:7" ht="15.75">
      <c r="A737" s="2486">
        <f t="shared" si="63"/>
        <v>33675</v>
      </c>
      <c r="B737" s="2325">
        <v>33650</v>
      </c>
      <c r="C737" s="2325">
        <v>33700</v>
      </c>
      <c r="D737" s="2326">
        <f t="shared" si="59"/>
        <v>3842</v>
      </c>
      <c r="E737" s="2326">
        <f t="shared" si="60"/>
        <v>3643</v>
      </c>
      <c r="F737" s="2326">
        <f t="shared" si="61"/>
        <v>3842</v>
      </c>
      <c r="G737" s="2326">
        <f t="shared" si="62"/>
        <v>3757</v>
      </c>
    </row>
    <row r="738" spans="1:7" ht="15.75">
      <c r="A738" s="2486">
        <f t="shared" si="63"/>
        <v>33725</v>
      </c>
      <c r="B738" s="2325">
        <v>33700</v>
      </c>
      <c r="C738" s="2325">
        <v>33750</v>
      </c>
      <c r="D738" s="2326">
        <f t="shared" si="59"/>
        <v>3848</v>
      </c>
      <c r="E738" s="2326">
        <f t="shared" si="60"/>
        <v>3649</v>
      </c>
      <c r="F738" s="2326">
        <f t="shared" si="61"/>
        <v>3848</v>
      </c>
      <c r="G738" s="2326">
        <f t="shared" si="62"/>
        <v>3763</v>
      </c>
    </row>
    <row r="739" spans="1:7" ht="15.75">
      <c r="A739" s="2486">
        <f t="shared" si="63"/>
        <v>33775</v>
      </c>
      <c r="B739" s="2325">
        <v>33750</v>
      </c>
      <c r="C739" s="2325">
        <v>33800</v>
      </c>
      <c r="D739" s="2326">
        <f t="shared" si="59"/>
        <v>3854</v>
      </c>
      <c r="E739" s="2326">
        <f t="shared" si="60"/>
        <v>3655</v>
      </c>
      <c r="F739" s="2326">
        <f t="shared" si="61"/>
        <v>3854</v>
      </c>
      <c r="G739" s="2326">
        <f t="shared" si="62"/>
        <v>3769</v>
      </c>
    </row>
    <row r="740" spans="1:7" ht="15.75">
      <c r="A740" s="2486">
        <f t="shared" si="63"/>
        <v>33825</v>
      </c>
      <c r="B740" s="2325">
        <v>33800</v>
      </c>
      <c r="C740" s="2325">
        <v>33850</v>
      </c>
      <c r="D740" s="2326">
        <f t="shared" si="59"/>
        <v>3860</v>
      </c>
      <c r="E740" s="2326">
        <f t="shared" si="60"/>
        <v>3661</v>
      </c>
      <c r="F740" s="2326">
        <f t="shared" si="61"/>
        <v>3860</v>
      </c>
      <c r="G740" s="2326">
        <f t="shared" si="62"/>
        <v>3775</v>
      </c>
    </row>
    <row r="741" spans="1:7" ht="15.75">
      <c r="A741" s="2486">
        <f t="shared" si="63"/>
        <v>33875</v>
      </c>
      <c r="B741" s="2325">
        <v>33850</v>
      </c>
      <c r="C741" s="2325">
        <v>33900</v>
      </c>
      <c r="D741" s="2326">
        <f t="shared" si="59"/>
        <v>3866</v>
      </c>
      <c r="E741" s="2326">
        <f t="shared" si="60"/>
        <v>3667</v>
      </c>
      <c r="F741" s="2326">
        <f t="shared" si="61"/>
        <v>3866</v>
      </c>
      <c r="G741" s="2326">
        <f t="shared" si="62"/>
        <v>3781</v>
      </c>
    </row>
    <row r="742" spans="1:7" ht="15.75">
      <c r="A742" s="2486">
        <f t="shared" si="63"/>
        <v>33925</v>
      </c>
      <c r="B742" s="2325">
        <v>33900</v>
      </c>
      <c r="C742" s="2325">
        <v>33950</v>
      </c>
      <c r="D742" s="2326">
        <f t="shared" si="59"/>
        <v>3872</v>
      </c>
      <c r="E742" s="2326">
        <f t="shared" si="60"/>
        <v>3673</v>
      </c>
      <c r="F742" s="2326">
        <f t="shared" si="61"/>
        <v>3872</v>
      </c>
      <c r="G742" s="2326">
        <f t="shared" si="62"/>
        <v>3787</v>
      </c>
    </row>
    <row r="743" spans="1:7" ht="15.75">
      <c r="A743" s="2486">
        <f t="shared" si="63"/>
        <v>33975</v>
      </c>
      <c r="B743" s="2325">
        <v>33950</v>
      </c>
      <c r="C743" s="2325">
        <v>34000</v>
      </c>
      <c r="D743" s="2326">
        <f t="shared" si="59"/>
        <v>3878</v>
      </c>
      <c r="E743" s="2326">
        <f t="shared" si="60"/>
        <v>3679</v>
      </c>
      <c r="F743" s="2326">
        <f t="shared" si="61"/>
        <v>3878</v>
      </c>
      <c r="G743" s="2326">
        <f t="shared" si="62"/>
        <v>3793</v>
      </c>
    </row>
    <row r="744" spans="1:7" ht="15.75">
      <c r="A744" s="2486">
        <f t="shared" si="63"/>
        <v>34025</v>
      </c>
      <c r="B744" s="2325">
        <v>34000</v>
      </c>
      <c r="C744" s="2325">
        <v>34050</v>
      </c>
      <c r="D744" s="2326">
        <f t="shared" si="59"/>
        <v>3884</v>
      </c>
      <c r="E744" s="2326">
        <f t="shared" si="60"/>
        <v>3685</v>
      </c>
      <c r="F744" s="2326">
        <f t="shared" si="61"/>
        <v>3884</v>
      </c>
      <c r="G744" s="2326">
        <f t="shared" si="62"/>
        <v>3799</v>
      </c>
    </row>
    <row r="745" spans="1:7" ht="15.75">
      <c r="A745" s="2486">
        <f t="shared" si="63"/>
        <v>34075</v>
      </c>
      <c r="B745" s="2325">
        <v>34050</v>
      </c>
      <c r="C745" s="2325">
        <v>34100</v>
      </c>
      <c r="D745" s="2326">
        <f t="shared" si="59"/>
        <v>3890</v>
      </c>
      <c r="E745" s="2326">
        <f t="shared" si="60"/>
        <v>3691</v>
      </c>
      <c r="F745" s="2326">
        <f t="shared" si="61"/>
        <v>3890</v>
      </c>
      <c r="G745" s="2326">
        <f t="shared" si="62"/>
        <v>3805</v>
      </c>
    </row>
    <row r="746" spans="1:7" ht="15.75">
      <c r="A746" s="2486">
        <f t="shared" si="63"/>
        <v>34125</v>
      </c>
      <c r="B746" s="2325">
        <v>34100</v>
      </c>
      <c r="C746" s="2325">
        <v>34150</v>
      </c>
      <c r="D746" s="2326">
        <f t="shared" si="59"/>
        <v>3896</v>
      </c>
      <c r="E746" s="2326">
        <f t="shared" si="60"/>
        <v>3697</v>
      </c>
      <c r="F746" s="2326">
        <f t="shared" si="61"/>
        <v>3896</v>
      </c>
      <c r="G746" s="2326">
        <f t="shared" si="62"/>
        <v>3811</v>
      </c>
    </row>
    <row r="747" spans="1:7" ht="15.75">
      <c r="A747" s="2486">
        <f t="shared" si="63"/>
        <v>34175</v>
      </c>
      <c r="B747" s="2325">
        <v>34150</v>
      </c>
      <c r="C747" s="2325">
        <v>34200</v>
      </c>
      <c r="D747" s="2326">
        <f t="shared" si="59"/>
        <v>3902</v>
      </c>
      <c r="E747" s="2326">
        <f t="shared" si="60"/>
        <v>3703</v>
      </c>
      <c r="F747" s="2326">
        <f t="shared" si="61"/>
        <v>3902</v>
      </c>
      <c r="G747" s="2326">
        <f t="shared" si="62"/>
        <v>3817</v>
      </c>
    </row>
    <row r="748" spans="1:7" ht="15.75">
      <c r="A748" s="2486">
        <f t="shared" si="63"/>
        <v>34225</v>
      </c>
      <c r="B748" s="2325">
        <v>34200</v>
      </c>
      <c r="C748" s="2325">
        <v>34250</v>
      </c>
      <c r="D748" s="2326">
        <f t="shared" si="59"/>
        <v>3908</v>
      </c>
      <c r="E748" s="2326">
        <f t="shared" si="60"/>
        <v>3709</v>
      </c>
      <c r="F748" s="2326">
        <f t="shared" si="61"/>
        <v>3908</v>
      </c>
      <c r="G748" s="2326">
        <f t="shared" si="62"/>
        <v>3823</v>
      </c>
    </row>
    <row r="749" spans="1:7" ht="15.75">
      <c r="A749" s="2486">
        <f t="shared" si="63"/>
        <v>34275</v>
      </c>
      <c r="B749" s="2325">
        <v>34250</v>
      </c>
      <c r="C749" s="2325">
        <v>34300</v>
      </c>
      <c r="D749" s="2326">
        <f t="shared" si="59"/>
        <v>3914</v>
      </c>
      <c r="E749" s="2326">
        <f t="shared" si="60"/>
        <v>3715</v>
      </c>
      <c r="F749" s="2326">
        <f t="shared" si="61"/>
        <v>3914</v>
      </c>
      <c r="G749" s="2326">
        <f t="shared" si="62"/>
        <v>3829</v>
      </c>
    </row>
    <row r="750" spans="1:7" ht="15.75">
      <c r="A750" s="2486">
        <f t="shared" si="63"/>
        <v>34325</v>
      </c>
      <c r="B750" s="2325">
        <v>34300</v>
      </c>
      <c r="C750" s="2325">
        <v>34350</v>
      </c>
      <c r="D750" s="2326">
        <f t="shared" si="59"/>
        <v>3920</v>
      </c>
      <c r="E750" s="2326">
        <f t="shared" si="60"/>
        <v>3721</v>
      </c>
      <c r="F750" s="2326">
        <f t="shared" si="61"/>
        <v>3920</v>
      </c>
      <c r="G750" s="2326">
        <f t="shared" si="62"/>
        <v>3835</v>
      </c>
    </row>
    <row r="751" spans="1:7" ht="15.75">
      <c r="A751" s="2486">
        <f t="shared" si="63"/>
        <v>34375</v>
      </c>
      <c r="B751" s="2325">
        <v>34350</v>
      </c>
      <c r="C751" s="2325">
        <v>34400</v>
      </c>
      <c r="D751" s="2326">
        <f t="shared" si="59"/>
        <v>3926</v>
      </c>
      <c r="E751" s="2326">
        <f t="shared" si="60"/>
        <v>3727</v>
      </c>
      <c r="F751" s="2326">
        <f t="shared" si="61"/>
        <v>3926</v>
      </c>
      <c r="G751" s="2326">
        <f t="shared" si="62"/>
        <v>3841</v>
      </c>
    </row>
    <row r="752" spans="1:7" ht="15.75">
      <c r="A752" s="2486">
        <f t="shared" si="63"/>
        <v>34425</v>
      </c>
      <c r="B752" s="2325">
        <v>34400</v>
      </c>
      <c r="C752" s="2325">
        <v>34450</v>
      </c>
      <c r="D752" s="2326">
        <f t="shared" si="59"/>
        <v>3932</v>
      </c>
      <c r="E752" s="2326">
        <f t="shared" si="60"/>
        <v>3733</v>
      </c>
      <c r="F752" s="2326">
        <f t="shared" si="61"/>
        <v>3932</v>
      </c>
      <c r="G752" s="2326">
        <f t="shared" si="62"/>
        <v>3847</v>
      </c>
    </row>
    <row r="753" spans="1:7" ht="15.75">
      <c r="A753" s="2486">
        <f t="shared" si="63"/>
        <v>34475</v>
      </c>
      <c r="B753" s="2325">
        <v>34450</v>
      </c>
      <c r="C753" s="2325">
        <v>34500</v>
      </c>
      <c r="D753" s="2326">
        <f t="shared" si="59"/>
        <v>3938</v>
      </c>
      <c r="E753" s="2326">
        <f t="shared" si="60"/>
        <v>3739</v>
      </c>
      <c r="F753" s="2326">
        <f t="shared" si="61"/>
        <v>3938</v>
      </c>
      <c r="G753" s="2326">
        <f t="shared" si="62"/>
        <v>3853</v>
      </c>
    </row>
    <row r="754" spans="1:7" ht="15.75">
      <c r="A754" s="2486">
        <f t="shared" si="63"/>
        <v>34525</v>
      </c>
      <c r="B754" s="2325">
        <v>34500</v>
      </c>
      <c r="C754" s="2325">
        <v>34550</v>
      </c>
      <c r="D754" s="2326">
        <f t="shared" si="59"/>
        <v>3944</v>
      </c>
      <c r="E754" s="2326">
        <f t="shared" si="60"/>
        <v>3745</v>
      </c>
      <c r="F754" s="2326">
        <f t="shared" si="61"/>
        <v>3944</v>
      </c>
      <c r="G754" s="2326">
        <f t="shared" si="62"/>
        <v>3859</v>
      </c>
    </row>
    <row r="755" spans="1:7" ht="15.75">
      <c r="A755" s="2486">
        <f t="shared" si="63"/>
        <v>34575</v>
      </c>
      <c r="B755" s="2325">
        <v>34550</v>
      </c>
      <c r="C755" s="2325">
        <v>34600</v>
      </c>
      <c r="D755" s="2326">
        <f t="shared" si="59"/>
        <v>3950</v>
      </c>
      <c r="E755" s="2326">
        <f t="shared" si="60"/>
        <v>3751</v>
      </c>
      <c r="F755" s="2326">
        <f t="shared" si="61"/>
        <v>3950</v>
      </c>
      <c r="G755" s="2326">
        <f t="shared" si="62"/>
        <v>3865</v>
      </c>
    </row>
    <row r="756" spans="1:7" ht="15.75">
      <c r="A756" s="2486">
        <f t="shared" si="63"/>
        <v>34625</v>
      </c>
      <c r="B756" s="2325">
        <v>34600</v>
      </c>
      <c r="C756" s="2325">
        <v>34650</v>
      </c>
      <c r="D756" s="2326">
        <f t="shared" si="59"/>
        <v>3956</v>
      </c>
      <c r="E756" s="2326">
        <f t="shared" si="60"/>
        <v>3757</v>
      </c>
      <c r="F756" s="2326">
        <f t="shared" si="61"/>
        <v>3956</v>
      </c>
      <c r="G756" s="2326">
        <f t="shared" si="62"/>
        <v>3871</v>
      </c>
    </row>
    <row r="757" spans="1:7" ht="15.75">
      <c r="A757" s="2486">
        <f t="shared" si="63"/>
        <v>34675</v>
      </c>
      <c r="B757" s="2325">
        <v>34650</v>
      </c>
      <c r="C757" s="2325">
        <v>34700</v>
      </c>
      <c r="D757" s="2326">
        <f t="shared" si="59"/>
        <v>3962</v>
      </c>
      <c r="E757" s="2326">
        <f t="shared" si="60"/>
        <v>3763</v>
      </c>
      <c r="F757" s="2326">
        <f t="shared" si="61"/>
        <v>3962</v>
      </c>
      <c r="G757" s="2326">
        <f t="shared" si="62"/>
        <v>3877</v>
      </c>
    </row>
    <row r="758" spans="1:7" ht="15.75">
      <c r="A758" s="2486">
        <f t="shared" si="63"/>
        <v>34725</v>
      </c>
      <c r="B758" s="2325">
        <v>34700</v>
      </c>
      <c r="C758" s="2325">
        <v>34750</v>
      </c>
      <c r="D758" s="2326">
        <f t="shared" si="59"/>
        <v>3968</v>
      </c>
      <c r="E758" s="2326">
        <f t="shared" si="60"/>
        <v>3769</v>
      </c>
      <c r="F758" s="2326">
        <f t="shared" si="61"/>
        <v>3968</v>
      </c>
      <c r="G758" s="2326">
        <f t="shared" si="62"/>
        <v>3883</v>
      </c>
    </row>
    <row r="759" spans="1:7" ht="15.75">
      <c r="A759" s="2486">
        <f t="shared" si="63"/>
        <v>34775</v>
      </c>
      <c r="B759" s="2325">
        <v>34750</v>
      </c>
      <c r="C759" s="2325">
        <v>34800</v>
      </c>
      <c r="D759" s="2326">
        <f t="shared" si="59"/>
        <v>3974</v>
      </c>
      <c r="E759" s="2326">
        <f t="shared" si="60"/>
        <v>3775</v>
      </c>
      <c r="F759" s="2326">
        <f t="shared" si="61"/>
        <v>3974</v>
      </c>
      <c r="G759" s="2326">
        <f t="shared" si="62"/>
        <v>3889</v>
      </c>
    </row>
    <row r="760" spans="1:7" ht="15.75">
      <c r="A760" s="2486">
        <f t="shared" si="63"/>
        <v>34825</v>
      </c>
      <c r="B760" s="2325">
        <v>34800</v>
      </c>
      <c r="C760" s="2325">
        <v>34850</v>
      </c>
      <c r="D760" s="2326">
        <f t="shared" si="59"/>
        <v>3980</v>
      </c>
      <c r="E760" s="2326">
        <f t="shared" si="60"/>
        <v>3781</v>
      </c>
      <c r="F760" s="2326">
        <f t="shared" si="61"/>
        <v>3980</v>
      </c>
      <c r="G760" s="2326">
        <f t="shared" si="62"/>
        <v>3895</v>
      </c>
    </row>
    <row r="761" spans="1:7" ht="15.75">
      <c r="A761" s="2486">
        <f t="shared" si="63"/>
        <v>34875</v>
      </c>
      <c r="B761" s="2325">
        <v>34850</v>
      </c>
      <c r="C761" s="2325">
        <v>34900</v>
      </c>
      <c r="D761" s="2326">
        <f t="shared" si="59"/>
        <v>3986</v>
      </c>
      <c r="E761" s="2326">
        <f t="shared" si="60"/>
        <v>3787</v>
      </c>
      <c r="F761" s="2326">
        <f t="shared" si="61"/>
        <v>3986</v>
      </c>
      <c r="G761" s="2326">
        <f t="shared" si="62"/>
        <v>3901</v>
      </c>
    </row>
    <row r="762" spans="1:7" ht="15.75">
      <c r="A762" s="2486">
        <f t="shared" si="63"/>
        <v>34925</v>
      </c>
      <c r="B762" s="2325">
        <v>34900</v>
      </c>
      <c r="C762" s="2325">
        <v>34950</v>
      </c>
      <c r="D762" s="2326">
        <f t="shared" si="59"/>
        <v>3992</v>
      </c>
      <c r="E762" s="2326">
        <f t="shared" si="60"/>
        <v>3793</v>
      </c>
      <c r="F762" s="2326">
        <f t="shared" si="61"/>
        <v>3992</v>
      </c>
      <c r="G762" s="2326">
        <f t="shared" si="62"/>
        <v>3907</v>
      </c>
    </row>
    <row r="763" spans="1:7" ht="15.75">
      <c r="A763" s="2486">
        <f t="shared" si="63"/>
        <v>34975</v>
      </c>
      <c r="B763" s="2325">
        <v>34950</v>
      </c>
      <c r="C763" s="2325">
        <v>35000</v>
      </c>
      <c r="D763" s="2326">
        <f t="shared" si="59"/>
        <v>3998</v>
      </c>
      <c r="E763" s="2326">
        <f t="shared" si="60"/>
        <v>3799</v>
      </c>
      <c r="F763" s="2326">
        <f t="shared" si="61"/>
        <v>3998</v>
      </c>
      <c r="G763" s="2326">
        <f t="shared" si="62"/>
        <v>3913</v>
      </c>
    </row>
    <row r="764" spans="1:7" ht="15.75">
      <c r="A764" s="2486">
        <f t="shared" si="63"/>
        <v>35025</v>
      </c>
      <c r="B764" s="2325">
        <v>35000</v>
      </c>
      <c r="C764" s="2325">
        <v>35050</v>
      </c>
      <c r="D764" s="2326">
        <f t="shared" si="59"/>
        <v>4004</v>
      </c>
      <c r="E764" s="2326">
        <f t="shared" si="60"/>
        <v>3805</v>
      </c>
      <c r="F764" s="2326">
        <f t="shared" si="61"/>
        <v>4004</v>
      </c>
      <c r="G764" s="2326">
        <f t="shared" si="62"/>
        <v>3919</v>
      </c>
    </row>
    <row r="765" spans="1:7" ht="15.75">
      <c r="A765" s="2486">
        <f t="shared" si="63"/>
        <v>35075</v>
      </c>
      <c r="B765" s="2325">
        <v>35050</v>
      </c>
      <c r="C765" s="2325">
        <v>35100</v>
      </c>
      <c r="D765" s="2326">
        <f t="shared" si="59"/>
        <v>4010</v>
      </c>
      <c r="E765" s="2326">
        <f t="shared" si="60"/>
        <v>3811</v>
      </c>
      <c r="F765" s="2326">
        <f t="shared" si="61"/>
        <v>4010</v>
      </c>
      <c r="G765" s="2326">
        <f t="shared" si="62"/>
        <v>3925</v>
      </c>
    </row>
    <row r="766" spans="1:7" ht="15.75">
      <c r="A766" s="2486">
        <f t="shared" si="63"/>
        <v>35125</v>
      </c>
      <c r="B766" s="2325">
        <v>35100</v>
      </c>
      <c r="C766" s="2325">
        <v>35150</v>
      </c>
      <c r="D766" s="2326">
        <f t="shared" si="59"/>
        <v>4016</v>
      </c>
      <c r="E766" s="2326">
        <f t="shared" si="60"/>
        <v>3817</v>
      </c>
      <c r="F766" s="2326">
        <f t="shared" si="61"/>
        <v>4016</v>
      </c>
      <c r="G766" s="2326">
        <f t="shared" si="62"/>
        <v>3931</v>
      </c>
    </row>
    <row r="767" spans="1:7" ht="15.75">
      <c r="A767" s="2486">
        <f t="shared" si="63"/>
        <v>35175</v>
      </c>
      <c r="B767" s="2325">
        <v>35150</v>
      </c>
      <c r="C767" s="2325">
        <v>35200</v>
      </c>
      <c r="D767" s="2326">
        <f t="shared" si="59"/>
        <v>4022</v>
      </c>
      <c r="E767" s="2326">
        <f t="shared" si="60"/>
        <v>3823</v>
      </c>
      <c r="F767" s="2326">
        <f t="shared" si="61"/>
        <v>4022</v>
      </c>
      <c r="G767" s="2326">
        <f t="shared" si="62"/>
        <v>3937</v>
      </c>
    </row>
    <row r="768" spans="1:7" ht="15.75">
      <c r="A768" s="2486">
        <f t="shared" si="63"/>
        <v>35225</v>
      </c>
      <c r="B768" s="2325">
        <v>35200</v>
      </c>
      <c r="C768" s="2325">
        <v>35250</v>
      </c>
      <c r="D768" s="2326">
        <f t="shared" si="59"/>
        <v>4028</v>
      </c>
      <c r="E768" s="2326">
        <f t="shared" si="60"/>
        <v>3829</v>
      </c>
      <c r="F768" s="2326">
        <f t="shared" si="61"/>
        <v>4028</v>
      </c>
      <c r="G768" s="2326">
        <f t="shared" si="62"/>
        <v>3943</v>
      </c>
    </row>
    <row r="769" spans="1:7" ht="15.75">
      <c r="A769" s="2486">
        <f t="shared" si="63"/>
        <v>35275</v>
      </c>
      <c r="B769" s="2325">
        <v>35250</v>
      </c>
      <c r="C769" s="2325">
        <v>35300</v>
      </c>
      <c r="D769" s="2326">
        <f t="shared" si="59"/>
        <v>4034</v>
      </c>
      <c r="E769" s="2326">
        <f t="shared" si="60"/>
        <v>3835</v>
      </c>
      <c r="F769" s="2326">
        <f t="shared" si="61"/>
        <v>4034</v>
      </c>
      <c r="G769" s="2326">
        <f t="shared" si="62"/>
        <v>3949</v>
      </c>
    </row>
    <row r="770" spans="1:7" ht="15.75">
      <c r="A770" s="2486">
        <f t="shared" si="63"/>
        <v>35325</v>
      </c>
      <c r="B770" s="2325">
        <v>35300</v>
      </c>
      <c r="C770" s="2325">
        <v>35350</v>
      </c>
      <c r="D770" s="2326">
        <f t="shared" ref="D770:D833" si="64">IF($A770&gt;BOTT_A4,ROUND(BASE_A4+RATE_A4*($A770-BOTT_A4),0),IF($A770&gt;BOTT_A3,ROUND(BASE_A3+RATE_A3*($A770-BOTT_A3),0),IF($A770&gt;BOTT_A2,ROUND(BASE_A2+RATE_A2*($A770-BOTT_A2),0),ROUND(RATE_A1*$A770,0))))</f>
        <v>4040</v>
      </c>
      <c r="E770" s="2326">
        <f t="shared" ref="E770:E833" si="65">IF($A770&gt;BOTT_B4,ROUND(BASE_B4+RATE_B4*($A770-BOTT_B4),0),IF($A770&gt;BOTT_B3,ROUND(BASE_B3+RATE_B3*($A770-BOTT_B3),0),IF($A770&gt;BOTT_B2,ROUND(BASE_B2+RATE_B2*($A770-BOTT_B2),0),ROUND(RATE_B1*$A770,0))))</f>
        <v>3841</v>
      </c>
      <c r="F770" s="2326">
        <f t="shared" ref="F770:F833" si="66">IF($A770&gt;BOTT_C4,ROUND(BASE_C4+RATE_C4*($A770-BOTT_C4),0),IF($A770&gt;BOTT_C3,ROUND(BASE_C3+RATE_C3*($A770-BOTT_C3),0),IF($A770&gt;BOTT_C2,ROUND(BASE_C2+RATE_C2*($A770-BOTT_C2),0),ROUND(RATE_C1*$A770,0))))</f>
        <v>4040</v>
      </c>
      <c r="G770" s="2326">
        <f t="shared" ref="G770:G833" si="67">IF($A770&gt;BOTT_D4,ROUND(BASE_D4+RATE_D4*($A770-BOTT_D4),0),IF($A770&gt;BOTT_D3,ROUND(BASE_D3+RATE_D3*($A770-BOTT_D3),0),IF($A770&gt;BOTT_D2,ROUND(BASE_D2+RATE_D2*($A770-BOTT_D2),0),ROUND(RATE_D1*$A770,0))))</f>
        <v>3955</v>
      </c>
    </row>
    <row r="771" spans="1:7" ht="15.75">
      <c r="A771" s="2486">
        <f t="shared" ref="A771:A834" si="68">AVERAGE(B771,C771)</f>
        <v>35375</v>
      </c>
      <c r="B771" s="2325">
        <v>35350</v>
      </c>
      <c r="C771" s="2325">
        <v>35400</v>
      </c>
      <c r="D771" s="2326">
        <f t="shared" si="64"/>
        <v>4046</v>
      </c>
      <c r="E771" s="2326">
        <f t="shared" si="65"/>
        <v>3847</v>
      </c>
      <c r="F771" s="2326">
        <f t="shared" si="66"/>
        <v>4046</v>
      </c>
      <c r="G771" s="2326">
        <f t="shared" si="67"/>
        <v>3961</v>
      </c>
    </row>
    <row r="772" spans="1:7" ht="15.75">
      <c r="A772" s="2486">
        <f t="shared" si="68"/>
        <v>35425</v>
      </c>
      <c r="B772" s="2325">
        <v>35400</v>
      </c>
      <c r="C772" s="2325">
        <v>35450</v>
      </c>
      <c r="D772" s="2326">
        <f t="shared" si="64"/>
        <v>4052</v>
      </c>
      <c r="E772" s="2326">
        <f t="shared" si="65"/>
        <v>3853</v>
      </c>
      <c r="F772" s="2326">
        <f t="shared" si="66"/>
        <v>4052</v>
      </c>
      <c r="G772" s="2326">
        <f t="shared" si="67"/>
        <v>3967</v>
      </c>
    </row>
    <row r="773" spans="1:7" ht="15.75">
      <c r="A773" s="2486">
        <f t="shared" si="68"/>
        <v>35475</v>
      </c>
      <c r="B773" s="2325">
        <v>35450</v>
      </c>
      <c r="C773" s="2325">
        <v>35500</v>
      </c>
      <c r="D773" s="2326">
        <f t="shared" si="64"/>
        <v>4058</v>
      </c>
      <c r="E773" s="2326">
        <f t="shared" si="65"/>
        <v>3859</v>
      </c>
      <c r="F773" s="2326">
        <f t="shared" si="66"/>
        <v>4058</v>
      </c>
      <c r="G773" s="2326">
        <f t="shared" si="67"/>
        <v>3973</v>
      </c>
    </row>
    <row r="774" spans="1:7" ht="15.75">
      <c r="A774" s="2486">
        <f t="shared" si="68"/>
        <v>35525</v>
      </c>
      <c r="B774" s="2325">
        <v>35500</v>
      </c>
      <c r="C774" s="2325">
        <v>35550</v>
      </c>
      <c r="D774" s="2326">
        <f t="shared" si="64"/>
        <v>4064</v>
      </c>
      <c r="E774" s="2326">
        <f t="shared" si="65"/>
        <v>3865</v>
      </c>
      <c r="F774" s="2326">
        <f t="shared" si="66"/>
        <v>4064</v>
      </c>
      <c r="G774" s="2326">
        <f t="shared" si="67"/>
        <v>3979</v>
      </c>
    </row>
    <row r="775" spans="1:7" ht="15.75">
      <c r="A775" s="2486">
        <f t="shared" si="68"/>
        <v>35575</v>
      </c>
      <c r="B775" s="2325">
        <v>35550</v>
      </c>
      <c r="C775" s="2325">
        <v>35600</v>
      </c>
      <c r="D775" s="2326">
        <f t="shared" si="64"/>
        <v>4070</v>
      </c>
      <c r="E775" s="2326">
        <f t="shared" si="65"/>
        <v>3871</v>
      </c>
      <c r="F775" s="2326">
        <f t="shared" si="66"/>
        <v>4070</v>
      </c>
      <c r="G775" s="2326">
        <f t="shared" si="67"/>
        <v>3985</v>
      </c>
    </row>
    <row r="776" spans="1:7" ht="15.75">
      <c r="A776" s="2486">
        <f t="shared" si="68"/>
        <v>35625</v>
      </c>
      <c r="B776" s="2325">
        <v>35600</v>
      </c>
      <c r="C776" s="2325">
        <v>35650</v>
      </c>
      <c r="D776" s="2326">
        <f t="shared" si="64"/>
        <v>4076</v>
      </c>
      <c r="E776" s="2326">
        <f t="shared" si="65"/>
        <v>3877</v>
      </c>
      <c r="F776" s="2326">
        <f t="shared" si="66"/>
        <v>4076</v>
      </c>
      <c r="G776" s="2326">
        <f t="shared" si="67"/>
        <v>3991</v>
      </c>
    </row>
    <row r="777" spans="1:7" ht="15.75">
      <c r="A777" s="2486">
        <f t="shared" si="68"/>
        <v>35675</v>
      </c>
      <c r="B777" s="2325">
        <v>35650</v>
      </c>
      <c r="C777" s="2325">
        <v>35700</v>
      </c>
      <c r="D777" s="2326">
        <f t="shared" si="64"/>
        <v>4082</v>
      </c>
      <c r="E777" s="2326">
        <f t="shared" si="65"/>
        <v>3883</v>
      </c>
      <c r="F777" s="2326">
        <f t="shared" si="66"/>
        <v>4082</v>
      </c>
      <c r="G777" s="2326">
        <f t="shared" si="67"/>
        <v>3997</v>
      </c>
    </row>
    <row r="778" spans="1:7" ht="15.75">
      <c r="A778" s="2486">
        <f t="shared" si="68"/>
        <v>35725</v>
      </c>
      <c r="B778" s="2325">
        <v>35700</v>
      </c>
      <c r="C778" s="2325">
        <v>35750</v>
      </c>
      <c r="D778" s="2326">
        <f t="shared" si="64"/>
        <v>4088</v>
      </c>
      <c r="E778" s="2326">
        <f t="shared" si="65"/>
        <v>3889</v>
      </c>
      <c r="F778" s="2326">
        <f t="shared" si="66"/>
        <v>4088</v>
      </c>
      <c r="G778" s="2326">
        <f t="shared" si="67"/>
        <v>4003</v>
      </c>
    </row>
    <row r="779" spans="1:7" ht="15.75">
      <c r="A779" s="2486">
        <f t="shared" si="68"/>
        <v>35775</v>
      </c>
      <c r="B779" s="2325">
        <v>35750</v>
      </c>
      <c r="C779" s="2325">
        <v>35800</v>
      </c>
      <c r="D779" s="2326">
        <f t="shared" si="64"/>
        <v>4094</v>
      </c>
      <c r="E779" s="2326">
        <f t="shared" si="65"/>
        <v>3895</v>
      </c>
      <c r="F779" s="2326">
        <f t="shared" si="66"/>
        <v>4094</v>
      </c>
      <c r="G779" s="2326">
        <f t="shared" si="67"/>
        <v>4009</v>
      </c>
    </row>
    <row r="780" spans="1:7" ht="15.75">
      <c r="A780" s="2486">
        <f t="shared" si="68"/>
        <v>35825</v>
      </c>
      <c r="B780" s="2325">
        <v>35800</v>
      </c>
      <c r="C780" s="2325">
        <v>35850</v>
      </c>
      <c r="D780" s="2326">
        <f t="shared" si="64"/>
        <v>4100</v>
      </c>
      <c r="E780" s="2326">
        <f t="shared" si="65"/>
        <v>3901</v>
      </c>
      <c r="F780" s="2326">
        <f t="shared" si="66"/>
        <v>4100</v>
      </c>
      <c r="G780" s="2326">
        <f t="shared" si="67"/>
        <v>4015</v>
      </c>
    </row>
    <row r="781" spans="1:7" ht="15.75">
      <c r="A781" s="2486">
        <f t="shared" si="68"/>
        <v>35875</v>
      </c>
      <c r="B781" s="2325">
        <v>35850</v>
      </c>
      <c r="C781" s="2325">
        <v>35900</v>
      </c>
      <c r="D781" s="2326">
        <f t="shared" si="64"/>
        <v>4106</v>
      </c>
      <c r="E781" s="2326">
        <f t="shared" si="65"/>
        <v>3907</v>
      </c>
      <c r="F781" s="2326">
        <f t="shared" si="66"/>
        <v>4106</v>
      </c>
      <c r="G781" s="2326">
        <f t="shared" si="67"/>
        <v>4021</v>
      </c>
    </row>
    <row r="782" spans="1:7" ht="15.75">
      <c r="A782" s="2486">
        <f t="shared" si="68"/>
        <v>35925</v>
      </c>
      <c r="B782" s="2325">
        <v>35900</v>
      </c>
      <c r="C782" s="2325">
        <v>35950</v>
      </c>
      <c r="D782" s="2326">
        <f t="shared" si="64"/>
        <v>4112</v>
      </c>
      <c r="E782" s="2326">
        <f t="shared" si="65"/>
        <v>3913</v>
      </c>
      <c r="F782" s="2326">
        <f t="shared" si="66"/>
        <v>4112</v>
      </c>
      <c r="G782" s="2326">
        <f t="shared" si="67"/>
        <v>4027</v>
      </c>
    </row>
    <row r="783" spans="1:7" ht="15.75">
      <c r="A783" s="2486">
        <f t="shared" si="68"/>
        <v>35975</v>
      </c>
      <c r="B783" s="2325">
        <v>35950</v>
      </c>
      <c r="C783" s="2325">
        <v>36000</v>
      </c>
      <c r="D783" s="2326">
        <f t="shared" si="64"/>
        <v>4118</v>
      </c>
      <c r="E783" s="2326">
        <f t="shared" si="65"/>
        <v>3919</v>
      </c>
      <c r="F783" s="2326">
        <f t="shared" si="66"/>
        <v>4118</v>
      </c>
      <c r="G783" s="2326">
        <f t="shared" si="67"/>
        <v>4033</v>
      </c>
    </row>
    <row r="784" spans="1:7" ht="15.75">
      <c r="A784" s="2486">
        <f t="shared" si="68"/>
        <v>36025</v>
      </c>
      <c r="B784" s="2325">
        <v>36000</v>
      </c>
      <c r="C784" s="2325">
        <v>36050</v>
      </c>
      <c r="D784" s="2326">
        <f t="shared" si="64"/>
        <v>4124</v>
      </c>
      <c r="E784" s="2326">
        <f t="shared" si="65"/>
        <v>3925</v>
      </c>
      <c r="F784" s="2326">
        <f t="shared" si="66"/>
        <v>4124</v>
      </c>
      <c r="G784" s="2326">
        <f t="shared" si="67"/>
        <v>4039</v>
      </c>
    </row>
    <row r="785" spans="1:7" ht="15.75">
      <c r="A785" s="2486">
        <f t="shared" si="68"/>
        <v>36075</v>
      </c>
      <c r="B785" s="2325">
        <v>36050</v>
      </c>
      <c r="C785" s="2325">
        <v>36100</v>
      </c>
      <c r="D785" s="2326">
        <f t="shared" si="64"/>
        <v>4130</v>
      </c>
      <c r="E785" s="2326">
        <f t="shared" si="65"/>
        <v>3931</v>
      </c>
      <c r="F785" s="2326">
        <f t="shared" si="66"/>
        <v>4130</v>
      </c>
      <c r="G785" s="2326">
        <f t="shared" si="67"/>
        <v>4045</v>
      </c>
    </row>
    <row r="786" spans="1:7" ht="15.75">
      <c r="A786" s="2486">
        <f t="shared" si="68"/>
        <v>36125</v>
      </c>
      <c r="B786" s="2325">
        <v>36100</v>
      </c>
      <c r="C786" s="2325">
        <v>36150</v>
      </c>
      <c r="D786" s="2326">
        <f t="shared" si="64"/>
        <v>4136</v>
      </c>
      <c r="E786" s="2326">
        <f t="shared" si="65"/>
        <v>3937</v>
      </c>
      <c r="F786" s="2326">
        <f t="shared" si="66"/>
        <v>4136</v>
      </c>
      <c r="G786" s="2326">
        <f t="shared" si="67"/>
        <v>4051</v>
      </c>
    </row>
    <row r="787" spans="1:7" ht="15.75">
      <c r="A787" s="2486">
        <f t="shared" si="68"/>
        <v>36175</v>
      </c>
      <c r="B787" s="2325">
        <v>36150</v>
      </c>
      <c r="C787" s="2325">
        <v>36200</v>
      </c>
      <c r="D787" s="2326">
        <f t="shared" si="64"/>
        <v>4142</v>
      </c>
      <c r="E787" s="2326">
        <f t="shared" si="65"/>
        <v>3943</v>
      </c>
      <c r="F787" s="2326">
        <f t="shared" si="66"/>
        <v>4142</v>
      </c>
      <c r="G787" s="2326">
        <f t="shared" si="67"/>
        <v>4057</v>
      </c>
    </row>
    <row r="788" spans="1:7" ht="15.75">
      <c r="A788" s="2486">
        <f t="shared" si="68"/>
        <v>36225</v>
      </c>
      <c r="B788" s="2325">
        <v>36200</v>
      </c>
      <c r="C788" s="2325">
        <v>36250</v>
      </c>
      <c r="D788" s="2326">
        <f t="shared" si="64"/>
        <v>4148</v>
      </c>
      <c r="E788" s="2326">
        <f t="shared" si="65"/>
        <v>3949</v>
      </c>
      <c r="F788" s="2326">
        <f t="shared" si="66"/>
        <v>4148</v>
      </c>
      <c r="G788" s="2326">
        <f t="shared" si="67"/>
        <v>4063</v>
      </c>
    </row>
    <row r="789" spans="1:7" ht="15.75">
      <c r="A789" s="2486">
        <f t="shared" si="68"/>
        <v>36275</v>
      </c>
      <c r="B789" s="2325">
        <v>36250</v>
      </c>
      <c r="C789" s="2325">
        <v>36300</v>
      </c>
      <c r="D789" s="2326">
        <f t="shared" si="64"/>
        <v>4154</v>
      </c>
      <c r="E789" s="2326">
        <f t="shared" si="65"/>
        <v>3955</v>
      </c>
      <c r="F789" s="2326">
        <f t="shared" si="66"/>
        <v>4154</v>
      </c>
      <c r="G789" s="2326">
        <f t="shared" si="67"/>
        <v>4069</v>
      </c>
    </row>
    <row r="790" spans="1:7" ht="15.75">
      <c r="A790" s="2486">
        <f t="shared" si="68"/>
        <v>36325</v>
      </c>
      <c r="B790" s="2325">
        <v>36300</v>
      </c>
      <c r="C790" s="2325">
        <v>36350</v>
      </c>
      <c r="D790" s="2326">
        <f t="shared" si="64"/>
        <v>4160</v>
      </c>
      <c r="E790" s="2326">
        <f t="shared" si="65"/>
        <v>3961</v>
      </c>
      <c r="F790" s="2326">
        <f t="shared" si="66"/>
        <v>4160</v>
      </c>
      <c r="G790" s="2326">
        <f t="shared" si="67"/>
        <v>4075</v>
      </c>
    </row>
    <row r="791" spans="1:7" ht="15.75">
      <c r="A791" s="2486">
        <f t="shared" si="68"/>
        <v>36375</v>
      </c>
      <c r="B791" s="2325">
        <v>36350</v>
      </c>
      <c r="C791" s="2325">
        <v>36400</v>
      </c>
      <c r="D791" s="2326">
        <f t="shared" si="64"/>
        <v>4166</v>
      </c>
      <c r="E791" s="2326">
        <f t="shared" si="65"/>
        <v>3967</v>
      </c>
      <c r="F791" s="2326">
        <f t="shared" si="66"/>
        <v>4166</v>
      </c>
      <c r="G791" s="2326">
        <f t="shared" si="67"/>
        <v>4081</v>
      </c>
    </row>
    <row r="792" spans="1:7" ht="15.75">
      <c r="A792" s="2486">
        <f t="shared" si="68"/>
        <v>36425</v>
      </c>
      <c r="B792" s="2325">
        <v>36400</v>
      </c>
      <c r="C792" s="2325">
        <v>36450</v>
      </c>
      <c r="D792" s="2326">
        <f t="shared" si="64"/>
        <v>4172</v>
      </c>
      <c r="E792" s="2326">
        <f t="shared" si="65"/>
        <v>3973</v>
      </c>
      <c r="F792" s="2326">
        <f t="shared" si="66"/>
        <v>4172</v>
      </c>
      <c r="G792" s="2326">
        <f t="shared" si="67"/>
        <v>4087</v>
      </c>
    </row>
    <row r="793" spans="1:7" ht="15.75">
      <c r="A793" s="2486">
        <f t="shared" si="68"/>
        <v>36475</v>
      </c>
      <c r="B793" s="2325">
        <v>36450</v>
      </c>
      <c r="C793" s="2325">
        <v>36500</v>
      </c>
      <c r="D793" s="2326">
        <f t="shared" si="64"/>
        <v>4178</v>
      </c>
      <c r="E793" s="2326">
        <f t="shared" si="65"/>
        <v>3979</v>
      </c>
      <c r="F793" s="2326">
        <f t="shared" si="66"/>
        <v>4178</v>
      </c>
      <c r="G793" s="2326">
        <f t="shared" si="67"/>
        <v>4093</v>
      </c>
    </row>
    <row r="794" spans="1:7" ht="15.75">
      <c r="A794" s="2486">
        <f t="shared" si="68"/>
        <v>36525</v>
      </c>
      <c r="B794" s="2325">
        <v>36500</v>
      </c>
      <c r="C794" s="2325">
        <v>36550</v>
      </c>
      <c r="D794" s="2326">
        <f t="shared" si="64"/>
        <v>4184</v>
      </c>
      <c r="E794" s="2326">
        <f t="shared" si="65"/>
        <v>3985</v>
      </c>
      <c r="F794" s="2326">
        <f t="shared" si="66"/>
        <v>4184</v>
      </c>
      <c r="G794" s="2326">
        <f t="shared" si="67"/>
        <v>4099</v>
      </c>
    </row>
    <row r="795" spans="1:7" ht="15.75">
      <c r="A795" s="2486">
        <f t="shared" si="68"/>
        <v>36575</v>
      </c>
      <c r="B795" s="2325">
        <v>36550</v>
      </c>
      <c r="C795" s="2325">
        <v>36600</v>
      </c>
      <c r="D795" s="2326">
        <f t="shared" si="64"/>
        <v>4190</v>
      </c>
      <c r="E795" s="2326">
        <f t="shared" si="65"/>
        <v>3991</v>
      </c>
      <c r="F795" s="2326">
        <f t="shared" si="66"/>
        <v>4190</v>
      </c>
      <c r="G795" s="2326">
        <f t="shared" si="67"/>
        <v>4105</v>
      </c>
    </row>
    <row r="796" spans="1:7" ht="15.75">
      <c r="A796" s="2486">
        <f t="shared" si="68"/>
        <v>36625</v>
      </c>
      <c r="B796" s="2325">
        <v>36600</v>
      </c>
      <c r="C796" s="2325">
        <v>36650</v>
      </c>
      <c r="D796" s="2326">
        <f t="shared" si="64"/>
        <v>4196</v>
      </c>
      <c r="E796" s="2326">
        <f t="shared" si="65"/>
        <v>3997</v>
      </c>
      <c r="F796" s="2326">
        <f t="shared" si="66"/>
        <v>4196</v>
      </c>
      <c r="G796" s="2326">
        <f t="shared" si="67"/>
        <v>4111</v>
      </c>
    </row>
    <row r="797" spans="1:7" ht="15.75">
      <c r="A797" s="2486">
        <f t="shared" si="68"/>
        <v>36675</v>
      </c>
      <c r="B797" s="2325">
        <v>36650</v>
      </c>
      <c r="C797" s="2325">
        <v>36700</v>
      </c>
      <c r="D797" s="2326">
        <f t="shared" si="64"/>
        <v>4202</v>
      </c>
      <c r="E797" s="2326">
        <f t="shared" si="65"/>
        <v>4003</v>
      </c>
      <c r="F797" s="2326">
        <f t="shared" si="66"/>
        <v>4202</v>
      </c>
      <c r="G797" s="2326">
        <f t="shared" si="67"/>
        <v>4117</v>
      </c>
    </row>
    <row r="798" spans="1:7" ht="15.75">
      <c r="A798" s="2486">
        <f t="shared" si="68"/>
        <v>36725</v>
      </c>
      <c r="B798" s="2325">
        <v>36700</v>
      </c>
      <c r="C798" s="2325">
        <v>36750</v>
      </c>
      <c r="D798" s="2326">
        <f t="shared" si="64"/>
        <v>4208</v>
      </c>
      <c r="E798" s="2326">
        <f t="shared" si="65"/>
        <v>4009</v>
      </c>
      <c r="F798" s="2326">
        <f t="shared" si="66"/>
        <v>4208</v>
      </c>
      <c r="G798" s="2326">
        <f t="shared" si="67"/>
        <v>4123</v>
      </c>
    </row>
    <row r="799" spans="1:7" ht="15.75">
      <c r="A799" s="2486">
        <f t="shared" si="68"/>
        <v>36775</v>
      </c>
      <c r="B799" s="2325">
        <v>36750</v>
      </c>
      <c r="C799" s="2325">
        <v>36800</v>
      </c>
      <c r="D799" s="2326">
        <f t="shared" si="64"/>
        <v>4214</v>
      </c>
      <c r="E799" s="2326">
        <f t="shared" si="65"/>
        <v>4015</v>
      </c>
      <c r="F799" s="2326">
        <f t="shared" si="66"/>
        <v>4214</v>
      </c>
      <c r="G799" s="2326">
        <f t="shared" si="67"/>
        <v>4129</v>
      </c>
    </row>
    <row r="800" spans="1:7" ht="15.75">
      <c r="A800" s="2486">
        <f t="shared" si="68"/>
        <v>36825</v>
      </c>
      <c r="B800" s="2325">
        <v>36800</v>
      </c>
      <c r="C800" s="2325">
        <v>36850</v>
      </c>
      <c r="D800" s="2326">
        <f t="shared" si="64"/>
        <v>4220</v>
      </c>
      <c r="E800" s="2326">
        <f t="shared" si="65"/>
        <v>4021</v>
      </c>
      <c r="F800" s="2326">
        <f t="shared" si="66"/>
        <v>4220</v>
      </c>
      <c r="G800" s="2326">
        <f t="shared" si="67"/>
        <v>4135</v>
      </c>
    </row>
    <row r="801" spans="1:7" ht="15.75">
      <c r="A801" s="2486">
        <f t="shared" si="68"/>
        <v>36875</v>
      </c>
      <c r="B801" s="2325">
        <v>36850</v>
      </c>
      <c r="C801" s="2325">
        <v>36900</v>
      </c>
      <c r="D801" s="2326">
        <f t="shared" si="64"/>
        <v>4226</v>
      </c>
      <c r="E801" s="2326">
        <f t="shared" si="65"/>
        <v>4027</v>
      </c>
      <c r="F801" s="2326">
        <f t="shared" si="66"/>
        <v>4226</v>
      </c>
      <c r="G801" s="2326">
        <f t="shared" si="67"/>
        <v>4141</v>
      </c>
    </row>
    <row r="802" spans="1:7" ht="15.75">
      <c r="A802" s="2486">
        <f t="shared" si="68"/>
        <v>36925</v>
      </c>
      <c r="B802" s="2325">
        <v>36900</v>
      </c>
      <c r="C802" s="2325">
        <v>36950</v>
      </c>
      <c r="D802" s="2326">
        <f t="shared" si="64"/>
        <v>4232</v>
      </c>
      <c r="E802" s="2326">
        <f t="shared" si="65"/>
        <v>4033</v>
      </c>
      <c r="F802" s="2326">
        <f t="shared" si="66"/>
        <v>4232</v>
      </c>
      <c r="G802" s="2326">
        <f t="shared" si="67"/>
        <v>4147</v>
      </c>
    </row>
    <row r="803" spans="1:7" ht="15.75">
      <c r="A803" s="2486">
        <f t="shared" si="68"/>
        <v>36975</v>
      </c>
      <c r="B803" s="2325">
        <v>36950</v>
      </c>
      <c r="C803" s="2325">
        <v>37000</v>
      </c>
      <c r="D803" s="2326">
        <f t="shared" si="64"/>
        <v>4238</v>
      </c>
      <c r="E803" s="2326">
        <f t="shared" si="65"/>
        <v>4039</v>
      </c>
      <c r="F803" s="2326">
        <f t="shared" si="66"/>
        <v>4238</v>
      </c>
      <c r="G803" s="2326">
        <f t="shared" si="67"/>
        <v>4153</v>
      </c>
    </row>
    <row r="804" spans="1:7" ht="15.75">
      <c r="A804" s="2486">
        <f t="shared" si="68"/>
        <v>37025</v>
      </c>
      <c r="B804" s="2325">
        <v>37000</v>
      </c>
      <c r="C804" s="2325">
        <v>37050</v>
      </c>
      <c r="D804" s="2326">
        <f t="shared" si="64"/>
        <v>4244</v>
      </c>
      <c r="E804" s="2326">
        <f t="shared" si="65"/>
        <v>4045</v>
      </c>
      <c r="F804" s="2326">
        <f t="shared" si="66"/>
        <v>4244</v>
      </c>
      <c r="G804" s="2326">
        <f t="shared" si="67"/>
        <v>4159</v>
      </c>
    </row>
    <row r="805" spans="1:7" ht="15.75">
      <c r="A805" s="2486">
        <f t="shared" si="68"/>
        <v>37075</v>
      </c>
      <c r="B805" s="2325">
        <v>37050</v>
      </c>
      <c r="C805" s="2325">
        <v>37100</v>
      </c>
      <c r="D805" s="2326">
        <f t="shared" si="64"/>
        <v>4250</v>
      </c>
      <c r="E805" s="2326">
        <f t="shared" si="65"/>
        <v>4051</v>
      </c>
      <c r="F805" s="2326">
        <f t="shared" si="66"/>
        <v>4250</v>
      </c>
      <c r="G805" s="2326">
        <f t="shared" si="67"/>
        <v>4165</v>
      </c>
    </row>
    <row r="806" spans="1:7" ht="15.75">
      <c r="A806" s="2486">
        <f t="shared" si="68"/>
        <v>37125</v>
      </c>
      <c r="B806" s="2325">
        <v>37100</v>
      </c>
      <c r="C806" s="2325">
        <v>37150</v>
      </c>
      <c r="D806" s="2326">
        <f t="shared" si="64"/>
        <v>4256</v>
      </c>
      <c r="E806" s="2326">
        <f t="shared" si="65"/>
        <v>4057</v>
      </c>
      <c r="F806" s="2326">
        <f t="shared" si="66"/>
        <v>4256</v>
      </c>
      <c r="G806" s="2326">
        <f t="shared" si="67"/>
        <v>4171</v>
      </c>
    </row>
    <row r="807" spans="1:7" ht="15.75">
      <c r="A807" s="2486">
        <f t="shared" si="68"/>
        <v>37175</v>
      </c>
      <c r="B807" s="2325">
        <v>37150</v>
      </c>
      <c r="C807" s="2325">
        <v>37200</v>
      </c>
      <c r="D807" s="2326">
        <f t="shared" si="64"/>
        <v>4262</v>
      </c>
      <c r="E807" s="2326">
        <f t="shared" si="65"/>
        <v>4063</v>
      </c>
      <c r="F807" s="2326">
        <f t="shared" si="66"/>
        <v>4262</v>
      </c>
      <c r="G807" s="2326">
        <f t="shared" si="67"/>
        <v>4177</v>
      </c>
    </row>
    <row r="808" spans="1:7" ht="15.75">
      <c r="A808" s="2486">
        <f t="shared" si="68"/>
        <v>37225</v>
      </c>
      <c r="B808" s="2325">
        <v>37200</v>
      </c>
      <c r="C808" s="2325">
        <v>37250</v>
      </c>
      <c r="D808" s="2326">
        <f t="shared" si="64"/>
        <v>4268</v>
      </c>
      <c r="E808" s="2326">
        <f t="shared" si="65"/>
        <v>4069</v>
      </c>
      <c r="F808" s="2326">
        <f t="shared" si="66"/>
        <v>4268</v>
      </c>
      <c r="G808" s="2326">
        <f t="shared" si="67"/>
        <v>4183</v>
      </c>
    </row>
    <row r="809" spans="1:7" ht="15.75">
      <c r="A809" s="2486">
        <f t="shared" si="68"/>
        <v>37275</v>
      </c>
      <c r="B809" s="2325">
        <v>37250</v>
      </c>
      <c r="C809" s="2325">
        <v>37300</v>
      </c>
      <c r="D809" s="2326">
        <f t="shared" si="64"/>
        <v>4274</v>
      </c>
      <c r="E809" s="2326">
        <f t="shared" si="65"/>
        <v>4075</v>
      </c>
      <c r="F809" s="2326">
        <f t="shared" si="66"/>
        <v>4274</v>
      </c>
      <c r="G809" s="2326">
        <f t="shared" si="67"/>
        <v>4189</v>
      </c>
    </row>
    <row r="810" spans="1:7" ht="15.75">
      <c r="A810" s="2486">
        <f t="shared" si="68"/>
        <v>37325</v>
      </c>
      <c r="B810" s="2325">
        <v>37300</v>
      </c>
      <c r="C810" s="2325">
        <v>37350</v>
      </c>
      <c r="D810" s="2326">
        <f t="shared" si="64"/>
        <v>4280</v>
      </c>
      <c r="E810" s="2326">
        <f t="shared" si="65"/>
        <v>4081</v>
      </c>
      <c r="F810" s="2326">
        <f t="shared" si="66"/>
        <v>4280</v>
      </c>
      <c r="G810" s="2326">
        <f t="shared" si="67"/>
        <v>4195</v>
      </c>
    </row>
    <row r="811" spans="1:7" ht="15.75">
      <c r="A811" s="2486">
        <f t="shared" si="68"/>
        <v>37375</v>
      </c>
      <c r="B811" s="2325">
        <v>37350</v>
      </c>
      <c r="C811" s="2325">
        <v>37400</v>
      </c>
      <c r="D811" s="2326">
        <f t="shared" si="64"/>
        <v>4286</v>
      </c>
      <c r="E811" s="2326">
        <f t="shared" si="65"/>
        <v>4087</v>
      </c>
      <c r="F811" s="2326">
        <f t="shared" si="66"/>
        <v>4286</v>
      </c>
      <c r="G811" s="2326">
        <f t="shared" si="67"/>
        <v>4201</v>
      </c>
    </row>
    <row r="812" spans="1:7" ht="15.75">
      <c r="A812" s="2486">
        <f t="shared" si="68"/>
        <v>37425</v>
      </c>
      <c r="B812" s="2325">
        <v>37400</v>
      </c>
      <c r="C812" s="2325">
        <v>37450</v>
      </c>
      <c r="D812" s="2326">
        <f t="shared" si="64"/>
        <v>4292</v>
      </c>
      <c r="E812" s="2326">
        <f t="shared" si="65"/>
        <v>4093</v>
      </c>
      <c r="F812" s="2326">
        <f t="shared" si="66"/>
        <v>4292</v>
      </c>
      <c r="G812" s="2326">
        <f t="shared" si="67"/>
        <v>4207</v>
      </c>
    </row>
    <row r="813" spans="1:7" ht="15.75">
      <c r="A813" s="2486">
        <f t="shared" si="68"/>
        <v>37475</v>
      </c>
      <c r="B813" s="2325">
        <v>37450</v>
      </c>
      <c r="C813" s="2325">
        <v>37500</v>
      </c>
      <c r="D813" s="2326">
        <f t="shared" si="64"/>
        <v>4298</v>
      </c>
      <c r="E813" s="2326">
        <f t="shared" si="65"/>
        <v>4099</v>
      </c>
      <c r="F813" s="2326">
        <f t="shared" si="66"/>
        <v>4298</v>
      </c>
      <c r="G813" s="2326">
        <f t="shared" si="67"/>
        <v>4213</v>
      </c>
    </row>
    <row r="814" spans="1:7" ht="15.75">
      <c r="A814" s="2486">
        <f t="shared" si="68"/>
        <v>37525</v>
      </c>
      <c r="B814" s="2325">
        <v>37500</v>
      </c>
      <c r="C814" s="2325">
        <v>37550</v>
      </c>
      <c r="D814" s="2326">
        <f t="shared" si="64"/>
        <v>4304</v>
      </c>
      <c r="E814" s="2326">
        <f t="shared" si="65"/>
        <v>4105</v>
      </c>
      <c r="F814" s="2326">
        <f t="shared" si="66"/>
        <v>4304</v>
      </c>
      <c r="G814" s="2326">
        <f t="shared" si="67"/>
        <v>4219</v>
      </c>
    </row>
    <row r="815" spans="1:7" ht="15.75">
      <c r="A815" s="2486">
        <f t="shared" si="68"/>
        <v>37575</v>
      </c>
      <c r="B815" s="2325">
        <v>37550</v>
      </c>
      <c r="C815" s="2325">
        <v>37600</v>
      </c>
      <c r="D815" s="2326">
        <f t="shared" si="64"/>
        <v>4310</v>
      </c>
      <c r="E815" s="2326">
        <f t="shared" si="65"/>
        <v>4111</v>
      </c>
      <c r="F815" s="2326">
        <f t="shared" si="66"/>
        <v>4310</v>
      </c>
      <c r="G815" s="2326">
        <f t="shared" si="67"/>
        <v>4225</v>
      </c>
    </row>
    <row r="816" spans="1:7" ht="15.75">
      <c r="A816" s="2486">
        <f t="shared" si="68"/>
        <v>37625</v>
      </c>
      <c r="B816" s="2325">
        <v>37600</v>
      </c>
      <c r="C816" s="2325">
        <v>37650</v>
      </c>
      <c r="D816" s="2326">
        <f t="shared" si="64"/>
        <v>4316</v>
      </c>
      <c r="E816" s="2326">
        <f t="shared" si="65"/>
        <v>4117</v>
      </c>
      <c r="F816" s="2326">
        <f t="shared" si="66"/>
        <v>4316</v>
      </c>
      <c r="G816" s="2326">
        <f t="shared" si="67"/>
        <v>4231</v>
      </c>
    </row>
    <row r="817" spans="1:7" ht="15.75">
      <c r="A817" s="2486">
        <f t="shared" si="68"/>
        <v>37675</v>
      </c>
      <c r="B817" s="2325">
        <v>37650</v>
      </c>
      <c r="C817" s="2325">
        <v>37700</v>
      </c>
      <c r="D817" s="2326">
        <f t="shared" si="64"/>
        <v>4322</v>
      </c>
      <c r="E817" s="2326">
        <f t="shared" si="65"/>
        <v>4123</v>
      </c>
      <c r="F817" s="2326">
        <f t="shared" si="66"/>
        <v>4322</v>
      </c>
      <c r="G817" s="2326">
        <f t="shared" si="67"/>
        <v>4237</v>
      </c>
    </row>
    <row r="818" spans="1:7" ht="15.75">
      <c r="A818" s="2486">
        <f t="shared" si="68"/>
        <v>37725</v>
      </c>
      <c r="B818" s="2325">
        <v>37700</v>
      </c>
      <c r="C818" s="2325">
        <v>37750</v>
      </c>
      <c r="D818" s="2326">
        <f t="shared" si="64"/>
        <v>4328</v>
      </c>
      <c r="E818" s="2326">
        <f t="shared" si="65"/>
        <v>4129</v>
      </c>
      <c r="F818" s="2326">
        <f t="shared" si="66"/>
        <v>4328</v>
      </c>
      <c r="G818" s="2326">
        <f t="shared" si="67"/>
        <v>4243</v>
      </c>
    </row>
    <row r="819" spans="1:7" ht="15.75">
      <c r="A819" s="2486">
        <f t="shared" si="68"/>
        <v>37775</v>
      </c>
      <c r="B819" s="2325">
        <v>37750</v>
      </c>
      <c r="C819" s="2325">
        <v>37800</v>
      </c>
      <c r="D819" s="2326">
        <f t="shared" si="64"/>
        <v>4334</v>
      </c>
      <c r="E819" s="2326">
        <f t="shared" si="65"/>
        <v>4135</v>
      </c>
      <c r="F819" s="2326">
        <f t="shared" si="66"/>
        <v>4334</v>
      </c>
      <c r="G819" s="2326">
        <f t="shared" si="67"/>
        <v>4249</v>
      </c>
    </row>
    <row r="820" spans="1:7" ht="15.75">
      <c r="A820" s="2486">
        <f t="shared" si="68"/>
        <v>37825</v>
      </c>
      <c r="B820" s="2325">
        <v>37800</v>
      </c>
      <c r="C820" s="2325">
        <v>37850</v>
      </c>
      <c r="D820" s="2326">
        <f t="shared" si="64"/>
        <v>4340</v>
      </c>
      <c r="E820" s="2326">
        <f t="shared" si="65"/>
        <v>4141</v>
      </c>
      <c r="F820" s="2326">
        <f t="shared" si="66"/>
        <v>4340</v>
      </c>
      <c r="G820" s="2326">
        <f t="shared" si="67"/>
        <v>4255</v>
      </c>
    </row>
    <row r="821" spans="1:7" ht="15.75">
      <c r="A821" s="2486">
        <f t="shared" si="68"/>
        <v>37875</v>
      </c>
      <c r="B821" s="2325">
        <v>37850</v>
      </c>
      <c r="C821" s="2325">
        <v>37900</v>
      </c>
      <c r="D821" s="2326">
        <f t="shared" si="64"/>
        <v>4346</v>
      </c>
      <c r="E821" s="2326">
        <f t="shared" si="65"/>
        <v>4147</v>
      </c>
      <c r="F821" s="2326">
        <f t="shared" si="66"/>
        <v>4346</v>
      </c>
      <c r="G821" s="2326">
        <f t="shared" si="67"/>
        <v>4261</v>
      </c>
    </row>
    <row r="822" spans="1:7" ht="15.75">
      <c r="A822" s="2486">
        <f t="shared" si="68"/>
        <v>37925</v>
      </c>
      <c r="B822" s="2325">
        <v>37900</v>
      </c>
      <c r="C822" s="2325">
        <v>37950</v>
      </c>
      <c r="D822" s="2326">
        <f t="shared" si="64"/>
        <v>4352</v>
      </c>
      <c r="E822" s="2326">
        <f t="shared" si="65"/>
        <v>4153</v>
      </c>
      <c r="F822" s="2326">
        <f t="shared" si="66"/>
        <v>4352</v>
      </c>
      <c r="G822" s="2326">
        <f t="shared" si="67"/>
        <v>4267</v>
      </c>
    </row>
    <row r="823" spans="1:7" ht="15.75">
      <c r="A823" s="2486">
        <f t="shared" si="68"/>
        <v>37975</v>
      </c>
      <c r="B823" s="2325">
        <v>37950</v>
      </c>
      <c r="C823" s="2325">
        <v>38000</v>
      </c>
      <c r="D823" s="2326">
        <f t="shared" si="64"/>
        <v>4358</v>
      </c>
      <c r="E823" s="2326">
        <f t="shared" si="65"/>
        <v>4159</v>
      </c>
      <c r="F823" s="2326">
        <f t="shared" si="66"/>
        <v>4358</v>
      </c>
      <c r="G823" s="2326">
        <f t="shared" si="67"/>
        <v>4273</v>
      </c>
    </row>
    <row r="824" spans="1:7" ht="15.75">
      <c r="A824" s="2486">
        <f t="shared" si="68"/>
        <v>38025</v>
      </c>
      <c r="B824" s="2325">
        <v>38000</v>
      </c>
      <c r="C824" s="2325">
        <v>38050</v>
      </c>
      <c r="D824" s="2326">
        <f t="shared" si="64"/>
        <v>4364</v>
      </c>
      <c r="E824" s="2326">
        <f t="shared" si="65"/>
        <v>4165</v>
      </c>
      <c r="F824" s="2326">
        <f t="shared" si="66"/>
        <v>4364</v>
      </c>
      <c r="G824" s="2326">
        <f t="shared" si="67"/>
        <v>4279</v>
      </c>
    </row>
    <row r="825" spans="1:7" ht="15.75">
      <c r="A825" s="2486">
        <f t="shared" si="68"/>
        <v>38075</v>
      </c>
      <c r="B825" s="2325">
        <v>38050</v>
      </c>
      <c r="C825" s="2325">
        <v>38100</v>
      </c>
      <c r="D825" s="2326">
        <f t="shared" si="64"/>
        <v>4370</v>
      </c>
      <c r="E825" s="2326">
        <f t="shared" si="65"/>
        <v>4171</v>
      </c>
      <c r="F825" s="2326">
        <f t="shared" si="66"/>
        <v>4370</v>
      </c>
      <c r="G825" s="2326">
        <f t="shared" si="67"/>
        <v>4285</v>
      </c>
    </row>
    <row r="826" spans="1:7" ht="15.75">
      <c r="A826" s="2486">
        <f t="shared" si="68"/>
        <v>38125</v>
      </c>
      <c r="B826" s="2325">
        <v>38100</v>
      </c>
      <c r="C826" s="2325">
        <v>38150</v>
      </c>
      <c r="D826" s="2326">
        <f t="shared" si="64"/>
        <v>4376</v>
      </c>
      <c r="E826" s="2326">
        <f t="shared" si="65"/>
        <v>4177</v>
      </c>
      <c r="F826" s="2326">
        <f t="shared" si="66"/>
        <v>4376</v>
      </c>
      <c r="G826" s="2326">
        <f t="shared" si="67"/>
        <v>4291</v>
      </c>
    </row>
    <row r="827" spans="1:7" ht="15.75">
      <c r="A827" s="2486">
        <f t="shared" si="68"/>
        <v>38175</v>
      </c>
      <c r="B827" s="2325">
        <v>38150</v>
      </c>
      <c r="C827" s="2325">
        <v>38200</v>
      </c>
      <c r="D827" s="2326">
        <f t="shared" si="64"/>
        <v>4382</v>
      </c>
      <c r="E827" s="2326">
        <f t="shared" si="65"/>
        <v>4183</v>
      </c>
      <c r="F827" s="2326">
        <f t="shared" si="66"/>
        <v>4382</v>
      </c>
      <c r="G827" s="2326">
        <f t="shared" si="67"/>
        <v>4297</v>
      </c>
    </row>
    <row r="828" spans="1:7" ht="15.75">
      <c r="A828" s="2486">
        <f t="shared" si="68"/>
        <v>38225</v>
      </c>
      <c r="B828" s="2325">
        <v>38200</v>
      </c>
      <c r="C828" s="2325">
        <v>38250</v>
      </c>
      <c r="D828" s="2326">
        <f t="shared" si="64"/>
        <v>4388</v>
      </c>
      <c r="E828" s="2326">
        <f t="shared" si="65"/>
        <v>4189</v>
      </c>
      <c r="F828" s="2326">
        <f t="shared" si="66"/>
        <v>4388</v>
      </c>
      <c r="G828" s="2326">
        <f t="shared" si="67"/>
        <v>4303</v>
      </c>
    </row>
    <row r="829" spans="1:7" ht="15.75">
      <c r="A829" s="2486">
        <f t="shared" si="68"/>
        <v>38275</v>
      </c>
      <c r="B829" s="2325">
        <v>38250</v>
      </c>
      <c r="C829" s="2325">
        <v>38300</v>
      </c>
      <c r="D829" s="2326">
        <f t="shared" si="64"/>
        <v>4394</v>
      </c>
      <c r="E829" s="2326">
        <f t="shared" si="65"/>
        <v>4195</v>
      </c>
      <c r="F829" s="2326">
        <f t="shared" si="66"/>
        <v>4394</v>
      </c>
      <c r="G829" s="2326">
        <f t="shared" si="67"/>
        <v>4309</v>
      </c>
    </row>
    <row r="830" spans="1:7" ht="15.75">
      <c r="A830" s="2486">
        <f t="shared" si="68"/>
        <v>38325</v>
      </c>
      <c r="B830" s="2325">
        <v>38300</v>
      </c>
      <c r="C830" s="2325">
        <v>38350</v>
      </c>
      <c r="D830" s="2326">
        <f t="shared" si="64"/>
        <v>4400</v>
      </c>
      <c r="E830" s="2326">
        <f t="shared" si="65"/>
        <v>4201</v>
      </c>
      <c r="F830" s="2326">
        <f t="shared" si="66"/>
        <v>4400</v>
      </c>
      <c r="G830" s="2326">
        <f t="shared" si="67"/>
        <v>4315</v>
      </c>
    </row>
    <row r="831" spans="1:7" ht="15.75">
      <c r="A831" s="2486">
        <f t="shared" si="68"/>
        <v>38375</v>
      </c>
      <c r="B831" s="2325">
        <v>38350</v>
      </c>
      <c r="C831" s="2325">
        <v>38400</v>
      </c>
      <c r="D831" s="2326">
        <f t="shared" si="64"/>
        <v>4406</v>
      </c>
      <c r="E831" s="2326">
        <f t="shared" si="65"/>
        <v>4207</v>
      </c>
      <c r="F831" s="2326">
        <f t="shared" si="66"/>
        <v>4406</v>
      </c>
      <c r="G831" s="2326">
        <f t="shared" si="67"/>
        <v>4321</v>
      </c>
    </row>
    <row r="832" spans="1:7" ht="15.75">
      <c r="A832" s="2486">
        <f t="shared" si="68"/>
        <v>38425</v>
      </c>
      <c r="B832" s="2325">
        <v>38400</v>
      </c>
      <c r="C832" s="2325">
        <v>38450</v>
      </c>
      <c r="D832" s="2326">
        <f t="shared" si="64"/>
        <v>4412</v>
      </c>
      <c r="E832" s="2326">
        <f t="shared" si="65"/>
        <v>4213</v>
      </c>
      <c r="F832" s="2326">
        <f t="shared" si="66"/>
        <v>4412</v>
      </c>
      <c r="G832" s="2326">
        <f t="shared" si="67"/>
        <v>4327</v>
      </c>
    </row>
    <row r="833" spans="1:7" ht="15.75">
      <c r="A833" s="2486">
        <f t="shared" si="68"/>
        <v>38475</v>
      </c>
      <c r="B833" s="2325">
        <v>38450</v>
      </c>
      <c r="C833" s="2325">
        <v>38500</v>
      </c>
      <c r="D833" s="2326">
        <f t="shared" si="64"/>
        <v>4418</v>
      </c>
      <c r="E833" s="2326">
        <f t="shared" si="65"/>
        <v>4219</v>
      </c>
      <c r="F833" s="2326">
        <f t="shared" si="66"/>
        <v>4418</v>
      </c>
      <c r="G833" s="2326">
        <f t="shared" si="67"/>
        <v>4333</v>
      </c>
    </row>
    <row r="834" spans="1:7" ht="15.75">
      <c r="A834" s="2486">
        <f t="shared" si="68"/>
        <v>38525</v>
      </c>
      <c r="B834" s="2325">
        <v>38500</v>
      </c>
      <c r="C834" s="2325">
        <v>38550</v>
      </c>
      <c r="D834" s="2326">
        <f t="shared" ref="D834:D897" si="69">IF($A834&gt;BOTT_A4,ROUND(BASE_A4+RATE_A4*($A834-BOTT_A4),0),IF($A834&gt;BOTT_A3,ROUND(BASE_A3+RATE_A3*($A834-BOTT_A3),0),IF($A834&gt;BOTT_A2,ROUND(BASE_A2+RATE_A2*($A834-BOTT_A2),0),ROUND(RATE_A1*$A834,0))))</f>
        <v>4424</v>
      </c>
      <c r="E834" s="2326">
        <f t="shared" ref="E834:E897" si="70">IF($A834&gt;BOTT_B4,ROUND(BASE_B4+RATE_B4*($A834-BOTT_B4),0),IF($A834&gt;BOTT_B3,ROUND(BASE_B3+RATE_B3*($A834-BOTT_B3),0),IF($A834&gt;BOTT_B2,ROUND(BASE_B2+RATE_B2*($A834-BOTT_B2),0),ROUND(RATE_B1*$A834,0))))</f>
        <v>4225</v>
      </c>
      <c r="F834" s="2326">
        <f t="shared" ref="F834:F897" si="71">IF($A834&gt;BOTT_C4,ROUND(BASE_C4+RATE_C4*($A834-BOTT_C4),0),IF($A834&gt;BOTT_C3,ROUND(BASE_C3+RATE_C3*($A834-BOTT_C3),0),IF($A834&gt;BOTT_C2,ROUND(BASE_C2+RATE_C2*($A834-BOTT_C2),0),ROUND(RATE_C1*$A834,0))))</f>
        <v>4424</v>
      </c>
      <c r="G834" s="2326">
        <f t="shared" ref="G834:G897" si="72">IF($A834&gt;BOTT_D4,ROUND(BASE_D4+RATE_D4*($A834-BOTT_D4),0),IF($A834&gt;BOTT_D3,ROUND(BASE_D3+RATE_D3*($A834-BOTT_D3),0),IF($A834&gt;BOTT_D2,ROUND(BASE_D2+RATE_D2*($A834-BOTT_D2),0),ROUND(RATE_D1*$A834,0))))</f>
        <v>4339</v>
      </c>
    </row>
    <row r="835" spans="1:7" ht="15.75">
      <c r="A835" s="2486">
        <f t="shared" ref="A835:A898" si="73">AVERAGE(B835,C835)</f>
        <v>38575</v>
      </c>
      <c r="B835" s="2325">
        <v>38550</v>
      </c>
      <c r="C835" s="2325">
        <v>38600</v>
      </c>
      <c r="D835" s="2326">
        <f t="shared" si="69"/>
        <v>4430</v>
      </c>
      <c r="E835" s="2326">
        <f t="shared" si="70"/>
        <v>4231</v>
      </c>
      <c r="F835" s="2326">
        <f t="shared" si="71"/>
        <v>4430</v>
      </c>
      <c r="G835" s="2326">
        <f t="shared" si="72"/>
        <v>4345</v>
      </c>
    </row>
    <row r="836" spans="1:7" ht="15.75">
      <c r="A836" s="2486">
        <f t="shared" si="73"/>
        <v>38625</v>
      </c>
      <c r="B836" s="2325">
        <v>38600</v>
      </c>
      <c r="C836" s="2325">
        <v>38650</v>
      </c>
      <c r="D836" s="2326">
        <f t="shared" si="69"/>
        <v>4436</v>
      </c>
      <c r="E836" s="2326">
        <f t="shared" si="70"/>
        <v>4237</v>
      </c>
      <c r="F836" s="2326">
        <f t="shared" si="71"/>
        <v>4436</v>
      </c>
      <c r="G836" s="2326">
        <f t="shared" si="72"/>
        <v>4351</v>
      </c>
    </row>
    <row r="837" spans="1:7" ht="15.75">
      <c r="A837" s="2486">
        <f t="shared" si="73"/>
        <v>38675</v>
      </c>
      <c r="B837" s="2325">
        <v>38650</v>
      </c>
      <c r="C837" s="2325">
        <v>38700</v>
      </c>
      <c r="D837" s="2326">
        <f t="shared" si="69"/>
        <v>4442</v>
      </c>
      <c r="E837" s="2326">
        <f t="shared" si="70"/>
        <v>4243</v>
      </c>
      <c r="F837" s="2326">
        <f t="shared" si="71"/>
        <v>4442</v>
      </c>
      <c r="G837" s="2326">
        <f t="shared" si="72"/>
        <v>4357</v>
      </c>
    </row>
    <row r="838" spans="1:7" ht="15.75">
      <c r="A838" s="2486">
        <f t="shared" si="73"/>
        <v>38725</v>
      </c>
      <c r="B838" s="2325">
        <v>38700</v>
      </c>
      <c r="C838" s="2325">
        <v>38750</v>
      </c>
      <c r="D838" s="2326">
        <f t="shared" si="69"/>
        <v>4448</v>
      </c>
      <c r="E838" s="2326">
        <f t="shared" si="70"/>
        <v>4249</v>
      </c>
      <c r="F838" s="2326">
        <f t="shared" si="71"/>
        <v>4448</v>
      </c>
      <c r="G838" s="2326">
        <f t="shared" si="72"/>
        <v>4363</v>
      </c>
    </row>
    <row r="839" spans="1:7" ht="15.75">
      <c r="A839" s="2486">
        <f t="shared" si="73"/>
        <v>38775</v>
      </c>
      <c r="B839" s="2325">
        <v>38750</v>
      </c>
      <c r="C839" s="2325">
        <v>38800</v>
      </c>
      <c r="D839" s="2326">
        <f t="shared" si="69"/>
        <v>4454</v>
      </c>
      <c r="E839" s="2326">
        <f t="shared" si="70"/>
        <v>4255</v>
      </c>
      <c r="F839" s="2326">
        <f t="shared" si="71"/>
        <v>4454</v>
      </c>
      <c r="G839" s="2326">
        <f t="shared" si="72"/>
        <v>4369</v>
      </c>
    </row>
    <row r="840" spans="1:7" ht="15.75">
      <c r="A840" s="2486">
        <f t="shared" si="73"/>
        <v>38825</v>
      </c>
      <c r="B840" s="2325">
        <v>38800</v>
      </c>
      <c r="C840" s="2325">
        <v>38850</v>
      </c>
      <c r="D840" s="2326">
        <f t="shared" si="69"/>
        <v>4460</v>
      </c>
      <c r="E840" s="2326">
        <f t="shared" si="70"/>
        <v>4261</v>
      </c>
      <c r="F840" s="2326">
        <f t="shared" si="71"/>
        <v>4460</v>
      </c>
      <c r="G840" s="2326">
        <f t="shared" si="72"/>
        <v>4375</v>
      </c>
    </row>
    <row r="841" spans="1:7" ht="15.75">
      <c r="A841" s="2486">
        <f t="shared" si="73"/>
        <v>38875</v>
      </c>
      <c r="B841" s="2325">
        <v>38850</v>
      </c>
      <c r="C841" s="2325">
        <v>38900</v>
      </c>
      <c r="D841" s="2326">
        <f t="shared" si="69"/>
        <v>4466</v>
      </c>
      <c r="E841" s="2326">
        <f t="shared" si="70"/>
        <v>4267</v>
      </c>
      <c r="F841" s="2326">
        <f t="shared" si="71"/>
        <v>4466</v>
      </c>
      <c r="G841" s="2326">
        <f t="shared" si="72"/>
        <v>4381</v>
      </c>
    </row>
    <row r="842" spans="1:7" ht="15.75">
      <c r="A842" s="2486">
        <f t="shared" si="73"/>
        <v>38925</v>
      </c>
      <c r="B842" s="2325">
        <v>38900</v>
      </c>
      <c r="C842" s="2325">
        <v>38950</v>
      </c>
      <c r="D842" s="2326">
        <f t="shared" si="69"/>
        <v>4472</v>
      </c>
      <c r="E842" s="2326">
        <f t="shared" si="70"/>
        <v>4273</v>
      </c>
      <c r="F842" s="2326">
        <f t="shared" si="71"/>
        <v>4472</v>
      </c>
      <c r="G842" s="2326">
        <f t="shared" si="72"/>
        <v>4387</v>
      </c>
    </row>
    <row r="843" spans="1:7" ht="15.75">
      <c r="A843" s="2486">
        <f t="shared" si="73"/>
        <v>38975</v>
      </c>
      <c r="B843" s="2325">
        <v>38950</v>
      </c>
      <c r="C843" s="2325">
        <v>39000</v>
      </c>
      <c r="D843" s="2326">
        <f t="shared" si="69"/>
        <v>4478</v>
      </c>
      <c r="E843" s="2326">
        <f t="shared" si="70"/>
        <v>4279</v>
      </c>
      <c r="F843" s="2326">
        <f t="shared" si="71"/>
        <v>4478</v>
      </c>
      <c r="G843" s="2326">
        <f t="shared" si="72"/>
        <v>4393</v>
      </c>
    </row>
    <row r="844" spans="1:7" ht="15.75">
      <c r="A844" s="2486">
        <f t="shared" si="73"/>
        <v>39025</v>
      </c>
      <c r="B844" s="2325">
        <v>39000</v>
      </c>
      <c r="C844" s="2325">
        <v>39050</v>
      </c>
      <c r="D844" s="2326">
        <f t="shared" si="69"/>
        <v>4484</v>
      </c>
      <c r="E844" s="2326">
        <f t="shared" si="70"/>
        <v>4285</v>
      </c>
      <c r="F844" s="2326">
        <f t="shared" si="71"/>
        <v>4484</v>
      </c>
      <c r="G844" s="2326">
        <f t="shared" si="72"/>
        <v>4399</v>
      </c>
    </row>
    <row r="845" spans="1:7" ht="15.75">
      <c r="A845" s="2486">
        <f t="shared" si="73"/>
        <v>39075</v>
      </c>
      <c r="B845" s="2325">
        <v>39050</v>
      </c>
      <c r="C845" s="2325">
        <v>39100</v>
      </c>
      <c r="D845" s="2326">
        <f t="shared" si="69"/>
        <v>4490</v>
      </c>
      <c r="E845" s="2326">
        <f t="shared" si="70"/>
        <v>4291</v>
      </c>
      <c r="F845" s="2326">
        <f t="shared" si="71"/>
        <v>4490</v>
      </c>
      <c r="G845" s="2326">
        <f t="shared" si="72"/>
        <v>4405</v>
      </c>
    </row>
    <row r="846" spans="1:7" ht="15.75">
      <c r="A846" s="2486">
        <f t="shared" si="73"/>
        <v>39125</v>
      </c>
      <c r="B846" s="2325">
        <v>39100</v>
      </c>
      <c r="C846" s="2325">
        <v>39150</v>
      </c>
      <c r="D846" s="2326">
        <f t="shared" si="69"/>
        <v>4496</v>
      </c>
      <c r="E846" s="2326">
        <f t="shared" si="70"/>
        <v>4297</v>
      </c>
      <c r="F846" s="2326">
        <f t="shared" si="71"/>
        <v>4496</v>
      </c>
      <c r="G846" s="2326">
        <f t="shared" si="72"/>
        <v>4411</v>
      </c>
    </row>
    <row r="847" spans="1:7" ht="15.75">
      <c r="A847" s="2486">
        <f t="shared" si="73"/>
        <v>39175</v>
      </c>
      <c r="B847" s="2325">
        <v>39150</v>
      </c>
      <c r="C847" s="2325">
        <v>39200</v>
      </c>
      <c r="D847" s="2326">
        <f t="shared" si="69"/>
        <v>4502</v>
      </c>
      <c r="E847" s="2326">
        <f t="shared" si="70"/>
        <v>4303</v>
      </c>
      <c r="F847" s="2326">
        <f t="shared" si="71"/>
        <v>4502</v>
      </c>
      <c r="G847" s="2326">
        <f t="shared" si="72"/>
        <v>4417</v>
      </c>
    </row>
    <row r="848" spans="1:7" ht="15.75">
      <c r="A848" s="2486">
        <f t="shared" si="73"/>
        <v>39225</v>
      </c>
      <c r="B848" s="2325">
        <v>39200</v>
      </c>
      <c r="C848" s="2325">
        <v>39250</v>
      </c>
      <c r="D848" s="2326">
        <f t="shared" si="69"/>
        <v>4508</v>
      </c>
      <c r="E848" s="2326">
        <f t="shared" si="70"/>
        <v>4309</v>
      </c>
      <c r="F848" s="2326">
        <f t="shared" si="71"/>
        <v>4508</v>
      </c>
      <c r="G848" s="2326">
        <f t="shared" si="72"/>
        <v>4423</v>
      </c>
    </row>
    <row r="849" spans="1:7" ht="15.75">
      <c r="A849" s="2486">
        <f t="shared" si="73"/>
        <v>39275</v>
      </c>
      <c r="B849" s="2325">
        <v>39250</v>
      </c>
      <c r="C849" s="2325">
        <v>39300</v>
      </c>
      <c r="D849" s="2326">
        <f t="shared" si="69"/>
        <v>4514</v>
      </c>
      <c r="E849" s="2326">
        <f t="shared" si="70"/>
        <v>4315</v>
      </c>
      <c r="F849" s="2326">
        <f t="shared" si="71"/>
        <v>4514</v>
      </c>
      <c r="G849" s="2326">
        <f t="shared" si="72"/>
        <v>4429</v>
      </c>
    </row>
    <row r="850" spans="1:7" ht="15.75">
      <c r="A850" s="2486">
        <f t="shared" si="73"/>
        <v>39325</v>
      </c>
      <c r="B850" s="2325">
        <v>39300</v>
      </c>
      <c r="C850" s="2325">
        <v>39350</v>
      </c>
      <c r="D850" s="2326">
        <f t="shared" si="69"/>
        <v>4520</v>
      </c>
      <c r="E850" s="2326">
        <f t="shared" si="70"/>
        <v>4321</v>
      </c>
      <c r="F850" s="2326">
        <f t="shared" si="71"/>
        <v>4520</v>
      </c>
      <c r="G850" s="2326">
        <f t="shared" si="72"/>
        <v>4435</v>
      </c>
    </row>
    <row r="851" spans="1:7" ht="15.75">
      <c r="A851" s="2486">
        <f t="shared" si="73"/>
        <v>39375</v>
      </c>
      <c r="B851" s="2325">
        <v>39350</v>
      </c>
      <c r="C851" s="2325">
        <v>39400</v>
      </c>
      <c r="D851" s="2326">
        <f t="shared" si="69"/>
        <v>4526</v>
      </c>
      <c r="E851" s="2326">
        <f t="shared" si="70"/>
        <v>4327</v>
      </c>
      <c r="F851" s="2326">
        <f t="shared" si="71"/>
        <v>4526</v>
      </c>
      <c r="G851" s="2326">
        <f t="shared" si="72"/>
        <v>4441</v>
      </c>
    </row>
    <row r="852" spans="1:7" ht="15.75">
      <c r="A852" s="2486">
        <f t="shared" si="73"/>
        <v>39425</v>
      </c>
      <c r="B852" s="2325">
        <v>39400</v>
      </c>
      <c r="C852" s="2325">
        <v>39450</v>
      </c>
      <c r="D852" s="2326">
        <f t="shared" si="69"/>
        <v>4532</v>
      </c>
      <c r="E852" s="2326">
        <f t="shared" si="70"/>
        <v>4333</v>
      </c>
      <c r="F852" s="2326">
        <f t="shared" si="71"/>
        <v>4532</v>
      </c>
      <c r="G852" s="2326">
        <f t="shared" si="72"/>
        <v>4447</v>
      </c>
    </row>
    <row r="853" spans="1:7" ht="15.75">
      <c r="A853" s="2486">
        <f t="shared" si="73"/>
        <v>39475</v>
      </c>
      <c r="B853" s="2325">
        <v>39450</v>
      </c>
      <c r="C853" s="2325">
        <v>39500</v>
      </c>
      <c r="D853" s="2326">
        <f t="shared" si="69"/>
        <v>4538</v>
      </c>
      <c r="E853" s="2326">
        <f t="shared" si="70"/>
        <v>4339</v>
      </c>
      <c r="F853" s="2326">
        <f t="shared" si="71"/>
        <v>4538</v>
      </c>
      <c r="G853" s="2326">
        <f t="shared" si="72"/>
        <v>4453</v>
      </c>
    </row>
    <row r="854" spans="1:7" ht="15.75">
      <c r="A854" s="2486">
        <f t="shared" si="73"/>
        <v>39525</v>
      </c>
      <c r="B854" s="2325">
        <v>39500</v>
      </c>
      <c r="C854" s="2325">
        <v>39550</v>
      </c>
      <c r="D854" s="2326">
        <f t="shared" si="69"/>
        <v>4544</v>
      </c>
      <c r="E854" s="2326">
        <f t="shared" si="70"/>
        <v>4345</v>
      </c>
      <c r="F854" s="2326">
        <f t="shared" si="71"/>
        <v>4544</v>
      </c>
      <c r="G854" s="2326">
        <f t="shared" si="72"/>
        <v>4459</v>
      </c>
    </row>
    <row r="855" spans="1:7" ht="15.75">
      <c r="A855" s="2486">
        <f t="shared" si="73"/>
        <v>39575</v>
      </c>
      <c r="B855" s="2325">
        <v>39550</v>
      </c>
      <c r="C855" s="2325">
        <v>39600</v>
      </c>
      <c r="D855" s="2326">
        <f t="shared" si="69"/>
        <v>4550</v>
      </c>
      <c r="E855" s="2326">
        <f t="shared" si="70"/>
        <v>4351</v>
      </c>
      <c r="F855" s="2326">
        <f t="shared" si="71"/>
        <v>4550</v>
      </c>
      <c r="G855" s="2326">
        <f t="shared" si="72"/>
        <v>4465</v>
      </c>
    </row>
    <row r="856" spans="1:7" ht="15.75">
      <c r="A856" s="2486">
        <f t="shared" si="73"/>
        <v>39625</v>
      </c>
      <c r="B856" s="2325">
        <v>39600</v>
      </c>
      <c r="C856" s="2325">
        <v>39650</v>
      </c>
      <c r="D856" s="2326">
        <f t="shared" si="69"/>
        <v>4556</v>
      </c>
      <c r="E856" s="2326">
        <f t="shared" si="70"/>
        <v>4357</v>
      </c>
      <c r="F856" s="2326">
        <f t="shared" si="71"/>
        <v>4556</v>
      </c>
      <c r="G856" s="2326">
        <f t="shared" si="72"/>
        <v>4471</v>
      </c>
    </row>
    <row r="857" spans="1:7" ht="15.75">
      <c r="A857" s="2486">
        <f t="shared" si="73"/>
        <v>39675</v>
      </c>
      <c r="B857" s="2325">
        <v>39650</v>
      </c>
      <c r="C857" s="2325">
        <v>39700</v>
      </c>
      <c r="D857" s="2326">
        <f t="shared" si="69"/>
        <v>4562</v>
      </c>
      <c r="E857" s="2326">
        <f t="shared" si="70"/>
        <v>4363</v>
      </c>
      <c r="F857" s="2326">
        <f t="shared" si="71"/>
        <v>4562</v>
      </c>
      <c r="G857" s="2326">
        <f t="shared" si="72"/>
        <v>4477</v>
      </c>
    </row>
    <row r="858" spans="1:7" ht="15.75">
      <c r="A858" s="2486">
        <f t="shared" si="73"/>
        <v>39725</v>
      </c>
      <c r="B858" s="2325">
        <v>39700</v>
      </c>
      <c r="C858" s="2325">
        <v>39750</v>
      </c>
      <c r="D858" s="2326">
        <f t="shared" si="69"/>
        <v>4568</v>
      </c>
      <c r="E858" s="2326">
        <f t="shared" si="70"/>
        <v>4369</v>
      </c>
      <c r="F858" s="2326">
        <f t="shared" si="71"/>
        <v>4568</v>
      </c>
      <c r="G858" s="2326">
        <f t="shared" si="72"/>
        <v>4483</v>
      </c>
    </row>
    <row r="859" spans="1:7" ht="15.75">
      <c r="A859" s="2486">
        <f t="shared" si="73"/>
        <v>39775</v>
      </c>
      <c r="B859" s="2325">
        <v>39750</v>
      </c>
      <c r="C859" s="2325">
        <v>39800</v>
      </c>
      <c r="D859" s="2326">
        <f t="shared" si="69"/>
        <v>4574</v>
      </c>
      <c r="E859" s="2326">
        <f t="shared" si="70"/>
        <v>4375</v>
      </c>
      <c r="F859" s="2326">
        <f t="shared" si="71"/>
        <v>4574</v>
      </c>
      <c r="G859" s="2326">
        <f t="shared" si="72"/>
        <v>4489</v>
      </c>
    </row>
    <row r="860" spans="1:7" ht="15.75">
      <c r="A860" s="2486">
        <f t="shared" si="73"/>
        <v>39825</v>
      </c>
      <c r="B860" s="2325">
        <v>39800</v>
      </c>
      <c r="C860" s="2325">
        <v>39850</v>
      </c>
      <c r="D860" s="2326">
        <f t="shared" si="69"/>
        <v>4580</v>
      </c>
      <c r="E860" s="2326">
        <f t="shared" si="70"/>
        <v>4381</v>
      </c>
      <c r="F860" s="2326">
        <f t="shared" si="71"/>
        <v>4580</v>
      </c>
      <c r="G860" s="2326">
        <f t="shared" si="72"/>
        <v>4495</v>
      </c>
    </row>
    <row r="861" spans="1:7" ht="15.75">
      <c r="A861" s="2486">
        <f t="shared" si="73"/>
        <v>39875</v>
      </c>
      <c r="B861" s="2325">
        <v>39850</v>
      </c>
      <c r="C861" s="2325">
        <v>39900</v>
      </c>
      <c r="D861" s="2326">
        <f t="shared" si="69"/>
        <v>4586</v>
      </c>
      <c r="E861" s="2326">
        <f t="shared" si="70"/>
        <v>4387</v>
      </c>
      <c r="F861" s="2326">
        <f t="shared" si="71"/>
        <v>4586</v>
      </c>
      <c r="G861" s="2326">
        <f t="shared" si="72"/>
        <v>4501</v>
      </c>
    </row>
    <row r="862" spans="1:7" ht="15.75">
      <c r="A862" s="2486">
        <f t="shared" si="73"/>
        <v>39925</v>
      </c>
      <c r="B862" s="2325">
        <v>39900</v>
      </c>
      <c r="C862" s="2325">
        <v>39950</v>
      </c>
      <c r="D862" s="2326">
        <f t="shared" si="69"/>
        <v>4592</v>
      </c>
      <c r="E862" s="2326">
        <f t="shared" si="70"/>
        <v>4393</v>
      </c>
      <c r="F862" s="2326">
        <f t="shared" si="71"/>
        <v>4592</v>
      </c>
      <c r="G862" s="2326">
        <f t="shared" si="72"/>
        <v>4507</v>
      </c>
    </row>
    <row r="863" spans="1:7" ht="15.75">
      <c r="A863" s="2486">
        <f t="shared" si="73"/>
        <v>39975</v>
      </c>
      <c r="B863" s="2325">
        <v>39950</v>
      </c>
      <c r="C863" s="2325">
        <v>40000</v>
      </c>
      <c r="D863" s="2326">
        <f t="shared" si="69"/>
        <v>4598</v>
      </c>
      <c r="E863" s="2326">
        <f t="shared" si="70"/>
        <v>4399</v>
      </c>
      <c r="F863" s="2326">
        <f t="shared" si="71"/>
        <v>4598</v>
      </c>
      <c r="G863" s="2326">
        <f t="shared" si="72"/>
        <v>4513</v>
      </c>
    </row>
    <row r="864" spans="1:7" ht="15.75">
      <c r="A864" s="2486">
        <f t="shared" si="73"/>
        <v>40025</v>
      </c>
      <c r="B864" s="2325">
        <v>40000</v>
      </c>
      <c r="C864" s="2325">
        <v>40050</v>
      </c>
      <c r="D864" s="2326">
        <f t="shared" si="69"/>
        <v>4604</v>
      </c>
      <c r="E864" s="2326">
        <f t="shared" si="70"/>
        <v>4405</v>
      </c>
      <c r="F864" s="2326">
        <f t="shared" si="71"/>
        <v>4604</v>
      </c>
      <c r="G864" s="2326">
        <f t="shared" si="72"/>
        <v>4519</v>
      </c>
    </row>
    <row r="865" spans="1:7" ht="15.75">
      <c r="A865" s="2486">
        <f t="shared" si="73"/>
        <v>40075</v>
      </c>
      <c r="B865" s="2325">
        <v>40050</v>
      </c>
      <c r="C865" s="2325">
        <v>40100</v>
      </c>
      <c r="D865" s="2326">
        <f t="shared" si="69"/>
        <v>4610</v>
      </c>
      <c r="E865" s="2326">
        <f t="shared" si="70"/>
        <v>4411</v>
      </c>
      <c r="F865" s="2326">
        <f t="shared" si="71"/>
        <v>4610</v>
      </c>
      <c r="G865" s="2326">
        <f t="shared" si="72"/>
        <v>4525</v>
      </c>
    </row>
    <row r="866" spans="1:7" ht="15.75">
      <c r="A866" s="2486">
        <f t="shared" si="73"/>
        <v>40125</v>
      </c>
      <c r="B866" s="2325">
        <v>40100</v>
      </c>
      <c r="C866" s="2325">
        <v>40150</v>
      </c>
      <c r="D866" s="2326">
        <f t="shared" si="69"/>
        <v>4616</v>
      </c>
      <c r="E866" s="2326">
        <f t="shared" si="70"/>
        <v>4417</v>
      </c>
      <c r="F866" s="2326">
        <f t="shared" si="71"/>
        <v>4616</v>
      </c>
      <c r="G866" s="2326">
        <f t="shared" si="72"/>
        <v>4531</v>
      </c>
    </row>
    <row r="867" spans="1:7" ht="15.75">
      <c r="A867" s="2486">
        <f t="shared" si="73"/>
        <v>40175</v>
      </c>
      <c r="B867" s="2325">
        <v>40150</v>
      </c>
      <c r="C867" s="2325">
        <v>40200</v>
      </c>
      <c r="D867" s="2326">
        <f t="shared" si="69"/>
        <v>4622</v>
      </c>
      <c r="E867" s="2326">
        <f t="shared" si="70"/>
        <v>4423</v>
      </c>
      <c r="F867" s="2326">
        <f t="shared" si="71"/>
        <v>4622</v>
      </c>
      <c r="G867" s="2326">
        <f t="shared" si="72"/>
        <v>4537</v>
      </c>
    </row>
    <row r="868" spans="1:7" ht="15.75">
      <c r="A868" s="2486">
        <f t="shared" si="73"/>
        <v>40225</v>
      </c>
      <c r="B868" s="2325">
        <v>40200</v>
      </c>
      <c r="C868" s="2325">
        <v>40250</v>
      </c>
      <c r="D868" s="2326">
        <f t="shared" si="69"/>
        <v>4628</v>
      </c>
      <c r="E868" s="2326">
        <f t="shared" si="70"/>
        <v>4429</v>
      </c>
      <c r="F868" s="2326">
        <f t="shared" si="71"/>
        <v>4628</v>
      </c>
      <c r="G868" s="2326">
        <f t="shared" si="72"/>
        <v>4543</v>
      </c>
    </row>
    <row r="869" spans="1:7" ht="15.75">
      <c r="A869" s="2486">
        <f t="shared" si="73"/>
        <v>40275</v>
      </c>
      <c r="B869" s="2325">
        <v>40250</v>
      </c>
      <c r="C869" s="2325">
        <v>40300</v>
      </c>
      <c r="D869" s="2326">
        <f t="shared" si="69"/>
        <v>4634</v>
      </c>
      <c r="E869" s="2326">
        <f t="shared" si="70"/>
        <v>4435</v>
      </c>
      <c r="F869" s="2326">
        <f t="shared" si="71"/>
        <v>4634</v>
      </c>
      <c r="G869" s="2326">
        <f t="shared" si="72"/>
        <v>4549</v>
      </c>
    </row>
    <row r="870" spans="1:7" ht="15.75">
      <c r="A870" s="2486">
        <f t="shared" si="73"/>
        <v>40325</v>
      </c>
      <c r="B870" s="2325">
        <v>40300</v>
      </c>
      <c r="C870" s="2325">
        <v>40350</v>
      </c>
      <c r="D870" s="2326">
        <f t="shared" si="69"/>
        <v>4640</v>
      </c>
      <c r="E870" s="2326">
        <f t="shared" si="70"/>
        <v>4441</v>
      </c>
      <c r="F870" s="2326">
        <f t="shared" si="71"/>
        <v>4640</v>
      </c>
      <c r="G870" s="2326">
        <f t="shared" si="72"/>
        <v>4555</v>
      </c>
    </row>
    <row r="871" spans="1:7" ht="15.75">
      <c r="A871" s="2486">
        <f t="shared" si="73"/>
        <v>40375</v>
      </c>
      <c r="B871" s="2325">
        <v>40350</v>
      </c>
      <c r="C871" s="2325">
        <v>40400</v>
      </c>
      <c r="D871" s="2326">
        <f t="shared" si="69"/>
        <v>4646</v>
      </c>
      <c r="E871" s="2326">
        <f t="shared" si="70"/>
        <v>4447</v>
      </c>
      <c r="F871" s="2326">
        <f t="shared" si="71"/>
        <v>4646</v>
      </c>
      <c r="G871" s="2326">
        <f t="shared" si="72"/>
        <v>4561</v>
      </c>
    </row>
    <row r="872" spans="1:7" ht="15.75">
      <c r="A872" s="2486">
        <f t="shared" si="73"/>
        <v>40425</v>
      </c>
      <c r="B872" s="2325">
        <v>40400</v>
      </c>
      <c r="C872" s="2325">
        <v>40450</v>
      </c>
      <c r="D872" s="2326">
        <f t="shared" si="69"/>
        <v>4652</v>
      </c>
      <c r="E872" s="2326">
        <f t="shared" si="70"/>
        <v>4453</v>
      </c>
      <c r="F872" s="2326">
        <f t="shared" si="71"/>
        <v>4652</v>
      </c>
      <c r="G872" s="2326">
        <f t="shared" si="72"/>
        <v>4567</v>
      </c>
    </row>
    <row r="873" spans="1:7" ht="15.75">
      <c r="A873" s="2486">
        <f t="shared" si="73"/>
        <v>40475</v>
      </c>
      <c r="B873" s="2325">
        <v>40450</v>
      </c>
      <c r="C873" s="2325">
        <v>40500</v>
      </c>
      <c r="D873" s="2326">
        <f t="shared" si="69"/>
        <v>4658</v>
      </c>
      <c r="E873" s="2326">
        <f t="shared" si="70"/>
        <v>4459</v>
      </c>
      <c r="F873" s="2326">
        <f t="shared" si="71"/>
        <v>4658</v>
      </c>
      <c r="G873" s="2326">
        <f t="shared" si="72"/>
        <v>4573</v>
      </c>
    </row>
    <row r="874" spans="1:7" ht="15.75">
      <c r="A874" s="2486">
        <f t="shared" si="73"/>
        <v>40525</v>
      </c>
      <c r="B874" s="2325">
        <v>40500</v>
      </c>
      <c r="C874" s="2325">
        <v>40550</v>
      </c>
      <c r="D874" s="2326">
        <f t="shared" si="69"/>
        <v>4664</v>
      </c>
      <c r="E874" s="2326">
        <f t="shared" si="70"/>
        <v>4465</v>
      </c>
      <c r="F874" s="2326">
        <f t="shared" si="71"/>
        <v>4664</v>
      </c>
      <c r="G874" s="2326">
        <f t="shared" si="72"/>
        <v>4579</v>
      </c>
    </row>
    <row r="875" spans="1:7" ht="15.75">
      <c r="A875" s="2486">
        <f t="shared" si="73"/>
        <v>40575</v>
      </c>
      <c r="B875" s="2325">
        <v>40550</v>
      </c>
      <c r="C875" s="2325">
        <v>40600</v>
      </c>
      <c r="D875" s="2326">
        <f t="shared" si="69"/>
        <v>4675</v>
      </c>
      <c r="E875" s="2326">
        <f t="shared" si="70"/>
        <v>4471</v>
      </c>
      <c r="F875" s="2326">
        <f t="shared" si="71"/>
        <v>4675</v>
      </c>
      <c r="G875" s="2326">
        <f t="shared" si="72"/>
        <v>4585</v>
      </c>
    </row>
    <row r="876" spans="1:7" ht="15.75">
      <c r="A876" s="2486">
        <f t="shared" si="73"/>
        <v>40625</v>
      </c>
      <c r="B876" s="2325">
        <v>40600</v>
      </c>
      <c r="C876" s="2325">
        <v>40650</v>
      </c>
      <c r="D876" s="2326">
        <f t="shared" si="69"/>
        <v>4686</v>
      </c>
      <c r="E876" s="2326">
        <f t="shared" si="70"/>
        <v>4477</v>
      </c>
      <c r="F876" s="2326">
        <f t="shared" si="71"/>
        <v>4686</v>
      </c>
      <c r="G876" s="2326">
        <f t="shared" si="72"/>
        <v>4591</v>
      </c>
    </row>
    <row r="877" spans="1:7" ht="15.75">
      <c r="A877" s="2486">
        <f t="shared" si="73"/>
        <v>40675</v>
      </c>
      <c r="B877" s="2325">
        <v>40650</v>
      </c>
      <c r="C877" s="2325">
        <v>40700</v>
      </c>
      <c r="D877" s="2326">
        <f t="shared" si="69"/>
        <v>4697</v>
      </c>
      <c r="E877" s="2326">
        <f t="shared" si="70"/>
        <v>4483</v>
      </c>
      <c r="F877" s="2326">
        <f t="shared" si="71"/>
        <v>4697</v>
      </c>
      <c r="G877" s="2326">
        <f t="shared" si="72"/>
        <v>4597</v>
      </c>
    </row>
    <row r="878" spans="1:7" ht="15.75">
      <c r="A878" s="2486">
        <f t="shared" si="73"/>
        <v>40725</v>
      </c>
      <c r="B878" s="2325">
        <v>40700</v>
      </c>
      <c r="C878" s="2325">
        <v>40750</v>
      </c>
      <c r="D878" s="2326">
        <f t="shared" si="69"/>
        <v>4708</v>
      </c>
      <c r="E878" s="2326">
        <f t="shared" si="70"/>
        <v>4489</v>
      </c>
      <c r="F878" s="2326">
        <f t="shared" si="71"/>
        <v>4708</v>
      </c>
      <c r="G878" s="2326">
        <f t="shared" si="72"/>
        <v>4603</v>
      </c>
    </row>
    <row r="879" spans="1:7" ht="15.75">
      <c r="A879" s="2486">
        <f t="shared" si="73"/>
        <v>40775</v>
      </c>
      <c r="B879" s="2325">
        <v>40750</v>
      </c>
      <c r="C879" s="2325">
        <v>40800</v>
      </c>
      <c r="D879" s="2326">
        <f t="shared" si="69"/>
        <v>4719</v>
      </c>
      <c r="E879" s="2326">
        <f t="shared" si="70"/>
        <v>4495</v>
      </c>
      <c r="F879" s="2326">
        <f t="shared" si="71"/>
        <v>4719</v>
      </c>
      <c r="G879" s="2326">
        <f t="shared" si="72"/>
        <v>4609</v>
      </c>
    </row>
    <row r="880" spans="1:7" ht="15.75">
      <c r="A880" s="2486">
        <f t="shared" si="73"/>
        <v>40825</v>
      </c>
      <c r="B880" s="2325">
        <v>40800</v>
      </c>
      <c r="C880" s="2325">
        <v>40850</v>
      </c>
      <c r="D880" s="2326">
        <f t="shared" si="69"/>
        <v>4730</v>
      </c>
      <c r="E880" s="2326">
        <f t="shared" si="70"/>
        <v>4501</v>
      </c>
      <c r="F880" s="2326">
        <f t="shared" si="71"/>
        <v>4730</v>
      </c>
      <c r="G880" s="2326">
        <f t="shared" si="72"/>
        <v>4615</v>
      </c>
    </row>
    <row r="881" spans="1:7" ht="15.75">
      <c r="A881" s="2486">
        <f t="shared" si="73"/>
        <v>40875</v>
      </c>
      <c r="B881" s="2325">
        <v>40850</v>
      </c>
      <c r="C881" s="2325">
        <v>40900</v>
      </c>
      <c r="D881" s="2326">
        <f t="shared" si="69"/>
        <v>4741</v>
      </c>
      <c r="E881" s="2326">
        <f t="shared" si="70"/>
        <v>4507</v>
      </c>
      <c r="F881" s="2326">
        <f t="shared" si="71"/>
        <v>4741</v>
      </c>
      <c r="G881" s="2326">
        <f t="shared" si="72"/>
        <v>4621</v>
      </c>
    </row>
    <row r="882" spans="1:7" ht="15.75">
      <c r="A882" s="2486">
        <f t="shared" si="73"/>
        <v>40925</v>
      </c>
      <c r="B882" s="2325">
        <v>40900</v>
      </c>
      <c r="C882" s="2325">
        <v>40950</v>
      </c>
      <c r="D882" s="2326">
        <f t="shared" si="69"/>
        <v>4752</v>
      </c>
      <c r="E882" s="2326">
        <f t="shared" si="70"/>
        <v>4513</v>
      </c>
      <c r="F882" s="2326">
        <f t="shared" si="71"/>
        <v>4752</v>
      </c>
      <c r="G882" s="2326">
        <f t="shared" si="72"/>
        <v>4627</v>
      </c>
    </row>
    <row r="883" spans="1:7" ht="15.75">
      <c r="A883" s="2486">
        <f t="shared" si="73"/>
        <v>40975</v>
      </c>
      <c r="B883" s="2325">
        <v>40950</v>
      </c>
      <c r="C883" s="2325">
        <v>41000</v>
      </c>
      <c r="D883" s="2326">
        <f t="shared" si="69"/>
        <v>4763</v>
      </c>
      <c r="E883" s="2326">
        <f t="shared" si="70"/>
        <v>4519</v>
      </c>
      <c r="F883" s="2326">
        <f t="shared" si="71"/>
        <v>4763</v>
      </c>
      <c r="G883" s="2326">
        <f t="shared" si="72"/>
        <v>4633</v>
      </c>
    </row>
    <row r="884" spans="1:7" ht="15.75">
      <c r="A884" s="2486">
        <f t="shared" si="73"/>
        <v>41025</v>
      </c>
      <c r="B884" s="2325">
        <v>41000</v>
      </c>
      <c r="C884" s="2325">
        <v>41050</v>
      </c>
      <c r="D884" s="2326">
        <f t="shared" si="69"/>
        <v>4774</v>
      </c>
      <c r="E884" s="2326">
        <f t="shared" si="70"/>
        <v>4525</v>
      </c>
      <c r="F884" s="2326">
        <f t="shared" si="71"/>
        <v>4774</v>
      </c>
      <c r="G884" s="2326">
        <f t="shared" si="72"/>
        <v>4639</v>
      </c>
    </row>
    <row r="885" spans="1:7" ht="15.75">
      <c r="A885" s="2486">
        <f t="shared" si="73"/>
        <v>41075</v>
      </c>
      <c r="B885" s="2325">
        <v>41050</v>
      </c>
      <c r="C885" s="2325">
        <v>41100</v>
      </c>
      <c r="D885" s="2326">
        <f t="shared" si="69"/>
        <v>4785</v>
      </c>
      <c r="E885" s="2326">
        <f t="shared" si="70"/>
        <v>4531</v>
      </c>
      <c r="F885" s="2326">
        <f t="shared" si="71"/>
        <v>4785</v>
      </c>
      <c r="G885" s="2326">
        <f t="shared" si="72"/>
        <v>4645</v>
      </c>
    </row>
    <row r="886" spans="1:7" ht="15.75">
      <c r="A886" s="2486">
        <f t="shared" si="73"/>
        <v>41125</v>
      </c>
      <c r="B886" s="2325">
        <v>41100</v>
      </c>
      <c r="C886" s="2325">
        <v>41150</v>
      </c>
      <c r="D886" s="2326">
        <f t="shared" si="69"/>
        <v>4796</v>
      </c>
      <c r="E886" s="2326">
        <f t="shared" si="70"/>
        <v>4537</v>
      </c>
      <c r="F886" s="2326">
        <f t="shared" si="71"/>
        <v>4796</v>
      </c>
      <c r="G886" s="2326">
        <f t="shared" si="72"/>
        <v>4651</v>
      </c>
    </row>
    <row r="887" spans="1:7" ht="15.75">
      <c r="A887" s="2486">
        <f t="shared" si="73"/>
        <v>41175</v>
      </c>
      <c r="B887" s="2325">
        <v>41150</v>
      </c>
      <c r="C887" s="2325">
        <v>41200</v>
      </c>
      <c r="D887" s="2326">
        <f t="shared" si="69"/>
        <v>4807</v>
      </c>
      <c r="E887" s="2326">
        <f t="shared" si="70"/>
        <v>4543</v>
      </c>
      <c r="F887" s="2326">
        <f t="shared" si="71"/>
        <v>4807</v>
      </c>
      <c r="G887" s="2326">
        <f t="shared" si="72"/>
        <v>4657</v>
      </c>
    </row>
    <row r="888" spans="1:7" ht="15.75">
      <c r="A888" s="2486">
        <f t="shared" si="73"/>
        <v>41225</v>
      </c>
      <c r="B888" s="2325">
        <v>41200</v>
      </c>
      <c r="C888" s="2325">
        <v>41250</v>
      </c>
      <c r="D888" s="2326">
        <f t="shared" si="69"/>
        <v>4818</v>
      </c>
      <c r="E888" s="2326">
        <f t="shared" si="70"/>
        <v>4549</v>
      </c>
      <c r="F888" s="2326">
        <f t="shared" si="71"/>
        <v>4818</v>
      </c>
      <c r="G888" s="2326">
        <f t="shared" si="72"/>
        <v>4663</v>
      </c>
    </row>
    <row r="889" spans="1:7" ht="15.75">
      <c r="A889" s="2486">
        <f t="shared" si="73"/>
        <v>41275</v>
      </c>
      <c r="B889" s="2325">
        <v>41250</v>
      </c>
      <c r="C889" s="2325">
        <v>41300</v>
      </c>
      <c r="D889" s="2326">
        <f t="shared" si="69"/>
        <v>4829</v>
      </c>
      <c r="E889" s="2326">
        <f t="shared" si="70"/>
        <v>4555</v>
      </c>
      <c r="F889" s="2326">
        <f t="shared" si="71"/>
        <v>4829</v>
      </c>
      <c r="G889" s="2326">
        <f t="shared" si="72"/>
        <v>4669</v>
      </c>
    </row>
    <row r="890" spans="1:7" ht="15.75">
      <c r="A890" s="2486">
        <f t="shared" si="73"/>
        <v>41325</v>
      </c>
      <c r="B890" s="2325">
        <v>41300</v>
      </c>
      <c r="C890" s="2325">
        <v>41350</v>
      </c>
      <c r="D890" s="2326">
        <f t="shared" si="69"/>
        <v>4840</v>
      </c>
      <c r="E890" s="2326">
        <f t="shared" si="70"/>
        <v>4561</v>
      </c>
      <c r="F890" s="2326">
        <f t="shared" si="71"/>
        <v>4840</v>
      </c>
      <c r="G890" s="2326">
        <f t="shared" si="72"/>
        <v>4675</v>
      </c>
    </row>
    <row r="891" spans="1:7" ht="15.75">
      <c r="A891" s="2486">
        <f t="shared" si="73"/>
        <v>41375</v>
      </c>
      <c r="B891" s="2325">
        <v>41350</v>
      </c>
      <c r="C891" s="2325">
        <v>41400</v>
      </c>
      <c r="D891" s="2326">
        <f t="shared" si="69"/>
        <v>4851</v>
      </c>
      <c r="E891" s="2326">
        <f t="shared" si="70"/>
        <v>4567</v>
      </c>
      <c r="F891" s="2326">
        <f t="shared" si="71"/>
        <v>4851</v>
      </c>
      <c r="G891" s="2326">
        <f t="shared" si="72"/>
        <v>4681</v>
      </c>
    </row>
    <row r="892" spans="1:7" ht="15.75">
      <c r="A892" s="2486">
        <f t="shared" si="73"/>
        <v>41425</v>
      </c>
      <c r="B892" s="2325">
        <v>41400</v>
      </c>
      <c r="C892" s="2325">
        <v>41450</v>
      </c>
      <c r="D892" s="2326">
        <f t="shared" si="69"/>
        <v>4862</v>
      </c>
      <c r="E892" s="2326">
        <f t="shared" si="70"/>
        <v>4573</v>
      </c>
      <c r="F892" s="2326">
        <f t="shared" si="71"/>
        <v>4862</v>
      </c>
      <c r="G892" s="2326">
        <f t="shared" si="72"/>
        <v>4687</v>
      </c>
    </row>
    <row r="893" spans="1:7" ht="15.75">
      <c r="A893" s="2486">
        <f t="shared" si="73"/>
        <v>41475</v>
      </c>
      <c r="B893" s="2325">
        <v>41450</v>
      </c>
      <c r="C893" s="2325">
        <v>41500</v>
      </c>
      <c r="D893" s="2326">
        <f t="shared" si="69"/>
        <v>4873</v>
      </c>
      <c r="E893" s="2326">
        <f t="shared" si="70"/>
        <v>4579</v>
      </c>
      <c r="F893" s="2326">
        <f t="shared" si="71"/>
        <v>4873</v>
      </c>
      <c r="G893" s="2326">
        <f t="shared" si="72"/>
        <v>4693</v>
      </c>
    </row>
    <row r="894" spans="1:7" ht="15.75">
      <c r="A894" s="2486">
        <f t="shared" si="73"/>
        <v>41525</v>
      </c>
      <c r="B894" s="2325">
        <v>41500</v>
      </c>
      <c r="C894" s="2325">
        <v>41550</v>
      </c>
      <c r="D894" s="2326">
        <f t="shared" si="69"/>
        <v>4884</v>
      </c>
      <c r="E894" s="2326">
        <f t="shared" si="70"/>
        <v>4585</v>
      </c>
      <c r="F894" s="2326">
        <f t="shared" si="71"/>
        <v>4884</v>
      </c>
      <c r="G894" s="2326">
        <f t="shared" si="72"/>
        <v>4699</v>
      </c>
    </row>
    <row r="895" spans="1:7" ht="15.75">
      <c r="A895" s="2486">
        <f t="shared" si="73"/>
        <v>41575</v>
      </c>
      <c r="B895" s="2325">
        <v>41550</v>
      </c>
      <c r="C895" s="2325">
        <v>41600</v>
      </c>
      <c r="D895" s="2326">
        <f t="shared" si="69"/>
        <v>4895</v>
      </c>
      <c r="E895" s="2326">
        <f t="shared" si="70"/>
        <v>4591</v>
      </c>
      <c r="F895" s="2326">
        <f t="shared" si="71"/>
        <v>4895</v>
      </c>
      <c r="G895" s="2326">
        <f t="shared" si="72"/>
        <v>4705</v>
      </c>
    </row>
    <row r="896" spans="1:7" ht="15.75">
      <c r="A896" s="2486">
        <f t="shared" si="73"/>
        <v>41625</v>
      </c>
      <c r="B896" s="2325">
        <v>41600</v>
      </c>
      <c r="C896" s="2325">
        <v>41650</v>
      </c>
      <c r="D896" s="2326">
        <f t="shared" si="69"/>
        <v>4906</v>
      </c>
      <c r="E896" s="2326">
        <f t="shared" si="70"/>
        <v>4597</v>
      </c>
      <c r="F896" s="2326">
        <f t="shared" si="71"/>
        <v>4906</v>
      </c>
      <c r="G896" s="2326">
        <f t="shared" si="72"/>
        <v>4711</v>
      </c>
    </row>
    <row r="897" spans="1:7" ht="15.75">
      <c r="A897" s="2486">
        <f t="shared" si="73"/>
        <v>41675</v>
      </c>
      <c r="B897" s="2325">
        <v>41650</v>
      </c>
      <c r="C897" s="2325">
        <v>41700</v>
      </c>
      <c r="D897" s="2326">
        <f t="shared" si="69"/>
        <v>4917</v>
      </c>
      <c r="E897" s="2326">
        <f t="shared" si="70"/>
        <v>4603</v>
      </c>
      <c r="F897" s="2326">
        <f t="shared" si="71"/>
        <v>4917</v>
      </c>
      <c r="G897" s="2326">
        <f t="shared" si="72"/>
        <v>4717</v>
      </c>
    </row>
    <row r="898" spans="1:7" ht="15.75">
      <c r="A898" s="2486">
        <f t="shared" si="73"/>
        <v>41725</v>
      </c>
      <c r="B898" s="2325">
        <v>41700</v>
      </c>
      <c r="C898" s="2325">
        <v>41750</v>
      </c>
      <c r="D898" s="2326">
        <f t="shared" ref="D898:D961" si="74">IF($A898&gt;BOTT_A4,ROUND(BASE_A4+RATE_A4*($A898-BOTT_A4),0),IF($A898&gt;BOTT_A3,ROUND(BASE_A3+RATE_A3*($A898-BOTT_A3),0),IF($A898&gt;BOTT_A2,ROUND(BASE_A2+RATE_A2*($A898-BOTT_A2),0),ROUND(RATE_A1*$A898,0))))</f>
        <v>4928</v>
      </c>
      <c r="E898" s="2326">
        <f t="shared" ref="E898:E961" si="75">IF($A898&gt;BOTT_B4,ROUND(BASE_B4+RATE_B4*($A898-BOTT_B4),0),IF($A898&gt;BOTT_B3,ROUND(BASE_B3+RATE_B3*($A898-BOTT_B3),0),IF($A898&gt;BOTT_B2,ROUND(BASE_B2+RATE_B2*($A898-BOTT_B2),0),ROUND(RATE_B1*$A898,0))))</f>
        <v>4609</v>
      </c>
      <c r="F898" s="2326">
        <f t="shared" ref="F898:F961" si="76">IF($A898&gt;BOTT_C4,ROUND(BASE_C4+RATE_C4*($A898-BOTT_C4),0),IF($A898&gt;BOTT_C3,ROUND(BASE_C3+RATE_C3*($A898-BOTT_C3),0),IF($A898&gt;BOTT_C2,ROUND(BASE_C2+RATE_C2*($A898-BOTT_C2),0),ROUND(RATE_C1*$A898,0))))</f>
        <v>4928</v>
      </c>
      <c r="G898" s="2326">
        <f t="shared" ref="G898:G961" si="77">IF($A898&gt;BOTT_D4,ROUND(BASE_D4+RATE_D4*($A898-BOTT_D4),0),IF($A898&gt;BOTT_D3,ROUND(BASE_D3+RATE_D3*($A898-BOTT_D3),0),IF($A898&gt;BOTT_D2,ROUND(BASE_D2+RATE_D2*($A898-BOTT_D2),0),ROUND(RATE_D1*$A898,0))))</f>
        <v>4723</v>
      </c>
    </row>
    <row r="899" spans="1:7" ht="15.75">
      <c r="A899" s="2486">
        <f t="shared" ref="A899:A962" si="78">AVERAGE(B899,C899)</f>
        <v>41775</v>
      </c>
      <c r="B899" s="2325">
        <v>41750</v>
      </c>
      <c r="C899" s="2325">
        <v>41800</v>
      </c>
      <c r="D899" s="2326">
        <f t="shared" si="74"/>
        <v>4939</v>
      </c>
      <c r="E899" s="2326">
        <f t="shared" si="75"/>
        <v>4615</v>
      </c>
      <c r="F899" s="2326">
        <f t="shared" si="76"/>
        <v>4939</v>
      </c>
      <c r="G899" s="2326">
        <f t="shared" si="77"/>
        <v>4729</v>
      </c>
    </row>
    <row r="900" spans="1:7" ht="15.75">
      <c r="A900" s="2486">
        <f t="shared" si="78"/>
        <v>41825</v>
      </c>
      <c r="B900" s="2325">
        <v>41800</v>
      </c>
      <c r="C900" s="2325">
        <v>41850</v>
      </c>
      <c r="D900" s="2326">
        <f t="shared" si="74"/>
        <v>4950</v>
      </c>
      <c r="E900" s="2326">
        <f t="shared" si="75"/>
        <v>4621</v>
      </c>
      <c r="F900" s="2326">
        <f t="shared" si="76"/>
        <v>4950</v>
      </c>
      <c r="G900" s="2326">
        <f t="shared" si="77"/>
        <v>4735</v>
      </c>
    </row>
    <row r="901" spans="1:7" ht="15.75">
      <c r="A901" s="2486">
        <f t="shared" si="78"/>
        <v>41875</v>
      </c>
      <c r="B901" s="2325">
        <v>41850</v>
      </c>
      <c r="C901" s="2325">
        <v>41900</v>
      </c>
      <c r="D901" s="2326">
        <f t="shared" si="74"/>
        <v>4961</v>
      </c>
      <c r="E901" s="2326">
        <f t="shared" si="75"/>
        <v>4627</v>
      </c>
      <c r="F901" s="2326">
        <f t="shared" si="76"/>
        <v>4961</v>
      </c>
      <c r="G901" s="2326">
        <f t="shared" si="77"/>
        <v>4741</v>
      </c>
    </row>
    <row r="902" spans="1:7" ht="15.75">
      <c r="A902" s="2486">
        <f t="shared" si="78"/>
        <v>41925</v>
      </c>
      <c r="B902" s="2325">
        <v>41900</v>
      </c>
      <c r="C902" s="2325">
        <v>41950</v>
      </c>
      <c r="D902" s="2326">
        <f t="shared" si="74"/>
        <v>4972</v>
      </c>
      <c r="E902" s="2326">
        <f t="shared" si="75"/>
        <v>4633</v>
      </c>
      <c r="F902" s="2326">
        <f t="shared" si="76"/>
        <v>4972</v>
      </c>
      <c r="G902" s="2326">
        <f t="shared" si="77"/>
        <v>4747</v>
      </c>
    </row>
    <row r="903" spans="1:7" ht="15.75">
      <c r="A903" s="2486">
        <f t="shared" si="78"/>
        <v>41975</v>
      </c>
      <c r="B903" s="2325">
        <v>41950</v>
      </c>
      <c r="C903" s="2325">
        <v>42000</v>
      </c>
      <c r="D903" s="2326">
        <f t="shared" si="74"/>
        <v>4983</v>
      </c>
      <c r="E903" s="2326">
        <f t="shared" si="75"/>
        <v>4639</v>
      </c>
      <c r="F903" s="2326">
        <f t="shared" si="76"/>
        <v>4983</v>
      </c>
      <c r="G903" s="2326">
        <f t="shared" si="77"/>
        <v>4753</v>
      </c>
    </row>
    <row r="904" spans="1:7" ht="15.75">
      <c r="A904" s="2486">
        <f t="shared" si="78"/>
        <v>42025</v>
      </c>
      <c r="B904" s="2325">
        <v>42000</v>
      </c>
      <c r="C904" s="2325">
        <v>42050</v>
      </c>
      <c r="D904" s="2326">
        <f t="shared" si="74"/>
        <v>4994</v>
      </c>
      <c r="E904" s="2326">
        <f t="shared" si="75"/>
        <v>4645</v>
      </c>
      <c r="F904" s="2326">
        <f t="shared" si="76"/>
        <v>4994</v>
      </c>
      <c r="G904" s="2326">
        <f t="shared" si="77"/>
        <v>4759</v>
      </c>
    </row>
    <row r="905" spans="1:7" ht="15.75">
      <c r="A905" s="2486">
        <f t="shared" si="78"/>
        <v>42075</v>
      </c>
      <c r="B905" s="2325">
        <v>42050</v>
      </c>
      <c r="C905" s="2325">
        <v>42100</v>
      </c>
      <c r="D905" s="2326">
        <f t="shared" si="74"/>
        <v>5005</v>
      </c>
      <c r="E905" s="2326">
        <f t="shared" si="75"/>
        <v>4651</v>
      </c>
      <c r="F905" s="2326">
        <f t="shared" si="76"/>
        <v>5005</v>
      </c>
      <c r="G905" s="2326">
        <f t="shared" si="77"/>
        <v>4765</v>
      </c>
    </row>
    <row r="906" spans="1:7" ht="15.75">
      <c r="A906" s="2486">
        <f t="shared" si="78"/>
        <v>42125</v>
      </c>
      <c r="B906" s="2325">
        <v>42100</v>
      </c>
      <c r="C906" s="2325">
        <v>42150</v>
      </c>
      <c r="D906" s="2326">
        <f t="shared" si="74"/>
        <v>5016</v>
      </c>
      <c r="E906" s="2326">
        <f t="shared" si="75"/>
        <v>4657</v>
      </c>
      <c r="F906" s="2326">
        <f t="shared" si="76"/>
        <v>5016</v>
      </c>
      <c r="G906" s="2326">
        <f t="shared" si="77"/>
        <v>4771</v>
      </c>
    </row>
    <row r="907" spans="1:7" ht="15.75">
      <c r="A907" s="2486">
        <f t="shared" si="78"/>
        <v>42175</v>
      </c>
      <c r="B907" s="2325">
        <v>42150</v>
      </c>
      <c r="C907" s="2325">
        <v>42200</v>
      </c>
      <c r="D907" s="2326">
        <f t="shared" si="74"/>
        <v>5027</v>
      </c>
      <c r="E907" s="2326">
        <f t="shared" si="75"/>
        <v>4663</v>
      </c>
      <c r="F907" s="2326">
        <f t="shared" si="76"/>
        <v>5027</v>
      </c>
      <c r="G907" s="2326">
        <f t="shared" si="77"/>
        <v>4777</v>
      </c>
    </row>
    <row r="908" spans="1:7" ht="15.75">
      <c r="A908" s="2486">
        <f t="shared" si="78"/>
        <v>42225</v>
      </c>
      <c r="B908" s="2325">
        <v>42200</v>
      </c>
      <c r="C908" s="2325">
        <v>42250</v>
      </c>
      <c r="D908" s="2326">
        <f t="shared" si="74"/>
        <v>5038</v>
      </c>
      <c r="E908" s="2326">
        <f t="shared" si="75"/>
        <v>4669</v>
      </c>
      <c r="F908" s="2326">
        <f t="shared" si="76"/>
        <v>5038</v>
      </c>
      <c r="G908" s="2326">
        <f t="shared" si="77"/>
        <v>4783</v>
      </c>
    </row>
    <row r="909" spans="1:7" ht="15.75">
      <c r="A909" s="2486">
        <f t="shared" si="78"/>
        <v>42275</v>
      </c>
      <c r="B909" s="2325">
        <v>42250</v>
      </c>
      <c r="C909" s="2325">
        <v>42300</v>
      </c>
      <c r="D909" s="2326">
        <f t="shared" si="74"/>
        <v>5049</v>
      </c>
      <c r="E909" s="2326">
        <f t="shared" si="75"/>
        <v>4675</v>
      </c>
      <c r="F909" s="2326">
        <f t="shared" si="76"/>
        <v>5049</v>
      </c>
      <c r="G909" s="2326">
        <f t="shared" si="77"/>
        <v>4789</v>
      </c>
    </row>
    <row r="910" spans="1:7" ht="15.75">
      <c r="A910" s="2486">
        <f t="shared" si="78"/>
        <v>42325</v>
      </c>
      <c r="B910" s="2325">
        <v>42300</v>
      </c>
      <c r="C910" s="2325">
        <v>42350</v>
      </c>
      <c r="D910" s="2326">
        <f t="shared" si="74"/>
        <v>5060</v>
      </c>
      <c r="E910" s="2326">
        <f t="shared" si="75"/>
        <v>4681</v>
      </c>
      <c r="F910" s="2326">
        <f t="shared" si="76"/>
        <v>5060</v>
      </c>
      <c r="G910" s="2326">
        <f t="shared" si="77"/>
        <v>4795</v>
      </c>
    </row>
    <row r="911" spans="1:7" ht="15.75">
      <c r="A911" s="2486">
        <f t="shared" si="78"/>
        <v>42375</v>
      </c>
      <c r="B911" s="2325">
        <v>42350</v>
      </c>
      <c r="C911" s="2325">
        <v>42400</v>
      </c>
      <c r="D911" s="2326">
        <f t="shared" si="74"/>
        <v>5071</v>
      </c>
      <c r="E911" s="2326">
        <f t="shared" si="75"/>
        <v>4687</v>
      </c>
      <c r="F911" s="2326">
        <f t="shared" si="76"/>
        <v>5071</v>
      </c>
      <c r="G911" s="2326">
        <f t="shared" si="77"/>
        <v>4801</v>
      </c>
    </row>
    <row r="912" spans="1:7" ht="15.75">
      <c r="A912" s="2486">
        <f t="shared" si="78"/>
        <v>42425</v>
      </c>
      <c r="B912" s="2325">
        <v>42400</v>
      </c>
      <c r="C912" s="2325">
        <v>42450</v>
      </c>
      <c r="D912" s="2326">
        <f t="shared" si="74"/>
        <v>5082</v>
      </c>
      <c r="E912" s="2326">
        <f t="shared" si="75"/>
        <v>4693</v>
      </c>
      <c r="F912" s="2326">
        <f t="shared" si="76"/>
        <v>5082</v>
      </c>
      <c r="G912" s="2326">
        <f t="shared" si="77"/>
        <v>4807</v>
      </c>
    </row>
    <row r="913" spans="1:7" ht="15.75">
      <c r="A913" s="2486">
        <f t="shared" si="78"/>
        <v>42475</v>
      </c>
      <c r="B913" s="2325">
        <v>42450</v>
      </c>
      <c r="C913" s="2325">
        <v>42500</v>
      </c>
      <c r="D913" s="2326">
        <f t="shared" si="74"/>
        <v>5093</v>
      </c>
      <c r="E913" s="2326">
        <f t="shared" si="75"/>
        <v>4699</v>
      </c>
      <c r="F913" s="2326">
        <f t="shared" si="76"/>
        <v>5093</v>
      </c>
      <c r="G913" s="2326">
        <f t="shared" si="77"/>
        <v>4813</v>
      </c>
    </row>
    <row r="914" spans="1:7" ht="15.75">
      <c r="A914" s="2486">
        <f t="shared" si="78"/>
        <v>42525</v>
      </c>
      <c r="B914" s="2325">
        <v>42500</v>
      </c>
      <c r="C914" s="2325">
        <v>42550</v>
      </c>
      <c r="D914" s="2326">
        <f t="shared" si="74"/>
        <v>5104</v>
      </c>
      <c r="E914" s="2326">
        <f t="shared" si="75"/>
        <v>4705</v>
      </c>
      <c r="F914" s="2326">
        <f t="shared" si="76"/>
        <v>5104</v>
      </c>
      <c r="G914" s="2326">
        <f t="shared" si="77"/>
        <v>4819</v>
      </c>
    </row>
    <row r="915" spans="1:7" ht="15.75">
      <c r="A915" s="2486">
        <f t="shared" si="78"/>
        <v>42575</v>
      </c>
      <c r="B915" s="2325">
        <v>42550</v>
      </c>
      <c r="C915" s="2325">
        <v>42600</v>
      </c>
      <c r="D915" s="2326">
        <f t="shared" si="74"/>
        <v>5115</v>
      </c>
      <c r="E915" s="2326">
        <f t="shared" si="75"/>
        <v>4711</v>
      </c>
      <c r="F915" s="2326">
        <f t="shared" si="76"/>
        <v>5115</v>
      </c>
      <c r="G915" s="2326">
        <f t="shared" si="77"/>
        <v>4825</v>
      </c>
    </row>
    <row r="916" spans="1:7" ht="15.75">
      <c r="A916" s="2486">
        <f t="shared" si="78"/>
        <v>42625</v>
      </c>
      <c r="B916" s="2325">
        <v>42600</v>
      </c>
      <c r="C916" s="2325">
        <v>42650</v>
      </c>
      <c r="D916" s="2326">
        <f t="shared" si="74"/>
        <v>5126</v>
      </c>
      <c r="E916" s="2326">
        <f t="shared" si="75"/>
        <v>4717</v>
      </c>
      <c r="F916" s="2326">
        <f t="shared" si="76"/>
        <v>5126</v>
      </c>
      <c r="G916" s="2326">
        <f t="shared" si="77"/>
        <v>4831</v>
      </c>
    </row>
    <row r="917" spans="1:7" ht="15.75">
      <c r="A917" s="2486">
        <f t="shared" si="78"/>
        <v>42675</v>
      </c>
      <c r="B917" s="2325">
        <v>42650</v>
      </c>
      <c r="C917" s="2325">
        <v>42700</v>
      </c>
      <c r="D917" s="2326">
        <f t="shared" si="74"/>
        <v>5137</v>
      </c>
      <c r="E917" s="2326">
        <f t="shared" si="75"/>
        <v>4723</v>
      </c>
      <c r="F917" s="2326">
        <f t="shared" si="76"/>
        <v>5137</v>
      </c>
      <c r="G917" s="2326">
        <f t="shared" si="77"/>
        <v>4837</v>
      </c>
    </row>
    <row r="918" spans="1:7" ht="15.75">
      <c r="A918" s="2486">
        <f t="shared" si="78"/>
        <v>42725</v>
      </c>
      <c r="B918" s="2325">
        <v>42700</v>
      </c>
      <c r="C918" s="2325">
        <v>42750</v>
      </c>
      <c r="D918" s="2326">
        <f t="shared" si="74"/>
        <v>5148</v>
      </c>
      <c r="E918" s="2326">
        <f t="shared" si="75"/>
        <v>4729</v>
      </c>
      <c r="F918" s="2326">
        <f t="shared" si="76"/>
        <v>5148</v>
      </c>
      <c r="G918" s="2326">
        <f t="shared" si="77"/>
        <v>4843</v>
      </c>
    </row>
    <row r="919" spans="1:7" ht="15.75">
      <c r="A919" s="2486">
        <f t="shared" si="78"/>
        <v>42775</v>
      </c>
      <c r="B919" s="2325">
        <v>42750</v>
      </c>
      <c r="C919" s="2325">
        <v>42800</v>
      </c>
      <c r="D919" s="2326">
        <f t="shared" si="74"/>
        <v>5159</v>
      </c>
      <c r="E919" s="2326">
        <f t="shared" si="75"/>
        <v>4735</v>
      </c>
      <c r="F919" s="2326">
        <f t="shared" si="76"/>
        <v>5159</v>
      </c>
      <c r="G919" s="2326">
        <f t="shared" si="77"/>
        <v>4849</v>
      </c>
    </row>
    <row r="920" spans="1:7" ht="15.75">
      <c r="A920" s="2486">
        <f t="shared" si="78"/>
        <v>42825</v>
      </c>
      <c r="B920" s="2325">
        <v>42800</v>
      </c>
      <c r="C920" s="2325">
        <v>42850</v>
      </c>
      <c r="D920" s="2326">
        <f t="shared" si="74"/>
        <v>5170</v>
      </c>
      <c r="E920" s="2326">
        <f t="shared" si="75"/>
        <v>4741</v>
      </c>
      <c r="F920" s="2326">
        <f t="shared" si="76"/>
        <v>5170</v>
      </c>
      <c r="G920" s="2326">
        <f t="shared" si="77"/>
        <v>4855</v>
      </c>
    </row>
    <row r="921" spans="1:7" ht="15.75">
      <c r="A921" s="2486">
        <f t="shared" si="78"/>
        <v>42875</v>
      </c>
      <c r="B921" s="2325">
        <v>42850</v>
      </c>
      <c r="C921" s="2325">
        <v>42900</v>
      </c>
      <c r="D921" s="2326">
        <f t="shared" si="74"/>
        <v>5181</v>
      </c>
      <c r="E921" s="2326">
        <f t="shared" si="75"/>
        <v>4747</v>
      </c>
      <c r="F921" s="2326">
        <f t="shared" si="76"/>
        <v>5181</v>
      </c>
      <c r="G921" s="2326">
        <f t="shared" si="77"/>
        <v>4861</v>
      </c>
    </row>
    <row r="922" spans="1:7" ht="15.75">
      <c r="A922" s="2486">
        <f t="shared" si="78"/>
        <v>42925</v>
      </c>
      <c r="B922" s="2325">
        <v>42900</v>
      </c>
      <c r="C922" s="2325">
        <v>42950</v>
      </c>
      <c r="D922" s="2326">
        <f t="shared" si="74"/>
        <v>5192</v>
      </c>
      <c r="E922" s="2326">
        <f t="shared" si="75"/>
        <v>4753</v>
      </c>
      <c r="F922" s="2326">
        <f t="shared" si="76"/>
        <v>5192</v>
      </c>
      <c r="G922" s="2326">
        <f t="shared" si="77"/>
        <v>4867</v>
      </c>
    </row>
    <row r="923" spans="1:7" ht="15.75">
      <c r="A923" s="2486">
        <f t="shared" si="78"/>
        <v>42975</v>
      </c>
      <c r="B923" s="2325">
        <v>42950</v>
      </c>
      <c r="C923" s="2325">
        <v>43000</v>
      </c>
      <c r="D923" s="2326">
        <f t="shared" si="74"/>
        <v>5203</v>
      </c>
      <c r="E923" s="2326">
        <f t="shared" si="75"/>
        <v>4759</v>
      </c>
      <c r="F923" s="2326">
        <f t="shared" si="76"/>
        <v>5203</v>
      </c>
      <c r="G923" s="2326">
        <f t="shared" si="77"/>
        <v>4873</v>
      </c>
    </row>
    <row r="924" spans="1:7" ht="15.75">
      <c r="A924" s="2486">
        <f t="shared" si="78"/>
        <v>43025</v>
      </c>
      <c r="B924" s="2325">
        <v>43000</v>
      </c>
      <c r="C924" s="2325">
        <v>43050</v>
      </c>
      <c r="D924" s="2326">
        <f t="shared" si="74"/>
        <v>5214</v>
      </c>
      <c r="E924" s="2326">
        <f t="shared" si="75"/>
        <v>4765</v>
      </c>
      <c r="F924" s="2326">
        <f t="shared" si="76"/>
        <v>5214</v>
      </c>
      <c r="G924" s="2326">
        <f t="shared" si="77"/>
        <v>4879</v>
      </c>
    </row>
    <row r="925" spans="1:7" ht="15.75">
      <c r="A925" s="2486">
        <f t="shared" si="78"/>
        <v>43075</v>
      </c>
      <c r="B925" s="2325">
        <v>43050</v>
      </c>
      <c r="C925" s="2325">
        <v>43100</v>
      </c>
      <c r="D925" s="2326">
        <f t="shared" si="74"/>
        <v>5225</v>
      </c>
      <c r="E925" s="2326">
        <f t="shared" si="75"/>
        <v>4771</v>
      </c>
      <c r="F925" s="2326">
        <f t="shared" si="76"/>
        <v>5225</v>
      </c>
      <c r="G925" s="2326">
        <f t="shared" si="77"/>
        <v>4885</v>
      </c>
    </row>
    <row r="926" spans="1:7" ht="15.75">
      <c r="A926" s="2486">
        <f t="shared" si="78"/>
        <v>43125</v>
      </c>
      <c r="B926" s="2325">
        <v>43100</v>
      </c>
      <c r="C926" s="2325">
        <v>43150</v>
      </c>
      <c r="D926" s="2326">
        <f t="shared" si="74"/>
        <v>5236</v>
      </c>
      <c r="E926" s="2326">
        <f t="shared" si="75"/>
        <v>4777</v>
      </c>
      <c r="F926" s="2326">
        <f t="shared" si="76"/>
        <v>5236</v>
      </c>
      <c r="G926" s="2326">
        <f t="shared" si="77"/>
        <v>4891</v>
      </c>
    </row>
    <row r="927" spans="1:7" ht="15.75">
      <c r="A927" s="2486">
        <f t="shared" si="78"/>
        <v>43175</v>
      </c>
      <c r="B927" s="2325">
        <v>43150</v>
      </c>
      <c r="C927" s="2325">
        <v>43200</v>
      </c>
      <c r="D927" s="2326">
        <f t="shared" si="74"/>
        <v>5247</v>
      </c>
      <c r="E927" s="2326">
        <f t="shared" si="75"/>
        <v>4783</v>
      </c>
      <c r="F927" s="2326">
        <f t="shared" si="76"/>
        <v>5247</v>
      </c>
      <c r="G927" s="2326">
        <f t="shared" si="77"/>
        <v>4897</v>
      </c>
    </row>
    <row r="928" spans="1:7" ht="15.75">
      <c r="A928" s="2486">
        <f t="shared" si="78"/>
        <v>43225</v>
      </c>
      <c r="B928" s="2325">
        <v>43200</v>
      </c>
      <c r="C928" s="2325">
        <v>43250</v>
      </c>
      <c r="D928" s="2326">
        <f t="shared" si="74"/>
        <v>5258</v>
      </c>
      <c r="E928" s="2326">
        <f t="shared" si="75"/>
        <v>4789</v>
      </c>
      <c r="F928" s="2326">
        <f t="shared" si="76"/>
        <v>5258</v>
      </c>
      <c r="G928" s="2326">
        <f t="shared" si="77"/>
        <v>4903</v>
      </c>
    </row>
    <row r="929" spans="1:7" ht="15.75">
      <c r="A929" s="2486">
        <f t="shared" si="78"/>
        <v>43275</v>
      </c>
      <c r="B929" s="2325">
        <v>43250</v>
      </c>
      <c r="C929" s="2325">
        <v>43300</v>
      </c>
      <c r="D929" s="2326">
        <f t="shared" si="74"/>
        <v>5269</v>
      </c>
      <c r="E929" s="2326">
        <f t="shared" si="75"/>
        <v>4795</v>
      </c>
      <c r="F929" s="2326">
        <f t="shared" si="76"/>
        <v>5269</v>
      </c>
      <c r="G929" s="2326">
        <f t="shared" si="77"/>
        <v>4909</v>
      </c>
    </row>
    <row r="930" spans="1:7" ht="15.75">
      <c r="A930" s="2486">
        <f t="shared" si="78"/>
        <v>43325</v>
      </c>
      <c r="B930" s="2325">
        <v>43300</v>
      </c>
      <c r="C930" s="2325">
        <v>43350</v>
      </c>
      <c r="D930" s="2326">
        <f t="shared" si="74"/>
        <v>5280</v>
      </c>
      <c r="E930" s="2326">
        <f t="shared" si="75"/>
        <v>4801</v>
      </c>
      <c r="F930" s="2326">
        <f t="shared" si="76"/>
        <v>5280</v>
      </c>
      <c r="G930" s="2326">
        <f t="shared" si="77"/>
        <v>4915</v>
      </c>
    </row>
    <row r="931" spans="1:7" ht="15.75">
      <c r="A931" s="2486">
        <f t="shared" si="78"/>
        <v>43375</v>
      </c>
      <c r="B931" s="2325">
        <v>43350</v>
      </c>
      <c r="C931" s="2325">
        <v>43400</v>
      </c>
      <c r="D931" s="2326">
        <f t="shared" si="74"/>
        <v>5291</v>
      </c>
      <c r="E931" s="2326">
        <f t="shared" si="75"/>
        <v>4807</v>
      </c>
      <c r="F931" s="2326">
        <f t="shared" si="76"/>
        <v>5291</v>
      </c>
      <c r="G931" s="2326">
        <f t="shared" si="77"/>
        <v>4921</v>
      </c>
    </row>
    <row r="932" spans="1:7" ht="15.75">
      <c r="A932" s="2486">
        <f t="shared" si="78"/>
        <v>43425</v>
      </c>
      <c r="B932" s="2325">
        <v>43400</v>
      </c>
      <c r="C932" s="2325">
        <v>43450</v>
      </c>
      <c r="D932" s="2326">
        <f t="shared" si="74"/>
        <v>5302</v>
      </c>
      <c r="E932" s="2326">
        <f t="shared" si="75"/>
        <v>4813</v>
      </c>
      <c r="F932" s="2326">
        <f t="shared" si="76"/>
        <v>5302</v>
      </c>
      <c r="G932" s="2326">
        <f t="shared" si="77"/>
        <v>4927</v>
      </c>
    </row>
    <row r="933" spans="1:7" ht="15.75">
      <c r="A933" s="2486">
        <f t="shared" si="78"/>
        <v>43475</v>
      </c>
      <c r="B933" s="2325">
        <v>43450</v>
      </c>
      <c r="C933" s="2325">
        <v>43500</v>
      </c>
      <c r="D933" s="2326">
        <f t="shared" si="74"/>
        <v>5313</v>
      </c>
      <c r="E933" s="2326">
        <f t="shared" si="75"/>
        <v>4819</v>
      </c>
      <c r="F933" s="2326">
        <f t="shared" si="76"/>
        <v>5313</v>
      </c>
      <c r="G933" s="2326">
        <f t="shared" si="77"/>
        <v>4933</v>
      </c>
    </row>
    <row r="934" spans="1:7" ht="15.75">
      <c r="A934" s="2486">
        <f t="shared" si="78"/>
        <v>43525</v>
      </c>
      <c r="B934" s="2325">
        <v>43500</v>
      </c>
      <c r="C934" s="2325">
        <v>43550</v>
      </c>
      <c r="D934" s="2326">
        <f t="shared" si="74"/>
        <v>5324</v>
      </c>
      <c r="E934" s="2326">
        <f t="shared" si="75"/>
        <v>4825</v>
      </c>
      <c r="F934" s="2326">
        <f t="shared" si="76"/>
        <v>5324</v>
      </c>
      <c r="G934" s="2326">
        <f t="shared" si="77"/>
        <v>4939</v>
      </c>
    </row>
    <row r="935" spans="1:7" ht="15.75">
      <c r="A935" s="2486">
        <f t="shared" si="78"/>
        <v>43575</v>
      </c>
      <c r="B935" s="2325">
        <v>43550</v>
      </c>
      <c r="C935" s="2325">
        <v>43600</v>
      </c>
      <c r="D935" s="2326">
        <f t="shared" si="74"/>
        <v>5335</v>
      </c>
      <c r="E935" s="2326">
        <f t="shared" si="75"/>
        <v>4831</v>
      </c>
      <c r="F935" s="2326">
        <f t="shared" si="76"/>
        <v>5335</v>
      </c>
      <c r="G935" s="2326">
        <f t="shared" si="77"/>
        <v>4945</v>
      </c>
    </row>
    <row r="936" spans="1:7" ht="15.75">
      <c r="A936" s="2486">
        <f t="shared" si="78"/>
        <v>43625</v>
      </c>
      <c r="B936" s="2325">
        <v>43600</v>
      </c>
      <c r="C936" s="2325">
        <v>43650</v>
      </c>
      <c r="D936" s="2326">
        <f t="shared" si="74"/>
        <v>5346</v>
      </c>
      <c r="E936" s="2326">
        <f t="shared" si="75"/>
        <v>4837</v>
      </c>
      <c r="F936" s="2326">
        <f t="shared" si="76"/>
        <v>5346</v>
      </c>
      <c r="G936" s="2326">
        <f t="shared" si="77"/>
        <v>4951</v>
      </c>
    </row>
    <row r="937" spans="1:7" ht="15.75">
      <c r="A937" s="2486">
        <f t="shared" si="78"/>
        <v>43675</v>
      </c>
      <c r="B937" s="2325">
        <v>43650</v>
      </c>
      <c r="C937" s="2325">
        <v>43700</v>
      </c>
      <c r="D937" s="2326">
        <f t="shared" si="74"/>
        <v>5357</v>
      </c>
      <c r="E937" s="2326">
        <f t="shared" si="75"/>
        <v>4843</v>
      </c>
      <c r="F937" s="2326">
        <f t="shared" si="76"/>
        <v>5357</v>
      </c>
      <c r="G937" s="2326">
        <f t="shared" si="77"/>
        <v>4957</v>
      </c>
    </row>
    <row r="938" spans="1:7" ht="15.75">
      <c r="A938" s="2486">
        <f t="shared" si="78"/>
        <v>43725</v>
      </c>
      <c r="B938" s="2325">
        <v>43700</v>
      </c>
      <c r="C938" s="2325">
        <v>43750</v>
      </c>
      <c r="D938" s="2326">
        <f t="shared" si="74"/>
        <v>5368</v>
      </c>
      <c r="E938" s="2326">
        <f t="shared" si="75"/>
        <v>4849</v>
      </c>
      <c r="F938" s="2326">
        <f t="shared" si="76"/>
        <v>5368</v>
      </c>
      <c r="G938" s="2326">
        <f t="shared" si="77"/>
        <v>4963</v>
      </c>
    </row>
    <row r="939" spans="1:7" ht="15.75">
      <c r="A939" s="2486">
        <f t="shared" si="78"/>
        <v>43775</v>
      </c>
      <c r="B939" s="2325">
        <v>43750</v>
      </c>
      <c r="C939" s="2325">
        <v>43800</v>
      </c>
      <c r="D939" s="2326">
        <f t="shared" si="74"/>
        <v>5379</v>
      </c>
      <c r="E939" s="2326">
        <f t="shared" si="75"/>
        <v>4855</v>
      </c>
      <c r="F939" s="2326">
        <f t="shared" si="76"/>
        <v>5379</v>
      </c>
      <c r="G939" s="2326">
        <f t="shared" si="77"/>
        <v>4969</v>
      </c>
    </row>
    <row r="940" spans="1:7" ht="15.75">
      <c r="A940" s="2486">
        <f t="shared" si="78"/>
        <v>43825</v>
      </c>
      <c r="B940" s="2325">
        <v>43800</v>
      </c>
      <c r="C940" s="2325">
        <v>43850</v>
      </c>
      <c r="D940" s="2326">
        <f t="shared" si="74"/>
        <v>5390</v>
      </c>
      <c r="E940" s="2326">
        <f t="shared" si="75"/>
        <v>4861</v>
      </c>
      <c r="F940" s="2326">
        <f t="shared" si="76"/>
        <v>5390</v>
      </c>
      <c r="G940" s="2326">
        <f t="shared" si="77"/>
        <v>4975</v>
      </c>
    </row>
    <row r="941" spans="1:7" ht="15.75">
      <c r="A941" s="2486">
        <f t="shared" si="78"/>
        <v>43875</v>
      </c>
      <c r="B941" s="2325">
        <v>43850</v>
      </c>
      <c r="C941" s="2325">
        <v>43900</v>
      </c>
      <c r="D941" s="2326">
        <f t="shared" si="74"/>
        <v>5401</v>
      </c>
      <c r="E941" s="2326">
        <f t="shared" si="75"/>
        <v>4867</v>
      </c>
      <c r="F941" s="2326">
        <f t="shared" si="76"/>
        <v>5401</v>
      </c>
      <c r="G941" s="2326">
        <f t="shared" si="77"/>
        <v>4981</v>
      </c>
    </row>
    <row r="942" spans="1:7" ht="15.75">
      <c r="A942" s="2486">
        <f t="shared" si="78"/>
        <v>43925</v>
      </c>
      <c r="B942" s="2325">
        <v>43900</v>
      </c>
      <c r="C942" s="2325">
        <v>43950</v>
      </c>
      <c r="D942" s="2326">
        <f t="shared" si="74"/>
        <v>5412</v>
      </c>
      <c r="E942" s="2326">
        <f t="shared" si="75"/>
        <v>4873</v>
      </c>
      <c r="F942" s="2326">
        <f t="shared" si="76"/>
        <v>5412</v>
      </c>
      <c r="G942" s="2326">
        <f t="shared" si="77"/>
        <v>4987</v>
      </c>
    </row>
    <row r="943" spans="1:7" ht="15.75">
      <c r="A943" s="2486">
        <f t="shared" si="78"/>
        <v>43975</v>
      </c>
      <c r="B943" s="2325">
        <v>43950</v>
      </c>
      <c r="C943" s="2325">
        <v>44000</v>
      </c>
      <c r="D943" s="2326">
        <f t="shared" si="74"/>
        <v>5423</v>
      </c>
      <c r="E943" s="2326">
        <f t="shared" si="75"/>
        <v>4879</v>
      </c>
      <c r="F943" s="2326">
        <f t="shared" si="76"/>
        <v>5423</v>
      </c>
      <c r="G943" s="2326">
        <f t="shared" si="77"/>
        <v>4993</v>
      </c>
    </row>
    <row r="944" spans="1:7" ht="15.75">
      <c r="A944" s="2486">
        <f t="shared" si="78"/>
        <v>44025</v>
      </c>
      <c r="B944" s="2325">
        <v>44000</v>
      </c>
      <c r="C944" s="2325">
        <v>44050</v>
      </c>
      <c r="D944" s="2326">
        <f t="shared" si="74"/>
        <v>5434</v>
      </c>
      <c r="E944" s="2326">
        <f t="shared" si="75"/>
        <v>4885</v>
      </c>
      <c r="F944" s="2326">
        <f t="shared" si="76"/>
        <v>5434</v>
      </c>
      <c r="G944" s="2326">
        <f t="shared" si="77"/>
        <v>4999</v>
      </c>
    </row>
    <row r="945" spans="1:7" ht="15.75">
      <c r="A945" s="2486">
        <f t="shared" si="78"/>
        <v>44075</v>
      </c>
      <c r="B945" s="2325">
        <v>44050</v>
      </c>
      <c r="C945" s="2325">
        <v>44100</v>
      </c>
      <c r="D945" s="2326">
        <f t="shared" si="74"/>
        <v>5445</v>
      </c>
      <c r="E945" s="2326">
        <f t="shared" si="75"/>
        <v>4891</v>
      </c>
      <c r="F945" s="2326">
        <f t="shared" si="76"/>
        <v>5445</v>
      </c>
      <c r="G945" s="2326">
        <f t="shared" si="77"/>
        <v>5005</v>
      </c>
    </row>
    <row r="946" spans="1:7" ht="15.75">
      <c r="A946" s="2486">
        <f t="shared" si="78"/>
        <v>44125</v>
      </c>
      <c r="B946" s="2325">
        <v>44100</v>
      </c>
      <c r="C946" s="2325">
        <v>44150</v>
      </c>
      <c r="D946" s="2326">
        <f t="shared" si="74"/>
        <v>5456</v>
      </c>
      <c r="E946" s="2326">
        <f t="shared" si="75"/>
        <v>4897</v>
      </c>
      <c r="F946" s="2326">
        <f t="shared" si="76"/>
        <v>5456</v>
      </c>
      <c r="G946" s="2326">
        <f t="shared" si="77"/>
        <v>5011</v>
      </c>
    </row>
    <row r="947" spans="1:7" ht="15.75">
      <c r="A947" s="2486">
        <f t="shared" si="78"/>
        <v>44175</v>
      </c>
      <c r="B947" s="2325">
        <v>44150</v>
      </c>
      <c r="C947" s="2325">
        <v>44200</v>
      </c>
      <c r="D947" s="2326">
        <f t="shared" si="74"/>
        <v>5467</v>
      </c>
      <c r="E947" s="2326">
        <f t="shared" si="75"/>
        <v>4903</v>
      </c>
      <c r="F947" s="2326">
        <f t="shared" si="76"/>
        <v>5467</v>
      </c>
      <c r="G947" s="2326">
        <f t="shared" si="77"/>
        <v>5017</v>
      </c>
    </row>
    <row r="948" spans="1:7" ht="15.75">
      <c r="A948" s="2486">
        <f t="shared" si="78"/>
        <v>44225</v>
      </c>
      <c r="B948" s="2325">
        <v>44200</v>
      </c>
      <c r="C948" s="2325">
        <v>44250</v>
      </c>
      <c r="D948" s="2326">
        <f t="shared" si="74"/>
        <v>5478</v>
      </c>
      <c r="E948" s="2326">
        <f t="shared" si="75"/>
        <v>4909</v>
      </c>
      <c r="F948" s="2326">
        <f t="shared" si="76"/>
        <v>5478</v>
      </c>
      <c r="G948" s="2326">
        <f t="shared" si="77"/>
        <v>5023</v>
      </c>
    </row>
    <row r="949" spans="1:7" ht="15.75">
      <c r="A949" s="2486">
        <f t="shared" si="78"/>
        <v>44275</v>
      </c>
      <c r="B949" s="2325">
        <v>44250</v>
      </c>
      <c r="C949" s="2325">
        <v>44300</v>
      </c>
      <c r="D949" s="2326">
        <f t="shared" si="74"/>
        <v>5489</v>
      </c>
      <c r="E949" s="2326">
        <f t="shared" si="75"/>
        <v>4915</v>
      </c>
      <c r="F949" s="2326">
        <f t="shared" si="76"/>
        <v>5489</v>
      </c>
      <c r="G949" s="2326">
        <f t="shared" si="77"/>
        <v>5029</v>
      </c>
    </row>
    <row r="950" spans="1:7" ht="15.75">
      <c r="A950" s="2486">
        <f t="shared" si="78"/>
        <v>44325</v>
      </c>
      <c r="B950" s="2325">
        <v>44300</v>
      </c>
      <c r="C950" s="2325">
        <v>44350</v>
      </c>
      <c r="D950" s="2326">
        <f t="shared" si="74"/>
        <v>5500</v>
      </c>
      <c r="E950" s="2326">
        <f t="shared" si="75"/>
        <v>4921</v>
      </c>
      <c r="F950" s="2326">
        <f t="shared" si="76"/>
        <v>5500</v>
      </c>
      <c r="G950" s="2326">
        <f t="shared" si="77"/>
        <v>5035</v>
      </c>
    </row>
    <row r="951" spans="1:7" ht="15.75">
      <c r="A951" s="2486">
        <f t="shared" si="78"/>
        <v>44375</v>
      </c>
      <c r="B951" s="2325">
        <v>44350</v>
      </c>
      <c r="C951" s="2325">
        <v>44400</v>
      </c>
      <c r="D951" s="2326">
        <f t="shared" si="74"/>
        <v>5511</v>
      </c>
      <c r="E951" s="2326">
        <f t="shared" si="75"/>
        <v>4927</v>
      </c>
      <c r="F951" s="2326">
        <f t="shared" si="76"/>
        <v>5511</v>
      </c>
      <c r="G951" s="2326">
        <f t="shared" si="77"/>
        <v>5041</v>
      </c>
    </row>
    <row r="952" spans="1:7" ht="15.75">
      <c r="A952" s="2486">
        <f t="shared" si="78"/>
        <v>44425</v>
      </c>
      <c r="B952" s="2325">
        <v>44400</v>
      </c>
      <c r="C952" s="2325">
        <v>44450</v>
      </c>
      <c r="D952" s="2326">
        <f t="shared" si="74"/>
        <v>5522</v>
      </c>
      <c r="E952" s="2326">
        <f t="shared" si="75"/>
        <v>4933</v>
      </c>
      <c r="F952" s="2326">
        <f t="shared" si="76"/>
        <v>5522</v>
      </c>
      <c r="G952" s="2326">
        <f t="shared" si="77"/>
        <v>5047</v>
      </c>
    </row>
    <row r="953" spans="1:7" ht="15.75">
      <c r="A953" s="2486">
        <f t="shared" si="78"/>
        <v>44475</v>
      </c>
      <c r="B953" s="2325">
        <v>44450</v>
      </c>
      <c r="C953" s="2325">
        <v>44500</v>
      </c>
      <c r="D953" s="2326">
        <f t="shared" si="74"/>
        <v>5533</v>
      </c>
      <c r="E953" s="2326">
        <f t="shared" si="75"/>
        <v>4939</v>
      </c>
      <c r="F953" s="2326">
        <f t="shared" si="76"/>
        <v>5533</v>
      </c>
      <c r="G953" s="2326">
        <f t="shared" si="77"/>
        <v>5053</v>
      </c>
    </row>
    <row r="954" spans="1:7" ht="15.75">
      <c r="A954" s="2486">
        <f t="shared" si="78"/>
        <v>44525</v>
      </c>
      <c r="B954" s="2325">
        <v>44500</v>
      </c>
      <c r="C954" s="2325">
        <v>44550</v>
      </c>
      <c r="D954" s="2326">
        <f t="shared" si="74"/>
        <v>5544</v>
      </c>
      <c r="E954" s="2326">
        <f t="shared" si="75"/>
        <v>4945</v>
      </c>
      <c r="F954" s="2326">
        <f t="shared" si="76"/>
        <v>5544</v>
      </c>
      <c r="G954" s="2326">
        <f t="shared" si="77"/>
        <v>5059</v>
      </c>
    </row>
    <row r="955" spans="1:7" ht="15.75">
      <c r="A955" s="2486">
        <f t="shared" si="78"/>
        <v>44575</v>
      </c>
      <c r="B955" s="2325">
        <v>44550</v>
      </c>
      <c r="C955" s="2325">
        <v>44600</v>
      </c>
      <c r="D955" s="2326">
        <f t="shared" si="74"/>
        <v>5555</v>
      </c>
      <c r="E955" s="2326">
        <f t="shared" si="75"/>
        <v>4951</v>
      </c>
      <c r="F955" s="2326">
        <f t="shared" si="76"/>
        <v>5555</v>
      </c>
      <c r="G955" s="2326">
        <f t="shared" si="77"/>
        <v>5065</v>
      </c>
    </row>
    <row r="956" spans="1:7" ht="15.75">
      <c r="A956" s="2486">
        <f t="shared" si="78"/>
        <v>44625</v>
      </c>
      <c r="B956" s="2325">
        <v>44600</v>
      </c>
      <c r="C956" s="2325">
        <v>44650</v>
      </c>
      <c r="D956" s="2326">
        <f t="shared" si="74"/>
        <v>5566</v>
      </c>
      <c r="E956" s="2326">
        <f t="shared" si="75"/>
        <v>4957</v>
      </c>
      <c r="F956" s="2326">
        <f t="shared" si="76"/>
        <v>5566</v>
      </c>
      <c r="G956" s="2326">
        <f t="shared" si="77"/>
        <v>5071</v>
      </c>
    </row>
    <row r="957" spans="1:7" ht="15.75">
      <c r="A957" s="2486">
        <f t="shared" si="78"/>
        <v>44675</v>
      </c>
      <c r="B957" s="2325">
        <v>44650</v>
      </c>
      <c r="C957" s="2325">
        <v>44700</v>
      </c>
      <c r="D957" s="2326">
        <f t="shared" si="74"/>
        <v>5577</v>
      </c>
      <c r="E957" s="2326">
        <f t="shared" si="75"/>
        <v>4963</v>
      </c>
      <c r="F957" s="2326">
        <f t="shared" si="76"/>
        <v>5577</v>
      </c>
      <c r="G957" s="2326">
        <f t="shared" si="77"/>
        <v>5077</v>
      </c>
    </row>
    <row r="958" spans="1:7" ht="15.75">
      <c r="A958" s="2486">
        <f t="shared" si="78"/>
        <v>44725</v>
      </c>
      <c r="B958" s="2325">
        <v>44700</v>
      </c>
      <c r="C958" s="2325">
        <v>44750</v>
      </c>
      <c r="D958" s="2326">
        <f t="shared" si="74"/>
        <v>5588</v>
      </c>
      <c r="E958" s="2326">
        <f t="shared" si="75"/>
        <v>4969</v>
      </c>
      <c r="F958" s="2326">
        <f t="shared" si="76"/>
        <v>5588</v>
      </c>
      <c r="G958" s="2326">
        <f t="shared" si="77"/>
        <v>5083</v>
      </c>
    </row>
    <row r="959" spans="1:7" ht="15.75">
      <c r="A959" s="2486">
        <f t="shared" si="78"/>
        <v>44775</v>
      </c>
      <c r="B959" s="2325">
        <v>44750</v>
      </c>
      <c r="C959" s="2325">
        <v>44800</v>
      </c>
      <c r="D959" s="2326">
        <f t="shared" si="74"/>
        <v>5599</v>
      </c>
      <c r="E959" s="2326">
        <f t="shared" si="75"/>
        <v>4975</v>
      </c>
      <c r="F959" s="2326">
        <f t="shared" si="76"/>
        <v>5599</v>
      </c>
      <c r="G959" s="2326">
        <f t="shared" si="77"/>
        <v>5089</v>
      </c>
    </row>
    <row r="960" spans="1:7" ht="15.75">
      <c r="A960" s="2486">
        <f t="shared" si="78"/>
        <v>44825</v>
      </c>
      <c r="B960" s="2325">
        <v>44800</v>
      </c>
      <c r="C960" s="2325">
        <v>44850</v>
      </c>
      <c r="D960" s="2326">
        <f t="shared" si="74"/>
        <v>5610</v>
      </c>
      <c r="E960" s="2326">
        <f t="shared" si="75"/>
        <v>4981</v>
      </c>
      <c r="F960" s="2326">
        <f t="shared" si="76"/>
        <v>5610</v>
      </c>
      <c r="G960" s="2326">
        <f t="shared" si="77"/>
        <v>5095</v>
      </c>
    </row>
    <row r="961" spans="1:7" ht="15.75">
      <c r="A961" s="2486">
        <f t="shared" si="78"/>
        <v>44875</v>
      </c>
      <c r="B961" s="2325">
        <v>44850</v>
      </c>
      <c r="C961" s="2325">
        <v>44900</v>
      </c>
      <c r="D961" s="2326">
        <f t="shared" si="74"/>
        <v>5621</v>
      </c>
      <c r="E961" s="2326">
        <f t="shared" si="75"/>
        <v>4987</v>
      </c>
      <c r="F961" s="2326">
        <f t="shared" si="76"/>
        <v>5621</v>
      </c>
      <c r="G961" s="2326">
        <f t="shared" si="77"/>
        <v>5101</v>
      </c>
    </row>
    <row r="962" spans="1:7" ht="15.75">
      <c r="A962" s="2486">
        <f t="shared" si="78"/>
        <v>44925</v>
      </c>
      <c r="B962" s="2325">
        <v>44900</v>
      </c>
      <c r="C962" s="2325">
        <v>44950</v>
      </c>
      <c r="D962" s="2326">
        <f t="shared" ref="D962:D1025" si="79">IF($A962&gt;BOTT_A4,ROUND(BASE_A4+RATE_A4*($A962-BOTT_A4),0),IF($A962&gt;BOTT_A3,ROUND(BASE_A3+RATE_A3*($A962-BOTT_A3),0),IF($A962&gt;BOTT_A2,ROUND(BASE_A2+RATE_A2*($A962-BOTT_A2),0),ROUND(RATE_A1*$A962,0))))</f>
        <v>5632</v>
      </c>
      <c r="E962" s="2326">
        <f t="shared" ref="E962:E1025" si="80">IF($A962&gt;BOTT_B4,ROUND(BASE_B4+RATE_B4*($A962-BOTT_B4),0),IF($A962&gt;BOTT_B3,ROUND(BASE_B3+RATE_B3*($A962-BOTT_B3),0),IF($A962&gt;BOTT_B2,ROUND(BASE_B2+RATE_B2*($A962-BOTT_B2),0),ROUND(RATE_B1*$A962,0))))</f>
        <v>4993</v>
      </c>
      <c r="F962" s="2326">
        <f t="shared" ref="F962:F1025" si="81">IF($A962&gt;BOTT_C4,ROUND(BASE_C4+RATE_C4*($A962-BOTT_C4),0),IF($A962&gt;BOTT_C3,ROUND(BASE_C3+RATE_C3*($A962-BOTT_C3),0),IF($A962&gt;BOTT_C2,ROUND(BASE_C2+RATE_C2*($A962-BOTT_C2),0),ROUND(RATE_C1*$A962,0))))</f>
        <v>5632</v>
      </c>
      <c r="G962" s="2326">
        <f t="shared" ref="G962:G1025" si="82">IF($A962&gt;BOTT_D4,ROUND(BASE_D4+RATE_D4*($A962-BOTT_D4),0),IF($A962&gt;BOTT_D3,ROUND(BASE_D3+RATE_D3*($A962-BOTT_D3),0),IF($A962&gt;BOTT_D2,ROUND(BASE_D2+RATE_D2*($A962-BOTT_D2),0),ROUND(RATE_D1*$A962,0))))</f>
        <v>5107</v>
      </c>
    </row>
    <row r="963" spans="1:7" ht="15.75">
      <c r="A963" s="2486">
        <f t="shared" ref="A963:A1026" si="83">AVERAGE(B963,C963)</f>
        <v>44975</v>
      </c>
      <c r="B963" s="2325">
        <v>44950</v>
      </c>
      <c r="C963" s="2325">
        <v>45000</v>
      </c>
      <c r="D963" s="2326">
        <f t="shared" si="79"/>
        <v>5643</v>
      </c>
      <c r="E963" s="2326">
        <f t="shared" si="80"/>
        <v>4999</v>
      </c>
      <c r="F963" s="2326">
        <f t="shared" si="81"/>
        <v>5643</v>
      </c>
      <c r="G963" s="2326">
        <f t="shared" si="82"/>
        <v>5113</v>
      </c>
    </row>
    <row r="964" spans="1:7" ht="15.75">
      <c r="A964" s="2486">
        <f t="shared" si="83"/>
        <v>45025</v>
      </c>
      <c r="B964" s="2325">
        <v>45000</v>
      </c>
      <c r="C964" s="2325">
        <v>45050</v>
      </c>
      <c r="D964" s="2326">
        <f t="shared" si="79"/>
        <v>5654</v>
      </c>
      <c r="E964" s="2326">
        <f t="shared" si="80"/>
        <v>5005</v>
      </c>
      <c r="F964" s="2326">
        <f t="shared" si="81"/>
        <v>5654</v>
      </c>
      <c r="G964" s="2326">
        <f t="shared" si="82"/>
        <v>5119</v>
      </c>
    </row>
    <row r="965" spans="1:7" ht="15.75">
      <c r="A965" s="2486">
        <f t="shared" si="83"/>
        <v>45075</v>
      </c>
      <c r="B965" s="2325">
        <v>45050</v>
      </c>
      <c r="C965" s="2325">
        <v>45100</v>
      </c>
      <c r="D965" s="2326">
        <f t="shared" si="79"/>
        <v>5665</v>
      </c>
      <c r="E965" s="2326">
        <f t="shared" si="80"/>
        <v>5011</v>
      </c>
      <c r="F965" s="2326">
        <f t="shared" si="81"/>
        <v>5665</v>
      </c>
      <c r="G965" s="2326">
        <f t="shared" si="82"/>
        <v>5125</v>
      </c>
    </row>
    <row r="966" spans="1:7" ht="15.75">
      <c r="A966" s="2486">
        <f t="shared" si="83"/>
        <v>45125</v>
      </c>
      <c r="B966" s="2325">
        <v>45100</v>
      </c>
      <c r="C966" s="2325">
        <v>45150</v>
      </c>
      <c r="D966" s="2326">
        <f t="shared" si="79"/>
        <v>5676</v>
      </c>
      <c r="E966" s="2326">
        <f t="shared" si="80"/>
        <v>5017</v>
      </c>
      <c r="F966" s="2326">
        <f t="shared" si="81"/>
        <v>5676</v>
      </c>
      <c r="G966" s="2326">
        <f t="shared" si="82"/>
        <v>5131</v>
      </c>
    </row>
    <row r="967" spans="1:7" ht="15.75">
      <c r="A967" s="2486">
        <f t="shared" si="83"/>
        <v>45175</v>
      </c>
      <c r="B967" s="2325">
        <v>45150</v>
      </c>
      <c r="C967" s="2325">
        <v>45200</v>
      </c>
      <c r="D967" s="2326">
        <f t="shared" si="79"/>
        <v>5687</v>
      </c>
      <c r="E967" s="2326">
        <f t="shared" si="80"/>
        <v>5023</v>
      </c>
      <c r="F967" s="2326">
        <f t="shared" si="81"/>
        <v>5687</v>
      </c>
      <c r="G967" s="2326">
        <f t="shared" si="82"/>
        <v>5137</v>
      </c>
    </row>
    <row r="968" spans="1:7" ht="15.75">
      <c r="A968" s="2486">
        <f t="shared" si="83"/>
        <v>45225</v>
      </c>
      <c r="B968" s="2325">
        <v>45200</v>
      </c>
      <c r="C968" s="2325">
        <v>45250</v>
      </c>
      <c r="D968" s="2326">
        <f t="shared" si="79"/>
        <v>5698</v>
      </c>
      <c r="E968" s="2326">
        <f t="shared" si="80"/>
        <v>5029</v>
      </c>
      <c r="F968" s="2326">
        <f t="shared" si="81"/>
        <v>5698</v>
      </c>
      <c r="G968" s="2326">
        <f t="shared" si="82"/>
        <v>5143</v>
      </c>
    </row>
    <row r="969" spans="1:7" ht="15.75">
      <c r="A969" s="2486">
        <f t="shared" si="83"/>
        <v>45275</v>
      </c>
      <c r="B969" s="2325">
        <v>45250</v>
      </c>
      <c r="C969" s="2325">
        <v>45300</v>
      </c>
      <c r="D969" s="2326">
        <f t="shared" si="79"/>
        <v>5709</v>
      </c>
      <c r="E969" s="2326">
        <f t="shared" si="80"/>
        <v>5035</v>
      </c>
      <c r="F969" s="2326">
        <f t="shared" si="81"/>
        <v>5709</v>
      </c>
      <c r="G969" s="2326">
        <f t="shared" si="82"/>
        <v>5149</v>
      </c>
    </row>
    <row r="970" spans="1:7" ht="15.75">
      <c r="A970" s="2486">
        <f t="shared" si="83"/>
        <v>45325</v>
      </c>
      <c r="B970" s="2325">
        <v>45300</v>
      </c>
      <c r="C970" s="2325">
        <v>45350</v>
      </c>
      <c r="D970" s="2326">
        <f t="shared" si="79"/>
        <v>5720</v>
      </c>
      <c r="E970" s="2326">
        <f t="shared" si="80"/>
        <v>5041</v>
      </c>
      <c r="F970" s="2326">
        <f t="shared" si="81"/>
        <v>5720</v>
      </c>
      <c r="G970" s="2326">
        <f t="shared" si="82"/>
        <v>5155</v>
      </c>
    </row>
    <row r="971" spans="1:7" ht="15.75">
      <c r="A971" s="2486">
        <f t="shared" si="83"/>
        <v>45375</v>
      </c>
      <c r="B971" s="2325">
        <v>45350</v>
      </c>
      <c r="C971" s="2325">
        <v>45400</v>
      </c>
      <c r="D971" s="2326">
        <f t="shared" si="79"/>
        <v>5731</v>
      </c>
      <c r="E971" s="2326">
        <f t="shared" si="80"/>
        <v>5047</v>
      </c>
      <c r="F971" s="2326">
        <f t="shared" si="81"/>
        <v>5731</v>
      </c>
      <c r="G971" s="2326">
        <f t="shared" si="82"/>
        <v>5161</v>
      </c>
    </row>
    <row r="972" spans="1:7" ht="15.75">
      <c r="A972" s="2486">
        <f t="shared" si="83"/>
        <v>45425</v>
      </c>
      <c r="B972" s="2325">
        <v>45400</v>
      </c>
      <c r="C972" s="2325">
        <v>45450</v>
      </c>
      <c r="D972" s="2326">
        <f t="shared" si="79"/>
        <v>5742</v>
      </c>
      <c r="E972" s="2326">
        <f t="shared" si="80"/>
        <v>5053</v>
      </c>
      <c r="F972" s="2326">
        <f t="shared" si="81"/>
        <v>5742</v>
      </c>
      <c r="G972" s="2326">
        <f t="shared" si="82"/>
        <v>5167</v>
      </c>
    </row>
    <row r="973" spans="1:7" ht="15.75">
      <c r="A973" s="2486">
        <f t="shared" si="83"/>
        <v>45475</v>
      </c>
      <c r="B973" s="2325">
        <v>45450</v>
      </c>
      <c r="C973" s="2325">
        <v>45500</v>
      </c>
      <c r="D973" s="2326">
        <f t="shared" si="79"/>
        <v>5753</v>
      </c>
      <c r="E973" s="2326">
        <f t="shared" si="80"/>
        <v>5059</v>
      </c>
      <c r="F973" s="2326">
        <f t="shared" si="81"/>
        <v>5753</v>
      </c>
      <c r="G973" s="2326">
        <f t="shared" si="82"/>
        <v>5173</v>
      </c>
    </row>
    <row r="974" spans="1:7" ht="15.75">
      <c r="A974" s="2486">
        <f t="shared" si="83"/>
        <v>45525</v>
      </c>
      <c r="B974" s="2325">
        <v>45500</v>
      </c>
      <c r="C974" s="2325">
        <v>45550</v>
      </c>
      <c r="D974" s="2326">
        <f t="shared" si="79"/>
        <v>5764</v>
      </c>
      <c r="E974" s="2326">
        <f t="shared" si="80"/>
        <v>5065</v>
      </c>
      <c r="F974" s="2326">
        <f t="shared" si="81"/>
        <v>5764</v>
      </c>
      <c r="G974" s="2326">
        <f t="shared" si="82"/>
        <v>5179</v>
      </c>
    </row>
    <row r="975" spans="1:7" ht="15.75">
      <c r="A975" s="2486">
        <f t="shared" si="83"/>
        <v>45575</v>
      </c>
      <c r="B975" s="2325">
        <v>45550</v>
      </c>
      <c r="C975" s="2325">
        <v>45600</v>
      </c>
      <c r="D975" s="2326">
        <f t="shared" si="79"/>
        <v>5775</v>
      </c>
      <c r="E975" s="2326">
        <f t="shared" si="80"/>
        <v>5071</v>
      </c>
      <c r="F975" s="2326">
        <f t="shared" si="81"/>
        <v>5775</v>
      </c>
      <c r="G975" s="2326">
        <f t="shared" si="82"/>
        <v>5185</v>
      </c>
    </row>
    <row r="976" spans="1:7" ht="15.75">
      <c r="A976" s="2486">
        <f t="shared" si="83"/>
        <v>45625</v>
      </c>
      <c r="B976" s="2325">
        <v>45600</v>
      </c>
      <c r="C976" s="2325">
        <v>45650</v>
      </c>
      <c r="D976" s="2326">
        <f t="shared" si="79"/>
        <v>5786</v>
      </c>
      <c r="E976" s="2326">
        <f t="shared" si="80"/>
        <v>5077</v>
      </c>
      <c r="F976" s="2326">
        <f t="shared" si="81"/>
        <v>5786</v>
      </c>
      <c r="G976" s="2326">
        <f t="shared" si="82"/>
        <v>5191</v>
      </c>
    </row>
    <row r="977" spans="1:7" ht="15.75">
      <c r="A977" s="2486">
        <f t="shared" si="83"/>
        <v>45675</v>
      </c>
      <c r="B977" s="2325">
        <v>45650</v>
      </c>
      <c r="C977" s="2325">
        <v>45700</v>
      </c>
      <c r="D977" s="2326">
        <f t="shared" si="79"/>
        <v>5797</v>
      </c>
      <c r="E977" s="2326">
        <f t="shared" si="80"/>
        <v>5083</v>
      </c>
      <c r="F977" s="2326">
        <f t="shared" si="81"/>
        <v>5797</v>
      </c>
      <c r="G977" s="2326">
        <f t="shared" si="82"/>
        <v>5197</v>
      </c>
    </row>
    <row r="978" spans="1:7" ht="15.75">
      <c r="A978" s="2486">
        <f t="shared" si="83"/>
        <v>45725</v>
      </c>
      <c r="B978" s="2325">
        <v>45700</v>
      </c>
      <c r="C978" s="2325">
        <v>45750</v>
      </c>
      <c r="D978" s="2326">
        <f t="shared" si="79"/>
        <v>5808</v>
      </c>
      <c r="E978" s="2326">
        <f t="shared" si="80"/>
        <v>5089</v>
      </c>
      <c r="F978" s="2326">
        <f t="shared" si="81"/>
        <v>5808</v>
      </c>
      <c r="G978" s="2326">
        <f t="shared" si="82"/>
        <v>5203</v>
      </c>
    </row>
    <row r="979" spans="1:7" ht="15.75">
      <c r="A979" s="2486">
        <f t="shared" si="83"/>
        <v>45775</v>
      </c>
      <c r="B979" s="2325">
        <v>45750</v>
      </c>
      <c r="C979" s="2325">
        <v>45800</v>
      </c>
      <c r="D979" s="2326">
        <f t="shared" si="79"/>
        <v>5819</v>
      </c>
      <c r="E979" s="2326">
        <f t="shared" si="80"/>
        <v>5095</v>
      </c>
      <c r="F979" s="2326">
        <f t="shared" si="81"/>
        <v>5819</v>
      </c>
      <c r="G979" s="2326">
        <f t="shared" si="82"/>
        <v>5209</v>
      </c>
    </row>
    <row r="980" spans="1:7" ht="15.75">
      <c r="A980" s="2486">
        <f t="shared" si="83"/>
        <v>45825</v>
      </c>
      <c r="B980" s="2325">
        <v>45800</v>
      </c>
      <c r="C980" s="2325">
        <v>45850</v>
      </c>
      <c r="D980" s="2326">
        <f t="shared" si="79"/>
        <v>5830</v>
      </c>
      <c r="E980" s="2326">
        <f t="shared" si="80"/>
        <v>5101</v>
      </c>
      <c r="F980" s="2326">
        <f t="shared" si="81"/>
        <v>5830</v>
      </c>
      <c r="G980" s="2326">
        <f t="shared" si="82"/>
        <v>5215</v>
      </c>
    </row>
    <row r="981" spans="1:7" ht="15.75">
      <c r="A981" s="2486">
        <f t="shared" si="83"/>
        <v>45875</v>
      </c>
      <c r="B981" s="2325">
        <v>45850</v>
      </c>
      <c r="C981" s="2325">
        <v>45900</v>
      </c>
      <c r="D981" s="2326">
        <f t="shared" si="79"/>
        <v>5841</v>
      </c>
      <c r="E981" s="2326">
        <f t="shared" si="80"/>
        <v>5107</v>
      </c>
      <c r="F981" s="2326">
        <f t="shared" si="81"/>
        <v>5841</v>
      </c>
      <c r="G981" s="2326">
        <f t="shared" si="82"/>
        <v>5221</v>
      </c>
    </row>
    <row r="982" spans="1:7" ht="15.75">
      <c r="A982" s="2486">
        <f t="shared" si="83"/>
        <v>45925</v>
      </c>
      <c r="B982" s="2325">
        <v>45900</v>
      </c>
      <c r="C982" s="2325">
        <v>45950</v>
      </c>
      <c r="D982" s="2326">
        <f t="shared" si="79"/>
        <v>5852</v>
      </c>
      <c r="E982" s="2326">
        <f t="shared" si="80"/>
        <v>5113</v>
      </c>
      <c r="F982" s="2326">
        <f t="shared" si="81"/>
        <v>5852</v>
      </c>
      <c r="G982" s="2326">
        <f t="shared" si="82"/>
        <v>5227</v>
      </c>
    </row>
    <row r="983" spans="1:7" ht="15.75">
      <c r="A983" s="2486">
        <f t="shared" si="83"/>
        <v>45975</v>
      </c>
      <c r="B983" s="2325">
        <v>45950</v>
      </c>
      <c r="C983" s="2325">
        <v>46000</v>
      </c>
      <c r="D983" s="2326">
        <f t="shared" si="79"/>
        <v>5863</v>
      </c>
      <c r="E983" s="2326">
        <f t="shared" si="80"/>
        <v>5119</v>
      </c>
      <c r="F983" s="2326">
        <f t="shared" si="81"/>
        <v>5863</v>
      </c>
      <c r="G983" s="2326">
        <f t="shared" si="82"/>
        <v>5233</v>
      </c>
    </row>
    <row r="984" spans="1:7" ht="15.75">
      <c r="A984" s="2486">
        <f t="shared" si="83"/>
        <v>46025</v>
      </c>
      <c r="B984" s="2325">
        <v>46000</v>
      </c>
      <c r="C984" s="2325">
        <v>46050</v>
      </c>
      <c r="D984" s="2326">
        <f t="shared" si="79"/>
        <v>5874</v>
      </c>
      <c r="E984" s="2326">
        <f t="shared" si="80"/>
        <v>5125</v>
      </c>
      <c r="F984" s="2326">
        <f t="shared" si="81"/>
        <v>5874</v>
      </c>
      <c r="G984" s="2326">
        <f t="shared" si="82"/>
        <v>5239</v>
      </c>
    </row>
    <row r="985" spans="1:7" ht="15.75">
      <c r="A985" s="2486">
        <f t="shared" si="83"/>
        <v>46075</v>
      </c>
      <c r="B985" s="2325">
        <v>46050</v>
      </c>
      <c r="C985" s="2325">
        <v>46100</v>
      </c>
      <c r="D985" s="2326">
        <f t="shared" si="79"/>
        <v>5885</v>
      </c>
      <c r="E985" s="2326">
        <f t="shared" si="80"/>
        <v>5131</v>
      </c>
      <c r="F985" s="2326">
        <f t="shared" si="81"/>
        <v>5885</v>
      </c>
      <c r="G985" s="2326">
        <f t="shared" si="82"/>
        <v>5245</v>
      </c>
    </row>
    <row r="986" spans="1:7" ht="15.75">
      <c r="A986" s="2486">
        <f t="shared" si="83"/>
        <v>46125</v>
      </c>
      <c r="B986" s="2325">
        <v>46100</v>
      </c>
      <c r="C986" s="2325">
        <v>46150</v>
      </c>
      <c r="D986" s="2326">
        <f t="shared" si="79"/>
        <v>5896</v>
      </c>
      <c r="E986" s="2326">
        <f t="shared" si="80"/>
        <v>5137</v>
      </c>
      <c r="F986" s="2326">
        <f t="shared" si="81"/>
        <v>5896</v>
      </c>
      <c r="G986" s="2326">
        <f t="shared" si="82"/>
        <v>5251</v>
      </c>
    </row>
    <row r="987" spans="1:7" ht="15.75">
      <c r="A987" s="2486">
        <f t="shared" si="83"/>
        <v>46175</v>
      </c>
      <c r="B987" s="2325">
        <v>46150</v>
      </c>
      <c r="C987" s="2325">
        <v>46200</v>
      </c>
      <c r="D987" s="2326">
        <f t="shared" si="79"/>
        <v>5907</v>
      </c>
      <c r="E987" s="2326">
        <f t="shared" si="80"/>
        <v>5143</v>
      </c>
      <c r="F987" s="2326">
        <f t="shared" si="81"/>
        <v>5907</v>
      </c>
      <c r="G987" s="2326">
        <f t="shared" si="82"/>
        <v>5257</v>
      </c>
    </row>
    <row r="988" spans="1:7" ht="15.75">
      <c r="A988" s="2486">
        <f t="shared" si="83"/>
        <v>46225</v>
      </c>
      <c r="B988" s="2325">
        <v>46200</v>
      </c>
      <c r="C988" s="2325">
        <v>46250</v>
      </c>
      <c r="D988" s="2326">
        <f t="shared" si="79"/>
        <v>5918</v>
      </c>
      <c r="E988" s="2326">
        <f t="shared" si="80"/>
        <v>5149</v>
      </c>
      <c r="F988" s="2326">
        <f t="shared" si="81"/>
        <v>5918</v>
      </c>
      <c r="G988" s="2326">
        <f t="shared" si="82"/>
        <v>5263</v>
      </c>
    </row>
    <row r="989" spans="1:7" ht="15.75">
      <c r="A989" s="2486">
        <f t="shared" si="83"/>
        <v>46275</v>
      </c>
      <c r="B989" s="2325">
        <v>46250</v>
      </c>
      <c r="C989" s="2325">
        <v>46300</v>
      </c>
      <c r="D989" s="2326">
        <f t="shared" si="79"/>
        <v>5929</v>
      </c>
      <c r="E989" s="2326">
        <f t="shared" si="80"/>
        <v>5155</v>
      </c>
      <c r="F989" s="2326">
        <f t="shared" si="81"/>
        <v>5929</v>
      </c>
      <c r="G989" s="2326">
        <f t="shared" si="82"/>
        <v>5269</v>
      </c>
    </row>
    <row r="990" spans="1:7" ht="15.75">
      <c r="A990" s="2486">
        <f t="shared" si="83"/>
        <v>46325</v>
      </c>
      <c r="B990" s="2325">
        <v>46300</v>
      </c>
      <c r="C990" s="2325">
        <v>46350</v>
      </c>
      <c r="D990" s="2326">
        <f t="shared" si="79"/>
        <v>5940</v>
      </c>
      <c r="E990" s="2326">
        <f t="shared" si="80"/>
        <v>5161</v>
      </c>
      <c r="F990" s="2326">
        <f t="shared" si="81"/>
        <v>5940</v>
      </c>
      <c r="G990" s="2326">
        <f t="shared" si="82"/>
        <v>5275</v>
      </c>
    </row>
    <row r="991" spans="1:7" ht="15.75">
      <c r="A991" s="2486">
        <f t="shared" si="83"/>
        <v>46375</v>
      </c>
      <c r="B991" s="2325">
        <v>46350</v>
      </c>
      <c r="C991" s="2325">
        <v>46400</v>
      </c>
      <c r="D991" s="2326">
        <f t="shared" si="79"/>
        <v>5951</v>
      </c>
      <c r="E991" s="2326">
        <f t="shared" si="80"/>
        <v>5167</v>
      </c>
      <c r="F991" s="2326">
        <f t="shared" si="81"/>
        <v>5951</v>
      </c>
      <c r="G991" s="2326">
        <f t="shared" si="82"/>
        <v>5281</v>
      </c>
    </row>
    <row r="992" spans="1:7" ht="15.75">
      <c r="A992" s="2486">
        <f t="shared" si="83"/>
        <v>46425</v>
      </c>
      <c r="B992" s="2325">
        <v>46400</v>
      </c>
      <c r="C992" s="2325">
        <v>46450</v>
      </c>
      <c r="D992" s="2326">
        <f t="shared" si="79"/>
        <v>5962</v>
      </c>
      <c r="E992" s="2326">
        <f t="shared" si="80"/>
        <v>5173</v>
      </c>
      <c r="F992" s="2326">
        <f t="shared" si="81"/>
        <v>5962</v>
      </c>
      <c r="G992" s="2326">
        <f t="shared" si="82"/>
        <v>5287</v>
      </c>
    </row>
    <row r="993" spans="1:7" ht="15.75">
      <c r="A993" s="2486">
        <f t="shared" si="83"/>
        <v>46475</v>
      </c>
      <c r="B993" s="2325">
        <v>46450</v>
      </c>
      <c r="C993" s="2325">
        <v>46500</v>
      </c>
      <c r="D993" s="2326">
        <f t="shared" si="79"/>
        <v>5973</v>
      </c>
      <c r="E993" s="2326">
        <f t="shared" si="80"/>
        <v>5179</v>
      </c>
      <c r="F993" s="2326">
        <f t="shared" si="81"/>
        <v>5973</v>
      </c>
      <c r="G993" s="2326">
        <f t="shared" si="82"/>
        <v>5293</v>
      </c>
    </row>
    <row r="994" spans="1:7" ht="15.75">
      <c r="A994" s="2486">
        <f t="shared" si="83"/>
        <v>46525</v>
      </c>
      <c r="B994" s="2325">
        <v>46500</v>
      </c>
      <c r="C994" s="2325">
        <v>46550</v>
      </c>
      <c r="D994" s="2326">
        <f t="shared" si="79"/>
        <v>5984</v>
      </c>
      <c r="E994" s="2326">
        <f t="shared" si="80"/>
        <v>5185</v>
      </c>
      <c r="F994" s="2326">
        <f t="shared" si="81"/>
        <v>5984</v>
      </c>
      <c r="G994" s="2326">
        <f t="shared" si="82"/>
        <v>5299</v>
      </c>
    </row>
    <row r="995" spans="1:7" ht="15.75">
      <c r="A995" s="2486">
        <f t="shared" si="83"/>
        <v>46575</v>
      </c>
      <c r="B995" s="2325">
        <v>46550</v>
      </c>
      <c r="C995" s="2325">
        <v>46600</v>
      </c>
      <c r="D995" s="2326">
        <f t="shared" si="79"/>
        <v>5995</v>
      </c>
      <c r="E995" s="2326">
        <f t="shared" si="80"/>
        <v>5191</v>
      </c>
      <c r="F995" s="2326">
        <f t="shared" si="81"/>
        <v>5995</v>
      </c>
      <c r="G995" s="2326">
        <f t="shared" si="82"/>
        <v>5305</v>
      </c>
    </row>
    <row r="996" spans="1:7" ht="15.75">
      <c r="A996" s="2486">
        <f t="shared" si="83"/>
        <v>46625</v>
      </c>
      <c r="B996" s="2325">
        <v>46600</v>
      </c>
      <c r="C996" s="2325">
        <v>46650</v>
      </c>
      <c r="D996" s="2326">
        <f t="shared" si="79"/>
        <v>6006</v>
      </c>
      <c r="E996" s="2326">
        <f t="shared" si="80"/>
        <v>5197</v>
      </c>
      <c r="F996" s="2326">
        <f t="shared" si="81"/>
        <v>6006</v>
      </c>
      <c r="G996" s="2326">
        <f t="shared" si="82"/>
        <v>5311</v>
      </c>
    </row>
    <row r="997" spans="1:7" ht="15.75">
      <c r="A997" s="2486">
        <f t="shared" si="83"/>
        <v>46675</v>
      </c>
      <c r="B997" s="2325">
        <v>46650</v>
      </c>
      <c r="C997" s="2325">
        <v>46700</v>
      </c>
      <c r="D997" s="2326">
        <f t="shared" si="79"/>
        <v>6017</v>
      </c>
      <c r="E997" s="2326">
        <f t="shared" si="80"/>
        <v>5203</v>
      </c>
      <c r="F997" s="2326">
        <f t="shared" si="81"/>
        <v>6017</v>
      </c>
      <c r="G997" s="2326">
        <f t="shared" si="82"/>
        <v>5317</v>
      </c>
    </row>
    <row r="998" spans="1:7" ht="15.75">
      <c r="A998" s="2486">
        <f t="shared" si="83"/>
        <v>46725</v>
      </c>
      <c r="B998" s="2325">
        <v>46700</v>
      </c>
      <c r="C998" s="2325">
        <v>46750</v>
      </c>
      <c r="D998" s="2326">
        <f t="shared" si="79"/>
        <v>6028</v>
      </c>
      <c r="E998" s="2326">
        <f t="shared" si="80"/>
        <v>5209</v>
      </c>
      <c r="F998" s="2326">
        <f t="shared" si="81"/>
        <v>6028</v>
      </c>
      <c r="G998" s="2326">
        <f t="shared" si="82"/>
        <v>5323</v>
      </c>
    </row>
    <row r="999" spans="1:7" ht="15.75">
      <c r="A999" s="2486">
        <f t="shared" si="83"/>
        <v>46775</v>
      </c>
      <c r="B999" s="2325">
        <v>46750</v>
      </c>
      <c r="C999" s="2325">
        <v>46800</v>
      </c>
      <c r="D999" s="2326">
        <f t="shared" si="79"/>
        <v>6039</v>
      </c>
      <c r="E999" s="2326">
        <f t="shared" si="80"/>
        <v>5215</v>
      </c>
      <c r="F999" s="2326">
        <f t="shared" si="81"/>
        <v>6039</v>
      </c>
      <c r="G999" s="2326">
        <f t="shared" si="82"/>
        <v>5329</v>
      </c>
    </row>
    <row r="1000" spans="1:7" ht="15.75">
      <c r="A1000" s="2486">
        <f t="shared" si="83"/>
        <v>46825</v>
      </c>
      <c r="B1000" s="2325">
        <v>46800</v>
      </c>
      <c r="C1000" s="2325">
        <v>46850</v>
      </c>
      <c r="D1000" s="2326">
        <f t="shared" si="79"/>
        <v>6050</v>
      </c>
      <c r="E1000" s="2326">
        <f t="shared" si="80"/>
        <v>5221</v>
      </c>
      <c r="F1000" s="2326">
        <f t="shared" si="81"/>
        <v>6050</v>
      </c>
      <c r="G1000" s="2326">
        <f t="shared" si="82"/>
        <v>5335</v>
      </c>
    </row>
    <row r="1001" spans="1:7" ht="15.75">
      <c r="A1001" s="2486">
        <f t="shared" si="83"/>
        <v>46875</v>
      </c>
      <c r="B1001" s="2325">
        <v>46850</v>
      </c>
      <c r="C1001" s="2325">
        <v>46900</v>
      </c>
      <c r="D1001" s="2326">
        <f t="shared" si="79"/>
        <v>6061</v>
      </c>
      <c r="E1001" s="2326">
        <f t="shared" si="80"/>
        <v>5227</v>
      </c>
      <c r="F1001" s="2326">
        <f t="shared" si="81"/>
        <v>6061</v>
      </c>
      <c r="G1001" s="2326">
        <f t="shared" si="82"/>
        <v>5341</v>
      </c>
    </row>
    <row r="1002" spans="1:7" ht="15.75">
      <c r="A1002" s="2486">
        <f t="shared" si="83"/>
        <v>46925</v>
      </c>
      <c r="B1002" s="2325">
        <v>46900</v>
      </c>
      <c r="C1002" s="2325">
        <v>46950</v>
      </c>
      <c r="D1002" s="2326">
        <f t="shared" si="79"/>
        <v>6072</v>
      </c>
      <c r="E1002" s="2326">
        <f t="shared" si="80"/>
        <v>5233</v>
      </c>
      <c r="F1002" s="2326">
        <f t="shared" si="81"/>
        <v>6072</v>
      </c>
      <c r="G1002" s="2326">
        <f t="shared" si="82"/>
        <v>5347</v>
      </c>
    </row>
    <row r="1003" spans="1:7" ht="15.75">
      <c r="A1003" s="2486">
        <f t="shared" si="83"/>
        <v>46975</v>
      </c>
      <c r="B1003" s="2325">
        <v>46950</v>
      </c>
      <c r="C1003" s="2325">
        <v>47000</v>
      </c>
      <c r="D1003" s="2326">
        <f t="shared" si="79"/>
        <v>6083</v>
      </c>
      <c r="E1003" s="2326">
        <f t="shared" si="80"/>
        <v>5239</v>
      </c>
      <c r="F1003" s="2326">
        <f t="shared" si="81"/>
        <v>6083</v>
      </c>
      <c r="G1003" s="2326">
        <f t="shared" si="82"/>
        <v>5353</v>
      </c>
    </row>
    <row r="1004" spans="1:7" ht="15.75">
      <c r="A1004" s="2486">
        <f t="shared" si="83"/>
        <v>47025</v>
      </c>
      <c r="B1004" s="2325">
        <v>47000</v>
      </c>
      <c r="C1004" s="2325">
        <v>47050</v>
      </c>
      <c r="D1004" s="2326">
        <f t="shared" si="79"/>
        <v>6094</v>
      </c>
      <c r="E1004" s="2326">
        <f t="shared" si="80"/>
        <v>5245</v>
      </c>
      <c r="F1004" s="2326">
        <f t="shared" si="81"/>
        <v>6094</v>
      </c>
      <c r="G1004" s="2326">
        <f t="shared" si="82"/>
        <v>5359</v>
      </c>
    </row>
    <row r="1005" spans="1:7" ht="15.75">
      <c r="A1005" s="2486">
        <f t="shared" si="83"/>
        <v>47075</v>
      </c>
      <c r="B1005" s="2325">
        <v>47050</v>
      </c>
      <c r="C1005" s="2325">
        <v>47100</v>
      </c>
      <c r="D1005" s="2326">
        <f t="shared" si="79"/>
        <v>6105</v>
      </c>
      <c r="E1005" s="2326">
        <f t="shared" si="80"/>
        <v>5251</v>
      </c>
      <c r="F1005" s="2326">
        <f t="shared" si="81"/>
        <v>6105</v>
      </c>
      <c r="G1005" s="2326">
        <f t="shared" si="82"/>
        <v>5365</v>
      </c>
    </row>
    <row r="1006" spans="1:7" ht="15.75">
      <c r="A1006" s="2486">
        <f t="shared" si="83"/>
        <v>47125</v>
      </c>
      <c r="B1006" s="2325">
        <v>47100</v>
      </c>
      <c r="C1006" s="2325">
        <v>47150</v>
      </c>
      <c r="D1006" s="2326">
        <f t="shared" si="79"/>
        <v>6116</v>
      </c>
      <c r="E1006" s="2326">
        <f t="shared" si="80"/>
        <v>5257</v>
      </c>
      <c r="F1006" s="2326">
        <f t="shared" si="81"/>
        <v>6116</v>
      </c>
      <c r="G1006" s="2326">
        <f t="shared" si="82"/>
        <v>5371</v>
      </c>
    </row>
    <row r="1007" spans="1:7" ht="15.75">
      <c r="A1007" s="2486">
        <f t="shared" si="83"/>
        <v>47175</v>
      </c>
      <c r="B1007" s="2325">
        <v>47150</v>
      </c>
      <c r="C1007" s="2325">
        <v>47200</v>
      </c>
      <c r="D1007" s="2326">
        <f t="shared" si="79"/>
        <v>6127</v>
      </c>
      <c r="E1007" s="2326">
        <f t="shared" si="80"/>
        <v>5263</v>
      </c>
      <c r="F1007" s="2326">
        <f t="shared" si="81"/>
        <v>6127</v>
      </c>
      <c r="G1007" s="2326">
        <f t="shared" si="82"/>
        <v>5377</v>
      </c>
    </row>
    <row r="1008" spans="1:7" ht="15.75">
      <c r="A1008" s="2486">
        <f t="shared" si="83"/>
        <v>47225</v>
      </c>
      <c r="B1008" s="2325">
        <v>47200</v>
      </c>
      <c r="C1008" s="2325">
        <v>47250</v>
      </c>
      <c r="D1008" s="2326">
        <f t="shared" si="79"/>
        <v>6138</v>
      </c>
      <c r="E1008" s="2326">
        <f t="shared" si="80"/>
        <v>5269</v>
      </c>
      <c r="F1008" s="2326">
        <f t="shared" si="81"/>
        <v>6138</v>
      </c>
      <c r="G1008" s="2326">
        <f t="shared" si="82"/>
        <v>5383</v>
      </c>
    </row>
    <row r="1009" spans="1:7" ht="15.75">
      <c r="A1009" s="2486">
        <f t="shared" si="83"/>
        <v>47275</v>
      </c>
      <c r="B1009" s="2325">
        <v>47250</v>
      </c>
      <c r="C1009" s="2325">
        <v>47300</v>
      </c>
      <c r="D1009" s="2326">
        <f t="shared" si="79"/>
        <v>6149</v>
      </c>
      <c r="E1009" s="2326">
        <f t="shared" si="80"/>
        <v>5275</v>
      </c>
      <c r="F1009" s="2326">
        <f t="shared" si="81"/>
        <v>6149</v>
      </c>
      <c r="G1009" s="2326">
        <f t="shared" si="82"/>
        <v>5389</v>
      </c>
    </row>
    <row r="1010" spans="1:7" ht="15.75">
      <c r="A1010" s="2486">
        <f t="shared" si="83"/>
        <v>47325</v>
      </c>
      <c r="B1010" s="2325">
        <v>47300</v>
      </c>
      <c r="C1010" s="2325">
        <v>47350</v>
      </c>
      <c r="D1010" s="2326">
        <f t="shared" si="79"/>
        <v>6160</v>
      </c>
      <c r="E1010" s="2326">
        <f t="shared" si="80"/>
        <v>5281</v>
      </c>
      <c r="F1010" s="2326">
        <f t="shared" si="81"/>
        <v>6160</v>
      </c>
      <c r="G1010" s="2326">
        <f t="shared" si="82"/>
        <v>5395</v>
      </c>
    </row>
    <row r="1011" spans="1:7" ht="15.75">
      <c r="A1011" s="2486">
        <f t="shared" si="83"/>
        <v>47375</v>
      </c>
      <c r="B1011" s="2325">
        <v>47350</v>
      </c>
      <c r="C1011" s="2325">
        <v>47400</v>
      </c>
      <c r="D1011" s="2326">
        <f t="shared" si="79"/>
        <v>6171</v>
      </c>
      <c r="E1011" s="2326">
        <f t="shared" si="80"/>
        <v>5287</v>
      </c>
      <c r="F1011" s="2326">
        <f t="shared" si="81"/>
        <v>6171</v>
      </c>
      <c r="G1011" s="2326">
        <f t="shared" si="82"/>
        <v>5401</v>
      </c>
    </row>
    <row r="1012" spans="1:7" ht="15.75">
      <c r="A1012" s="2486">
        <f t="shared" si="83"/>
        <v>47425</v>
      </c>
      <c r="B1012" s="2325">
        <v>47400</v>
      </c>
      <c r="C1012" s="2325">
        <v>47450</v>
      </c>
      <c r="D1012" s="2326">
        <f t="shared" si="79"/>
        <v>6182</v>
      </c>
      <c r="E1012" s="2326">
        <f t="shared" si="80"/>
        <v>5293</v>
      </c>
      <c r="F1012" s="2326">
        <f t="shared" si="81"/>
        <v>6182</v>
      </c>
      <c r="G1012" s="2326">
        <f t="shared" si="82"/>
        <v>5407</v>
      </c>
    </row>
    <row r="1013" spans="1:7" ht="15.75">
      <c r="A1013" s="2486">
        <f t="shared" si="83"/>
        <v>47475</v>
      </c>
      <c r="B1013" s="2325">
        <v>47450</v>
      </c>
      <c r="C1013" s="2325">
        <v>47500</v>
      </c>
      <c r="D1013" s="2326">
        <f t="shared" si="79"/>
        <v>6193</v>
      </c>
      <c r="E1013" s="2326">
        <f t="shared" si="80"/>
        <v>5299</v>
      </c>
      <c r="F1013" s="2326">
        <f t="shared" si="81"/>
        <v>6193</v>
      </c>
      <c r="G1013" s="2326">
        <f t="shared" si="82"/>
        <v>5413</v>
      </c>
    </row>
    <row r="1014" spans="1:7" ht="15.75">
      <c r="A1014" s="2486">
        <f t="shared" si="83"/>
        <v>47525</v>
      </c>
      <c r="B1014" s="2325">
        <v>47500</v>
      </c>
      <c r="C1014" s="2325">
        <v>47550</v>
      </c>
      <c r="D1014" s="2326">
        <f t="shared" si="79"/>
        <v>6204</v>
      </c>
      <c r="E1014" s="2326">
        <f t="shared" si="80"/>
        <v>5305</v>
      </c>
      <c r="F1014" s="2326">
        <f t="shared" si="81"/>
        <v>6204</v>
      </c>
      <c r="G1014" s="2326">
        <f t="shared" si="82"/>
        <v>5419</v>
      </c>
    </row>
    <row r="1015" spans="1:7" ht="15.75">
      <c r="A1015" s="2486">
        <f t="shared" si="83"/>
        <v>47575</v>
      </c>
      <c r="B1015" s="2325">
        <v>47550</v>
      </c>
      <c r="C1015" s="2325">
        <v>47600</v>
      </c>
      <c r="D1015" s="2326">
        <f t="shared" si="79"/>
        <v>6215</v>
      </c>
      <c r="E1015" s="2326">
        <f t="shared" si="80"/>
        <v>5311</v>
      </c>
      <c r="F1015" s="2326">
        <f t="shared" si="81"/>
        <v>6215</v>
      </c>
      <c r="G1015" s="2326">
        <f t="shared" si="82"/>
        <v>5425</v>
      </c>
    </row>
    <row r="1016" spans="1:7" ht="15.75">
      <c r="A1016" s="2486">
        <f t="shared" si="83"/>
        <v>47625</v>
      </c>
      <c r="B1016" s="2325">
        <v>47600</v>
      </c>
      <c r="C1016" s="2325">
        <v>47650</v>
      </c>
      <c r="D1016" s="2326">
        <f t="shared" si="79"/>
        <v>6226</v>
      </c>
      <c r="E1016" s="2326">
        <f t="shared" si="80"/>
        <v>5317</v>
      </c>
      <c r="F1016" s="2326">
        <f t="shared" si="81"/>
        <v>6226</v>
      </c>
      <c r="G1016" s="2326">
        <f t="shared" si="82"/>
        <v>5431</v>
      </c>
    </row>
    <row r="1017" spans="1:7" ht="15.75">
      <c r="A1017" s="2486">
        <f t="shared" si="83"/>
        <v>47675</v>
      </c>
      <c r="B1017" s="2325">
        <v>47650</v>
      </c>
      <c r="C1017" s="2325">
        <v>47700</v>
      </c>
      <c r="D1017" s="2326">
        <f t="shared" si="79"/>
        <v>6237</v>
      </c>
      <c r="E1017" s="2326">
        <f t="shared" si="80"/>
        <v>5323</v>
      </c>
      <c r="F1017" s="2326">
        <f t="shared" si="81"/>
        <v>6237</v>
      </c>
      <c r="G1017" s="2326">
        <f t="shared" si="82"/>
        <v>5437</v>
      </c>
    </row>
    <row r="1018" spans="1:7" ht="15.75">
      <c r="A1018" s="2486">
        <f t="shared" si="83"/>
        <v>47725</v>
      </c>
      <c r="B1018" s="2325">
        <v>47700</v>
      </c>
      <c r="C1018" s="2325">
        <v>47750</v>
      </c>
      <c r="D1018" s="2326">
        <f t="shared" si="79"/>
        <v>6248</v>
      </c>
      <c r="E1018" s="2326">
        <f t="shared" si="80"/>
        <v>5329</v>
      </c>
      <c r="F1018" s="2326">
        <f t="shared" si="81"/>
        <v>6248</v>
      </c>
      <c r="G1018" s="2326">
        <f t="shared" si="82"/>
        <v>5443</v>
      </c>
    </row>
    <row r="1019" spans="1:7" ht="15.75">
      <c r="A1019" s="2486">
        <f t="shared" si="83"/>
        <v>47775</v>
      </c>
      <c r="B1019" s="2325">
        <v>47750</v>
      </c>
      <c r="C1019" s="2325">
        <v>47800</v>
      </c>
      <c r="D1019" s="2326">
        <f t="shared" si="79"/>
        <v>6259</v>
      </c>
      <c r="E1019" s="2326">
        <f t="shared" si="80"/>
        <v>5335</v>
      </c>
      <c r="F1019" s="2326">
        <f t="shared" si="81"/>
        <v>6259</v>
      </c>
      <c r="G1019" s="2326">
        <f t="shared" si="82"/>
        <v>5449</v>
      </c>
    </row>
    <row r="1020" spans="1:7" ht="15.75">
      <c r="A1020" s="2486">
        <f t="shared" si="83"/>
        <v>47825</v>
      </c>
      <c r="B1020" s="2325">
        <v>47800</v>
      </c>
      <c r="C1020" s="2325">
        <v>47850</v>
      </c>
      <c r="D1020" s="2326">
        <f t="shared" si="79"/>
        <v>6270</v>
      </c>
      <c r="E1020" s="2326">
        <f t="shared" si="80"/>
        <v>5341</v>
      </c>
      <c r="F1020" s="2326">
        <f t="shared" si="81"/>
        <v>6270</v>
      </c>
      <c r="G1020" s="2326">
        <f t="shared" si="82"/>
        <v>5455</v>
      </c>
    </row>
    <row r="1021" spans="1:7" ht="15.75">
      <c r="A1021" s="2486">
        <f t="shared" si="83"/>
        <v>47875</v>
      </c>
      <c r="B1021" s="2325">
        <v>47850</v>
      </c>
      <c r="C1021" s="2325">
        <v>47900</v>
      </c>
      <c r="D1021" s="2326">
        <f t="shared" si="79"/>
        <v>6281</v>
      </c>
      <c r="E1021" s="2326">
        <f t="shared" si="80"/>
        <v>5347</v>
      </c>
      <c r="F1021" s="2326">
        <f t="shared" si="81"/>
        <v>6281</v>
      </c>
      <c r="G1021" s="2326">
        <f t="shared" si="82"/>
        <v>5461</v>
      </c>
    </row>
    <row r="1022" spans="1:7" ht="15.75">
      <c r="A1022" s="2486">
        <f t="shared" si="83"/>
        <v>47925</v>
      </c>
      <c r="B1022" s="2325">
        <v>47900</v>
      </c>
      <c r="C1022" s="2325">
        <v>47950</v>
      </c>
      <c r="D1022" s="2326">
        <f t="shared" si="79"/>
        <v>6292</v>
      </c>
      <c r="E1022" s="2326">
        <f t="shared" si="80"/>
        <v>5353</v>
      </c>
      <c r="F1022" s="2326">
        <f t="shared" si="81"/>
        <v>6292</v>
      </c>
      <c r="G1022" s="2326">
        <f t="shared" si="82"/>
        <v>5467</v>
      </c>
    </row>
    <row r="1023" spans="1:7" ht="15.75">
      <c r="A1023" s="2486">
        <f t="shared" si="83"/>
        <v>47975</v>
      </c>
      <c r="B1023" s="2325">
        <v>47950</v>
      </c>
      <c r="C1023" s="2325">
        <v>48000</v>
      </c>
      <c r="D1023" s="2326">
        <f t="shared" si="79"/>
        <v>6303</v>
      </c>
      <c r="E1023" s="2326">
        <f t="shared" si="80"/>
        <v>5359</v>
      </c>
      <c r="F1023" s="2326">
        <f t="shared" si="81"/>
        <v>6303</v>
      </c>
      <c r="G1023" s="2326">
        <f t="shared" si="82"/>
        <v>5473</v>
      </c>
    </row>
    <row r="1024" spans="1:7" ht="15.75">
      <c r="A1024" s="2486">
        <f t="shared" si="83"/>
        <v>48025</v>
      </c>
      <c r="B1024" s="2325">
        <v>48000</v>
      </c>
      <c r="C1024" s="2325">
        <v>48050</v>
      </c>
      <c r="D1024" s="2326">
        <f t="shared" si="79"/>
        <v>6314</v>
      </c>
      <c r="E1024" s="2326">
        <f t="shared" si="80"/>
        <v>5365</v>
      </c>
      <c r="F1024" s="2326">
        <f t="shared" si="81"/>
        <v>6314</v>
      </c>
      <c r="G1024" s="2326">
        <f t="shared" si="82"/>
        <v>5479</v>
      </c>
    </row>
    <row r="1025" spans="1:7" ht="15.75">
      <c r="A1025" s="2486">
        <f t="shared" si="83"/>
        <v>48075</v>
      </c>
      <c r="B1025" s="2325">
        <v>48050</v>
      </c>
      <c r="C1025" s="2325">
        <v>48100</v>
      </c>
      <c r="D1025" s="2326">
        <f t="shared" si="79"/>
        <v>6325</v>
      </c>
      <c r="E1025" s="2326">
        <f t="shared" si="80"/>
        <v>5371</v>
      </c>
      <c r="F1025" s="2326">
        <f t="shared" si="81"/>
        <v>6325</v>
      </c>
      <c r="G1025" s="2326">
        <f t="shared" si="82"/>
        <v>5485</v>
      </c>
    </row>
    <row r="1026" spans="1:7" ht="15.75">
      <c r="A1026" s="2486">
        <f t="shared" si="83"/>
        <v>48125</v>
      </c>
      <c r="B1026" s="2325">
        <v>48100</v>
      </c>
      <c r="C1026" s="2325">
        <v>48150</v>
      </c>
      <c r="D1026" s="2326">
        <f t="shared" ref="D1026:D1089" si="84">IF($A1026&gt;BOTT_A4,ROUND(BASE_A4+RATE_A4*($A1026-BOTT_A4),0),IF($A1026&gt;BOTT_A3,ROUND(BASE_A3+RATE_A3*($A1026-BOTT_A3),0),IF($A1026&gt;BOTT_A2,ROUND(BASE_A2+RATE_A2*($A1026-BOTT_A2),0),ROUND(RATE_A1*$A1026,0))))</f>
        <v>6336</v>
      </c>
      <c r="E1026" s="2326">
        <f t="shared" ref="E1026:E1089" si="85">IF($A1026&gt;BOTT_B4,ROUND(BASE_B4+RATE_B4*($A1026-BOTT_B4),0),IF($A1026&gt;BOTT_B3,ROUND(BASE_B3+RATE_B3*($A1026-BOTT_B3),0),IF($A1026&gt;BOTT_B2,ROUND(BASE_B2+RATE_B2*($A1026-BOTT_B2),0),ROUND(RATE_B1*$A1026,0))))</f>
        <v>5377</v>
      </c>
      <c r="F1026" s="2326">
        <f t="shared" ref="F1026:F1089" si="86">IF($A1026&gt;BOTT_C4,ROUND(BASE_C4+RATE_C4*($A1026-BOTT_C4),0),IF($A1026&gt;BOTT_C3,ROUND(BASE_C3+RATE_C3*($A1026-BOTT_C3),0),IF($A1026&gt;BOTT_C2,ROUND(BASE_C2+RATE_C2*($A1026-BOTT_C2),0),ROUND(RATE_C1*$A1026,0))))</f>
        <v>6336</v>
      </c>
      <c r="G1026" s="2326">
        <f t="shared" ref="G1026:G1089" si="87">IF($A1026&gt;BOTT_D4,ROUND(BASE_D4+RATE_D4*($A1026-BOTT_D4),0),IF($A1026&gt;BOTT_D3,ROUND(BASE_D3+RATE_D3*($A1026-BOTT_D3),0),IF($A1026&gt;BOTT_D2,ROUND(BASE_D2+RATE_D2*($A1026-BOTT_D2),0),ROUND(RATE_D1*$A1026,0))))</f>
        <v>5491</v>
      </c>
    </row>
    <row r="1027" spans="1:7" ht="15.75">
      <c r="A1027" s="2486">
        <f t="shared" ref="A1027:A1090" si="88">AVERAGE(B1027,C1027)</f>
        <v>48175</v>
      </c>
      <c r="B1027" s="2325">
        <v>48150</v>
      </c>
      <c r="C1027" s="2325">
        <v>48200</v>
      </c>
      <c r="D1027" s="2326">
        <f t="shared" si="84"/>
        <v>6347</v>
      </c>
      <c r="E1027" s="2326">
        <f t="shared" si="85"/>
        <v>5383</v>
      </c>
      <c r="F1027" s="2326">
        <f t="shared" si="86"/>
        <v>6347</v>
      </c>
      <c r="G1027" s="2326">
        <f t="shared" si="87"/>
        <v>5497</v>
      </c>
    </row>
    <row r="1028" spans="1:7" ht="15.75">
      <c r="A1028" s="2486">
        <f t="shared" si="88"/>
        <v>48225</v>
      </c>
      <c r="B1028" s="2325">
        <v>48200</v>
      </c>
      <c r="C1028" s="2325">
        <v>48250</v>
      </c>
      <c r="D1028" s="2326">
        <f t="shared" si="84"/>
        <v>6358</v>
      </c>
      <c r="E1028" s="2326">
        <f t="shared" si="85"/>
        <v>5389</v>
      </c>
      <c r="F1028" s="2326">
        <f t="shared" si="86"/>
        <v>6358</v>
      </c>
      <c r="G1028" s="2326">
        <f t="shared" si="87"/>
        <v>5503</v>
      </c>
    </row>
    <row r="1029" spans="1:7" ht="15.75">
      <c r="A1029" s="2486">
        <f t="shared" si="88"/>
        <v>48275</v>
      </c>
      <c r="B1029" s="2325">
        <v>48250</v>
      </c>
      <c r="C1029" s="2325">
        <v>48300</v>
      </c>
      <c r="D1029" s="2326">
        <f t="shared" si="84"/>
        <v>6369</v>
      </c>
      <c r="E1029" s="2326">
        <f t="shared" si="85"/>
        <v>5395</v>
      </c>
      <c r="F1029" s="2326">
        <f t="shared" si="86"/>
        <v>6369</v>
      </c>
      <c r="G1029" s="2326">
        <f t="shared" si="87"/>
        <v>5509</v>
      </c>
    </row>
    <row r="1030" spans="1:7" ht="15.75">
      <c r="A1030" s="2486">
        <f t="shared" si="88"/>
        <v>48325</v>
      </c>
      <c r="B1030" s="2325">
        <v>48300</v>
      </c>
      <c r="C1030" s="2325">
        <v>48350</v>
      </c>
      <c r="D1030" s="2326">
        <f t="shared" si="84"/>
        <v>6380</v>
      </c>
      <c r="E1030" s="2326">
        <f t="shared" si="85"/>
        <v>5401</v>
      </c>
      <c r="F1030" s="2326">
        <f t="shared" si="86"/>
        <v>6380</v>
      </c>
      <c r="G1030" s="2326">
        <f t="shared" si="87"/>
        <v>5515</v>
      </c>
    </row>
    <row r="1031" spans="1:7" ht="15.75">
      <c r="A1031" s="2486">
        <f t="shared" si="88"/>
        <v>48375</v>
      </c>
      <c r="B1031" s="2325">
        <v>48350</v>
      </c>
      <c r="C1031" s="2325">
        <v>48400</v>
      </c>
      <c r="D1031" s="2326">
        <f t="shared" si="84"/>
        <v>6391</v>
      </c>
      <c r="E1031" s="2326">
        <f t="shared" si="85"/>
        <v>5407</v>
      </c>
      <c r="F1031" s="2326">
        <f t="shared" si="86"/>
        <v>6391</v>
      </c>
      <c r="G1031" s="2326">
        <f t="shared" si="87"/>
        <v>5521</v>
      </c>
    </row>
    <row r="1032" spans="1:7" ht="15.75">
      <c r="A1032" s="2486">
        <f t="shared" si="88"/>
        <v>48425</v>
      </c>
      <c r="B1032" s="2325">
        <v>48400</v>
      </c>
      <c r="C1032" s="2325">
        <v>48450</v>
      </c>
      <c r="D1032" s="2326">
        <f t="shared" si="84"/>
        <v>6402</v>
      </c>
      <c r="E1032" s="2326">
        <f t="shared" si="85"/>
        <v>5413</v>
      </c>
      <c r="F1032" s="2326">
        <f t="shared" si="86"/>
        <v>6402</v>
      </c>
      <c r="G1032" s="2326">
        <f t="shared" si="87"/>
        <v>5527</v>
      </c>
    </row>
    <row r="1033" spans="1:7" ht="15.75">
      <c r="A1033" s="2486">
        <f t="shared" si="88"/>
        <v>48475</v>
      </c>
      <c r="B1033" s="2325">
        <v>48450</v>
      </c>
      <c r="C1033" s="2325">
        <v>48500</v>
      </c>
      <c r="D1033" s="2326">
        <f t="shared" si="84"/>
        <v>6413</v>
      </c>
      <c r="E1033" s="2326">
        <f t="shared" si="85"/>
        <v>5419</v>
      </c>
      <c r="F1033" s="2326">
        <f t="shared" si="86"/>
        <v>6413</v>
      </c>
      <c r="G1033" s="2326">
        <f t="shared" si="87"/>
        <v>5533</v>
      </c>
    </row>
    <row r="1034" spans="1:7" ht="15.75">
      <c r="A1034" s="2486">
        <f t="shared" si="88"/>
        <v>48525</v>
      </c>
      <c r="B1034" s="2325">
        <v>48500</v>
      </c>
      <c r="C1034" s="2325">
        <v>48550</v>
      </c>
      <c r="D1034" s="2326">
        <f t="shared" si="84"/>
        <v>6424</v>
      </c>
      <c r="E1034" s="2326">
        <f t="shared" si="85"/>
        <v>5425</v>
      </c>
      <c r="F1034" s="2326">
        <f t="shared" si="86"/>
        <v>6424</v>
      </c>
      <c r="G1034" s="2326">
        <f t="shared" si="87"/>
        <v>5539</v>
      </c>
    </row>
    <row r="1035" spans="1:7" ht="15.75">
      <c r="A1035" s="2486">
        <f t="shared" si="88"/>
        <v>48575</v>
      </c>
      <c r="B1035" s="2325">
        <v>48550</v>
      </c>
      <c r="C1035" s="2325">
        <v>48600</v>
      </c>
      <c r="D1035" s="2326">
        <f t="shared" si="84"/>
        <v>6435</v>
      </c>
      <c r="E1035" s="2326">
        <f t="shared" si="85"/>
        <v>5431</v>
      </c>
      <c r="F1035" s="2326">
        <f t="shared" si="86"/>
        <v>6435</v>
      </c>
      <c r="G1035" s="2326">
        <f t="shared" si="87"/>
        <v>5545</v>
      </c>
    </row>
    <row r="1036" spans="1:7" ht="15.75">
      <c r="A1036" s="2486">
        <f t="shared" si="88"/>
        <v>48625</v>
      </c>
      <c r="B1036" s="2325">
        <v>48600</v>
      </c>
      <c r="C1036" s="2325">
        <v>48650</v>
      </c>
      <c r="D1036" s="2326">
        <f t="shared" si="84"/>
        <v>6446</v>
      </c>
      <c r="E1036" s="2326">
        <f t="shared" si="85"/>
        <v>5437</v>
      </c>
      <c r="F1036" s="2326">
        <f t="shared" si="86"/>
        <v>6446</v>
      </c>
      <c r="G1036" s="2326">
        <f t="shared" si="87"/>
        <v>5551</v>
      </c>
    </row>
    <row r="1037" spans="1:7" ht="15.75">
      <c r="A1037" s="2486">
        <f t="shared" si="88"/>
        <v>48675</v>
      </c>
      <c r="B1037" s="2325">
        <v>48650</v>
      </c>
      <c r="C1037" s="2325">
        <v>48700</v>
      </c>
      <c r="D1037" s="2326">
        <f t="shared" si="84"/>
        <v>6457</v>
      </c>
      <c r="E1037" s="2326">
        <f t="shared" si="85"/>
        <v>5443</v>
      </c>
      <c r="F1037" s="2326">
        <f t="shared" si="86"/>
        <v>6457</v>
      </c>
      <c r="G1037" s="2326">
        <f t="shared" si="87"/>
        <v>5557</v>
      </c>
    </row>
    <row r="1038" spans="1:7" ht="15.75">
      <c r="A1038" s="2486">
        <f t="shared" si="88"/>
        <v>48725</v>
      </c>
      <c r="B1038" s="2325">
        <v>48700</v>
      </c>
      <c r="C1038" s="2325">
        <v>48750</v>
      </c>
      <c r="D1038" s="2326">
        <f t="shared" si="84"/>
        <v>6468</v>
      </c>
      <c r="E1038" s="2326">
        <f t="shared" si="85"/>
        <v>5449</v>
      </c>
      <c r="F1038" s="2326">
        <f t="shared" si="86"/>
        <v>6468</v>
      </c>
      <c r="G1038" s="2326">
        <f t="shared" si="87"/>
        <v>5563</v>
      </c>
    </row>
    <row r="1039" spans="1:7" ht="15.75">
      <c r="A1039" s="2486">
        <f t="shared" si="88"/>
        <v>48775</v>
      </c>
      <c r="B1039" s="2325">
        <v>48750</v>
      </c>
      <c r="C1039" s="2325">
        <v>48800</v>
      </c>
      <c r="D1039" s="2326">
        <f t="shared" si="84"/>
        <v>6479</v>
      </c>
      <c r="E1039" s="2326">
        <f t="shared" si="85"/>
        <v>5455</v>
      </c>
      <c r="F1039" s="2326">
        <f t="shared" si="86"/>
        <v>6479</v>
      </c>
      <c r="G1039" s="2326">
        <f t="shared" si="87"/>
        <v>5569</v>
      </c>
    </row>
    <row r="1040" spans="1:7" ht="15.75">
      <c r="A1040" s="2486">
        <f t="shared" si="88"/>
        <v>48825</v>
      </c>
      <c r="B1040" s="2325">
        <v>48800</v>
      </c>
      <c r="C1040" s="2325">
        <v>48850</v>
      </c>
      <c r="D1040" s="2326">
        <f t="shared" si="84"/>
        <v>6490</v>
      </c>
      <c r="E1040" s="2326">
        <f t="shared" si="85"/>
        <v>5461</v>
      </c>
      <c r="F1040" s="2326">
        <f t="shared" si="86"/>
        <v>6490</v>
      </c>
      <c r="G1040" s="2326">
        <f t="shared" si="87"/>
        <v>5575</v>
      </c>
    </row>
    <row r="1041" spans="1:7" ht="15.75">
      <c r="A1041" s="2486">
        <f t="shared" si="88"/>
        <v>48875</v>
      </c>
      <c r="B1041" s="2325">
        <v>48850</v>
      </c>
      <c r="C1041" s="2325">
        <v>48900</v>
      </c>
      <c r="D1041" s="2326">
        <f t="shared" si="84"/>
        <v>6501</v>
      </c>
      <c r="E1041" s="2326">
        <f t="shared" si="85"/>
        <v>5467</v>
      </c>
      <c r="F1041" s="2326">
        <f t="shared" si="86"/>
        <v>6501</v>
      </c>
      <c r="G1041" s="2326">
        <f t="shared" si="87"/>
        <v>5581</v>
      </c>
    </row>
    <row r="1042" spans="1:7" ht="15.75">
      <c r="A1042" s="2486">
        <f t="shared" si="88"/>
        <v>48925</v>
      </c>
      <c r="B1042" s="2325">
        <v>48900</v>
      </c>
      <c r="C1042" s="2325">
        <v>48950</v>
      </c>
      <c r="D1042" s="2326">
        <f t="shared" si="84"/>
        <v>6512</v>
      </c>
      <c r="E1042" s="2326">
        <f t="shared" si="85"/>
        <v>5473</v>
      </c>
      <c r="F1042" s="2326">
        <f t="shared" si="86"/>
        <v>6512</v>
      </c>
      <c r="G1042" s="2326">
        <f t="shared" si="87"/>
        <v>5587</v>
      </c>
    </row>
    <row r="1043" spans="1:7" ht="15.75">
      <c r="A1043" s="2486">
        <f t="shared" si="88"/>
        <v>48975</v>
      </c>
      <c r="B1043" s="2325">
        <v>48950</v>
      </c>
      <c r="C1043" s="2325">
        <v>49000</v>
      </c>
      <c r="D1043" s="2326">
        <f t="shared" si="84"/>
        <v>6523</v>
      </c>
      <c r="E1043" s="2326">
        <f t="shared" si="85"/>
        <v>5479</v>
      </c>
      <c r="F1043" s="2326">
        <f t="shared" si="86"/>
        <v>6523</v>
      </c>
      <c r="G1043" s="2326">
        <f t="shared" si="87"/>
        <v>5593</v>
      </c>
    </row>
    <row r="1044" spans="1:7" ht="15.75">
      <c r="A1044" s="2486">
        <f t="shared" si="88"/>
        <v>49025</v>
      </c>
      <c r="B1044" s="2325">
        <v>49000</v>
      </c>
      <c r="C1044" s="2325">
        <v>49050</v>
      </c>
      <c r="D1044" s="2326">
        <f t="shared" si="84"/>
        <v>6534</v>
      </c>
      <c r="E1044" s="2326">
        <f t="shared" si="85"/>
        <v>5485</v>
      </c>
      <c r="F1044" s="2326">
        <f t="shared" si="86"/>
        <v>6534</v>
      </c>
      <c r="G1044" s="2326">
        <f t="shared" si="87"/>
        <v>5599</v>
      </c>
    </row>
    <row r="1045" spans="1:7" ht="15.75">
      <c r="A1045" s="2486">
        <f t="shared" si="88"/>
        <v>49075</v>
      </c>
      <c r="B1045" s="2325">
        <v>49050</v>
      </c>
      <c r="C1045" s="2325">
        <v>49100</v>
      </c>
      <c r="D1045" s="2326">
        <f t="shared" si="84"/>
        <v>6545</v>
      </c>
      <c r="E1045" s="2326">
        <f t="shared" si="85"/>
        <v>5491</v>
      </c>
      <c r="F1045" s="2326">
        <f t="shared" si="86"/>
        <v>6545</v>
      </c>
      <c r="G1045" s="2326">
        <f t="shared" si="87"/>
        <v>5605</v>
      </c>
    </row>
    <row r="1046" spans="1:7" ht="15.75">
      <c r="A1046" s="2486">
        <f t="shared" si="88"/>
        <v>49125</v>
      </c>
      <c r="B1046" s="2325">
        <v>49100</v>
      </c>
      <c r="C1046" s="2325">
        <v>49150</v>
      </c>
      <c r="D1046" s="2326">
        <f t="shared" si="84"/>
        <v>6556</v>
      </c>
      <c r="E1046" s="2326">
        <f t="shared" si="85"/>
        <v>5497</v>
      </c>
      <c r="F1046" s="2326">
        <f t="shared" si="86"/>
        <v>6556</v>
      </c>
      <c r="G1046" s="2326">
        <f t="shared" si="87"/>
        <v>5611</v>
      </c>
    </row>
    <row r="1047" spans="1:7" ht="15.75">
      <c r="A1047" s="2486">
        <f t="shared" si="88"/>
        <v>49175</v>
      </c>
      <c r="B1047" s="2325">
        <v>49150</v>
      </c>
      <c r="C1047" s="2325">
        <v>49200</v>
      </c>
      <c r="D1047" s="2326">
        <f t="shared" si="84"/>
        <v>6567</v>
      </c>
      <c r="E1047" s="2326">
        <f t="shared" si="85"/>
        <v>5503</v>
      </c>
      <c r="F1047" s="2326">
        <f t="shared" si="86"/>
        <v>6567</v>
      </c>
      <c r="G1047" s="2326">
        <f t="shared" si="87"/>
        <v>5617</v>
      </c>
    </row>
    <row r="1048" spans="1:7" ht="15.75">
      <c r="A1048" s="2486">
        <f t="shared" si="88"/>
        <v>49225</v>
      </c>
      <c r="B1048" s="2325">
        <v>49200</v>
      </c>
      <c r="C1048" s="2325">
        <v>49250</v>
      </c>
      <c r="D1048" s="2326">
        <f t="shared" si="84"/>
        <v>6578</v>
      </c>
      <c r="E1048" s="2326">
        <f t="shared" si="85"/>
        <v>5509</v>
      </c>
      <c r="F1048" s="2326">
        <f t="shared" si="86"/>
        <v>6578</v>
      </c>
      <c r="G1048" s="2326">
        <f t="shared" si="87"/>
        <v>5623</v>
      </c>
    </row>
    <row r="1049" spans="1:7" ht="15.75">
      <c r="A1049" s="2486">
        <f t="shared" si="88"/>
        <v>49275</v>
      </c>
      <c r="B1049" s="2325">
        <v>49250</v>
      </c>
      <c r="C1049" s="2325">
        <v>49300</v>
      </c>
      <c r="D1049" s="2326">
        <f t="shared" si="84"/>
        <v>6589</v>
      </c>
      <c r="E1049" s="2326">
        <f t="shared" si="85"/>
        <v>5515</v>
      </c>
      <c r="F1049" s="2326">
        <f t="shared" si="86"/>
        <v>6589</v>
      </c>
      <c r="G1049" s="2326">
        <f t="shared" si="87"/>
        <v>5629</v>
      </c>
    </row>
    <row r="1050" spans="1:7" ht="15.75">
      <c r="A1050" s="2486">
        <f t="shared" si="88"/>
        <v>49325</v>
      </c>
      <c r="B1050" s="2325">
        <v>49300</v>
      </c>
      <c r="C1050" s="2325">
        <v>49350</v>
      </c>
      <c r="D1050" s="2326">
        <f t="shared" si="84"/>
        <v>6600</v>
      </c>
      <c r="E1050" s="2326">
        <f t="shared" si="85"/>
        <v>5521</v>
      </c>
      <c r="F1050" s="2326">
        <f t="shared" si="86"/>
        <v>6600</v>
      </c>
      <c r="G1050" s="2326">
        <f t="shared" si="87"/>
        <v>5635</v>
      </c>
    </row>
    <row r="1051" spans="1:7" ht="15.75">
      <c r="A1051" s="2486">
        <f t="shared" si="88"/>
        <v>49375</v>
      </c>
      <c r="B1051" s="2325">
        <v>49350</v>
      </c>
      <c r="C1051" s="2325">
        <v>49400</v>
      </c>
      <c r="D1051" s="2326">
        <f t="shared" si="84"/>
        <v>6611</v>
      </c>
      <c r="E1051" s="2326">
        <f t="shared" si="85"/>
        <v>5527</v>
      </c>
      <c r="F1051" s="2326">
        <f t="shared" si="86"/>
        <v>6611</v>
      </c>
      <c r="G1051" s="2326">
        <f t="shared" si="87"/>
        <v>5641</v>
      </c>
    </row>
    <row r="1052" spans="1:7" ht="15.75">
      <c r="A1052" s="2486">
        <f t="shared" si="88"/>
        <v>49425</v>
      </c>
      <c r="B1052" s="2325">
        <v>49400</v>
      </c>
      <c r="C1052" s="2325">
        <v>49450</v>
      </c>
      <c r="D1052" s="2326">
        <f t="shared" si="84"/>
        <v>6622</v>
      </c>
      <c r="E1052" s="2326">
        <f t="shared" si="85"/>
        <v>5533</v>
      </c>
      <c r="F1052" s="2326">
        <f t="shared" si="86"/>
        <v>6622</v>
      </c>
      <c r="G1052" s="2326">
        <f t="shared" si="87"/>
        <v>5647</v>
      </c>
    </row>
    <row r="1053" spans="1:7" ht="15.75">
      <c r="A1053" s="2486">
        <f t="shared" si="88"/>
        <v>49475</v>
      </c>
      <c r="B1053" s="2325">
        <v>49450</v>
      </c>
      <c r="C1053" s="2325">
        <v>49500</v>
      </c>
      <c r="D1053" s="2326">
        <f t="shared" si="84"/>
        <v>6633</v>
      </c>
      <c r="E1053" s="2326">
        <f t="shared" si="85"/>
        <v>5539</v>
      </c>
      <c r="F1053" s="2326">
        <f t="shared" si="86"/>
        <v>6633</v>
      </c>
      <c r="G1053" s="2326">
        <f t="shared" si="87"/>
        <v>5653</v>
      </c>
    </row>
    <row r="1054" spans="1:7" ht="15.75">
      <c r="A1054" s="2486">
        <f t="shared" si="88"/>
        <v>49525</v>
      </c>
      <c r="B1054" s="2325">
        <v>49500</v>
      </c>
      <c r="C1054" s="2325">
        <v>49550</v>
      </c>
      <c r="D1054" s="2326">
        <f t="shared" si="84"/>
        <v>6644</v>
      </c>
      <c r="E1054" s="2326">
        <f t="shared" si="85"/>
        <v>5545</v>
      </c>
      <c r="F1054" s="2326">
        <f t="shared" si="86"/>
        <v>6644</v>
      </c>
      <c r="G1054" s="2326">
        <f t="shared" si="87"/>
        <v>5659</v>
      </c>
    </row>
    <row r="1055" spans="1:7" ht="15.75">
      <c r="A1055" s="2486">
        <f t="shared" si="88"/>
        <v>49575</v>
      </c>
      <c r="B1055" s="2325">
        <v>49550</v>
      </c>
      <c r="C1055" s="2325">
        <v>49600</v>
      </c>
      <c r="D1055" s="2326">
        <f t="shared" si="84"/>
        <v>6655</v>
      </c>
      <c r="E1055" s="2326">
        <f t="shared" si="85"/>
        <v>5551</v>
      </c>
      <c r="F1055" s="2326">
        <f t="shared" si="86"/>
        <v>6655</v>
      </c>
      <c r="G1055" s="2326">
        <f t="shared" si="87"/>
        <v>5665</v>
      </c>
    </row>
    <row r="1056" spans="1:7" ht="15.75">
      <c r="A1056" s="2486">
        <f t="shared" si="88"/>
        <v>49625</v>
      </c>
      <c r="B1056" s="2325">
        <v>49600</v>
      </c>
      <c r="C1056" s="2325">
        <v>49650</v>
      </c>
      <c r="D1056" s="2326">
        <f t="shared" si="84"/>
        <v>6666</v>
      </c>
      <c r="E1056" s="2326">
        <f t="shared" si="85"/>
        <v>5557</v>
      </c>
      <c r="F1056" s="2326">
        <f t="shared" si="86"/>
        <v>6666</v>
      </c>
      <c r="G1056" s="2326">
        <f t="shared" si="87"/>
        <v>5671</v>
      </c>
    </row>
    <row r="1057" spans="1:7" ht="15.75">
      <c r="A1057" s="2486">
        <f t="shared" si="88"/>
        <v>49675</v>
      </c>
      <c r="B1057" s="2325">
        <v>49650</v>
      </c>
      <c r="C1057" s="2325">
        <v>49700</v>
      </c>
      <c r="D1057" s="2326">
        <f t="shared" si="84"/>
        <v>6677</v>
      </c>
      <c r="E1057" s="2326">
        <f t="shared" si="85"/>
        <v>5563</v>
      </c>
      <c r="F1057" s="2326">
        <f t="shared" si="86"/>
        <v>6677</v>
      </c>
      <c r="G1057" s="2326">
        <f t="shared" si="87"/>
        <v>5677</v>
      </c>
    </row>
    <row r="1058" spans="1:7" ht="15.75">
      <c r="A1058" s="2486">
        <f t="shared" si="88"/>
        <v>49725</v>
      </c>
      <c r="B1058" s="2325">
        <v>49700</v>
      </c>
      <c r="C1058" s="2325">
        <v>49750</v>
      </c>
      <c r="D1058" s="2326">
        <f t="shared" si="84"/>
        <v>6688</v>
      </c>
      <c r="E1058" s="2326">
        <f t="shared" si="85"/>
        <v>5569</v>
      </c>
      <c r="F1058" s="2326">
        <f t="shared" si="86"/>
        <v>6688</v>
      </c>
      <c r="G1058" s="2326">
        <f t="shared" si="87"/>
        <v>5683</v>
      </c>
    </row>
    <row r="1059" spans="1:7" ht="15.75">
      <c r="A1059" s="2486">
        <f t="shared" si="88"/>
        <v>49775</v>
      </c>
      <c r="B1059" s="2325">
        <v>49750</v>
      </c>
      <c r="C1059" s="2325">
        <v>49800</v>
      </c>
      <c r="D1059" s="2326">
        <f t="shared" si="84"/>
        <v>6699</v>
      </c>
      <c r="E1059" s="2326">
        <f t="shared" si="85"/>
        <v>5575</v>
      </c>
      <c r="F1059" s="2326">
        <f t="shared" si="86"/>
        <v>6699</v>
      </c>
      <c r="G1059" s="2326">
        <f t="shared" si="87"/>
        <v>5689</v>
      </c>
    </row>
    <row r="1060" spans="1:7" ht="15.75">
      <c r="A1060" s="2486">
        <f t="shared" si="88"/>
        <v>49825</v>
      </c>
      <c r="B1060" s="2325">
        <v>49800</v>
      </c>
      <c r="C1060" s="2325">
        <v>49850</v>
      </c>
      <c r="D1060" s="2326">
        <f t="shared" si="84"/>
        <v>6710</v>
      </c>
      <c r="E1060" s="2326">
        <f t="shared" si="85"/>
        <v>5581</v>
      </c>
      <c r="F1060" s="2326">
        <f t="shared" si="86"/>
        <v>6710</v>
      </c>
      <c r="G1060" s="2326">
        <f t="shared" si="87"/>
        <v>5695</v>
      </c>
    </row>
    <row r="1061" spans="1:7" ht="15.75">
      <c r="A1061" s="2486">
        <f t="shared" si="88"/>
        <v>49875</v>
      </c>
      <c r="B1061" s="2325">
        <v>49850</v>
      </c>
      <c r="C1061" s="2325">
        <v>49900</v>
      </c>
      <c r="D1061" s="2326">
        <f t="shared" si="84"/>
        <v>6721</v>
      </c>
      <c r="E1061" s="2326">
        <f t="shared" si="85"/>
        <v>5587</v>
      </c>
      <c r="F1061" s="2326">
        <f t="shared" si="86"/>
        <v>6721</v>
      </c>
      <c r="G1061" s="2326">
        <f t="shared" si="87"/>
        <v>5701</v>
      </c>
    </row>
    <row r="1062" spans="1:7" ht="15.75">
      <c r="A1062" s="2486">
        <f t="shared" si="88"/>
        <v>49925</v>
      </c>
      <c r="B1062" s="2325">
        <v>49900</v>
      </c>
      <c r="C1062" s="2325">
        <v>49950</v>
      </c>
      <c r="D1062" s="2326">
        <f t="shared" si="84"/>
        <v>6732</v>
      </c>
      <c r="E1062" s="2326">
        <f t="shared" si="85"/>
        <v>5593</v>
      </c>
      <c r="F1062" s="2326">
        <f t="shared" si="86"/>
        <v>6732</v>
      </c>
      <c r="G1062" s="2326">
        <f t="shared" si="87"/>
        <v>5707</v>
      </c>
    </row>
    <row r="1063" spans="1:7" ht="15.75">
      <c r="A1063" s="2486">
        <f t="shared" si="88"/>
        <v>49975</v>
      </c>
      <c r="B1063" s="2325">
        <v>49950</v>
      </c>
      <c r="C1063" s="2325">
        <v>50000</v>
      </c>
      <c r="D1063" s="2326">
        <f t="shared" si="84"/>
        <v>6743</v>
      </c>
      <c r="E1063" s="2326">
        <f t="shared" si="85"/>
        <v>5599</v>
      </c>
      <c r="F1063" s="2326">
        <f t="shared" si="86"/>
        <v>6743</v>
      </c>
      <c r="G1063" s="2326">
        <f t="shared" si="87"/>
        <v>5713</v>
      </c>
    </row>
    <row r="1064" spans="1:7" ht="15.75">
      <c r="A1064" s="2486">
        <f t="shared" si="88"/>
        <v>50025</v>
      </c>
      <c r="B1064" s="2325">
        <v>50000</v>
      </c>
      <c r="C1064" s="2325">
        <v>50050</v>
      </c>
      <c r="D1064" s="2326">
        <f t="shared" si="84"/>
        <v>6754</v>
      </c>
      <c r="E1064" s="2326">
        <f t="shared" si="85"/>
        <v>5605</v>
      </c>
      <c r="F1064" s="2326">
        <f t="shared" si="86"/>
        <v>6754</v>
      </c>
      <c r="G1064" s="2326">
        <f t="shared" si="87"/>
        <v>5719</v>
      </c>
    </row>
    <row r="1065" spans="1:7" ht="15.75">
      <c r="A1065" s="2486">
        <f t="shared" si="88"/>
        <v>50075</v>
      </c>
      <c r="B1065" s="2325">
        <v>50050</v>
      </c>
      <c r="C1065" s="2325">
        <v>50100</v>
      </c>
      <c r="D1065" s="2326">
        <f t="shared" si="84"/>
        <v>6765</v>
      </c>
      <c r="E1065" s="2326">
        <f t="shared" si="85"/>
        <v>5611</v>
      </c>
      <c r="F1065" s="2326">
        <f t="shared" si="86"/>
        <v>6765</v>
      </c>
      <c r="G1065" s="2326">
        <f t="shared" si="87"/>
        <v>5725</v>
      </c>
    </row>
    <row r="1066" spans="1:7" ht="15.75">
      <c r="A1066" s="2486">
        <f t="shared" si="88"/>
        <v>50125</v>
      </c>
      <c r="B1066" s="2325">
        <v>50100</v>
      </c>
      <c r="C1066" s="2325">
        <v>50150</v>
      </c>
      <c r="D1066" s="2326">
        <f t="shared" si="84"/>
        <v>6776</v>
      </c>
      <c r="E1066" s="2326">
        <f t="shared" si="85"/>
        <v>5617</v>
      </c>
      <c r="F1066" s="2326">
        <f t="shared" si="86"/>
        <v>6776</v>
      </c>
      <c r="G1066" s="2326">
        <f t="shared" si="87"/>
        <v>5731</v>
      </c>
    </row>
    <row r="1067" spans="1:7" ht="15.75">
      <c r="A1067" s="2486">
        <f t="shared" si="88"/>
        <v>50175</v>
      </c>
      <c r="B1067" s="2325">
        <v>50150</v>
      </c>
      <c r="C1067" s="2325">
        <v>50200</v>
      </c>
      <c r="D1067" s="2326">
        <f t="shared" si="84"/>
        <v>6787</v>
      </c>
      <c r="E1067" s="2326">
        <f t="shared" si="85"/>
        <v>5623</v>
      </c>
      <c r="F1067" s="2326">
        <f t="shared" si="86"/>
        <v>6787</v>
      </c>
      <c r="G1067" s="2326">
        <f t="shared" si="87"/>
        <v>5737</v>
      </c>
    </row>
    <row r="1068" spans="1:7" ht="15.75">
      <c r="A1068" s="2486">
        <f t="shared" si="88"/>
        <v>50225</v>
      </c>
      <c r="B1068" s="2325">
        <v>50200</v>
      </c>
      <c r="C1068" s="2325">
        <v>50250</v>
      </c>
      <c r="D1068" s="2326">
        <f t="shared" si="84"/>
        <v>6798</v>
      </c>
      <c r="E1068" s="2326">
        <f t="shared" si="85"/>
        <v>5629</v>
      </c>
      <c r="F1068" s="2326">
        <f t="shared" si="86"/>
        <v>6798</v>
      </c>
      <c r="G1068" s="2326">
        <f t="shared" si="87"/>
        <v>5743</v>
      </c>
    </row>
    <row r="1069" spans="1:7" ht="15.75">
      <c r="A1069" s="2486">
        <f t="shared" si="88"/>
        <v>50275</v>
      </c>
      <c r="B1069" s="2325">
        <v>50250</v>
      </c>
      <c r="C1069" s="2325">
        <v>50300</v>
      </c>
      <c r="D1069" s="2326">
        <f t="shared" si="84"/>
        <v>6809</v>
      </c>
      <c r="E1069" s="2326">
        <f t="shared" si="85"/>
        <v>5635</v>
      </c>
      <c r="F1069" s="2326">
        <f t="shared" si="86"/>
        <v>6809</v>
      </c>
      <c r="G1069" s="2326">
        <f t="shared" si="87"/>
        <v>5749</v>
      </c>
    </row>
    <row r="1070" spans="1:7" ht="15.75">
      <c r="A1070" s="2486">
        <f t="shared" si="88"/>
        <v>50325</v>
      </c>
      <c r="B1070" s="2325">
        <v>50300</v>
      </c>
      <c r="C1070" s="2325">
        <v>50350</v>
      </c>
      <c r="D1070" s="2326">
        <f t="shared" si="84"/>
        <v>6820</v>
      </c>
      <c r="E1070" s="2326">
        <f t="shared" si="85"/>
        <v>5641</v>
      </c>
      <c r="F1070" s="2326">
        <f t="shared" si="86"/>
        <v>6820</v>
      </c>
      <c r="G1070" s="2326">
        <f t="shared" si="87"/>
        <v>5755</v>
      </c>
    </row>
    <row r="1071" spans="1:7" ht="15.75">
      <c r="A1071" s="2486">
        <f t="shared" si="88"/>
        <v>50375</v>
      </c>
      <c r="B1071" s="2325">
        <v>50350</v>
      </c>
      <c r="C1071" s="2325">
        <v>50400</v>
      </c>
      <c r="D1071" s="2326">
        <f t="shared" si="84"/>
        <v>6831</v>
      </c>
      <c r="E1071" s="2326">
        <f t="shared" si="85"/>
        <v>5647</v>
      </c>
      <c r="F1071" s="2326">
        <f t="shared" si="86"/>
        <v>6831</v>
      </c>
      <c r="G1071" s="2326">
        <f t="shared" si="87"/>
        <v>5761</v>
      </c>
    </row>
    <row r="1072" spans="1:7" ht="15.75">
      <c r="A1072" s="2486">
        <f t="shared" si="88"/>
        <v>50425</v>
      </c>
      <c r="B1072" s="2325">
        <v>50400</v>
      </c>
      <c r="C1072" s="2325">
        <v>50450</v>
      </c>
      <c r="D1072" s="2326">
        <f t="shared" si="84"/>
        <v>6842</v>
      </c>
      <c r="E1072" s="2326">
        <f t="shared" si="85"/>
        <v>5653</v>
      </c>
      <c r="F1072" s="2326">
        <f t="shared" si="86"/>
        <v>6842</v>
      </c>
      <c r="G1072" s="2326">
        <f t="shared" si="87"/>
        <v>5767</v>
      </c>
    </row>
    <row r="1073" spans="1:7" ht="15.75">
      <c r="A1073" s="2486">
        <f t="shared" si="88"/>
        <v>50475</v>
      </c>
      <c r="B1073" s="2325">
        <v>50450</v>
      </c>
      <c r="C1073" s="2325">
        <v>50500</v>
      </c>
      <c r="D1073" s="2326">
        <f t="shared" si="84"/>
        <v>6853</v>
      </c>
      <c r="E1073" s="2326">
        <f t="shared" si="85"/>
        <v>5659</v>
      </c>
      <c r="F1073" s="2326">
        <f t="shared" si="86"/>
        <v>6853</v>
      </c>
      <c r="G1073" s="2326">
        <f t="shared" si="87"/>
        <v>5773</v>
      </c>
    </row>
    <row r="1074" spans="1:7" ht="15.75">
      <c r="A1074" s="2486">
        <f t="shared" si="88"/>
        <v>50525</v>
      </c>
      <c r="B1074" s="2325">
        <v>50500</v>
      </c>
      <c r="C1074" s="2325">
        <v>50550</v>
      </c>
      <c r="D1074" s="2326">
        <f t="shared" si="84"/>
        <v>6864</v>
      </c>
      <c r="E1074" s="2326">
        <f t="shared" si="85"/>
        <v>5665</v>
      </c>
      <c r="F1074" s="2326">
        <f t="shared" si="86"/>
        <v>6864</v>
      </c>
      <c r="G1074" s="2326">
        <f t="shared" si="87"/>
        <v>5779</v>
      </c>
    </row>
    <row r="1075" spans="1:7" ht="15.75">
      <c r="A1075" s="2486">
        <f t="shared" si="88"/>
        <v>50575</v>
      </c>
      <c r="B1075" s="2325">
        <v>50550</v>
      </c>
      <c r="C1075" s="2325">
        <v>50600</v>
      </c>
      <c r="D1075" s="2326">
        <f t="shared" si="84"/>
        <v>6875</v>
      </c>
      <c r="E1075" s="2326">
        <f t="shared" si="85"/>
        <v>5671</v>
      </c>
      <c r="F1075" s="2326">
        <f t="shared" si="86"/>
        <v>6875</v>
      </c>
      <c r="G1075" s="2326">
        <f t="shared" si="87"/>
        <v>5785</v>
      </c>
    </row>
    <row r="1076" spans="1:7" ht="15.75">
      <c r="A1076" s="2486">
        <f t="shared" si="88"/>
        <v>50625</v>
      </c>
      <c r="B1076" s="2325">
        <v>50600</v>
      </c>
      <c r="C1076" s="2325">
        <v>50650</v>
      </c>
      <c r="D1076" s="2326">
        <f t="shared" si="84"/>
        <v>6886</v>
      </c>
      <c r="E1076" s="2326">
        <f t="shared" si="85"/>
        <v>5677</v>
      </c>
      <c r="F1076" s="2326">
        <f t="shared" si="86"/>
        <v>6886</v>
      </c>
      <c r="G1076" s="2326">
        <f t="shared" si="87"/>
        <v>5791</v>
      </c>
    </row>
    <row r="1077" spans="1:7" ht="15.75">
      <c r="A1077" s="2486">
        <f t="shared" si="88"/>
        <v>50675</v>
      </c>
      <c r="B1077" s="2325">
        <v>50650</v>
      </c>
      <c r="C1077" s="2325">
        <v>50700</v>
      </c>
      <c r="D1077" s="2326">
        <f t="shared" si="84"/>
        <v>6897</v>
      </c>
      <c r="E1077" s="2326">
        <f t="shared" si="85"/>
        <v>5683</v>
      </c>
      <c r="F1077" s="2326">
        <f t="shared" si="86"/>
        <v>6897</v>
      </c>
      <c r="G1077" s="2326">
        <f t="shared" si="87"/>
        <v>5797</v>
      </c>
    </row>
    <row r="1078" spans="1:7" ht="15.75">
      <c r="A1078" s="2486">
        <f t="shared" si="88"/>
        <v>50725</v>
      </c>
      <c r="B1078" s="2325">
        <v>50700</v>
      </c>
      <c r="C1078" s="2325">
        <v>50750</v>
      </c>
      <c r="D1078" s="2326">
        <f t="shared" si="84"/>
        <v>6908</v>
      </c>
      <c r="E1078" s="2326">
        <f t="shared" si="85"/>
        <v>5689</v>
      </c>
      <c r="F1078" s="2326">
        <f t="shared" si="86"/>
        <v>6908</v>
      </c>
      <c r="G1078" s="2326">
        <f t="shared" si="87"/>
        <v>5803</v>
      </c>
    </row>
    <row r="1079" spans="1:7" ht="15.75">
      <c r="A1079" s="2486">
        <f t="shared" si="88"/>
        <v>50775</v>
      </c>
      <c r="B1079" s="2325">
        <v>50750</v>
      </c>
      <c r="C1079" s="2325">
        <v>50800</v>
      </c>
      <c r="D1079" s="2326">
        <f t="shared" si="84"/>
        <v>6919</v>
      </c>
      <c r="E1079" s="2326">
        <f t="shared" si="85"/>
        <v>5695</v>
      </c>
      <c r="F1079" s="2326">
        <f t="shared" si="86"/>
        <v>6919</v>
      </c>
      <c r="G1079" s="2326">
        <f t="shared" si="87"/>
        <v>5809</v>
      </c>
    </row>
    <row r="1080" spans="1:7" ht="15.75">
      <c r="A1080" s="2486">
        <f t="shared" si="88"/>
        <v>50825</v>
      </c>
      <c r="B1080" s="2325">
        <v>50800</v>
      </c>
      <c r="C1080" s="2325">
        <v>50850</v>
      </c>
      <c r="D1080" s="2326">
        <f t="shared" si="84"/>
        <v>6930</v>
      </c>
      <c r="E1080" s="2326">
        <f t="shared" si="85"/>
        <v>5701</v>
      </c>
      <c r="F1080" s="2326">
        <f t="shared" si="86"/>
        <v>6930</v>
      </c>
      <c r="G1080" s="2326">
        <f t="shared" si="87"/>
        <v>5815</v>
      </c>
    </row>
    <row r="1081" spans="1:7" ht="15.75">
      <c r="A1081" s="2486">
        <f t="shared" si="88"/>
        <v>50875</v>
      </c>
      <c r="B1081" s="2325">
        <v>50850</v>
      </c>
      <c r="C1081" s="2325">
        <v>50900</v>
      </c>
      <c r="D1081" s="2326">
        <f t="shared" si="84"/>
        <v>6941</v>
      </c>
      <c r="E1081" s="2326">
        <f t="shared" si="85"/>
        <v>5707</v>
      </c>
      <c r="F1081" s="2326">
        <f t="shared" si="86"/>
        <v>6941</v>
      </c>
      <c r="G1081" s="2326">
        <f t="shared" si="87"/>
        <v>5821</v>
      </c>
    </row>
    <row r="1082" spans="1:7" ht="15.75">
      <c r="A1082" s="2486">
        <f t="shared" si="88"/>
        <v>50925</v>
      </c>
      <c r="B1082" s="2325">
        <v>50900</v>
      </c>
      <c r="C1082" s="2325">
        <v>50950</v>
      </c>
      <c r="D1082" s="2326">
        <f t="shared" si="84"/>
        <v>6952</v>
      </c>
      <c r="E1082" s="2326">
        <f t="shared" si="85"/>
        <v>5713</v>
      </c>
      <c r="F1082" s="2326">
        <f t="shared" si="86"/>
        <v>6952</v>
      </c>
      <c r="G1082" s="2326">
        <f t="shared" si="87"/>
        <v>5827</v>
      </c>
    </row>
    <row r="1083" spans="1:7" ht="15.75">
      <c r="A1083" s="2486">
        <f t="shared" si="88"/>
        <v>50975</v>
      </c>
      <c r="B1083" s="2325">
        <v>50950</v>
      </c>
      <c r="C1083" s="2325">
        <v>51000</v>
      </c>
      <c r="D1083" s="2326">
        <f t="shared" si="84"/>
        <v>6963</v>
      </c>
      <c r="E1083" s="2326">
        <f t="shared" si="85"/>
        <v>5719</v>
      </c>
      <c r="F1083" s="2326">
        <f t="shared" si="86"/>
        <v>6963</v>
      </c>
      <c r="G1083" s="2326">
        <f t="shared" si="87"/>
        <v>5833</v>
      </c>
    </row>
    <row r="1084" spans="1:7" ht="15.75">
      <c r="A1084" s="2486">
        <f t="shared" si="88"/>
        <v>51025</v>
      </c>
      <c r="B1084" s="2325">
        <v>51000</v>
      </c>
      <c r="C1084" s="2325">
        <v>51050</v>
      </c>
      <c r="D1084" s="2326">
        <f t="shared" si="84"/>
        <v>6974</v>
      </c>
      <c r="E1084" s="2326">
        <f t="shared" si="85"/>
        <v>5725</v>
      </c>
      <c r="F1084" s="2326">
        <f t="shared" si="86"/>
        <v>6974</v>
      </c>
      <c r="G1084" s="2326">
        <f t="shared" si="87"/>
        <v>5839</v>
      </c>
    </row>
    <row r="1085" spans="1:7" ht="15.75">
      <c r="A1085" s="2486">
        <f t="shared" si="88"/>
        <v>51075</v>
      </c>
      <c r="B1085" s="2325">
        <v>51050</v>
      </c>
      <c r="C1085" s="2325">
        <v>51100</v>
      </c>
      <c r="D1085" s="2326">
        <f t="shared" si="84"/>
        <v>6985</v>
      </c>
      <c r="E1085" s="2326">
        <f t="shared" si="85"/>
        <v>5731</v>
      </c>
      <c r="F1085" s="2326">
        <f t="shared" si="86"/>
        <v>6985</v>
      </c>
      <c r="G1085" s="2326">
        <f t="shared" si="87"/>
        <v>5845</v>
      </c>
    </row>
    <row r="1086" spans="1:7" ht="15.75">
      <c r="A1086" s="2486">
        <f t="shared" si="88"/>
        <v>51125</v>
      </c>
      <c r="B1086" s="2325">
        <v>51100</v>
      </c>
      <c r="C1086" s="2325">
        <v>51150</v>
      </c>
      <c r="D1086" s="2326">
        <f t="shared" si="84"/>
        <v>6996</v>
      </c>
      <c r="E1086" s="2326">
        <f t="shared" si="85"/>
        <v>5737</v>
      </c>
      <c r="F1086" s="2326">
        <f t="shared" si="86"/>
        <v>6996</v>
      </c>
      <c r="G1086" s="2326">
        <f t="shared" si="87"/>
        <v>5851</v>
      </c>
    </row>
    <row r="1087" spans="1:7" ht="15.75">
      <c r="A1087" s="2486">
        <f t="shared" si="88"/>
        <v>51175</v>
      </c>
      <c r="B1087" s="2325">
        <v>51150</v>
      </c>
      <c r="C1087" s="2325">
        <v>51200</v>
      </c>
      <c r="D1087" s="2326">
        <f t="shared" si="84"/>
        <v>7007</v>
      </c>
      <c r="E1087" s="2326">
        <f t="shared" si="85"/>
        <v>5743</v>
      </c>
      <c r="F1087" s="2326">
        <f t="shared" si="86"/>
        <v>7007</v>
      </c>
      <c r="G1087" s="2326">
        <f t="shared" si="87"/>
        <v>5857</v>
      </c>
    </row>
    <row r="1088" spans="1:7" ht="15.75">
      <c r="A1088" s="2486">
        <f t="shared" si="88"/>
        <v>51225</v>
      </c>
      <c r="B1088" s="2325">
        <v>51200</v>
      </c>
      <c r="C1088" s="2325">
        <v>51250</v>
      </c>
      <c r="D1088" s="2326">
        <f t="shared" si="84"/>
        <v>7018</v>
      </c>
      <c r="E1088" s="2326">
        <f t="shared" si="85"/>
        <v>5749</v>
      </c>
      <c r="F1088" s="2326">
        <f t="shared" si="86"/>
        <v>7018</v>
      </c>
      <c r="G1088" s="2326">
        <f t="shared" si="87"/>
        <v>5863</v>
      </c>
    </row>
    <row r="1089" spans="1:7" ht="15.75">
      <c r="A1089" s="2486">
        <f t="shared" si="88"/>
        <v>51275</v>
      </c>
      <c r="B1089" s="2325">
        <v>51250</v>
      </c>
      <c r="C1089" s="2325">
        <v>51300</v>
      </c>
      <c r="D1089" s="2326">
        <f t="shared" si="84"/>
        <v>7029</v>
      </c>
      <c r="E1089" s="2326">
        <f t="shared" si="85"/>
        <v>5755</v>
      </c>
      <c r="F1089" s="2326">
        <f t="shared" si="86"/>
        <v>7029</v>
      </c>
      <c r="G1089" s="2326">
        <f t="shared" si="87"/>
        <v>5869</v>
      </c>
    </row>
    <row r="1090" spans="1:7" ht="15.75">
      <c r="A1090" s="2486">
        <f t="shared" si="88"/>
        <v>51325</v>
      </c>
      <c r="B1090" s="2325">
        <v>51300</v>
      </c>
      <c r="C1090" s="2325">
        <v>51350</v>
      </c>
      <c r="D1090" s="2326">
        <f t="shared" ref="D1090:D1153" si="89">IF($A1090&gt;BOTT_A4,ROUND(BASE_A4+RATE_A4*($A1090-BOTT_A4),0),IF($A1090&gt;BOTT_A3,ROUND(BASE_A3+RATE_A3*($A1090-BOTT_A3),0),IF($A1090&gt;BOTT_A2,ROUND(BASE_A2+RATE_A2*($A1090-BOTT_A2),0),ROUND(RATE_A1*$A1090,0))))</f>
        <v>7040</v>
      </c>
      <c r="E1090" s="2326">
        <f t="shared" ref="E1090:E1153" si="90">IF($A1090&gt;BOTT_B4,ROUND(BASE_B4+RATE_B4*($A1090-BOTT_B4),0),IF($A1090&gt;BOTT_B3,ROUND(BASE_B3+RATE_B3*($A1090-BOTT_B3),0),IF($A1090&gt;BOTT_B2,ROUND(BASE_B2+RATE_B2*($A1090-BOTT_B2),0),ROUND(RATE_B1*$A1090,0))))</f>
        <v>5761</v>
      </c>
      <c r="F1090" s="2326">
        <f t="shared" ref="F1090:F1153" si="91">IF($A1090&gt;BOTT_C4,ROUND(BASE_C4+RATE_C4*($A1090-BOTT_C4),0),IF($A1090&gt;BOTT_C3,ROUND(BASE_C3+RATE_C3*($A1090-BOTT_C3),0),IF($A1090&gt;BOTT_C2,ROUND(BASE_C2+RATE_C2*($A1090-BOTT_C2),0),ROUND(RATE_C1*$A1090,0))))</f>
        <v>7040</v>
      </c>
      <c r="G1090" s="2326">
        <f t="shared" ref="G1090:G1153" si="92">IF($A1090&gt;BOTT_D4,ROUND(BASE_D4+RATE_D4*($A1090-BOTT_D4),0),IF($A1090&gt;BOTT_D3,ROUND(BASE_D3+RATE_D3*($A1090-BOTT_D3),0),IF($A1090&gt;BOTT_D2,ROUND(BASE_D2+RATE_D2*($A1090-BOTT_D2),0),ROUND(RATE_D1*$A1090,0))))</f>
        <v>5875</v>
      </c>
    </row>
    <row r="1091" spans="1:7" ht="15.75">
      <c r="A1091" s="2486">
        <f t="shared" ref="A1091:A1154" si="93">AVERAGE(B1091,C1091)</f>
        <v>51375</v>
      </c>
      <c r="B1091" s="2325">
        <v>51350</v>
      </c>
      <c r="C1091" s="2325">
        <v>51400</v>
      </c>
      <c r="D1091" s="2326">
        <f t="shared" si="89"/>
        <v>7051</v>
      </c>
      <c r="E1091" s="2326">
        <f t="shared" si="90"/>
        <v>5767</v>
      </c>
      <c r="F1091" s="2326">
        <f t="shared" si="91"/>
        <v>7051</v>
      </c>
      <c r="G1091" s="2326">
        <f t="shared" si="92"/>
        <v>5881</v>
      </c>
    </row>
    <row r="1092" spans="1:7" ht="15.75">
      <c r="A1092" s="2486">
        <f t="shared" si="93"/>
        <v>51425</v>
      </c>
      <c r="B1092" s="2325">
        <v>51400</v>
      </c>
      <c r="C1092" s="2325">
        <v>51450</v>
      </c>
      <c r="D1092" s="2326">
        <f t="shared" si="89"/>
        <v>7062</v>
      </c>
      <c r="E1092" s="2326">
        <f t="shared" si="90"/>
        <v>5773</v>
      </c>
      <c r="F1092" s="2326">
        <f t="shared" si="91"/>
        <v>7062</v>
      </c>
      <c r="G1092" s="2326">
        <f t="shared" si="92"/>
        <v>5887</v>
      </c>
    </row>
    <row r="1093" spans="1:7" ht="15.75">
      <c r="A1093" s="2486">
        <f t="shared" si="93"/>
        <v>51475</v>
      </c>
      <c r="B1093" s="2325">
        <v>51450</v>
      </c>
      <c r="C1093" s="2325">
        <v>51500</v>
      </c>
      <c r="D1093" s="2326">
        <f t="shared" si="89"/>
        <v>7073</v>
      </c>
      <c r="E1093" s="2326">
        <f t="shared" si="90"/>
        <v>5779</v>
      </c>
      <c r="F1093" s="2326">
        <f t="shared" si="91"/>
        <v>7073</v>
      </c>
      <c r="G1093" s="2326">
        <f t="shared" si="92"/>
        <v>5893</v>
      </c>
    </row>
    <row r="1094" spans="1:7" ht="15.75">
      <c r="A1094" s="2486">
        <f t="shared" si="93"/>
        <v>51525</v>
      </c>
      <c r="B1094" s="2325">
        <v>51500</v>
      </c>
      <c r="C1094" s="2325">
        <v>51550</v>
      </c>
      <c r="D1094" s="2326">
        <f t="shared" si="89"/>
        <v>7084</v>
      </c>
      <c r="E1094" s="2326">
        <f t="shared" si="90"/>
        <v>5785</v>
      </c>
      <c r="F1094" s="2326">
        <f t="shared" si="91"/>
        <v>7084</v>
      </c>
      <c r="G1094" s="2326">
        <f t="shared" si="92"/>
        <v>5899</v>
      </c>
    </row>
    <row r="1095" spans="1:7" ht="15.75">
      <c r="A1095" s="2486">
        <f t="shared" si="93"/>
        <v>51575</v>
      </c>
      <c r="B1095" s="2325">
        <v>51550</v>
      </c>
      <c r="C1095" s="2325">
        <v>51600</v>
      </c>
      <c r="D1095" s="2326">
        <f t="shared" si="89"/>
        <v>7095</v>
      </c>
      <c r="E1095" s="2326">
        <f t="shared" si="90"/>
        <v>5791</v>
      </c>
      <c r="F1095" s="2326">
        <f t="shared" si="91"/>
        <v>7095</v>
      </c>
      <c r="G1095" s="2326">
        <f t="shared" si="92"/>
        <v>5905</v>
      </c>
    </row>
    <row r="1096" spans="1:7" ht="15.75">
      <c r="A1096" s="2486">
        <f t="shared" si="93"/>
        <v>51625</v>
      </c>
      <c r="B1096" s="2325">
        <v>51600</v>
      </c>
      <c r="C1096" s="2325">
        <v>51650</v>
      </c>
      <c r="D1096" s="2326">
        <f t="shared" si="89"/>
        <v>7106</v>
      </c>
      <c r="E1096" s="2326">
        <f t="shared" si="90"/>
        <v>5797</v>
      </c>
      <c r="F1096" s="2326">
        <f t="shared" si="91"/>
        <v>7106</v>
      </c>
      <c r="G1096" s="2326">
        <f t="shared" si="92"/>
        <v>5911</v>
      </c>
    </row>
    <row r="1097" spans="1:7" ht="15.75">
      <c r="A1097" s="2486">
        <f t="shared" si="93"/>
        <v>51675</v>
      </c>
      <c r="B1097" s="2325">
        <v>51650</v>
      </c>
      <c r="C1097" s="2325">
        <v>51700</v>
      </c>
      <c r="D1097" s="2326">
        <f t="shared" si="89"/>
        <v>7117</v>
      </c>
      <c r="E1097" s="2326">
        <f t="shared" si="90"/>
        <v>5803</v>
      </c>
      <c r="F1097" s="2326">
        <f t="shared" si="91"/>
        <v>7117</v>
      </c>
      <c r="G1097" s="2326">
        <f t="shared" si="92"/>
        <v>5917</v>
      </c>
    </row>
    <row r="1098" spans="1:7" ht="15.75">
      <c r="A1098" s="2486">
        <f t="shared" si="93"/>
        <v>51725</v>
      </c>
      <c r="B1098" s="2325">
        <v>51700</v>
      </c>
      <c r="C1098" s="2325">
        <v>51750</v>
      </c>
      <c r="D1098" s="2326">
        <f t="shared" si="89"/>
        <v>7128</v>
      </c>
      <c r="E1098" s="2326">
        <f t="shared" si="90"/>
        <v>5809</v>
      </c>
      <c r="F1098" s="2326">
        <f t="shared" si="91"/>
        <v>7128</v>
      </c>
      <c r="G1098" s="2326">
        <f t="shared" si="92"/>
        <v>5923</v>
      </c>
    </row>
    <row r="1099" spans="1:7" ht="15.75">
      <c r="A1099" s="2486">
        <f t="shared" si="93"/>
        <v>51775</v>
      </c>
      <c r="B1099" s="2325">
        <v>51750</v>
      </c>
      <c r="C1099" s="2325">
        <v>51800</v>
      </c>
      <c r="D1099" s="2326">
        <f t="shared" si="89"/>
        <v>7139</v>
      </c>
      <c r="E1099" s="2326">
        <f t="shared" si="90"/>
        <v>5815</v>
      </c>
      <c r="F1099" s="2326">
        <f t="shared" si="91"/>
        <v>7139</v>
      </c>
      <c r="G1099" s="2326">
        <f t="shared" si="92"/>
        <v>5929</v>
      </c>
    </row>
    <row r="1100" spans="1:7" ht="15.75">
      <c r="A1100" s="2486">
        <f t="shared" si="93"/>
        <v>51825</v>
      </c>
      <c r="B1100" s="2325">
        <v>51800</v>
      </c>
      <c r="C1100" s="2325">
        <v>51850</v>
      </c>
      <c r="D1100" s="2326">
        <f t="shared" si="89"/>
        <v>7150</v>
      </c>
      <c r="E1100" s="2326">
        <f t="shared" si="90"/>
        <v>5821</v>
      </c>
      <c r="F1100" s="2326">
        <f t="shared" si="91"/>
        <v>7150</v>
      </c>
      <c r="G1100" s="2326">
        <f t="shared" si="92"/>
        <v>5935</v>
      </c>
    </row>
    <row r="1101" spans="1:7" ht="15.75">
      <c r="A1101" s="2486">
        <f t="shared" si="93"/>
        <v>51875</v>
      </c>
      <c r="B1101" s="2325">
        <v>51850</v>
      </c>
      <c r="C1101" s="2325">
        <v>51900</v>
      </c>
      <c r="D1101" s="2326">
        <f t="shared" si="89"/>
        <v>7161</v>
      </c>
      <c r="E1101" s="2326">
        <f t="shared" si="90"/>
        <v>5827</v>
      </c>
      <c r="F1101" s="2326">
        <f t="shared" si="91"/>
        <v>7161</v>
      </c>
      <c r="G1101" s="2326">
        <f t="shared" si="92"/>
        <v>5941</v>
      </c>
    </row>
    <row r="1102" spans="1:7" ht="15.75">
      <c r="A1102" s="2486">
        <f t="shared" si="93"/>
        <v>51925</v>
      </c>
      <c r="B1102" s="2325">
        <v>51900</v>
      </c>
      <c r="C1102" s="2325">
        <v>51950</v>
      </c>
      <c r="D1102" s="2326">
        <f t="shared" si="89"/>
        <v>7172</v>
      </c>
      <c r="E1102" s="2326">
        <f t="shared" si="90"/>
        <v>5833</v>
      </c>
      <c r="F1102" s="2326">
        <f t="shared" si="91"/>
        <v>7172</v>
      </c>
      <c r="G1102" s="2326">
        <f t="shared" si="92"/>
        <v>5947</v>
      </c>
    </row>
    <row r="1103" spans="1:7" ht="15.75">
      <c r="A1103" s="2486">
        <f t="shared" si="93"/>
        <v>51975</v>
      </c>
      <c r="B1103" s="2325">
        <v>51950</v>
      </c>
      <c r="C1103" s="2325">
        <v>52000</v>
      </c>
      <c r="D1103" s="2326">
        <f t="shared" si="89"/>
        <v>7183</v>
      </c>
      <c r="E1103" s="2326">
        <f t="shared" si="90"/>
        <v>5839</v>
      </c>
      <c r="F1103" s="2326">
        <f t="shared" si="91"/>
        <v>7183</v>
      </c>
      <c r="G1103" s="2326">
        <f t="shared" si="92"/>
        <v>5953</v>
      </c>
    </row>
    <row r="1104" spans="1:7" ht="15.75">
      <c r="A1104" s="2486">
        <f t="shared" si="93"/>
        <v>52025</v>
      </c>
      <c r="B1104" s="2325">
        <v>52000</v>
      </c>
      <c r="C1104" s="2325">
        <v>52050</v>
      </c>
      <c r="D1104" s="2326">
        <f t="shared" si="89"/>
        <v>7194</v>
      </c>
      <c r="E1104" s="2326">
        <f t="shared" si="90"/>
        <v>5845</v>
      </c>
      <c r="F1104" s="2326">
        <f t="shared" si="91"/>
        <v>7194</v>
      </c>
      <c r="G1104" s="2326">
        <f t="shared" si="92"/>
        <v>5959</v>
      </c>
    </row>
    <row r="1105" spans="1:7" ht="15.75">
      <c r="A1105" s="2486">
        <f t="shared" si="93"/>
        <v>52075</v>
      </c>
      <c r="B1105" s="2325">
        <v>52050</v>
      </c>
      <c r="C1105" s="2325">
        <v>52100</v>
      </c>
      <c r="D1105" s="2326">
        <f t="shared" si="89"/>
        <v>7205</v>
      </c>
      <c r="E1105" s="2326">
        <f t="shared" si="90"/>
        <v>5851</v>
      </c>
      <c r="F1105" s="2326">
        <f t="shared" si="91"/>
        <v>7205</v>
      </c>
      <c r="G1105" s="2326">
        <f t="shared" si="92"/>
        <v>5965</v>
      </c>
    </row>
    <row r="1106" spans="1:7" ht="15.75">
      <c r="A1106" s="2486">
        <f t="shared" si="93"/>
        <v>52125</v>
      </c>
      <c r="B1106" s="2325">
        <v>52100</v>
      </c>
      <c r="C1106" s="2325">
        <v>52150</v>
      </c>
      <c r="D1106" s="2326">
        <f t="shared" si="89"/>
        <v>7216</v>
      </c>
      <c r="E1106" s="2326">
        <f t="shared" si="90"/>
        <v>5857</v>
      </c>
      <c r="F1106" s="2326">
        <f t="shared" si="91"/>
        <v>7216</v>
      </c>
      <c r="G1106" s="2326">
        <f t="shared" si="92"/>
        <v>5971</v>
      </c>
    </row>
    <row r="1107" spans="1:7" ht="15.75">
      <c r="A1107" s="2486">
        <f t="shared" si="93"/>
        <v>52175</v>
      </c>
      <c r="B1107" s="2325">
        <v>52150</v>
      </c>
      <c r="C1107" s="2325">
        <v>52200</v>
      </c>
      <c r="D1107" s="2326">
        <f t="shared" si="89"/>
        <v>7227</v>
      </c>
      <c r="E1107" s="2326">
        <f t="shared" si="90"/>
        <v>5863</v>
      </c>
      <c r="F1107" s="2326">
        <f t="shared" si="91"/>
        <v>7227</v>
      </c>
      <c r="G1107" s="2326">
        <f t="shared" si="92"/>
        <v>5977</v>
      </c>
    </row>
    <row r="1108" spans="1:7" ht="15.75">
      <c r="A1108" s="2486">
        <f t="shared" si="93"/>
        <v>52225</v>
      </c>
      <c r="B1108" s="2325">
        <v>52200</v>
      </c>
      <c r="C1108" s="2325">
        <v>52250</v>
      </c>
      <c r="D1108" s="2326">
        <f t="shared" si="89"/>
        <v>7238</v>
      </c>
      <c r="E1108" s="2326">
        <f t="shared" si="90"/>
        <v>5869</v>
      </c>
      <c r="F1108" s="2326">
        <f t="shared" si="91"/>
        <v>7238</v>
      </c>
      <c r="G1108" s="2326">
        <f t="shared" si="92"/>
        <v>5983</v>
      </c>
    </row>
    <row r="1109" spans="1:7" ht="15.75">
      <c r="A1109" s="2486">
        <f t="shared" si="93"/>
        <v>52275</v>
      </c>
      <c r="B1109" s="2325">
        <v>52250</v>
      </c>
      <c r="C1109" s="2325">
        <v>52300</v>
      </c>
      <c r="D1109" s="2326">
        <f t="shared" si="89"/>
        <v>7249</v>
      </c>
      <c r="E1109" s="2326">
        <f t="shared" si="90"/>
        <v>5875</v>
      </c>
      <c r="F1109" s="2326">
        <f t="shared" si="91"/>
        <v>7249</v>
      </c>
      <c r="G1109" s="2326">
        <f t="shared" si="92"/>
        <v>5989</v>
      </c>
    </row>
    <row r="1110" spans="1:7" ht="15.75">
      <c r="A1110" s="2486">
        <f t="shared" si="93"/>
        <v>52325</v>
      </c>
      <c r="B1110" s="2325">
        <v>52300</v>
      </c>
      <c r="C1110" s="2325">
        <v>52350</v>
      </c>
      <c r="D1110" s="2326">
        <f t="shared" si="89"/>
        <v>7260</v>
      </c>
      <c r="E1110" s="2326">
        <f t="shared" si="90"/>
        <v>5881</v>
      </c>
      <c r="F1110" s="2326">
        <f t="shared" si="91"/>
        <v>7260</v>
      </c>
      <c r="G1110" s="2326">
        <f t="shared" si="92"/>
        <v>5995</v>
      </c>
    </row>
    <row r="1111" spans="1:7" ht="15.75">
      <c r="A1111" s="2486">
        <f t="shared" si="93"/>
        <v>52375</v>
      </c>
      <c r="B1111" s="2325">
        <v>52350</v>
      </c>
      <c r="C1111" s="2325">
        <v>52400</v>
      </c>
      <c r="D1111" s="2326">
        <f t="shared" si="89"/>
        <v>7271</v>
      </c>
      <c r="E1111" s="2326">
        <f t="shared" si="90"/>
        <v>5887</v>
      </c>
      <c r="F1111" s="2326">
        <f t="shared" si="91"/>
        <v>7271</v>
      </c>
      <c r="G1111" s="2326">
        <f t="shared" si="92"/>
        <v>6001</v>
      </c>
    </row>
    <row r="1112" spans="1:7" ht="15.75">
      <c r="A1112" s="2486">
        <f t="shared" si="93"/>
        <v>52425</v>
      </c>
      <c r="B1112" s="2325">
        <v>52400</v>
      </c>
      <c r="C1112" s="2325">
        <v>52450</v>
      </c>
      <c r="D1112" s="2326">
        <f t="shared" si="89"/>
        <v>7282</v>
      </c>
      <c r="E1112" s="2326">
        <f t="shared" si="90"/>
        <v>5893</v>
      </c>
      <c r="F1112" s="2326">
        <f t="shared" si="91"/>
        <v>7282</v>
      </c>
      <c r="G1112" s="2326">
        <f t="shared" si="92"/>
        <v>6007</v>
      </c>
    </row>
    <row r="1113" spans="1:7" ht="15.75">
      <c r="A1113" s="2486">
        <f t="shared" si="93"/>
        <v>52475</v>
      </c>
      <c r="B1113" s="2325">
        <v>52450</v>
      </c>
      <c r="C1113" s="2325">
        <v>52500</v>
      </c>
      <c r="D1113" s="2326">
        <f t="shared" si="89"/>
        <v>7293</v>
      </c>
      <c r="E1113" s="2326">
        <f t="shared" si="90"/>
        <v>5899</v>
      </c>
      <c r="F1113" s="2326">
        <f t="shared" si="91"/>
        <v>7293</v>
      </c>
      <c r="G1113" s="2326">
        <f t="shared" si="92"/>
        <v>6013</v>
      </c>
    </row>
    <row r="1114" spans="1:7" ht="15.75">
      <c r="A1114" s="2486">
        <f t="shared" si="93"/>
        <v>52525</v>
      </c>
      <c r="B1114" s="2325">
        <v>52500</v>
      </c>
      <c r="C1114" s="2325">
        <v>52550</v>
      </c>
      <c r="D1114" s="2326">
        <f t="shared" si="89"/>
        <v>7304</v>
      </c>
      <c r="E1114" s="2326">
        <f t="shared" si="90"/>
        <v>5905</v>
      </c>
      <c r="F1114" s="2326">
        <f t="shared" si="91"/>
        <v>7304</v>
      </c>
      <c r="G1114" s="2326">
        <f t="shared" si="92"/>
        <v>6019</v>
      </c>
    </row>
    <row r="1115" spans="1:7" ht="15.75">
      <c r="A1115" s="2486">
        <f t="shared" si="93"/>
        <v>52575</v>
      </c>
      <c r="B1115" s="2325">
        <v>52550</v>
      </c>
      <c r="C1115" s="2325">
        <v>52600</v>
      </c>
      <c r="D1115" s="2326">
        <f t="shared" si="89"/>
        <v>7315</v>
      </c>
      <c r="E1115" s="2326">
        <f t="shared" si="90"/>
        <v>5911</v>
      </c>
      <c r="F1115" s="2326">
        <f t="shared" si="91"/>
        <v>7315</v>
      </c>
      <c r="G1115" s="2326">
        <f t="shared" si="92"/>
        <v>6025</v>
      </c>
    </row>
    <row r="1116" spans="1:7" ht="15.75">
      <c r="A1116" s="2486">
        <f t="shared" si="93"/>
        <v>52625</v>
      </c>
      <c r="B1116" s="2325">
        <v>52600</v>
      </c>
      <c r="C1116" s="2325">
        <v>52650</v>
      </c>
      <c r="D1116" s="2326">
        <f t="shared" si="89"/>
        <v>7326</v>
      </c>
      <c r="E1116" s="2326">
        <f t="shared" si="90"/>
        <v>5917</v>
      </c>
      <c r="F1116" s="2326">
        <f t="shared" si="91"/>
        <v>7326</v>
      </c>
      <c r="G1116" s="2326">
        <f t="shared" si="92"/>
        <v>6031</v>
      </c>
    </row>
    <row r="1117" spans="1:7" ht="15.75">
      <c r="A1117" s="2486">
        <f t="shared" si="93"/>
        <v>52675</v>
      </c>
      <c r="B1117" s="2325">
        <v>52650</v>
      </c>
      <c r="C1117" s="2325">
        <v>52700</v>
      </c>
      <c r="D1117" s="2326">
        <f t="shared" si="89"/>
        <v>7337</v>
      </c>
      <c r="E1117" s="2326">
        <f t="shared" si="90"/>
        <v>5923</v>
      </c>
      <c r="F1117" s="2326">
        <f t="shared" si="91"/>
        <v>7337</v>
      </c>
      <c r="G1117" s="2326">
        <f t="shared" si="92"/>
        <v>6037</v>
      </c>
    </row>
    <row r="1118" spans="1:7" ht="15.75">
      <c r="A1118" s="2486">
        <f t="shared" si="93"/>
        <v>52725</v>
      </c>
      <c r="B1118" s="2325">
        <v>52700</v>
      </c>
      <c r="C1118" s="2325">
        <v>52750</v>
      </c>
      <c r="D1118" s="2326">
        <f t="shared" si="89"/>
        <v>7348</v>
      </c>
      <c r="E1118" s="2326">
        <f t="shared" si="90"/>
        <v>5929</v>
      </c>
      <c r="F1118" s="2326">
        <f t="shared" si="91"/>
        <v>7348</v>
      </c>
      <c r="G1118" s="2326">
        <f t="shared" si="92"/>
        <v>6043</v>
      </c>
    </row>
    <row r="1119" spans="1:7" ht="15.75">
      <c r="A1119" s="2486">
        <f t="shared" si="93"/>
        <v>52775</v>
      </c>
      <c r="B1119" s="2325">
        <v>52750</v>
      </c>
      <c r="C1119" s="2325">
        <v>52800</v>
      </c>
      <c r="D1119" s="2326">
        <f t="shared" si="89"/>
        <v>7359</v>
      </c>
      <c r="E1119" s="2326">
        <f t="shared" si="90"/>
        <v>5935</v>
      </c>
      <c r="F1119" s="2326">
        <f t="shared" si="91"/>
        <v>7359</v>
      </c>
      <c r="G1119" s="2326">
        <f t="shared" si="92"/>
        <v>6049</v>
      </c>
    </row>
    <row r="1120" spans="1:7" ht="15.75">
      <c r="A1120" s="2486">
        <f t="shared" si="93"/>
        <v>52825</v>
      </c>
      <c r="B1120" s="2325">
        <v>52800</v>
      </c>
      <c r="C1120" s="2325">
        <v>52850</v>
      </c>
      <c r="D1120" s="2326">
        <f t="shared" si="89"/>
        <v>7370</v>
      </c>
      <c r="E1120" s="2326">
        <f t="shared" si="90"/>
        <v>5941</v>
      </c>
      <c r="F1120" s="2326">
        <f t="shared" si="91"/>
        <v>7370</v>
      </c>
      <c r="G1120" s="2326">
        <f t="shared" si="92"/>
        <v>6055</v>
      </c>
    </row>
    <row r="1121" spans="1:7" ht="15.75">
      <c r="A1121" s="2486">
        <f t="shared" si="93"/>
        <v>52875</v>
      </c>
      <c r="B1121" s="2325">
        <v>52850</v>
      </c>
      <c r="C1121" s="2325">
        <v>52900</v>
      </c>
      <c r="D1121" s="2326">
        <f t="shared" si="89"/>
        <v>7381</v>
      </c>
      <c r="E1121" s="2326">
        <f t="shared" si="90"/>
        <v>5947</v>
      </c>
      <c r="F1121" s="2326">
        <f t="shared" si="91"/>
        <v>7381</v>
      </c>
      <c r="G1121" s="2326">
        <f t="shared" si="92"/>
        <v>6061</v>
      </c>
    </row>
    <row r="1122" spans="1:7" ht="15.75">
      <c r="A1122" s="2486">
        <f t="shared" si="93"/>
        <v>52925</v>
      </c>
      <c r="B1122" s="2325">
        <v>52900</v>
      </c>
      <c r="C1122" s="2325">
        <v>52950</v>
      </c>
      <c r="D1122" s="2326">
        <f t="shared" si="89"/>
        <v>7392</v>
      </c>
      <c r="E1122" s="2326">
        <f t="shared" si="90"/>
        <v>5953</v>
      </c>
      <c r="F1122" s="2326">
        <f t="shared" si="91"/>
        <v>7392</v>
      </c>
      <c r="G1122" s="2326">
        <f t="shared" si="92"/>
        <v>6067</v>
      </c>
    </row>
    <row r="1123" spans="1:7" ht="15.75">
      <c r="A1123" s="2486">
        <f t="shared" si="93"/>
        <v>52975</v>
      </c>
      <c r="B1123" s="2325">
        <v>52950</v>
      </c>
      <c r="C1123" s="2325">
        <v>53000</v>
      </c>
      <c r="D1123" s="2326">
        <f t="shared" si="89"/>
        <v>7403</v>
      </c>
      <c r="E1123" s="2326">
        <f t="shared" si="90"/>
        <v>5959</v>
      </c>
      <c r="F1123" s="2326">
        <f t="shared" si="91"/>
        <v>7403</v>
      </c>
      <c r="G1123" s="2326">
        <f t="shared" si="92"/>
        <v>6073</v>
      </c>
    </row>
    <row r="1124" spans="1:7" ht="15.75">
      <c r="A1124" s="2486">
        <f t="shared" si="93"/>
        <v>53025</v>
      </c>
      <c r="B1124" s="2325">
        <v>53000</v>
      </c>
      <c r="C1124" s="2325">
        <v>53050</v>
      </c>
      <c r="D1124" s="2326">
        <f t="shared" si="89"/>
        <v>7414</v>
      </c>
      <c r="E1124" s="2326">
        <f t="shared" si="90"/>
        <v>5965</v>
      </c>
      <c r="F1124" s="2326">
        <f t="shared" si="91"/>
        <v>7414</v>
      </c>
      <c r="G1124" s="2326">
        <f t="shared" si="92"/>
        <v>6079</v>
      </c>
    </row>
    <row r="1125" spans="1:7" ht="15.75">
      <c r="A1125" s="2486">
        <f t="shared" si="93"/>
        <v>53075</v>
      </c>
      <c r="B1125" s="2325">
        <v>53050</v>
      </c>
      <c r="C1125" s="2325">
        <v>53100</v>
      </c>
      <c r="D1125" s="2326">
        <f t="shared" si="89"/>
        <v>7425</v>
      </c>
      <c r="E1125" s="2326">
        <f t="shared" si="90"/>
        <v>5971</v>
      </c>
      <c r="F1125" s="2326">
        <f t="shared" si="91"/>
        <v>7425</v>
      </c>
      <c r="G1125" s="2326">
        <f t="shared" si="92"/>
        <v>6085</v>
      </c>
    </row>
    <row r="1126" spans="1:7" ht="15.75">
      <c r="A1126" s="2486">
        <f t="shared" si="93"/>
        <v>53125</v>
      </c>
      <c r="B1126" s="2325">
        <v>53100</v>
      </c>
      <c r="C1126" s="2325">
        <v>53150</v>
      </c>
      <c r="D1126" s="2326">
        <f t="shared" si="89"/>
        <v>7436</v>
      </c>
      <c r="E1126" s="2326">
        <f t="shared" si="90"/>
        <v>5977</v>
      </c>
      <c r="F1126" s="2326">
        <f t="shared" si="91"/>
        <v>7436</v>
      </c>
      <c r="G1126" s="2326">
        <f t="shared" si="92"/>
        <v>6091</v>
      </c>
    </row>
    <row r="1127" spans="1:7" ht="15.75">
      <c r="A1127" s="2486">
        <f t="shared" si="93"/>
        <v>53175</v>
      </c>
      <c r="B1127" s="2325">
        <v>53150</v>
      </c>
      <c r="C1127" s="2325">
        <v>53200</v>
      </c>
      <c r="D1127" s="2326">
        <f t="shared" si="89"/>
        <v>7447</v>
      </c>
      <c r="E1127" s="2326">
        <f t="shared" si="90"/>
        <v>5983</v>
      </c>
      <c r="F1127" s="2326">
        <f t="shared" si="91"/>
        <v>7447</v>
      </c>
      <c r="G1127" s="2326">
        <f t="shared" si="92"/>
        <v>6097</v>
      </c>
    </row>
    <row r="1128" spans="1:7" ht="15.75">
      <c r="A1128" s="2486">
        <f t="shared" si="93"/>
        <v>53225</v>
      </c>
      <c r="B1128" s="2325">
        <v>53200</v>
      </c>
      <c r="C1128" s="2325">
        <v>53250</v>
      </c>
      <c r="D1128" s="2326">
        <f t="shared" si="89"/>
        <v>7458</v>
      </c>
      <c r="E1128" s="2326">
        <f t="shared" si="90"/>
        <v>5989</v>
      </c>
      <c r="F1128" s="2326">
        <f t="shared" si="91"/>
        <v>7458</v>
      </c>
      <c r="G1128" s="2326">
        <f t="shared" si="92"/>
        <v>6103</v>
      </c>
    </row>
    <row r="1129" spans="1:7" ht="15.75">
      <c r="A1129" s="2486">
        <f t="shared" si="93"/>
        <v>53275</v>
      </c>
      <c r="B1129" s="2325">
        <v>53250</v>
      </c>
      <c r="C1129" s="2325">
        <v>53300</v>
      </c>
      <c r="D1129" s="2326">
        <f t="shared" si="89"/>
        <v>7469</v>
      </c>
      <c r="E1129" s="2326">
        <f t="shared" si="90"/>
        <v>5995</v>
      </c>
      <c r="F1129" s="2326">
        <f t="shared" si="91"/>
        <v>7469</v>
      </c>
      <c r="G1129" s="2326">
        <f t="shared" si="92"/>
        <v>6109</v>
      </c>
    </row>
    <row r="1130" spans="1:7" ht="15.75">
      <c r="A1130" s="2486">
        <f t="shared" si="93"/>
        <v>53325</v>
      </c>
      <c r="B1130" s="2325">
        <v>53300</v>
      </c>
      <c r="C1130" s="2325">
        <v>53350</v>
      </c>
      <c r="D1130" s="2326">
        <f t="shared" si="89"/>
        <v>7480</v>
      </c>
      <c r="E1130" s="2326">
        <f t="shared" si="90"/>
        <v>6001</v>
      </c>
      <c r="F1130" s="2326">
        <f t="shared" si="91"/>
        <v>7480</v>
      </c>
      <c r="G1130" s="2326">
        <f t="shared" si="92"/>
        <v>6115</v>
      </c>
    </row>
    <row r="1131" spans="1:7" ht="15.75">
      <c r="A1131" s="2486">
        <f t="shared" si="93"/>
        <v>53375</v>
      </c>
      <c r="B1131" s="2325">
        <v>53350</v>
      </c>
      <c r="C1131" s="2325">
        <v>53400</v>
      </c>
      <c r="D1131" s="2326">
        <f t="shared" si="89"/>
        <v>7491</v>
      </c>
      <c r="E1131" s="2326">
        <f t="shared" si="90"/>
        <v>6007</v>
      </c>
      <c r="F1131" s="2326">
        <f t="shared" si="91"/>
        <v>7491</v>
      </c>
      <c r="G1131" s="2326">
        <f t="shared" si="92"/>
        <v>6121</v>
      </c>
    </row>
    <row r="1132" spans="1:7" ht="15.75">
      <c r="A1132" s="2486">
        <f t="shared" si="93"/>
        <v>53425</v>
      </c>
      <c r="B1132" s="2325">
        <v>53400</v>
      </c>
      <c r="C1132" s="2325">
        <v>53450</v>
      </c>
      <c r="D1132" s="2326">
        <f t="shared" si="89"/>
        <v>7502</v>
      </c>
      <c r="E1132" s="2326">
        <f t="shared" si="90"/>
        <v>6013</v>
      </c>
      <c r="F1132" s="2326">
        <f t="shared" si="91"/>
        <v>7502</v>
      </c>
      <c r="G1132" s="2326">
        <f t="shared" si="92"/>
        <v>6127</v>
      </c>
    </row>
    <row r="1133" spans="1:7" ht="15.75">
      <c r="A1133" s="2486">
        <f t="shared" si="93"/>
        <v>53475</v>
      </c>
      <c r="B1133" s="2325">
        <v>53450</v>
      </c>
      <c r="C1133" s="2325">
        <v>53500</v>
      </c>
      <c r="D1133" s="2326">
        <f t="shared" si="89"/>
        <v>7513</v>
      </c>
      <c r="E1133" s="2326">
        <f t="shared" si="90"/>
        <v>6019</v>
      </c>
      <c r="F1133" s="2326">
        <f t="shared" si="91"/>
        <v>7513</v>
      </c>
      <c r="G1133" s="2326">
        <f t="shared" si="92"/>
        <v>6133</v>
      </c>
    </row>
    <row r="1134" spans="1:7" ht="15.75">
      <c r="A1134" s="2486">
        <f t="shared" si="93"/>
        <v>53525</v>
      </c>
      <c r="B1134" s="2325">
        <v>53500</v>
      </c>
      <c r="C1134" s="2325">
        <v>53550</v>
      </c>
      <c r="D1134" s="2326">
        <f t="shared" si="89"/>
        <v>7524</v>
      </c>
      <c r="E1134" s="2326">
        <f t="shared" si="90"/>
        <v>6025</v>
      </c>
      <c r="F1134" s="2326">
        <f t="shared" si="91"/>
        <v>7524</v>
      </c>
      <c r="G1134" s="2326">
        <f t="shared" si="92"/>
        <v>6139</v>
      </c>
    </row>
    <row r="1135" spans="1:7" ht="15.75">
      <c r="A1135" s="2486">
        <f t="shared" si="93"/>
        <v>53575</v>
      </c>
      <c r="B1135" s="2325">
        <v>53550</v>
      </c>
      <c r="C1135" s="2325">
        <v>53600</v>
      </c>
      <c r="D1135" s="2326">
        <f t="shared" si="89"/>
        <v>7535</v>
      </c>
      <c r="E1135" s="2326">
        <f t="shared" si="90"/>
        <v>6031</v>
      </c>
      <c r="F1135" s="2326">
        <f t="shared" si="91"/>
        <v>7535</v>
      </c>
      <c r="G1135" s="2326">
        <f t="shared" si="92"/>
        <v>6145</v>
      </c>
    </row>
    <row r="1136" spans="1:7" ht="15.75">
      <c r="A1136" s="2486">
        <f t="shared" si="93"/>
        <v>53625</v>
      </c>
      <c r="B1136" s="2325">
        <v>53600</v>
      </c>
      <c r="C1136" s="2325">
        <v>53650</v>
      </c>
      <c r="D1136" s="2326">
        <f t="shared" si="89"/>
        <v>7546</v>
      </c>
      <c r="E1136" s="2326">
        <f t="shared" si="90"/>
        <v>6037</v>
      </c>
      <c r="F1136" s="2326">
        <f t="shared" si="91"/>
        <v>7546</v>
      </c>
      <c r="G1136" s="2326">
        <f t="shared" si="92"/>
        <v>6151</v>
      </c>
    </row>
    <row r="1137" spans="1:7" ht="15.75">
      <c r="A1137" s="2486">
        <f t="shared" si="93"/>
        <v>53675</v>
      </c>
      <c r="B1137" s="2325">
        <v>53650</v>
      </c>
      <c r="C1137" s="2325">
        <v>53700</v>
      </c>
      <c r="D1137" s="2326">
        <f t="shared" si="89"/>
        <v>7557</v>
      </c>
      <c r="E1137" s="2326">
        <f t="shared" si="90"/>
        <v>6043</v>
      </c>
      <c r="F1137" s="2326">
        <f t="shared" si="91"/>
        <v>7557</v>
      </c>
      <c r="G1137" s="2326">
        <f t="shared" si="92"/>
        <v>6157</v>
      </c>
    </row>
    <row r="1138" spans="1:7" ht="15.75">
      <c r="A1138" s="2486">
        <f t="shared" si="93"/>
        <v>53725</v>
      </c>
      <c r="B1138" s="2325">
        <v>53700</v>
      </c>
      <c r="C1138" s="2325">
        <v>53750</v>
      </c>
      <c r="D1138" s="2326">
        <f t="shared" si="89"/>
        <v>7568</v>
      </c>
      <c r="E1138" s="2326">
        <f t="shared" si="90"/>
        <v>6049</v>
      </c>
      <c r="F1138" s="2326">
        <f t="shared" si="91"/>
        <v>7568</v>
      </c>
      <c r="G1138" s="2326">
        <f t="shared" si="92"/>
        <v>6163</v>
      </c>
    </row>
    <row r="1139" spans="1:7" ht="15.75">
      <c r="A1139" s="2486">
        <f t="shared" si="93"/>
        <v>53775</v>
      </c>
      <c r="B1139" s="2325">
        <v>53750</v>
      </c>
      <c r="C1139" s="2325">
        <v>53800</v>
      </c>
      <c r="D1139" s="2326">
        <f t="shared" si="89"/>
        <v>7579</v>
      </c>
      <c r="E1139" s="2326">
        <f t="shared" si="90"/>
        <v>6055</v>
      </c>
      <c r="F1139" s="2326">
        <f t="shared" si="91"/>
        <v>7579</v>
      </c>
      <c r="G1139" s="2326">
        <f t="shared" si="92"/>
        <v>6169</v>
      </c>
    </row>
    <row r="1140" spans="1:7" ht="15.75">
      <c r="A1140" s="2486">
        <f t="shared" si="93"/>
        <v>53825</v>
      </c>
      <c r="B1140" s="2325">
        <v>53800</v>
      </c>
      <c r="C1140" s="2325">
        <v>53850</v>
      </c>
      <c r="D1140" s="2326">
        <f t="shared" si="89"/>
        <v>7590</v>
      </c>
      <c r="E1140" s="2326">
        <f t="shared" si="90"/>
        <v>6061</v>
      </c>
      <c r="F1140" s="2326">
        <f t="shared" si="91"/>
        <v>7590</v>
      </c>
      <c r="G1140" s="2326">
        <f t="shared" si="92"/>
        <v>6175</v>
      </c>
    </row>
    <row r="1141" spans="1:7" ht="15.75">
      <c r="A1141" s="2486">
        <f t="shared" si="93"/>
        <v>53875</v>
      </c>
      <c r="B1141" s="2325">
        <v>53850</v>
      </c>
      <c r="C1141" s="2325">
        <v>53900</v>
      </c>
      <c r="D1141" s="2326">
        <f t="shared" si="89"/>
        <v>7601</v>
      </c>
      <c r="E1141" s="2326">
        <f t="shared" si="90"/>
        <v>6067</v>
      </c>
      <c r="F1141" s="2326">
        <f t="shared" si="91"/>
        <v>7601</v>
      </c>
      <c r="G1141" s="2326">
        <f t="shared" si="92"/>
        <v>6181</v>
      </c>
    </row>
    <row r="1142" spans="1:7" ht="15.75">
      <c r="A1142" s="2486">
        <f t="shared" si="93"/>
        <v>53925</v>
      </c>
      <c r="B1142" s="2325">
        <v>53900</v>
      </c>
      <c r="C1142" s="2325">
        <v>53950</v>
      </c>
      <c r="D1142" s="2326">
        <f t="shared" si="89"/>
        <v>7612</v>
      </c>
      <c r="E1142" s="2326">
        <f t="shared" si="90"/>
        <v>6073</v>
      </c>
      <c r="F1142" s="2326">
        <f t="shared" si="91"/>
        <v>7612</v>
      </c>
      <c r="G1142" s="2326">
        <f t="shared" si="92"/>
        <v>6187</v>
      </c>
    </row>
    <row r="1143" spans="1:7" ht="15.75">
      <c r="A1143" s="2486">
        <f t="shared" si="93"/>
        <v>53975</v>
      </c>
      <c r="B1143" s="2325">
        <v>53950</v>
      </c>
      <c r="C1143" s="2325">
        <v>54000</v>
      </c>
      <c r="D1143" s="2326">
        <f t="shared" si="89"/>
        <v>7623</v>
      </c>
      <c r="E1143" s="2326">
        <f t="shared" si="90"/>
        <v>6079</v>
      </c>
      <c r="F1143" s="2326">
        <f t="shared" si="91"/>
        <v>7623</v>
      </c>
      <c r="G1143" s="2326">
        <f t="shared" si="92"/>
        <v>6193</v>
      </c>
    </row>
    <row r="1144" spans="1:7" ht="15.75">
      <c r="A1144" s="2486">
        <f t="shared" si="93"/>
        <v>54025</v>
      </c>
      <c r="B1144" s="2325">
        <v>54000</v>
      </c>
      <c r="C1144" s="2325">
        <v>54050</v>
      </c>
      <c r="D1144" s="2326">
        <f t="shared" si="89"/>
        <v>7634</v>
      </c>
      <c r="E1144" s="2326">
        <f t="shared" si="90"/>
        <v>6085</v>
      </c>
      <c r="F1144" s="2326">
        <f t="shared" si="91"/>
        <v>7634</v>
      </c>
      <c r="G1144" s="2326">
        <f t="shared" si="92"/>
        <v>6199</v>
      </c>
    </row>
    <row r="1145" spans="1:7" ht="15.75">
      <c r="A1145" s="2486">
        <f t="shared" si="93"/>
        <v>54075</v>
      </c>
      <c r="B1145" s="2325">
        <v>54050</v>
      </c>
      <c r="C1145" s="2325">
        <v>54100</v>
      </c>
      <c r="D1145" s="2326">
        <f t="shared" si="89"/>
        <v>7645</v>
      </c>
      <c r="E1145" s="2326">
        <f t="shared" si="90"/>
        <v>6091</v>
      </c>
      <c r="F1145" s="2326">
        <f t="shared" si="91"/>
        <v>7645</v>
      </c>
      <c r="G1145" s="2326">
        <f t="shared" si="92"/>
        <v>6205</v>
      </c>
    </row>
    <row r="1146" spans="1:7" ht="15.75">
      <c r="A1146" s="2486">
        <f t="shared" si="93"/>
        <v>54125</v>
      </c>
      <c r="B1146" s="2325">
        <v>54100</v>
      </c>
      <c r="C1146" s="2325">
        <v>54150</v>
      </c>
      <c r="D1146" s="2326">
        <f t="shared" si="89"/>
        <v>7656</v>
      </c>
      <c r="E1146" s="2326">
        <f t="shared" si="90"/>
        <v>6097</v>
      </c>
      <c r="F1146" s="2326">
        <f t="shared" si="91"/>
        <v>7656</v>
      </c>
      <c r="G1146" s="2326">
        <f t="shared" si="92"/>
        <v>6211</v>
      </c>
    </row>
    <row r="1147" spans="1:7" ht="15.75">
      <c r="A1147" s="2486">
        <f t="shared" si="93"/>
        <v>54175</v>
      </c>
      <c r="B1147" s="2325">
        <v>54150</v>
      </c>
      <c r="C1147" s="2325">
        <v>54200</v>
      </c>
      <c r="D1147" s="2326">
        <f t="shared" si="89"/>
        <v>7667</v>
      </c>
      <c r="E1147" s="2326">
        <f t="shared" si="90"/>
        <v>6103</v>
      </c>
      <c r="F1147" s="2326">
        <f t="shared" si="91"/>
        <v>7667</v>
      </c>
      <c r="G1147" s="2326">
        <f t="shared" si="92"/>
        <v>6217</v>
      </c>
    </row>
    <row r="1148" spans="1:7" ht="15.75">
      <c r="A1148" s="2486">
        <f t="shared" si="93"/>
        <v>54225</v>
      </c>
      <c r="B1148" s="2325">
        <v>54200</v>
      </c>
      <c r="C1148" s="2325">
        <v>54250</v>
      </c>
      <c r="D1148" s="2326">
        <f t="shared" si="89"/>
        <v>7678</v>
      </c>
      <c r="E1148" s="2326">
        <f t="shared" si="90"/>
        <v>6109</v>
      </c>
      <c r="F1148" s="2326">
        <f t="shared" si="91"/>
        <v>7678</v>
      </c>
      <c r="G1148" s="2326">
        <f t="shared" si="92"/>
        <v>6226</v>
      </c>
    </row>
    <row r="1149" spans="1:7" ht="15.75">
      <c r="A1149" s="2486">
        <f t="shared" si="93"/>
        <v>54275</v>
      </c>
      <c r="B1149" s="2325">
        <v>54250</v>
      </c>
      <c r="C1149" s="2325">
        <v>54300</v>
      </c>
      <c r="D1149" s="2326">
        <f t="shared" si="89"/>
        <v>7689</v>
      </c>
      <c r="E1149" s="2326">
        <f t="shared" si="90"/>
        <v>6115</v>
      </c>
      <c r="F1149" s="2326">
        <f t="shared" si="91"/>
        <v>7689</v>
      </c>
      <c r="G1149" s="2326">
        <f t="shared" si="92"/>
        <v>6237</v>
      </c>
    </row>
    <row r="1150" spans="1:7" ht="15.75">
      <c r="A1150" s="2486">
        <f t="shared" si="93"/>
        <v>54325</v>
      </c>
      <c r="B1150" s="2325">
        <v>54300</v>
      </c>
      <c r="C1150" s="2325">
        <v>54350</v>
      </c>
      <c r="D1150" s="2326">
        <f t="shared" si="89"/>
        <v>7700</v>
      </c>
      <c r="E1150" s="2326">
        <f t="shared" si="90"/>
        <v>6121</v>
      </c>
      <c r="F1150" s="2326">
        <f t="shared" si="91"/>
        <v>7700</v>
      </c>
      <c r="G1150" s="2326">
        <f t="shared" si="92"/>
        <v>6248</v>
      </c>
    </row>
    <row r="1151" spans="1:7" ht="15.75">
      <c r="A1151" s="2486">
        <f t="shared" si="93"/>
        <v>54375</v>
      </c>
      <c r="B1151" s="2325">
        <v>54350</v>
      </c>
      <c r="C1151" s="2325">
        <v>54400</v>
      </c>
      <c r="D1151" s="2326">
        <f t="shared" si="89"/>
        <v>7711</v>
      </c>
      <c r="E1151" s="2326">
        <f t="shared" si="90"/>
        <v>6127</v>
      </c>
      <c r="F1151" s="2326">
        <f t="shared" si="91"/>
        <v>7711</v>
      </c>
      <c r="G1151" s="2326">
        <f t="shared" si="92"/>
        <v>6259</v>
      </c>
    </row>
    <row r="1152" spans="1:7" ht="15.75">
      <c r="A1152" s="2486">
        <f t="shared" si="93"/>
        <v>54425</v>
      </c>
      <c r="B1152" s="2325">
        <v>54400</v>
      </c>
      <c r="C1152" s="2325">
        <v>54450</v>
      </c>
      <c r="D1152" s="2326">
        <f t="shared" si="89"/>
        <v>7722</v>
      </c>
      <c r="E1152" s="2326">
        <f t="shared" si="90"/>
        <v>6133</v>
      </c>
      <c r="F1152" s="2326">
        <f t="shared" si="91"/>
        <v>7722</v>
      </c>
      <c r="G1152" s="2326">
        <f t="shared" si="92"/>
        <v>6270</v>
      </c>
    </row>
    <row r="1153" spans="1:7" ht="15.75">
      <c r="A1153" s="2486">
        <f t="shared" si="93"/>
        <v>54475</v>
      </c>
      <c r="B1153" s="2325">
        <v>54450</v>
      </c>
      <c r="C1153" s="2325">
        <v>54500</v>
      </c>
      <c r="D1153" s="2326">
        <f t="shared" si="89"/>
        <v>7733</v>
      </c>
      <c r="E1153" s="2326">
        <f t="shared" si="90"/>
        <v>6139</v>
      </c>
      <c r="F1153" s="2326">
        <f t="shared" si="91"/>
        <v>7733</v>
      </c>
      <c r="G1153" s="2326">
        <f t="shared" si="92"/>
        <v>6281</v>
      </c>
    </row>
    <row r="1154" spans="1:7" ht="15.75">
      <c r="A1154" s="2486">
        <f t="shared" si="93"/>
        <v>54525</v>
      </c>
      <c r="B1154" s="2325">
        <v>54500</v>
      </c>
      <c r="C1154" s="2325">
        <v>54550</v>
      </c>
      <c r="D1154" s="2326">
        <f t="shared" ref="D1154:D1217" si="94">IF($A1154&gt;BOTT_A4,ROUND(BASE_A4+RATE_A4*($A1154-BOTT_A4),0),IF($A1154&gt;BOTT_A3,ROUND(BASE_A3+RATE_A3*($A1154-BOTT_A3),0),IF($A1154&gt;BOTT_A2,ROUND(BASE_A2+RATE_A2*($A1154-BOTT_A2),0),ROUND(RATE_A1*$A1154,0))))</f>
        <v>7744</v>
      </c>
      <c r="E1154" s="2326">
        <f t="shared" ref="E1154:E1217" si="95">IF($A1154&gt;BOTT_B4,ROUND(BASE_B4+RATE_B4*($A1154-BOTT_B4),0),IF($A1154&gt;BOTT_B3,ROUND(BASE_B3+RATE_B3*($A1154-BOTT_B3),0),IF($A1154&gt;BOTT_B2,ROUND(BASE_B2+RATE_B2*($A1154-BOTT_B2),0),ROUND(RATE_B1*$A1154,0))))</f>
        <v>6145</v>
      </c>
      <c r="F1154" s="2326">
        <f t="shared" ref="F1154:F1217" si="96">IF($A1154&gt;BOTT_C4,ROUND(BASE_C4+RATE_C4*($A1154-BOTT_C4),0),IF($A1154&gt;BOTT_C3,ROUND(BASE_C3+RATE_C3*($A1154-BOTT_C3),0),IF($A1154&gt;BOTT_C2,ROUND(BASE_C2+RATE_C2*($A1154-BOTT_C2),0),ROUND(RATE_C1*$A1154,0))))</f>
        <v>7744</v>
      </c>
      <c r="G1154" s="2326">
        <f t="shared" ref="G1154:G1217" si="97">IF($A1154&gt;BOTT_D4,ROUND(BASE_D4+RATE_D4*($A1154-BOTT_D4),0),IF($A1154&gt;BOTT_D3,ROUND(BASE_D3+RATE_D3*($A1154-BOTT_D3),0),IF($A1154&gt;BOTT_D2,ROUND(BASE_D2+RATE_D2*($A1154-BOTT_D2),0),ROUND(RATE_D1*$A1154,0))))</f>
        <v>6292</v>
      </c>
    </row>
    <row r="1155" spans="1:7" ht="15.75">
      <c r="A1155" s="2486">
        <f t="shared" ref="A1155:A1218" si="98">AVERAGE(B1155,C1155)</f>
        <v>54575</v>
      </c>
      <c r="B1155" s="2325">
        <v>54550</v>
      </c>
      <c r="C1155" s="2325">
        <v>54600</v>
      </c>
      <c r="D1155" s="2326">
        <f t="shared" si="94"/>
        <v>7755</v>
      </c>
      <c r="E1155" s="2326">
        <f t="shared" si="95"/>
        <v>6151</v>
      </c>
      <c r="F1155" s="2326">
        <f t="shared" si="96"/>
        <v>7755</v>
      </c>
      <c r="G1155" s="2326">
        <f t="shared" si="97"/>
        <v>6303</v>
      </c>
    </row>
    <row r="1156" spans="1:7" ht="15.75">
      <c r="A1156" s="2486">
        <f t="shared" si="98"/>
        <v>54625</v>
      </c>
      <c r="B1156" s="2325">
        <v>54600</v>
      </c>
      <c r="C1156" s="2325">
        <v>54650</v>
      </c>
      <c r="D1156" s="2326">
        <f t="shared" si="94"/>
        <v>7766</v>
      </c>
      <c r="E1156" s="2326">
        <f t="shared" si="95"/>
        <v>6157</v>
      </c>
      <c r="F1156" s="2326">
        <f t="shared" si="96"/>
        <v>7766</v>
      </c>
      <c r="G1156" s="2326">
        <f t="shared" si="97"/>
        <v>6314</v>
      </c>
    </row>
    <row r="1157" spans="1:7" ht="15.75">
      <c r="A1157" s="2486">
        <f t="shared" si="98"/>
        <v>54675</v>
      </c>
      <c r="B1157" s="2325">
        <v>54650</v>
      </c>
      <c r="C1157" s="2325">
        <v>54700</v>
      </c>
      <c r="D1157" s="2326">
        <f t="shared" si="94"/>
        <v>7777</v>
      </c>
      <c r="E1157" s="2326">
        <f t="shared" si="95"/>
        <v>6163</v>
      </c>
      <c r="F1157" s="2326">
        <f t="shared" si="96"/>
        <v>7777</v>
      </c>
      <c r="G1157" s="2326">
        <f t="shared" si="97"/>
        <v>6325</v>
      </c>
    </row>
    <row r="1158" spans="1:7" ht="15.75">
      <c r="A1158" s="2486">
        <f t="shared" si="98"/>
        <v>54725</v>
      </c>
      <c r="B1158" s="2325">
        <v>54700</v>
      </c>
      <c r="C1158" s="2325">
        <v>54750</v>
      </c>
      <c r="D1158" s="2326">
        <f t="shared" si="94"/>
        <v>7788</v>
      </c>
      <c r="E1158" s="2326">
        <f t="shared" si="95"/>
        <v>6169</v>
      </c>
      <c r="F1158" s="2326">
        <f t="shared" si="96"/>
        <v>7788</v>
      </c>
      <c r="G1158" s="2326">
        <f t="shared" si="97"/>
        <v>6336</v>
      </c>
    </row>
    <row r="1159" spans="1:7" ht="15.75">
      <c r="A1159" s="2486">
        <f t="shared" si="98"/>
        <v>54775</v>
      </c>
      <c r="B1159" s="2325">
        <v>54750</v>
      </c>
      <c r="C1159" s="2325">
        <v>54800</v>
      </c>
      <c r="D1159" s="2326">
        <f t="shared" si="94"/>
        <v>7799</v>
      </c>
      <c r="E1159" s="2326">
        <f t="shared" si="95"/>
        <v>6175</v>
      </c>
      <c r="F1159" s="2326">
        <f t="shared" si="96"/>
        <v>7799</v>
      </c>
      <c r="G1159" s="2326">
        <f t="shared" si="97"/>
        <v>6347</v>
      </c>
    </row>
    <row r="1160" spans="1:7" ht="15.75">
      <c r="A1160" s="2486">
        <f t="shared" si="98"/>
        <v>54825</v>
      </c>
      <c r="B1160" s="2325">
        <v>54800</v>
      </c>
      <c r="C1160" s="2325">
        <v>54850</v>
      </c>
      <c r="D1160" s="2326">
        <f t="shared" si="94"/>
        <v>7810</v>
      </c>
      <c r="E1160" s="2326">
        <f t="shared" si="95"/>
        <v>6181</v>
      </c>
      <c r="F1160" s="2326">
        <f t="shared" si="96"/>
        <v>7810</v>
      </c>
      <c r="G1160" s="2326">
        <f t="shared" si="97"/>
        <v>6358</v>
      </c>
    </row>
    <row r="1161" spans="1:7" ht="15.75">
      <c r="A1161" s="2486">
        <f t="shared" si="98"/>
        <v>54875</v>
      </c>
      <c r="B1161" s="2325">
        <v>54850</v>
      </c>
      <c r="C1161" s="2325">
        <v>54900</v>
      </c>
      <c r="D1161" s="2326">
        <f t="shared" si="94"/>
        <v>7821</v>
      </c>
      <c r="E1161" s="2326">
        <f t="shared" si="95"/>
        <v>6187</v>
      </c>
      <c r="F1161" s="2326">
        <f t="shared" si="96"/>
        <v>7821</v>
      </c>
      <c r="G1161" s="2326">
        <f t="shared" si="97"/>
        <v>6369</v>
      </c>
    </row>
    <row r="1162" spans="1:7" ht="15.75">
      <c r="A1162" s="2486">
        <f t="shared" si="98"/>
        <v>54925</v>
      </c>
      <c r="B1162" s="2325">
        <v>54900</v>
      </c>
      <c r="C1162" s="2325">
        <v>54950</v>
      </c>
      <c r="D1162" s="2326">
        <f t="shared" si="94"/>
        <v>7832</v>
      </c>
      <c r="E1162" s="2326">
        <f t="shared" si="95"/>
        <v>6193</v>
      </c>
      <c r="F1162" s="2326">
        <f t="shared" si="96"/>
        <v>7832</v>
      </c>
      <c r="G1162" s="2326">
        <f t="shared" si="97"/>
        <v>6380</v>
      </c>
    </row>
    <row r="1163" spans="1:7" ht="15.75">
      <c r="A1163" s="2486">
        <f t="shared" si="98"/>
        <v>54975</v>
      </c>
      <c r="B1163" s="2325">
        <v>54950</v>
      </c>
      <c r="C1163" s="2325">
        <v>55000</v>
      </c>
      <c r="D1163" s="2326">
        <f t="shared" si="94"/>
        <v>7843</v>
      </c>
      <c r="E1163" s="2326">
        <f t="shared" si="95"/>
        <v>6199</v>
      </c>
      <c r="F1163" s="2326">
        <f t="shared" si="96"/>
        <v>7843</v>
      </c>
      <c r="G1163" s="2326">
        <f t="shared" si="97"/>
        <v>6391</v>
      </c>
    </row>
    <row r="1164" spans="1:7" ht="15.75">
      <c r="A1164" s="2486">
        <f t="shared" si="98"/>
        <v>55025</v>
      </c>
      <c r="B1164" s="2325">
        <v>55000</v>
      </c>
      <c r="C1164" s="2325">
        <v>55050</v>
      </c>
      <c r="D1164" s="2326">
        <f t="shared" si="94"/>
        <v>7854</v>
      </c>
      <c r="E1164" s="2326">
        <f t="shared" si="95"/>
        <v>6205</v>
      </c>
      <c r="F1164" s="2326">
        <f t="shared" si="96"/>
        <v>7854</v>
      </c>
      <c r="G1164" s="2326">
        <f t="shared" si="97"/>
        <v>6402</v>
      </c>
    </row>
    <row r="1165" spans="1:7" ht="15.75">
      <c r="A1165" s="2486">
        <f t="shared" si="98"/>
        <v>55075</v>
      </c>
      <c r="B1165" s="2325">
        <v>55050</v>
      </c>
      <c r="C1165" s="2325">
        <v>55100</v>
      </c>
      <c r="D1165" s="2326">
        <f t="shared" si="94"/>
        <v>7865</v>
      </c>
      <c r="E1165" s="2326">
        <f t="shared" si="95"/>
        <v>6211</v>
      </c>
      <c r="F1165" s="2326">
        <f t="shared" si="96"/>
        <v>7865</v>
      </c>
      <c r="G1165" s="2326">
        <f t="shared" si="97"/>
        <v>6413</v>
      </c>
    </row>
    <row r="1166" spans="1:7" ht="15.75">
      <c r="A1166" s="2486">
        <f t="shared" si="98"/>
        <v>55125</v>
      </c>
      <c r="B1166" s="2325">
        <v>55100</v>
      </c>
      <c r="C1166" s="2325">
        <v>55150</v>
      </c>
      <c r="D1166" s="2326">
        <f t="shared" si="94"/>
        <v>7876</v>
      </c>
      <c r="E1166" s="2326">
        <f t="shared" si="95"/>
        <v>6217</v>
      </c>
      <c r="F1166" s="2326">
        <f t="shared" si="96"/>
        <v>7876</v>
      </c>
      <c r="G1166" s="2326">
        <f t="shared" si="97"/>
        <v>6424</v>
      </c>
    </row>
    <row r="1167" spans="1:7" ht="15.75">
      <c r="A1167" s="2486">
        <f t="shared" si="98"/>
        <v>55175</v>
      </c>
      <c r="B1167" s="2325">
        <v>55150</v>
      </c>
      <c r="C1167" s="2325">
        <v>55200</v>
      </c>
      <c r="D1167" s="2326">
        <f t="shared" si="94"/>
        <v>7887</v>
      </c>
      <c r="E1167" s="2326">
        <f t="shared" si="95"/>
        <v>6223</v>
      </c>
      <c r="F1167" s="2326">
        <f t="shared" si="96"/>
        <v>7887</v>
      </c>
      <c r="G1167" s="2326">
        <f t="shared" si="97"/>
        <v>6435</v>
      </c>
    </row>
    <row r="1168" spans="1:7" ht="15.75">
      <c r="A1168" s="2486">
        <f t="shared" si="98"/>
        <v>55225</v>
      </c>
      <c r="B1168" s="2325">
        <v>55200</v>
      </c>
      <c r="C1168" s="2325">
        <v>55250</v>
      </c>
      <c r="D1168" s="2326">
        <f t="shared" si="94"/>
        <v>7898</v>
      </c>
      <c r="E1168" s="2326">
        <f t="shared" si="95"/>
        <v>6229</v>
      </c>
      <c r="F1168" s="2326">
        <f t="shared" si="96"/>
        <v>7898</v>
      </c>
      <c r="G1168" s="2326">
        <f t="shared" si="97"/>
        <v>6446</v>
      </c>
    </row>
    <row r="1169" spans="1:7" ht="15.75">
      <c r="A1169" s="2486">
        <f t="shared" si="98"/>
        <v>55275</v>
      </c>
      <c r="B1169" s="2325">
        <v>55250</v>
      </c>
      <c r="C1169" s="2325">
        <v>55300</v>
      </c>
      <c r="D1169" s="2326">
        <f t="shared" si="94"/>
        <v>7909</v>
      </c>
      <c r="E1169" s="2326">
        <f t="shared" si="95"/>
        <v>6235</v>
      </c>
      <c r="F1169" s="2326">
        <f t="shared" si="96"/>
        <v>7909</v>
      </c>
      <c r="G1169" s="2326">
        <f t="shared" si="97"/>
        <v>6457</v>
      </c>
    </row>
    <row r="1170" spans="1:7" ht="15.75">
      <c r="A1170" s="2486">
        <f t="shared" si="98"/>
        <v>55325</v>
      </c>
      <c r="B1170" s="2325">
        <v>55300</v>
      </c>
      <c r="C1170" s="2325">
        <v>55350</v>
      </c>
      <c r="D1170" s="2326">
        <f t="shared" si="94"/>
        <v>7920</v>
      </c>
      <c r="E1170" s="2326">
        <f t="shared" si="95"/>
        <v>6241</v>
      </c>
      <c r="F1170" s="2326">
        <f t="shared" si="96"/>
        <v>7920</v>
      </c>
      <c r="G1170" s="2326">
        <f t="shared" si="97"/>
        <v>6468</v>
      </c>
    </row>
    <row r="1171" spans="1:7" ht="15.75">
      <c r="A1171" s="2486">
        <f t="shared" si="98"/>
        <v>55375</v>
      </c>
      <c r="B1171" s="2325">
        <v>55350</v>
      </c>
      <c r="C1171" s="2325">
        <v>55400</v>
      </c>
      <c r="D1171" s="2326">
        <f t="shared" si="94"/>
        <v>7931</v>
      </c>
      <c r="E1171" s="2326">
        <f t="shared" si="95"/>
        <v>6247</v>
      </c>
      <c r="F1171" s="2326">
        <f t="shared" si="96"/>
        <v>7931</v>
      </c>
      <c r="G1171" s="2326">
        <f t="shared" si="97"/>
        <v>6479</v>
      </c>
    </row>
    <row r="1172" spans="1:7" ht="15.75">
      <c r="A1172" s="2486">
        <f t="shared" si="98"/>
        <v>55425</v>
      </c>
      <c r="B1172" s="2325">
        <v>55400</v>
      </c>
      <c r="C1172" s="2325">
        <v>55450</v>
      </c>
      <c r="D1172" s="2326">
        <f t="shared" si="94"/>
        <v>7942</v>
      </c>
      <c r="E1172" s="2326">
        <f t="shared" si="95"/>
        <v>6253</v>
      </c>
      <c r="F1172" s="2326">
        <f t="shared" si="96"/>
        <v>7942</v>
      </c>
      <c r="G1172" s="2326">
        <f t="shared" si="97"/>
        <v>6490</v>
      </c>
    </row>
    <row r="1173" spans="1:7" ht="15.75">
      <c r="A1173" s="2486">
        <f t="shared" si="98"/>
        <v>55475</v>
      </c>
      <c r="B1173" s="2325">
        <v>55450</v>
      </c>
      <c r="C1173" s="2325">
        <v>55500</v>
      </c>
      <c r="D1173" s="2326">
        <f t="shared" si="94"/>
        <v>7953</v>
      </c>
      <c r="E1173" s="2326">
        <f t="shared" si="95"/>
        <v>6259</v>
      </c>
      <c r="F1173" s="2326">
        <f t="shared" si="96"/>
        <v>7953</v>
      </c>
      <c r="G1173" s="2326">
        <f t="shared" si="97"/>
        <v>6501</v>
      </c>
    </row>
    <row r="1174" spans="1:7" ht="15.75">
      <c r="A1174" s="2486">
        <f t="shared" si="98"/>
        <v>55525</v>
      </c>
      <c r="B1174" s="2325">
        <v>55500</v>
      </c>
      <c r="C1174" s="2325">
        <v>55550</v>
      </c>
      <c r="D1174" s="2326">
        <f t="shared" si="94"/>
        <v>7964</v>
      </c>
      <c r="E1174" s="2326">
        <f t="shared" si="95"/>
        <v>6265</v>
      </c>
      <c r="F1174" s="2326">
        <f t="shared" si="96"/>
        <v>7964</v>
      </c>
      <c r="G1174" s="2326">
        <f t="shared" si="97"/>
        <v>6512</v>
      </c>
    </row>
    <row r="1175" spans="1:7" ht="15.75">
      <c r="A1175" s="2486">
        <f t="shared" si="98"/>
        <v>55575</v>
      </c>
      <c r="B1175" s="2325">
        <v>55550</v>
      </c>
      <c r="C1175" s="2325">
        <v>55600</v>
      </c>
      <c r="D1175" s="2326">
        <f t="shared" si="94"/>
        <v>7975</v>
      </c>
      <c r="E1175" s="2326">
        <f t="shared" si="95"/>
        <v>6271</v>
      </c>
      <c r="F1175" s="2326">
        <f t="shared" si="96"/>
        <v>7975</v>
      </c>
      <c r="G1175" s="2326">
        <f t="shared" si="97"/>
        <v>6523</v>
      </c>
    </row>
    <row r="1176" spans="1:7" ht="15.75">
      <c r="A1176" s="2486">
        <f t="shared" si="98"/>
        <v>55625</v>
      </c>
      <c r="B1176" s="2325">
        <v>55600</v>
      </c>
      <c r="C1176" s="2325">
        <v>55650</v>
      </c>
      <c r="D1176" s="2326">
        <f t="shared" si="94"/>
        <v>7986</v>
      </c>
      <c r="E1176" s="2326">
        <f t="shared" si="95"/>
        <v>6277</v>
      </c>
      <c r="F1176" s="2326">
        <f t="shared" si="96"/>
        <v>7986</v>
      </c>
      <c r="G1176" s="2326">
        <f t="shared" si="97"/>
        <v>6534</v>
      </c>
    </row>
    <row r="1177" spans="1:7" ht="15.75">
      <c r="A1177" s="2486">
        <f t="shared" si="98"/>
        <v>55675</v>
      </c>
      <c r="B1177" s="2325">
        <v>55650</v>
      </c>
      <c r="C1177" s="2325">
        <v>55700</v>
      </c>
      <c r="D1177" s="2326">
        <f t="shared" si="94"/>
        <v>7997</v>
      </c>
      <c r="E1177" s="2326">
        <f t="shared" si="95"/>
        <v>6283</v>
      </c>
      <c r="F1177" s="2326">
        <f t="shared" si="96"/>
        <v>7997</v>
      </c>
      <c r="G1177" s="2326">
        <f t="shared" si="97"/>
        <v>6545</v>
      </c>
    </row>
    <row r="1178" spans="1:7" ht="15.75">
      <c r="A1178" s="2486">
        <f t="shared" si="98"/>
        <v>55725</v>
      </c>
      <c r="B1178" s="2325">
        <v>55700</v>
      </c>
      <c r="C1178" s="2325">
        <v>55750</v>
      </c>
      <c r="D1178" s="2326">
        <f t="shared" si="94"/>
        <v>8008</v>
      </c>
      <c r="E1178" s="2326">
        <f t="shared" si="95"/>
        <v>6289</v>
      </c>
      <c r="F1178" s="2326">
        <f t="shared" si="96"/>
        <v>8008</v>
      </c>
      <c r="G1178" s="2326">
        <f t="shared" si="97"/>
        <v>6556</v>
      </c>
    </row>
    <row r="1179" spans="1:7" ht="15.75">
      <c r="A1179" s="2486">
        <f t="shared" si="98"/>
        <v>55775</v>
      </c>
      <c r="B1179" s="2325">
        <v>55750</v>
      </c>
      <c r="C1179" s="2325">
        <v>55800</v>
      </c>
      <c r="D1179" s="2326">
        <f t="shared" si="94"/>
        <v>8019</v>
      </c>
      <c r="E1179" s="2326">
        <f t="shared" si="95"/>
        <v>6295</v>
      </c>
      <c r="F1179" s="2326">
        <f t="shared" si="96"/>
        <v>8019</v>
      </c>
      <c r="G1179" s="2326">
        <f t="shared" si="97"/>
        <v>6567</v>
      </c>
    </row>
    <row r="1180" spans="1:7" ht="15.75">
      <c r="A1180" s="2486">
        <f t="shared" si="98"/>
        <v>55825</v>
      </c>
      <c r="B1180" s="2325">
        <v>55800</v>
      </c>
      <c r="C1180" s="2325">
        <v>55850</v>
      </c>
      <c r="D1180" s="2326">
        <f t="shared" si="94"/>
        <v>8030</v>
      </c>
      <c r="E1180" s="2326">
        <f t="shared" si="95"/>
        <v>6301</v>
      </c>
      <c r="F1180" s="2326">
        <f t="shared" si="96"/>
        <v>8030</v>
      </c>
      <c r="G1180" s="2326">
        <f t="shared" si="97"/>
        <v>6578</v>
      </c>
    </row>
    <row r="1181" spans="1:7" ht="15.75">
      <c r="A1181" s="2486">
        <f t="shared" si="98"/>
        <v>55875</v>
      </c>
      <c r="B1181" s="2325">
        <v>55850</v>
      </c>
      <c r="C1181" s="2325">
        <v>55900</v>
      </c>
      <c r="D1181" s="2326">
        <f t="shared" si="94"/>
        <v>8041</v>
      </c>
      <c r="E1181" s="2326">
        <f t="shared" si="95"/>
        <v>6307</v>
      </c>
      <c r="F1181" s="2326">
        <f t="shared" si="96"/>
        <v>8041</v>
      </c>
      <c r="G1181" s="2326">
        <f t="shared" si="97"/>
        <v>6589</v>
      </c>
    </row>
    <row r="1182" spans="1:7" ht="15.75">
      <c r="A1182" s="2486">
        <f t="shared" si="98"/>
        <v>55925</v>
      </c>
      <c r="B1182" s="2325">
        <v>55900</v>
      </c>
      <c r="C1182" s="2325">
        <v>55950</v>
      </c>
      <c r="D1182" s="2326">
        <f t="shared" si="94"/>
        <v>8052</v>
      </c>
      <c r="E1182" s="2326">
        <f t="shared" si="95"/>
        <v>6313</v>
      </c>
      <c r="F1182" s="2326">
        <f t="shared" si="96"/>
        <v>8052</v>
      </c>
      <c r="G1182" s="2326">
        <f t="shared" si="97"/>
        <v>6600</v>
      </c>
    </row>
    <row r="1183" spans="1:7" ht="15.75">
      <c r="A1183" s="2486">
        <f t="shared" si="98"/>
        <v>55975</v>
      </c>
      <c r="B1183" s="2325">
        <v>55950</v>
      </c>
      <c r="C1183" s="2325">
        <v>56000</v>
      </c>
      <c r="D1183" s="2326">
        <f t="shared" si="94"/>
        <v>8063</v>
      </c>
      <c r="E1183" s="2326">
        <f t="shared" si="95"/>
        <v>6319</v>
      </c>
      <c r="F1183" s="2326">
        <f t="shared" si="96"/>
        <v>8063</v>
      </c>
      <c r="G1183" s="2326">
        <f t="shared" si="97"/>
        <v>6611</v>
      </c>
    </row>
    <row r="1184" spans="1:7" ht="15.75">
      <c r="A1184" s="2486">
        <f t="shared" si="98"/>
        <v>56025</v>
      </c>
      <c r="B1184" s="2325">
        <v>56000</v>
      </c>
      <c r="C1184" s="2325">
        <v>56050</v>
      </c>
      <c r="D1184" s="2326">
        <f t="shared" si="94"/>
        <v>8074</v>
      </c>
      <c r="E1184" s="2326">
        <f t="shared" si="95"/>
        <v>6325</v>
      </c>
      <c r="F1184" s="2326">
        <f t="shared" si="96"/>
        <v>8074</v>
      </c>
      <c r="G1184" s="2326">
        <f t="shared" si="97"/>
        <v>6622</v>
      </c>
    </row>
    <row r="1185" spans="1:7" ht="15.75">
      <c r="A1185" s="2486">
        <f t="shared" si="98"/>
        <v>56075</v>
      </c>
      <c r="B1185" s="2325">
        <v>56050</v>
      </c>
      <c r="C1185" s="2325">
        <v>56100</v>
      </c>
      <c r="D1185" s="2326">
        <f t="shared" si="94"/>
        <v>8085</v>
      </c>
      <c r="E1185" s="2326">
        <f t="shared" si="95"/>
        <v>6331</v>
      </c>
      <c r="F1185" s="2326">
        <f t="shared" si="96"/>
        <v>8085</v>
      </c>
      <c r="G1185" s="2326">
        <f t="shared" si="97"/>
        <v>6633</v>
      </c>
    </row>
    <row r="1186" spans="1:7" ht="15.75">
      <c r="A1186" s="2486">
        <f t="shared" si="98"/>
        <v>56125</v>
      </c>
      <c r="B1186" s="2325">
        <v>56100</v>
      </c>
      <c r="C1186" s="2325">
        <v>56150</v>
      </c>
      <c r="D1186" s="2326">
        <f t="shared" si="94"/>
        <v>8096</v>
      </c>
      <c r="E1186" s="2326">
        <f t="shared" si="95"/>
        <v>6337</v>
      </c>
      <c r="F1186" s="2326">
        <f t="shared" si="96"/>
        <v>8096</v>
      </c>
      <c r="G1186" s="2326">
        <f t="shared" si="97"/>
        <v>6644</v>
      </c>
    </row>
    <row r="1187" spans="1:7" ht="15.75">
      <c r="A1187" s="2486">
        <f t="shared" si="98"/>
        <v>56175</v>
      </c>
      <c r="B1187" s="2325">
        <v>56150</v>
      </c>
      <c r="C1187" s="2325">
        <v>56200</v>
      </c>
      <c r="D1187" s="2326">
        <f t="shared" si="94"/>
        <v>8107</v>
      </c>
      <c r="E1187" s="2326">
        <f t="shared" si="95"/>
        <v>6343</v>
      </c>
      <c r="F1187" s="2326">
        <f t="shared" si="96"/>
        <v>8107</v>
      </c>
      <c r="G1187" s="2326">
        <f t="shared" si="97"/>
        <v>6655</v>
      </c>
    </row>
    <row r="1188" spans="1:7" ht="15.75">
      <c r="A1188" s="2486">
        <f t="shared" si="98"/>
        <v>56225</v>
      </c>
      <c r="B1188" s="2325">
        <v>56200</v>
      </c>
      <c r="C1188" s="2325">
        <v>56250</v>
      </c>
      <c r="D1188" s="2326">
        <f t="shared" si="94"/>
        <v>8118</v>
      </c>
      <c r="E1188" s="2326">
        <f t="shared" si="95"/>
        <v>6349</v>
      </c>
      <c r="F1188" s="2326">
        <f t="shared" si="96"/>
        <v>8118</v>
      </c>
      <c r="G1188" s="2326">
        <f t="shared" si="97"/>
        <v>6666</v>
      </c>
    </row>
    <row r="1189" spans="1:7" ht="15.75">
      <c r="A1189" s="2486">
        <f t="shared" si="98"/>
        <v>56275</v>
      </c>
      <c r="B1189" s="2325">
        <v>56250</v>
      </c>
      <c r="C1189" s="2325">
        <v>56300</v>
      </c>
      <c r="D1189" s="2326">
        <f t="shared" si="94"/>
        <v>8129</v>
      </c>
      <c r="E1189" s="2326">
        <f t="shared" si="95"/>
        <v>6355</v>
      </c>
      <c r="F1189" s="2326">
        <f t="shared" si="96"/>
        <v>8129</v>
      </c>
      <c r="G1189" s="2326">
        <f t="shared" si="97"/>
        <v>6677</v>
      </c>
    </row>
    <row r="1190" spans="1:7" ht="15.75">
      <c r="A1190" s="2486">
        <f t="shared" si="98"/>
        <v>56325</v>
      </c>
      <c r="B1190" s="2325">
        <v>56300</v>
      </c>
      <c r="C1190" s="2325">
        <v>56350</v>
      </c>
      <c r="D1190" s="2326">
        <f t="shared" si="94"/>
        <v>8140</v>
      </c>
      <c r="E1190" s="2326">
        <f t="shared" si="95"/>
        <v>6361</v>
      </c>
      <c r="F1190" s="2326">
        <f t="shared" si="96"/>
        <v>8140</v>
      </c>
      <c r="G1190" s="2326">
        <f t="shared" si="97"/>
        <v>6688</v>
      </c>
    </row>
    <row r="1191" spans="1:7" ht="15.75">
      <c r="A1191" s="2486">
        <f t="shared" si="98"/>
        <v>56375</v>
      </c>
      <c r="B1191" s="2325">
        <v>56350</v>
      </c>
      <c r="C1191" s="2325">
        <v>56400</v>
      </c>
      <c r="D1191" s="2326">
        <f t="shared" si="94"/>
        <v>8151</v>
      </c>
      <c r="E1191" s="2326">
        <f t="shared" si="95"/>
        <v>6367</v>
      </c>
      <c r="F1191" s="2326">
        <f t="shared" si="96"/>
        <v>8151</v>
      </c>
      <c r="G1191" s="2326">
        <f t="shared" si="97"/>
        <v>6699</v>
      </c>
    </row>
    <row r="1192" spans="1:7" ht="15.75">
      <c r="A1192" s="2486">
        <f t="shared" si="98"/>
        <v>56425</v>
      </c>
      <c r="B1192" s="2325">
        <v>56400</v>
      </c>
      <c r="C1192" s="2325">
        <v>56450</v>
      </c>
      <c r="D1192" s="2326">
        <f t="shared" si="94"/>
        <v>8162</v>
      </c>
      <c r="E1192" s="2326">
        <f t="shared" si="95"/>
        <v>6373</v>
      </c>
      <c r="F1192" s="2326">
        <f t="shared" si="96"/>
        <v>8162</v>
      </c>
      <c r="G1192" s="2326">
        <f t="shared" si="97"/>
        <v>6710</v>
      </c>
    </row>
    <row r="1193" spans="1:7" ht="15.75">
      <c r="A1193" s="2486">
        <f t="shared" si="98"/>
        <v>56475</v>
      </c>
      <c r="B1193" s="2325">
        <v>56450</v>
      </c>
      <c r="C1193" s="2325">
        <v>56500</v>
      </c>
      <c r="D1193" s="2326">
        <f t="shared" si="94"/>
        <v>8173</v>
      </c>
      <c r="E1193" s="2326">
        <f t="shared" si="95"/>
        <v>6379</v>
      </c>
      <c r="F1193" s="2326">
        <f t="shared" si="96"/>
        <v>8173</v>
      </c>
      <c r="G1193" s="2326">
        <f t="shared" si="97"/>
        <v>6721</v>
      </c>
    </row>
    <row r="1194" spans="1:7" ht="15.75">
      <c r="A1194" s="2486">
        <f t="shared" si="98"/>
        <v>56525</v>
      </c>
      <c r="B1194" s="2325">
        <v>56500</v>
      </c>
      <c r="C1194" s="2325">
        <v>56550</v>
      </c>
      <c r="D1194" s="2326">
        <f t="shared" si="94"/>
        <v>8184</v>
      </c>
      <c r="E1194" s="2326">
        <f t="shared" si="95"/>
        <v>6385</v>
      </c>
      <c r="F1194" s="2326">
        <f t="shared" si="96"/>
        <v>8184</v>
      </c>
      <c r="G1194" s="2326">
        <f t="shared" si="97"/>
        <v>6732</v>
      </c>
    </row>
    <row r="1195" spans="1:7" ht="15.75">
      <c r="A1195" s="2486">
        <f t="shared" si="98"/>
        <v>56575</v>
      </c>
      <c r="B1195" s="2325">
        <v>56550</v>
      </c>
      <c r="C1195" s="2325">
        <v>56600</v>
      </c>
      <c r="D1195" s="2326">
        <f t="shared" si="94"/>
        <v>8195</v>
      </c>
      <c r="E1195" s="2326">
        <f t="shared" si="95"/>
        <v>6391</v>
      </c>
      <c r="F1195" s="2326">
        <f t="shared" si="96"/>
        <v>8195</v>
      </c>
      <c r="G1195" s="2326">
        <f t="shared" si="97"/>
        <v>6743</v>
      </c>
    </row>
    <row r="1196" spans="1:7" ht="15.75">
      <c r="A1196" s="2486">
        <f t="shared" si="98"/>
        <v>56625</v>
      </c>
      <c r="B1196" s="2325">
        <v>56600</v>
      </c>
      <c r="C1196" s="2325">
        <v>56650</v>
      </c>
      <c r="D1196" s="2326">
        <f t="shared" si="94"/>
        <v>8206</v>
      </c>
      <c r="E1196" s="2326">
        <f t="shared" si="95"/>
        <v>6397</v>
      </c>
      <c r="F1196" s="2326">
        <f t="shared" si="96"/>
        <v>8206</v>
      </c>
      <c r="G1196" s="2326">
        <f t="shared" si="97"/>
        <v>6754</v>
      </c>
    </row>
    <row r="1197" spans="1:7" ht="15.75">
      <c r="A1197" s="2486">
        <f t="shared" si="98"/>
        <v>56675</v>
      </c>
      <c r="B1197" s="2325">
        <v>56650</v>
      </c>
      <c r="C1197" s="2325">
        <v>56700</v>
      </c>
      <c r="D1197" s="2326">
        <f t="shared" si="94"/>
        <v>8217</v>
      </c>
      <c r="E1197" s="2326">
        <f t="shared" si="95"/>
        <v>6403</v>
      </c>
      <c r="F1197" s="2326">
        <f t="shared" si="96"/>
        <v>8217</v>
      </c>
      <c r="G1197" s="2326">
        <f t="shared" si="97"/>
        <v>6765</v>
      </c>
    </row>
    <row r="1198" spans="1:7" ht="15.75">
      <c r="A1198" s="2486">
        <f t="shared" si="98"/>
        <v>56725</v>
      </c>
      <c r="B1198" s="2325">
        <v>56700</v>
      </c>
      <c r="C1198" s="2325">
        <v>56750</v>
      </c>
      <c r="D1198" s="2326">
        <f t="shared" si="94"/>
        <v>8228</v>
      </c>
      <c r="E1198" s="2326">
        <f t="shared" si="95"/>
        <v>6409</v>
      </c>
      <c r="F1198" s="2326">
        <f t="shared" si="96"/>
        <v>8228</v>
      </c>
      <c r="G1198" s="2326">
        <f t="shared" si="97"/>
        <v>6776</v>
      </c>
    </row>
    <row r="1199" spans="1:7" ht="15.75">
      <c r="A1199" s="2486">
        <f t="shared" si="98"/>
        <v>56775</v>
      </c>
      <c r="B1199" s="2325">
        <v>56750</v>
      </c>
      <c r="C1199" s="2325">
        <v>56800</v>
      </c>
      <c r="D1199" s="2326">
        <f t="shared" si="94"/>
        <v>8239</v>
      </c>
      <c r="E1199" s="2326">
        <f t="shared" si="95"/>
        <v>6415</v>
      </c>
      <c r="F1199" s="2326">
        <f t="shared" si="96"/>
        <v>8239</v>
      </c>
      <c r="G1199" s="2326">
        <f t="shared" si="97"/>
        <v>6787</v>
      </c>
    </row>
    <row r="1200" spans="1:7" ht="15.75">
      <c r="A1200" s="2486">
        <f t="shared" si="98"/>
        <v>56825</v>
      </c>
      <c r="B1200" s="2325">
        <v>56800</v>
      </c>
      <c r="C1200" s="2325">
        <v>56850</v>
      </c>
      <c r="D1200" s="2326">
        <f t="shared" si="94"/>
        <v>8250</v>
      </c>
      <c r="E1200" s="2326">
        <f t="shared" si="95"/>
        <v>6421</v>
      </c>
      <c r="F1200" s="2326">
        <f t="shared" si="96"/>
        <v>8250</v>
      </c>
      <c r="G1200" s="2326">
        <f t="shared" si="97"/>
        <v>6798</v>
      </c>
    </row>
    <row r="1201" spans="1:7" ht="15.75">
      <c r="A1201" s="2486">
        <f t="shared" si="98"/>
        <v>56875</v>
      </c>
      <c r="B1201" s="2325">
        <v>56850</v>
      </c>
      <c r="C1201" s="2325">
        <v>56900</v>
      </c>
      <c r="D1201" s="2326">
        <f t="shared" si="94"/>
        <v>8261</v>
      </c>
      <c r="E1201" s="2326">
        <f t="shared" si="95"/>
        <v>6427</v>
      </c>
      <c r="F1201" s="2326">
        <f t="shared" si="96"/>
        <v>8261</v>
      </c>
      <c r="G1201" s="2326">
        <f t="shared" si="97"/>
        <v>6809</v>
      </c>
    </row>
    <row r="1202" spans="1:7" ht="15.75">
      <c r="A1202" s="2486">
        <f t="shared" si="98"/>
        <v>56925</v>
      </c>
      <c r="B1202" s="2325">
        <v>56900</v>
      </c>
      <c r="C1202" s="2325">
        <v>56950</v>
      </c>
      <c r="D1202" s="2326">
        <f t="shared" si="94"/>
        <v>8272</v>
      </c>
      <c r="E1202" s="2326">
        <f t="shared" si="95"/>
        <v>6433</v>
      </c>
      <c r="F1202" s="2326">
        <f t="shared" si="96"/>
        <v>8272</v>
      </c>
      <c r="G1202" s="2326">
        <f t="shared" si="97"/>
        <v>6820</v>
      </c>
    </row>
    <row r="1203" spans="1:7" ht="15.75">
      <c r="A1203" s="2486">
        <f t="shared" si="98"/>
        <v>56975</v>
      </c>
      <c r="B1203" s="2325">
        <v>56950</v>
      </c>
      <c r="C1203" s="2325">
        <v>57000</v>
      </c>
      <c r="D1203" s="2326">
        <f t="shared" si="94"/>
        <v>8283</v>
      </c>
      <c r="E1203" s="2326">
        <f t="shared" si="95"/>
        <v>6439</v>
      </c>
      <c r="F1203" s="2326">
        <f t="shared" si="96"/>
        <v>8283</v>
      </c>
      <c r="G1203" s="2326">
        <f t="shared" si="97"/>
        <v>6831</v>
      </c>
    </row>
    <row r="1204" spans="1:7" ht="15.75">
      <c r="A1204" s="2486">
        <f t="shared" si="98"/>
        <v>57025</v>
      </c>
      <c r="B1204" s="2325">
        <v>57000</v>
      </c>
      <c r="C1204" s="2325">
        <v>57050</v>
      </c>
      <c r="D1204" s="2326">
        <f t="shared" si="94"/>
        <v>8294</v>
      </c>
      <c r="E1204" s="2326">
        <f t="shared" si="95"/>
        <v>6445</v>
      </c>
      <c r="F1204" s="2326">
        <f t="shared" si="96"/>
        <v>8294</v>
      </c>
      <c r="G1204" s="2326">
        <f t="shared" si="97"/>
        <v>6842</v>
      </c>
    </row>
    <row r="1205" spans="1:7" ht="15.75">
      <c r="A1205" s="2486">
        <f t="shared" si="98"/>
        <v>57075</v>
      </c>
      <c r="B1205" s="2325">
        <v>57050</v>
      </c>
      <c r="C1205" s="2325">
        <v>57100</v>
      </c>
      <c r="D1205" s="2326">
        <f t="shared" si="94"/>
        <v>8305</v>
      </c>
      <c r="E1205" s="2326">
        <f t="shared" si="95"/>
        <v>6451</v>
      </c>
      <c r="F1205" s="2326">
        <f t="shared" si="96"/>
        <v>8305</v>
      </c>
      <c r="G1205" s="2326">
        <f t="shared" si="97"/>
        <v>6853</v>
      </c>
    </row>
    <row r="1206" spans="1:7" ht="15.75">
      <c r="A1206" s="2486">
        <f t="shared" si="98"/>
        <v>57125</v>
      </c>
      <c r="B1206" s="2325">
        <v>57100</v>
      </c>
      <c r="C1206" s="2325">
        <v>57150</v>
      </c>
      <c r="D1206" s="2326">
        <f t="shared" si="94"/>
        <v>8316</v>
      </c>
      <c r="E1206" s="2326">
        <f t="shared" si="95"/>
        <v>6457</v>
      </c>
      <c r="F1206" s="2326">
        <f t="shared" si="96"/>
        <v>8316</v>
      </c>
      <c r="G1206" s="2326">
        <f t="shared" si="97"/>
        <v>6864</v>
      </c>
    </row>
    <row r="1207" spans="1:7" ht="15.75">
      <c r="A1207" s="2486">
        <f t="shared" si="98"/>
        <v>57175</v>
      </c>
      <c r="B1207" s="2325">
        <v>57150</v>
      </c>
      <c r="C1207" s="2325">
        <v>57200</v>
      </c>
      <c r="D1207" s="2326">
        <f t="shared" si="94"/>
        <v>8327</v>
      </c>
      <c r="E1207" s="2326">
        <f t="shared" si="95"/>
        <v>6463</v>
      </c>
      <c r="F1207" s="2326">
        <f t="shared" si="96"/>
        <v>8327</v>
      </c>
      <c r="G1207" s="2326">
        <f t="shared" si="97"/>
        <v>6875</v>
      </c>
    </row>
    <row r="1208" spans="1:7" ht="15.75">
      <c r="A1208" s="2486">
        <f t="shared" si="98"/>
        <v>57225</v>
      </c>
      <c r="B1208" s="2325">
        <v>57200</v>
      </c>
      <c r="C1208" s="2325">
        <v>57250</v>
      </c>
      <c r="D1208" s="2326">
        <f t="shared" si="94"/>
        <v>8338</v>
      </c>
      <c r="E1208" s="2326">
        <f t="shared" si="95"/>
        <v>6469</v>
      </c>
      <c r="F1208" s="2326">
        <f t="shared" si="96"/>
        <v>8338</v>
      </c>
      <c r="G1208" s="2326">
        <f t="shared" si="97"/>
        <v>6886</v>
      </c>
    </row>
    <row r="1209" spans="1:7" ht="15.75">
      <c r="A1209" s="2486">
        <f t="shared" si="98"/>
        <v>57275</v>
      </c>
      <c r="B1209" s="2325">
        <v>57250</v>
      </c>
      <c r="C1209" s="2325">
        <v>57300</v>
      </c>
      <c r="D1209" s="2326">
        <f t="shared" si="94"/>
        <v>8349</v>
      </c>
      <c r="E1209" s="2326">
        <f t="shared" si="95"/>
        <v>6475</v>
      </c>
      <c r="F1209" s="2326">
        <f t="shared" si="96"/>
        <v>8349</v>
      </c>
      <c r="G1209" s="2326">
        <f t="shared" si="97"/>
        <v>6897</v>
      </c>
    </row>
    <row r="1210" spans="1:7" ht="15.75">
      <c r="A1210" s="2486">
        <f t="shared" si="98"/>
        <v>57325</v>
      </c>
      <c r="B1210" s="2325">
        <v>57300</v>
      </c>
      <c r="C1210" s="2325">
        <v>57350</v>
      </c>
      <c r="D1210" s="2326">
        <f t="shared" si="94"/>
        <v>8360</v>
      </c>
      <c r="E1210" s="2326">
        <f t="shared" si="95"/>
        <v>6481</v>
      </c>
      <c r="F1210" s="2326">
        <f t="shared" si="96"/>
        <v>8360</v>
      </c>
      <c r="G1210" s="2326">
        <f t="shared" si="97"/>
        <v>6908</v>
      </c>
    </row>
    <row r="1211" spans="1:7" ht="15.75">
      <c r="A1211" s="2486">
        <f t="shared" si="98"/>
        <v>57375</v>
      </c>
      <c r="B1211" s="2325">
        <v>57350</v>
      </c>
      <c r="C1211" s="2325">
        <v>57400</v>
      </c>
      <c r="D1211" s="2326">
        <f t="shared" si="94"/>
        <v>8371</v>
      </c>
      <c r="E1211" s="2326">
        <f t="shared" si="95"/>
        <v>6487</v>
      </c>
      <c r="F1211" s="2326">
        <f t="shared" si="96"/>
        <v>8371</v>
      </c>
      <c r="G1211" s="2326">
        <f t="shared" si="97"/>
        <v>6919</v>
      </c>
    </row>
    <row r="1212" spans="1:7" ht="15.75">
      <c r="A1212" s="2486">
        <f t="shared" si="98"/>
        <v>57425</v>
      </c>
      <c r="B1212" s="2325">
        <v>57400</v>
      </c>
      <c r="C1212" s="2325">
        <v>57450</v>
      </c>
      <c r="D1212" s="2326">
        <f t="shared" si="94"/>
        <v>8382</v>
      </c>
      <c r="E1212" s="2326">
        <f t="shared" si="95"/>
        <v>6493</v>
      </c>
      <c r="F1212" s="2326">
        <f t="shared" si="96"/>
        <v>8382</v>
      </c>
      <c r="G1212" s="2326">
        <f t="shared" si="97"/>
        <v>6930</v>
      </c>
    </row>
    <row r="1213" spans="1:7" ht="15.75">
      <c r="A1213" s="2486">
        <f t="shared" si="98"/>
        <v>57475</v>
      </c>
      <c r="B1213" s="2325">
        <v>57450</v>
      </c>
      <c r="C1213" s="2325">
        <v>57500</v>
      </c>
      <c r="D1213" s="2326">
        <f t="shared" si="94"/>
        <v>8393</v>
      </c>
      <c r="E1213" s="2326">
        <f t="shared" si="95"/>
        <v>6499</v>
      </c>
      <c r="F1213" s="2326">
        <f t="shared" si="96"/>
        <v>8393</v>
      </c>
      <c r="G1213" s="2326">
        <f t="shared" si="97"/>
        <v>6941</v>
      </c>
    </row>
    <row r="1214" spans="1:7" ht="15.75">
      <c r="A1214" s="2486">
        <f t="shared" si="98"/>
        <v>57525</v>
      </c>
      <c r="B1214" s="2325">
        <v>57500</v>
      </c>
      <c r="C1214" s="2325">
        <v>57550</v>
      </c>
      <c r="D1214" s="2326">
        <f t="shared" si="94"/>
        <v>8404</v>
      </c>
      <c r="E1214" s="2326">
        <f t="shared" si="95"/>
        <v>6505</v>
      </c>
      <c r="F1214" s="2326">
        <f t="shared" si="96"/>
        <v>8404</v>
      </c>
      <c r="G1214" s="2326">
        <f t="shared" si="97"/>
        <v>6952</v>
      </c>
    </row>
    <row r="1215" spans="1:7" ht="15.75">
      <c r="A1215" s="2486">
        <f t="shared" si="98"/>
        <v>57575</v>
      </c>
      <c r="B1215" s="2325">
        <v>57550</v>
      </c>
      <c r="C1215" s="2325">
        <v>57600</v>
      </c>
      <c r="D1215" s="2326">
        <f t="shared" si="94"/>
        <v>8415</v>
      </c>
      <c r="E1215" s="2326">
        <f t="shared" si="95"/>
        <v>6511</v>
      </c>
      <c r="F1215" s="2326">
        <f t="shared" si="96"/>
        <v>8415</v>
      </c>
      <c r="G1215" s="2326">
        <f t="shared" si="97"/>
        <v>6963</v>
      </c>
    </row>
    <row r="1216" spans="1:7" ht="15.75">
      <c r="A1216" s="2486">
        <f t="shared" si="98"/>
        <v>57625</v>
      </c>
      <c r="B1216" s="2325">
        <v>57600</v>
      </c>
      <c r="C1216" s="2325">
        <v>57650</v>
      </c>
      <c r="D1216" s="2326">
        <f t="shared" si="94"/>
        <v>8426</v>
      </c>
      <c r="E1216" s="2326">
        <f t="shared" si="95"/>
        <v>6517</v>
      </c>
      <c r="F1216" s="2326">
        <f t="shared" si="96"/>
        <v>8426</v>
      </c>
      <c r="G1216" s="2326">
        <f t="shared" si="97"/>
        <v>6974</v>
      </c>
    </row>
    <row r="1217" spans="1:7" ht="15.75">
      <c r="A1217" s="2486">
        <f t="shared" si="98"/>
        <v>57675</v>
      </c>
      <c r="B1217" s="2325">
        <v>57650</v>
      </c>
      <c r="C1217" s="2325">
        <v>57700</v>
      </c>
      <c r="D1217" s="2326">
        <f t="shared" si="94"/>
        <v>8437</v>
      </c>
      <c r="E1217" s="2326">
        <f t="shared" si="95"/>
        <v>6523</v>
      </c>
      <c r="F1217" s="2326">
        <f t="shared" si="96"/>
        <v>8437</v>
      </c>
      <c r="G1217" s="2326">
        <f t="shared" si="97"/>
        <v>6985</v>
      </c>
    </row>
    <row r="1218" spans="1:7" ht="15.75">
      <c r="A1218" s="2486">
        <f t="shared" si="98"/>
        <v>57725</v>
      </c>
      <c r="B1218" s="2325">
        <v>57700</v>
      </c>
      <c r="C1218" s="2325">
        <v>57750</v>
      </c>
      <c r="D1218" s="2326">
        <f t="shared" ref="D1218:D1281" si="99">IF($A1218&gt;BOTT_A4,ROUND(BASE_A4+RATE_A4*($A1218-BOTT_A4),0),IF($A1218&gt;BOTT_A3,ROUND(BASE_A3+RATE_A3*($A1218-BOTT_A3),0),IF($A1218&gt;BOTT_A2,ROUND(BASE_A2+RATE_A2*($A1218-BOTT_A2),0),ROUND(RATE_A1*$A1218,0))))</f>
        <v>8448</v>
      </c>
      <c r="E1218" s="2326">
        <f t="shared" ref="E1218:E1281" si="100">IF($A1218&gt;BOTT_B4,ROUND(BASE_B4+RATE_B4*($A1218-BOTT_B4),0),IF($A1218&gt;BOTT_B3,ROUND(BASE_B3+RATE_B3*($A1218-BOTT_B3),0),IF($A1218&gt;BOTT_B2,ROUND(BASE_B2+RATE_B2*($A1218-BOTT_B2),0),ROUND(RATE_B1*$A1218,0))))</f>
        <v>6529</v>
      </c>
      <c r="F1218" s="2326">
        <f t="shared" ref="F1218:F1281" si="101">IF($A1218&gt;BOTT_C4,ROUND(BASE_C4+RATE_C4*($A1218-BOTT_C4),0),IF($A1218&gt;BOTT_C3,ROUND(BASE_C3+RATE_C3*($A1218-BOTT_C3),0),IF($A1218&gt;BOTT_C2,ROUND(BASE_C2+RATE_C2*($A1218-BOTT_C2),0),ROUND(RATE_C1*$A1218,0))))</f>
        <v>8448</v>
      </c>
      <c r="G1218" s="2326">
        <f t="shared" ref="G1218:G1281" si="102">IF($A1218&gt;BOTT_D4,ROUND(BASE_D4+RATE_D4*($A1218-BOTT_D4),0),IF($A1218&gt;BOTT_D3,ROUND(BASE_D3+RATE_D3*($A1218-BOTT_D3),0),IF($A1218&gt;BOTT_D2,ROUND(BASE_D2+RATE_D2*($A1218-BOTT_D2),0),ROUND(RATE_D1*$A1218,0))))</f>
        <v>6996</v>
      </c>
    </row>
    <row r="1219" spans="1:7" ht="15.75">
      <c r="A1219" s="2486">
        <f t="shared" ref="A1219:A1282" si="103">AVERAGE(B1219,C1219)</f>
        <v>57775</v>
      </c>
      <c r="B1219" s="2325">
        <v>57750</v>
      </c>
      <c r="C1219" s="2325">
        <v>57800</v>
      </c>
      <c r="D1219" s="2326">
        <f t="shared" si="99"/>
        <v>8459</v>
      </c>
      <c r="E1219" s="2326">
        <f t="shared" si="100"/>
        <v>6535</v>
      </c>
      <c r="F1219" s="2326">
        <f t="shared" si="101"/>
        <v>8459</v>
      </c>
      <c r="G1219" s="2326">
        <f t="shared" si="102"/>
        <v>7007</v>
      </c>
    </row>
    <row r="1220" spans="1:7" ht="15.75">
      <c r="A1220" s="2486">
        <f t="shared" si="103"/>
        <v>57825</v>
      </c>
      <c r="B1220" s="2325">
        <v>57800</v>
      </c>
      <c r="C1220" s="2325">
        <v>57850</v>
      </c>
      <c r="D1220" s="2326">
        <f t="shared" si="99"/>
        <v>8470</v>
      </c>
      <c r="E1220" s="2326">
        <f t="shared" si="100"/>
        <v>6541</v>
      </c>
      <c r="F1220" s="2326">
        <f t="shared" si="101"/>
        <v>8470</v>
      </c>
      <c r="G1220" s="2326">
        <f t="shared" si="102"/>
        <v>7018</v>
      </c>
    </row>
    <row r="1221" spans="1:7" ht="15.75">
      <c r="A1221" s="2486">
        <f t="shared" si="103"/>
        <v>57875</v>
      </c>
      <c r="B1221" s="2325">
        <v>57850</v>
      </c>
      <c r="C1221" s="2325">
        <v>57900</v>
      </c>
      <c r="D1221" s="2326">
        <f t="shared" si="99"/>
        <v>8481</v>
      </c>
      <c r="E1221" s="2326">
        <f t="shared" si="100"/>
        <v>6547</v>
      </c>
      <c r="F1221" s="2326">
        <f t="shared" si="101"/>
        <v>8481</v>
      </c>
      <c r="G1221" s="2326">
        <f t="shared" si="102"/>
        <v>7029</v>
      </c>
    </row>
    <row r="1222" spans="1:7" ht="15.75">
      <c r="A1222" s="2486">
        <f t="shared" si="103"/>
        <v>57925</v>
      </c>
      <c r="B1222" s="2325">
        <v>57900</v>
      </c>
      <c r="C1222" s="2325">
        <v>57950</v>
      </c>
      <c r="D1222" s="2326">
        <f t="shared" si="99"/>
        <v>8492</v>
      </c>
      <c r="E1222" s="2326">
        <f t="shared" si="100"/>
        <v>6553</v>
      </c>
      <c r="F1222" s="2326">
        <f t="shared" si="101"/>
        <v>8492</v>
      </c>
      <c r="G1222" s="2326">
        <f t="shared" si="102"/>
        <v>7040</v>
      </c>
    </row>
    <row r="1223" spans="1:7" ht="15.75">
      <c r="A1223" s="2486">
        <f t="shared" si="103"/>
        <v>57975</v>
      </c>
      <c r="B1223" s="2325">
        <v>57950</v>
      </c>
      <c r="C1223" s="2325">
        <v>58000</v>
      </c>
      <c r="D1223" s="2326">
        <f t="shared" si="99"/>
        <v>8503</v>
      </c>
      <c r="E1223" s="2326">
        <f t="shared" si="100"/>
        <v>6559</v>
      </c>
      <c r="F1223" s="2326">
        <f t="shared" si="101"/>
        <v>8503</v>
      </c>
      <c r="G1223" s="2326">
        <f t="shared" si="102"/>
        <v>7051</v>
      </c>
    </row>
    <row r="1224" spans="1:7" ht="15.75">
      <c r="A1224" s="2486">
        <f t="shared" si="103"/>
        <v>58025</v>
      </c>
      <c r="B1224" s="2325">
        <v>58000</v>
      </c>
      <c r="C1224" s="2325">
        <v>58050</v>
      </c>
      <c r="D1224" s="2326">
        <f t="shared" si="99"/>
        <v>8514</v>
      </c>
      <c r="E1224" s="2326">
        <f t="shared" si="100"/>
        <v>6565</v>
      </c>
      <c r="F1224" s="2326">
        <f t="shared" si="101"/>
        <v>8514</v>
      </c>
      <c r="G1224" s="2326">
        <f t="shared" si="102"/>
        <v>7062</v>
      </c>
    </row>
    <row r="1225" spans="1:7" ht="15.75">
      <c r="A1225" s="2486">
        <f t="shared" si="103"/>
        <v>58075</v>
      </c>
      <c r="B1225" s="2325">
        <v>58050</v>
      </c>
      <c r="C1225" s="2325">
        <v>58100</v>
      </c>
      <c r="D1225" s="2326">
        <f t="shared" si="99"/>
        <v>8525</v>
      </c>
      <c r="E1225" s="2326">
        <f t="shared" si="100"/>
        <v>6571</v>
      </c>
      <c r="F1225" s="2326">
        <f t="shared" si="101"/>
        <v>8525</v>
      </c>
      <c r="G1225" s="2326">
        <f t="shared" si="102"/>
        <v>7073</v>
      </c>
    </row>
    <row r="1226" spans="1:7" ht="15.75">
      <c r="A1226" s="2486">
        <f t="shared" si="103"/>
        <v>58125</v>
      </c>
      <c r="B1226" s="2325">
        <v>58100</v>
      </c>
      <c r="C1226" s="2325">
        <v>58150</v>
      </c>
      <c r="D1226" s="2326">
        <f t="shared" si="99"/>
        <v>8536</v>
      </c>
      <c r="E1226" s="2326">
        <f t="shared" si="100"/>
        <v>6577</v>
      </c>
      <c r="F1226" s="2326">
        <f t="shared" si="101"/>
        <v>8536</v>
      </c>
      <c r="G1226" s="2326">
        <f t="shared" si="102"/>
        <v>7084</v>
      </c>
    </row>
    <row r="1227" spans="1:7" ht="15.75">
      <c r="A1227" s="2486">
        <f t="shared" si="103"/>
        <v>58175</v>
      </c>
      <c r="B1227" s="2325">
        <v>58150</v>
      </c>
      <c r="C1227" s="2325">
        <v>58200</v>
      </c>
      <c r="D1227" s="2326">
        <f t="shared" si="99"/>
        <v>8547</v>
      </c>
      <c r="E1227" s="2326">
        <f t="shared" si="100"/>
        <v>6583</v>
      </c>
      <c r="F1227" s="2326">
        <f t="shared" si="101"/>
        <v>8547</v>
      </c>
      <c r="G1227" s="2326">
        <f t="shared" si="102"/>
        <v>7095</v>
      </c>
    </row>
    <row r="1228" spans="1:7" ht="15.75">
      <c r="A1228" s="2486">
        <f t="shared" si="103"/>
        <v>58225</v>
      </c>
      <c r="B1228" s="2325">
        <v>58200</v>
      </c>
      <c r="C1228" s="2325">
        <v>58250</v>
      </c>
      <c r="D1228" s="2326">
        <f t="shared" si="99"/>
        <v>8558</v>
      </c>
      <c r="E1228" s="2326">
        <f t="shared" si="100"/>
        <v>6589</v>
      </c>
      <c r="F1228" s="2326">
        <f t="shared" si="101"/>
        <v>8558</v>
      </c>
      <c r="G1228" s="2326">
        <f t="shared" si="102"/>
        <v>7106</v>
      </c>
    </row>
    <row r="1229" spans="1:7" ht="15.75">
      <c r="A1229" s="2486">
        <f t="shared" si="103"/>
        <v>58275</v>
      </c>
      <c r="B1229" s="2325">
        <v>58250</v>
      </c>
      <c r="C1229" s="2325">
        <v>58300</v>
      </c>
      <c r="D1229" s="2326">
        <f t="shared" si="99"/>
        <v>8569</v>
      </c>
      <c r="E1229" s="2326">
        <f t="shared" si="100"/>
        <v>6595</v>
      </c>
      <c r="F1229" s="2326">
        <f t="shared" si="101"/>
        <v>8569</v>
      </c>
      <c r="G1229" s="2326">
        <f t="shared" si="102"/>
        <v>7117</v>
      </c>
    </row>
    <row r="1230" spans="1:7" ht="15.75">
      <c r="A1230" s="2486">
        <f t="shared" si="103"/>
        <v>58325</v>
      </c>
      <c r="B1230" s="2325">
        <v>58300</v>
      </c>
      <c r="C1230" s="2325">
        <v>58350</v>
      </c>
      <c r="D1230" s="2326">
        <f t="shared" si="99"/>
        <v>8580</v>
      </c>
      <c r="E1230" s="2326">
        <f t="shared" si="100"/>
        <v>6601</v>
      </c>
      <c r="F1230" s="2326">
        <f t="shared" si="101"/>
        <v>8580</v>
      </c>
      <c r="G1230" s="2326">
        <f t="shared" si="102"/>
        <v>7128</v>
      </c>
    </row>
    <row r="1231" spans="1:7" ht="15.75">
      <c r="A1231" s="2486">
        <f t="shared" si="103"/>
        <v>58375</v>
      </c>
      <c r="B1231" s="2325">
        <v>58350</v>
      </c>
      <c r="C1231" s="2325">
        <v>58400</v>
      </c>
      <c r="D1231" s="2326">
        <f t="shared" si="99"/>
        <v>8591</v>
      </c>
      <c r="E1231" s="2326">
        <f t="shared" si="100"/>
        <v>6607</v>
      </c>
      <c r="F1231" s="2326">
        <f t="shared" si="101"/>
        <v>8591</v>
      </c>
      <c r="G1231" s="2326">
        <f t="shared" si="102"/>
        <v>7139</v>
      </c>
    </row>
    <row r="1232" spans="1:7" ht="15.75">
      <c r="A1232" s="2486">
        <f t="shared" si="103"/>
        <v>58425</v>
      </c>
      <c r="B1232" s="2325">
        <v>58400</v>
      </c>
      <c r="C1232" s="2325">
        <v>58450</v>
      </c>
      <c r="D1232" s="2326">
        <f t="shared" si="99"/>
        <v>8602</v>
      </c>
      <c r="E1232" s="2326">
        <f t="shared" si="100"/>
        <v>6613</v>
      </c>
      <c r="F1232" s="2326">
        <f t="shared" si="101"/>
        <v>8602</v>
      </c>
      <c r="G1232" s="2326">
        <f t="shared" si="102"/>
        <v>7150</v>
      </c>
    </row>
    <row r="1233" spans="1:7" ht="15.75">
      <c r="A1233" s="2486">
        <f t="shared" si="103"/>
        <v>58475</v>
      </c>
      <c r="B1233" s="2325">
        <v>58450</v>
      </c>
      <c r="C1233" s="2325">
        <v>58500</v>
      </c>
      <c r="D1233" s="2326">
        <f t="shared" si="99"/>
        <v>8613</v>
      </c>
      <c r="E1233" s="2326">
        <f t="shared" si="100"/>
        <v>6619</v>
      </c>
      <c r="F1233" s="2326">
        <f t="shared" si="101"/>
        <v>8613</v>
      </c>
      <c r="G1233" s="2326">
        <f t="shared" si="102"/>
        <v>7161</v>
      </c>
    </row>
    <row r="1234" spans="1:7" ht="15.75">
      <c r="A1234" s="2486">
        <f t="shared" si="103"/>
        <v>58525</v>
      </c>
      <c r="B1234" s="2325">
        <v>58500</v>
      </c>
      <c r="C1234" s="2325">
        <v>58550</v>
      </c>
      <c r="D1234" s="2326">
        <f t="shared" si="99"/>
        <v>8624</v>
      </c>
      <c r="E1234" s="2326">
        <f t="shared" si="100"/>
        <v>6625</v>
      </c>
      <c r="F1234" s="2326">
        <f t="shared" si="101"/>
        <v>8624</v>
      </c>
      <c r="G1234" s="2326">
        <f t="shared" si="102"/>
        <v>7172</v>
      </c>
    </row>
    <row r="1235" spans="1:7" ht="15.75">
      <c r="A1235" s="2486">
        <f t="shared" si="103"/>
        <v>58575</v>
      </c>
      <c r="B1235" s="2325">
        <v>58550</v>
      </c>
      <c r="C1235" s="2325">
        <v>58600</v>
      </c>
      <c r="D1235" s="2326">
        <f t="shared" si="99"/>
        <v>8635</v>
      </c>
      <c r="E1235" s="2326">
        <f t="shared" si="100"/>
        <v>6631</v>
      </c>
      <c r="F1235" s="2326">
        <f t="shared" si="101"/>
        <v>8635</v>
      </c>
      <c r="G1235" s="2326">
        <f t="shared" si="102"/>
        <v>7183</v>
      </c>
    </row>
    <row r="1236" spans="1:7" ht="15.75">
      <c r="A1236" s="2486">
        <f t="shared" si="103"/>
        <v>58625</v>
      </c>
      <c r="B1236" s="2325">
        <v>58600</v>
      </c>
      <c r="C1236" s="2325">
        <v>58650</v>
      </c>
      <c r="D1236" s="2326">
        <f t="shared" si="99"/>
        <v>8646</v>
      </c>
      <c r="E1236" s="2326">
        <f t="shared" si="100"/>
        <v>6637</v>
      </c>
      <c r="F1236" s="2326">
        <f t="shared" si="101"/>
        <v>8646</v>
      </c>
      <c r="G1236" s="2326">
        <f t="shared" si="102"/>
        <v>7194</v>
      </c>
    </row>
    <row r="1237" spans="1:7" ht="15.75">
      <c r="A1237" s="2486">
        <f t="shared" si="103"/>
        <v>58675</v>
      </c>
      <c r="B1237" s="2325">
        <v>58650</v>
      </c>
      <c r="C1237" s="2325">
        <v>58700</v>
      </c>
      <c r="D1237" s="2326">
        <f t="shared" si="99"/>
        <v>8657</v>
      </c>
      <c r="E1237" s="2326">
        <f t="shared" si="100"/>
        <v>6643</v>
      </c>
      <c r="F1237" s="2326">
        <f t="shared" si="101"/>
        <v>8657</v>
      </c>
      <c r="G1237" s="2326">
        <f t="shared" si="102"/>
        <v>7205</v>
      </c>
    </row>
    <row r="1238" spans="1:7" ht="15.75">
      <c r="A1238" s="2486">
        <f t="shared" si="103"/>
        <v>58725</v>
      </c>
      <c r="B1238" s="2325">
        <v>58700</v>
      </c>
      <c r="C1238" s="2325">
        <v>58750</v>
      </c>
      <c r="D1238" s="2326">
        <f t="shared" si="99"/>
        <v>8668</v>
      </c>
      <c r="E1238" s="2326">
        <f t="shared" si="100"/>
        <v>6649</v>
      </c>
      <c r="F1238" s="2326">
        <f t="shared" si="101"/>
        <v>8668</v>
      </c>
      <c r="G1238" s="2326">
        <f t="shared" si="102"/>
        <v>7216</v>
      </c>
    </row>
    <row r="1239" spans="1:7" ht="15.75">
      <c r="A1239" s="2486">
        <f t="shared" si="103"/>
        <v>58775</v>
      </c>
      <c r="B1239" s="2325">
        <v>58750</v>
      </c>
      <c r="C1239" s="2325">
        <v>58800</v>
      </c>
      <c r="D1239" s="2326">
        <f t="shared" si="99"/>
        <v>8679</v>
      </c>
      <c r="E1239" s="2326">
        <f t="shared" si="100"/>
        <v>6655</v>
      </c>
      <c r="F1239" s="2326">
        <f t="shared" si="101"/>
        <v>8679</v>
      </c>
      <c r="G1239" s="2326">
        <f t="shared" si="102"/>
        <v>7227</v>
      </c>
    </row>
    <row r="1240" spans="1:7" ht="15.75">
      <c r="A1240" s="2486">
        <f t="shared" si="103"/>
        <v>58825</v>
      </c>
      <c r="B1240" s="2325">
        <v>58800</v>
      </c>
      <c r="C1240" s="2325">
        <v>58850</v>
      </c>
      <c r="D1240" s="2326">
        <f t="shared" si="99"/>
        <v>8690</v>
      </c>
      <c r="E1240" s="2326">
        <f t="shared" si="100"/>
        <v>6661</v>
      </c>
      <c r="F1240" s="2326">
        <f t="shared" si="101"/>
        <v>8690</v>
      </c>
      <c r="G1240" s="2326">
        <f t="shared" si="102"/>
        <v>7238</v>
      </c>
    </row>
    <row r="1241" spans="1:7" ht="15.75">
      <c r="A1241" s="2486">
        <f t="shared" si="103"/>
        <v>58875</v>
      </c>
      <c r="B1241" s="2325">
        <v>58850</v>
      </c>
      <c r="C1241" s="2325">
        <v>58900</v>
      </c>
      <c r="D1241" s="2326">
        <f t="shared" si="99"/>
        <v>8701</v>
      </c>
      <c r="E1241" s="2326">
        <f t="shared" si="100"/>
        <v>6667</v>
      </c>
      <c r="F1241" s="2326">
        <f t="shared" si="101"/>
        <v>8701</v>
      </c>
      <c r="G1241" s="2326">
        <f t="shared" si="102"/>
        <v>7249</v>
      </c>
    </row>
    <row r="1242" spans="1:7" ht="15.75">
      <c r="A1242" s="2486">
        <f t="shared" si="103"/>
        <v>58925</v>
      </c>
      <c r="B1242" s="2325">
        <v>58900</v>
      </c>
      <c r="C1242" s="2325">
        <v>58950</v>
      </c>
      <c r="D1242" s="2326">
        <f t="shared" si="99"/>
        <v>8712</v>
      </c>
      <c r="E1242" s="2326">
        <f t="shared" si="100"/>
        <v>6673</v>
      </c>
      <c r="F1242" s="2326">
        <f t="shared" si="101"/>
        <v>8712</v>
      </c>
      <c r="G1242" s="2326">
        <f t="shared" si="102"/>
        <v>7260</v>
      </c>
    </row>
    <row r="1243" spans="1:7" ht="15.75">
      <c r="A1243" s="2486">
        <f t="shared" si="103"/>
        <v>58975</v>
      </c>
      <c r="B1243" s="2325">
        <v>58950</v>
      </c>
      <c r="C1243" s="2325">
        <v>59000</v>
      </c>
      <c r="D1243" s="2326">
        <f t="shared" si="99"/>
        <v>8723</v>
      </c>
      <c r="E1243" s="2326">
        <f t="shared" si="100"/>
        <v>6679</v>
      </c>
      <c r="F1243" s="2326">
        <f t="shared" si="101"/>
        <v>8723</v>
      </c>
      <c r="G1243" s="2326">
        <f t="shared" si="102"/>
        <v>7271</v>
      </c>
    </row>
    <row r="1244" spans="1:7" ht="15.75">
      <c r="A1244" s="2486">
        <f t="shared" si="103"/>
        <v>59025</v>
      </c>
      <c r="B1244" s="2325">
        <v>59000</v>
      </c>
      <c r="C1244" s="2325">
        <v>59050</v>
      </c>
      <c r="D1244" s="2326">
        <f t="shared" si="99"/>
        <v>8734</v>
      </c>
      <c r="E1244" s="2326">
        <f t="shared" si="100"/>
        <v>6685</v>
      </c>
      <c r="F1244" s="2326">
        <f t="shared" si="101"/>
        <v>8734</v>
      </c>
      <c r="G1244" s="2326">
        <f t="shared" si="102"/>
        <v>7282</v>
      </c>
    </row>
    <row r="1245" spans="1:7" ht="15.75">
      <c r="A1245" s="2486">
        <f t="shared" si="103"/>
        <v>59075</v>
      </c>
      <c r="B1245" s="2325">
        <v>59050</v>
      </c>
      <c r="C1245" s="2325">
        <v>59100</v>
      </c>
      <c r="D1245" s="2326">
        <f t="shared" si="99"/>
        <v>8745</v>
      </c>
      <c r="E1245" s="2326">
        <f t="shared" si="100"/>
        <v>6691</v>
      </c>
      <c r="F1245" s="2326">
        <f t="shared" si="101"/>
        <v>8745</v>
      </c>
      <c r="G1245" s="2326">
        <f t="shared" si="102"/>
        <v>7293</v>
      </c>
    </row>
    <row r="1246" spans="1:7" ht="15.75">
      <c r="A1246" s="2486">
        <f t="shared" si="103"/>
        <v>59125</v>
      </c>
      <c r="B1246" s="2325">
        <v>59100</v>
      </c>
      <c r="C1246" s="2325">
        <v>59150</v>
      </c>
      <c r="D1246" s="2326">
        <f t="shared" si="99"/>
        <v>8756</v>
      </c>
      <c r="E1246" s="2326">
        <f t="shared" si="100"/>
        <v>6697</v>
      </c>
      <c r="F1246" s="2326">
        <f t="shared" si="101"/>
        <v>8756</v>
      </c>
      <c r="G1246" s="2326">
        <f t="shared" si="102"/>
        <v>7304</v>
      </c>
    </row>
    <row r="1247" spans="1:7" ht="15.75">
      <c r="A1247" s="2486">
        <f t="shared" si="103"/>
        <v>59175</v>
      </c>
      <c r="B1247" s="2325">
        <v>59150</v>
      </c>
      <c r="C1247" s="2325">
        <v>59200</v>
      </c>
      <c r="D1247" s="2326">
        <f t="shared" si="99"/>
        <v>8767</v>
      </c>
      <c r="E1247" s="2326">
        <f t="shared" si="100"/>
        <v>6703</v>
      </c>
      <c r="F1247" s="2326">
        <f t="shared" si="101"/>
        <v>8767</v>
      </c>
      <c r="G1247" s="2326">
        <f t="shared" si="102"/>
        <v>7315</v>
      </c>
    </row>
    <row r="1248" spans="1:7" ht="15.75">
      <c r="A1248" s="2486">
        <f t="shared" si="103"/>
        <v>59225</v>
      </c>
      <c r="B1248" s="2325">
        <v>59200</v>
      </c>
      <c r="C1248" s="2325">
        <v>59250</v>
      </c>
      <c r="D1248" s="2326">
        <f t="shared" si="99"/>
        <v>8778</v>
      </c>
      <c r="E1248" s="2326">
        <f t="shared" si="100"/>
        <v>6709</v>
      </c>
      <c r="F1248" s="2326">
        <f t="shared" si="101"/>
        <v>8778</v>
      </c>
      <c r="G1248" s="2326">
        <f t="shared" si="102"/>
        <v>7326</v>
      </c>
    </row>
    <row r="1249" spans="1:7" ht="15.75">
      <c r="A1249" s="2486">
        <f t="shared" si="103"/>
        <v>59275</v>
      </c>
      <c r="B1249" s="2325">
        <v>59250</v>
      </c>
      <c r="C1249" s="2325">
        <v>59300</v>
      </c>
      <c r="D1249" s="2326">
        <f t="shared" si="99"/>
        <v>8789</v>
      </c>
      <c r="E1249" s="2326">
        <f t="shared" si="100"/>
        <v>6715</v>
      </c>
      <c r="F1249" s="2326">
        <f t="shared" si="101"/>
        <v>8789</v>
      </c>
      <c r="G1249" s="2326">
        <f t="shared" si="102"/>
        <v>7337</v>
      </c>
    </row>
    <row r="1250" spans="1:7" ht="15.75">
      <c r="A1250" s="2486">
        <f t="shared" si="103"/>
        <v>59325</v>
      </c>
      <c r="B1250" s="2325">
        <v>59300</v>
      </c>
      <c r="C1250" s="2325">
        <v>59350</v>
      </c>
      <c r="D1250" s="2326">
        <f t="shared" si="99"/>
        <v>8800</v>
      </c>
      <c r="E1250" s="2326">
        <f t="shared" si="100"/>
        <v>6721</v>
      </c>
      <c r="F1250" s="2326">
        <f t="shared" si="101"/>
        <v>8800</v>
      </c>
      <c r="G1250" s="2326">
        <f t="shared" si="102"/>
        <v>7348</v>
      </c>
    </row>
    <row r="1251" spans="1:7" ht="15.75">
      <c r="A1251" s="2486">
        <f t="shared" si="103"/>
        <v>59375</v>
      </c>
      <c r="B1251" s="2325">
        <v>59350</v>
      </c>
      <c r="C1251" s="2325">
        <v>59400</v>
      </c>
      <c r="D1251" s="2326">
        <f t="shared" si="99"/>
        <v>8811</v>
      </c>
      <c r="E1251" s="2326">
        <f t="shared" si="100"/>
        <v>6727</v>
      </c>
      <c r="F1251" s="2326">
        <f t="shared" si="101"/>
        <v>8811</v>
      </c>
      <c r="G1251" s="2326">
        <f t="shared" si="102"/>
        <v>7359</v>
      </c>
    </row>
    <row r="1252" spans="1:7" ht="15.75">
      <c r="A1252" s="2486">
        <f t="shared" si="103"/>
        <v>59425</v>
      </c>
      <c r="B1252" s="2325">
        <v>59400</v>
      </c>
      <c r="C1252" s="2325">
        <v>59450</v>
      </c>
      <c r="D1252" s="2326">
        <f t="shared" si="99"/>
        <v>8822</v>
      </c>
      <c r="E1252" s="2326">
        <f t="shared" si="100"/>
        <v>6733</v>
      </c>
      <c r="F1252" s="2326">
        <f t="shared" si="101"/>
        <v>8822</v>
      </c>
      <c r="G1252" s="2326">
        <f t="shared" si="102"/>
        <v>7370</v>
      </c>
    </row>
    <row r="1253" spans="1:7" ht="15.75">
      <c r="A1253" s="2486">
        <f t="shared" si="103"/>
        <v>59475</v>
      </c>
      <c r="B1253" s="2325">
        <v>59450</v>
      </c>
      <c r="C1253" s="2325">
        <v>59500</v>
      </c>
      <c r="D1253" s="2326">
        <f t="shared" si="99"/>
        <v>8833</v>
      </c>
      <c r="E1253" s="2326">
        <f t="shared" si="100"/>
        <v>6739</v>
      </c>
      <c r="F1253" s="2326">
        <f t="shared" si="101"/>
        <v>8833</v>
      </c>
      <c r="G1253" s="2326">
        <f t="shared" si="102"/>
        <v>7381</v>
      </c>
    </row>
    <row r="1254" spans="1:7" ht="15.75">
      <c r="A1254" s="2486">
        <f t="shared" si="103"/>
        <v>59525</v>
      </c>
      <c r="B1254" s="2325">
        <v>59500</v>
      </c>
      <c r="C1254" s="2325">
        <v>59550</v>
      </c>
      <c r="D1254" s="2326">
        <f t="shared" si="99"/>
        <v>8844</v>
      </c>
      <c r="E1254" s="2326">
        <f t="shared" si="100"/>
        <v>6745</v>
      </c>
      <c r="F1254" s="2326">
        <f t="shared" si="101"/>
        <v>8844</v>
      </c>
      <c r="G1254" s="2326">
        <f t="shared" si="102"/>
        <v>7392</v>
      </c>
    </row>
    <row r="1255" spans="1:7" ht="15.75">
      <c r="A1255" s="2486">
        <f t="shared" si="103"/>
        <v>59575</v>
      </c>
      <c r="B1255" s="2325">
        <v>59550</v>
      </c>
      <c r="C1255" s="2325">
        <v>59600</v>
      </c>
      <c r="D1255" s="2326">
        <f t="shared" si="99"/>
        <v>8855</v>
      </c>
      <c r="E1255" s="2326">
        <f t="shared" si="100"/>
        <v>6751</v>
      </c>
      <c r="F1255" s="2326">
        <f t="shared" si="101"/>
        <v>8855</v>
      </c>
      <c r="G1255" s="2326">
        <f t="shared" si="102"/>
        <v>7403</v>
      </c>
    </row>
    <row r="1256" spans="1:7" ht="15.75">
      <c r="A1256" s="2486">
        <f t="shared" si="103"/>
        <v>59625</v>
      </c>
      <c r="B1256" s="2325">
        <v>59600</v>
      </c>
      <c r="C1256" s="2325">
        <v>59650</v>
      </c>
      <c r="D1256" s="2326">
        <f t="shared" si="99"/>
        <v>8866</v>
      </c>
      <c r="E1256" s="2326">
        <f t="shared" si="100"/>
        <v>6757</v>
      </c>
      <c r="F1256" s="2326">
        <f t="shared" si="101"/>
        <v>8866</v>
      </c>
      <c r="G1256" s="2326">
        <f t="shared" si="102"/>
        <v>7414</v>
      </c>
    </row>
    <row r="1257" spans="1:7" ht="15.75">
      <c r="A1257" s="2486">
        <f t="shared" si="103"/>
        <v>59675</v>
      </c>
      <c r="B1257" s="2325">
        <v>59650</v>
      </c>
      <c r="C1257" s="2325">
        <v>59700</v>
      </c>
      <c r="D1257" s="2326">
        <f t="shared" si="99"/>
        <v>8877</v>
      </c>
      <c r="E1257" s="2326">
        <f t="shared" si="100"/>
        <v>6763</v>
      </c>
      <c r="F1257" s="2326">
        <f t="shared" si="101"/>
        <v>8877</v>
      </c>
      <c r="G1257" s="2326">
        <f t="shared" si="102"/>
        <v>7425</v>
      </c>
    </row>
    <row r="1258" spans="1:7" ht="15.75">
      <c r="A1258" s="2486">
        <f t="shared" si="103"/>
        <v>59725</v>
      </c>
      <c r="B1258" s="2325">
        <v>59700</v>
      </c>
      <c r="C1258" s="2325">
        <v>59750</v>
      </c>
      <c r="D1258" s="2326">
        <f t="shared" si="99"/>
        <v>8888</v>
      </c>
      <c r="E1258" s="2326">
        <f t="shared" si="100"/>
        <v>6769</v>
      </c>
      <c r="F1258" s="2326">
        <f t="shared" si="101"/>
        <v>8888</v>
      </c>
      <c r="G1258" s="2326">
        <f t="shared" si="102"/>
        <v>7436</v>
      </c>
    </row>
    <row r="1259" spans="1:7" ht="15.75">
      <c r="A1259" s="2486">
        <f t="shared" si="103"/>
        <v>59775</v>
      </c>
      <c r="B1259" s="2325">
        <v>59750</v>
      </c>
      <c r="C1259" s="2325">
        <v>59800</v>
      </c>
      <c r="D1259" s="2326">
        <f t="shared" si="99"/>
        <v>8899</v>
      </c>
      <c r="E1259" s="2326">
        <f t="shared" si="100"/>
        <v>6775</v>
      </c>
      <c r="F1259" s="2326">
        <f t="shared" si="101"/>
        <v>8899</v>
      </c>
      <c r="G1259" s="2326">
        <f t="shared" si="102"/>
        <v>7447</v>
      </c>
    </row>
    <row r="1260" spans="1:7" ht="15.75">
      <c r="A1260" s="2486">
        <f t="shared" si="103"/>
        <v>59825</v>
      </c>
      <c r="B1260" s="2325">
        <v>59800</v>
      </c>
      <c r="C1260" s="2325">
        <v>59850</v>
      </c>
      <c r="D1260" s="2326">
        <f t="shared" si="99"/>
        <v>8910</v>
      </c>
      <c r="E1260" s="2326">
        <f t="shared" si="100"/>
        <v>6781</v>
      </c>
      <c r="F1260" s="2326">
        <f t="shared" si="101"/>
        <v>8910</v>
      </c>
      <c r="G1260" s="2326">
        <f t="shared" si="102"/>
        <v>7458</v>
      </c>
    </row>
    <row r="1261" spans="1:7" ht="15.75">
      <c r="A1261" s="2486">
        <f t="shared" si="103"/>
        <v>59875</v>
      </c>
      <c r="B1261" s="2325">
        <v>59850</v>
      </c>
      <c r="C1261" s="2325">
        <v>59900</v>
      </c>
      <c r="D1261" s="2326">
        <f t="shared" si="99"/>
        <v>8921</v>
      </c>
      <c r="E1261" s="2326">
        <f t="shared" si="100"/>
        <v>6787</v>
      </c>
      <c r="F1261" s="2326">
        <f t="shared" si="101"/>
        <v>8921</v>
      </c>
      <c r="G1261" s="2326">
        <f t="shared" si="102"/>
        <v>7469</v>
      </c>
    </row>
    <row r="1262" spans="1:7" ht="15.75">
      <c r="A1262" s="2486">
        <f t="shared" si="103"/>
        <v>59925</v>
      </c>
      <c r="B1262" s="2325">
        <v>59900</v>
      </c>
      <c r="C1262" s="2325">
        <v>59950</v>
      </c>
      <c r="D1262" s="2326">
        <f t="shared" si="99"/>
        <v>8932</v>
      </c>
      <c r="E1262" s="2326">
        <f t="shared" si="100"/>
        <v>6793</v>
      </c>
      <c r="F1262" s="2326">
        <f t="shared" si="101"/>
        <v>8932</v>
      </c>
      <c r="G1262" s="2326">
        <f t="shared" si="102"/>
        <v>7480</v>
      </c>
    </row>
    <row r="1263" spans="1:7" ht="15.75">
      <c r="A1263" s="2486">
        <f t="shared" si="103"/>
        <v>59975</v>
      </c>
      <c r="B1263" s="2325">
        <v>59950</v>
      </c>
      <c r="C1263" s="2325">
        <v>60000</v>
      </c>
      <c r="D1263" s="2326">
        <f t="shared" si="99"/>
        <v>8943</v>
      </c>
      <c r="E1263" s="2326">
        <f t="shared" si="100"/>
        <v>6799</v>
      </c>
      <c r="F1263" s="2326">
        <f t="shared" si="101"/>
        <v>8943</v>
      </c>
      <c r="G1263" s="2326">
        <f t="shared" si="102"/>
        <v>7491</v>
      </c>
    </row>
    <row r="1264" spans="1:7" ht="15.75">
      <c r="A1264" s="2486">
        <f t="shared" si="103"/>
        <v>60025</v>
      </c>
      <c r="B1264" s="2325">
        <v>60000</v>
      </c>
      <c r="C1264" s="2325">
        <v>60050</v>
      </c>
      <c r="D1264" s="2326">
        <f t="shared" si="99"/>
        <v>8954</v>
      </c>
      <c r="E1264" s="2326">
        <f t="shared" si="100"/>
        <v>6805</v>
      </c>
      <c r="F1264" s="2326">
        <f t="shared" si="101"/>
        <v>8954</v>
      </c>
      <c r="G1264" s="2326">
        <f t="shared" si="102"/>
        <v>7502</v>
      </c>
    </row>
    <row r="1265" spans="1:7" ht="15.75">
      <c r="A1265" s="2486">
        <f t="shared" si="103"/>
        <v>60075</v>
      </c>
      <c r="B1265" s="2325">
        <v>60050</v>
      </c>
      <c r="C1265" s="2325">
        <v>60100</v>
      </c>
      <c r="D1265" s="2326">
        <f t="shared" si="99"/>
        <v>8965</v>
      </c>
      <c r="E1265" s="2326">
        <f t="shared" si="100"/>
        <v>6811</v>
      </c>
      <c r="F1265" s="2326">
        <f t="shared" si="101"/>
        <v>8965</v>
      </c>
      <c r="G1265" s="2326">
        <f t="shared" si="102"/>
        <v>7513</v>
      </c>
    </row>
    <row r="1266" spans="1:7" ht="15.75">
      <c r="A1266" s="2486">
        <f t="shared" si="103"/>
        <v>60125</v>
      </c>
      <c r="B1266" s="2325">
        <v>60100</v>
      </c>
      <c r="C1266" s="2325">
        <v>60150</v>
      </c>
      <c r="D1266" s="2326">
        <f t="shared" si="99"/>
        <v>8976</v>
      </c>
      <c r="E1266" s="2326">
        <f t="shared" si="100"/>
        <v>6817</v>
      </c>
      <c r="F1266" s="2326">
        <f t="shared" si="101"/>
        <v>8976</v>
      </c>
      <c r="G1266" s="2326">
        <f t="shared" si="102"/>
        <v>7524</v>
      </c>
    </row>
    <row r="1267" spans="1:7" ht="15.75">
      <c r="A1267" s="2486">
        <f t="shared" si="103"/>
        <v>60175</v>
      </c>
      <c r="B1267" s="2325">
        <v>60150</v>
      </c>
      <c r="C1267" s="2325">
        <v>60200</v>
      </c>
      <c r="D1267" s="2326">
        <f t="shared" si="99"/>
        <v>8987</v>
      </c>
      <c r="E1267" s="2326">
        <f t="shared" si="100"/>
        <v>6823</v>
      </c>
      <c r="F1267" s="2326">
        <f t="shared" si="101"/>
        <v>8987</v>
      </c>
      <c r="G1267" s="2326">
        <f t="shared" si="102"/>
        <v>7535</v>
      </c>
    </row>
    <row r="1268" spans="1:7" ht="15.75">
      <c r="A1268" s="2486">
        <f t="shared" si="103"/>
        <v>60225</v>
      </c>
      <c r="B1268" s="2325">
        <v>60200</v>
      </c>
      <c r="C1268" s="2325">
        <v>60250</v>
      </c>
      <c r="D1268" s="2326">
        <f t="shared" si="99"/>
        <v>8998</v>
      </c>
      <c r="E1268" s="2326">
        <f t="shared" si="100"/>
        <v>6829</v>
      </c>
      <c r="F1268" s="2326">
        <f t="shared" si="101"/>
        <v>8998</v>
      </c>
      <c r="G1268" s="2326">
        <f t="shared" si="102"/>
        <v>7546</v>
      </c>
    </row>
    <row r="1269" spans="1:7" ht="15.75">
      <c r="A1269" s="2486">
        <f t="shared" si="103"/>
        <v>60275</v>
      </c>
      <c r="B1269" s="2325">
        <v>60250</v>
      </c>
      <c r="C1269" s="2325">
        <v>60300</v>
      </c>
      <c r="D1269" s="2326">
        <f t="shared" si="99"/>
        <v>9009</v>
      </c>
      <c r="E1269" s="2326">
        <f t="shared" si="100"/>
        <v>6835</v>
      </c>
      <c r="F1269" s="2326">
        <f t="shared" si="101"/>
        <v>9009</v>
      </c>
      <c r="G1269" s="2326">
        <f t="shared" si="102"/>
        <v>7557</v>
      </c>
    </row>
    <row r="1270" spans="1:7" ht="15.75">
      <c r="A1270" s="2486">
        <f t="shared" si="103"/>
        <v>60325</v>
      </c>
      <c r="B1270" s="2325">
        <v>60300</v>
      </c>
      <c r="C1270" s="2325">
        <v>60350</v>
      </c>
      <c r="D1270" s="2326">
        <f t="shared" si="99"/>
        <v>9020</v>
      </c>
      <c r="E1270" s="2326">
        <f t="shared" si="100"/>
        <v>6841</v>
      </c>
      <c r="F1270" s="2326">
        <f t="shared" si="101"/>
        <v>9020</v>
      </c>
      <c r="G1270" s="2326">
        <f t="shared" si="102"/>
        <v>7568</v>
      </c>
    </row>
    <row r="1271" spans="1:7" ht="15.75">
      <c r="A1271" s="2486">
        <f t="shared" si="103"/>
        <v>60375</v>
      </c>
      <c r="B1271" s="2325">
        <v>60350</v>
      </c>
      <c r="C1271" s="2325">
        <v>60400</v>
      </c>
      <c r="D1271" s="2326">
        <f t="shared" si="99"/>
        <v>9031</v>
      </c>
      <c r="E1271" s="2326">
        <f t="shared" si="100"/>
        <v>6847</v>
      </c>
      <c r="F1271" s="2326">
        <f t="shared" si="101"/>
        <v>9031</v>
      </c>
      <c r="G1271" s="2326">
        <f t="shared" si="102"/>
        <v>7579</v>
      </c>
    </row>
    <row r="1272" spans="1:7" ht="15.75">
      <c r="A1272" s="2486">
        <f t="shared" si="103"/>
        <v>60425</v>
      </c>
      <c r="B1272" s="2325">
        <v>60400</v>
      </c>
      <c r="C1272" s="2325">
        <v>60450</v>
      </c>
      <c r="D1272" s="2326">
        <f t="shared" si="99"/>
        <v>9042</v>
      </c>
      <c r="E1272" s="2326">
        <f t="shared" si="100"/>
        <v>6853</v>
      </c>
      <c r="F1272" s="2326">
        <f t="shared" si="101"/>
        <v>9042</v>
      </c>
      <c r="G1272" s="2326">
        <f t="shared" si="102"/>
        <v>7590</v>
      </c>
    </row>
    <row r="1273" spans="1:7" ht="15.75">
      <c r="A1273" s="2486">
        <f t="shared" si="103"/>
        <v>60475</v>
      </c>
      <c r="B1273" s="2325">
        <v>60450</v>
      </c>
      <c r="C1273" s="2325">
        <v>60500</v>
      </c>
      <c r="D1273" s="2326">
        <f t="shared" si="99"/>
        <v>9053</v>
      </c>
      <c r="E1273" s="2326">
        <f t="shared" si="100"/>
        <v>6859</v>
      </c>
      <c r="F1273" s="2326">
        <f t="shared" si="101"/>
        <v>9053</v>
      </c>
      <c r="G1273" s="2326">
        <f t="shared" si="102"/>
        <v>7601</v>
      </c>
    </row>
    <row r="1274" spans="1:7" ht="15.75">
      <c r="A1274" s="2486">
        <f t="shared" si="103"/>
        <v>60525</v>
      </c>
      <c r="B1274" s="2325">
        <v>60500</v>
      </c>
      <c r="C1274" s="2325">
        <v>60550</v>
      </c>
      <c r="D1274" s="2326">
        <f t="shared" si="99"/>
        <v>9064</v>
      </c>
      <c r="E1274" s="2326">
        <f t="shared" si="100"/>
        <v>6865</v>
      </c>
      <c r="F1274" s="2326">
        <f t="shared" si="101"/>
        <v>9064</v>
      </c>
      <c r="G1274" s="2326">
        <f t="shared" si="102"/>
        <v>7612</v>
      </c>
    </row>
    <row r="1275" spans="1:7" ht="15.75">
      <c r="A1275" s="2486">
        <f t="shared" si="103"/>
        <v>60575</v>
      </c>
      <c r="B1275" s="2325">
        <v>60550</v>
      </c>
      <c r="C1275" s="2325">
        <v>60600</v>
      </c>
      <c r="D1275" s="2326">
        <f t="shared" si="99"/>
        <v>9075</v>
      </c>
      <c r="E1275" s="2326">
        <f t="shared" si="100"/>
        <v>6871</v>
      </c>
      <c r="F1275" s="2326">
        <f t="shared" si="101"/>
        <v>9075</v>
      </c>
      <c r="G1275" s="2326">
        <f t="shared" si="102"/>
        <v>7623</v>
      </c>
    </row>
    <row r="1276" spans="1:7" ht="15.75">
      <c r="A1276" s="2486">
        <f t="shared" si="103"/>
        <v>60625</v>
      </c>
      <c r="B1276" s="2325">
        <v>60600</v>
      </c>
      <c r="C1276" s="2325">
        <v>60650</v>
      </c>
      <c r="D1276" s="2326">
        <f t="shared" si="99"/>
        <v>9086</v>
      </c>
      <c r="E1276" s="2326">
        <f t="shared" si="100"/>
        <v>6877</v>
      </c>
      <c r="F1276" s="2326">
        <f t="shared" si="101"/>
        <v>9086</v>
      </c>
      <c r="G1276" s="2326">
        <f t="shared" si="102"/>
        <v>7634</v>
      </c>
    </row>
    <row r="1277" spans="1:7" ht="15.75">
      <c r="A1277" s="2486">
        <f t="shared" si="103"/>
        <v>60675</v>
      </c>
      <c r="B1277" s="2325">
        <v>60650</v>
      </c>
      <c r="C1277" s="2325">
        <v>60700</v>
      </c>
      <c r="D1277" s="2326">
        <f t="shared" si="99"/>
        <v>9097</v>
      </c>
      <c r="E1277" s="2326">
        <f t="shared" si="100"/>
        <v>6883</v>
      </c>
      <c r="F1277" s="2326">
        <f t="shared" si="101"/>
        <v>9097</v>
      </c>
      <c r="G1277" s="2326">
        <f t="shared" si="102"/>
        <v>7645</v>
      </c>
    </row>
    <row r="1278" spans="1:7" ht="15.75">
      <c r="A1278" s="2486">
        <f t="shared" si="103"/>
        <v>60725</v>
      </c>
      <c r="B1278" s="2325">
        <v>60700</v>
      </c>
      <c r="C1278" s="2325">
        <v>60750</v>
      </c>
      <c r="D1278" s="2326">
        <f t="shared" si="99"/>
        <v>9108</v>
      </c>
      <c r="E1278" s="2326">
        <f t="shared" si="100"/>
        <v>6889</v>
      </c>
      <c r="F1278" s="2326">
        <f t="shared" si="101"/>
        <v>9108</v>
      </c>
      <c r="G1278" s="2326">
        <f t="shared" si="102"/>
        <v>7656</v>
      </c>
    </row>
    <row r="1279" spans="1:7" ht="15.75">
      <c r="A1279" s="2486">
        <f t="shared" si="103"/>
        <v>60775</v>
      </c>
      <c r="B1279" s="2325">
        <v>60750</v>
      </c>
      <c r="C1279" s="2325">
        <v>60800</v>
      </c>
      <c r="D1279" s="2326">
        <f t="shared" si="99"/>
        <v>9119</v>
      </c>
      <c r="E1279" s="2326">
        <f t="shared" si="100"/>
        <v>6895</v>
      </c>
      <c r="F1279" s="2326">
        <f t="shared" si="101"/>
        <v>9119</v>
      </c>
      <c r="G1279" s="2326">
        <f t="shared" si="102"/>
        <v>7667</v>
      </c>
    </row>
    <row r="1280" spans="1:7" ht="15.75">
      <c r="A1280" s="2486">
        <f t="shared" si="103"/>
        <v>60825</v>
      </c>
      <c r="B1280" s="2325">
        <v>60800</v>
      </c>
      <c r="C1280" s="2325">
        <v>60850</v>
      </c>
      <c r="D1280" s="2326">
        <f t="shared" si="99"/>
        <v>9130</v>
      </c>
      <c r="E1280" s="2326">
        <f t="shared" si="100"/>
        <v>6901</v>
      </c>
      <c r="F1280" s="2326">
        <f t="shared" si="101"/>
        <v>9130</v>
      </c>
      <c r="G1280" s="2326">
        <f t="shared" si="102"/>
        <v>7678</v>
      </c>
    </row>
    <row r="1281" spans="1:7" ht="15.75">
      <c r="A1281" s="2486">
        <f t="shared" si="103"/>
        <v>60875</v>
      </c>
      <c r="B1281" s="2325">
        <v>60850</v>
      </c>
      <c r="C1281" s="2325">
        <v>60900</v>
      </c>
      <c r="D1281" s="2326">
        <f t="shared" si="99"/>
        <v>9141</v>
      </c>
      <c r="E1281" s="2326">
        <f t="shared" si="100"/>
        <v>6907</v>
      </c>
      <c r="F1281" s="2326">
        <f t="shared" si="101"/>
        <v>9141</v>
      </c>
      <c r="G1281" s="2326">
        <f t="shared" si="102"/>
        <v>7689</v>
      </c>
    </row>
    <row r="1282" spans="1:7" ht="15.75">
      <c r="A1282" s="2486">
        <f t="shared" si="103"/>
        <v>60925</v>
      </c>
      <c r="B1282" s="2325">
        <v>60900</v>
      </c>
      <c r="C1282" s="2325">
        <v>60950</v>
      </c>
      <c r="D1282" s="2326">
        <f t="shared" ref="D1282:D1345" si="104">IF($A1282&gt;BOTT_A4,ROUND(BASE_A4+RATE_A4*($A1282-BOTT_A4),0),IF($A1282&gt;BOTT_A3,ROUND(BASE_A3+RATE_A3*($A1282-BOTT_A3),0),IF($A1282&gt;BOTT_A2,ROUND(BASE_A2+RATE_A2*($A1282-BOTT_A2),0),ROUND(RATE_A1*$A1282,0))))</f>
        <v>9152</v>
      </c>
      <c r="E1282" s="2326">
        <f t="shared" ref="E1282:E1345" si="105">IF($A1282&gt;BOTT_B4,ROUND(BASE_B4+RATE_B4*($A1282-BOTT_B4),0),IF($A1282&gt;BOTT_B3,ROUND(BASE_B3+RATE_B3*($A1282-BOTT_B3),0),IF($A1282&gt;BOTT_B2,ROUND(BASE_B2+RATE_B2*($A1282-BOTT_B2),0),ROUND(RATE_B1*$A1282,0))))</f>
        <v>6913</v>
      </c>
      <c r="F1282" s="2326">
        <f t="shared" ref="F1282:F1345" si="106">IF($A1282&gt;BOTT_C4,ROUND(BASE_C4+RATE_C4*($A1282-BOTT_C4),0),IF($A1282&gt;BOTT_C3,ROUND(BASE_C3+RATE_C3*($A1282-BOTT_C3),0),IF($A1282&gt;BOTT_C2,ROUND(BASE_C2+RATE_C2*($A1282-BOTT_C2),0),ROUND(RATE_C1*$A1282,0))))</f>
        <v>9152</v>
      </c>
      <c r="G1282" s="2326">
        <f t="shared" ref="G1282:G1345" si="107">IF($A1282&gt;BOTT_D4,ROUND(BASE_D4+RATE_D4*($A1282-BOTT_D4),0),IF($A1282&gt;BOTT_D3,ROUND(BASE_D3+RATE_D3*($A1282-BOTT_D3),0),IF($A1282&gt;BOTT_D2,ROUND(BASE_D2+RATE_D2*($A1282-BOTT_D2),0),ROUND(RATE_D1*$A1282,0))))</f>
        <v>7700</v>
      </c>
    </row>
    <row r="1283" spans="1:7" ht="15.75">
      <c r="A1283" s="2486">
        <f t="shared" ref="A1283:A1346" si="108">AVERAGE(B1283,C1283)</f>
        <v>60975</v>
      </c>
      <c r="B1283" s="2325">
        <v>60950</v>
      </c>
      <c r="C1283" s="2325">
        <v>61000</v>
      </c>
      <c r="D1283" s="2326">
        <f t="shared" si="104"/>
        <v>9163</v>
      </c>
      <c r="E1283" s="2326">
        <f t="shared" si="105"/>
        <v>6919</v>
      </c>
      <c r="F1283" s="2326">
        <f t="shared" si="106"/>
        <v>9163</v>
      </c>
      <c r="G1283" s="2326">
        <f t="shared" si="107"/>
        <v>7711</v>
      </c>
    </row>
    <row r="1284" spans="1:7" ht="15.75">
      <c r="A1284" s="2486">
        <f t="shared" si="108"/>
        <v>61025</v>
      </c>
      <c r="B1284" s="2325">
        <v>61000</v>
      </c>
      <c r="C1284" s="2325">
        <v>61050</v>
      </c>
      <c r="D1284" s="2326">
        <f t="shared" si="104"/>
        <v>9174</v>
      </c>
      <c r="E1284" s="2326">
        <f t="shared" si="105"/>
        <v>6925</v>
      </c>
      <c r="F1284" s="2326">
        <f t="shared" si="106"/>
        <v>9174</v>
      </c>
      <c r="G1284" s="2326">
        <f t="shared" si="107"/>
        <v>7722</v>
      </c>
    </row>
    <row r="1285" spans="1:7" ht="15.75">
      <c r="A1285" s="2486">
        <f t="shared" si="108"/>
        <v>61075</v>
      </c>
      <c r="B1285" s="2325">
        <v>61050</v>
      </c>
      <c r="C1285" s="2325">
        <v>61100</v>
      </c>
      <c r="D1285" s="2326">
        <f t="shared" si="104"/>
        <v>9185</v>
      </c>
      <c r="E1285" s="2326">
        <f t="shared" si="105"/>
        <v>6931</v>
      </c>
      <c r="F1285" s="2326">
        <f t="shared" si="106"/>
        <v>9185</v>
      </c>
      <c r="G1285" s="2326">
        <f t="shared" si="107"/>
        <v>7733</v>
      </c>
    </row>
    <row r="1286" spans="1:7" ht="15.75">
      <c r="A1286" s="2486">
        <f t="shared" si="108"/>
        <v>61125</v>
      </c>
      <c r="B1286" s="2325">
        <v>61100</v>
      </c>
      <c r="C1286" s="2325">
        <v>61150</v>
      </c>
      <c r="D1286" s="2326">
        <f t="shared" si="104"/>
        <v>9196</v>
      </c>
      <c r="E1286" s="2326">
        <f t="shared" si="105"/>
        <v>6937</v>
      </c>
      <c r="F1286" s="2326">
        <f t="shared" si="106"/>
        <v>9196</v>
      </c>
      <c r="G1286" s="2326">
        <f t="shared" si="107"/>
        <v>7744</v>
      </c>
    </row>
    <row r="1287" spans="1:7" ht="15.75">
      <c r="A1287" s="2486">
        <f t="shared" si="108"/>
        <v>61175</v>
      </c>
      <c r="B1287" s="2325">
        <v>61150</v>
      </c>
      <c r="C1287" s="2325">
        <v>61200</v>
      </c>
      <c r="D1287" s="2326">
        <f t="shared" si="104"/>
        <v>9207</v>
      </c>
      <c r="E1287" s="2326">
        <f t="shared" si="105"/>
        <v>6943</v>
      </c>
      <c r="F1287" s="2326">
        <f t="shared" si="106"/>
        <v>9207</v>
      </c>
      <c r="G1287" s="2326">
        <f t="shared" si="107"/>
        <v>7755</v>
      </c>
    </row>
    <row r="1288" spans="1:7" ht="15.75">
      <c r="A1288" s="2486">
        <f t="shared" si="108"/>
        <v>61225</v>
      </c>
      <c r="B1288" s="2325">
        <v>61200</v>
      </c>
      <c r="C1288" s="2325">
        <v>61250</v>
      </c>
      <c r="D1288" s="2326">
        <f t="shared" si="104"/>
        <v>9218</v>
      </c>
      <c r="E1288" s="2326">
        <f t="shared" si="105"/>
        <v>6949</v>
      </c>
      <c r="F1288" s="2326">
        <f t="shared" si="106"/>
        <v>9218</v>
      </c>
      <c r="G1288" s="2326">
        <f t="shared" si="107"/>
        <v>7766</v>
      </c>
    </row>
    <row r="1289" spans="1:7" ht="15.75">
      <c r="A1289" s="2486">
        <f t="shared" si="108"/>
        <v>61275</v>
      </c>
      <c r="B1289" s="2325">
        <v>61250</v>
      </c>
      <c r="C1289" s="2325">
        <v>61300</v>
      </c>
      <c r="D1289" s="2326">
        <f t="shared" si="104"/>
        <v>9229</v>
      </c>
      <c r="E1289" s="2326">
        <f t="shared" si="105"/>
        <v>6955</v>
      </c>
      <c r="F1289" s="2326">
        <f t="shared" si="106"/>
        <v>9229</v>
      </c>
      <c r="G1289" s="2326">
        <f t="shared" si="107"/>
        <v>7777</v>
      </c>
    </row>
    <row r="1290" spans="1:7" ht="15.75">
      <c r="A1290" s="2486">
        <f t="shared" si="108"/>
        <v>61325</v>
      </c>
      <c r="B1290" s="2325">
        <v>61300</v>
      </c>
      <c r="C1290" s="2325">
        <v>61350</v>
      </c>
      <c r="D1290" s="2326">
        <f t="shared" si="104"/>
        <v>9240</v>
      </c>
      <c r="E1290" s="2326">
        <f t="shared" si="105"/>
        <v>6961</v>
      </c>
      <c r="F1290" s="2326">
        <f t="shared" si="106"/>
        <v>9240</v>
      </c>
      <c r="G1290" s="2326">
        <f t="shared" si="107"/>
        <v>7788</v>
      </c>
    </row>
    <row r="1291" spans="1:7" ht="15.75">
      <c r="A1291" s="2486">
        <f t="shared" si="108"/>
        <v>61375</v>
      </c>
      <c r="B1291" s="2325">
        <v>61350</v>
      </c>
      <c r="C1291" s="2325">
        <v>61400</v>
      </c>
      <c r="D1291" s="2326">
        <f t="shared" si="104"/>
        <v>9251</v>
      </c>
      <c r="E1291" s="2326">
        <f t="shared" si="105"/>
        <v>6967</v>
      </c>
      <c r="F1291" s="2326">
        <f t="shared" si="106"/>
        <v>9251</v>
      </c>
      <c r="G1291" s="2326">
        <f t="shared" si="107"/>
        <v>7799</v>
      </c>
    </row>
    <row r="1292" spans="1:7" ht="15.75">
      <c r="A1292" s="2486">
        <f t="shared" si="108"/>
        <v>61425</v>
      </c>
      <c r="B1292" s="2325">
        <v>61400</v>
      </c>
      <c r="C1292" s="2325">
        <v>61450</v>
      </c>
      <c r="D1292" s="2326">
        <f t="shared" si="104"/>
        <v>9262</v>
      </c>
      <c r="E1292" s="2326">
        <f t="shared" si="105"/>
        <v>6973</v>
      </c>
      <c r="F1292" s="2326">
        <f t="shared" si="106"/>
        <v>9262</v>
      </c>
      <c r="G1292" s="2326">
        <f t="shared" si="107"/>
        <v>7810</v>
      </c>
    </row>
    <row r="1293" spans="1:7" ht="15.75">
      <c r="A1293" s="2486">
        <f t="shared" si="108"/>
        <v>61475</v>
      </c>
      <c r="B1293" s="2325">
        <v>61450</v>
      </c>
      <c r="C1293" s="2325">
        <v>61500</v>
      </c>
      <c r="D1293" s="2326">
        <f t="shared" si="104"/>
        <v>9273</v>
      </c>
      <c r="E1293" s="2326">
        <f t="shared" si="105"/>
        <v>6979</v>
      </c>
      <c r="F1293" s="2326">
        <f t="shared" si="106"/>
        <v>9273</v>
      </c>
      <c r="G1293" s="2326">
        <f t="shared" si="107"/>
        <v>7821</v>
      </c>
    </row>
    <row r="1294" spans="1:7" ht="15.75">
      <c r="A1294" s="2486">
        <f t="shared" si="108"/>
        <v>61525</v>
      </c>
      <c r="B1294" s="2325">
        <v>61500</v>
      </c>
      <c r="C1294" s="2325">
        <v>61550</v>
      </c>
      <c r="D1294" s="2326">
        <f t="shared" si="104"/>
        <v>9284</v>
      </c>
      <c r="E1294" s="2326">
        <f t="shared" si="105"/>
        <v>6985</v>
      </c>
      <c r="F1294" s="2326">
        <f t="shared" si="106"/>
        <v>9284</v>
      </c>
      <c r="G1294" s="2326">
        <f t="shared" si="107"/>
        <v>7832</v>
      </c>
    </row>
    <row r="1295" spans="1:7" ht="15.75">
      <c r="A1295" s="2486">
        <f t="shared" si="108"/>
        <v>61575</v>
      </c>
      <c r="B1295" s="2325">
        <v>61550</v>
      </c>
      <c r="C1295" s="2325">
        <v>61600</v>
      </c>
      <c r="D1295" s="2326">
        <f t="shared" si="104"/>
        <v>9295</v>
      </c>
      <c r="E1295" s="2326">
        <f t="shared" si="105"/>
        <v>6991</v>
      </c>
      <c r="F1295" s="2326">
        <f t="shared" si="106"/>
        <v>9295</v>
      </c>
      <c r="G1295" s="2326">
        <f t="shared" si="107"/>
        <v>7843</v>
      </c>
    </row>
    <row r="1296" spans="1:7" ht="15.75">
      <c r="A1296" s="2486">
        <f t="shared" si="108"/>
        <v>61625</v>
      </c>
      <c r="B1296" s="2325">
        <v>61600</v>
      </c>
      <c r="C1296" s="2325">
        <v>61650</v>
      </c>
      <c r="D1296" s="2326">
        <f t="shared" si="104"/>
        <v>9306</v>
      </c>
      <c r="E1296" s="2326">
        <f t="shared" si="105"/>
        <v>6997</v>
      </c>
      <c r="F1296" s="2326">
        <f t="shared" si="106"/>
        <v>9306</v>
      </c>
      <c r="G1296" s="2326">
        <f t="shared" si="107"/>
        <v>7854</v>
      </c>
    </row>
    <row r="1297" spans="1:7" ht="15.75">
      <c r="A1297" s="2486">
        <f t="shared" si="108"/>
        <v>61675</v>
      </c>
      <c r="B1297" s="2325">
        <v>61650</v>
      </c>
      <c r="C1297" s="2325">
        <v>61700</v>
      </c>
      <c r="D1297" s="2326">
        <f t="shared" si="104"/>
        <v>9317</v>
      </c>
      <c r="E1297" s="2326">
        <f t="shared" si="105"/>
        <v>7003</v>
      </c>
      <c r="F1297" s="2326">
        <f t="shared" si="106"/>
        <v>9317</v>
      </c>
      <c r="G1297" s="2326">
        <f t="shared" si="107"/>
        <v>7865</v>
      </c>
    </row>
    <row r="1298" spans="1:7" ht="15.75">
      <c r="A1298" s="2486">
        <f t="shared" si="108"/>
        <v>61725</v>
      </c>
      <c r="B1298" s="2325">
        <v>61700</v>
      </c>
      <c r="C1298" s="2325">
        <v>61750</v>
      </c>
      <c r="D1298" s="2326">
        <f t="shared" si="104"/>
        <v>9328</v>
      </c>
      <c r="E1298" s="2326">
        <f t="shared" si="105"/>
        <v>7009</v>
      </c>
      <c r="F1298" s="2326">
        <f t="shared" si="106"/>
        <v>9328</v>
      </c>
      <c r="G1298" s="2326">
        <f t="shared" si="107"/>
        <v>7876</v>
      </c>
    </row>
    <row r="1299" spans="1:7" ht="15.75">
      <c r="A1299" s="2486">
        <f t="shared" si="108"/>
        <v>61775</v>
      </c>
      <c r="B1299" s="2325">
        <v>61750</v>
      </c>
      <c r="C1299" s="2325">
        <v>61800</v>
      </c>
      <c r="D1299" s="2326">
        <f t="shared" si="104"/>
        <v>9339</v>
      </c>
      <c r="E1299" s="2326">
        <f t="shared" si="105"/>
        <v>7015</v>
      </c>
      <c r="F1299" s="2326">
        <f t="shared" si="106"/>
        <v>9339</v>
      </c>
      <c r="G1299" s="2326">
        <f t="shared" si="107"/>
        <v>7887</v>
      </c>
    </row>
    <row r="1300" spans="1:7" ht="15.75">
      <c r="A1300" s="2486">
        <f t="shared" si="108"/>
        <v>61825</v>
      </c>
      <c r="B1300" s="2325">
        <v>61800</v>
      </c>
      <c r="C1300" s="2325">
        <v>61850</v>
      </c>
      <c r="D1300" s="2326">
        <f t="shared" si="104"/>
        <v>9350</v>
      </c>
      <c r="E1300" s="2326">
        <f t="shared" si="105"/>
        <v>7021</v>
      </c>
      <c r="F1300" s="2326">
        <f t="shared" si="106"/>
        <v>9350</v>
      </c>
      <c r="G1300" s="2326">
        <f t="shared" si="107"/>
        <v>7898</v>
      </c>
    </row>
    <row r="1301" spans="1:7" ht="15.75">
      <c r="A1301" s="2486">
        <f t="shared" si="108"/>
        <v>61875</v>
      </c>
      <c r="B1301" s="2325">
        <v>61850</v>
      </c>
      <c r="C1301" s="2325">
        <v>61900</v>
      </c>
      <c r="D1301" s="2326">
        <f t="shared" si="104"/>
        <v>9361</v>
      </c>
      <c r="E1301" s="2326">
        <f t="shared" si="105"/>
        <v>7027</v>
      </c>
      <c r="F1301" s="2326">
        <f t="shared" si="106"/>
        <v>9361</v>
      </c>
      <c r="G1301" s="2326">
        <f t="shared" si="107"/>
        <v>7909</v>
      </c>
    </row>
    <row r="1302" spans="1:7" ht="15.75">
      <c r="A1302" s="2486">
        <f t="shared" si="108"/>
        <v>61925</v>
      </c>
      <c r="B1302" s="2325">
        <v>61900</v>
      </c>
      <c r="C1302" s="2325">
        <v>61950</v>
      </c>
      <c r="D1302" s="2326">
        <f t="shared" si="104"/>
        <v>9372</v>
      </c>
      <c r="E1302" s="2326">
        <f t="shared" si="105"/>
        <v>7033</v>
      </c>
      <c r="F1302" s="2326">
        <f t="shared" si="106"/>
        <v>9372</v>
      </c>
      <c r="G1302" s="2326">
        <f t="shared" si="107"/>
        <v>7920</v>
      </c>
    </row>
    <row r="1303" spans="1:7" ht="15.75">
      <c r="A1303" s="2486">
        <f t="shared" si="108"/>
        <v>61975</v>
      </c>
      <c r="B1303" s="2325">
        <v>61950</v>
      </c>
      <c r="C1303" s="2325">
        <v>62000</v>
      </c>
      <c r="D1303" s="2326">
        <f t="shared" si="104"/>
        <v>9383</v>
      </c>
      <c r="E1303" s="2326">
        <f t="shared" si="105"/>
        <v>7039</v>
      </c>
      <c r="F1303" s="2326">
        <f t="shared" si="106"/>
        <v>9383</v>
      </c>
      <c r="G1303" s="2326">
        <f t="shared" si="107"/>
        <v>7931</v>
      </c>
    </row>
    <row r="1304" spans="1:7" ht="15.75">
      <c r="A1304" s="2486">
        <f t="shared" si="108"/>
        <v>62025</v>
      </c>
      <c r="B1304" s="2325">
        <v>62000</v>
      </c>
      <c r="C1304" s="2325">
        <v>62050</v>
      </c>
      <c r="D1304" s="2326">
        <f t="shared" si="104"/>
        <v>9394</v>
      </c>
      <c r="E1304" s="2326">
        <f t="shared" si="105"/>
        <v>7045</v>
      </c>
      <c r="F1304" s="2326">
        <f t="shared" si="106"/>
        <v>9394</v>
      </c>
      <c r="G1304" s="2326">
        <f t="shared" si="107"/>
        <v>7942</v>
      </c>
    </row>
    <row r="1305" spans="1:7" ht="15.75">
      <c r="A1305" s="2486">
        <f t="shared" si="108"/>
        <v>62075</v>
      </c>
      <c r="B1305" s="2325">
        <v>62050</v>
      </c>
      <c r="C1305" s="2325">
        <v>62100</v>
      </c>
      <c r="D1305" s="2326">
        <f t="shared" si="104"/>
        <v>9405</v>
      </c>
      <c r="E1305" s="2326">
        <f t="shared" si="105"/>
        <v>7051</v>
      </c>
      <c r="F1305" s="2326">
        <f t="shared" si="106"/>
        <v>9405</v>
      </c>
      <c r="G1305" s="2326">
        <f t="shared" si="107"/>
        <v>7953</v>
      </c>
    </row>
    <row r="1306" spans="1:7" ht="15.75">
      <c r="A1306" s="2486">
        <f t="shared" si="108"/>
        <v>62125</v>
      </c>
      <c r="B1306" s="2325">
        <v>62100</v>
      </c>
      <c r="C1306" s="2325">
        <v>62150</v>
      </c>
      <c r="D1306" s="2326">
        <f t="shared" si="104"/>
        <v>9416</v>
      </c>
      <c r="E1306" s="2326">
        <f t="shared" si="105"/>
        <v>7057</v>
      </c>
      <c r="F1306" s="2326">
        <f t="shared" si="106"/>
        <v>9416</v>
      </c>
      <c r="G1306" s="2326">
        <f t="shared" si="107"/>
        <v>7964</v>
      </c>
    </row>
    <row r="1307" spans="1:7" ht="15.75">
      <c r="A1307" s="2486">
        <f t="shared" si="108"/>
        <v>62175</v>
      </c>
      <c r="B1307" s="2325">
        <v>62150</v>
      </c>
      <c r="C1307" s="2325">
        <v>62200</v>
      </c>
      <c r="D1307" s="2326">
        <f t="shared" si="104"/>
        <v>9427</v>
      </c>
      <c r="E1307" s="2326">
        <f t="shared" si="105"/>
        <v>7063</v>
      </c>
      <c r="F1307" s="2326">
        <f t="shared" si="106"/>
        <v>9427</v>
      </c>
      <c r="G1307" s="2326">
        <f t="shared" si="107"/>
        <v>7975</v>
      </c>
    </row>
    <row r="1308" spans="1:7" ht="15.75">
      <c r="A1308" s="2486">
        <f t="shared" si="108"/>
        <v>62225</v>
      </c>
      <c r="B1308" s="2325">
        <v>62200</v>
      </c>
      <c r="C1308" s="2325">
        <v>62250</v>
      </c>
      <c r="D1308" s="2326">
        <f t="shared" si="104"/>
        <v>9438</v>
      </c>
      <c r="E1308" s="2326">
        <f t="shared" si="105"/>
        <v>7069</v>
      </c>
      <c r="F1308" s="2326">
        <f t="shared" si="106"/>
        <v>9438</v>
      </c>
      <c r="G1308" s="2326">
        <f t="shared" si="107"/>
        <v>7986</v>
      </c>
    </row>
    <row r="1309" spans="1:7" ht="15.75">
      <c r="A1309" s="2486">
        <f t="shared" si="108"/>
        <v>62275</v>
      </c>
      <c r="B1309" s="2325">
        <v>62250</v>
      </c>
      <c r="C1309" s="2325">
        <v>62300</v>
      </c>
      <c r="D1309" s="2326">
        <f t="shared" si="104"/>
        <v>9449</v>
      </c>
      <c r="E1309" s="2326">
        <f t="shared" si="105"/>
        <v>7075</v>
      </c>
      <c r="F1309" s="2326">
        <f t="shared" si="106"/>
        <v>9449</v>
      </c>
      <c r="G1309" s="2326">
        <f t="shared" si="107"/>
        <v>7997</v>
      </c>
    </row>
    <row r="1310" spans="1:7" ht="15.75">
      <c r="A1310" s="2486">
        <f t="shared" si="108"/>
        <v>62325</v>
      </c>
      <c r="B1310" s="2325">
        <v>62300</v>
      </c>
      <c r="C1310" s="2325">
        <v>62350</v>
      </c>
      <c r="D1310" s="2326">
        <f t="shared" si="104"/>
        <v>9460</v>
      </c>
      <c r="E1310" s="2326">
        <f t="shared" si="105"/>
        <v>7081</v>
      </c>
      <c r="F1310" s="2326">
        <f t="shared" si="106"/>
        <v>9460</v>
      </c>
      <c r="G1310" s="2326">
        <f t="shared" si="107"/>
        <v>8008</v>
      </c>
    </row>
    <row r="1311" spans="1:7" ht="15.75">
      <c r="A1311" s="2486">
        <f t="shared" si="108"/>
        <v>62375</v>
      </c>
      <c r="B1311" s="2325">
        <v>62350</v>
      </c>
      <c r="C1311" s="2325">
        <v>62400</v>
      </c>
      <c r="D1311" s="2326">
        <f t="shared" si="104"/>
        <v>9471</v>
      </c>
      <c r="E1311" s="2326">
        <f t="shared" si="105"/>
        <v>7087</v>
      </c>
      <c r="F1311" s="2326">
        <f t="shared" si="106"/>
        <v>9471</v>
      </c>
      <c r="G1311" s="2326">
        <f t="shared" si="107"/>
        <v>8019</v>
      </c>
    </row>
    <row r="1312" spans="1:7" ht="15.75">
      <c r="A1312" s="2486">
        <f t="shared" si="108"/>
        <v>62425</v>
      </c>
      <c r="B1312" s="2325">
        <v>62400</v>
      </c>
      <c r="C1312" s="2325">
        <v>62450</v>
      </c>
      <c r="D1312" s="2326">
        <f t="shared" si="104"/>
        <v>9482</v>
      </c>
      <c r="E1312" s="2326">
        <f t="shared" si="105"/>
        <v>7093</v>
      </c>
      <c r="F1312" s="2326">
        <f t="shared" si="106"/>
        <v>9482</v>
      </c>
      <c r="G1312" s="2326">
        <f t="shared" si="107"/>
        <v>8030</v>
      </c>
    </row>
    <row r="1313" spans="1:7" ht="15.75">
      <c r="A1313" s="2486">
        <f t="shared" si="108"/>
        <v>62475</v>
      </c>
      <c r="B1313" s="2325">
        <v>62450</v>
      </c>
      <c r="C1313" s="2325">
        <v>62500</v>
      </c>
      <c r="D1313" s="2326">
        <f t="shared" si="104"/>
        <v>9493</v>
      </c>
      <c r="E1313" s="2326">
        <f t="shared" si="105"/>
        <v>7099</v>
      </c>
      <c r="F1313" s="2326">
        <f t="shared" si="106"/>
        <v>9493</v>
      </c>
      <c r="G1313" s="2326">
        <f t="shared" si="107"/>
        <v>8041</v>
      </c>
    </row>
    <row r="1314" spans="1:7" ht="15.75">
      <c r="A1314" s="2486">
        <f t="shared" si="108"/>
        <v>62525</v>
      </c>
      <c r="B1314" s="2325">
        <v>62500</v>
      </c>
      <c r="C1314" s="2325">
        <v>62550</v>
      </c>
      <c r="D1314" s="2326">
        <f t="shared" si="104"/>
        <v>9504</v>
      </c>
      <c r="E1314" s="2326">
        <f t="shared" si="105"/>
        <v>7105</v>
      </c>
      <c r="F1314" s="2326">
        <f t="shared" si="106"/>
        <v>9504</v>
      </c>
      <c r="G1314" s="2326">
        <f t="shared" si="107"/>
        <v>8052</v>
      </c>
    </row>
    <row r="1315" spans="1:7" ht="15.75">
      <c r="A1315" s="2486">
        <f t="shared" si="108"/>
        <v>62575</v>
      </c>
      <c r="B1315" s="2325">
        <v>62550</v>
      </c>
      <c r="C1315" s="2325">
        <v>62600</v>
      </c>
      <c r="D1315" s="2326">
        <f t="shared" si="104"/>
        <v>9515</v>
      </c>
      <c r="E1315" s="2326">
        <f t="shared" si="105"/>
        <v>7111</v>
      </c>
      <c r="F1315" s="2326">
        <f t="shared" si="106"/>
        <v>9515</v>
      </c>
      <c r="G1315" s="2326">
        <f t="shared" si="107"/>
        <v>8063</v>
      </c>
    </row>
    <row r="1316" spans="1:7" ht="15.75">
      <c r="A1316" s="2486">
        <f t="shared" si="108"/>
        <v>62625</v>
      </c>
      <c r="B1316" s="2325">
        <v>62600</v>
      </c>
      <c r="C1316" s="2325">
        <v>62650</v>
      </c>
      <c r="D1316" s="2326">
        <f t="shared" si="104"/>
        <v>9526</v>
      </c>
      <c r="E1316" s="2326">
        <f t="shared" si="105"/>
        <v>7117</v>
      </c>
      <c r="F1316" s="2326">
        <f t="shared" si="106"/>
        <v>9526</v>
      </c>
      <c r="G1316" s="2326">
        <f t="shared" si="107"/>
        <v>8074</v>
      </c>
    </row>
    <row r="1317" spans="1:7" ht="15.75">
      <c r="A1317" s="2486">
        <f t="shared" si="108"/>
        <v>62675</v>
      </c>
      <c r="B1317" s="2325">
        <v>62650</v>
      </c>
      <c r="C1317" s="2325">
        <v>62700</v>
      </c>
      <c r="D1317" s="2326">
        <f t="shared" si="104"/>
        <v>9537</v>
      </c>
      <c r="E1317" s="2326">
        <f t="shared" si="105"/>
        <v>7123</v>
      </c>
      <c r="F1317" s="2326">
        <f t="shared" si="106"/>
        <v>9537</v>
      </c>
      <c r="G1317" s="2326">
        <f t="shared" si="107"/>
        <v>8085</v>
      </c>
    </row>
    <row r="1318" spans="1:7" ht="15.75">
      <c r="A1318" s="2486">
        <f t="shared" si="108"/>
        <v>62725</v>
      </c>
      <c r="B1318" s="2325">
        <v>62700</v>
      </c>
      <c r="C1318" s="2325">
        <v>62750</v>
      </c>
      <c r="D1318" s="2326">
        <f t="shared" si="104"/>
        <v>9548</v>
      </c>
      <c r="E1318" s="2326">
        <f t="shared" si="105"/>
        <v>7129</v>
      </c>
      <c r="F1318" s="2326">
        <f t="shared" si="106"/>
        <v>9548</v>
      </c>
      <c r="G1318" s="2326">
        <f t="shared" si="107"/>
        <v>8096</v>
      </c>
    </row>
    <row r="1319" spans="1:7" ht="15.75">
      <c r="A1319" s="2486">
        <f t="shared" si="108"/>
        <v>62775</v>
      </c>
      <c r="B1319" s="2325">
        <v>62750</v>
      </c>
      <c r="C1319" s="2325">
        <v>62800</v>
      </c>
      <c r="D1319" s="2326">
        <f t="shared" si="104"/>
        <v>9559</v>
      </c>
      <c r="E1319" s="2326">
        <f t="shared" si="105"/>
        <v>7135</v>
      </c>
      <c r="F1319" s="2326">
        <f t="shared" si="106"/>
        <v>9559</v>
      </c>
      <c r="G1319" s="2326">
        <f t="shared" si="107"/>
        <v>8107</v>
      </c>
    </row>
    <row r="1320" spans="1:7" ht="15.75">
      <c r="A1320" s="2486">
        <f t="shared" si="108"/>
        <v>62825</v>
      </c>
      <c r="B1320" s="2325">
        <v>62800</v>
      </c>
      <c r="C1320" s="2325">
        <v>62850</v>
      </c>
      <c r="D1320" s="2326">
        <f t="shared" si="104"/>
        <v>9570</v>
      </c>
      <c r="E1320" s="2326">
        <f t="shared" si="105"/>
        <v>7141</v>
      </c>
      <c r="F1320" s="2326">
        <f t="shared" si="106"/>
        <v>9570</v>
      </c>
      <c r="G1320" s="2326">
        <f t="shared" si="107"/>
        <v>8118</v>
      </c>
    </row>
    <row r="1321" spans="1:7" ht="15.75">
      <c r="A1321" s="2486">
        <f t="shared" si="108"/>
        <v>62875</v>
      </c>
      <c r="B1321" s="2325">
        <v>62850</v>
      </c>
      <c r="C1321" s="2325">
        <v>62900</v>
      </c>
      <c r="D1321" s="2326">
        <f t="shared" si="104"/>
        <v>9581</v>
      </c>
      <c r="E1321" s="2326">
        <f t="shared" si="105"/>
        <v>7147</v>
      </c>
      <c r="F1321" s="2326">
        <f t="shared" si="106"/>
        <v>9581</v>
      </c>
      <c r="G1321" s="2326">
        <f t="shared" si="107"/>
        <v>8129</v>
      </c>
    </row>
    <row r="1322" spans="1:7" ht="15.75">
      <c r="A1322" s="2486">
        <f t="shared" si="108"/>
        <v>62925</v>
      </c>
      <c r="B1322" s="2325">
        <v>62900</v>
      </c>
      <c r="C1322" s="2325">
        <v>62950</v>
      </c>
      <c r="D1322" s="2326">
        <f t="shared" si="104"/>
        <v>9592</v>
      </c>
      <c r="E1322" s="2326">
        <f t="shared" si="105"/>
        <v>7153</v>
      </c>
      <c r="F1322" s="2326">
        <f t="shared" si="106"/>
        <v>9592</v>
      </c>
      <c r="G1322" s="2326">
        <f t="shared" si="107"/>
        <v>8140</v>
      </c>
    </row>
    <row r="1323" spans="1:7" ht="15.75">
      <c r="A1323" s="2486">
        <f t="shared" si="108"/>
        <v>62975</v>
      </c>
      <c r="B1323" s="2325">
        <v>62950</v>
      </c>
      <c r="C1323" s="2325">
        <v>63000</v>
      </c>
      <c r="D1323" s="2326">
        <f t="shared" si="104"/>
        <v>9603</v>
      </c>
      <c r="E1323" s="2326">
        <f t="shared" si="105"/>
        <v>7159</v>
      </c>
      <c r="F1323" s="2326">
        <f t="shared" si="106"/>
        <v>9603</v>
      </c>
      <c r="G1323" s="2326">
        <f t="shared" si="107"/>
        <v>8151</v>
      </c>
    </row>
    <row r="1324" spans="1:7" ht="15.75">
      <c r="A1324" s="2486">
        <f t="shared" si="108"/>
        <v>63025</v>
      </c>
      <c r="B1324" s="2325">
        <v>63000</v>
      </c>
      <c r="C1324" s="2325">
        <v>63050</v>
      </c>
      <c r="D1324" s="2326">
        <f t="shared" si="104"/>
        <v>9614</v>
      </c>
      <c r="E1324" s="2326">
        <f t="shared" si="105"/>
        <v>7165</v>
      </c>
      <c r="F1324" s="2326">
        <f t="shared" si="106"/>
        <v>9614</v>
      </c>
      <c r="G1324" s="2326">
        <f t="shared" si="107"/>
        <v>8162</v>
      </c>
    </row>
    <row r="1325" spans="1:7" ht="15.75">
      <c r="A1325" s="2486">
        <f t="shared" si="108"/>
        <v>63075</v>
      </c>
      <c r="B1325" s="2325">
        <v>63050</v>
      </c>
      <c r="C1325" s="2325">
        <v>63100</v>
      </c>
      <c r="D1325" s="2326">
        <f t="shared" si="104"/>
        <v>9625</v>
      </c>
      <c r="E1325" s="2326">
        <f t="shared" si="105"/>
        <v>7171</v>
      </c>
      <c r="F1325" s="2326">
        <f t="shared" si="106"/>
        <v>9625</v>
      </c>
      <c r="G1325" s="2326">
        <f t="shared" si="107"/>
        <v>8173</v>
      </c>
    </row>
    <row r="1326" spans="1:7" ht="15.75">
      <c r="A1326" s="2486">
        <f t="shared" si="108"/>
        <v>63125</v>
      </c>
      <c r="B1326" s="2325">
        <v>63100</v>
      </c>
      <c r="C1326" s="2325">
        <v>63150</v>
      </c>
      <c r="D1326" s="2326">
        <f t="shared" si="104"/>
        <v>9636</v>
      </c>
      <c r="E1326" s="2326">
        <f t="shared" si="105"/>
        <v>7177</v>
      </c>
      <c r="F1326" s="2326">
        <f t="shared" si="106"/>
        <v>9636</v>
      </c>
      <c r="G1326" s="2326">
        <f t="shared" si="107"/>
        <v>8184</v>
      </c>
    </row>
    <row r="1327" spans="1:7" ht="15.75">
      <c r="A1327" s="2486">
        <f t="shared" si="108"/>
        <v>63175</v>
      </c>
      <c r="B1327" s="2325">
        <v>63150</v>
      </c>
      <c r="C1327" s="2325">
        <v>63200</v>
      </c>
      <c r="D1327" s="2326">
        <f t="shared" si="104"/>
        <v>9647</v>
      </c>
      <c r="E1327" s="2326">
        <f t="shared" si="105"/>
        <v>7183</v>
      </c>
      <c r="F1327" s="2326">
        <f t="shared" si="106"/>
        <v>9647</v>
      </c>
      <c r="G1327" s="2326">
        <f t="shared" si="107"/>
        <v>8195</v>
      </c>
    </row>
    <row r="1328" spans="1:7" ht="15.75">
      <c r="A1328" s="2486">
        <f t="shared" si="108"/>
        <v>63225</v>
      </c>
      <c r="B1328" s="2325">
        <v>63200</v>
      </c>
      <c r="C1328" s="2325">
        <v>63250</v>
      </c>
      <c r="D1328" s="2326">
        <f t="shared" si="104"/>
        <v>9658</v>
      </c>
      <c r="E1328" s="2326">
        <f t="shared" si="105"/>
        <v>7189</v>
      </c>
      <c r="F1328" s="2326">
        <f t="shared" si="106"/>
        <v>9658</v>
      </c>
      <c r="G1328" s="2326">
        <f t="shared" si="107"/>
        <v>8206</v>
      </c>
    </row>
    <row r="1329" spans="1:7" ht="15.75">
      <c r="A1329" s="2486">
        <f t="shared" si="108"/>
        <v>63275</v>
      </c>
      <c r="B1329" s="2325">
        <v>63250</v>
      </c>
      <c r="C1329" s="2325">
        <v>63300</v>
      </c>
      <c r="D1329" s="2326">
        <f t="shared" si="104"/>
        <v>9669</v>
      </c>
      <c r="E1329" s="2326">
        <f t="shared" si="105"/>
        <v>7195</v>
      </c>
      <c r="F1329" s="2326">
        <f t="shared" si="106"/>
        <v>9669</v>
      </c>
      <c r="G1329" s="2326">
        <f t="shared" si="107"/>
        <v>8217</v>
      </c>
    </row>
    <row r="1330" spans="1:7" ht="15.75">
      <c r="A1330" s="2486">
        <f t="shared" si="108"/>
        <v>63325</v>
      </c>
      <c r="B1330" s="2325">
        <v>63300</v>
      </c>
      <c r="C1330" s="2325">
        <v>63350</v>
      </c>
      <c r="D1330" s="2326">
        <f t="shared" si="104"/>
        <v>9680</v>
      </c>
      <c r="E1330" s="2326">
        <f t="shared" si="105"/>
        <v>7201</v>
      </c>
      <c r="F1330" s="2326">
        <f t="shared" si="106"/>
        <v>9680</v>
      </c>
      <c r="G1330" s="2326">
        <f t="shared" si="107"/>
        <v>8228</v>
      </c>
    </row>
    <row r="1331" spans="1:7" ht="15.75">
      <c r="A1331" s="2486">
        <f t="shared" si="108"/>
        <v>63375</v>
      </c>
      <c r="B1331" s="2325">
        <v>63350</v>
      </c>
      <c r="C1331" s="2325">
        <v>63400</v>
      </c>
      <c r="D1331" s="2326">
        <f t="shared" si="104"/>
        <v>9691</v>
      </c>
      <c r="E1331" s="2326">
        <f t="shared" si="105"/>
        <v>7207</v>
      </c>
      <c r="F1331" s="2326">
        <f t="shared" si="106"/>
        <v>9691</v>
      </c>
      <c r="G1331" s="2326">
        <f t="shared" si="107"/>
        <v>8239</v>
      </c>
    </row>
    <row r="1332" spans="1:7" ht="15.75">
      <c r="A1332" s="2486">
        <f t="shared" si="108"/>
        <v>63425</v>
      </c>
      <c r="B1332" s="2325">
        <v>63400</v>
      </c>
      <c r="C1332" s="2325">
        <v>63450</v>
      </c>
      <c r="D1332" s="2326">
        <f t="shared" si="104"/>
        <v>9702</v>
      </c>
      <c r="E1332" s="2326">
        <f t="shared" si="105"/>
        <v>7213</v>
      </c>
      <c r="F1332" s="2326">
        <f t="shared" si="106"/>
        <v>9702</v>
      </c>
      <c r="G1332" s="2326">
        <f t="shared" si="107"/>
        <v>8250</v>
      </c>
    </row>
    <row r="1333" spans="1:7" ht="15.75">
      <c r="A1333" s="2486">
        <f t="shared" si="108"/>
        <v>63475</v>
      </c>
      <c r="B1333" s="2325">
        <v>63450</v>
      </c>
      <c r="C1333" s="2325">
        <v>63500</v>
      </c>
      <c r="D1333" s="2326">
        <f t="shared" si="104"/>
        <v>9713</v>
      </c>
      <c r="E1333" s="2326">
        <f t="shared" si="105"/>
        <v>7219</v>
      </c>
      <c r="F1333" s="2326">
        <f t="shared" si="106"/>
        <v>9713</v>
      </c>
      <c r="G1333" s="2326">
        <f t="shared" si="107"/>
        <v>8261</v>
      </c>
    </row>
    <row r="1334" spans="1:7" ht="15.75">
      <c r="A1334" s="2486">
        <f t="shared" si="108"/>
        <v>63525</v>
      </c>
      <c r="B1334" s="2325">
        <v>63500</v>
      </c>
      <c r="C1334" s="2325">
        <v>63550</v>
      </c>
      <c r="D1334" s="2326">
        <f t="shared" si="104"/>
        <v>9724</v>
      </c>
      <c r="E1334" s="2326">
        <f t="shared" si="105"/>
        <v>7225</v>
      </c>
      <c r="F1334" s="2326">
        <f t="shared" si="106"/>
        <v>9724</v>
      </c>
      <c r="G1334" s="2326">
        <f t="shared" si="107"/>
        <v>8272</v>
      </c>
    </row>
    <row r="1335" spans="1:7" ht="15.75">
      <c r="A1335" s="2486">
        <f t="shared" si="108"/>
        <v>63575</v>
      </c>
      <c r="B1335" s="2325">
        <v>63550</v>
      </c>
      <c r="C1335" s="2325">
        <v>63600</v>
      </c>
      <c r="D1335" s="2326">
        <f t="shared" si="104"/>
        <v>9735</v>
      </c>
      <c r="E1335" s="2326">
        <f t="shared" si="105"/>
        <v>7231</v>
      </c>
      <c r="F1335" s="2326">
        <f t="shared" si="106"/>
        <v>9735</v>
      </c>
      <c r="G1335" s="2326">
        <f t="shared" si="107"/>
        <v>8283</v>
      </c>
    </row>
    <row r="1336" spans="1:7" ht="15.75">
      <c r="A1336" s="2486">
        <f t="shared" si="108"/>
        <v>63625</v>
      </c>
      <c r="B1336" s="2325">
        <v>63600</v>
      </c>
      <c r="C1336" s="2325">
        <v>63650</v>
      </c>
      <c r="D1336" s="2326">
        <f t="shared" si="104"/>
        <v>9746</v>
      </c>
      <c r="E1336" s="2326">
        <f t="shared" si="105"/>
        <v>7237</v>
      </c>
      <c r="F1336" s="2326">
        <f t="shared" si="106"/>
        <v>9746</v>
      </c>
      <c r="G1336" s="2326">
        <f t="shared" si="107"/>
        <v>8294</v>
      </c>
    </row>
    <row r="1337" spans="1:7" ht="15.75">
      <c r="A1337" s="2486">
        <f t="shared" si="108"/>
        <v>63675</v>
      </c>
      <c r="B1337" s="2325">
        <v>63650</v>
      </c>
      <c r="C1337" s="2325">
        <v>63700</v>
      </c>
      <c r="D1337" s="2326">
        <f t="shared" si="104"/>
        <v>9757</v>
      </c>
      <c r="E1337" s="2326">
        <f t="shared" si="105"/>
        <v>7243</v>
      </c>
      <c r="F1337" s="2326">
        <f t="shared" si="106"/>
        <v>9757</v>
      </c>
      <c r="G1337" s="2326">
        <f t="shared" si="107"/>
        <v>8305</v>
      </c>
    </row>
    <row r="1338" spans="1:7" ht="15.75">
      <c r="A1338" s="2486">
        <f t="shared" si="108"/>
        <v>63725</v>
      </c>
      <c r="B1338" s="2325">
        <v>63700</v>
      </c>
      <c r="C1338" s="2325">
        <v>63750</v>
      </c>
      <c r="D1338" s="2326">
        <f t="shared" si="104"/>
        <v>9768</v>
      </c>
      <c r="E1338" s="2326">
        <f t="shared" si="105"/>
        <v>7249</v>
      </c>
      <c r="F1338" s="2326">
        <f t="shared" si="106"/>
        <v>9768</v>
      </c>
      <c r="G1338" s="2326">
        <f t="shared" si="107"/>
        <v>8316</v>
      </c>
    </row>
    <row r="1339" spans="1:7" ht="15.75">
      <c r="A1339" s="2486">
        <f t="shared" si="108"/>
        <v>63775</v>
      </c>
      <c r="B1339" s="2325">
        <v>63750</v>
      </c>
      <c r="C1339" s="2325">
        <v>63800</v>
      </c>
      <c r="D1339" s="2326">
        <f t="shared" si="104"/>
        <v>9779</v>
      </c>
      <c r="E1339" s="2326">
        <f t="shared" si="105"/>
        <v>7255</v>
      </c>
      <c r="F1339" s="2326">
        <f t="shared" si="106"/>
        <v>9779</v>
      </c>
      <c r="G1339" s="2326">
        <f t="shared" si="107"/>
        <v>8327</v>
      </c>
    </row>
    <row r="1340" spans="1:7" ht="15.75">
      <c r="A1340" s="2486">
        <f t="shared" si="108"/>
        <v>63825</v>
      </c>
      <c r="B1340" s="2325">
        <v>63800</v>
      </c>
      <c r="C1340" s="2325">
        <v>63850</v>
      </c>
      <c r="D1340" s="2326">
        <f t="shared" si="104"/>
        <v>9790</v>
      </c>
      <c r="E1340" s="2326">
        <f t="shared" si="105"/>
        <v>7261</v>
      </c>
      <c r="F1340" s="2326">
        <f t="shared" si="106"/>
        <v>9790</v>
      </c>
      <c r="G1340" s="2326">
        <f t="shared" si="107"/>
        <v>8338</v>
      </c>
    </row>
    <row r="1341" spans="1:7" ht="15.75">
      <c r="A1341" s="2486">
        <f t="shared" si="108"/>
        <v>63875</v>
      </c>
      <c r="B1341" s="2325">
        <v>63850</v>
      </c>
      <c r="C1341" s="2325">
        <v>63900</v>
      </c>
      <c r="D1341" s="2326">
        <f t="shared" si="104"/>
        <v>9801</v>
      </c>
      <c r="E1341" s="2326">
        <f t="shared" si="105"/>
        <v>7267</v>
      </c>
      <c r="F1341" s="2326">
        <f t="shared" si="106"/>
        <v>9801</v>
      </c>
      <c r="G1341" s="2326">
        <f t="shared" si="107"/>
        <v>8349</v>
      </c>
    </row>
    <row r="1342" spans="1:7" ht="15.75">
      <c r="A1342" s="2486">
        <f t="shared" si="108"/>
        <v>63925</v>
      </c>
      <c r="B1342" s="2325">
        <v>63900</v>
      </c>
      <c r="C1342" s="2325">
        <v>63950</v>
      </c>
      <c r="D1342" s="2326">
        <f t="shared" si="104"/>
        <v>9812</v>
      </c>
      <c r="E1342" s="2326">
        <f t="shared" si="105"/>
        <v>7273</v>
      </c>
      <c r="F1342" s="2326">
        <f t="shared" si="106"/>
        <v>9812</v>
      </c>
      <c r="G1342" s="2326">
        <f t="shared" si="107"/>
        <v>8360</v>
      </c>
    </row>
    <row r="1343" spans="1:7" ht="15.75">
      <c r="A1343" s="2486">
        <f t="shared" si="108"/>
        <v>63975</v>
      </c>
      <c r="B1343" s="2325">
        <v>63950</v>
      </c>
      <c r="C1343" s="2325">
        <v>64000</v>
      </c>
      <c r="D1343" s="2326">
        <f t="shared" si="104"/>
        <v>9823</v>
      </c>
      <c r="E1343" s="2326">
        <f t="shared" si="105"/>
        <v>7279</v>
      </c>
      <c r="F1343" s="2326">
        <f t="shared" si="106"/>
        <v>9823</v>
      </c>
      <c r="G1343" s="2326">
        <f t="shared" si="107"/>
        <v>8371</v>
      </c>
    </row>
    <row r="1344" spans="1:7" ht="15.75">
      <c r="A1344" s="2486">
        <f t="shared" si="108"/>
        <v>64025</v>
      </c>
      <c r="B1344" s="2325">
        <v>64000</v>
      </c>
      <c r="C1344" s="2325">
        <v>64050</v>
      </c>
      <c r="D1344" s="2326">
        <f t="shared" si="104"/>
        <v>9834</v>
      </c>
      <c r="E1344" s="2326">
        <f t="shared" si="105"/>
        <v>7285</v>
      </c>
      <c r="F1344" s="2326">
        <f t="shared" si="106"/>
        <v>9834</v>
      </c>
      <c r="G1344" s="2326">
        <f t="shared" si="107"/>
        <v>8382</v>
      </c>
    </row>
    <row r="1345" spans="1:7" ht="15.75">
      <c r="A1345" s="2486">
        <f t="shared" si="108"/>
        <v>64075</v>
      </c>
      <c r="B1345" s="2325">
        <v>64050</v>
      </c>
      <c r="C1345" s="2325">
        <v>64100</v>
      </c>
      <c r="D1345" s="2326">
        <f t="shared" si="104"/>
        <v>9845</v>
      </c>
      <c r="E1345" s="2326">
        <f t="shared" si="105"/>
        <v>7291</v>
      </c>
      <c r="F1345" s="2326">
        <f t="shared" si="106"/>
        <v>9845</v>
      </c>
      <c r="G1345" s="2326">
        <f t="shared" si="107"/>
        <v>8393</v>
      </c>
    </row>
    <row r="1346" spans="1:7" ht="15.75">
      <c r="A1346" s="2486">
        <f t="shared" si="108"/>
        <v>64125</v>
      </c>
      <c r="B1346" s="2325">
        <v>64100</v>
      </c>
      <c r="C1346" s="2325">
        <v>64150</v>
      </c>
      <c r="D1346" s="2326">
        <f t="shared" ref="D1346:D1409" si="109">IF($A1346&gt;BOTT_A4,ROUND(BASE_A4+RATE_A4*($A1346-BOTT_A4),0),IF($A1346&gt;BOTT_A3,ROUND(BASE_A3+RATE_A3*($A1346-BOTT_A3),0),IF($A1346&gt;BOTT_A2,ROUND(BASE_A2+RATE_A2*($A1346-BOTT_A2),0),ROUND(RATE_A1*$A1346,0))))</f>
        <v>9856</v>
      </c>
      <c r="E1346" s="2326">
        <f t="shared" ref="E1346:E1409" si="110">IF($A1346&gt;BOTT_B4,ROUND(BASE_B4+RATE_B4*($A1346-BOTT_B4),0),IF($A1346&gt;BOTT_B3,ROUND(BASE_B3+RATE_B3*($A1346-BOTT_B3),0),IF($A1346&gt;BOTT_B2,ROUND(BASE_B2+RATE_B2*($A1346-BOTT_B2),0),ROUND(RATE_B1*$A1346,0))))</f>
        <v>7297</v>
      </c>
      <c r="F1346" s="2326">
        <f t="shared" ref="F1346:F1409" si="111">IF($A1346&gt;BOTT_C4,ROUND(BASE_C4+RATE_C4*($A1346-BOTT_C4),0),IF($A1346&gt;BOTT_C3,ROUND(BASE_C3+RATE_C3*($A1346-BOTT_C3),0),IF($A1346&gt;BOTT_C2,ROUND(BASE_C2+RATE_C2*($A1346-BOTT_C2),0),ROUND(RATE_C1*$A1346,0))))</f>
        <v>9856</v>
      </c>
      <c r="G1346" s="2326">
        <f t="shared" ref="G1346:G1409" si="112">IF($A1346&gt;BOTT_D4,ROUND(BASE_D4+RATE_D4*($A1346-BOTT_D4),0),IF($A1346&gt;BOTT_D3,ROUND(BASE_D3+RATE_D3*($A1346-BOTT_D3),0),IF($A1346&gt;BOTT_D2,ROUND(BASE_D2+RATE_D2*($A1346-BOTT_D2),0),ROUND(RATE_D1*$A1346,0))))</f>
        <v>8404</v>
      </c>
    </row>
    <row r="1347" spans="1:7" ht="15.75">
      <c r="A1347" s="2486">
        <f t="shared" ref="A1347:A1410" si="113">AVERAGE(B1347,C1347)</f>
        <v>64175</v>
      </c>
      <c r="B1347" s="2325">
        <v>64150</v>
      </c>
      <c r="C1347" s="2325">
        <v>64200</v>
      </c>
      <c r="D1347" s="2326">
        <f t="shared" si="109"/>
        <v>9867</v>
      </c>
      <c r="E1347" s="2326">
        <f t="shared" si="110"/>
        <v>7303</v>
      </c>
      <c r="F1347" s="2326">
        <f t="shared" si="111"/>
        <v>9867</v>
      </c>
      <c r="G1347" s="2326">
        <f t="shared" si="112"/>
        <v>8415</v>
      </c>
    </row>
    <row r="1348" spans="1:7" ht="15.75">
      <c r="A1348" s="2486">
        <f t="shared" si="113"/>
        <v>64225</v>
      </c>
      <c r="B1348" s="2325">
        <v>64200</v>
      </c>
      <c r="C1348" s="2325">
        <v>64250</v>
      </c>
      <c r="D1348" s="2326">
        <f t="shared" si="109"/>
        <v>9878</v>
      </c>
      <c r="E1348" s="2326">
        <f t="shared" si="110"/>
        <v>7309</v>
      </c>
      <c r="F1348" s="2326">
        <f t="shared" si="111"/>
        <v>9878</v>
      </c>
      <c r="G1348" s="2326">
        <f t="shared" si="112"/>
        <v>8426</v>
      </c>
    </row>
    <row r="1349" spans="1:7" ht="15.75">
      <c r="A1349" s="2486">
        <f t="shared" si="113"/>
        <v>64275</v>
      </c>
      <c r="B1349" s="2325">
        <v>64250</v>
      </c>
      <c r="C1349" s="2325">
        <v>64300</v>
      </c>
      <c r="D1349" s="2326">
        <f t="shared" si="109"/>
        <v>9889</v>
      </c>
      <c r="E1349" s="2326">
        <f t="shared" si="110"/>
        <v>7315</v>
      </c>
      <c r="F1349" s="2326">
        <f t="shared" si="111"/>
        <v>9889</v>
      </c>
      <c r="G1349" s="2326">
        <f t="shared" si="112"/>
        <v>8437</v>
      </c>
    </row>
    <row r="1350" spans="1:7" ht="15.75">
      <c r="A1350" s="2486">
        <f t="shared" si="113"/>
        <v>64325</v>
      </c>
      <c r="B1350" s="2325">
        <v>64300</v>
      </c>
      <c r="C1350" s="2325">
        <v>64350</v>
      </c>
      <c r="D1350" s="2326">
        <f t="shared" si="109"/>
        <v>9900</v>
      </c>
      <c r="E1350" s="2326">
        <f t="shared" si="110"/>
        <v>7321</v>
      </c>
      <c r="F1350" s="2326">
        <f t="shared" si="111"/>
        <v>9900</v>
      </c>
      <c r="G1350" s="2326">
        <f t="shared" si="112"/>
        <v>8448</v>
      </c>
    </row>
    <row r="1351" spans="1:7" ht="15.75">
      <c r="A1351" s="2486">
        <f t="shared" si="113"/>
        <v>64375</v>
      </c>
      <c r="B1351" s="2325">
        <v>64350</v>
      </c>
      <c r="C1351" s="2325">
        <v>64400</v>
      </c>
      <c r="D1351" s="2326">
        <f t="shared" si="109"/>
        <v>9911</v>
      </c>
      <c r="E1351" s="2326">
        <f t="shared" si="110"/>
        <v>7327</v>
      </c>
      <c r="F1351" s="2326">
        <f t="shared" si="111"/>
        <v>9911</v>
      </c>
      <c r="G1351" s="2326">
        <f t="shared" si="112"/>
        <v>8459</v>
      </c>
    </row>
    <row r="1352" spans="1:7" ht="15.75">
      <c r="A1352" s="2486">
        <f t="shared" si="113"/>
        <v>64425</v>
      </c>
      <c r="B1352" s="2325">
        <v>64400</v>
      </c>
      <c r="C1352" s="2325">
        <v>64450</v>
      </c>
      <c r="D1352" s="2326">
        <f t="shared" si="109"/>
        <v>9922</v>
      </c>
      <c r="E1352" s="2326">
        <f t="shared" si="110"/>
        <v>7333</v>
      </c>
      <c r="F1352" s="2326">
        <f t="shared" si="111"/>
        <v>9922</v>
      </c>
      <c r="G1352" s="2326">
        <f t="shared" si="112"/>
        <v>8470</v>
      </c>
    </row>
    <row r="1353" spans="1:7" ht="15.75">
      <c r="A1353" s="2486">
        <f t="shared" si="113"/>
        <v>64475</v>
      </c>
      <c r="B1353" s="2325">
        <v>64450</v>
      </c>
      <c r="C1353" s="2325">
        <v>64500</v>
      </c>
      <c r="D1353" s="2326">
        <f t="shared" si="109"/>
        <v>9933</v>
      </c>
      <c r="E1353" s="2326">
        <f t="shared" si="110"/>
        <v>7339</v>
      </c>
      <c r="F1353" s="2326">
        <f t="shared" si="111"/>
        <v>9933</v>
      </c>
      <c r="G1353" s="2326">
        <f t="shared" si="112"/>
        <v>8481</v>
      </c>
    </row>
    <row r="1354" spans="1:7" ht="15.75">
      <c r="A1354" s="2486">
        <f t="shared" si="113"/>
        <v>64525</v>
      </c>
      <c r="B1354" s="2325">
        <v>64500</v>
      </c>
      <c r="C1354" s="2325">
        <v>64550</v>
      </c>
      <c r="D1354" s="2326">
        <f t="shared" si="109"/>
        <v>9944</v>
      </c>
      <c r="E1354" s="2326">
        <f t="shared" si="110"/>
        <v>7345</v>
      </c>
      <c r="F1354" s="2326">
        <f t="shared" si="111"/>
        <v>9944</v>
      </c>
      <c r="G1354" s="2326">
        <f t="shared" si="112"/>
        <v>8492</v>
      </c>
    </row>
    <row r="1355" spans="1:7" ht="15.75">
      <c r="A1355" s="2486">
        <f t="shared" si="113"/>
        <v>64575</v>
      </c>
      <c r="B1355" s="2325">
        <v>64550</v>
      </c>
      <c r="C1355" s="2325">
        <v>64600</v>
      </c>
      <c r="D1355" s="2326">
        <f t="shared" si="109"/>
        <v>9955</v>
      </c>
      <c r="E1355" s="2326">
        <f t="shared" si="110"/>
        <v>7351</v>
      </c>
      <c r="F1355" s="2326">
        <f t="shared" si="111"/>
        <v>9955</v>
      </c>
      <c r="G1355" s="2326">
        <f t="shared" si="112"/>
        <v>8503</v>
      </c>
    </row>
    <row r="1356" spans="1:7" ht="15.75">
      <c r="A1356" s="2486">
        <f t="shared" si="113"/>
        <v>64625</v>
      </c>
      <c r="B1356" s="2325">
        <v>64600</v>
      </c>
      <c r="C1356" s="2325">
        <v>64650</v>
      </c>
      <c r="D1356" s="2326">
        <f t="shared" si="109"/>
        <v>9966</v>
      </c>
      <c r="E1356" s="2326">
        <f t="shared" si="110"/>
        <v>7357</v>
      </c>
      <c r="F1356" s="2326">
        <f t="shared" si="111"/>
        <v>9966</v>
      </c>
      <c r="G1356" s="2326">
        <f t="shared" si="112"/>
        <v>8514</v>
      </c>
    </row>
    <row r="1357" spans="1:7" ht="15.75">
      <c r="A1357" s="2486">
        <f t="shared" si="113"/>
        <v>64675</v>
      </c>
      <c r="B1357" s="2325">
        <v>64650</v>
      </c>
      <c r="C1357" s="2325">
        <v>64700</v>
      </c>
      <c r="D1357" s="2326">
        <f t="shared" si="109"/>
        <v>9977</v>
      </c>
      <c r="E1357" s="2326">
        <f t="shared" si="110"/>
        <v>7363</v>
      </c>
      <c r="F1357" s="2326">
        <f t="shared" si="111"/>
        <v>9977</v>
      </c>
      <c r="G1357" s="2326">
        <f t="shared" si="112"/>
        <v>8525</v>
      </c>
    </row>
    <row r="1358" spans="1:7" ht="15.75">
      <c r="A1358" s="2486">
        <f t="shared" si="113"/>
        <v>64725</v>
      </c>
      <c r="B1358" s="2325">
        <v>64700</v>
      </c>
      <c r="C1358" s="2325">
        <v>64750</v>
      </c>
      <c r="D1358" s="2326">
        <f t="shared" si="109"/>
        <v>9988</v>
      </c>
      <c r="E1358" s="2326">
        <f t="shared" si="110"/>
        <v>7369</v>
      </c>
      <c r="F1358" s="2326">
        <f t="shared" si="111"/>
        <v>9988</v>
      </c>
      <c r="G1358" s="2326">
        <f t="shared" si="112"/>
        <v>8536</v>
      </c>
    </row>
    <row r="1359" spans="1:7" ht="15.75">
      <c r="A1359" s="2486">
        <f t="shared" si="113"/>
        <v>64775</v>
      </c>
      <c r="B1359" s="2325">
        <v>64750</v>
      </c>
      <c r="C1359" s="2325">
        <v>64800</v>
      </c>
      <c r="D1359" s="2326">
        <f t="shared" si="109"/>
        <v>9999</v>
      </c>
      <c r="E1359" s="2326">
        <f t="shared" si="110"/>
        <v>7375</v>
      </c>
      <c r="F1359" s="2326">
        <f t="shared" si="111"/>
        <v>9999</v>
      </c>
      <c r="G1359" s="2326">
        <f t="shared" si="112"/>
        <v>8547</v>
      </c>
    </row>
    <row r="1360" spans="1:7" ht="15.75">
      <c r="A1360" s="2486">
        <f t="shared" si="113"/>
        <v>64825</v>
      </c>
      <c r="B1360" s="2325">
        <v>64800</v>
      </c>
      <c r="C1360" s="2325">
        <v>64850</v>
      </c>
      <c r="D1360" s="2326">
        <f t="shared" si="109"/>
        <v>10010</v>
      </c>
      <c r="E1360" s="2326">
        <f t="shared" si="110"/>
        <v>7381</v>
      </c>
      <c r="F1360" s="2326">
        <f t="shared" si="111"/>
        <v>10010</v>
      </c>
      <c r="G1360" s="2326">
        <f t="shared" si="112"/>
        <v>8558</v>
      </c>
    </row>
    <row r="1361" spans="1:7" ht="15.75">
      <c r="A1361" s="2486">
        <f t="shared" si="113"/>
        <v>64875</v>
      </c>
      <c r="B1361" s="2325">
        <v>64850</v>
      </c>
      <c r="C1361" s="2325">
        <v>64900</v>
      </c>
      <c r="D1361" s="2326">
        <f t="shared" si="109"/>
        <v>10021</v>
      </c>
      <c r="E1361" s="2326">
        <f t="shared" si="110"/>
        <v>7387</v>
      </c>
      <c r="F1361" s="2326">
        <f t="shared" si="111"/>
        <v>10021</v>
      </c>
      <c r="G1361" s="2326">
        <f t="shared" si="112"/>
        <v>8569</v>
      </c>
    </row>
    <row r="1362" spans="1:7" ht="15.75">
      <c r="A1362" s="2486">
        <f t="shared" si="113"/>
        <v>64925</v>
      </c>
      <c r="B1362" s="2325">
        <v>64900</v>
      </c>
      <c r="C1362" s="2325">
        <v>64950</v>
      </c>
      <c r="D1362" s="2326">
        <f t="shared" si="109"/>
        <v>10032</v>
      </c>
      <c r="E1362" s="2326">
        <f t="shared" si="110"/>
        <v>7393</v>
      </c>
      <c r="F1362" s="2326">
        <f t="shared" si="111"/>
        <v>10032</v>
      </c>
      <c r="G1362" s="2326">
        <f t="shared" si="112"/>
        <v>8580</v>
      </c>
    </row>
    <row r="1363" spans="1:7" ht="15.75">
      <c r="A1363" s="2486">
        <f t="shared" si="113"/>
        <v>64975</v>
      </c>
      <c r="B1363" s="2325">
        <v>64950</v>
      </c>
      <c r="C1363" s="2325">
        <v>65000</v>
      </c>
      <c r="D1363" s="2326">
        <f t="shared" si="109"/>
        <v>10043</v>
      </c>
      <c r="E1363" s="2326">
        <f t="shared" si="110"/>
        <v>7399</v>
      </c>
      <c r="F1363" s="2326">
        <f t="shared" si="111"/>
        <v>10043</v>
      </c>
      <c r="G1363" s="2326">
        <f t="shared" si="112"/>
        <v>8591</v>
      </c>
    </row>
    <row r="1364" spans="1:7" ht="15.75">
      <c r="A1364" s="2486">
        <f t="shared" si="113"/>
        <v>65025</v>
      </c>
      <c r="B1364" s="2325">
        <v>65000</v>
      </c>
      <c r="C1364" s="2325">
        <v>65050</v>
      </c>
      <c r="D1364" s="2326">
        <f t="shared" si="109"/>
        <v>10054</v>
      </c>
      <c r="E1364" s="2326">
        <f t="shared" si="110"/>
        <v>7405</v>
      </c>
      <c r="F1364" s="2326">
        <f t="shared" si="111"/>
        <v>10054</v>
      </c>
      <c r="G1364" s="2326">
        <f t="shared" si="112"/>
        <v>8602</v>
      </c>
    </row>
    <row r="1365" spans="1:7" ht="15.75">
      <c r="A1365" s="2486">
        <f t="shared" si="113"/>
        <v>65075</v>
      </c>
      <c r="B1365" s="2325">
        <v>65050</v>
      </c>
      <c r="C1365" s="2325">
        <v>65100</v>
      </c>
      <c r="D1365" s="2326">
        <f t="shared" si="109"/>
        <v>10065</v>
      </c>
      <c r="E1365" s="2326">
        <f t="shared" si="110"/>
        <v>7411</v>
      </c>
      <c r="F1365" s="2326">
        <f t="shared" si="111"/>
        <v>10065</v>
      </c>
      <c r="G1365" s="2326">
        <f t="shared" si="112"/>
        <v>8613</v>
      </c>
    </row>
    <row r="1366" spans="1:7" ht="15.75">
      <c r="A1366" s="2486">
        <f t="shared" si="113"/>
        <v>65125</v>
      </c>
      <c r="B1366" s="2325">
        <v>65100</v>
      </c>
      <c r="C1366" s="2325">
        <v>65150</v>
      </c>
      <c r="D1366" s="2326">
        <f t="shared" si="109"/>
        <v>10076</v>
      </c>
      <c r="E1366" s="2326">
        <f t="shared" si="110"/>
        <v>7417</v>
      </c>
      <c r="F1366" s="2326">
        <f t="shared" si="111"/>
        <v>10076</v>
      </c>
      <c r="G1366" s="2326">
        <f t="shared" si="112"/>
        <v>8624</v>
      </c>
    </row>
    <row r="1367" spans="1:7" ht="15.75">
      <c r="A1367" s="2486">
        <f t="shared" si="113"/>
        <v>65175</v>
      </c>
      <c r="B1367" s="2325">
        <v>65150</v>
      </c>
      <c r="C1367" s="2325">
        <v>65200</v>
      </c>
      <c r="D1367" s="2326">
        <f t="shared" si="109"/>
        <v>10087</v>
      </c>
      <c r="E1367" s="2326">
        <f t="shared" si="110"/>
        <v>7423</v>
      </c>
      <c r="F1367" s="2326">
        <f t="shared" si="111"/>
        <v>10087</v>
      </c>
      <c r="G1367" s="2326">
        <f t="shared" si="112"/>
        <v>8635</v>
      </c>
    </row>
    <row r="1368" spans="1:7" ht="15.75">
      <c r="A1368" s="2486">
        <f t="shared" si="113"/>
        <v>65225</v>
      </c>
      <c r="B1368" s="2325">
        <v>65200</v>
      </c>
      <c r="C1368" s="2325">
        <v>65250</v>
      </c>
      <c r="D1368" s="2326">
        <f t="shared" si="109"/>
        <v>10098</v>
      </c>
      <c r="E1368" s="2326">
        <f t="shared" si="110"/>
        <v>7429</v>
      </c>
      <c r="F1368" s="2326">
        <f t="shared" si="111"/>
        <v>10098</v>
      </c>
      <c r="G1368" s="2326">
        <f t="shared" si="112"/>
        <v>8646</v>
      </c>
    </row>
    <row r="1369" spans="1:7" ht="15.75">
      <c r="A1369" s="2486">
        <f t="shared" si="113"/>
        <v>65275</v>
      </c>
      <c r="B1369" s="2325">
        <v>65250</v>
      </c>
      <c r="C1369" s="2325">
        <v>65300</v>
      </c>
      <c r="D1369" s="2326">
        <f t="shared" si="109"/>
        <v>10109</v>
      </c>
      <c r="E1369" s="2326">
        <f t="shared" si="110"/>
        <v>7435</v>
      </c>
      <c r="F1369" s="2326">
        <f t="shared" si="111"/>
        <v>10109</v>
      </c>
      <c r="G1369" s="2326">
        <f t="shared" si="112"/>
        <v>8657</v>
      </c>
    </row>
    <row r="1370" spans="1:7" ht="15.75">
      <c r="A1370" s="2486">
        <f t="shared" si="113"/>
        <v>65325</v>
      </c>
      <c r="B1370" s="2325">
        <v>65300</v>
      </c>
      <c r="C1370" s="2325">
        <v>65350</v>
      </c>
      <c r="D1370" s="2326">
        <f t="shared" si="109"/>
        <v>10120</v>
      </c>
      <c r="E1370" s="2326">
        <f t="shared" si="110"/>
        <v>7441</v>
      </c>
      <c r="F1370" s="2326">
        <f t="shared" si="111"/>
        <v>10120</v>
      </c>
      <c r="G1370" s="2326">
        <f t="shared" si="112"/>
        <v>8668</v>
      </c>
    </row>
    <row r="1371" spans="1:7" ht="15.75">
      <c r="A1371" s="2486">
        <f t="shared" si="113"/>
        <v>65375</v>
      </c>
      <c r="B1371" s="2325">
        <v>65350</v>
      </c>
      <c r="C1371" s="2325">
        <v>65400</v>
      </c>
      <c r="D1371" s="2326">
        <f t="shared" si="109"/>
        <v>10131</v>
      </c>
      <c r="E1371" s="2326">
        <f t="shared" si="110"/>
        <v>7447</v>
      </c>
      <c r="F1371" s="2326">
        <f t="shared" si="111"/>
        <v>10131</v>
      </c>
      <c r="G1371" s="2326">
        <f t="shared" si="112"/>
        <v>8679</v>
      </c>
    </row>
    <row r="1372" spans="1:7" ht="15.75">
      <c r="A1372" s="2486">
        <f t="shared" si="113"/>
        <v>65425</v>
      </c>
      <c r="B1372" s="2325">
        <v>65400</v>
      </c>
      <c r="C1372" s="2325">
        <v>65450</v>
      </c>
      <c r="D1372" s="2326">
        <f t="shared" si="109"/>
        <v>10142</v>
      </c>
      <c r="E1372" s="2326">
        <f t="shared" si="110"/>
        <v>7453</v>
      </c>
      <c r="F1372" s="2326">
        <f t="shared" si="111"/>
        <v>10142</v>
      </c>
      <c r="G1372" s="2326">
        <f t="shared" si="112"/>
        <v>8690</v>
      </c>
    </row>
    <row r="1373" spans="1:7" ht="15.75">
      <c r="A1373" s="2486">
        <f t="shared" si="113"/>
        <v>65475</v>
      </c>
      <c r="B1373" s="2325">
        <v>65450</v>
      </c>
      <c r="C1373" s="2325">
        <v>65500</v>
      </c>
      <c r="D1373" s="2326">
        <f t="shared" si="109"/>
        <v>10153</v>
      </c>
      <c r="E1373" s="2326">
        <f t="shared" si="110"/>
        <v>7459</v>
      </c>
      <c r="F1373" s="2326">
        <f t="shared" si="111"/>
        <v>10153</v>
      </c>
      <c r="G1373" s="2326">
        <f t="shared" si="112"/>
        <v>8701</v>
      </c>
    </row>
    <row r="1374" spans="1:7" ht="15.75">
      <c r="A1374" s="2486">
        <f t="shared" si="113"/>
        <v>65525</v>
      </c>
      <c r="B1374" s="2325">
        <v>65500</v>
      </c>
      <c r="C1374" s="2325">
        <v>65550</v>
      </c>
      <c r="D1374" s="2326">
        <f t="shared" si="109"/>
        <v>10164</v>
      </c>
      <c r="E1374" s="2326">
        <f t="shared" si="110"/>
        <v>7465</v>
      </c>
      <c r="F1374" s="2326">
        <f t="shared" si="111"/>
        <v>10164</v>
      </c>
      <c r="G1374" s="2326">
        <f t="shared" si="112"/>
        <v>8712</v>
      </c>
    </row>
    <row r="1375" spans="1:7" ht="15.75">
      <c r="A1375" s="2486">
        <f t="shared" si="113"/>
        <v>65575</v>
      </c>
      <c r="B1375" s="2325">
        <v>65550</v>
      </c>
      <c r="C1375" s="2325">
        <v>65600</v>
      </c>
      <c r="D1375" s="2326">
        <f t="shared" si="109"/>
        <v>10175</v>
      </c>
      <c r="E1375" s="2326">
        <f t="shared" si="110"/>
        <v>7471</v>
      </c>
      <c r="F1375" s="2326">
        <f t="shared" si="111"/>
        <v>10175</v>
      </c>
      <c r="G1375" s="2326">
        <f t="shared" si="112"/>
        <v>8723</v>
      </c>
    </row>
    <row r="1376" spans="1:7" ht="15.75">
      <c r="A1376" s="2486">
        <f t="shared" si="113"/>
        <v>65625</v>
      </c>
      <c r="B1376" s="2325">
        <v>65600</v>
      </c>
      <c r="C1376" s="2325">
        <v>65650</v>
      </c>
      <c r="D1376" s="2326">
        <f t="shared" si="109"/>
        <v>10186</v>
      </c>
      <c r="E1376" s="2326">
        <f t="shared" si="110"/>
        <v>7477</v>
      </c>
      <c r="F1376" s="2326">
        <f t="shared" si="111"/>
        <v>10186</v>
      </c>
      <c r="G1376" s="2326">
        <f t="shared" si="112"/>
        <v>8734</v>
      </c>
    </row>
    <row r="1377" spans="1:7" ht="15.75">
      <c r="A1377" s="2486">
        <f t="shared" si="113"/>
        <v>65675</v>
      </c>
      <c r="B1377" s="2325">
        <v>65650</v>
      </c>
      <c r="C1377" s="2325">
        <v>65700</v>
      </c>
      <c r="D1377" s="2326">
        <f t="shared" si="109"/>
        <v>10197</v>
      </c>
      <c r="E1377" s="2326">
        <f t="shared" si="110"/>
        <v>7483</v>
      </c>
      <c r="F1377" s="2326">
        <f t="shared" si="111"/>
        <v>10197</v>
      </c>
      <c r="G1377" s="2326">
        <f t="shared" si="112"/>
        <v>8745</v>
      </c>
    </row>
    <row r="1378" spans="1:7" ht="15.75">
      <c r="A1378" s="2486">
        <f t="shared" si="113"/>
        <v>65725</v>
      </c>
      <c r="B1378" s="2325">
        <v>65700</v>
      </c>
      <c r="C1378" s="2325">
        <v>65750</v>
      </c>
      <c r="D1378" s="2326">
        <f t="shared" si="109"/>
        <v>10208</v>
      </c>
      <c r="E1378" s="2326">
        <f t="shared" si="110"/>
        <v>7489</v>
      </c>
      <c r="F1378" s="2326">
        <f t="shared" si="111"/>
        <v>10208</v>
      </c>
      <c r="G1378" s="2326">
        <f t="shared" si="112"/>
        <v>8756</v>
      </c>
    </row>
    <row r="1379" spans="1:7" ht="15.75">
      <c r="A1379" s="2486">
        <f t="shared" si="113"/>
        <v>65775</v>
      </c>
      <c r="B1379" s="2325">
        <v>65750</v>
      </c>
      <c r="C1379" s="2325">
        <v>65800</v>
      </c>
      <c r="D1379" s="2326">
        <f t="shared" si="109"/>
        <v>10219</v>
      </c>
      <c r="E1379" s="2326">
        <f t="shared" si="110"/>
        <v>7495</v>
      </c>
      <c r="F1379" s="2326">
        <f t="shared" si="111"/>
        <v>10219</v>
      </c>
      <c r="G1379" s="2326">
        <f t="shared" si="112"/>
        <v>8767</v>
      </c>
    </row>
    <row r="1380" spans="1:7" ht="15.75">
      <c r="A1380" s="2486">
        <f t="shared" si="113"/>
        <v>65825</v>
      </c>
      <c r="B1380" s="2325">
        <v>65800</v>
      </c>
      <c r="C1380" s="2325">
        <v>65850</v>
      </c>
      <c r="D1380" s="2326">
        <f t="shared" si="109"/>
        <v>10230</v>
      </c>
      <c r="E1380" s="2326">
        <f t="shared" si="110"/>
        <v>7501</v>
      </c>
      <c r="F1380" s="2326">
        <f t="shared" si="111"/>
        <v>10230</v>
      </c>
      <c r="G1380" s="2326">
        <f t="shared" si="112"/>
        <v>8778</v>
      </c>
    </row>
    <row r="1381" spans="1:7" ht="15.75">
      <c r="A1381" s="2486">
        <f t="shared" si="113"/>
        <v>65875</v>
      </c>
      <c r="B1381" s="2325">
        <v>65850</v>
      </c>
      <c r="C1381" s="2325">
        <v>65900</v>
      </c>
      <c r="D1381" s="2326">
        <f t="shared" si="109"/>
        <v>10241</v>
      </c>
      <c r="E1381" s="2326">
        <f t="shared" si="110"/>
        <v>7507</v>
      </c>
      <c r="F1381" s="2326">
        <f t="shared" si="111"/>
        <v>10241</v>
      </c>
      <c r="G1381" s="2326">
        <f t="shared" si="112"/>
        <v>8789</v>
      </c>
    </row>
    <row r="1382" spans="1:7" ht="15.75">
      <c r="A1382" s="2486">
        <f t="shared" si="113"/>
        <v>65925</v>
      </c>
      <c r="B1382" s="2325">
        <v>65900</v>
      </c>
      <c r="C1382" s="2325">
        <v>65950</v>
      </c>
      <c r="D1382" s="2326">
        <f t="shared" si="109"/>
        <v>10252</v>
      </c>
      <c r="E1382" s="2326">
        <f t="shared" si="110"/>
        <v>7513</v>
      </c>
      <c r="F1382" s="2326">
        <f t="shared" si="111"/>
        <v>10252</v>
      </c>
      <c r="G1382" s="2326">
        <f t="shared" si="112"/>
        <v>8800</v>
      </c>
    </row>
    <row r="1383" spans="1:7" ht="15.75">
      <c r="A1383" s="2486">
        <f t="shared" si="113"/>
        <v>65975</v>
      </c>
      <c r="B1383" s="2325">
        <v>65950</v>
      </c>
      <c r="C1383" s="2325">
        <v>66000</v>
      </c>
      <c r="D1383" s="2326">
        <f t="shared" si="109"/>
        <v>10263</v>
      </c>
      <c r="E1383" s="2326">
        <f t="shared" si="110"/>
        <v>7519</v>
      </c>
      <c r="F1383" s="2326">
        <f t="shared" si="111"/>
        <v>10263</v>
      </c>
      <c r="G1383" s="2326">
        <f t="shared" si="112"/>
        <v>8811</v>
      </c>
    </row>
    <row r="1384" spans="1:7" ht="15.75">
      <c r="A1384" s="2486">
        <f t="shared" si="113"/>
        <v>66025</v>
      </c>
      <c r="B1384" s="2325">
        <v>66000</v>
      </c>
      <c r="C1384" s="2325">
        <v>66050</v>
      </c>
      <c r="D1384" s="2326">
        <f t="shared" si="109"/>
        <v>10274</v>
      </c>
      <c r="E1384" s="2326">
        <f t="shared" si="110"/>
        <v>7525</v>
      </c>
      <c r="F1384" s="2326">
        <f t="shared" si="111"/>
        <v>10274</v>
      </c>
      <c r="G1384" s="2326">
        <f t="shared" si="112"/>
        <v>8822</v>
      </c>
    </row>
    <row r="1385" spans="1:7" ht="15.75">
      <c r="A1385" s="2486">
        <f t="shared" si="113"/>
        <v>66075</v>
      </c>
      <c r="B1385" s="2325">
        <v>66050</v>
      </c>
      <c r="C1385" s="2325">
        <v>66100</v>
      </c>
      <c r="D1385" s="2326">
        <f t="shared" si="109"/>
        <v>10285</v>
      </c>
      <c r="E1385" s="2326">
        <f t="shared" si="110"/>
        <v>7531</v>
      </c>
      <c r="F1385" s="2326">
        <f t="shared" si="111"/>
        <v>10285</v>
      </c>
      <c r="G1385" s="2326">
        <f t="shared" si="112"/>
        <v>8833</v>
      </c>
    </row>
    <row r="1386" spans="1:7" ht="15.75">
      <c r="A1386" s="2486">
        <f t="shared" si="113"/>
        <v>66125</v>
      </c>
      <c r="B1386" s="2325">
        <v>66100</v>
      </c>
      <c r="C1386" s="2325">
        <v>66150</v>
      </c>
      <c r="D1386" s="2326">
        <f t="shared" si="109"/>
        <v>10296</v>
      </c>
      <c r="E1386" s="2326">
        <f t="shared" si="110"/>
        <v>7537</v>
      </c>
      <c r="F1386" s="2326">
        <f t="shared" si="111"/>
        <v>10296</v>
      </c>
      <c r="G1386" s="2326">
        <f t="shared" si="112"/>
        <v>8844</v>
      </c>
    </row>
    <row r="1387" spans="1:7" ht="15.75">
      <c r="A1387" s="2486">
        <f t="shared" si="113"/>
        <v>66175</v>
      </c>
      <c r="B1387" s="2325">
        <v>66150</v>
      </c>
      <c r="C1387" s="2325">
        <v>66200</v>
      </c>
      <c r="D1387" s="2326">
        <f t="shared" si="109"/>
        <v>10307</v>
      </c>
      <c r="E1387" s="2326">
        <f t="shared" si="110"/>
        <v>7543</v>
      </c>
      <c r="F1387" s="2326">
        <f t="shared" si="111"/>
        <v>10307</v>
      </c>
      <c r="G1387" s="2326">
        <f t="shared" si="112"/>
        <v>8855</v>
      </c>
    </row>
    <row r="1388" spans="1:7" ht="15.75">
      <c r="A1388" s="2486">
        <f t="shared" si="113"/>
        <v>66225</v>
      </c>
      <c r="B1388" s="2325">
        <v>66200</v>
      </c>
      <c r="C1388" s="2325">
        <v>66250</v>
      </c>
      <c r="D1388" s="2326">
        <f t="shared" si="109"/>
        <v>10318</v>
      </c>
      <c r="E1388" s="2326">
        <f t="shared" si="110"/>
        <v>7549</v>
      </c>
      <c r="F1388" s="2326">
        <f t="shared" si="111"/>
        <v>10318</v>
      </c>
      <c r="G1388" s="2326">
        <f t="shared" si="112"/>
        <v>8866</v>
      </c>
    </row>
    <row r="1389" spans="1:7" ht="15.75">
      <c r="A1389" s="2486">
        <f t="shared" si="113"/>
        <v>66275</v>
      </c>
      <c r="B1389" s="2325">
        <v>66250</v>
      </c>
      <c r="C1389" s="2325">
        <v>66300</v>
      </c>
      <c r="D1389" s="2326">
        <f t="shared" si="109"/>
        <v>10329</v>
      </c>
      <c r="E1389" s="2326">
        <f t="shared" si="110"/>
        <v>7555</v>
      </c>
      <c r="F1389" s="2326">
        <f t="shared" si="111"/>
        <v>10329</v>
      </c>
      <c r="G1389" s="2326">
        <f t="shared" si="112"/>
        <v>8877</v>
      </c>
    </row>
    <row r="1390" spans="1:7" ht="15.75">
      <c r="A1390" s="2486">
        <f t="shared" si="113"/>
        <v>66325</v>
      </c>
      <c r="B1390" s="2325">
        <v>66300</v>
      </c>
      <c r="C1390" s="2325">
        <v>66350</v>
      </c>
      <c r="D1390" s="2326">
        <f t="shared" si="109"/>
        <v>10340</v>
      </c>
      <c r="E1390" s="2326">
        <f t="shared" si="110"/>
        <v>7561</v>
      </c>
      <c r="F1390" s="2326">
        <f t="shared" si="111"/>
        <v>10340</v>
      </c>
      <c r="G1390" s="2326">
        <f t="shared" si="112"/>
        <v>8888</v>
      </c>
    </row>
    <row r="1391" spans="1:7" ht="15.75">
      <c r="A1391" s="2486">
        <f t="shared" si="113"/>
        <v>66375</v>
      </c>
      <c r="B1391" s="2325">
        <v>66350</v>
      </c>
      <c r="C1391" s="2325">
        <v>66400</v>
      </c>
      <c r="D1391" s="2326">
        <f t="shared" si="109"/>
        <v>10351</v>
      </c>
      <c r="E1391" s="2326">
        <f t="shared" si="110"/>
        <v>7567</v>
      </c>
      <c r="F1391" s="2326">
        <f t="shared" si="111"/>
        <v>10351</v>
      </c>
      <c r="G1391" s="2326">
        <f t="shared" si="112"/>
        <v>8899</v>
      </c>
    </row>
    <row r="1392" spans="1:7" ht="15.75">
      <c r="A1392" s="2486">
        <f t="shared" si="113"/>
        <v>66425</v>
      </c>
      <c r="B1392" s="2325">
        <v>66400</v>
      </c>
      <c r="C1392" s="2325">
        <v>66450</v>
      </c>
      <c r="D1392" s="2326">
        <f t="shared" si="109"/>
        <v>10362</v>
      </c>
      <c r="E1392" s="2326">
        <f t="shared" si="110"/>
        <v>7573</v>
      </c>
      <c r="F1392" s="2326">
        <f t="shared" si="111"/>
        <v>10362</v>
      </c>
      <c r="G1392" s="2326">
        <f t="shared" si="112"/>
        <v>8910</v>
      </c>
    </row>
    <row r="1393" spans="1:7" ht="15.75">
      <c r="A1393" s="2486">
        <f t="shared" si="113"/>
        <v>66475</v>
      </c>
      <c r="B1393" s="2325">
        <v>66450</v>
      </c>
      <c r="C1393" s="2325">
        <v>66500</v>
      </c>
      <c r="D1393" s="2326">
        <f t="shared" si="109"/>
        <v>10373</v>
      </c>
      <c r="E1393" s="2326">
        <f t="shared" si="110"/>
        <v>7579</v>
      </c>
      <c r="F1393" s="2326">
        <f t="shared" si="111"/>
        <v>10373</v>
      </c>
      <c r="G1393" s="2326">
        <f t="shared" si="112"/>
        <v>8921</v>
      </c>
    </row>
    <row r="1394" spans="1:7" ht="15.75">
      <c r="A1394" s="2486">
        <f t="shared" si="113"/>
        <v>66525</v>
      </c>
      <c r="B1394" s="2325">
        <v>66500</v>
      </c>
      <c r="C1394" s="2325">
        <v>66550</v>
      </c>
      <c r="D1394" s="2326">
        <f t="shared" si="109"/>
        <v>10384</v>
      </c>
      <c r="E1394" s="2326">
        <f t="shared" si="110"/>
        <v>7585</v>
      </c>
      <c r="F1394" s="2326">
        <f t="shared" si="111"/>
        <v>10384</v>
      </c>
      <c r="G1394" s="2326">
        <f t="shared" si="112"/>
        <v>8932</v>
      </c>
    </row>
    <row r="1395" spans="1:7" ht="15.75">
      <c r="A1395" s="2486">
        <f t="shared" si="113"/>
        <v>66575</v>
      </c>
      <c r="B1395" s="2325">
        <v>66550</v>
      </c>
      <c r="C1395" s="2325">
        <v>66600</v>
      </c>
      <c r="D1395" s="2326">
        <f t="shared" si="109"/>
        <v>10395</v>
      </c>
      <c r="E1395" s="2326">
        <f t="shared" si="110"/>
        <v>7591</v>
      </c>
      <c r="F1395" s="2326">
        <f t="shared" si="111"/>
        <v>10395</v>
      </c>
      <c r="G1395" s="2326">
        <f t="shared" si="112"/>
        <v>8943</v>
      </c>
    </row>
    <row r="1396" spans="1:7" ht="15.75">
      <c r="A1396" s="2486">
        <f t="shared" si="113"/>
        <v>66625</v>
      </c>
      <c r="B1396" s="2325">
        <v>66600</v>
      </c>
      <c r="C1396" s="2325">
        <v>66650</v>
      </c>
      <c r="D1396" s="2326">
        <f t="shared" si="109"/>
        <v>10406</v>
      </c>
      <c r="E1396" s="2326">
        <f t="shared" si="110"/>
        <v>7597</v>
      </c>
      <c r="F1396" s="2326">
        <f t="shared" si="111"/>
        <v>10406</v>
      </c>
      <c r="G1396" s="2326">
        <f t="shared" si="112"/>
        <v>8954</v>
      </c>
    </row>
    <row r="1397" spans="1:7" ht="15.75">
      <c r="A1397" s="2486">
        <f t="shared" si="113"/>
        <v>66675</v>
      </c>
      <c r="B1397" s="2325">
        <v>66650</v>
      </c>
      <c r="C1397" s="2325">
        <v>66700</v>
      </c>
      <c r="D1397" s="2326">
        <f t="shared" si="109"/>
        <v>10417</v>
      </c>
      <c r="E1397" s="2326">
        <f t="shared" si="110"/>
        <v>7603</v>
      </c>
      <c r="F1397" s="2326">
        <f t="shared" si="111"/>
        <v>10417</v>
      </c>
      <c r="G1397" s="2326">
        <f t="shared" si="112"/>
        <v>8965</v>
      </c>
    </row>
    <row r="1398" spans="1:7" ht="15.75">
      <c r="A1398" s="2486">
        <f t="shared" si="113"/>
        <v>66725</v>
      </c>
      <c r="B1398" s="2325">
        <v>66700</v>
      </c>
      <c r="C1398" s="2325">
        <v>66750</v>
      </c>
      <c r="D1398" s="2326">
        <f t="shared" si="109"/>
        <v>10428</v>
      </c>
      <c r="E1398" s="2326">
        <f t="shared" si="110"/>
        <v>7609</v>
      </c>
      <c r="F1398" s="2326">
        <f t="shared" si="111"/>
        <v>10428</v>
      </c>
      <c r="G1398" s="2326">
        <f t="shared" si="112"/>
        <v>8976</v>
      </c>
    </row>
    <row r="1399" spans="1:7" ht="15.75">
      <c r="A1399" s="2486">
        <f t="shared" si="113"/>
        <v>66775</v>
      </c>
      <c r="B1399" s="2325">
        <v>66750</v>
      </c>
      <c r="C1399" s="2325">
        <v>66800</v>
      </c>
      <c r="D1399" s="2326">
        <f t="shared" si="109"/>
        <v>10439</v>
      </c>
      <c r="E1399" s="2326">
        <f t="shared" si="110"/>
        <v>7615</v>
      </c>
      <c r="F1399" s="2326">
        <f t="shared" si="111"/>
        <v>10439</v>
      </c>
      <c r="G1399" s="2326">
        <f t="shared" si="112"/>
        <v>8987</v>
      </c>
    </row>
    <row r="1400" spans="1:7" ht="15.75">
      <c r="A1400" s="2486">
        <f t="shared" si="113"/>
        <v>66825</v>
      </c>
      <c r="B1400" s="2325">
        <v>66800</v>
      </c>
      <c r="C1400" s="2325">
        <v>66850</v>
      </c>
      <c r="D1400" s="2326">
        <f t="shared" si="109"/>
        <v>10450</v>
      </c>
      <c r="E1400" s="2326">
        <f t="shared" si="110"/>
        <v>7621</v>
      </c>
      <c r="F1400" s="2326">
        <f t="shared" si="111"/>
        <v>10450</v>
      </c>
      <c r="G1400" s="2326">
        <f t="shared" si="112"/>
        <v>8998</v>
      </c>
    </row>
    <row r="1401" spans="1:7" ht="15.75">
      <c r="A1401" s="2486">
        <f t="shared" si="113"/>
        <v>66875</v>
      </c>
      <c r="B1401" s="2325">
        <v>66850</v>
      </c>
      <c r="C1401" s="2325">
        <v>66900</v>
      </c>
      <c r="D1401" s="2326">
        <f t="shared" si="109"/>
        <v>10461</v>
      </c>
      <c r="E1401" s="2326">
        <f t="shared" si="110"/>
        <v>7627</v>
      </c>
      <c r="F1401" s="2326">
        <f t="shared" si="111"/>
        <v>10461</v>
      </c>
      <c r="G1401" s="2326">
        <f t="shared" si="112"/>
        <v>9009</v>
      </c>
    </row>
    <row r="1402" spans="1:7" ht="15.75">
      <c r="A1402" s="2486">
        <f t="shared" si="113"/>
        <v>66925</v>
      </c>
      <c r="B1402" s="2325">
        <v>66900</v>
      </c>
      <c r="C1402" s="2325">
        <v>66950</v>
      </c>
      <c r="D1402" s="2326">
        <f t="shared" si="109"/>
        <v>10472</v>
      </c>
      <c r="E1402" s="2326">
        <f t="shared" si="110"/>
        <v>7633</v>
      </c>
      <c r="F1402" s="2326">
        <f t="shared" si="111"/>
        <v>10472</v>
      </c>
      <c r="G1402" s="2326">
        <f t="shared" si="112"/>
        <v>9020</v>
      </c>
    </row>
    <row r="1403" spans="1:7" ht="15.75">
      <c r="A1403" s="2486">
        <f t="shared" si="113"/>
        <v>66975</v>
      </c>
      <c r="B1403" s="2325">
        <v>66950</v>
      </c>
      <c r="C1403" s="2325">
        <v>67000</v>
      </c>
      <c r="D1403" s="2326">
        <f t="shared" si="109"/>
        <v>10483</v>
      </c>
      <c r="E1403" s="2326">
        <f t="shared" si="110"/>
        <v>7639</v>
      </c>
      <c r="F1403" s="2326">
        <f t="shared" si="111"/>
        <v>10483</v>
      </c>
      <c r="G1403" s="2326">
        <f t="shared" si="112"/>
        <v>9031</v>
      </c>
    </row>
    <row r="1404" spans="1:7" ht="15.75">
      <c r="A1404" s="2486">
        <f t="shared" si="113"/>
        <v>67025</v>
      </c>
      <c r="B1404" s="2325">
        <v>67000</v>
      </c>
      <c r="C1404" s="2325">
        <v>67050</v>
      </c>
      <c r="D1404" s="2326">
        <f t="shared" si="109"/>
        <v>10494</v>
      </c>
      <c r="E1404" s="2326">
        <f t="shared" si="110"/>
        <v>7645</v>
      </c>
      <c r="F1404" s="2326">
        <f t="shared" si="111"/>
        <v>10494</v>
      </c>
      <c r="G1404" s="2326">
        <f t="shared" si="112"/>
        <v>9042</v>
      </c>
    </row>
    <row r="1405" spans="1:7" ht="15.75">
      <c r="A1405" s="2486">
        <f t="shared" si="113"/>
        <v>67075</v>
      </c>
      <c r="B1405" s="2325">
        <v>67050</v>
      </c>
      <c r="C1405" s="2325">
        <v>67100</v>
      </c>
      <c r="D1405" s="2326">
        <f t="shared" si="109"/>
        <v>10505</v>
      </c>
      <c r="E1405" s="2326">
        <f t="shared" si="110"/>
        <v>7651</v>
      </c>
      <c r="F1405" s="2326">
        <f t="shared" si="111"/>
        <v>10505</v>
      </c>
      <c r="G1405" s="2326">
        <f t="shared" si="112"/>
        <v>9053</v>
      </c>
    </row>
    <row r="1406" spans="1:7" ht="15.75">
      <c r="A1406" s="2486">
        <f t="shared" si="113"/>
        <v>67125</v>
      </c>
      <c r="B1406" s="2325">
        <v>67100</v>
      </c>
      <c r="C1406" s="2325">
        <v>67150</v>
      </c>
      <c r="D1406" s="2326">
        <f t="shared" si="109"/>
        <v>10516</v>
      </c>
      <c r="E1406" s="2326">
        <f t="shared" si="110"/>
        <v>7657</v>
      </c>
      <c r="F1406" s="2326">
        <f t="shared" si="111"/>
        <v>10516</v>
      </c>
      <c r="G1406" s="2326">
        <f t="shared" si="112"/>
        <v>9064</v>
      </c>
    </row>
    <row r="1407" spans="1:7" ht="15.75">
      <c r="A1407" s="2486">
        <f t="shared" si="113"/>
        <v>67175</v>
      </c>
      <c r="B1407" s="2325">
        <v>67150</v>
      </c>
      <c r="C1407" s="2325">
        <v>67200</v>
      </c>
      <c r="D1407" s="2326">
        <f t="shared" si="109"/>
        <v>10527</v>
      </c>
      <c r="E1407" s="2326">
        <f t="shared" si="110"/>
        <v>7663</v>
      </c>
      <c r="F1407" s="2326">
        <f t="shared" si="111"/>
        <v>10527</v>
      </c>
      <c r="G1407" s="2326">
        <f t="shared" si="112"/>
        <v>9075</v>
      </c>
    </row>
    <row r="1408" spans="1:7" ht="15.75">
      <c r="A1408" s="2486">
        <f t="shared" si="113"/>
        <v>67225</v>
      </c>
      <c r="B1408" s="2325">
        <v>67200</v>
      </c>
      <c r="C1408" s="2325">
        <v>67250</v>
      </c>
      <c r="D1408" s="2326">
        <f t="shared" si="109"/>
        <v>10538</v>
      </c>
      <c r="E1408" s="2326">
        <f t="shared" si="110"/>
        <v>7669</v>
      </c>
      <c r="F1408" s="2326">
        <f t="shared" si="111"/>
        <v>10538</v>
      </c>
      <c r="G1408" s="2326">
        <f t="shared" si="112"/>
        <v>9086</v>
      </c>
    </row>
    <row r="1409" spans="1:7" ht="15.75">
      <c r="A1409" s="2486">
        <f t="shared" si="113"/>
        <v>67275</v>
      </c>
      <c r="B1409" s="2325">
        <v>67250</v>
      </c>
      <c r="C1409" s="2325">
        <v>67300</v>
      </c>
      <c r="D1409" s="2326">
        <f t="shared" si="109"/>
        <v>10549</v>
      </c>
      <c r="E1409" s="2326">
        <f t="shared" si="110"/>
        <v>7675</v>
      </c>
      <c r="F1409" s="2326">
        <f t="shared" si="111"/>
        <v>10549</v>
      </c>
      <c r="G1409" s="2326">
        <f t="shared" si="112"/>
        <v>9097</v>
      </c>
    </row>
    <row r="1410" spans="1:7" ht="15.75">
      <c r="A1410" s="2486">
        <f t="shared" si="113"/>
        <v>67325</v>
      </c>
      <c r="B1410" s="2325">
        <v>67300</v>
      </c>
      <c r="C1410" s="2325">
        <v>67350</v>
      </c>
      <c r="D1410" s="2326">
        <f t="shared" ref="D1410:D1473" si="114">IF($A1410&gt;BOTT_A4,ROUND(BASE_A4+RATE_A4*($A1410-BOTT_A4),0),IF($A1410&gt;BOTT_A3,ROUND(BASE_A3+RATE_A3*($A1410-BOTT_A3),0),IF($A1410&gt;BOTT_A2,ROUND(BASE_A2+RATE_A2*($A1410-BOTT_A2),0),ROUND(RATE_A1*$A1410,0))))</f>
        <v>10560</v>
      </c>
      <c r="E1410" s="2326">
        <f t="shared" ref="E1410:E1473" si="115">IF($A1410&gt;BOTT_B4,ROUND(BASE_B4+RATE_B4*($A1410-BOTT_B4),0),IF($A1410&gt;BOTT_B3,ROUND(BASE_B3+RATE_B3*($A1410-BOTT_B3),0),IF($A1410&gt;BOTT_B2,ROUND(BASE_B2+RATE_B2*($A1410-BOTT_B2),0),ROUND(RATE_B1*$A1410,0))))</f>
        <v>7681</v>
      </c>
      <c r="F1410" s="2326">
        <f t="shared" ref="F1410:F1473" si="116">IF($A1410&gt;BOTT_C4,ROUND(BASE_C4+RATE_C4*($A1410-BOTT_C4),0),IF($A1410&gt;BOTT_C3,ROUND(BASE_C3+RATE_C3*($A1410-BOTT_C3),0),IF($A1410&gt;BOTT_C2,ROUND(BASE_C2+RATE_C2*($A1410-BOTT_C2),0),ROUND(RATE_C1*$A1410,0))))</f>
        <v>10560</v>
      </c>
      <c r="G1410" s="2326">
        <f t="shared" ref="G1410:G1473" si="117">IF($A1410&gt;BOTT_D4,ROUND(BASE_D4+RATE_D4*($A1410-BOTT_D4),0),IF($A1410&gt;BOTT_D3,ROUND(BASE_D3+RATE_D3*($A1410-BOTT_D3),0),IF($A1410&gt;BOTT_D2,ROUND(BASE_D2+RATE_D2*($A1410-BOTT_D2),0),ROUND(RATE_D1*$A1410,0))))</f>
        <v>9108</v>
      </c>
    </row>
    <row r="1411" spans="1:7" ht="15.75">
      <c r="A1411" s="2486">
        <f t="shared" ref="A1411:A1474" si="118">AVERAGE(B1411,C1411)</f>
        <v>67375</v>
      </c>
      <c r="B1411" s="2325">
        <v>67350</v>
      </c>
      <c r="C1411" s="2325">
        <v>67400</v>
      </c>
      <c r="D1411" s="2326">
        <f t="shared" si="114"/>
        <v>10571</v>
      </c>
      <c r="E1411" s="2326">
        <f t="shared" si="115"/>
        <v>7687</v>
      </c>
      <c r="F1411" s="2326">
        <f t="shared" si="116"/>
        <v>10571</v>
      </c>
      <c r="G1411" s="2326">
        <f t="shared" si="117"/>
        <v>9119</v>
      </c>
    </row>
    <row r="1412" spans="1:7" ht="15.75">
      <c r="A1412" s="2486">
        <f t="shared" si="118"/>
        <v>67425</v>
      </c>
      <c r="B1412" s="2325">
        <v>67400</v>
      </c>
      <c r="C1412" s="2325">
        <v>67450</v>
      </c>
      <c r="D1412" s="2326">
        <f t="shared" si="114"/>
        <v>10582</v>
      </c>
      <c r="E1412" s="2326">
        <f t="shared" si="115"/>
        <v>7693</v>
      </c>
      <c r="F1412" s="2326">
        <f t="shared" si="116"/>
        <v>10582</v>
      </c>
      <c r="G1412" s="2326">
        <f t="shared" si="117"/>
        <v>9130</v>
      </c>
    </row>
    <row r="1413" spans="1:7" ht="15.75">
      <c r="A1413" s="2486">
        <f t="shared" si="118"/>
        <v>67475</v>
      </c>
      <c r="B1413" s="2325">
        <v>67450</v>
      </c>
      <c r="C1413" s="2325">
        <v>67500</v>
      </c>
      <c r="D1413" s="2326">
        <f t="shared" si="114"/>
        <v>10593</v>
      </c>
      <c r="E1413" s="2326">
        <f t="shared" si="115"/>
        <v>7699</v>
      </c>
      <c r="F1413" s="2326">
        <f t="shared" si="116"/>
        <v>10593</v>
      </c>
      <c r="G1413" s="2326">
        <f t="shared" si="117"/>
        <v>9141</v>
      </c>
    </row>
    <row r="1414" spans="1:7" ht="15.75">
      <c r="A1414" s="2486">
        <f t="shared" si="118"/>
        <v>67525</v>
      </c>
      <c r="B1414" s="2325">
        <v>67500</v>
      </c>
      <c r="C1414" s="2325">
        <v>67550</v>
      </c>
      <c r="D1414" s="2326">
        <f t="shared" si="114"/>
        <v>10604</v>
      </c>
      <c r="E1414" s="2326">
        <f t="shared" si="115"/>
        <v>7705</v>
      </c>
      <c r="F1414" s="2326">
        <f t="shared" si="116"/>
        <v>10604</v>
      </c>
      <c r="G1414" s="2326">
        <f t="shared" si="117"/>
        <v>9152</v>
      </c>
    </row>
    <row r="1415" spans="1:7" ht="15.75">
      <c r="A1415" s="2486">
        <f t="shared" si="118"/>
        <v>67575</v>
      </c>
      <c r="B1415" s="2325">
        <v>67550</v>
      </c>
      <c r="C1415" s="2325">
        <v>67600</v>
      </c>
      <c r="D1415" s="2326">
        <f t="shared" si="114"/>
        <v>10615</v>
      </c>
      <c r="E1415" s="2326">
        <f t="shared" si="115"/>
        <v>7711</v>
      </c>
      <c r="F1415" s="2326">
        <f t="shared" si="116"/>
        <v>10615</v>
      </c>
      <c r="G1415" s="2326">
        <f t="shared" si="117"/>
        <v>9163</v>
      </c>
    </row>
    <row r="1416" spans="1:7" ht="15.75">
      <c r="A1416" s="2486">
        <f t="shared" si="118"/>
        <v>67625</v>
      </c>
      <c r="B1416" s="2325">
        <v>67600</v>
      </c>
      <c r="C1416" s="2325">
        <v>67650</v>
      </c>
      <c r="D1416" s="2326">
        <f t="shared" si="114"/>
        <v>10626</v>
      </c>
      <c r="E1416" s="2326">
        <f t="shared" si="115"/>
        <v>7717</v>
      </c>
      <c r="F1416" s="2326">
        <f t="shared" si="116"/>
        <v>10626</v>
      </c>
      <c r="G1416" s="2326">
        <f t="shared" si="117"/>
        <v>9174</v>
      </c>
    </row>
    <row r="1417" spans="1:7" ht="15.75">
      <c r="A1417" s="2486">
        <f t="shared" si="118"/>
        <v>67675</v>
      </c>
      <c r="B1417" s="2325">
        <v>67650</v>
      </c>
      <c r="C1417" s="2325">
        <v>67700</v>
      </c>
      <c r="D1417" s="2326">
        <f t="shared" si="114"/>
        <v>10637</v>
      </c>
      <c r="E1417" s="2326">
        <f t="shared" si="115"/>
        <v>7723</v>
      </c>
      <c r="F1417" s="2326">
        <f t="shared" si="116"/>
        <v>10637</v>
      </c>
      <c r="G1417" s="2326">
        <f t="shared" si="117"/>
        <v>9185</v>
      </c>
    </row>
    <row r="1418" spans="1:7" ht="15.75">
      <c r="A1418" s="2486">
        <f t="shared" si="118"/>
        <v>67725</v>
      </c>
      <c r="B1418" s="2325">
        <v>67700</v>
      </c>
      <c r="C1418" s="2325">
        <v>67750</v>
      </c>
      <c r="D1418" s="2326">
        <f t="shared" si="114"/>
        <v>10648</v>
      </c>
      <c r="E1418" s="2326">
        <f t="shared" si="115"/>
        <v>7729</v>
      </c>
      <c r="F1418" s="2326">
        <f t="shared" si="116"/>
        <v>10648</v>
      </c>
      <c r="G1418" s="2326">
        <f t="shared" si="117"/>
        <v>9196</v>
      </c>
    </row>
    <row r="1419" spans="1:7" ht="15.75">
      <c r="A1419" s="2486">
        <f t="shared" si="118"/>
        <v>67775</v>
      </c>
      <c r="B1419" s="2325">
        <v>67750</v>
      </c>
      <c r="C1419" s="2325">
        <v>67800</v>
      </c>
      <c r="D1419" s="2326">
        <f t="shared" si="114"/>
        <v>10659</v>
      </c>
      <c r="E1419" s="2326">
        <f t="shared" si="115"/>
        <v>7735</v>
      </c>
      <c r="F1419" s="2326">
        <f t="shared" si="116"/>
        <v>10659</v>
      </c>
      <c r="G1419" s="2326">
        <f t="shared" si="117"/>
        <v>9207</v>
      </c>
    </row>
    <row r="1420" spans="1:7" ht="15.75">
      <c r="A1420" s="2486">
        <f t="shared" si="118"/>
        <v>67825</v>
      </c>
      <c r="B1420" s="2325">
        <v>67800</v>
      </c>
      <c r="C1420" s="2325">
        <v>67850</v>
      </c>
      <c r="D1420" s="2326">
        <f t="shared" si="114"/>
        <v>10670</v>
      </c>
      <c r="E1420" s="2326">
        <f t="shared" si="115"/>
        <v>7741</v>
      </c>
      <c r="F1420" s="2326">
        <f t="shared" si="116"/>
        <v>10670</v>
      </c>
      <c r="G1420" s="2326">
        <f t="shared" si="117"/>
        <v>9218</v>
      </c>
    </row>
    <row r="1421" spans="1:7" ht="15.75">
      <c r="A1421" s="2486">
        <f t="shared" si="118"/>
        <v>67875</v>
      </c>
      <c r="B1421" s="2325">
        <v>67850</v>
      </c>
      <c r="C1421" s="2325">
        <v>67900</v>
      </c>
      <c r="D1421" s="2326">
        <f t="shared" si="114"/>
        <v>10681</v>
      </c>
      <c r="E1421" s="2326">
        <f t="shared" si="115"/>
        <v>7747</v>
      </c>
      <c r="F1421" s="2326">
        <f t="shared" si="116"/>
        <v>10681</v>
      </c>
      <c r="G1421" s="2326">
        <f t="shared" si="117"/>
        <v>9229</v>
      </c>
    </row>
    <row r="1422" spans="1:7" ht="15.75">
      <c r="A1422" s="2486">
        <f t="shared" si="118"/>
        <v>67925</v>
      </c>
      <c r="B1422" s="2325">
        <v>67900</v>
      </c>
      <c r="C1422" s="2325">
        <v>67950</v>
      </c>
      <c r="D1422" s="2326">
        <f t="shared" si="114"/>
        <v>10692</v>
      </c>
      <c r="E1422" s="2326">
        <f t="shared" si="115"/>
        <v>7753</v>
      </c>
      <c r="F1422" s="2326">
        <f t="shared" si="116"/>
        <v>10692</v>
      </c>
      <c r="G1422" s="2326">
        <f t="shared" si="117"/>
        <v>9240</v>
      </c>
    </row>
    <row r="1423" spans="1:7" ht="15.75">
      <c r="A1423" s="2486">
        <f t="shared" si="118"/>
        <v>67975</v>
      </c>
      <c r="B1423" s="2325">
        <v>67950</v>
      </c>
      <c r="C1423" s="2325">
        <v>68000</v>
      </c>
      <c r="D1423" s="2326">
        <f t="shared" si="114"/>
        <v>10703</v>
      </c>
      <c r="E1423" s="2326">
        <f t="shared" si="115"/>
        <v>7759</v>
      </c>
      <c r="F1423" s="2326">
        <f t="shared" si="116"/>
        <v>10703</v>
      </c>
      <c r="G1423" s="2326">
        <f t="shared" si="117"/>
        <v>9251</v>
      </c>
    </row>
    <row r="1424" spans="1:7" ht="15.75">
      <c r="A1424" s="2486">
        <f t="shared" si="118"/>
        <v>68025</v>
      </c>
      <c r="B1424" s="2325">
        <v>68000</v>
      </c>
      <c r="C1424" s="2325">
        <v>68050</v>
      </c>
      <c r="D1424" s="2326">
        <f t="shared" si="114"/>
        <v>10714</v>
      </c>
      <c r="E1424" s="2326">
        <f t="shared" si="115"/>
        <v>7765</v>
      </c>
      <c r="F1424" s="2326">
        <f t="shared" si="116"/>
        <v>10714</v>
      </c>
      <c r="G1424" s="2326">
        <f t="shared" si="117"/>
        <v>9262</v>
      </c>
    </row>
    <row r="1425" spans="1:7" ht="15.75">
      <c r="A1425" s="2486">
        <f t="shared" si="118"/>
        <v>68075</v>
      </c>
      <c r="B1425" s="2325">
        <v>68050</v>
      </c>
      <c r="C1425" s="2325">
        <v>68100</v>
      </c>
      <c r="D1425" s="2326">
        <f t="shared" si="114"/>
        <v>10725</v>
      </c>
      <c r="E1425" s="2326">
        <f t="shared" si="115"/>
        <v>7771</v>
      </c>
      <c r="F1425" s="2326">
        <f t="shared" si="116"/>
        <v>10725</v>
      </c>
      <c r="G1425" s="2326">
        <f t="shared" si="117"/>
        <v>9273</v>
      </c>
    </row>
    <row r="1426" spans="1:7" ht="15.75">
      <c r="A1426" s="2486">
        <f t="shared" si="118"/>
        <v>68125</v>
      </c>
      <c r="B1426" s="2325">
        <v>68100</v>
      </c>
      <c r="C1426" s="2325">
        <v>68150</v>
      </c>
      <c r="D1426" s="2326">
        <f t="shared" si="114"/>
        <v>10736</v>
      </c>
      <c r="E1426" s="2326">
        <f t="shared" si="115"/>
        <v>7777</v>
      </c>
      <c r="F1426" s="2326">
        <f t="shared" si="116"/>
        <v>10736</v>
      </c>
      <c r="G1426" s="2326">
        <f t="shared" si="117"/>
        <v>9284</v>
      </c>
    </row>
    <row r="1427" spans="1:7" ht="15.75">
      <c r="A1427" s="2486">
        <f t="shared" si="118"/>
        <v>68175</v>
      </c>
      <c r="B1427" s="2325">
        <v>68150</v>
      </c>
      <c r="C1427" s="2325">
        <v>68200</v>
      </c>
      <c r="D1427" s="2326">
        <f t="shared" si="114"/>
        <v>10747</v>
      </c>
      <c r="E1427" s="2326">
        <f t="shared" si="115"/>
        <v>7783</v>
      </c>
      <c r="F1427" s="2326">
        <f t="shared" si="116"/>
        <v>10747</v>
      </c>
      <c r="G1427" s="2326">
        <f t="shared" si="117"/>
        <v>9295</v>
      </c>
    </row>
    <row r="1428" spans="1:7" ht="15.75">
      <c r="A1428" s="2486">
        <f t="shared" si="118"/>
        <v>68225</v>
      </c>
      <c r="B1428" s="2325">
        <v>68200</v>
      </c>
      <c r="C1428" s="2325">
        <v>68250</v>
      </c>
      <c r="D1428" s="2326">
        <f t="shared" si="114"/>
        <v>10758</v>
      </c>
      <c r="E1428" s="2326">
        <f t="shared" si="115"/>
        <v>7789</v>
      </c>
      <c r="F1428" s="2326">
        <f t="shared" si="116"/>
        <v>10758</v>
      </c>
      <c r="G1428" s="2326">
        <f t="shared" si="117"/>
        <v>9306</v>
      </c>
    </row>
    <row r="1429" spans="1:7" ht="15.75">
      <c r="A1429" s="2486">
        <f t="shared" si="118"/>
        <v>68275</v>
      </c>
      <c r="B1429" s="2325">
        <v>68250</v>
      </c>
      <c r="C1429" s="2325">
        <v>68300</v>
      </c>
      <c r="D1429" s="2326">
        <f t="shared" si="114"/>
        <v>10769</v>
      </c>
      <c r="E1429" s="2326">
        <f t="shared" si="115"/>
        <v>7795</v>
      </c>
      <c r="F1429" s="2326">
        <f t="shared" si="116"/>
        <v>10769</v>
      </c>
      <c r="G1429" s="2326">
        <f t="shared" si="117"/>
        <v>9317</v>
      </c>
    </row>
    <row r="1430" spans="1:7" ht="15.75">
      <c r="A1430" s="2486">
        <f t="shared" si="118"/>
        <v>68325</v>
      </c>
      <c r="B1430" s="2325">
        <v>68300</v>
      </c>
      <c r="C1430" s="2325">
        <v>68350</v>
      </c>
      <c r="D1430" s="2326">
        <f t="shared" si="114"/>
        <v>10780</v>
      </c>
      <c r="E1430" s="2326">
        <f t="shared" si="115"/>
        <v>7801</v>
      </c>
      <c r="F1430" s="2326">
        <f t="shared" si="116"/>
        <v>10780</v>
      </c>
      <c r="G1430" s="2326">
        <f t="shared" si="117"/>
        <v>9328</v>
      </c>
    </row>
    <row r="1431" spans="1:7" ht="15.75">
      <c r="A1431" s="2486">
        <f t="shared" si="118"/>
        <v>68375</v>
      </c>
      <c r="B1431" s="2325">
        <v>68350</v>
      </c>
      <c r="C1431" s="2325">
        <v>68400</v>
      </c>
      <c r="D1431" s="2326">
        <f t="shared" si="114"/>
        <v>10791</v>
      </c>
      <c r="E1431" s="2326">
        <f t="shared" si="115"/>
        <v>7807</v>
      </c>
      <c r="F1431" s="2326">
        <f t="shared" si="116"/>
        <v>10791</v>
      </c>
      <c r="G1431" s="2326">
        <f t="shared" si="117"/>
        <v>9339</v>
      </c>
    </row>
    <row r="1432" spans="1:7" ht="15.75">
      <c r="A1432" s="2486">
        <f t="shared" si="118"/>
        <v>68425</v>
      </c>
      <c r="B1432" s="2325">
        <v>68400</v>
      </c>
      <c r="C1432" s="2325">
        <v>68450</v>
      </c>
      <c r="D1432" s="2326">
        <f t="shared" si="114"/>
        <v>10802</v>
      </c>
      <c r="E1432" s="2326">
        <f t="shared" si="115"/>
        <v>7813</v>
      </c>
      <c r="F1432" s="2326">
        <f t="shared" si="116"/>
        <v>10802</v>
      </c>
      <c r="G1432" s="2326">
        <f t="shared" si="117"/>
        <v>9350</v>
      </c>
    </row>
    <row r="1433" spans="1:7" ht="15.75">
      <c r="A1433" s="2486">
        <f t="shared" si="118"/>
        <v>68475</v>
      </c>
      <c r="B1433" s="2325">
        <v>68450</v>
      </c>
      <c r="C1433" s="2325">
        <v>68500</v>
      </c>
      <c r="D1433" s="2326">
        <f t="shared" si="114"/>
        <v>10813</v>
      </c>
      <c r="E1433" s="2326">
        <f t="shared" si="115"/>
        <v>7819</v>
      </c>
      <c r="F1433" s="2326">
        <f t="shared" si="116"/>
        <v>10813</v>
      </c>
      <c r="G1433" s="2326">
        <f t="shared" si="117"/>
        <v>9361</v>
      </c>
    </row>
    <row r="1434" spans="1:7" ht="15.75">
      <c r="A1434" s="2486">
        <f t="shared" si="118"/>
        <v>68525</v>
      </c>
      <c r="B1434" s="2325">
        <v>68500</v>
      </c>
      <c r="C1434" s="2325">
        <v>68550</v>
      </c>
      <c r="D1434" s="2326">
        <f t="shared" si="114"/>
        <v>10824</v>
      </c>
      <c r="E1434" s="2326">
        <f t="shared" si="115"/>
        <v>7825</v>
      </c>
      <c r="F1434" s="2326">
        <f t="shared" si="116"/>
        <v>10824</v>
      </c>
      <c r="G1434" s="2326">
        <f t="shared" si="117"/>
        <v>9372</v>
      </c>
    </row>
    <row r="1435" spans="1:7" ht="15.75">
      <c r="A1435" s="2486">
        <f t="shared" si="118"/>
        <v>68575</v>
      </c>
      <c r="B1435" s="2325">
        <v>68550</v>
      </c>
      <c r="C1435" s="2325">
        <v>68600</v>
      </c>
      <c r="D1435" s="2326">
        <f t="shared" si="114"/>
        <v>10835</v>
      </c>
      <c r="E1435" s="2326">
        <f t="shared" si="115"/>
        <v>7831</v>
      </c>
      <c r="F1435" s="2326">
        <f t="shared" si="116"/>
        <v>10835</v>
      </c>
      <c r="G1435" s="2326">
        <f t="shared" si="117"/>
        <v>9383</v>
      </c>
    </row>
    <row r="1436" spans="1:7" ht="15.75">
      <c r="A1436" s="2486">
        <f t="shared" si="118"/>
        <v>68625</v>
      </c>
      <c r="B1436" s="2325">
        <v>68600</v>
      </c>
      <c r="C1436" s="2325">
        <v>68650</v>
      </c>
      <c r="D1436" s="2326">
        <f t="shared" si="114"/>
        <v>10846</v>
      </c>
      <c r="E1436" s="2326">
        <f t="shared" si="115"/>
        <v>7837</v>
      </c>
      <c r="F1436" s="2326">
        <f t="shared" si="116"/>
        <v>10846</v>
      </c>
      <c r="G1436" s="2326">
        <f t="shared" si="117"/>
        <v>9394</v>
      </c>
    </row>
    <row r="1437" spans="1:7" ht="15.75">
      <c r="A1437" s="2486">
        <f t="shared" si="118"/>
        <v>68675</v>
      </c>
      <c r="B1437" s="2325">
        <v>68650</v>
      </c>
      <c r="C1437" s="2325">
        <v>68700</v>
      </c>
      <c r="D1437" s="2326">
        <f t="shared" si="114"/>
        <v>10857</v>
      </c>
      <c r="E1437" s="2326">
        <f t="shared" si="115"/>
        <v>7843</v>
      </c>
      <c r="F1437" s="2326">
        <f t="shared" si="116"/>
        <v>10857</v>
      </c>
      <c r="G1437" s="2326">
        <f t="shared" si="117"/>
        <v>9405</v>
      </c>
    </row>
    <row r="1438" spans="1:7" ht="15.75">
      <c r="A1438" s="2486">
        <f t="shared" si="118"/>
        <v>68725</v>
      </c>
      <c r="B1438" s="2325">
        <v>68700</v>
      </c>
      <c r="C1438" s="2325">
        <v>68750</v>
      </c>
      <c r="D1438" s="2326">
        <f t="shared" si="114"/>
        <v>10868</v>
      </c>
      <c r="E1438" s="2326">
        <f t="shared" si="115"/>
        <v>7849</v>
      </c>
      <c r="F1438" s="2326">
        <f t="shared" si="116"/>
        <v>10868</v>
      </c>
      <c r="G1438" s="2326">
        <f t="shared" si="117"/>
        <v>9416</v>
      </c>
    </row>
    <row r="1439" spans="1:7" ht="15.75">
      <c r="A1439" s="2486">
        <f t="shared" si="118"/>
        <v>68775</v>
      </c>
      <c r="B1439" s="2325">
        <v>68750</v>
      </c>
      <c r="C1439" s="2325">
        <v>68800</v>
      </c>
      <c r="D1439" s="2326">
        <f t="shared" si="114"/>
        <v>10879</v>
      </c>
      <c r="E1439" s="2326">
        <f t="shared" si="115"/>
        <v>7855</v>
      </c>
      <c r="F1439" s="2326">
        <f t="shared" si="116"/>
        <v>10879</v>
      </c>
      <c r="G1439" s="2326">
        <f t="shared" si="117"/>
        <v>9427</v>
      </c>
    </row>
    <row r="1440" spans="1:7" ht="15.75">
      <c r="A1440" s="2486">
        <f t="shared" si="118"/>
        <v>68825</v>
      </c>
      <c r="B1440" s="2325">
        <v>68800</v>
      </c>
      <c r="C1440" s="2325">
        <v>68850</v>
      </c>
      <c r="D1440" s="2326">
        <f t="shared" si="114"/>
        <v>10890</v>
      </c>
      <c r="E1440" s="2326">
        <f t="shared" si="115"/>
        <v>7861</v>
      </c>
      <c r="F1440" s="2326">
        <f t="shared" si="116"/>
        <v>10890</v>
      </c>
      <c r="G1440" s="2326">
        <f t="shared" si="117"/>
        <v>9438</v>
      </c>
    </row>
    <row r="1441" spans="1:7" ht="15.75">
      <c r="A1441" s="2486">
        <f t="shared" si="118"/>
        <v>68875</v>
      </c>
      <c r="B1441" s="2325">
        <v>68850</v>
      </c>
      <c r="C1441" s="2325">
        <v>68900</v>
      </c>
      <c r="D1441" s="2326">
        <f t="shared" si="114"/>
        <v>10901</v>
      </c>
      <c r="E1441" s="2326">
        <f t="shared" si="115"/>
        <v>7867</v>
      </c>
      <c r="F1441" s="2326">
        <f t="shared" si="116"/>
        <v>10901</v>
      </c>
      <c r="G1441" s="2326">
        <f t="shared" si="117"/>
        <v>9449</v>
      </c>
    </row>
    <row r="1442" spans="1:7" ht="15.75">
      <c r="A1442" s="2486">
        <f t="shared" si="118"/>
        <v>68925</v>
      </c>
      <c r="B1442" s="2325">
        <v>68900</v>
      </c>
      <c r="C1442" s="2325">
        <v>68950</v>
      </c>
      <c r="D1442" s="2326">
        <f t="shared" si="114"/>
        <v>10912</v>
      </c>
      <c r="E1442" s="2326">
        <f t="shared" si="115"/>
        <v>7873</v>
      </c>
      <c r="F1442" s="2326">
        <f t="shared" si="116"/>
        <v>10912</v>
      </c>
      <c r="G1442" s="2326">
        <f t="shared" si="117"/>
        <v>9460</v>
      </c>
    </row>
    <row r="1443" spans="1:7" ht="15.75">
      <c r="A1443" s="2486">
        <f t="shared" si="118"/>
        <v>68975</v>
      </c>
      <c r="B1443" s="2325">
        <v>68950</v>
      </c>
      <c r="C1443" s="2325">
        <v>69000</v>
      </c>
      <c r="D1443" s="2326">
        <f t="shared" si="114"/>
        <v>10923</v>
      </c>
      <c r="E1443" s="2326">
        <f t="shared" si="115"/>
        <v>7879</v>
      </c>
      <c r="F1443" s="2326">
        <f t="shared" si="116"/>
        <v>10923</v>
      </c>
      <c r="G1443" s="2326">
        <f t="shared" si="117"/>
        <v>9471</v>
      </c>
    </row>
    <row r="1444" spans="1:7" ht="15.75">
      <c r="A1444" s="2486">
        <f t="shared" si="118"/>
        <v>69025</v>
      </c>
      <c r="B1444" s="2325">
        <v>69000</v>
      </c>
      <c r="C1444" s="2325">
        <v>69050</v>
      </c>
      <c r="D1444" s="2326">
        <f t="shared" si="114"/>
        <v>10934</v>
      </c>
      <c r="E1444" s="2326">
        <f t="shared" si="115"/>
        <v>7885</v>
      </c>
      <c r="F1444" s="2326">
        <f t="shared" si="116"/>
        <v>10934</v>
      </c>
      <c r="G1444" s="2326">
        <f t="shared" si="117"/>
        <v>9482</v>
      </c>
    </row>
    <row r="1445" spans="1:7" ht="15.75">
      <c r="A1445" s="2486">
        <f t="shared" si="118"/>
        <v>69075</v>
      </c>
      <c r="B1445" s="2325">
        <v>69050</v>
      </c>
      <c r="C1445" s="2325">
        <v>69100</v>
      </c>
      <c r="D1445" s="2326">
        <f t="shared" si="114"/>
        <v>10945</v>
      </c>
      <c r="E1445" s="2326">
        <f t="shared" si="115"/>
        <v>7891</v>
      </c>
      <c r="F1445" s="2326">
        <f t="shared" si="116"/>
        <v>10945</v>
      </c>
      <c r="G1445" s="2326">
        <f t="shared" si="117"/>
        <v>9493</v>
      </c>
    </row>
    <row r="1446" spans="1:7" ht="15.75">
      <c r="A1446" s="2486">
        <f t="shared" si="118"/>
        <v>69125</v>
      </c>
      <c r="B1446" s="2325">
        <v>69100</v>
      </c>
      <c r="C1446" s="2325">
        <v>69150</v>
      </c>
      <c r="D1446" s="2326">
        <f t="shared" si="114"/>
        <v>10956</v>
      </c>
      <c r="E1446" s="2326">
        <f t="shared" si="115"/>
        <v>7897</v>
      </c>
      <c r="F1446" s="2326">
        <f t="shared" si="116"/>
        <v>10956</v>
      </c>
      <c r="G1446" s="2326">
        <f t="shared" si="117"/>
        <v>9504</v>
      </c>
    </row>
    <row r="1447" spans="1:7" ht="15.75">
      <c r="A1447" s="2486">
        <f t="shared" si="118"/>
        <v>69175</v>
      </c>
      <c r="B1447" s="2325">
        <v>69150</v>
      </c>
      <c r="C1447" s="2325">
        <v>69200</v>
      </c>
      <c r="D1447" s="2326">
        <f t="shared" si="114"/>
        <v>10967</v>
      </c>
      <c r="E1447" s="2326">
        <f t="shared" si="115"/>
        <v>7903</v>
      </c>
      <c r="F1447" s="2326">
        <f t="shared" si="116"/>
        <v>10967</v>
      </c>
      <c r="G1447" s="2326">
        <f t="shared" si="117"/>
        <v>9515</v>
      </c>
    </row>
    <row r="1448" spans="1:7" ht="15.75">
      <c r="A1448" s="2486">
        <f t="shared" si="118"/>
        <v>69225</v>
      </c>
      <c r="B1448" s="2325">
        <v>69200</v>
      </c>
      <c r="C1448" s="2325">
        <v>69250</v>
      </c>
      <c r="D1448" s="2326">
        <f t="shared" si="114"/>
        <v>10978</v>
      </c>
      <c r="E1448" s="2326">
        <f t="shared" si="115"/>
        <v>7909</v>
      </c>
      <c r="F1448" s="2326">
        <f t="shared" si="116"/>
        <v>10978</v>
      </c>
      <c r="G1448" s="2326">
        <f t="shared" si="117"/>
        <v>9526</v>
      </c>
    </row>
    <row r="1449" spans="1:7" ht="15.75">
      <c r="A1449" s="2486">
        <f t="shared" si="118"/>
        <v>69275</v>
      </c>
      <c r="B1449" s="2325">
        <v>69250</v>
      </c>
      <c r="C1449" s="2325">
        <v>69300</v>
      </c>
      <c r="D1449" s="2326">
        <f t="shared" si="114"/>
        <v>10989</v>
      </c>
      <c r="E1449" s="2326">
        <f t="shared" si="115"/>
        <v>7915</v>
      </c>
      <c r="F1449" s="2326">
        <f t="shared" si="116"/>
        <v>10989</v>
      </c>
      <c r="G1449" s="2326">
        <f t="shared" si="117"/>
        <v>9537</v>
      </c>
    </row>
    <row r="1450" spans="1:7" ht="15.75">
      <c r="A1450" s="2486">
        <f t="shared" si="118"/>
        <v>69325</v>
      </c>
      <c r="B1450" s="2325">
        <v>69300</v>
      </c>
      <c r="C1450" s="2325">
        <v>69350</v>
      </c>
      <c r="D1450" s="2326">
        <f t="shared" si="114"/>
        <v>11000</v>
      </c>
      <c r="E1450" s="2326">
        <f t="shared" si="115"/>
        <v>7921</v>
      </c>
      <c r="F1450" s="2326">
        <f t="shared" si="116"/>
        <v>11000</v>
      </c>
      <c r="G1450" s="2326">
        <f t="shared" si="117"/>
        <v>9548</v>
      </c>
    </row>
    <row r="1451" spans="1:7" ht="15.75">
      <c r="A1451" s="2486">
        <f t="shared" si="118"/>
        <v>69375</v>
      </c>
      <c r="B1451" s="2325">
        <v>69350</v>
      </c>
      <c r="C1451" s="2325">
        <v>69400</v>
      </c>
      <c r="D1451" s="2326">
        <f t="shared" si="114"/>
        <v>11011</v>
      </c>
      <c r="E1451" s="2326">
        <f t="shared" si="115"/>
        <v>7927</v>
      </c>
      <c r="F1451" s="2326">
        <f t="shared" si="116"/>
        <v>11011</v>
      </c>
      <c r="G1451" s="2326">
        <f t="shared" si="117"/>
        <v>9559</v>
      </c>
    </row>
    <row r="1452" spans="1:7" ht="15.75">
      <c r="A1452" s="2486">
        <f t="shared" si="118"/>
        <v>69425</v>
      </c>
      <c r="B1452" s="2325">
        <v>69400</v>
      </c>
      <c r="C1452" s="2325">
        <v>69450</v>
      </c>
      <c r="D1452" s="2326">
        <f t="shared" si="114"/>
        <v>11022</v>
      </c>
      <c r="E1452" s="2326">
        <f t="shared" si="115"/>
        <v>7933</v>
      </c>
      <c r="F1452" s="2326">
        <f t="shared" si="116"/>
        <v>11022</v>
      </c>
      <c r="G1452" s="2326">
        <f t="shared" si="117"/>
        <v>9570</v>
      </c>
    </row>
    <row r="1453" spans="1:7" ht="15.75">
      <c r="A1453" s="2486">
        <f t="shared" si="118"/>
        <v>69475</v>
      </c>
      <c r="B1453" s="2325">
        <v>69450</v>
      </c>
      <c r="C1453" s="2325">
        <v>69500</v>
      </c>
      <c r="D1453" s="2326">
        <f t="shared" si="114"/>
        <v>11033</v>
      </c>
      <c r="E1453" s="2326">
        <f t="shared" si="115"/>
        <v>7939</v>
      </c>
      <c r="F1453" s="2326">
        <f t="shared" si="116"/>
        <v>11033</v>
      </c>
      <c r="G1453" s="2326">
        <f t="shared" si="117"/>
        <v>9581</v>
      </c>
    </row>
    <row r="1454" spans="1:7" ht="15.75">
      <c r="A1454" s="2486">
        <f t="shared" si="118"/>
        <v>69525</v>
      </c>
      <c r="B1454" s="2325">
        <v>69500</v>
      </c>
      <c r="C1454" s="2325">
        <v>69550</v>
      </c>
      <c r="D1454" s="2326">
        <f t="shared" si="114"/>
        <v>11044</v>
      </c>
      <c r="E1454" s="2326">
        <f t="shared" si="115"/>
        <v>7945</v>
      </c>
      <c r="F1454" s="2326">
        <f t="shared" si="116"/>
        <v>11044</v>
      </c>
      <c r="G1454" s="2326">
        <f t="shared" si="117"/>
        <v>9592</v>
      </c>
    </row>
    <row r="1455" spans="1:7" ht="15.75">
      <c r="A1455" s="2486">
        <f t="shared" si="118"/>
        <v>69575</v>
      </c>
      <c r="B1455" s="2325">
        <v>69550</v>
      </c>
      <c r="C1455" s="2325">
        <v>69600</v>
      </c>
      <c r="D1455" s="2326">
        <f t="shared" si="114"/>
        <v>11055</v>
      </c>
      <c r="E1455" s="2326">
        <f t="shared" si="115"/>
        <v>7951</v>
      </c>
      <c r="F1455" s="2326">
        <f t="shared" si="116"/>
        <v>11055</v>
      </c>
      <c r="G1455" s="2326">
        <f t="shared" si="117"/>
        <v>9603</v>
      </c>
    </row>
    <row r="1456" spans="1:7" ht="15.75">
      <c r="A1456" s="2486">
        <f t="shared" si="118"/>
        <v>69625</v>
      </c>
      <c r="B1456" s="2325">
        <v>69600</v>
      </c>
      <c r="C1456" s="2325">
        <v>69650</v>
      </c>
      <c r="D1456" s="2326">
        <f t="shared" si="114"/>
        <v>11066</v>
      </c>
      <c r="E1456" s="2326">
        <f t="shared" si="115"/>
        <v>7957</v>
      </c>
      <c r="F1456" s="2326">
        <f t="shared" si="116"/>
        <v>11066</v>
      </c>
      <c r="G1456" s="2326">
        <f t="shared" si="117"/>
        <v>9614</v>
      </c>
    </row>
    <row r="1457" spans="1:7" ht="15.75">
      <c r="A1457" s="2486">
        <f t="shared" si="118"/>
        <v>69675</v>
      </c>
      <c r="B1457" s="2325">
        <v>69650</v>
      </c>
      <c r="C1457" s="2325">
        <v>69700</v>
      </c>
      <c r="D1457" s="2326">
        <f t="shared" si="114"/>
        <v>11077</v>
      </c>
      <c r="E1457" s="2326">
        <f t="shared" si="115"/>
        <v>7963</v>
      </c>
      <c r="F1457" s="2326">
        <f t="shared" si="116"/>
        <v>11077</v>
      </c>
      <c r="G1457" s="2326">
        <f t="shared" si="117"/>
        <v>9625</v>
      </c>
    </row>
    <row r="1458" spans="1:7" ht="15.75">
      <c r="A1458" s="2486">
        <f t="shared" si="118"/>
        <v>69725</v>
      </c>
      <c r="B1458" s="2325">
        <v>69700</v>
      </c>
      <c r="C1458" s="2325">
        <v>69750</v>
      </c>
      <c r="D1458" s="2326">
        <f t="shared" si="114"/>
        <v>11088</v>
      </c>
      <c r="E1458" s="2326">
        <f t="shared" si="115"/>
        <v>7969</v>
      </c>
      <c r="F1458" s="2326">
        <f t="shared" si="116"/>
        <v>11088</v>
      </c>
      <c r="G1458" s="2326">
        <f t="shared" si="117"/>
        <v>9636</v>
      </c>
    </row>
    <row r="1459" spans="1:7" ht="15.75">
      <c r="A1459" s="2486">
        <f t="shared" si="118"/>
        <v>69775</v>
      </c>
      <c r="B1459" s="2325">
        <v>69750</v>
      </c>
      <c r="C1459" s="2325">
        <v>69800</v>
      </c>
      <c r="D1459" s="2326">
        <f t="shared" si="114"/>
        <v>11099</v>
      </c>
      <c r="E1459" s="2326">
        <f t="shared" si="115"/>
        <v>7975</v>
      </c>
      <c r="F1459" s="2326">
        <f t="shared" si="116"/>
        <v>11099</v>
      </c>
      <c r="G1459" s="2326">
        <f t="shared" si="117"/>
        <v>9647</v>
      </c>
    </row>
    <row r="1460" spans="1:7" ht="15.75">
      <c r="A1460" s="2486">
        <f t="shared" si="118"/>
        <v>69825</v>
      </c>
      <c r="B1460" s="2325">
        <v>69800</v>
      </c>
      <c r="C1460" s="2325">
        <v>69850</v>
      </c>
      <c r="D1460" s="2326">
        <f t="shared" si="114"/>
        <v>11110</v>
      </c>
      <c r="E1460" s="2326">
        <f t="shared" si="115"/>
        <v>7981</v>
      </c>
      <c r="F1460" s="2326">
        <f t="shared" si="116"/>
        <v>11110</v>
      </c>
      <c r="G1460" s="2326">
        <f t="shared" si="117"/>
        <v>9658</v>
      </c>
    </row>
    <row r="1461" spans="1:7" ht="15.75">
      <c r="A1461" s="2486">
        <f t="shared" si="118"/>
        <v>69875</v>
      </c>
      <c r="B1461" s="2325">
        <v>69850</v>
      </c>
      <c r="C1461" s="2325">
        <v>69900</v>
      </c>
      <c r="D1461" s="2326">
        <f t="shared" si="114"/>
        <v>11121</v>
      </c>
      <c r="E1461" s="2326">
        <f t="shared" si="115"/>
        <v>7987</v>
      </c>
      <c r="F1461" s="2326">
        <f t="shared" si="116"/>
        <v>11121</v>
      </c>
      <c r="G1461" s="2326">
        <f t="shared" si="117"/>
        <v>9669</v>
      </c>
    </row>
    <row r="1462" spans="1:7" ht="15.75">
      <c r="A1462" s="2486">
        <f t="shared" si="118"/>
        <v>69925</v>
      </c>
      <c r="B1462" s="2325">
        <v>69900</v>
      </c>
      <c r="C1462" s="2325">
        <v>69950</v>
      </c>
      <c r="D1462" s="2326">
        <f t="shared" si="114"/>
        <v>11132</v>
      </c>
      <c r="E1462" s="2326">
        <f t="shared" si="115"/>
        <v>7993</v>
      </c>
      <c r="F1462" s="2326">
        <f t="shared" si="116"/>
        <v>11132</v>
      </c>
      <c r="G1462" s="2326">
        <f t="shared" si="117"/>
        <v>9680</v>
      </c>
    </row>
    <row r="1463" spans="1:7" ht="15.75">
      <c r="A1463" s="2486">
        <f t="shared" si="118"/>
        <v>69975</v>
      </c>
      <c r="B1463" s="2325">
        <v>69950</v>
      </c>
      <c r="C1463" s="2325">
        <v>70000</v>
      </c>
      <c r="D1463" s="2326">
        <f t="shared" si="114"/>
        <v>11143</v>
      </c>
      <c r="E1463" s="2326">
        <f t="shared" si="115"/>
        <v>7999</v>
      </c>
      <c r="F1463" s="2326">
        <f t="shared" si="116"/>
        <v>11143</v>
      </c>
      <c r="G1463" s="2326">
        <f t="shared" si="117"/>
        <v>9691</v>
      </c>
    </row>
    <row r="1464" spans="1:7" ht="15.75">
      <c r="A1464" s="2486">
        <f t="shared" si="118"/>
        <v>70025</v>
      </c>
      <c r="B1464" s="2325">
        <v>70000</v>
      </c>
      <c r="C1464" s="2325">
        <v>70050</v>
      </c>
      <c r="D1464" s="2326">
        <f t="shared" si="114"/>
        <v>11154</v>
      </c>
      <c r="E1464" s="2326">
        <f t="shared" si="115"/>
        <v>8005</v>
      </c>
      <c r="F1464" s="2326">
        <f t="shared" si="116"/>
        <v>11154</v>
      </c>
      <c r="G1464" s="2326">
        <f t="shared" si="117"/>
        <v>9702</v>
      </c>
    </row>
    <row r="1465" spans="1:7" ht="15.75">
      <c r="A1465" s="2486">
        <f t="shared" si="118"/>
        <v>70075</v>
      </c>
      <c r="B1465" s="2325">
        <v>70050</v>
      </c>
      <c r="C1465" s="2325">
        <v>70100</v>
      </c>
      <c r="D1465" s="2326">
        <f t="shared" si="114"/>
        <v>11165</v>
      </c>
      <c r="E1465" s="2326">
        <f t="shared" si="115"/>
        <v>8011</v>
      </c>
      <c r="F1465" s="2326">
        <f t="shared" si="116"/>
        <v>11165</v>
      </c>
      <c r="G1465" s="2326">
        <f t="shared" si="117"/>
        <v>9713</v>
      </c>
    </row>
    <row r="1466" spans="1:7" ht="15.75">
      <c r="A1466" s="2486">
        <f t="shared" si="118"/>
        <v>70125</v>
      </c>
      <c r="B1466" s="2325">
        <v>70100</v>
      </c>
      <c r="C1466" s="2325">
        <v>70150</v>
      </c>
      <c r="D1466" s="2326">
        <f t="shared" si="114"/>
        <v>11176</v>
      </c>
      <c r="E1466" s="2326">
        <f t="shared" si="115"/>
        <v>8017</v>
      </c>
      <c r="F1466" s="2326">
        <f t="shared" si="116"/>
        <v>11176</v>
      </c>
      <c r="G1466" s="2326">
        <f t="shared" si="117"/>
        <v>9724</v>
      </c>
    </row>
    <row r="1467" spans="1:7" ht="15.75">
      <c r="A1467" s="2486">
        <f t="shared" si="118"/>
        <v>70175</v>
      </c>
      <c r="B1467" s="2325">
        <v>70150</v>
      </c>
      <c r="C1467" s="2325">
        <v>70200</v>
      </c>
      <c r="D1467" s="2326">
        <f t="shared" si="114"/>
        <v>11187</v>
      </c>
      <c r="E1467" s="2326">
        <f t="shared" si="115"/>
        <v>8023</v>
      </c>
      <c r="F1467" s="2326">
        <f t="shared" si="116"/>
        <v>11187</v>
      </c>
      <c r="G1467" s="2326">
        <f t="shared" si="117"/>
        <v>9735</v>
      </c>
    </row>
    <row r="1468" spans="1:7" ht="15.75">
      <c r="A1468" s="2486">
        <f t="shared" si="118"/>
        <v>70225</v>
      </c>
      <c r="B1468" s="2325">
        <v>70200</v>
      </c>
      <c r="C1468" s="2325">
        <v>70250</v>
      </c>
      <c r="D1468" s="2326">
        <f t="shared" si="114"/>
        <v>11198</v>
      </c>
      <c r="E1468" s="2326">
        <f t="shared" si="115"/>
        <v>8029</v>
      </c>
      <c r="F1468" s="2326">
        <f t="shared" si="116"/>
        <v>11198</v>
      </c>
      <c r="G1468" s="2326">
        <f t="shared" si="117"/>
        <v>9746</v>
      </c>
    </row>
    <row r="1469" spans="1:7" ht="15.75">
      <c r="A1469" s="2486">
        <f t="shared" si="118"/>
        <v>70275</v>
      </c>
      <c r="B1469" s="2325">
        <v>70250</v>
      </c>
      <c r="C1469" s="2325">
        <v>70300</v>
      </c>
      <c r="D1469" s="2326">
        <f t="shared" si="114"/>
        <v>11209</v>
      </c>
      <c r="E1469" s="2326">
        <f t="shared" si="115"/>
        <v>8035</v>
      </c>
      <c r="F1469" s="2326">
        <f t="shared" si="116"/>
        <v>11209</v>
      </c>
      <c r="G1469" s="2326">
        <f t="shared" si="117"/>
        <v>9757</v>
      </c>
    </row>
    <row r="1470" spans="1:7" ht="15.75">
      <c r="A1470" s="2486">
        <f t="shared" si="118"/>
        <v>70325</v>
      </c>
      <c r="B1470" s="2325">
        <v>70300</v>
      </c>
      <c r="C1470" s="2325">
        <v>70350</v>
      </c>
      <c r="D1470" s="2326">
        <f t="shared" si="114"/>
        <v>11220</v>
      </c>
      <c r="E1470" s="2326">
        <f t="shared" si="115"/>
        <v>8041</v>
      </c>
      <c r="F1470" s="2326">
        <f t="shared" si="116"/>
        <v>11220</v>
      </c>
      <c r="G1470" s="2326">
        <f t="shared" si="117"/>
        <v>9768</v>
      </c>
    </row>
    <row r="1471" spans="1:7" ht="15.75">
      <c r="A1471" s="2486">
        <f t="shared" si="118"/>
        <v>70375</v>
      </c>
      <c r="B1471" s="2325">
        <v>70350</v>
      </c>
      <c r="C1471" s="2325">
        <v>70400</v>
      </c>
      <c r="D1471" s="2326">
        <f t="shared" si="114"/>
        <v>11231</v>
      </c>
      <c r="E1471" s="2326">
        <f t="shared" si="115"/>
        <v>8047</v>
      </c>
      <c r="F1471" s="2326">
        <f t="shared" si="116"/>
        <v>11231</v>
      </c>
      <c r="G1471" s="2326">
        <f t="shared" si="117"/>
        <v>9779</v>
      </c>
    </row>
    <row r="1472" spans="1:7" ht="15.75">
      <c r="A1472" s="2486">
        <f t="shared" si="118"/>
        <v>70425</v>
      </c>
      <c r="B1472" s="2325">
        <v>70400</v>
      </c>
      <c r="C1472" s="2325">
        <v>70450</v>
      </c>
      <c r="D1472" s="2326">
        <f t="shared" si="114"/>
        <v>11242</v>
      </c>
      <c r="E1472" s="2326">
        <f t="shared" si="115"/>
        <v>8053</v>
      </c>
      <c r="F1472" s="2326">
        <f t="shared" si="116"/>
        <v>11242</v>
      </c>
      <c r="G1472" s="2326">
        <f t="shared" si="117"/>
        <v>9790</v>
      </c>
    </row>
    <row r="1473" spans="1:7" ht="15.75">
      <c r="A1473" s="2486">
        <f t="shared" si="118"/>
        <v>70475</v>
      </c>
      <c r="B1473" s="2325">
        <v>70450</v>
      </c>
      <c r="C1473" s="2325">
        <v>70500</v>
      </c>
      <c r="D1473" s="2326">
        <f t="shared" si="114"/>
        <v>11253</v>
      </c>
      <c r="E1473" s="2326">
        <f t="shared" si="115"/>
        <v>8059</v>
      </c>
      <c r="F1473" s="2326">
        <f t="shared" si="116"/>
        <v>11253</v>
      </c>
      <c r="G1473" s="2326">
        <f t="shared" si="117"/>
        <v>9801</v>
      </c>
    </row>
    <row r="1474" spans="1:7" ht="15.75">
      <c r="A1474" s="2486">
        <f t="shared" si="118"/>
        <v>70525</v>
      </c>
      <c r="B1474" s="2325">
        <v>70500</v>
      </c>
      <c r="C1474" s="2325">
        <v>70550</v>
      </c>
      <c r="D1474" s="2326">
        <f t="shared" ref="D1474:D1537" si="119">IF($A1474&gt;BOTT_A4,ROUND(BASE_A4+RATE_A4*($A1474-BOTT_A4),0),IF($A1474&gt;BOTT_A3,ROUND(BASE_A3+RATE_A3*($A1474-BOTT_A3),0),IF($A1474&gt;BOTT_A2,ROUND(BASE_A2+RATE_A2*($A1474-BOTT_A2),0),ROUND(RATE_A1*$A1474,0))))</f>
        <v>11264</v>
      </c>
      <c r="E1474" s="2326">
        <f t="shared" ref="E1474:E1537" si="120">IF($A1474&gt;BOTT_B4,ROUND(BASE_B4+RATE_B4*($A1474-BOTT_B4),0),IF($A1474&gt;BOTT_B3,ROUND(BASE_B3+RATE_B3*($A1474-BOTT_B3),0),IF($A1474&gt;BOTT_B2,ROUND(BASE_B2+RATE_B2*($A1474-BOTT_B2),0),ROUND(RATE_B1*$A1474,0))))</f>
        <v>8065</v>
      </c>
      <c r="F1474" s="2326">
        <f t="shared" ref="F1474:F1537" si="121">IF($A1474&gt;BOTT_C4,ROUND(BASE_C4+RATE_C4*($A1474-BOTT_C4),0),IF($A1474&gt;BOTT_C3,ROUND(BASE_C3+RATE_C3*($A1474-BOTT_C3),0),IF($A1474&gt;BOTT_C2,ROUND(BASE_C2+RATE_C2*($A1474-BOTT_C2),0),ROUND(RATE_C1*$A1474,0))))</f>
        <v>11264</v>
      </c>
      <c r="G1474" s="2326">
        <f t="shared" ref="G1474:G1537" si="122">IF($A1474&gt;BOTT_D4,ROUND(BASE_D4+RATE_D4*($A1474-BOTT_D4),0),IF($A1474&gt;BOTT_D3,ROUND(BASE_D3+RATE_D3*($A1474-BOTT_D3),0),IF($A1474&gt;BOTT_D2,ROUND(BASE_D2+RATE_D2*($A1474-BOTT_D2),0),ROUND(RATE_D1*$A1474,0))))</f>
        <v>9812</v>
      </c>
    </row>
    <row r="1475" spans="1:7" ht="15.75">
      <c r="A1475" s="2486">
        <f t="shared" ref="A1475:A1538" si="123">AVERAGE(B1475,C1475)</f>
        <v>70575</v>
      </c>
      <c r="B1475" s="2325">
        <v>70550</v>
      </c>
      <c r="C1475" s="2325">
        <v>70600</v>
      </c>
      <c r="D1475" s="2326">
        <f t="shared" si="119"/>
        <v>11275</v>
      </c>
      <c r="E1475" s="2326">
        <f t="shared" si="120"/>
        <v>8071</v>
      </c>
      <c r="F1475" s="2326">
        <f t="shared" si="121"/>
        <v>11275</v>
      </c>
      <c r="G1475" s="2326">
        <f t="shared" si="122"/>
        <v>9823</v>
      </c>
    </row>
    <row r="1476" spans="1:7" ht="15.75">
      <c r="A1476" s="2486">
        <f t="shared" si="123"/>
        <v>70625</v>
      </c>
      <c r="B1476" s="2325">
        <v>70600</v>
      </c>
      <c r="C1476" s="2325">
        <v>70650</v>
      </c>
      <c r="D1476" s="2326">
        <f t="shared" si="119"/>
        <v>11286</v>
      </c>
      <c r="E1476" s="2326">
        <f t="shared" si="120"/>
        <v>8077</v>
      </c>
      <c r="F1476" s="2326">
        <f t="shared" si="121"/>
        <v>11286</v>
      </c>
      <c r="G1476" s="2326">
        <f t="shared" si="122"/>
        <v>9834</v>
      </c>
    </row>
    <row r="1477" spans="1:7" ht="15.75">
      <c r="A1477" s="2486">
        <f t="shared" si="123"/>
        <v>70675</v>
      </c>
      <c r="B1477" s="2325">
        <v>70650</v>
      </c>
      <c r="C1477" s="2325">
        <v>70700</v>
      </c>
      <c r="D1477" s="2326">
        <f t="shared" si="119"/>
        <v>11297</v>
      </c>
      <c r="E1477" s="2326">
        <f t="shared" si="120"/>
        <v>8083</v>
      </c>
      <c r="F1477" s="2326">
        <f t="shared" si="121"/>
        <v>11297</v>
      </c>
      <c r="G1477" s="2326">
        <f t="shared" si="122"/>
        <v>9845</v>
      </c>
    </row>
    <row r="1478" spans="1:7" ht="15.75">
      <c r="A1478" s="2486">
        <f t="shared" si="123"/>
        <v>70725</v>
      </c>
      <c r="B1478" s="2325">
        <v>70700</v>
      </c>
      <c r="C1478" s="2325">
        <v>70750</v>
      </c>
      <c r="D1478" s="2326">
        <f t="shared" si="119"/>
        <v>11308</v>
      </c>
      <c r="E1478" s="2326">
        <f t="shared" si="120"/>
        <v>8089</v>
      </c>
      <c r="F1478" s="2326">
        <f t="shared" si="121"/>
        <v>11308</v>
      </c>
      <c r="G1478" s="2326">
        <f t="shared" si="122"/>
        <v>9856</v>
      </c>
    </row>
    <row r="1479" spans="1:7" ht="15.75">
      <c r="A1479" s="2486">
        <f t="shared" si="123"/>
        <v>70775</v>
      </c>
      <c r="B1479" s="2325">
        <v>70750</v>
      </c>
      <c r="C1479" s="2325">
        <v>70800</v>
      </c>
      <c r="D1479" s="2326">
        <f t="shared" si="119"/>
        <v>11319</v>
      </c>
      <c r="E1479" s="2326">
        <f t="shared" si="120"/>
        <v>8095</v>
      </c>
      <c r="F1479" s="2326">
        <f t="shared" si="121"/>
        <v>11319</v>
      </c>
      <c r="G1479" s="2326">
        <f t="shared" si="122"/>
        <v>9867</v>
      </c>
    </row>
    <row r="1480" spans="1:7" ht="15.75">
      <c r="A1480" s="2486">
        <f t="shared" si="123"/>
        <v>70825</v>
      </c>
      <c r="B1480" s="2325">
        <v>70800</v>
      </c>
      <c r="C1480" s="2325">
        <v>70850</v>
      </c>
      <c r="D1480" s="2326">
        <f t="shared" si="119"/>
        <v>11330</v>
      </c>
      <c r="E1480" s="2326">
        <f t="shared" si="120"/>
        <v>8101</v>
      </c>
      <c r="F1480" s="2326">
        <f t="shared" si="121"/>
        <v>11330</v>
      </c>
      <c r="G1480" s="2326">
        <f t="shared" si="122"/>
        <v>9878</v>
      </c>
    </row>
    <row r="1481" spans="1:7" ht="15.75">
      <c r="A1481" s="2486">
        <f t="shared" si="123"/>
        <v>70875</v>
      </c>
      <c r="B1481" s="2325">
        <v>70850</v>
      </c>
      <c r="C1481" s="2325">
        <v>70900</v>
      </c>
      <c r="D1481" s="2326">
        <f t="shared" si="119"/>
        <v>11341</v>
      </c>
      <c r="E1481" s="2326">
        <f t="shared" si="120"/>
        <v>8107</v>
      </c>
      <c r="F1481" s="2326">
        <f t="shared" si="121"/>
        <v>11341</v>
      </c>
      <c r="G1481" s="2326">
        <f t="shared" si="122"/>
        <v>9889</v>
      </c>
    </row>
    <row r="1482" spans="1:7" ht="15.75">
      <c r="A1482" s="2486">
        <f t="shared" si="123"/>
        <v>70925</v>
      </c>
      <c r="B1482" s="2325">
        <v>70900</v>
      </c>
      <c r="C1482" s="2325">
        <v>70950</v>
      </c>
      <c r="D1482" s="2326">
        <f t="shared" si="119"/>
        <v>11352</v>
      </c>
      <c r="E1482" s="2326">
        <f t="shared" si="120"/>
        <v>8113</v>
      </c>
      <c r="F1482" s="2326">
        <f t="shared" si="121"/>
        <v>11352</v>
      </c>
      <c r="G1482" s="2326">
        <f t="shared" si="122"/>
        <v>9900</v>
      </c>
    </row>
    <row r="1483" spans="1:7" ht="15.75">
      <c r="A1483" s="2486">
        <f t="shared" si="123"/>
        <v>70975</v>
      </c>
      <c r="B1483" s="2325">
        <v>70950</v>
      </c>
      <c r="C1483" s="2325">
        <v>71000</v>
      </c>
      <c r="D1483" s="2326">
        <f t="shared" si="119"/>
        <v>11363</v>
      </c>
      <c r="E1483" s="2326">
        <f t="shared" si="120"/>
        <v>8119</v>
      </c>
      <c r="F1483" s="2326">
        <f t="shared" si="121"/>
        <v>11363</v>
      </c>
      <c r="G1483" s="2326">
        <f t="shared" si="122"/>
        <v>9911</v>
      </c>
    </row>
    <row r="1484" spans="1:7" ht="15.75">
      <c r="A1484" s="2486">
        <f t="shared" si="123"/>
        <v>71025</v>
      </c>
      <c r="B1484" s="2325">
        <v>71000</v>
      </c>
      <c r="C1484" s="2325">
        <v>71050</v>
      </c>
      <c r="D1484" s="2326">
        <f t="shared" si="119"/>
        <v>11374</v>
      </c>
      <c r="E1484" s="2326">
        <f t="shared" si="120"/>
        <v>8125</v>
      </c>
      <c r="F1484" s="2326">
        <f t="shared" si="121"/>
        <v>11374</v>
      </c>
      <c r="G1484" s="2326">
        <f t="shared" si="122"/>
        <v>9922</v>
      </c>
    </row>
    <row r="1485" spans="1:7" ht="15.75">
      <c r="A1485" s="2486">
        <f t="shared" si="123"/>
        <v>71075</v>
      </c>
      <c r="B1485" s="2325">
        <v>71050</v>
      </c>
      <c r="C1485" s="2325">
        <v>71100</v>
      </c>
      <c r="D1485" s="2326">
        <f t="shared" si="119"/>
        <v>11385</v>
      </c>
      <c r="E1485" s="2326">
        <f t="shared" si="120"/>
        <v>8131</v>
      </c>
      <c r="F1485" s="2326">
        <f t="shared" si="121"/>
        <v>11385</v>
      </c>
      <c r="G1485" s="2326">
        <f t="shared" si="122"/>
        <v>9933</v>
      </c>
    </row>
    <row r="1486" spans="1:7" ht="15.75">
      <c r="A1486" s="2486">
        <f t="shared" si="123"/>
        <v>71125</v>
      </c>
      <c r="B1486" s="2325">
        <v>71100</v>
      </c>
      <c r="C1486" s="2325">
        <v>71150</v>
      </c>
      <c r="D1486" s="2326">
        <f t="shared" si="119"/>
        <v>11396</v>
      </c>
      <c r="E1486" s="2326">
        <f t="shared" si="120"/>
        <v>8137</v>
      </c>
      <c r="F1486" s="2326">
        <f t="shared" si="121"/>
        <v>11396</v>
      </c>
      <c r="G1486" s="2326">
        <f t="shared" si="122"/>
        <v>9944</v>
      </c>
    </row>
    <row r="1487" spans="1:7" ht="15.75">
      <c r="A1487" s="2486">
        <f t="shared" si="123"/>
        <v>71175</v>
      </c>
      <c r="B1487" s="2325">
        <v>71150</v>
      </c>
      <c r="C1487" s="2325">
        <v>71200</v>
      </c>
      <c r="D1487" s="2326">
        <f t="shared" si="119"/>
        <v>11407</v>
      </c>
      <c r="E1487" s="2326">
        <f t="shared" si="120"/>
        <v>8143</v>
      </c>
      <c r="F1487" s="2326">
        <f t="shared" si="121"/>
        <v>11407</v>
      </c>
      <c r="G1487" s="2326">
        <f t="shared" si="122"/>
        <v>9955</v>
      </c>
    </row>
    <row r="1488" spans="1:7" ht="15.75">
      <c r="A1488" s="2486">
        <f t="shared" si="123"/>
        <v>71225</v>
      </c>
      <c r="B1488" s="2325">
        <v>71200</v>
      </c>
      <c r="C1488" s="2325">
        <v>71250</v>
      </c>
      <c r="D1488" s="2326">
        <f t="shared" si="119"/>
        <v>11418</v>
      </c>
      <c r="E1488" s="2326">
        <f t="shared" si="120"/>
        <v>8149</v>
      </c>
      <c r="F1488" s="2326">
        <f t="shared" si="121"/>
        <v>11418</v>
      </c>
      <c r="G1488" s="2326">
        <f t="shared" si="122"/>
        <v>9966</v>
      </c>
    </row>
    <row r="1489" spans="1:7" ht="15.75">
      <c r="A1489" s="2486">
        <f t="shared" si="123"/>
        <v>71275</v>
      </c>
      <c r="B1489" s="2325">
        <v>71250</v>
      </c>
      <c r="C1489" s="2325">
        <v>71300</v>
      </c>
      <c r="D1489" s="2326">
        <f t="shared" si="119"/>
        <v>11429</v>
      </c>
      <c r="E1489" s="2326">
        <f t="shared" si="120"/>
        <v>8155</v>
      </c>
      <c r="F1489" s="2326">
        <f t="shared" si="121"/>
        <v>11429</v>
      </c>
      <c r="G1489" s="2326">
        <f t="shared" si="122"/>
        <v>9977</v>
      </c>
    </row>
    <row r="1490" spans="1:7" ht="15.75">
      <c r="A1490" s="2486">
        <f t="shared" si="123"/>
        <v>71325</v>
      </c>
      <c r="B1490" s="2325">
        <v>71300</v>
      </c>
      <c r="C1490" s="2325">
        <v>71350</v>
      </c>
      <c r="D1490" s="2326">
        <f t="shared" si="119"/>
        <v>11440</v>
      </c>
      <c r="E1490" s="2326">
        <f t="shared" si="120"/>
        <v>8161</v>
      </c>
      <c r="F1490" s="2326">
        <f t="shared" si="121"/>
        <v>11440</v>
      </c>
      <c r="G1490" s="2326">
        <f t="shared" si="122"/>
        <v>9988</v>
      </c>
    </row>
    <row r="1491" spans="1:7" ht="15.75">
      <c r="A1491" s="2486">
        <f t="shared" si="123"/>
        <v>71375</v>
      </c>
      <c r="B1491" s="2325">
        <v>71350</v>
      </c>
      <c r="C1491" s="2325">
        <v>71400</v>
      </c>
      <c r="D1491" s="2326">
        <f t="shared" si="119"/>
        <v>11451</v>
      </c>
      <c r="E1491" s="2326">
        <f t="shared" si="120"/>
        <v>8167</v>
      </c>
      <c r="F1491" s="2326">
        <f t="shared" si="121"/>
        <v>11451</v>
      </c>
      <c r="G1491" s="2326">
        <f t="shared" si="122"/>
        <v>9999</v>
      </c>
    </row>
    <row r="1492" spans="1:7" ht="15.75">
      <c r="A1492" s="2486">
        <f t="shared" si="123"/>
        <v>71425</v>
      </c>
      <c r="B1492" s="2325">
        <v>71400</v>
      </c>
      <c r="C1492" s="2325">
        <v>71450</v>
      </c>
      <c r="D1492" s="2326">
        <f t="shared" si="119"/>
        <v>11462</v>
      </c>
      <c r="E1492" s="2326">
        <f t="shared" si="120"/>
        <v>8173</v>
      </c>
      <c r="F1492" s="2326">
        <f t="shared" si="121"/>
        <v>11462</v>
      </c>
      <c r="G1492" s="2326">
        <f t="shared" si="122"/>
        <v>10010</v>
      </c>
    </row>
    <row r="1493" spans="1:7" ht="15.75">
      <c r="A1493" s="2486">
        <f t="shared" si="123"/>
        <v>71475</v>
      </c>
      <c r="B1493" s="2325">
        <v>71450</v>
      </c>
      <c r="C1493" s="2325">
        <v>71500</v>
      </c>
      <c r="D1493" s="2326">
        <f t="shared" si="119"/>
        <v>11473</v>
      </c>
      <c r="E1493" s="2326">
        <f t="shared" si="120"/>
        <v>8179</v>
      </c>
      <c r="F1493" s="2326">
        <f t="shared" si="121"/>
        <v>11473</v>
      </c>
      <c r="G1493" s="2326">
        <f t="shared" si="122"/>
        <v>10021</v>
      </c>
    </row>
    <row r="1494" spans="1:7" ht="15.75">
      <c r="A1494" s="2486">
        <f t="shared" si="123"/>
        <v>71525</v>
      </c>
      <c r="B1494" s="2325">
        <v>71500</v>
      </c>
      <c r="C1494" s="2325">
        <v>71550</v>
      </c>
      <c r="D1494" s="2326">
        <f t="shared" si="119"/>
        <v>11484</v>
      </c>
      <c r="E1494" s="2326">
        <f t="shared" si="120"/>
        <v>8185</v>
      </c>
      <c r="F1494" s="2326">
        <f t="shared" si="121"/>
        <v>11484</v>
      </c>
      <c r="G1494" s="2326">
        <f t="shared" si="122"/>
        <v>10032</v>
      </c>
    </row>
    <row r="1495" spans="1:7" ht="15.75">
      <c r="A1495" s="2486">
        <f t="shared" si="123"/>
        <v>71575</v>
      </c>
      <c r="B1495" s="2325">
        <v>71550</v>
      </c>
      <c r="C1495" s="2325">
        <v>71600</v>
      </c>
      <c r="D1495" s="2326">
        <f t="shared" si="119"/>
        <v>11495</v>
      </c>
      <c r="E1495" s="2326">
        <f t="shared" si="120"/>
        <v>8191</v>
      </c>
      <c r="F1495" s="2326">
        <f t="shared" si="121"/>
        <v>11495</v>
      </c>
      <c r="G1495" s="2326">
        <f t="shared" si="122"/>
        <v>10043</v>
      </c>
    </row>
    <row r="1496" spans="1:7" ht="15.75">
      <c r="A1496" s="2486">
        <f t="shared" si="123"/>
        <v>71625</v>
      </c>
      <c r="B1496" s="2325">
        <v>71600</v>
      </c>
      <c r="C1496" s="2325">
        <v>71650</v>
      </c>
      <c r="D1496" s="2326">
        <f t="shared" si="119"/>
        <v>11506</v>
      </c>
      <c r="E1496" s="2326">
        <f t="shared" si="120"/>
        <v>8197</v>
      </c>
      <c r="F1496" s="2326">
        <f t="shared" si="121"/>
        <v>11506</v>
      </c>
      <c r="G1496" s="2326">
        <f t="shared" si="122"/>
        <v>10054</v>
      </c>
    </row>
    <row r="1497" spans="1:7" ht="15.75">
      <c r="A1497" s="2486">
        <f t="shared" si="123"/>
        <v>71675</v>
      </c>
      <c r="B1497" s="2325">
        <v>71650</v>
      </c>
      <c r="C1497" s="2325">
        <v>71700</v>
      </c>
      <c r="D1497" s="2326">
        <f t="shared" si="119"/>
        <v>11517</v>
      </c>
      <c r="E1497" s="2326">
        <f t="shared" si="120"/>
        <v>8203</v>
      </c>
      <c r="F1497" s="2326">
        <f t="shared" si="121"/>
        <v>11517</v>
      </c>
      <c r="G1497" s="2326">
        <f t="shared" si="122"/>
        <v>10065</v>
      </c>
    </row>
    <row r="1498" spans="1:7" ht="15.75">
      <c r="A1498" s="2486">
        <f t="shared" si="123"/>
        <v>71725</v>
      </c>
      <c r="B1498" s="2325">
        <v>71700</v>
      </c>
      <c r="C1498" s="2325">
        <v>71750</v>
      </c>
      <c r="D1498" s="2326">
        <f t="shared" si="119"/>
        <v>11528</v>
      </c>
      <c r="E1498" s="2326">
        <f t="shared" si="120"/>
        <v>8209</v>
      </c>
      <c r="F1498" s="2326">
        <f t="shared" si="121"/>
        <v>11528</v>
      </c>
      <c r="G1498" s="2326">
        <f t="shared" si="122"/>
        <v>10076</v>
      </c>
    </row>
    <row r="1499" spans="1:7" ht="15.75">
      <c r="A1499" s="2486">
        <f t="shared" si="123"/>
        <v>71775</v>
      </c>
      <c r="B1499" s="2325">
        <v>71750</v>
      </c>
      <c r="C1499" s="2325">
        <v>71800</v>
      </c>
      <c r="D1499" s="2326">
        <f t="shared" si="119"/>
        <v>11539</v>
      </c>
      <c r="E1499" s="2326">
        <f t="shared" si="120"/>
        <v>8215</v>
      </c>
      <c r="F1499" s="2326">
        <f t="shared" si="121"/>
        <v>11539</v>
      </c>
      <c r="G1499" s="2326">
        <f t="shared" si="122"/>
        <v>10087</v>
      </c>
    </row>
    <row r="1500" spans="1:7" ht="15.75">
      <c r="A1500" s="2486">
        <f t="shared" si="123"/>
        <v>71825</v>
      </c>
      <c r="B1500" s="2325">
        <v>71800</v>
      </c>
      <c r="C1500" s="2325">
        <v>71850</v>
      </c>
      <c r="D1500" s="2326">
        <f t="shared" si="119"/>
        <v>11550</v>
      </c>
      <c r="E1500" s="2326">
        <f t="shared" si="120"/>
        <v>8221</v>
      </c>
      <c r="F1500" s="2326">
        <f t="shared" si="121"/>
        <v>11550</v>
      </c>
      <c r="G1500" s="2326">
        <f t="shared" si="122"/>
        <v>10098</v>
      </c>
    </row>
    <row r="1501" spans="1:7" ht="15.75">
      <c r="A1501" s="2486">
        <f t="shared" si="123"/>
        <v>71875</v>
      </c>
      <c r="B1501" s="2325">
        <v>71850</v>
      </c>
      <c r="C1501" s="2325">
        <v>71900</v>
      </c>
      <c r="D1501" s="2326">
        <f t="shared" si="119"/>
        <v>11561</v>
      </c>
      <c r="E1501" s="2326">
        <f t="shared" si="120"/>
        <v>8227</v>
      </c>
      <c r="F1501" s="2326">
        <f t="shared" si="121"/>
        <v>11561</v>
      </c>
      <c r="G1501" s="2326">
        <f t="shared" si="122"/>
        <v>10109</v>
      </c>
    </row>
    <row r="1502" spans="1:7" ht="15.75">
      <c r="A1502" s="2486">
        <f t="shared" si="123"/>
        <v>71925</v>
      </c>
      <c r="B1502" s="2325">
        <v>71900</v>
      </c>
      <c r="C1502" s="2325">
        <v>71950</v>
      </c>
      <c r="D1502" s="2326">
        <f t="shared" si="119"/>
        <v>11572</v>
      </c>
      <c r="E1502" s="2326">
        <f t="shared" si="120"/>
        <v>8233</v>
      </c>
      <c r="F1502" s="2326">
        <f t="shared" si="121"/>
        <v>11572</v>
      </c>
      <c r="G1502" s="2326">
        <f t="shared" si="122"/>
        <v>10120</v>
      </c>
    </row>
    <row r="1503" spans="1:7" ht="15.75">
      <c r="A1503" s="2486">
        <f t="shared" si="123"/>
        <v>71975</v>
      </c>
      <c r="B1503" s="2325">
        <v>71950</v>
      </c>
      <c r="C1503" s="2325">
        <v>72000</v>
      </c>
      <c r="D1503" s="2326">
        <f t="shared" si="119"/>
        <v>11583</v>
      </c>
      <c r="E1503" s="2326">
        <f t="shared" si="120"/>
        <v>8239</v>
      </c>
      <c r="F1503" s="2326">
        <f t="shared" si="121"/>
        <v>11583</v>
      </c>
      <c r="G1503" s="2326">
        <f t="shared" si="122"/>
        <v>10131</v>
      </c>
    </row>
    <row r="1504" spans="1:7" ht="15.75">
      <c r="A1504" s="2486">
        <f t="shared" si="123"/>
        <v>72025</v>
      </c>
      <c r="B1504" s="2325">
        <v>72000</v>
      </c>
      <c r="C1504" s="2325">
        <v>72050</v>
      </c>
      <c r="D1504" s="2326">
        <f t="shared" si="119"/>
        <v>11594</v>
      </c>
      <c r="E1504" s="2326">
        <f t="shared" si="120"/>
        <v>8245</v>
      </c>
      <c r="F1504" s="2326">
        <f t="shared" si="121"/>
        <v>11594</v>
      </c>
      <c r="G1504" s="2326">
        <f t="shared" si="122"/>
        <v>10142</v>
      </c>
    </row>
    <row r="1505" spans="1:7" ht="15.75">
      <c r="A1505" s="2486">
        <f t="shared" si="123"/>
        <v>72075</v>
      </c>
      <c r="B1505" s="2325">
        <v>72050</v>
      </c>
      <c r="C1505" s="2325">
        <v>72100</v>
      </c>
      <c r="D1505" s="2326">
        <f t="shared" si="119"/>
        <v>11605</v>
      </c>
      <c r="E1505" s="2326">
        <f t="shared" si="120"/>
        <v>8251</v>
      </c>
      <c r="F1505" s="2326">
        <f t="shared" si="121"/>
        <v>11605</v>
      </c>
      <c r="G1505" s="2326">
        <f t="shared" si="122"/>
        <v>10153</v>
      </c>
    </row>
    <row r="1506" spans="1:7" ht="15.75">
      <c r="A1506" s="2486">
        <f t="shared" si="123"/>
        <v>72125</v>
      </c>
      <c r="B1506" s="2325">
        <v>72100</v>
      </c>
      <c r="C1506" s="2325">
        <v>72150</v>
      </c>
      <c r="D1506" s="2326">
        <f t="shared" si="119"/>
        <v>11616</v>
      </c>
      <c r="E1506" s="2326">
        <f t="shared" si="120"/>
        <v>8257</v>
      </c>
      <c r="F1506" s="2326">
        <f t="shared" si="121"/>
        <v>11616</v>
      </c>
      <c r="G1506" s="2326">
        <f t="shared" si="122"/>
        <v>10164</v>
      </c>
    </row>
    <row r="1507" spans="1:7" ht="15.75">
      <c r="A1507" s="2486">
        <f t="shared" si="123"/>
        <v>72175</v>
      </c>
      <c r="B1507" s="2325">
        <v>72150</v>
      </c>
      <c r="C1507" s="2325">
        <v>72200</v>
      </c>
      <c r="D1507" s="2326">
        <f t="shared" si="119"/>
        <v>11627</v>
      </c>
      <c r="E1507" s="2326">
        <f t="shared" si="120"/>
        <v>8263</v>
      </c>
      <c r="F1507" s="2326">
        <f t="shared" si="121"/>
        <v>11627</v>
      </c>
      <c r="G1507" s="2326">
        <f t="shared" si="122"/>
        <v>10175</v>
      </c>
    </row>
    <row r="1508" spans="1:7" ht="15.75">
      <c r="A1508" s="2486">
        <f t="shared" si="123"/>
        <v>72225</v>
      </c>
      <c r="B1508" s="2325">
        <v>72200</v>
      </c>
      <c r="C1508" s="2325">
        <v>72250</v>
      </c>
      <c r="D1508" s="2326">
        <f t="shared" si="119"/>
        <v>11638</v>
      </c>
      <c r="E1508" s="2326">
        <f t="shared" si="120"/>
        <v>8269</v>
      </c>
      <c r="F1508" s="2326">
        <f t="shared" si="121"/>
        <v>11638</v>
      </c>
      <c r="G1508" s="2326">
        <f t="shared" si="122"/>
        <v>10186</v>
      </c>
    </row>
    <row r="1509" spans="1:7" ht="15.75">
      <c r="A1509" s="2486">
        <f t="shared" si="123"/>
        <v>72275</v>
      </c>
      <c r="B1509" s="2325">
        <v>72250</v>
      </c>
      <c r="C1509" s="2325">
        <v>72300</v>
      </c>
      <c r="D1509" s="2326">
        <f t="shared" si="119"/>
        <v>11649</v>
      </c>
      <c r="E1509" s="2326">
        <f t="shared" si="120"/>
        <v>8275</v>
      </c>
      <c r="F1509" s="2326">
        <f t="shared" si="121"/>
        <v>11649</v>
      </c>
      <c r="G1509" s="2326">
        <f t="shared" si="122"/>
        <v>10197</v>
      </c>
    </row>
    <row r="1510" spans="1:7" ht="15.75">
      <c r="A1510" s="2486">
        <f t="shared" si="123"/>
        <v>72325</v>
      </c>
      <c r="B1510" s="2325">
        <v>72300</v>
      </c>
      <c r="C1510" s="2325">
        <v>72350</v>
      </c>
      <c r="D1510" s="2326">
        <f t="shared" si="119"/>
        <v>11660</v>
      </c>
      <c r="E1510" s="2326">
        <f t="shared" si="120"/>
        <v>8281</v>
      </c>
      <c r="F1510" s="2326">
        <f t="shared" si="121"/>
        <v>11660</v>
      </c>
      <c r="G1510" s="2326">
        <f t="shared" si="122"/>
        <v>10208</v>
      </c>
    </row>
    <row r="1511" spans="1:7" ht="15.75">
      <c r="A1511" s="2486">
        <f t="shared" si="123"/>
        <v>72375</v>
      </c>
      <c r="B1511" s="2325">
        <v>72350</v>
      </c>
      <c r="C1511" s="2325">
        <v>72400</v>
      </c>
      <c r="D1511" s="2326">
        <f t="shared" si="119"/>
        <v>11671</v>
      </c>
      <c r="E1511" s="2326">
        <f t="shared" si="120"/>
        <v>8287</v>
      </c>
      <c r="F1511" s="2326">
        <f t="shared" si="121"/>
        <v>11671</v>
      </c>
      <c r="G1511" s="2326">
        <f t="shared" si="122"/>
        <v>10219</v>
      </c>
    </row>
    <row r="1512" spans="1:7" ht="15.75">
      <c r="A1512" s="2486">
        <f t="shared" si="123"/>
        <v>72425</v>
      </c>
      <c r="B1512" s="2325">
        <v>72400</v>
      </c>
      <c r="C1512" s="2325">
        <v>72450</v>
      </c>
      <c r="D1512" s="2326">
        <f t="shared" si="119"/>
        <v>11682</v>
      </c>
      <c r="E1512" s="2326">
        <f t="shared" si="120"/>
        <v>8293</v>
      </c>
      <c r="F1512" s="2326">
        <f t="shared" si="121"/>
        <v>11682</v>
      </c>
      <c r="G1512" s="2326">
        <f t="shared" si="122"/>
        <v>10230</v>
      </c>
    </row>
    <row r="1513" spans="1:7" ht="15.75">
      <c r="A1513" s="2486">
        <f t="shared" si="123"/>
        <v>72475</v>
      </c>
      <c r="B1513" s="2325">
        <v>72450</v>
      </c>
      <c r="C1513" s="2325">
        <v>72500</v>
      </c>
      <c r="D1513" s="2326">
        <f t="shared" si="119"/>
        <v>11693</v>
      </c>
      <c r="E1513" s="2326">
        <f t="shared" si="120"/>
        <v>8299</v>
      </c>
      <c r="F1513" s="2326">
        <f t="shared" si="121"/>
        <v>11693</v>
      </c>
      <c r="G1513" s="2326">
        <f t="shared" si="122"/>
        <v>10241</v>
      </c>
    </row>
    <row r="1514" spans="1:7" ht="15.75">
      <c r="A1514" s="2486">
        <f t="shared" si="123"/>
        <v>72525</v>
      </c>
      <c r="B1514" s="2325">
        <v>72500</v>
      </c>
      <c r="C1514" s="2325">
        <v>72550</v>
      </c>
      <c r="D1514" s="2326">
        <f t="shared" si="119"/>
        <v>11704</v>
      </c>
      <c r="E1514" s="2326">
        <f t="shared" si="120"/>
        <v>8305</v>
      </c>
      <c r="F1514" s="2326">
        <f t="shared" si="121"/>
        <v>11704</v>
      </c>
      <c r="G1514" s="2326">
        <f t="shared" si="122"/>
        <v>10252</v>
      </c>
    </row>
    <row r="1515" spans="1:7" ht="15.75">
      <c r="A1515" s="2486">
        <f t="shared" si="123"/>
        <v>72575</v>
      </c>
      <c r="B1515" s="2325">
        <v>72550</v>
      </c>
      <c r="C1515" s="2325">
        <v>72600</v>
      </c>
      <c r="D1515" s="2326">
        <f t="shared" si="119"/>
        <v>11715</v>
      </c>
      <c r="E1515" s="2326">
        <f t="shared" si="120"/>
        <v>8311</v>
      </c>
      <c r="F1515" s="2326">
        <f t="shared" si="121"/>
        <v>11715</v>
      </c>
      <c r="G1515" s="2326">
        <f t="shared" si="122"/>
        <v>10263</v>
      </c>
    </row>
    <row r="1516" spans="1:7" ht="15.75">
      <c r="A1516" s="2486">
        <f t="shared" si="123"/>
        <v>72625</v>
      </c>
      <c r="B1516" s="2325">
        <v>72600</v>
      </c>
      <c r="C1516" s="2325">
        <v>72650</v>
      </c>
      <c r="D1516" s="2326">
        <f t="shared" si="119"/>
        <v>11726</v>
      </c>
      <c r="E1516" s="2326">
        <f t="shared" si="120"/>
        <v>8317</v>
      </c>
      <c r="F1516" s="2326">
        <f t="shared" si="121"/>
        <v>11726</v>
      </c>
      <c r="G1516" s="2326">
        <f t="shared" si="122"/>
        <v>10274</v>
      </c>
    </row>
    <row r="1517" spans="1:7" ht="15.75">
      <c r="A1517" s="2486">
        <f t="shared" si="123"/>
        <v>72675</v>
      </c>
      <c r="B1517" s="2325">
        <v>72650</v>
      </c>
      <c r="C1517" s="2325">
        <v>72700</v>
      </c>
      <c r="D1517" s="2326">
        <f t="shared" si="119"/>
        <v>11737</v>
      </c>
      <c r="E1517" s="2326">
        <f t="shared" si="120"/>
        <v>8323</v>
      </c>
      <c r="F1517" s="2326">
        <f t="shared" si="121"/>
        <v>11737</v>
      </c>
      <c r="G1517" s="2326">
        <f t="shared" si="122"/>
        <v>10285</v>
      </c>
    </row>
    <row r="1518" spans="1:7" ht="15.75">
      <c r="A1518" s="2486">
        <f t="shared" si="123"/>
        <v>72725</v>
      </c>
      <c r="B1518" s="2325">
        <v>72700</v>
      </c>
      <c r="C1518" s="2325">
        <v>72750</v>
      </c>
      <c r="D1518" s="2326">
        <f t="shared" si="119"/>
        <v>11748</v>
      </c>
      <c r="E1518" s="2326">
        <f t="shared" si="120"/>
        <v>8329</v>
      </c>
      <c r="F1518" s="2326">
        <f t="shared" si="121"/>
        <v>11748</v>
      </c>
      <c r="G1518" s="2326">
        <f t="shared" si="122"/>
        <v>10296</v>
      </c>
    </row>
    <row r="1519" spans="1:7" ht="15.75">
      <c r="A1519" s="2486">
        <f t="shared" si="123"/>
        <v>72775</v>
      </c>
      <c r="B1519" s="2325">
        <v>72750</v>
      </c>
      <c r="C1519" s="2325">
        <v>72800</v>
      </c>
      <c r="D1519" s="2326">
        <f t="shared" si="119"/>
        <v>11759</v>
      </c>
      <c r="E1519" s="2326">
        <f t="shared" si="120"/>
        <v>8335</v>
      </c>
      <c r="F1519" s="2326">
        <f t="shared" si="121"/>
        <v>11759</v>
      </c>
      <c r="G1519" s="2326">
        <f t="shared" si="122"/>
        <v>10307</v>
      </c>
    </row>
    <row r="1520" spans="1:7" ht="15.75">
      <c r="A1520" s="2486">
        <f t="shared" si="123"/>
        <v>72825</v>
      </c>
      <c r="B1520" s="2325">
        <v>72800</v>
      </c>
      <c r="C1520" s="2325">
        <v>72850</v>
      </c>
      <c r="D1520" s="2326">
        <f t="shared" si="119"/>
        <v>11770</v>
      </c>
      <c r="E1520" s="2326">
        <f t="shared" si="120"/>
        <v>8341</v>
      </c>
      <c r="F1520" s="2326">
        <f t="shared" si="121"/>
        <v>11770</v>
      </c>
      <c r="G1520" s="2326">
        <f t="shared" si="122"/>
        <v>10318</v>
      </c>
    </row>
    <row r="1521" spans="1:7" ht="15.75">
      <c r="A1521" s="2486">
        <f t="shared" si="123"/>
        <v>72875</v>
      </c>
      <c r="B1521" s="2325">
        <v>72850</v>
      </c>
      <c r="C1521" s="2325">
        <v>72900</v>
      </c>
      <c r="D1521" s="2326">
        <f t="shared" si="119"/>
        <v>11781</v>
      </c>
      <c r="E1521" s="2326">
        <f t="shared" si="120"/>
        <v>8347</v>
      </c>
      <c r="F1521" s="2326">
        <f t="shared" si="121"/>
        <v>11781</v>
      </c>
      <c r="G1521" s="2326">
        <f t="shared" si="122"/>
        <v>10329</v>
      </c>
    </row>
    <row r="1522" spans="1:7" ht="15.75">
      <c r="A1522" s="2486">
        <f t="shared" si="123"/>
        <v>72925</v>
      </c>
      <c r="B1522" s="2325">
        <v>72900</v>
      </c>
      <c r="C1522" s="2325">
        <v>72950</v>
      </c>
      <c r="D1522" s="2326">
        <f t="shared" si="119"/>
        <v>11792</v>
      </c>
      <c r="E1522" s="2326">
        <f t="shared" si="120"/>
        <v>8353</v>
      </c>
      <c r="F1522" s="2326">
        <f t="shared" si="121"/>
        <v>11792</v>
      </c>
      <c r="G1522" s="2326">
        <f t="shared" si="122"/>
        <v>10340</v>
      </c>
    </row>
    <row r="1523" spans="1:7" ht="15.75">
      <c r="A1523" s="2486">
        <f t="shared" si="123"/>
        <v>72975</v>
      </c>
      <c r="B1523" s="2325">
        <v>72950</v>
      </c>
      <c r="C1523" s="2325">
        <v>73000</v>
      </c>
      <c r="D1523" s="2326">
        <f t="shared" si="119"/>
        <v>11803</v>
      </c>
      <c r="E1523" s="2326">
        <f t="shared" si="120"/>
        <v>8359</v>
      </c>
      <c r="F1523" s="2326">
        <f t="shared" si="121"/>
        <v>11803</v>
      </c>
      <c r="G1523" s="2326">
        <f t="shared" si="122"/>
        <v>10351</v>
      </c>
    </row>
    <row r="1524" spans="1:7" ht="15.75">
      <c r="A1524" s="2486">
        <f t="shared" si="123"/>
        <v>73025</v>
      </c>
      <c r="B1524" s="2325">
        <v>73000</v>
      </c>
      <c r="C1524" s="2325">
        <v>73050</v>
      </c>
      <c r="D1524" s="2326">
        <f t="shared" si="119"/>
        <v>11814</v>
      </c>
      <c r="E1524" s="2326">
        <f t="shared" si="120"/>
        <v>8365</v>
      </c>
      <c r="F1524" s="2326">
        <f t="shared" si="121"/>
        <v>11814</v>
      </c>
      <c r="G1524" s="2326">
        <f t="shared" si="122"/>
        <v>10362</v>
      </c>
    </row>
    <row r="1525" spans="1:7" ht="15.75">
      <c r="A1525" s="2486">
        <f t="shared" si="123"/>
        <v>73075</v>
      </c>
      <c r="B1525" s="2325">
        <v>73050</v>
      </c>
      <c r="C1525" s="2325">
        <v>73100</v>
      </c>
      <c r="D1525" s="2326">
        <f t="shared" si="119"/>
        <v>11825</v>
      </c>
      <c r="E1525" s="2326">
        <f t="shared" si="120"/>
        <v>8371</v>
      </c>
      <c r="F1525" s="2326">
        <f t="shared" si="121"/>
        <v>11825</v>
      </c>
      <c r="G1525" s="2326">
        <f t="shared" si="122"/>
        <v>10373</v>
      </c>
    </row>
    <row r="1526" spans="1:7" ht="15.75">
      <c r="A1526" s="2486">
        <f t="shared" si="123"/>
        <v>73125</v>
      </c>
      <c r="B1526" s="2325">
        <v>73100</v>
      </c>
      <c r="C1526" s="2325">
        <v>73150</v>
      </c>
      <c r="D1526" s="2326">
        <f t="shared" si="119"/>
        <v>11836</v>
      </c>
      <c r="E1526" s="2326">
        <f t="shared" si="120"/>
        <v>8377</v>
      </c>
      <c r="F1526" s="2326">
        <f t="shared" si="121"/>
        <v>11836</v>
      </c>
      <c r="G1526" s="2326">
        <f t="shared" si="122"/>
        <v>10384</v>
      </c>
    </row>
    <row r="1527" spans="1:7" ht="15.75">
      <c r="A1527" s="2486">
        <f t="shared" si="123"/>
        <v>73175</v>
      </c>
      <c r="B1527" s="2325">
        <v>73150</v>
      </c>
      <c r="C1527" s="2325">
        <v>73200</v>
      </c>
      <c r="D1527" s="2326">
        <f t="shared" si="119"/>
        <v>11847</v>
      </c>
      <c r="E1527" s="2326">
        <f t="shared" si="120"/>
        <v>8383</v>
      </c>
      <c r="F1527" s="2326">
        <f t="shared" si="121"/>
        <v>11847</v>
      </c>
      <c r="G1527" s="2326">
        <f t="shared" si="122"/>
        <v>10395</v>
      </c>
    </row>
    <row r="1528" spans="1:7" ht="15.75">
      <c r="A1528" s="2486">
        <f t="shared" si="123"/>
        <v>73225</v>
      </c>
      <c r="B1528" s="2325">
        <v>73200</v>
      </c>
      <c r="C1528" s="2325">
        <v>73250</v>
      </c>
      <c r="D1528" s="2326">
        <f t="shared" si="119"/>
        <v>11858</v>
      </c>
      <c r="E1528" s="2326">
        <f t="shared" si="120"/>
        <v>8389</v>
      </c>
      <c r="F1528" s="2326">
        <f t="shared" si="121"/>
        <v>11858</v>
      </c>
      <c r="G1528" s="2326">
        <f t="shared" si="122"/>
        <v>10406</v>
      </c>
    </row>
    <row r="1529" spans="1:7" ht="15.75">
      <c r="A1529" s="2486">
        <f t="shared" si="123"/>
        <v>73275</v>
      </c>
      <c r="B1529" s="2325">
        <v>73250</v>
      </c>
      <c r="C1529" s="2325">
        <v>73300</v>
      </c>
      <c r="D1529" s="2326">
        <f t="shared" si="119"/>
        <v>11869</v>
      </c>
      <c r="E1529" s="2326">
        <f t="shared" si="120"/>
        <v>8395</v>
      </c>
      <c r="F1529" s="2326">
        <f t="shared" si="121"/>
        <v>11869</v>
      </c>
      <c r="G1529" s="2326">
        <f t="shared" si="122"/>
        <v>10417</v>
      </c>
    </row>
    <row r="1530" spans="1:7" ht="15.75">
      <c r="A1530" s="2486">
        <f t="shared" si="123"/>
        <v>73325</v>
      </c>
      <c r="B1530" s="2325">
        <v>73300</v>
      </c>
      <c r="C1530" s="2325">
        <v>73350</v>
      </c>
      <c r="D1530" s="2326">
        <f t="shared" si="119"/>
        <v>11880</v>
      </c>
      <c r="E1530" s="2326">
        <f t="shared" si="120"/>
        <v>8401</v>
      </c>
      <c r="F1530" s="2326">
        <f t="shared" si="121"/>
        <v>11880</v>
      </c>
      <c r="G1530" s="2326">
        <f t="shared" si="122"/>
        <v>10428</v>
      </c>
    </row>
    <row r="1531" spans="1:7" ht="15.75">
      <c r="A1531" s="2486">
        <f t="shared" si="123"/>
        <v>73375</v>
      </c>
      <c r="B1531" s="2325">
        <v>73350</v>
      </c>
      <c r="C1531" s="2325">
        <v>73400</v>
      </c>
      <c r="D1531" s="2326">
        <f t="shared" si="119"/>
        <v>11891</v>
      </c>
      <c r="E1531" s="2326">
        <f t="shared" si="120"/>
        <v>8407</v>
      </c>
      <c r="F1531" s="2326">
        <f t="shared" si="121"/>
        <v>11891</v>
      </c>
      <c r="G1531" s="2326">
        <f t="shared" si="122"/>
        <v>10439</v>
      </c>
    </row>
    <row r="1532" spans="1:7" ht="15.75">
      <c r="A1532" s="2486">
        <f t="shared" si="123"/>
        <v>73425</v>
      </c>
      <c r="B1532" s="2325">
        <v>73400</v>
      </c>
      <c r="C1532" s="2325">
        <v>73450</v>
      </c>
      <c r="D1532" s="2326">
        <f t="shared" si="119"/>
        <v>11902</v>
      </c>
      <c r="E1532" s="2326">
        <f t="shared" si="120"/>
        <v>8413</v>
      </c>
      <c r="F1532" s="2326">
        <f t="shared" si="121"/>
        <v>11902</v>
      </c>
      <c r="G1532" s="2326">
        <f t="shared" si="122"/>
        <v>10450</v>
      </c>
    </row>
    <row r="1533" spans="1:7" ht="15.75">
      <c r="A1533" s="2486">
        <f t="shared" si="123"/>
        <v>73475</v>
      </c>
      <c r="B1533" s="2325">
        <v>73450</v>
      </c>
      <c r="C1533" s="2325">
        <v>73500</v>
      </c>
      <c r="D1533" s="2326">
        <f t="shared" si="119"/>
        <v>11913</v>
      </c>
      <c r="E1533" s="2326">
        <f t="shared" si="120"/>
        <v>8419</v>
      </c>
      <c r="F1533" s="2326">
        <f t="shared" si="121"/>
        <v>11913</v>
      </c>
      <c r="G1533" s="2326">
        <f t="shared" si="122"/>
        <v>10461</v>
      </c>
    </row>
    <row r="1534" spans="1:7" ht="15.75">
      <c r="A1534" s="2486">
        <f t="shared" si="123"/>
        <v>73525</v>
      </c>
      <c r="B1534" s="2325">
        <v>73500</v>
      </c>
      <c r="C1534" s="2325">
        <v>73550</v>
      </c>
      <c r="D1534" s="2326">
        <f t="shared" si="119"/>
        <v>11924</v>
      </c>
      <c r="E1534" s="2326">
        <f t="shared" si="120"/>
        <v>8425</v>
      </c>
      <c r="F1534" s="2326">
        <f t="shared" si="121"/>
        <v>11924</v>
      </c>
      <c r="G1534" s="2326">
        <f t="shared" si="122"/>
        <v>10472</v>
      </c>
    </row>
    <row r="1535" spans="1:7" ht="15.75">
      <c r="A1535" s="2486">
        <f t="shared" si="123"/>
        <v>73575</v>
      </c>
      <c r="B1535" s="2325">
        <v>73550</v>
      </c>
      <c r="C1535" s="2325">
        <v>73600</v>
      </c>
      <c r="D1535" s="2326">
        <f t="shared" si="119"/>
        <v>11935</v>
      </c>
      <c r="E1535" s="2326">
        <f t="shared" si="120"/>
        <v>8431</v>
      </c>
      <c r="F1535" s="2326">
        <f t="shared" si="121"/>
        <v>11935</v>
      </c>
      <c r="G1535" s="2326">
        <f t="shared" si="122"/>
        <v>10483</v>
      </c>
    </row>
    <row r="1536" spans="1:7" ht="15.75">
      <c r="A1536" s="2486">
        <f t="shared" si="123"/>
        <v>73625</v>
      </c>
      <c r="B1536" s="2325">
        <v>73600</v>
      </c>
      <c r="C1536" s="2325">
        <v>73650</v>
      </c>
      <c r="D1536" s="2326">
        <f t="shared" si="119"/>
        <v>11946</v>
      </c>
      <c r="E1536" s="2326">
        <f t="shared" si="120"/>
        <v>8437</v>
      </c>
      <c r="F1536" s="2326">
        <f t="shared" si="121"/>
        <v>11946</v>
      </c>
      <c r="G1536" s="2326">
        <f t="shared" si="122"/>
        <v>10494</v>
      </c>
    </row>
    <row r="1537" spans="1:7" ht="15.75">
      <c r="A1537" s="2486">
        <f t="shared" si="123"/>
        <v>73675</v>
      </c>
      <c r="B1537" s="2325">
        <v>73650</v>
      </c>
      <c r="C1537" s="2325">
        <v>73700</v>
      </c>
      <c r="D1537" s="2326">
        <f t="shared" si="119"/>
        <v>11957</v>
      </c>
      <c r="E1537" s="2326">
        <f t="shared" si="120"/>
        <v>8443</v>
      </c>
      <c r="F1537" s="2326">
        <f t="shared" si="121"/>
        <v>11957</v>
      </c>
      <c r="G1537" s="2326">
        <f t="shared" si="122"/>
        <v>10505</v>
      </c>
    </row>
    <row r="1538" spans="1:7" ht="15.75">
      <c r="A1538" s="2486">
        <f t="shared" si="123"/>
        <v>73725</v>
      </c>
      <c r="B1538" s="2325">
        <v>73700</v>
      </c>
      <c r="C1538" s="2325">
        <v>73750</v>
      </c>
      <c r="D1538" s="2326">
        <f t="shared" ref="D1538:D1601" si="124">IF($A1538&gt;BOTT_A4,ROUND(BASE_A4+RATE_A4*($A1538-BOTT_A4),0),IF($A1538&gt;BOTT_A3,ROUND(BASE_A3+RATE_A3*($A1538-BOTT_A3),0),IF($A1538&gt;BOTT_A2,ROUND(BASE_A2+RATE_A2*($A1538-BOTT_A2),0),ROUND(RATE_A1*$A1538,0))))</f>
        <v>11968</v>
      </c>
      <c r="E1538" s="2326">
        <f t="shared" ref="E1538:E1601" si="125">IF($A1538&gt;BOTT_B4,ROUND(BASE_B4+RATE_B4*($A1538-BOTT_B4),0),IF($A1538&gt;BOTT_B3,ROUND(BASE_B3+RATE_B3*($A1538-BOTT_B3),0),IF($A1538&gt;BOTT_B2,ROUND(BASE_B2+RATE_B2*($A1538-BOTT_B2),0),ROUND(RATE_B1*$A1538,0))))</f>
        <v>8449</v>
      </c>
      <c r="F1538" s="2326">
        <f t="shared" ref="F1538:F1601" si="126">IF($A1538&gt;BOTT_C4,ROUND(BASE_C4+RATE_C4*($A1538-BOTT_C4),0),IF($A1538&gt;BOTT_C3,ROUND(BASE_C3+RATE_C3*($A1538-BOTT_C3),0),IF($A1538&gt;BOTT_C2,ROUND(BASE_C2+RATE_C2*($A1538-BOTT_C2),0),ROUND(RATE_C1*$A1538,0))))</f>
        <v>11968</v>
      </c>
      <c r="G1538" s="2326">
        <f t="shared" ref="G1538:G1601" si="127">IF($A1538&gt;BOTT_D4,ROUND(BASE_D4+RATE_D4*($A1538-BOTT_D4),0),IF($A1538&gt;BOTT_D3,ROUND(BASE_D3+RATE_D3*($A1538-BOTT_D3),0),IF($A1538&gt;BOTT_D2,ROUND(BASE_D2+RATE_D2*($A1538-BOTT_D2),0),ROUND(RATE_D1*$A1538,0))))</f>
        <v>10516</v>
      </c>
    </row>
    <row r="1539" spans="1:7" ht="15.75">
      <c r="A1539" s="2486">
        <f t="shared" ref="A1539:A1602" si="128">AVERAGE(B1539,C1539)</f>
        <v>73775</v>
      </c>
      <c r="B1539" s="2325">
        <v>73750</v>
      </c>
      <c r="C1539" s="2325">
        <v>73800</v>
      </c>
      <c r="D1539" s="2326">
        <f t="shared" si="124"/>
        <v>11979</v>
      </c>
      <c r="E1539" s="2326">
        <f t="shared" si="125"/>
        <v>8455</v>
      </c>
      <c r="F1539" s="2326">
        <f t="shared" si="126"/>
        <v>11979</v>
      </c>
      <c r="G1539" s="2326">
        <f t="shared" si="127"/>
        <v>10527</v>
      </c>
    </row>
    <row r="1540" spans="1:7" ht="15.75">
      <c r="A1540" s="2486">
        <f t="shared" si="128"/>
        <v>73825</v>
      </c>
      <c r="B1540" s="2325">
        <v>73800</v>
      </c>
      <c r="C1540" s="2325">
        <v>73850</v>
      </c>
      <c r="D1540" s="2326">
        <f t="shared" si="124"/>
        <v>11990</v>
      </c>
      <c r="E1540" s="2326">
        <f t="shared" si="125"/>
        <v>8461</v>
      </c>
      <c r="F1540" s="2326">
        <f t="shared" si="126"/>
        <v>11990</v>
      </c>
      <c r="G1540" s="2326">
        <f t="shared" si="127"/>
        <v>10538</v>
      </c>
    </row>
    <row r="1541" spans="1:7" ht="15.75">
      <c r="A1541" s="2486">
        <f t="shared" si="128"/>
        <v>73875</v>
      </c>
      <c r="B1541" s="2325">
        <v>73850</v>
      </c>
      <c r="C1541" s="2325">
        <v>73900</v>
      </c>
      <c r="D1541" s="2326">
        <f t="shared" si="124"/>
        <v>12001</v>
      </c>
      <c r="E1541" s="2326">
        <f t="shared" si="125"/>
        <v>8467</v>
      </c>
      <c r="F1541" s="2326">
        <f t="shared" si="126"/>
        <v>12001</v>
      </c>
      <c r="G1541" s="2326">
        <f t="shared" si="127"/>
        <v>10549</v>
      </c>
    </row>
    <row r="1542" spans="1:7" ht="15.75">
      <c r="A1542" s="2486">
        <f t="shared" si="128"/>
        <v>73925</v>
      </c>
      <c r="B1542" s="2325">
        <v>73900</v>
      </c>
      <c r="C1542" s="2325">
        <v>73950</v>
      </c>
      <c r="D1542" s="2326">
        <f t="shared" si="124"/>
        <v>12012</v>
      </c>
      <c r="E1542" s="2326">
        <f t="shared" si="125"/>
        <v>8473</v>
      </c>
      <c r="F1542" s="2326">
        <f t="shared" si="126"/>
        <v>12012</v>
      </c>
      <c r="G1542" s="2326">
        <f t="shared" si="127"/>
        <v>10560</v>
      </c>
    </row>
    <row r="1543" spans="1:7" ht="15.75">
      <c r="A1543" s="2486">
        <f t="shared" si="128"/>
        <v>73975</v>
      </c>
      <c r="B1543" s="2325">
        <v>73950</v>
      </c>
      <c r="C1543" s="2325">
        <v>74000</v>
      </c>
      <c r="D1543" s="2326">
        <f t="shared" si="124"/>
        <v>12023</v>
      </c>
      <c r="E1543" s="2326">
        <f t="shared" si="125"/>
        <v>8479</v>
      </c>
      <c r="F1543" s="2326">
        <f t="shared" si="126"/>
        <v>12023</v>
      </c>
      <c r="G1543" s="2326">
        <f t="shared" si="127"/>
        <v>10571</v>
      </c>
    </row>
    <row r="1544" spans="1:7" ht="15.75">
      <c r="A1544" s="2486">
        <f t="shared" si="128"/>
        <v>74025</v>
      </c>
      <c r="B1544" s="2325">
        <v>74000</v>
      </c>
      <c r="C1544" s="2325">
        <v>74050</v>
      </c>
      <c r="D1544" s="2326">
        <f t="shared" si="124"/>
        <v>12034</v>
      </c>
      <c r="E1544" s="2326">
        <f t="shared" si="125"/>
        <v>8485</v>
      </c>
      <c r="F1544" s="2326">
        <f t="shared" si="126"/>
        <v>12034</v>
      </c>
      <c r="G1544" s="2326">
        <f t="shared" si="127"/>
        <v>10582</v>
      </c>
    </row>
    <row r="1545" spans="1:7" ht="15.75">
      <c r="A1545" s="2486">
        <f t="shared" si="128"/>
        <v>74075</v>
      </c>
      <c r="B1545" s="2325">
        <v>74050</v>
      </c>
      <c r="C1545" s="2325">
        <v>74100</v>
      </c>
      <c r="D1545" s="2326">
        <f t="shared" si="124"/>
        <v>12045</v>
      </c>
      <c r="E1545" s="2326">
        <f t="shared" si="125"/>
        <v>8491</v>
      </c>
      <c r="F1545" s="2326">
        <f t="shared" si="126"/>
        <v>12045</v>
      </c>
      <c r="G1545" s="2326">
        <f t="shared" si="127"/>
        <v>10593</v>
      </c>
    </row>
    <row r="1546" spans="1:7" ht="15.75">
      <c r="A1546" s="2486">
        <f t="shared" si="128"/>
        <v>74125</v>
      </c>
      <c r="B1546" s="2325">
        <v>74100</v>
      </c>
      <c r="C1546" s="2325">
        <v>74150</v>
      </c>
      <c r="D1546" s="2326">
        <f t="shared" si="124"/>
        <v>12056</v>
      </c>
      <c r="E1546" s="2326">
        <f t="shared" si="125"/>
        <v>8497</v>
      </c>
      <c r="F1546" s="2326">
        <f t="shared" si="126"/>
        <v>12056</v>
      </c>
      <c r="G1546" s="2326">
        <f t="shared" si="127"/>
        <v>10604</v>
      </c>
    </row>
    <row r="1547" spans="1:7" ht="15.75">
      <c r="A1547" s="2486">
        <f t="shared" si="128"/>
        <v>74175</v>
      </c>
      <c r="B1547" s="2325">
        <v>74150</v>
      </c>
      <c r="C1547" s="2325">
        <v>74200</v>
      </c>
      <c r="D1547" s="2326">
        <f t="shared" si="124"/>
        <v>12067</v>
      </c>
      <c r="E1547" s="2326">
        <f t="shared" si="125"/>
        <v>8503</v>
      </c>
      <c r="F1547" s="2326">
        <f t="shared" si="126"/>
        <v>12067</v>
      </c>
      <c r="G1547" s="2326">
        <f t="shared" si="127"/>
        <v>10615</v>
      </c>
    </row>
    <row r="1548" spans="1:7" ht="15.75">
      <c r="A1548" s="2486">
        <f t="shared" si="128"/>
        <v>74225</v>
      </c>
      <c r="B1548" s="2325">
        <v>74200</v>
      </c>
      <c r="C1548" s="2325">
        <v>74250</v>
      </c>
      <c r="D1548" s="2326">
        <f t="shared" si="124"/>
        <v>12078</v>
      </c>
      <c r="E1548" s="2326">
        <f t="shared" si="125"/>
        <v>8509</v>
      </c>
      <c r="F1548" s="2326">
        <f t="shared" si="126"/>
        <v>12078</v>
      </c>
      <c r="G1548" s="2326">
        <f t="shared" si="127"/>
        <v>10626</v>
      </c>
    </row>
    <row r="1549" spans="1:7" ht="15.75">
      <c r="A1549" s="2486">
        <f t="shared" si="128"/>
        <v>74275</v>
      </c>
      <c r="B1549" s="2325">
        <v>74250</v>
      </c>
      <c r="C1549" s="2325">
        <v>74300</v>
      </c>
      <c r="D1549" s="2326">
        <f t="shared" si="124"/>
        <v>12089</v>
      </c>
      <c r="E1549" s="2326">
        <f t="shared" si="125"/>
        <v>8515</v>
      </c>
      <c r="F1549" s="2326">
        <f t="shared" si="126"/>
        <v>12089</v>
      </c>
      <c r="G1549" s="2326">
        <f t="shared" si="127"/>
        <v>10637</v>
      </c>
    </row>
    <row r="1550" spans="1:7" ht="15.75">
      <c r="A1550" s="2486">
        <f t="shared" si="128"/>
        <v>74325</v>
      </c>
      <c r="B1550" s="2325">
        <v>74300</v>
      </c>
      <c r="C1550" s="2325">
        <v>74350</v>
      </c>
      <c r="D1550" s="2326">
        <f t="shared" si="124"/>
        <v>12100</v>
      </c>
      <c r="E1550" s="2326">
        <f t="shared" si="125"/>
        <v>8521</v>
      </c>
      <c r="F1550" s="2326">
        <f t="shared" si="126"/>
        <v>12100</v>
      </c>
      <c r="G1550" s="2326">
        <f t="shared" si="127"/>
        <v>10648</v>
      </c>
    </row>
    <row r="1551" spans="1:7" ht="15.75">
      <c r="A1551" s="2486">
        <f t="shared" si="128"/>
        <v>74375</v>
      </c>
      <c r="B1551" s="2325">
        <v>74350</v>
      </c>
      <c r="C1551" s="2325">
        <v>74400</v>
      </c>
      <c r="D1551" s="2326">
        <f t="shared" si="124"/>
        <v>12111</v>
      </c>
      <c r="E1551" s="2326">
        <f t="shared" si="125"/>
        <v>8527</v>
      </c>
      <c r="F1551" s="2326">
        <f t="shared" si="126"/>
        <v>12111</v>
      </c>
      <c r="G1551" s="2326">
        <f t="shared" si="127"/>
        <v>10659</v>
      </c>
    </row>
    <row r="1552" spans="1:7" ht="15.75">
      <c r="A1552" s="2486">
        <f t="shared" si="128"/>
        <v>74425</v>
      </c>
      <c r="B1552" s="2325">
        <v>74400</v>
      </c>
      <c r="C1552" s="2325">
        <v>74450</v>
      </c>
      <c r="D1552" s="2326">
        <f t="shared" si="124"/>
        <v>12122</v>
      </c>
      <c r="E1552" s="2326">
        <f t="shared" si="125"/>
        <v>8533</v>
      </c>
      <c r="F1552" s="2326">
        <f t="shared" si="126"/>
        <v>12122</v>
      </c>
      <c r="G1552" s="2326">
        <f t="shared" si="127"/>
        <v>10670</v>
      </c>
    </row>
    <row r="1553" spans="1:7" ht="15.75">
      <c r="A1553" s="2486">
        <f t="shared" si="128"/>
        <v>74475</v>
      </c>
      <c r="B1553" s="2325">
        <v>74450</v>
      </c>
      <c r="C1553" s="2325">
        <v>74500</v>
      </c>
      <c r="D1553" s="2326">
        <f t="shared" si="124"/>
        <v>12133</v>
      </c>
      <c r="E1553" s="2326">
        <f t="shared" si="125"/>
        <v>8539</v>
      </c>
      <c r="F1553" s="2326">
        <f t="shared" si="126"/>
        <v>12133</v>
      </c>
      <c r="G1553" s="2326">
        <f t="shared" si="127"/>
        <v>10681</v>
      </c>
    </row>
    <row r="1554" spans="1:7" ht="15.75">
      <c r="A1554" s="2486">
        <f t="shared" si="128"/>
        <v>74525</v>
      </c>
      <c r="B1554" s="2325">
        <v>74500</v>
      </c>
      <c r="C1554" s="2325">
        <v>74550</v>
      </c>
      <c r="D1554" s="2326">
        <f t="shared" si="124"/>
        <v>12144</v>
      </c>
      <c r="E1554" s="2326">
        <f t="shared" si="125"/>
        <v>8545</v>
      </c>
      <c r="F1554" s="2326">
        <f t="shared" si="126"/>
        <v>12144</v>
      </c>
      <c r="G1554" s="2326">
        <f t="shared" si="127"/>
        <v>10692</v>
      </c>
    </row>
    <row r="1555" spans="1:7" ht="15.75">
      <c r="A1555" s="2486">
        <f t="shared" si="128"/>
        <v>74575</v>
      </c>
      <c r="B1555" s="2325">
        <v>74550</v>
      </c>
      <c r="C1555" s="2325">
        <v>74600</v>
      </c>
      <c r="D1555" s="2326">
        <f t="shared" si="124"/>
        <v>12155</v>
      </c>
      <c r="E1555" s="2326">
        <f t="shared" si="125"/>
        <v>8551</v>
      </c>
      <c r="F1555" s="2326">
        <f t="shared" si="126"/>
        <v>12155</v>
      </c>
      <c r="G1555" s="2326">
        <f t="shared" si="127"/>
        <v>10703</v>
      </c>
    </row>
    <row r="1556" spans="1:7" ht="15.75">
      <c r="A1556" s="2486">
        <f t="shared" si="128"/>
        <v>74625</v>
      </c>
      <c r="B1556" s="2325">
        <v>74600</v>
      </c>
      <c r="C1556" s="2325">
        <v>74650</v>
      </c>
      <c r="D1556" s="2326">
        <f t="shared" si="124"/>
        <v>12166</v>
      </c>
      <c r="E1556" s="2326">
        <f t="shared" si="125"/>
        <v>8557</v>
      </c>
      <c r="F1556" s="2326">
        <f t="shared" si="126"/>
        <v>12166</v>
      </c>
      <c r="G1556" s="2326">
        <f t="shared" si="127"/>
        <v>10714</v>
      </c>
    </row>
    <row r="1557" spans="1:7" ht="15.75">
      <c r="A1557" s="2486">
        <f t="shared" si="128"/>
        <v>74675</v>
      </c>
      <c r="B1557" s="2325">
        <v>74650</v>
      </c>
      <c r="C1557" s="2325">
        <v>74700</v>
      </c>
      <c r="D1557" s="2326">
        <f t="shared" si="124"/>
        <v>12177</v>
      </c>
      <c r="E1557" s="2326">
        <f t="shared" si="125"/>
        <v>8563</v>
      </c>
      <c r="F1557" s="2326">
        <f t="shared" si="126"/>
        <v>12177</v>
      </c>
      <c r="G1557" s="2326">
        <f t="shared" si="127"/>
        <v>10725</v>
      </c>
    </row>
    <row r="1558" spans="1:7" ht="15.75">
      <c r="A1558" s="2486">
        <f t="shared" si="128"/>
        <v>74725</v>
      </c>
      <c r="B1558" s="2325">
        <v>74700</v>
      </c>
      <c r="C1558" s="2325">
        <v>74750</v>
      </c>
      <c r="D1558" s="2326">
        <f t="shared" si="124"/>
        <v>12188</v>
      </c>
      <c r="E1558" s="2326">
        <f t="shared" si="125"/>
        <v>8569</v>
      </c>
      <c r="F1558" s="2326">
        <f t="shared" si="126"/>
        <v>12188</v>
      </c>
      <c r="G1558" s="2326">
        <f t="shared" si="127"/>
        <v>10736</v>
      </c>
    </row>
    <row r="1559" spans="1:7" ht="15.75">
      <c r="A1559" s="2486">
        <f t="shared" si="128"/>
        <v>74775</v>
      </c>
      <c r="B1559" s="2325">
        <v>74750</v>
      </c>
      <c r="C1559" s="2325">
        <v>74800</v>
      </c>
      <c r="D1559" s="2326">
        <f t="shared" si="124"/>
        <v>12199</v>
      </c>
      <c r="E1559" s="2326">
        <f t="shared" si="125"/>
        <v>8575</v>
      </c>
      <c r="F1559" s="2326">
        <f t="shared" si="126"/>
        <v>12199</v>
      </c>
      <c r="G1559" s="2326">
        <f t="shared" si="127"/>
        <v>10747</v>
      </c>
    </row>
    <row r="1560" spans="1:7" ht="15.75">
      <c r="A1560" s="2486">
        <f t="shared" si="128"/>
        <v>74825</v>
      </c>
      <c r="B1560" s="2325">
        <v>74800</v>
      </c>
      <c r="C1560" s="2325">
        <v>74850</v>
      </c>
      <c r="D1560" s="2326">
        <f t="shared" si="124"/>
        <v>12210</v>
      </c>
      <c r="E1560" s="2326">
        <f t="shared" si="125"/>
        <v>8581</v>
      </c>
      <c r="F1560" s="2326">
        <f t="shared" si="126"/>
        <v>12210</v>
      </c>
      <c r="G1560" s="2326">
        <f t="shared" si="127"/>
        <v>10758</v>
      </c>
    </row>
    <row r="1561" spans="1:7" ht="15.75">
      <c r="A1561" s="2486">
        <f t="shared" si="128"/>
        <v>74875</v>
      </c>
      <c r="B1561" s="2325">
        <v>74850</v>
      </c>
      <c r="C1561" s="2325">
        <v>74900</v>
      </c>
      <c r="D1561" s="2326">
        <f t="shared" si="124"/>
        <v>12221</v>
      </c>
      <c r="E1561" s="2326">
        <f t="shared" si="125"/>
        <v>8587</v>
      </c>
      <c r="F1561" s="2326">
        <f t="shared" si="126"/>
        <v>12221</v>
      </c>
      <c r="G1561" s="2326">
        <f t="shared" si="127"/>
        <v>10769</v>
      </c>
    </row>
    <row r="1562" spans="1:7" ht="15.75">
      <c r="A1562" s="2486">
        <f t="shared" si="128"/>
        <v>74925</v>
      </c>
      <c r="B1562" s="2325">
        <v>74900</v>
      </c>
      <c r="C1562" s="2325">
        <v>74950</v>
      </c>
      <c r="D1562" s="2326">
        <f t="shared" si="124"/>
        <v>12232</v>
      </c>
      <c r="E1562" s="2326">
        <f t="shared" si="125"/>
        <v>8593</v>
      </c>
      <c r="F1562" s="2326">
        <f t="shared" si="126"/>
        <v>12232</v>
      </c>
      <c r="G1562" s="2326">
        <f t="shared" si="127"/>
        <v>10780</v>
      </c>
    </row>
    <row r="1563" spans="1:7" ht="15.75">
      <c r="A1563" s="2486">
        <f t="shared" si="128"/>
        <v>74975</v>
      </c>
      <c r="B1563" s="2325">
        <v>74950</v>
      </c>
      <c r="C1563" s="2325">
        <v>75000</v>
      </c>
      <c r="D1563" s="2326">
        <f t="shared" si="124"/>
        <v>12243</v>
      </c>
      <c r="E1563" s="2326">
        <f t="shared" si="125"/>
        <v>8599</v>
      </c>
      <c r="F1563" s="2326">
        <f t="shared" si="126"/>
        <v>12243</v>
      </c>
      <c r="G1563" s="2326">
        <f t="shared" si="127"/>
        <v>10791</v>
      </c>
    </row>
    <row r="1564" spans="1:7" ht="15.75">
      <c r="A1564" s="2486">
        <f t="shared" si="128"/>
        <v>75025</v>
      </c>
      <c r="B1564" s="2325">
        <v>75000</v>
      </c>
      <c r="C1564" s="2325">
        <v>75050</v>
      </c>
      <c r="D1564" s="2326">
        <f t="shared" si="124"/>
        <v>12254</v>
      </c>
      <c r="E1564" s="2326">
        <f t="shared" si="125"/>
        <v>8605</v>
      </c>
      <c r="F1564" s="2326">
        <f t="shared" si="126"/>
        <v>12254</v>
      </c>
      <c r="G1564" s="2326">
        <f t="shared" si="127"/>
        <v>10802</v>
      </c>
    </row>
    <row r="1565" spans="1:7" ht="15.75">
      <c r="A1565" s="2486">
        <f t="shared" si="128"/>
        <v>75075</v>
      </c>
      <c r="B1565" s="2325">
        <v>75050</v>
      </c>
      <c r="C1565" s="2325">
        <v>75100</v>
      </c>
      <c r="D1565" s="2326">
        <f t="shared" si="124"/>
        <v>12265</v>
      </c>
      <c r="E1565" s="2326">
        <f t="shared" si="125"/>
        <v>8611</v>
      </c>
      <c r="F1565" s="2326">
        <f t="shared" si="126"/>
        <v>12265</v>
      </c>
      <c r="G1565" s="2326">
        <f t="shared" si="127"/>
        <v>10813</v>
      </c>
    </row>
    <row r="1566" spans="1:7" ht="15.75">
      <c r="A1566" s="2486">
        <f t="shared" si="128"/>
        <v>75125</v>
      </c>
      <c r="B1566" s="2325">
        <v>75100</v>
      </c>
      <c r="C1566" s="2325">
        <v>75150</v>
      </c>
      <c r="D1566" s="2326">
        <f t="shared" si="124"/>
        <v>12276</v>
      </c>
      <c r="E1566" s="2326">
        <f t="shared" si="125"/>
        <v>8617</v>
      </c>
      <c r="F1566" s="2326">
        <f t="shared" si="126"/>
        <v>12276</v>
      </c>
      <c r="G1566" s="2326">
        <f t="shared" si="127"/>
        <v>10824</v>
      </c>
    </row>
    <row r="1567" spans="1:7" ht="15.75">
      <c r="A1567" s="2486">
        <f t="shared" si="128"/>
        <v>75175</v>
      </c>
      <c r="B1567" s="2325">
        <v>75150</v>
      </c>
      <c r="C1567" s="2325">
        <v>75200</v>
      </c>
      <c r="D1567" s="2326">
        <f t="shared" si="124"/>
        <v>12287</v>
      </c>
      <c r="E1567" s="2326">
        <f t="shared" si="125"/>
        <v>8623</v>
      </c>
      <c r="F1567" s="2326">
        <f t="shared" si="126"/>
        <v>12287</v>
      </c>
      <c r="G1567" s="2326">
        <f t="shared" si="127"/>
        <v>10835</v>
      </c>
    </row>
    <row r="1568" spans="1:7" ht="15.75">
      <c r="A1568" s="2486">
        <f t="shared" si="128"/>
        <v>75225</v>
      </c>
      <c r="B1568" s="2325">
        <v>75200</v>
      </c>
      <c r="C1568" s="2325">
        <v>75250</v>
      </c>
      <c r="D1568" s="2326">
        <f t="shared" si="124"/>
        <v>12298</v>
      </c>
      <c r="E1568" s="2326">
        <f t="shared" si="125"/>
        <v>8629</v>
      </c>
      <c r="F1568" s="2326">
        <f t="shared" si="126"/>
        <v>12298</v>
      </c>
      <c r="G1568" s="2326">
        <f t="shared" si="127"/>
        <v>10846</v>
      </c>
    </row>
    <row r="1569" spans="1:7" ht="15.75">
      <c r="A1569" s="2486">
        <f t="shared" si="128"/>
        <v>75275</v>
      </c>
      <c r="B1569" s="2325">
        <v>75250</v>
      </c>
      <c r="C1569" s="2325">
        <v>75300</v>
      </c>
      <c r="D1569" s="2326">
        <f t="shared" si="124"/>
        <v>12309</v>
      </c>
      <c r="E1569" s="2326">
        <f t="shared" si="125"/>
        <v>8635</v>
      </c>
      <c r="F1569" s="2326">
        <f t="shared" si="126"/>
        <v>12309</v>
      </c>
      <c r="G1569" s="2326">
        <f t="shared" si="127"/>
        <v>10857</v>
      </c>
    </row>
    <row r="1570" spans="1:7" ht="15.75">
      <c r="A1570" s="2486">
        <f t="shared" si="128"/>
        <v>75325</v>
      </c>
      <c r="B1570" s="2325">
        <v>75300</v>
      </c>
      <c r="C1570" s="2325">
        <v>75350</v>
      </c>
      <c r="D1570" s="2326">
        <f t="shared" si="124"/>
        <v>12320</v>
      </c>
      <c r="E1570" s="2326">
        <f t="shared" si="125"/>
        <v>8641</v>
      </c>
      <c r="F1570" s="2326">
        <f t="shared" si="126"/>
        <v>12320</v>
      </c>
      <c r="G1570" s="2326">
        <f t="shared" si="127"/>
        <v>10868</v>
      </c>
    </row>
    <row r="1571" spans="1:7" ht="15.75">
      <c r="A1571" s="2486">
        <f t="shared" si="128"/>
        <v>75375</v>
      </c>
      <c r="B1571" s="2325">
        <v>75350</v>
      </c>
      <c r="C1571" s="2325">
        <v>75400</v>
      </c>
      <c r="D1571" s="2326">
        <f t="shared" si="124"/>
        <v>12331</v>
      </c>
      <c r="E1571" s="2326">
        <f t="shared" si="125"/>
        <v>8647</v>
      </c>
      <c r="F1571" s="2326">
        <f t="shared" si="126"/>
        <v>12331</v>
      </c>
      <c r="G1571" s="2326">
        <f t="shared" si="127"/>
        <v>10879</v>
      </c>
    </row>
    <row r="1572" spans="1:7" ht="15.75">
      <c r="A1572" s="2486">
        <f t="shared" si="128"/>
        <v>75425</v>
      </c>
      <c r="B1572" s="2325">
        <v>75400</v>
      </c>
      <c r="C1572" s="2325">
        <v>75450</v>
      </c>
      <c r="D1572" s="2326">
        <f t="shared" si="124"/>
        <v>12342</v>
      </c>
      <c r="E1572" s="2326">
        <f t="shared" si="125"/>
        <v>8653</v>
      </c>
      <c r="F1572" s="2326">
        <f t="shared" si="126"/>
        <v>12342</v>
      </c>
      <c r="G1572" s="2326">
        <f t="shared" si="127"/>
        <v>10890</v>
      </c>
    </row>
    <row r="1573" spans="1:7" ht="15.75">
      <c r="A1573" s="2486">
        <f t="shared" si="128"/>
        <v>75475</v>
      </c>
      <c r="B1573" s="2325">
        <v>75450</v>
      </c>
      <c r="C1573" s="2325">
        <v>75500</v>
      </c>
      <c r="D1573" s="2326">
        <f t="shared" si="124"/>
        <v>12353</v>
      </c>
      <c r="E1573" s="2326">
        <f t="shared" si="125"/>
        <v>8659</v>
      </c>
      <c r="F1573" s="2326">
        <f t="shared" si="126"/>
        <v>12353</v>
      </c>
      <c r="G1573" s="2326">
        <f t="shared" si="127"/>
        <v>10901</v>
      </c>
    </row>
    <row r="1574" spans="1:7" ht="15.75">
      <c r="A1574" s="2486">
        <f t="shared" si="128"/>
        <v>75525</v>
      </c>
      <c r="B1574" s="2325">
        <v>75500</v>
      </c>
      <c r="C1574" s="2325">
        <v>75550</v>
      </c>
      <c r="D1574" s="2326">
        <f t="shared" si="124"/>
        <v>12364</v>
      </c>
      <c r="E1574" s="2326">
        <f t="shared" si="125"/>
        <v>8665</v>
      </c>
      <c r="F1574" s="2326">
        <f t="shared" si="126"/>
        <v>12364</v>
      </c>
      <c r="G1574" s="2326">
        <f t="shared" si="127"/>
        <v>10912</v>
      </c>
    </row>
    <row r="1575" spans="1:7" ht="15.75">
      <c r="A1575" s="2486">
        <f t="shared" si="128"/>
        <v>75575</v>
      </c>
      <c r="B1575" s="2325">
        <v>75550</v>
      </c>
      <c r="C1575" s="2325">
        <v>75600</v>
      </c>
      <c r="D1575" s="2326">
        <f t="shared" si="124"/>
        <v>12375</v>
      </c>
      <c r="E1575" s="2326">
        <f t="shared" si="125"/>
        <v>8671</v>
      </c>
      <c r="F1575" s="2326">
        <f t="shared" si="126"/>
        <v>12375</v>
      </c>
      <c r="G1575" s="2326">
        <f t="shared" si="127"/>
        <v>10923</v>
      </c>
    </row>
    <row r="1576" spans="1:7" ht="15.75">
      <c r="A1576" s="2486">
        <f t="shared" si="128"/>
        <v>75625</v>
      </c>
      <c r="B1576" s="2325">
        <v>75600</v>
      </c>
      <c r="C1576" s="2325">
        <v>75650</v>
      </c>
      <c r="D1576" s="2326">
        <f t="shared" si="124"/>
        <v>12386</v>
      </c>
      <c r="E1576" s="2326">
        <f t="shared" si="125"/>
        <v>8677</v>
      </c>
      <c r="F1576" s="2326">
        <f t="shared" si="126"/>
        <v>12386</v>
      </c>
      <c r="G1576" s="2326">
        <f t="shared" si="127"/>
        <v>10934</v>
      </c>
    </row>
    <row r="1577" spans="1:7" ht="15.75">
      <c r="A1577" s="2486">
        <f t="shared" si="128"/>
        <v>75675</v>
      </c>
      <c r="B1577" s="2325">
        <v>75650</v>
      </c>
      <c r="C1577" s="2325">
        <v>75700</v>
      </c>
      <c r="D1577" s="2326">
        <f t="shared" si="124"/>
        <v>12397</v>
      </c>
      <c r="E1577" s="2326">
        <f t="shared" si="125"/>
        <v>8683</v>
      </c>
      <c r="F1577" s="2326">
        <f t="shared" si="126"/>
        <v>12397</v>
      </c>
      <c r="G1577" s="2326">
        <f t="shared" si="127"/>
        <v>10945</v>
      </c>
    </row>
    <row r="1578" spans="1:7" ht="15.75">
      <c r="A1578" s="2486">
        <f t="shared" si="128"/>
        <v>75725</v>
      </c>
      <c r="B1578" s="2325">
        <v>75700</v>
      </c>
      <c r="C1578" s="2325">
        <v>75750</v>
      </c>
      <c r="D1578" s="2326">
        <f t="shared" si="124"/>
        <v>12408</v>
      </c>
      <c r="E1578" s="2326">
        <f t="shared" si="125"/>
        <v>8689</v>
      </c>
      <c r="F1578" s="2326">
        <f t="shared" si="126"/>
        <v>12408</v>
      </c>
      <c r="G1578" s="2326">
        <f t="shared" si="127"/>
        <v>10956</v>
      </c>
    </row>
    <row r="1579" spans="1:7" ht="15.75">
      <c r="A1579" s="2486">
        <f t="shared" si="128"/>
        <v>75775</v>
      </c>
      <c r="B1579" s="2325">
        <v>75750</v>
      </c>
      <c r="C1579" s="2325">
        <v>75800</v>
      </c>
      <c r="D1579" s="2326">
        <f t="shared" si="124"/>
        <v>12419</v>
      </c>
      <c r="E1579" s="2326">
        <f t="shared" si="125"/>
        <v>8695</v>
      </c>
      <c r="F1579" s="2326">
        <f t="shared" si="126"/>
        <v>12419</v>
      </c>
      <c r="G1579" s="2326">
        <f t="shared" si="127"/>
        <v>10967</v>
      </c>
    </row>
    <row r="1580" spans="1:7" ht="15.75">
      <c r="A1580" s="2486">
        <f t="shared" si="128"/>
        <v>75825</v>
      </c>
      <c r="B1580" s="2325">
        <v>75800</v>
      </c>
      <c r="C1580" s="2325">
        <v>75850</v>
      </c>
      <c r="D1580" s="2326">
        <f t="shared" si="124"/>
        <v>12430</v>
      </c>
      <c r="E1580" s="2326">
        <f t="shared" si="125"/>
        <v>8701</v>
      </c>
      <c r="F1580" s="2326">
        <f t="shared" si="126"/>
        <v>12430</v>
      </c>
      <c r="G1580" s="2326">
        <f t="shared" si="127"/>
        <v>10978</v>
      </c>
    </row>
    <row r="1581" spans="1:7" ht="15.75">
      <c r="A1581" s="2486">
        <f t="shared" si="128"/>
        <v>75875</v>
      </c>
      <c r="B1581" s="2325">
        <v>75850</v>
      </c>
      <c r="C1581" s="2325">
        <v>75900</v>
      </c>
      <c r="D1581" s="2326">
        <f t="shared" si="124"/>
        <v>12441</v>
      </c>
      <c r="E1581" s="2326">
        <f t="shared" si="125"/>
        <v>8707</v>
      </c>
      <c r="F1581" s="2326">
        <f t="shared" si="126"/>
        <v>12441</v>
      </c>
      <c r="G1581" s="2326">
        <f t="shared" si="127"/>
        <v>10989</v>
      </c>
    </row>
    <row r="1582" spans="1:7" ht="15.75">
      <c r="A1582" s="2486">
        <f t="shared" si="128"/>
        <v>75925</v>
      </c>
      <c r="B1582" s="2325">
        <v>75900</v>
      </c>
      <c r="C1582" s="2325">
        <v>75950</v>
      </c>
      <c r="D1582" s="2326">
        <f t="shared" si="124"/>
        <v>12452</v>
      </c>
      <c r="E1582" s="2326">
        <f t="shared" si="125"/>
        <v>8713</v>
      </c>
      <c r="F1582" s="2326">
        <f t="shared" si="126"/>
        <v>12452</v>
      </c>
      <c r="G1582" s="2326">
        <f t="shared" si="127"/>
        <v>11000</v>
      </c>
    </row>
    <row r="1583" spans="1:7" ht="15.75">
      <c r="A1583" s="2486">
        <f t="shared" si="128"/>
        <v>75975</v>
      </c>
      <c r="B1583" s="2325">
        <v>75950</v>
      </c>
      <c r="C1583" s="2325">
        <v>76000</v>
      </c>
      <c r="D1583" s="2326">
        <f t="shared" si="124"/>
        <v>12463</v>
      </c>
      <c r="E1583" s="2326">
        <f t="shared" si="125"/>
        <v>8719</v>
      </c>
      <c r="F1583" s="2326">
        <f t="shared" si="126"/>
        <v>12463</v>
      </c>
      <c r="G1583" s="2326">
        <f t="shared" si="127"/>
        <v>11011</v>
      </c>
    </row>
    <row r="1584" spans="1:7" ht="15.75">
      <c r="A1584" s="2486">
        <f t="shared" si="128"/>
        <v>76025</v>
      </c>
      <c r="B1584" s="2325">
        <v>76000</v>
      </c>
      <c r="C1584" s="2325">
        <v>76050</v>
      </c>
      <c r="D1584" s="2326">
        <f t="shared" si="124"/>
        <v>12474</v>
      </c>
      <c r="E1584" s="2326">
        <f t="shared" si="125"/>
        <v>8725</v>
      </c>
      <c r="F1584" s="2326">
        <f t="shared" si="126"/>
        <v>12474</v>
      </c>
      <c r="G1584" s="2326">
        <f t="shared" si="127"/>
        <v>11022</v>
      </c>
    </row>
    <row r="1585" spans="1:7" ht="15.75">
      <c r="A1585" s="2486">
        <f t="shared" si="128"/>
        <v>76075</v>
      </c>
      <c r="B1585" s="2325">
        <v>76050</v>
      </c>
      <c r="C1585" s="2325">
        <v>76100</v>
      </c>
      <c r="D1585" s="2326">
        <f t="shared" si="124"/>
        <v>12485</v>
      </c>
      <c r="E1585" s="2326">
        <f t="shared" si="125"/>
        <v>8731</v>
      </c>
      <c r="F1585" s="2326">
        <f t="shared" si="126"/>
        <v>12485</v>
      </c>
      <c r="G1585" s="2326">
        <f t="shared" si="127"/>
        <v>11033</v>
      </c>
    </row>
    <row r="1586" spans="1:7" ht="15.75">
      <c r="A1586" s="2486">
        <f t="shared" si="128"/>
        <v>76125</v>
      </c>
      <c r="B1586" s="2325">
        <v>76100</v>
      </c>
      <c r="C1586" s="2325">
        <v>76150</v>
      </c>
      <c r="D1586" s="2326">
        <f t="shared" si="124"/>
        <v>12496</v>
      </c>
      <c r="E1586" s="2326">
        <f t="shared" si="125"/>
        <v>8737</v>
      </c>
      <c r="F1586" s="2326">
        <f t="shared" si="126"/>
        <v>12496</v>
      </c>
      <c r="G1586" s="2326">
        <f t="shared" si="127"/>
        <v>11044</v>
      </c>
    </row>
    <row r="1587" spans="1:7" ht="15.75">
      <c r="A1587" s="2486">
        <f t="shared" si="128"/>
        <v>76175</v>
      </c>
      <c r="B1587" s="2325">
        <v>76150</v>
      </c>
      <c r="C1587" s="2325">
        <v>76200</v>
      </c>
      <c r="D1587" s="2326">
        <f t="shared" si="124"/>
        <v>12507</v>
      </c>
      <c r="E1587" s="2326">
        <f t="shared" si="125"/>
        <v>8743</v>
      </c>
      <c r="F1587" s="2326">
        <f t="shared" si="126"/>
        <v>12507</v>
      </c>
      <c r="G1587" s="2326">
        <f t="shared" si="127"/>
        <v>11055</v>
      </c>
    </row>
    <row r="1588" spans="1:7" ht="15.75">
      <c r="A1588" s="2486">
        <f t="shared" si="128"/>
        <v>76225</v>
      </c>
      <c r="B1588" s="2325">
        <v>76200</v>
      </c>
      <c r="C1588" s="2325">
        <v>76250</v>
      </c>
      <c r="D1588" s="2326">
        <f t="shared" si="124"/>
        <v>12518</v>
      </c>
      <c r="E1588" s="2326">
        <f t="shared" si="125"/>
        <v>8749</v>
      </c>
      <c r="F1588" s="2326">
        <f t="shared" si="126"/>
        <v>12518</v>
      </c>
      <c r="G1588" s="2326">
        <f t="shared" si="127"/>
        <v>11066</v>
      </c>
    </row>
    <row r="1589" spans="1:7" ht="15.75">
      <c r="A1589" s="2486">
        <f t="shared" si="128"/>
        <v>76275</v>
      </c>
      <c r="B1589" s="2325">
        <v>76250</v>
      </c>
      <c r="C1589" s="2325">
        <v>76300</v>
      </c>
      <c r="D1589" s="2326">
        <f t="shared" si="124"/>
        <v>12529</v>
      </c>
      <c r="E1589" s="2326">
        <f t="shared" si="125"/>
        <v>8755</v>
      </c>
      <c r="F1589" s="2326">
        <f t="shared" si="126"/>
        <v>12529</v>
      </c>
      <c r="G1589" s="2326">
        <f t="shared" si="127"/>
        <v>11077</v>
      </c>
    </row>
    <row r="1590" spans="1:7" ht="15.75">
      <c r="A1590" s="2486">
        <f t="shared" si="128"/>
        <v>76325</v>
      </c>
      <c r="B1590" s="2325">
        <v>76300</v>
      </c>
      <c r="C1590" s="2325">
        <v>76350</v>
      </c>
      <c r="D1590" s="2326">
        <f t="shared" si="124"/>
        <v>12540</v>
      </c>
      <c r="E1590" s="2326">
        <f t="shared" si="125"/>
        <v>8761</v>
      </c>
      <c r="F1590" s="2326">
        <f t="shared" si="126"/>
        <v>12540</v>
      </c>
      <c r="G1590" s="2326">
        <f t="shared" si="127"/>
        <v>11088</v>
      </c>
    </row>
    <row r="1591" spans="1:7" ht="15.75">
      <c r="A1591" s="2486">
        <f t="shared" si="128"/>
        <v>76375</v>
      </c>
      <c r="B1591" s="2325">
        <v>76350</v>
      </c>
      <c r="C1591" s="2325">
        <v>76400</v>
      </c>
      <c r="D1591" s="2326">
        <f t="shared" si="124"/>
        <v>12551</v>
      </c>
      <c r="E1591" s="2326">
        <f t="shared" si="125"/>
        <v>8767</v>
      </c>
      <c r="F1591" s="2326">
        <f t="shared" si="126"/>
        <v>12551</v>
      </c>
      <c r="G1591" s="2326">
        <f t="shared" si="127"/>
        <v>11099</v>
      </c>
    </row>
    <row r="1592" spans="1:7" ht="15.75">
      <c r="A1592" s="2486">
        <f t="shared" si="128"/>
        <v>76425</v>
      </c>
      <c r="B1592" s="2325">
        <v>76400</v>
      </c>
      <c r="C1592" s="2325">
        <v>76450</v>
      </c>
      <c r="D1592" s="2326">
        <f t="shared" si="124"/>
        <v>12562</v>
      </c>
      <c r="E1592" s="2326">
        <f t="shared" si="125"/>
        <v>8773</v>
      </c>
      <c r="F1592" s="2326">
        <f t="shared" si="126"/>
        <v>12562</v>
      </c>
      <c r="G1592" s="2326">
        <f t="shared" si="127"/>
        <v>11110</v>
      </c>
    </row>
    <row r="1593" spans="1:7" ht="15.75">
      <c r="A1593" s="2486">
        <f t="shared" si="128"/>
        <v>76475</v>
      </c>
      <c r="B1593" s="2325">
        <v>76450</v>
      </c>
      <c r="C1593" s="2325">
        <v>76500</v>
      </c>
      <c r="D1593" s="2326">
        <f t="shared" si="124"/>
        <v>12573</v>
      </c>
      <c r="E1593" s="2326">
        <f t="shared" si="125"/>
        <v>8779</v>
      </c>
      <c r="F1593" s="2326">
        <f t="shared" si="126"/>
        <v>12573</v>
      </c>
      <c r="G1593" s="2326">
        <f t="shared" si="127"/>
        <v>11121</v>
      </c>
    </row>
    <row r="1594" spans="1:7" ht="15.75">
      <c r="A1594" s="2486">
        <f t="shared" si="128"/>
        <v>76525</v>
      </c>
      <c r="B1594" s="2325">
        <v>76500</v>
      </c>
      <c r="C1594" s="2325">
        <v>76550</v>
      </c>
      <c r="D1594" s="2326">
        <f t="shared" si="124"/>
        <v>12584</v>
      </c>
      <c r="E1594" s="2326">
        <f t="shared" si="125"/>
        <v>8785</v>
      </c>
      <c r="F1594" s="2326">
        <f t="shared" si="126"/>
        <v>12584</v>
      </c>
      <c r="G1594" s="2326">
        <f t="shared" si="127"/>
        <v>11132</v>
      </c>
    </row>
    <row r="1595" spans="1:7" ht="15.75">
      <c r="A1595" s="2486">
        <f t="shared" si="128"/>
        <v>76575</v>
      </c>
      <c r="B1595" s="2325">
        <v>76550</v>
      </c>
      <c r="C1595" s="2325">
        <v>76600</v>
      </c>
      <c r="D1595" s="2326">
        <f t="shared" si="124"/>
        <v>12595</v>
      </c>
      <c r="E1595" s="2326">
        <f t="shared" si="125"/>
        <v>8791</v>
      </c>
      <c r="F1595" s="2326">
        <f t="shared" si="126"/>
        <v>12595</v>
      </c>
      <c r="G1595" s="2326">
        <f t="shared" si="127"/>
        <v>11143</v>
      </c>
    </row>
    <row r="1596" spans="1:7" ht="15.75">
      <c r="A1596" s="2486">
        <f t="shared" si="128"/>
        <v>76625</v>
      </c>
      <c r="B1596" s="2325">
        <v>76600</v>
      </c>
      <c r="C1596" s="2325">
        <v>76650</v>
      </c>
      <c r="D1596" s="2326">
        <f t="shared" si="124"/>
        <v>12606</v>
      </c>
      <c r="E1596" s="2326">
        <f t="shared" si="125"/>
        <v>8797</v>
      </c>
      <c r="F1596" s="2326">
        <f t="shared" si="126"/>
        <v>12606</v>
      </c>
      <c r="G1596" s="2326">
        <f t="shared" si="127"/>
        <v>11154</v>
      </c>
    </row>
    <row r="1597" spans="1:7" ht="15.75">
      <c r="A1597" s="2486">
        <f t="shared" si="128"/>
        <v>76675</v>
      </c>
      <c r="B1597" s="2325">
        <v>76650</v>
      </c>
      <c r="C1597" s="2325">
        <v>76700</v>
      </c>
      <c r="D1597" s="2326">
        <f t="shared" si="124"/>
        <v>12617</v>
      </c>
      <c r="E1597" s="2326">
        <f t="shared" si="125"/>
        <v>8803</v>
      </c>
      <c r="F1597" s="2326">
        <f t="shared" si="126"/>
        <v>12617</v>
      </c>
      <c r="G1597" s="2326">
        <f t="shared" si="127"/>
        <v>11165</v>
      </c>
    </row>
    <row r="1598" spans="1:7" ht="15.75">
      <c r="A1598" s="2486">
        <f t="shared" si="128"/>
        <v>76725</v>
      </c>
      <c r="B1598" s="2325">
        <v>76700</v>
      </c>
      <c r="C1598" s="2325">
        <v>76750</v>
      </c>
      <c r="D1598" s="2326">
        <f t="shared" si="124"/>
        <v>12628</v>
      </c>
      <c r="E1598" s="2326">
        <f t="shared" si="125"/>
        <v>8809</v>
      </c>
      <c r="F1598" s="2326">
        <f t="shared" si="126"/>
        <v>12628</v>
      </c>
      <c r="G1598" s="2326">
        <f t="shared" si="127"/>
        <v>11176</v>
      </c>
    </row>
    <row r="1599" spans="1:7" ht="15.75">
      <c r="A1599" s="2486">
        <f t="shared" si="128"/>
        <v>76775</v>
      </c>
      <c r="B1599" s="2325">
        <v>76750</v>
      </c>
      <c r="C1599" s="2325">
        <v>76800</v>
      </c>
      <c r="D1599" s="2326">
        <f t="shared" si="124"/>
        <v>12639</v>
      </c>
      <c r="E1599" s="2326">
        <f t="shared" si="125"/>
        <v>8815</v>
      </c>
      <c r="F1599" s="2326">
        <f t="shared" si="126"/>
        <v>12639</v>
      </c>
      <c r="G1599" s="2326">
        <f t="shared" si="127"/>
        <v>11187</v>
      </c>
    </row>
    <row r="1600" spans="1:7" ht="15.75">
      <c r="A1600" s="2486">
        <f t="shared" si="128"/>
        <v>76825</v>
      </c>
      <c r="B1600" s="2325">
        <v>76800</v>
      </c>
      <c r="C1600" s="2325">
        <v>76850</v>
      </c>
      <c r="D1600" s="2326">
        <f t="shared" si="124"/>
        <v>12650</v>
      </c>
      <c r="E1600" s="2326">
        <f t="shared" si="125"/>
        <v>8821</v>
      </c>
      <c r="F1600" s="2326">
        <f t="shared" si="126"/>
        <v>12650</v>
      </c>
      <c r="G1600" s="2326">
        <f t="shared" si="127"/>
        <v>11198</v>
      </c>
    </row>
    <row r="1601" spans="1:7" ht="15.75">
      <c r="A1601" s="2486">
        <f t="shared" si="128"/>
        <v>76875</v>
      </c>
      <c r="B1601" s="2325">
        <v>76850</v>
      </c>
      <c r="C1601" s="2325">
        <v>76900</v>
      </c>
      <c r="D1601" s="2326">
        <f t="shared" si="124"/>
        <v>12661</v>
      </c>
      <c r="E1601" s="2326">
        <f t="shared" si="125"/>
        <v>8827</v>
      </c>
      <c r="F1601" s="2326">
        <f t="shared" si="126"/>
        <v>12661</v>
      </c>
      <c r="G1601" s="2326">
        <f t="shared" si="127"/>
        <v>11209</v>
      </c>
    </row>
    <row r="1602" spans="1:7" ht="15.75">
      <c r="A1602" s="2486">
        <f t="shared" si="128"/>
        <v>76925</v>
      </c>
      <c r="B1602" s="2325">
        <v>76900</v>
      </c>
      <c r="C1602" s="2325">
        <v>76950</v>
      </c>
      <c r="D1602" s="2326">
        <f t="shared" ref="D1602:D1665" si="129">IF($A1602&gt;BOTT_A4,ROUND(BASE_A4+RATE_A4*($A1602-BOTT_A4),0),IF($A1602&gt;BOTT_A3,ROUND(BASE_A3+RATE_A3*($A1602-BOTT_A3),0),IF($A1602&gt;BOTT_A2,ROUND(BASE_A2+RATE_A2*($A1602-BOTT_A2),0),ROUND(RATE_A1*$A1602,0))))</f>
        <v>12672</v>
      </c>
      <c r="E1602" s="2326">
        <f t="shared" ref="E1602:E1665" si="130">IF($A1602&gt;BOTT_B4,ROUND(BASE_B4+RATE_B4*($A1602-BOTT_B4),0),IF($A1602&gt;BOTT_B3,ROUND(BASE_B3+RATE_B3*($A1602-BOTT_B3),0),IF($A1602&gt;BOTT_B2,ROUND(BASE_B2+RATE_B2*($A1602-BOTT_B2),0),ROUND(RATE_B1*$A1602,0))))</f>
        <v>8833</v>
      </c>
      <c r="F1602" s="2326">
        <f t="shared" ref="F1602:F1665" si="131">IF($A1602&gt;BOTT_C4,ROUND(BASE_C4+RATE_C4*($A1602-BOTT_C4),0),IF($A1602&gt;BOTT_C3,ROUND(BASE_C3+RATE_C3*($A1602-BOTT_C3),0),IF($A1602&gt;BOTT_C2,ROUND(BASE_C2+RATE_C2*($A1602-BOTT_C2),0),ROUND(RATE_C1*$A1602,0))))</f>
        <v>12672</v>
      </c>
      <c r="G1602" s="2326">
        <f t="shared" ref="G1602:G1665" si="132">IF($A1602&gt;BOTT_D4,ROUND(BASE_D4+RATE_D4*($A1602-BOTT_D4),0),IF($A1602&gt;BOTT_D3,ROUND(BASE_D3+RATE_D3*($A1602-BOTT_D3),0),IF($A1602&gt;BOTT_D2,ROUND(BASE_D2+RATE_D2*($A1602-BOTT_D2),0),ROUND(RATE_D1*$A1602,0))))</f>
        <v>11220</v>
      </c>
    </row>
    <row r="1603" spans="1:7" ht="15.75">
      <c r="A1603" s="2486">
        <f t="shared" ref="A1603:A1666" si="133">AVERAGE(B1603,C1603)</f>
        <v>76975</v>
      </c>
      <c r="B1603" s="2325">
        <v>76950</v>
      </c>
      <c r="C1603" s="2325">
        <v>77000</v>
      </c>
      <c r="D1603" s="2326">
        <f t="shared" si="129"/>
        <v>12683</v>
      </c>
      <c r="E1603" s="2326">
        <f t="shared" si="130"/>
        <v>8839</v>
      </c>
      <c r="F1603" s="2326">
        <f t="shared" si="131"/>
        <v>12683</v>
      </c>
      <c r="G1603" s="2326">
        <f t="shared" si="132"/>
        <v>11231</v>
      </c>
    </row>
    <row r="1604" spans="1:7" ht="15.75">
      <c r="A1604" s="2486">
        <f t="shared" si="133"/>
        <v>77025</v>
      </c>
      <c r="B1604" s="2325">
        <v>77000</v>
      </c>
      <c r="C1604" s="2325">
        <v>77050</v>
      </c>
      <c r="D1604" s="2326">
        <f t="shared" si="129"/>
        <v>12694</v>
      </c>
      <c r="E1604" s="2326">
        <f t="shared" si="130"/>
        <v>8845</v>
      </c>
      <c r="F1604" s="2326">
        <f t="shared" si="131"/>
        <v>12694</v>
      </c>
      <c r="G1604" s="2326">
        <f t="shared" si="132"/>
        <v>11242</v>
      </c>
    </row>
    <row r="1605" spans="1:7" ht="15.75">
      <c r="A1605" s="2486">
        <f t="shared" si="133"/>
        <v>77075</v>
      </c>
      <c r="B1605" s="2325">
        <v>77050</v>
      </c>
      <c r="C1605" s="2325">
        <v>77100</v>
      </c>
      <c r="D1605" s="2326">
        <f t="shared" si="129"/>
        <v>12705</v>
      </c>
      <c r="E1605" s="2326">
        <f t="shared" si="130"/>
        <v>8851</v>
      </c>
      <c r="F1605" s="2326">
        <f t="shared" si="131"/>
        <v>12705</v>
      </c>
      <c r="G1605" s="2326">
        <f t="shared" si="132"/>
        <v>11253</v>
      </c>
    </row>
    <row r="1606" spans="1:7" ht="15.75">
      <c r="A1606" s="2486">
        <f t="shared" si="133"/>
        <v>77125</v>
      </c>
      <c r="B1606" s="2325">
        <v>77100</v>
      </c>
      <c r="C1606" s="2325">
        <v>77150</v>
      </c>
      <c r="D1606" s="2326">
        <f t="shared" si="129"/>
        <v>12716</v>
      </c>
      <c r="E1606" s="2326">
        <f t="shared" si="130"/>
        <v>8857</v>
      </c>
      <c r="F1606" s="2326">
        <f t="shared" si="131"/>
        <v>12716</v>
      </c>
      <c r="G1606" s="2326">
        <f t="shared" si="132"/>
        <v>11264</v>
      </c>
    </row>
    <row r="1607" spans="1:7" ht="15.75">
      <c r="A1607" s="2486">
        <f t="shared" si="133"/>
        <v>77175</v>
      </c>
      <c r="B1607" s="2325">
        <v>77150</v>
      </c>
      <c r="C1607" s="2325">
        <v>77200</v>
      </c>
      <c r="D1607" s="2326">
        <f t="shared" si="129"/>
        <v>12727</v>
      </c>
      <c r="E1607" s="2326">
        <f t="shared" si="130"/>
        <v>8863</v>
      </c>
      <c r="F1607" s="2326">
        <f t="shared" si="131"/>
        <v>12727</v>
      </c>
      <c r="G1607" s="2326">
        <f t="shared" si="132"/>
        <v>11275</v>
      </c>
    </row>
    <row r="1608" spans="1:7" ht="15.75">
      <c r="A1608" s="2486">
        <f t="shared" si="133"/>
        <v>77225</v>
      </c>
      <c r="B1608" s="2325">
        <v>77200</v>
      </c>
      <c r="C1608" s="2325">
        <v>77250</v>
      </c>
      <c r="D1608" s="2326">
        <f t="shared" si="129"/>
        <v>12738</v>
      </c>
      <c r="E1608" s="2326">
        <f t="shared" si="130"/>
        <v>8869</v>
      </c>
      <c r="F1608" s="2326">
        <f t="shared" si="131"/>
        <v>12738</v>
      </c>
      <c r="G1608" s="2326">
        <f t="shared" si="132"/>
        <v>11286</v>
      </c>
    </row>
    <row r="1609" spans="1:7" ht="15.75">
      <c r="A1609" s="2486">
        <f t="shared" si="133"/>
        <v>77275</v>
      </c>
      <c r="B1609" s="2325">
        <v>77250</v>
      </c>
      <c r="C1609" s="2325">
        <v>77300</v>
      </c>
      <c r="D1609" s="2326">
        <f t="shared" si="129"/>
        <v>12749</v>
      </c>
      <c r="E1609" s="2326">
        <f t="shared" si="130"/>
        <v>8875</v>
      </c>
      <c r="F1609" s="2326">
        <f t="shared" si="131"/>
        <v>12749</v>
      </c>
      <c r="G1609" s="2326">
        <f t="shared" si="132"/>
        <v>11297</v>
      </c>
    </row>
    <row r="1610" spans="1:7" ht="15.75">
      <c r="A1610" s="2486">
        <f t="shared" si="133"/>
        <v>77325</v>
      </c>
      <c r="B1610" s="2325">
        <v>77300</v>
      </c>
      <c r="C1610" s="2325">
        <v>77350</v>
      </c>
      <c r="D1610" s="2326">
        <f t="shared" si="129"/>
        <v>12760</v>
      </c>
      <c r="E1610" s="2326">
        <f t="shared" si="130"/>
        <v>8881</v>
      </c>
      <c r="F1610" s="2326">
        <f t="shared" si="131"/>
        <v>12760</v>
      </c>
      <c r="G1610" s="2326">
        <f t="shared" si="132"/>
        <v>11308</v>
      </c>
    </row>
    <row r="1611" spans="1:7" ht="15.75">
      <c r="A1611" s="2486">
        <f t="shared" si="133"/>
        <v>77375</v>
      </c>
      <c r="B1611" s="2325">
        <v>77350</v>
      </c>
      <c r="C1611" s="2325">
        <v>77400</v>
      </c>
      <c r="D1611" s="2326">
        <f t="shared" si="129"/>
        <v>12771</v>
      </c>
      <c r="E1611" s="2326">
        <f t="shared" si="130"/>
        <v>8887</v>
      </c>
      <c r="F1611" s="2326">
        <f t="shared" si="131"/>
        <v>12771</v>
      </c>
      <c r="G1611" s="2326">
        <f t="shared" si="132"/>
        <v>11319</v>
      </c>
    </row>
    <row r="1612" spans="1:7" ht="15.75">
      <c r="A1612" s="2486">
        <f t="shared" si="133"/>
        <v>77425</v>
      </c>
      <c r="B1612" s="2325">
        <v>77400</v>
      </c>
      <c r="C1612" s="2325">
        <v>77450</v>
      </c>
      <c r="D1612" s="2326">
        <f t="shared" si="129"/>
        <v>12782</v>
      </c>
      <c r="E1612" s="2326">
        <f t="shared" si="130"/>
        <v>8893</v>
      </c>
      <c r="F1612" s="2326">
        <f t="shared" si="131"/>
        <v>12782</v>
      </c>
      <c r="G1612" s="2326">
        <f t="shared" si="132"/>
        <v>11330</v>
      </c>
    </row>
    <row r="1613" spans="1:7" ht="15.75">
      <c r="A1613" s="2486">
        <f t="shared" si="133"/>
        <v>77475</v>
      </c>
      <c r="B1613" s="2325">
        <v>77450</v>
      </c>
      <c r="C1613" s="2325">
        <v>77500</v>
      </c>
      <c r="D1613" s="2326">
        <f t="shared" si="129"/>
        <v>12793</v>
      </c>
      <c r="E1613" s="2326">
        <f t="shared" si="130"/>
        <v>8899</v>
      </c>
      <c r="F1613" s="2326">
        <f t="shared" si="131"/>
        <v>12793</v>
      </c>
      <c r="G1613" s="2326">
        <f t="shared" si="132"/>
        <v>11341</v>
      </c>
    </row>
    <row r="1614" spans="1:7" ht="15.75">
      <c r="A1614" s="2486">
        <f t="shared" si="133"/>
        <v>77525</v>
      </c>
      <c r="B1614" s="2325">
        <v>77500</v>
      </c>
      <c r="C1614" s="2325">
        <v>77550</v>
      </c>
      <c r="D1614" s="2326">
        <f t="shared" si="129"/>
        <v>12804</v>
      </c>
      <c r="E1614" s="2326">
        <f t="shared" si="130"/>
        <v>8905</v>
      </c>
      <c r="F1614" s="2326">
        <f t="shared" si="131"/>
        <v>12804</v>
      </c>
      <c r="G1614" s="2326">
        <f t="shared" si="132"/>
        <v>11352</v>
      </c>
    </row>
    <row r="1615" spans="1:7" ht="15.75">
      <c r="A1615" s="2486">
        <f t="shared" si="133"/>
        <v>77575</v>
      </c>
      <c r="B1615" s="2325">
        <v>77550</v>
      </c>
      <c r="C1615" s="2325">
        <v>77600</v>
      </c>
      <c r="D1615" s="2326">
        <f t="shared" si="129"/>
        <v>12815</v>
      </c>
      <c r="E1615" s="2326">
        <f t="shared" si="130"/>
        <v>8911</v>
      </c>
      <c r="F1615" s="2326">
        <f t="shared" si="131"/>
        <v>12815</v>
      </c>
      <c r="G1615" s="2326">
        <f t="shared" si="132"/>
        <v>11363</v>
      </c>
    </row>
    <row r="1616" spans="1:7" ht="15.75">
      <c r="A1616" s="2486">
        <f t="shared" si="133"/>
        <v>77625</v>
      </c>
      <c r="B1616" s="2325">
        <v>77600</v>
      </c>
      <c r="C1616" s="2325">
        <v>77650</v>
      </c>
      <c r="D1616" s="2326">
        <f t="shared" si="129"/>
        <v>12826</v>
      </c>
      <c r="E1616" s="2326">
        <f t="shared" si="130"/>
        <v>8917</v>
      </c>
      <c r="F1616" s="2326">
        <f t="shared" si="131"/>
        <v>12826</v>
      </c>
      <c r="G1616" s="2326">
        <f t="shared" si="132"/>
        <v>11374</v>
      </c>
    </row>
    <row r="1617" spans="1:7" ht="15.75">
      <c r="A1617" s="2486">
        <f t="shared" si="133"/>
        <v>77675</v>
      </c>
      <c r="B1617" s="2325">
        <v>77650</v>
      </c>
      <c r="C1617" s="2325">
        <v>77700</v>
      </c>
      <c r="D1617" s="2326">
        <f t="shared" si="129"/>
        <v>12837</v>
      </c>
      <c r="E1617" s="2326">
        <f t="shared" si="130"/>
        <v>8923</v>
      </c>
      <c r="F1617" s="2326">
        <f t="shared" si="131"/>
        <v>12837</v>
      </c>
      <c r="G1617" s="2326">
        <f t="shared" si="132"/>
        <v>11385</v>
      </c>
    </row>
    <row r="1618" spans="1:7" ht="15.75">
      <c r="A1618" s="2486">
        <f t="shared" si="133"/>
        <v>77725</v>
      </c>
      <c r="B1618" s="2325">
        <v>77700</v>
      </c>
      <c r="C1618" s="2325">
        <v>77750</v>
      </c>
      <c r="D1618" s="2326">
        <f t="shared" si="129"/>
        <v>12848</v>
      </c>
      <c r="E1618" s="2326">
        <f t="shared" si="130"/>
        <v>8929</v>
      </c>
      <c r="F1618" s="2326">
        <f t="shared" si="131"/>
        <v>12848</v>
      </c>
      <c r="G1618" s="2326">
        <f t="shared" si="132"/>
        <v>11396</v>
      </c>
    </row>
    <row r="1619" spans="1:7" ht="15.75">
      <c r="A1619" s="2486">
        <f t="shared" si="133"/>
        <v>77775</v>
      </c>
      <c r="B1619" s="2325">
        <v>77750</v>
      </c>
      <c r="C1619" s="2325">
        <v>77800</v>
      </c>
      <c r="D1619" s="2326">
        <f t="shared" si="129"/>
        <v>12859</v>
      </c>
      <c r="E1619" s="2326">
        <f t="shared" si="130"/>
        <v>8935</v>
      </c>
      <c r="F1619" s="2326">
        <f t="shared" si="131"/>
        <v>12859</v>
      </c>
      <c r="G1619" s="2326">
        <f t="shared" si="132"/>
        <v>11407</v>
      </c>
    </row>
    <row r="1620" spans="1:7" ht="15.75">
      <c r="A1620" s="2486">
        <f t="shared" si="133"/>
        <v>77825</v>
      </c>
      <c r="B1620" s="2325">
        <v>77800</v>
      </c>
      <c r="C1620" s="2325">
        <v>77850</v>
      </c>
      <c r="D1620" s="2326">
        <f t="shared" si="129"/>
        <v>12870</v>
      </c>
      <c r="E1620" s="2326">
        <f t="shared" si="130"/>
        <v>8941</v>
      </c>
      <c r="F1620" s="2326">
        <f t="shared" si="131"/>
        <v>12870</v>
      </c>
      <c r="G1620" s="2326">
        <f t="shared" si="132"/>
        <v>11418</v>
      </c>
    </row>
    <row r="1621" spans="1:7" ht="15.75">
      <c r="A1621" s="2486">
        <f t="shared" si="133"/>
        <v>77875</v>
      </c>
      <c r="B1621" s="2325">
        <v>77850</v>
      </c>
      <c r="C1621" s="2325">
        <v>77900</v>
      </c>
      <c r="D1621" s="2326">
        <f t="shared" si="129"/>
        <v>12881</v>
      </c>
      <c r="E1621" s="2326">
        <f t="shared" si="130"/>
        <v>8947</v>
      </c>
      <c r="F1621" s="2326">
        <f t="shared" si="131"/>
        <v>12881</v>
      </c>
      <c r="G1621" s="2326">
        <f t="shared" si="132"/>
        <v>11429</v>
      </c>
    </row>
    <row r="1622" spans="1:7" ht="15.75">
      <c r="A1622" s="2486">
        <f t="shared" si="133"/>
        <v>77925</v>
      </c>
      <c r="B1622" s="2325">
        <v>77900</v>
      </c>
      <c r="C1622" s="2325">
        <v>77950</v>
      </c>
      <c r="D1622" s="2326">
        <f t="shared" si="129"/>
        <v>12892</v>
      </c>
      <c r="E1622" s="2326">
        <f t="shared" si="130"/>
        <v>8953</v>
      </c>
      <c r="F1622" s="2326">
        <f t="shared" si="131"/>
        <v>12892</v>
      </c>
      <c r="G1622" s="2326">
        <f t="shared" si="132"/>
        <v>11440</v>
      </c>
    </row>
    <row r="1623" spans="1:7" ht="15.75">
      <c r="A1623" s="2486">
        <f t="shared" si="133"/>
        <v>77975</v>
      </c>
      <c r="B1623" s="2325">
        <v>77950</v>
      </c>
      <c r="C1623" s="2325">
        <v>78000</v>
      </c>
      <c r="D1623" s="2326">
        <f t="shared" si="129"/>
        <v>12903</v>
      </c>
      <c r="E1623" s="2326">
        <f t="shared" si="130"/>
        <v>8959</v>
      </c>
      <c r="F1623" s="2326">
        <f t="shared" si="131"/>
        <v>12903</v>
      </c>
      <c r="G1623" s="2326">
        <f t="shared" si="132"/>
        <v>11451</v>
      </c>
    </row>
    <row r="1624" spans="1:7" ht="15.75">
      <c r="A1624" s="2486">
        <f t="shared" si="133"/>
        <v>78025</v>
      </c>
      <c r="B1624" s="2325">
        <v>78000</v>
      </c>
      <c r="C1624" s="2325">
        <v>78050</v>
      </c>
      <c r="D1624" s="2326">
        <f t="shared" si="129"/>
        <v>12914</v>
      </c>
      <c r="E1624" s="2326">
        <f t="shared" si="130"/>
        <v>8965</v>
      </c>
      <c r="F1624" s="2326">
        <f t="shared" si="131"/>
        <v>12914</v>
      </c>
      <c r="G1624" s="2326">
        <f t="shared" si="132"/>
        <v>11462</v>
      </c>
    </row>
    <row r="1625" spans="1:7" ht="15.75">
      <c r="A1625" s="2486">
        <f t="shared" si="133"/>
        <v>78075</v>
      </c>
      <c r="B1625" s="2325">
        <v>78050</v>
      </c>
      <c r="C1625" s="2325">
        <v>78100</v>
      </c>
      <c r="D1625" s="2326">
        <f t="shared" si="129"/>
        <v>12925</v>
      </c>
      <c r="E1625" s="2326">
        <f t="shared" si="130"/>
        <v>8971</v>
      </c>
      <c r="F1625" s="2326">
        <f t="shared" si="131"/>
        <v>12925</v>
      </c>
      <c r="G1625" s="2326">
        <f t="shared" si="132"/>
        <v>11473</v>
      </c>
    </row>
    <row r="1626" spans="1:7" ht="15.75">
      <c r="A1626" s="2486">
        <f t="shared" si="133"/>
        <v>78125</v>
      </c>
      <c r="B1626" s="2325">
        <v>78100</v>
      </c>
      <c r="C1626" s="2325">
        <v>78150</v>
      </c>
      <c r="D1626" s="2326">
        <f t="shared" si="129"/>
        <v>12936</v>
      </c>
      <c r="E1626" s="2326">
        <f t="shared" si="130"/>
        <v>8977</v>
      </c>
      <c r="F1626" s="2326">
        <f t="shared" si="131"/>
        <v>12936</v>
      </c>
      <c r="G1626" s="2326">
        <f t="shared" si="132"/>
        <v>11484</v>
      </c>
    </row>
    <row r="1627" spans="1:7" ht="15.75">
      <c r="A1627" s="2486">
        <f t="shared" si="133"/>
        <v>78175</v>
      </c>
      <c r="B1627" s="2325">
        <v>78150</v>
      </c>
      <c r="C1627" s="2325">
        <v>78200</v>
      </c>
      <c r="D1627" s="2326">
        <f t="shared" si="129"/>
        <v>12947</v>
      </c>
      <c r="E1627" s="2326">
        <f t="shared" si="130"/>
        <v>8983</v>
      </c>
      <c r="F1627" s="2326">
        <f t="shared" si="131"/>
        <v>12947</v>
      </c>
      <c r="G1627" s="2326">
        <f t="shared" si="132"/>
        <v>11495</v>
      </c>
    </row>
    <row r="1628" spans="1:7" ht="15.75">
      <c r="A1628" s="2486">
        <f t="shared" si="133"/>
        <v>78225</v>
      </c>
      <c r="B1628" s="2325">
        <v>78200</v>
      </c>
      <c r="C1628" s="2325">
        <v>78250</v>
      </c>
      <c r="D1628" s="2326">
        <f t="shared" si="129"/>
        <v>12958</v>
      </c>
      <c r="E1628" s="2326">
        <f t="shared" si="130"/>
        <v>8989</v>
      </c>
      <c r="F1628" s="2326">
        <f t="shared" si="131"/>
        <v>12958</v>
      </c>
      <c r="G1628" s="2326">
        <f t="shared" si="132"/>
        <v>11506</v>
      </c>
    </row>
    <row r="1629" spans="1:7" ht="15.75">
      <c r="A1629" s="2486">
        <f t="shared" si="133"/>
        <v>78275</v>
      </c>
      <c r="B1629" s="2325">
        <v>78250</v>
      </c>
      <c r="C1629" s="2325">
        <v>78300</v>
      </c>
      <c r="D1629" s="2326">
        <f t="shared" si="129"/>
        <v>12969</v>
      </c>
      <c r="E1629" s="2326">
        <f t="shared" si="130"/>
        <v>8995</v>
      </c>
      <c r="F1629" s="2326">
        <f t="shared" si="131"/>
        <v>12969</v>
      </c>
      <c r="G1629" s="2326">
        <f t="shared" si="132"/>
        <v>11517</v>
      </c>
    </row>
    <row r="1630" spans="1:7" ht="15.75">
      <c r="A1630" s="2486">
        <f t="shared" si="133"/>
        <v>78325</v>
      </c>
      <c r="B1630" s="2325">
        <v>78300</v>
      </c>
      <c r="C1630" s="2325">
        <v>78350</v>
      </c>
      <c r="D1630" s="2326">
        <f t="shared" si="129"/>
        <v>12980</v>
      </c>
      <c r="E1630" s="2326">
        <f t="shared" si="130"/>
        <v>9001</v>
      </c>
      <c r="F1630" s="2326">
        <f t="shared" si="131"/>
        <v>12980</v>
      </c>
      <c r="G1630" s="2326">
        <f t="shared" si="132"/>
        <v>11528</v>
      </c>
    </row>
    <row r="1631" spans="1:7" ht="15.75">
      <c r="A1631" s="2486">
        <f t="shared" si="133"/>
        <v>78375</v>
      </c>
      <c r="B1631" s="2325">
        <v>78350</v>
      </c>
      <c r="C1631" s="2325">
        <v>78400</v>
      </c>
      <c r="D1631" s="2326">
        <f t="shared" si="129"/>
        <v>12991</v>
      </c>
      <c r="E1631" s="2326">
        <f t="shared" si="130"/>
        <v>9007</v>
      </c>
      <c r="F1631" s="2326">
        <f t="shared" si="131"/>
        <v>12991</v>
      </c>
      <c r="G1631" s="2326">
        <f t="shared" si="132"/>
        <v>11539</v>
      </c>
    </row>
    <row r="1632" spans="1:7" ht="15.75">
      <c r="A1632" s="2486">
        <f t="shared" si="133"/>
        <v>78425</v>
      </c>
      <c r="B1632" s="2325">
        <v>78400</v>
      </c>
      <c r="C1632" s="2325">
        <v>78450</v>
      </c>
      <c r="D1632" s="2326">
        <f t="shared" si="129"/>
        <v>13002</v>
      </c>
      <c r="E1632" s="2326">
        <f t="shared" si="130"/>
        <v>9013</v>
      </c>
      <c r="F1632" s="2326">
        <f t="shared" si="131"/>
        <v>13002</v>
      </c>
      <c r="G1632" s="2326">
        <f t="shared" si="132"/>
        <v>11550</v>
      </c>
    </row>
    <row r="1633" spans="1:7" ht="15.75">
      <c r="A1633" s="2486">
        <f t="shared" si="133"/>
        <v>78475</v>
      </c>
      <c r="B1633" s="2325">
        <v>78450</v>
      </c>
      <c r="C1633" s="2325">
        <v>78500</v>
      </c>
      <c r="D1633" s="2326">
        <f t="shared" si="129"/>
        <v>13013</v>
      </c>
      <c r="E1633" s="2326">
        <f t="shared" si="130"/>
        <v>9019</v>
      </c>
      <c r="F1633" s="2326">
        <f t="shared" si="131"/>
        <v>13013</v>
      </c>
      <c r="G1633" s="2326">
        <f t="shared" si="132"/>
        <v>11561</v>
      </c>
    </row>
    <row r="1634" spans="1:7" ht="15.75">
      <c r="A1634" s="2486">
        <f t="shared" si="133"/>
        <v>78525</v>
      </c>
      <c r="B1634" s="2325">
        <v>78500</v>
      </c>
      <c r="C1634" s="2325">
        <v>78550</v>
      </c>
      <c r="D1634" s="2326">
        <f t="shared" si="129"/>
        <v>13024</v>
      </c>
      <c r="E1634" s="2326">
        <f t="shared" si="130"/>
        <v>9025</v>
      </c>
      <c r="F1634" s="2326">
        <f t="shared" si="131"/>
        <v>13024</v>
      </c>
      <c r="G1634" s="2326">
        <f t="shared" si="132"/>
        <v>11572</v>
      </c>
    </row>
    <row r="1635" spans="1:7" ht="15.75">
      <c r="A1635" s="2486">
        <f t="shared" si="133"/>
        <v>78575</v>
      </c>
      <c r="B1635" s="2325">
        <v>78550</v>
      </c>
      <c r="C1635" s="2325">
        <v>78600</v>
      </c>
      <c r="D1635" s="2326">
        <f t="shared" si="129"/>
        <v>13035</v>
      </c>
      <c r="E1635" s="2326">
        <f t="shared" si="130"/>
        <v>9031</v>
      </c>
      <c r="F1635" s="2326">
        <f t="shared" si="131"/>
        <v>13035</v>
      </c>
      <c r="G1635" s="2326">
        <f t="shared" si="132"/>
        <v>11583</v>
      </c>
    </row>
    <row r="1636" spans="1:7" ht="15.75">
      <c r="A1636" s="2486">
        <f t="shared" si="133"/>
        <v>78625</v>
      </c>
      <c r="B1636" s="2325">
        <v>78600</v>
      </c>
      <c r="C1636" s="2325">
        <v>78650</v>
      </c>
      <c r="D1636" s="2326">
        <f t="shared" si="129"/>
        <v>13046</v>
      </c>
      <c r="E1636" s="2326">
        <f t="shared" si="130"/>
        <v>9037</v>
      </c>
      <c r="F1636" s="2326">
        <f t="shared" si="131"/>
        <v>13046</v>
      </c>
      <c r="G1636" s="2326">
        <f t="shared" si="132"/>
        <v>11594</v>
      </c>
    </row>
    <row r="1637" spans="1:7" ht="15.75">
      <c r="A1637" s="2486">
        <f t="shared" si="133"/>
        <v>78675</v>
      </c>
      <c r="B1637" s="2325">
        <v>78650</v>
      </c>
      <c r="C1637" s="2325">
        <v>78700</v>
      </c>
      <c r="D1637" s="2326">
        <f t="shared" si="129"/>
        <v>13057</v>
      </c>
      <c r="E1637" s="2326">
        <f t="shared" si="130"/>
        <v>9043</v>
      </c>
      <c r="F1637" s="2326">
        <f t="shared" si="131"/>
        <v>13057</v>
      </c>
      <c r="G1637" s="2326">
        <f t="shared" si="132"/>
        <v>11605</v>
      </c>
    </row>
    <row r="1638" spans="1:7" ht="15.75">
      <c r="A1638" s="2486">
        <f t="shared" si="133"/>
        <v>78725</v>
      </c>
      <c r="B1638" s="2325">
        <v>78700</v>
      </c>
      <c r="C1638" s="2325">
        <v>78750</v>
      </c>
      <c r="D1638" s="2326">
        <f t="shared" si="129"/>
        <v>13068</v>
      </c>
      <c r="E1638" s="2326">
        <f t="shared" si="130"/>
        <v>9049</v>
      </c>
      <c r="F1638" s="2326">
        <f t="shared" si="131"/>
        <v>13068</v>
      </c>
      <c r="G1638" s="2326">
        <f t="shared" si="132"/>
        <v>11616</v>
      </c>
    </row>
    <row r="1639" spans="1:7" ht="15.75">
      <c r="A1639" s="2486">
        <f t="shared" si="133"/>
        <v>78775</v>
      </c>
      <c r="B1639" s="2325">
        <v>78750</v>
      </c>
      <c r="C1639" s="2325">
        <v>78800</v>
      </c>
      <c r="D1639" s="2326">
        <f t="shared" si="129"/>
        <v>13079</v>
      </c>
      <c r="E1639" s="2326">
        <f t="shared" si="130"/>
        <v>9055</v>
      </c>
      <c r="F1639" s="2326">
        <f t="shared" si="131"/>
        <v>13079</v>
      </c>
      <c r="G1639" s="2326">
        <f t="shared" si="132"/>
        <v>11627</v>
      </c>
    </row>
    <row r="1640" spans="1:7" ht="15.75">
      <c r="A1640" s="2486">
        <f t="shared" si="133"/>
        <v>78825</v>
      </c>
      <c r="B1640" s="2325">
        <v>78800</v>
      </c>
      <c r="C1640" s="2325">
        <v>78850</v>
      </c>
      <c r="D1640" s="2326">
        <f t="shared" si="129"/>
        <v>13090</v>
      </c>
      <c r="E1640" s="2326">
        <f t="shared" si="130"/>
        <v>9061</v>
      </c>
      <c r="F1640" s="2326">
        <f t="shared" si="131"/>
        <v>13090</v>
      </c>
      <c r="G1640" s="2326">
        <f t="shared" si="132"/>
        <v>11638</v>
      </c>
    </row>
    <row r="1641" spans="1:7" ht="15.75">
      <c r="A1641" s="2486">
        <f t="shared" si="133"/>
        <v>78875</v>
      </c>
      <c r="B1641" s="2325">
        <v>78850</v>
      </c>
      <c r="C1641" s="2325">
        <v>78900</v>
      </c>
      <c r="D1641" s="2326">
        <f t="shared" si="129"/>
        <v>13101</v>
      </c>
      <c r="E1641" s="2326">
        <f t="shared" si="130"/>
        <v>9067</v>
      </c>
      <c r="F1641" s="2326">
        <f t="shared" si="131"/>
        <v>13101</v>
      </c>
      <c r="G1641" s="2326">
        <f t="shared" si="132"/>
        <v>11649</v>
      </c>
    </row>
    <row r="1642" spans="1:7" ht="15.75">
      <c r="A1642" s="2486">
        <f t="shared" si="133"/>
        <v>78925</v>
      </c>
      <c r="B1642" s="2325">
        <v>78900</v>
      </c>
      <c r="C1642" s="2325">
        <v>78950</v>
      </c>
      <c r="D1642" s="2326">
        <f t="shared" si="129"/>
        <v>13112</v>
      </c>
      <c r="E1642" s="2326">
        <f t="shared" si="130"/>
        <v>9073</v>
      </c>
      <c r="F1642" s="2326">
        <f t="shared" si="131"/>
        <v>13112</v>
      </c>
      <c r="G1642" s="2326">
        <f t="shared" si="132"/>
        <v>11660</v>
      </c>
    </row>
    <row r="1643" spans="1:7" ht="15.75">
      <c r="A1643" s="2486">
        <f t="shared" si="133"/>
        <v>78975</v>
      </c>
      <c r="B1643" s="2325">
        <v>78950</v>
      </c>
      <c r="C1643" s="2325">
        <v>79000</v>
      </c>
      <c r="D1643" s="2326">
        <f t="shared" si="129"/>
        <v>13123</v>
      </c>
      <c r="E1643" s="2326">
        <f t="shared" si="130"/>
        <v>9079</v>
      </c>
      <c r="F1643" s="2326">
        <f t="shared" si="131"/>
        <v>13123</v>
      </c>
      <c r="G1643" s="2326">
        <f t="shared" si="132"/>
        <v>11671</v>
      </c>
    </row>
    <row r="1644" spans="1:7" ht="15.75">
      <c r="A1644" s="2486">
        <f t="shared" si="133"/>
        <v>79025</v>
      </c>
      <c r="B1644" s="2325">
        <v>79000</v>
      </c>
      <c r="C1644" s="2325">
        <v>79050</v>
      </c>
      <c r="D1644" s="2326">
        <f t="shared" si="129"/>
        <v>13134</v>
      </c>
      <c r="E1644" s="2326">
        <f t="shared" si="130"/>
        <v>9085</v>
      </c>
      <c r="F1644" s="2326">
        <f t="shared" si="131"/>
        <v>13134</v>
      </c>
      <c r="G1644" s="2326">
        <f t="shared" si="132"/>
        <v>11682</v>
      </c>
    </row>
    <row r="1645" spans="1:7" ht="15.75">
      <c r="A1645" s="2486">
        <f t="shared" si="133"/>
        <v>79075</v>
      </c>
      <c r="B1645" s="2325">
        <v>79050</v>
      </c>
      <c r="C1645" s="2325">
        <v>79100</v>
      </c>
      <c r="D1645" s="2326">
        <f t="shared" si="129"/>
        <v>13145</v>
      </c>
      <c r="E1645" s="2326">
        <f t="shared" si="130"/>
        <v>9091</v>
      </c>
      <c r="F1645" s="2326">
        <f t="shared" si="131"/>
        <v>13145</v>
      </c>
      <c r="G1645" s="2326">
        <f t="shared" si="132"/>
        <v>11693</v>
      </c>
    </row>
    <row r="1646" spans="1:7" ht="15.75">
      <c r="A1646" s="2486">
        <f t="shared" si="133"/>
        <v>79125</v>
      </c>
      <c r="B1646" s="2325">
        <v>79100</v>
      </c>
      <c r="C1646" s="2325">
        <v>79150</v>
      </c>
      <c r="D1646" s="2326">
        <f t="shared" si="129"/>
        <v>13156</v>
      </c>
      <c r="E1646" s="2326">
        <f t="shared" si="130"/>
        <v>9097</v>
      </c>
      <c r="F1646" s="2326">
        <f t="shared" si="131"/>
        <v>13156</v>
      </c>
      <c r="G1646" s="2326">
        <f t="shared" si="132"/>
        <v>11704</v>
      </c>
    </row>
    <row r="1647" spans="1:7" ht="15.75">
      <c r="A1647" s="2486">
        <f t="shared" si="133"/>
        <v>79175</v>
      </c>
      <c r="B1647" s="2325">
        <v>79150</v>
      </c>
      <c r="C1647" s="2325">
        <v>79200</v>
      </c>
      <c r="D1647" s="2326">
        <f t="shared" si="129"/>
        <v>13167</v>
      </c>
      <c r="E1647" s="2326">
        <f t="shared" si="130"/>
        <v>9103</v>
      </c>
      <c r="F1647" s="2326">
        <f t="shared" si="131"/>
        <v>13167</v>
      </c>
      <c r="G1647" s="2326">
        <f t="shared" si="132"/>
        <v>11715</v>
      </c>
    </row>
    <row r="1648" spans="1:7" ht="15.75">
      <c r="A1648" s="2486">
        <f t="shared" si="133"/>
        <v>79225</v>
      </c>
      <c r="B1648" s="2325">
        <v>79200</v>
      </c>
      <c r="C1648" s="2325">
        <v>79250</v>
      </c>
      <c r="D1648" s="2326">
        <f t="shared" si="129"/>
        <v>13178</v>
      </c>
      <c r="E1648" s="2326">
        <f t="shared" si="130"/>
        <v>9109</v>
      </c>
      <c r="F1648" s="2326">
        <f t="shared" si="131"/>
        <v>13178</v>
      </c>
      <c r="G1648" s="2326">
        <f t="shared" si="132"/>
        <v>11726</v>
      </c>
    </row>
    <row r="1649" spans="1:7" ht="15.75">
      <c r="A1649" s="2486">
        <f t="shared" si="133"/>
        <v>79275</v>
      </c>
      <c r="B1649" s="2325">
        <v>79250</v>
      </c>
      <c r="C1649" s="2325">
        <v>79300</v>
      </c>
      <c r="D1649" s="2326">
        <f t="shared" si="129"/>
        <v>13189</v>
      </c>
      <c r="E1649" s="2326">
        <f t="shared" si="130"/>
        <v>9115</v>
      </c>
      <c r="F1649" s="2326">
        <f t="shared" si="131"/>
        <v>13189</v>
      </c>
      <c r="G1649" s="2326">
        <f t="shared" si="132"/>
        <v>11737</v>
      </c>
    </row>
    <row r="1650" spans="1:7" ht="15.75">
      <c r="A1650" s="2486">
        <f t="shared" si="133"/>
        <v>79325</v>
      </c>
      <c r="B1650" s="2325">
        <v>79300</v>
      </c>
      <c r="C1650" s="2325">
        <v>79350</v>
      </c>
      <c r="D1650" s="2326">
        <f t="shared" si="129"/>
        <v>13200</v>
      </c>
      <c r="E1650" s="2326">
        <f t="shared" si="130"/>
        <v>9121</v>
      </c>
      <c r="F1650" s="2326">
        <f t="shared" si="131"/>
        <v>13200</v>
      </c>
      <c r="G1650" s="2326">
        <f t="shared" si="132"/>
        <v>11748</v>
      </c>
    </row>
    <row r="1651" spans="1:7" ht="15.75">
      <c r="A1651" s="2486">
        <f t="shared" si="133"/>
        <v>79375</v>
      </c>
      <c r="B1651" s="2325">
        <v>79350</v>
      </c>
      <c r="C1651" s="2325">
        <v>79400</v>
      </c>
      <c r="D1651" s="2326">
        <f t="shared" si="129"/>
        <v>13211</v>
      </c>
      <c r="E1651" s="2326">
        <f t="shared" si="130"/>
        <v>9127</v>
      </c>
      <c r="F1651" s="2326">
        <f t="shared" si="131"/>
        <v>13211</v>
      </c>
      <c r="G1651" s="2326">
        <f t="shared" si="132"/>
        <v>11759</v>
      </c>
    </row>
    <row r="1652" spans="1:7" ht="15.75">
      <c r="A1652" s="2486">
        <f t="shared" si="133"/>
        <v>79425</v>
      </c>
      <c r="B1652" s="2325">
        <v>79400</v>
      </c>
      <c r="C1652" s="2325">
        <v>79450</v>
      </c>
      <c r="D1652" s="2326">
        <f t="shared" si="129"/>
        <v>13222</v>
      </c>
      <c r="E1652" s="2326">
        <f t="shared" si="130"/>
        <v>9133</v>
      </c>
      <c r="F1652" s="2326">
        <f t="shared" si="131"/>
        <v>13222</v>
      </c>
      <c r="G1652" s="2326">
        <f t="shared" si="132"/>
        <v>11770</v>
      </c>
    </row>
    <row r="1653" spans="1:7" ht="15.75">
      <c r="A1653" s="2486">
        <f t="shared" si="133"/>
        <v>79475</v>
      </c>
      <c r="B1653" s="2325">
        <v>79450</v>
      </c>
      <c r="C1653" s="2325">
        <v>79500</v>
      </c>
      <c r="D1653" s="2326">
        <f t="shared" si="129"/>
        <v>13233</v>
      </c>
      <c r="E1653" s="2326">
        <f t="shared" si="130"/>
        <v>9139</v>
      </c>
      <c r="F1653" s="2326">
        <f t="shared" si="131"/>
        <v>13233</v>
      </c>
      <c r="G1653" s="2326">
        <f t="shared" si="132"/>
        <v>11781</v>
      </c>
    </row>
    <row r="1654" spans="1:7" ht="15.75">
      <c r="A1654" s="2486">
        <f t="shared" si="133"/>
        <v>79525</v>
      </c>
      <c r="B1654" s="2325">
        <v>79500</v>
      </c>
      <c r="C1654" s="2325">
        <v>79550</v>
      </c>
      <c r="D1654" s="2326">
        <f t="shared" si="129"/>
        <v>13244</v>
      </c>
      <c r="E1654" s="2326">
        <f t="shared" si="130"/>
        <v>9145</v>
      </c>
      <c r="F1654" s="2326">
        <f t="shared" si="131"/>
        <v>13244</v>
      </c>
      <c r="G1654" s="2326">
        <f t="shared" si="132"/>
        <v>11792</v>
      </c>
    </row>
    <row r="1655" spans="1:7" ht="15.75">
      <c r="A1655" s="2486">
        <f t="shared" si="133"/>
        <v>79575</v>
      </c>
      <c r="B1655" s="2325">
        <v>79550</v>
      </c>
      <c r="C1655" s="2325">
        <v>79600</v>
      </c>
      <c r="D1655" s="2326">
        <f t="shared" si="129"/>
        <v>13255</v>
      </c>
      <c r="E1655" s="2326">
        <f t="shared" si="130"/>
        <v>9151</v>
      </c>
      <c r="F1655" s="2326">
        <f t="shared" si="131"/>
        <v>13255</v>
      </c>
      <c r="G1655" s="2326">
        <f t="shared" si="132"/>
        <v>11803</v>
      </c>
    </row>
    <row r="1656" spans="1:7" ht="15.75">
      <c r="A1656" s="2486">
        <f t="shared" si="133"/>
        <v>79625</v>
      </c>
      <c r="B1656" s="2325">
        <v>79600</v>
      </c>
      <c r="C1656" s="2325">
        <v>79650</v>
      </c>
      <c r="D1656" s="2326">
        <f t="shared" si="129"/>
        <v>13266</v>
      </c>
      <c r="E1656" s="2326">
        <f t="shared" si="130"/>
        <v>9157</v>
      </c>
      <c r="F1656" s="2326">
        <f t="shared" si="131"/>
        <v>13266</v>
      </c>
      <c r="G1656" s="2326">
        <f t="shared" si="132"/>
        <v>11814</v>
      </c>
    </row>
    <row r="1657" spans="1:7" ht="15.75">
      <c r="A1657" s="2486">
        <f t="shared" si="133"/>
        <v>79675</v>
      </c>
      <c r="B1657" s="2325">
        <v>79650</v>
      </c>
      <c r="C1657" s="2325">
        <v>79700</v>
      </c>
      <c r="D1657" s="2326">
        <f t="shared" si="129"/>
        <v>13277</v>
      </c>
      <c r="E1657" s="2326">
        <f t="shared" si="130"/>
        <v>9163</v>
      </c>
      <c r="F1657" s="2326">
        <f t="shared" si="131"/>
        <v>13277</v>
      </c>
      <c r="G1657" s="2326">
        <f t="shared" si="132"/>
        <v>11825</v>
      </c>
    </row>
    <row r="1658" spans="1:7" ht="15.75">
      <c r="A1658" s="2486">
        <f t="shared" si="133"/>
        <v>79725</v>
      </c>
      <c r="B1658" s="2325">
        <v>79700</v>
      </c>
      <c r="C1658" s="2325">
        <v>79750</v>
      </c>
      <c r="D1658" s="2326">
        <f t="shared" si="129"/>
        <v>13288</v>
      </c>
      <c r="E1658" s="2326">
        <f t="shared" si="130"/>
        <v>9169</v>
      </c>
      <c r="F1658" s="2326">
        <f t="shared" si="131"/>
        <v>13288</v>
      </c>
      <c r="G1658" s="2326">
        <f t="shared" si="132"/>
        <v>11836</v>
      </c>
    </row>
    <row r="1659" spans="1:7" ht="15.75">
      <c r="A1659" s="2486">
        <f t="shared" si="133"/>
        <v>79775</v>
      </c>
      <c r="B1659" s="2325">
        <v>79750</v>
      </c>
      <c r="C1659" s="2325">
        <v>79800</v>
      </c>
      <c r="D1659" s="2326">
        <f t="shared" si="129"/>
        <v>13299</v>
      </c>
      <c r="E1659" s="2326">
        <f t="shared" si="130"/>
        <v>9175</v>
      </c>
      <c r="F1659" s="2326">
        <f t="shared" si="131"/>
        <v>13299</v>
      </c>
      <c r="G1659" s="2326">
        <f t="shared" si="132"/>
        <v>11847</v>
      </c>
    </row>
    <row r="1660" spans="1:7" ht="15.75">
      <c r="A1660" s="2486">
        <f t="shared" si="133"/>
        <v>79825</v>
      </c>
      <c r="B1660" s="2325">
        <v>79800</v>
      </c>
      <c r="C1660" s="2325">
        <v>79850</v>
      </c>
      <c r="D1660" s="2326">
        <f t="shared" si="129"/>
        <v>13310</v>
      </c>
      <c r="E1660" s="2326">
        <f t="shared" si="130"/>
        <v>9181</v>
      </c>
      <c r="F1660" s="2326">
        <f t="shared" si="131"/>
        <v>13310</v>
      </c>
      <c r="G1660" s="2326">
        <f t="shared" si="132"/>
        <v>11858</v>
      </c>
    </row>
    <row r="1661" spans="1:7" ht="15.75">
      <c r="A1661" s="2486">
        <f t="shared" si="133"/>
        <v>79875</v>
      </c>
      <c r="B1661" s="2325">
        <v>79850</v>
      </c>
      <c r="C1661" s="2325">
        <v>79900</v>
      </c>
      <c r="D1661" s="2326">
        <f t="shared" si="129"/>
        <v>13321</v>
      </c>
      <c r="E1661" s="2326">
        <f t="shared" si="130"/>
        <v>9187</v>
      </c>
      <c r="F1661" s="2326">
        <f t="shared" si="131"/>
        <v>13321</v>
      </c>
      <c r="G1661" s="2326">
        <f t="shared" si="132"/>
        <v>11869</v>
      </c>
    </row>
    <row r="1662" spans="1:7" ht="15.75">
      <c r="A1662" s="2486">
        <f t="shared" si="133"/>
        <v>79925</v>
      </c>
      <c r="B1662" s="2325">
        <v>79900</v>
      </c>
      <c r="C1662" s="2325">
        <v>79950</v>
      </c>
      <c r="D1662" s="2326">
        <f t="shared" si="129"/>
        <v>13332</v>
      </c>
      <c r="E1662" s="2326">
        <f t="shared" si="130"/>
        <v>9193</v>
      </c>
      <c r="F1662" s="2326">
        <f t="shared" si="131"/>
        <v>13332</v>
      </c>
      <c r="G1662" s="2326">
        <f t="shared" si="132"/>
        <v>11880</v>
      </c>
    </row>
    <row r="1663" spans="1:7" ht="15.75">
      <c r="A1663" s="2486">
        <f t="shared" si="133"/>
        <v>79975</v>
      </c>
      <c r="B1663" s="2325">
        <v>79950</v>
      </c>
      <c r="C1663" s="2325">
        <v>80000</v>
      </c>
      <c r="D1663" s="2326">
        <f t="shared" si="129"/>
        <v>13343</v>
      </c>
      <c r="E1663" s="2326">
        <f t="shared" si="130"/>
        <v>9199</v>
      </c>
      <c r="F1663" s="2326">
        <f t="shared" si="131"/>
        <v>13343</v>
      </c>
      <c r="G1663" s="2326">
        <f t="shared" si="132"/>
        <v>11891</v>
      </c>
    </row>
    <row r="1664" spans="1:7" ht="15.75">
      <c r="A1664" s="2486">
        <f t="shared" si="133"/>
        <v>80025</v>
      </c>
      <c r="B1664" s="2325">
        <v>80000</v>
      </c>
      <c r="C1664" s="2325">
        <v>80050</v>
      </c>
      <c r="D1664" s="2326">
        <f t="shared" si="129"/>
        <v>13354</v>
      </c>
      <c r="E1664" s="2326">
        <f t="shared" si="130"/>
        <v>9205</v>
      </c>
      <c r="F1664" s="2326">
        <f t="shared" si="131"/>
        <v>13354</v>
      </c>
      <c r="G1664" s="2326">
        <f t="shared" si="132"/>
        <v>11902</v>
      </c>
    </row>
    <row r="1665" spans="1:7" ht="15.75">
      <c r="A1665" s="2486">
        <f t="shared" si="133"/>
        <v>80075</v>
      </c>
      <c r="B1665" s="2325">
        <v>80050</v>
      </c>
      <c r="C1665" s="2325">
        <v>80100</v>
      </c>
      <c r="D1665" s="2326">
        <f t="shared" si="129"/>
        <v>13365</v>
      </c>
      <c r="E1665" s="2326">
        <f t="shared" si="130"/>
        <v>9211</v>
      </c>
      <c r="F1665" s="2326">
        <f t="shared" si="131"/>
        <v>13365</v>
      </c>
      <c r="G1665" s="2326">
        <f t="shared" si="132"/>
        <v>11913</v>
      </c>
    </row>
    <row r="1666" spans="1:7" ht="15.75">
      <c r="A1666" s="2486">
        <f t="shared" si="133"/>
        <v>80125</v>
      </c>
      <c r="B1666" s="2325">
        <v>80100</v>
      </c>
      <c r="C1666" s="2325">
        <v>80150</v>
      </c>
      <c r="D1666" s="2326">
        <f t="shared" ref="D1666:D1729" si="134">IF($A1666&gt;BOTT_A4,ROUND(BASE_A4+RATE_A4*($A1666-BOTT_A4),0),IF($A1666&gt;BOTT_A3,ROUND(BASE_A3+RATE_A3*($A1666-BOTT_A3),0),IF($A1666&gt;BOTT_A2,ROUND(BASE_A2+RATE_A2*($A1666-BOTT_A2),0),ROUND(RATE_A1*$A1666,0))))</f>
        <v>13376</v>
      </c>
      <c r="E1666" s="2326">
        <f t="shared" ref="E1666:E1729" si="135">IF($A1666&gt;BOTT_B4,ROUND(BASE_B4+RATE_B4*($A1666-BOTT_B4),0),IF($A1666&gt;BOTT_B3,ROUND(BASE_B3+RATE_B3*($A1666-BOTT_B3),0),IF($A1666&gt;BOTT_B2,ROUND(BASE_B2+RATE_B2*($A1666-BOTT_B2),0),ROUND(RATE_B1*$A1666,0))))</f>
        <v>9217</v>
      </c>
      <c r="F1666" s="2326">
        <f t="shared" ref="F1666:F1729" si="136">IF($A1666&gt;BOTT_C4,ROUND(BASE_C4+RATE_C4*($A1666-BOTT_C4),0),IF($A1666&gt;BOTT_C3,ROUND(BASE_C3+RATE_C3*($A1666-BOTT_C3),0),IF($A1666&gt;BOTT_C2,ROUND(BASE_C2+RATE_C2*($A1666-BOTT_C2),0),ROUND(RATE_C1*$A1666,0))))</f>
        <v>13376</v>
      </c>
      <c r="G1666" s="2326">
        <f t="shared" ref="G1666:G1729" si="137">IF($A1666&gt;BOTT_D4,ROUND(BASE_D4+RATE_D4*($A1666-BOTT_D4),0),IF($A1666&gt;BOTT_D3,ROUND(BASE_D3+RATE_D3*($A1666-BOTT_D3),0),IF($A1666&gt;BOTT_D2,ROUND(BASE_D2+RATE_D2*($A1666-BOTT_D2),0),ROUND(RATE_D1*$A1666,0))))</f>
        <v>11924</v>
      </c>
    </row>
    <row r="1667" spans="1:7" ht="15.75">
      <c r="A1667" s="2486">
        <f t="shared" ref="A1667:A1730" si="138">AVERAGE(B1667,C1667)</f>
        <v>80175</v>
      </c>
      <c r="B1667" s="2325">
        <v>80150</v>
      </c>
      <c r="C1667" s="2325">
        <v>80200</v>
      </c>
      <c r="D1667" s="2326">
        <f t="shared" si="134"/>
        <v>13387</v>
      </c>
      <c r="E1667" s="2326">
        <f t="shared" si="135"/>
        <v>9223</v>
      </c>
      <c r="F1667" s="2326">
        <f t="shared" si="136"/>
        <v>13387</v>
      </c>
      <c r="G1667" s="2326">
        <f t="shared" si="137"/>
        <v>11935</v>
      </c>
    </row>
    <row r="1668" spans="1:7" ht="15.75">
      <c r="A1668" s="2486">
        <f t="shared" si="138"/>
        <v>80225</v>
      </c>
      <c r="B1668" s="2325">
        <v>80200</v>
      </c>
      <c r="C1668" s="2325">
        <v>80250</v>
      </c>
      <c r="D1668" s="2326">
        <f t="shared" si="134"/>
        <v>13398</v>
      </c>
      <c r="E1668" s="2326">
        <f t="shared" si="135"/>
        <v>9229</v>
      </c>
      <c r="F1668" s="2326">
        <f t="shared" si="136"/>
        <v>13398</v>
      </c>
      <c r="G1668" s="2326">
        <f t="shared" si="137"/>
        <v>11946</v>
      </c>
    </row>
    <row r="1669" spans="1:7" ht="15.75">
      <c r="A1669" s="2486">
        <f t="shared" si="138"/>
        <v>80275</v>
      </c>
      <c r="B1669" s="2325">
        <v>80250</v>
      </c>
      <c r="C1669" s="2325">
        <v>80300</v>
      </c>
      <c r="D1669" s="2326">
        <f t="shared" si="134"/>
        <v>13409</v>
      </c>
      <c r="E1669" s="2326">
        <f t="shared" si="135"/>
        <v>9235</v>
      </c>
      <c r="F1669" s="2326">
        <f t="shared" si="136"/>
        <v>13409</v>
      </c>
      <c r="G1669" s="2326">
        <f t="shared" si="137"/>
        <v>11957</v>
      </c>
    </row>
    <row r="1670" spans="1:7" ht="15.75">
      <c r="A1670" s="2486">
        <f t="shared" si="138"/>
        <v>80325</v>
      </c>
      <c r="B1670" s="2325">
        <v>80300</v>
      </c>
      <c r="C1670" s="2325">
        <v>80350</v>
      </c>
      <c r="D1670" s="2326">
        <f t="shared" si="134"/>
        <v>13420</v>
      </c>
      <c r="E1670" s="2326">
        <f t="shared" si="135"/>
        <v>9241</v>
      </c>
      <c r="F1670" s="2326">
        <f t="shared" si="136"/>
        <v>13420</v>
      </c>
      <c r="G1670" s="2326">
        <f t="shared" si="137"/>
        <v>11968</v>
      </c>
    </row>
    <row r="1671" spans="1:7" ht="15.75">
      <c r="A1671" s="2486">
        <f t="shared" si="138"/>
        <v>80375</v>
      </c>
      <c r="B1671" s="2325">
        <v>80350</v>
      </c>
      <c r="C1671" s="2325">
        <v>80400</v>
      </c>
      <c r="D1671" s="2326">
        <f t="shared" si="134"/>
        <v>13431</v>
      </c>
      <c r="E1671" s="2326">
        <f t="shared" si="135"/>
        <v>9247</v>
      </c>
      <c r="F1671" s="2326">
        <f t="shared" si="136"/>
        <v>13431</v>
      </c>
      <c r="G1671" s="2326">
        <f t="shared" si="137"/>
        <v>11979</v>
      </c>
    </row>
    <row r="1672" spans="1:7" ht="15.75">
      <c r="A1672" s="2486">
        <f t="shared" si="138"/>
        <v>80425</v>
      </c>
      <c r="B1672" s="2325">
        <v>80400</v>
      </c>
      <c r="C1672" s="2325">
        <v>80450</v>
      </c>
      <c r="D1672" s="2326">
        <f t="shared" si="134"/>
        <v>13442</v>
      </c>
      <c r="E1672" s="2326">
        <f t="shared" si="135"/>
        <v>9253</v>
      </c>
      <c r="F1672" s="2326">
        <f t="shared" si="136"/>
        <v>13442</v>
      </c>
      <c r="G1672" s="2326">
        <f t="shared" si="137"/>
        <v>11990</v>
      </c>
    </row>
    <row r="1673" spans="1:7" ht="15.75">
      <c r="A1673" s="2486">
        <f t="shared" si="138"/>
        <v>80475</v>
      </c>
      <c r="B1673" s="2325">
        <v>80450</v>
      </c>
      <c r="C1673" s="2325">
        <v>80500</v>
      </c>
      <c r="D1673" s="2326">
        <f t="shared" si="134"/>
        <v>13453</v>
      </c>
      <c r="E1673" s="2326">
        <f t="shared" si="135"/>
        <v>9259</v>
      </c>
      <c r="F1673" s="2326">
        <f t="shared" si="136"/>
        <v>13453</v>
      </c>
      <c r="G1673" s="2326">
        <f t="shared" si="137"/>
        <v>12001</v>
      </c>
    </row>
    <row r="1674" spans="1:7" ht="15.75">
      <c r="A1674" s="2486">
        <f t="shared" si="138"/>
        <v>80525</v>
      </c>
      <c r="B1674" s="2325">
        <v>80500</v>
      </c>
      <c r="C1674" s="2325">
        <v>80550</v>
      </c>
      <c r="D1674" s="2326">
        <f t="shared" si="134"/>
        <v>13464</v>
      </c>
      <c r="E1674" s="2326">
        <f t="shared" si="135"/>
        <v>9265</v>
      </c>
      <c r="F1674" s="2326">
        <f t="shared" si="136"/>
        <v>13464</v>
      </c>
      <c r="G1674" s="2326">
        <f t="shared" si="137"/>
        <v>12012</v>
      </c>
    </row>
    <row r="1675" spans="1:7" ht="15.75">
      <c r="A1675" s="2486">
        <f t="shared" si="138"/>
        <v>80575</v>
      </c>
      <c r="B1675" s="2325">
        <v>80550</v>
      </c>
      <c r="C1675" s="2325">
        <v>80600</v>
      </c>
      <c r="D1675" s="2326">
        <f t="shared" si="134"/>
        <v>13475</v>
      </c>
      <c r="E1675" s="2326">
        <f t="shared" si="135"/>
        <v>9271</v>
      </c>
      <c r="F1675" s="2326">
        <f t="shared" si="136"/>
        <v>13475</v>
      </c>
      <c r="G1675" s="2326">
        <f t="shared" si="137"/>
        <v>12023</v>
      </c>
    </row>
    <row r="1676" spans="1:7" ht="15.75">
      <c r="A1676" s="2486">
        <f t="shared" si="138"/>
        <v>80625</v>
      </c>
      <c r="B1676" s="2325">
        <v>80600</v>
      </c>
      <c r="C1676" s="2325">
        <v>80650</v>
      </c>
      <c r="D1676" s="2326">
        <f t="shared" si="134"/>
        <v>13486</v>
      </c>
      <c r="E1676" s="2326">
        <f t="shared" si="135"/>
        <v>9277</v>
      </c>
      <c r="F1676" s="2326">
        <f t="shared" si="136"/>
        <v>13486</v>
      </c>
      <c r="G1676" s="2326">
        <f t="shared" si="137"/>
        <v>12034</v>
      </c>
    </row>
    <row r="1677" spans="1:7" ht="15.75">
      <c r="A1677" s="2486">
        <f t="shared" si="138"/>
        <v>80675</v>
      </c>
      <c r="B1677" s="2325">
        <v>80650</v>
      </c>
      <c r="C1677" s="2325">
        <v>80700</v>
      </c>
      <c r="D1677" s="2326">
        <f t="shared" si="134"/>
        <v>13497</v>
      </c>
      <c r="E1677" s="2326">
        <f t="shared" si="135"/>
        <v>9283</v>
      </c>
      <c r="F1677" s="2326">
        <f t="shared" si="136"/>
        <v>13497</v>
      </c>
      <c r="G1677" s="2326">
        <f t="shared" si="137"/>
        <v>12045</v>
      </c>
    </row>
    <row r="1678" spans="1:7" ht="15.75">
      <c r="A1678" s="2486">
        <f t="shared" si="138"/>
        <v>80725</v>
      </c>
      <c r="B1678" s="2325">
        <v>80700</v>
      </c>
      <c r="C1678" s="2325">
        <v>80750</v>
      </c>
      <c r="D1678" s="2326">
        <f t="shared" si="134"/>
        <v>13508</v>
      </c>
      <c r="E1678" s="2326">
        <f t="shared" si="135"/>
        <v>9289</v>
      </c>
      <c r="F1678" s="2326">
        <f t="shared" si="136"/>
        <v>13508</v>
      </c>
      <c r="G1678" s="2326">
        <f t="shared" si="137"/>
        <v>12056</v>
      </c>
    </row>
    <row r="1679" spans="1:7" ht="15.75">
      <c r="A1679" s="2486">
        <f t="shared" si="138"/>
        <v>80775</v>
      </c>
      <c r="B1679" s="2325">
        <v>80750</v>
      </c>
      <c r="C1679" s="2325">
        <v>80800</v>
      </c>
      <c r="D1679" s="2326">
        <f t="shared" si="134"/>
        <v>13519</v>
      </c>
      <c r="E1679" s="2326">
        <f t="shared" si="135"/>
        <v>9295</v>
      </c>
      <c r="F1679" s="2326">
        <f t="shared" si="136"/>
        <v>13519</v>
      </c>
      <c r="G1679" s="2326">
        <f t="shared" si="137"/>
        <v>12067</v>
      </c>
    </row>
    <row r="1680" spans="1:7" ht="15.75">
      <c r="A1680" s="2486">
        <f t="shared" si="138"/>
        <v>80825</v>
      </c>
      <c r="B1680" s="2325">
        <v>80800</v>
      </c>
      <c r="C1680" s="2325">
        <v>80850</v>
      </c>
      <c r="D1680" s="2326">
        <f t="shared" si="134"/>
        <v>13530</v>
      </c>
      <c r="E1680" s="2326">
        <f t="shared" si="135"/>
        <v>9301</v>
      </c>
      <c r="F1680" s="2326">
        <f t="shared" si="136"/>
        <v>13530</v>
      </c>
      <c r="G1680" s="2326">
        <f t="shared" si="137"/>
        <v>12078</v>
      </c>
    </row>
    <row r="1681" spans="1:7" ht="15.75">
      <c r="A1681" s="2486">
        <f t="shared" si="138"/>
        <v>80875</v>
      </c>
      <c r="B1681" s="2325">
        <v>80850</v>
      </c>
      <c r="C1681" s="2325">
        <v>80900</v>
      </c>
      <c r="D1681" s="2326">
        <f t="shared" si="134"/>
        <v>13541</v>
      </c>
      <c r="E1681" s="2326">
        <f t="shared" si="135"/>
        <v>9307</v>
      </c>
      <c r="F1681" s="2326">
        <f t="shared" si="136"/>
        <v>13541</v>
      </c>
      <c r="G1681" s="2326">
        <f t="shared" si="137"/>
        <v>12089</v>
      </c>
    </row>
    <row r="1682" spans="1:7" ht="15.75">
      <c r="A1682" s="2486">
        <f t="shared" si="138"/>
        <v>80925</v>
      </c>
      <c r="B1682" s="2325">
        <v>80900</v>
      </c>
      <c r="C1682" s="2325">
        <v>80950</v>
      </c>
      <c r="D1682" s="2326">
        <f t="shared" si="134"/>
        <v>13552</v>
      </c>
      <c r="E1682" s="2326">
        <f t="shared" si="135"/>
        <v>9313</v>
      </c>
      <c r="F1682" s="2326">
        <f t="shared" si="136"/>
        <v>13552</v>
      </c>
      <c r="G1682" s="2326">
        <f t="shared" si="137"/>
        <v>12100</v>
      </c>
    </row>
    <row r="1683" spans="1:7" ht="15.75">
      <c r="A1683" s="2486">
        <f t="shared" si="138"/>
        <v>80975</v>
      </c>
      <c r="B1683" s="2325">
        <v>80950</v>
      </c>
      <c r="C1683" s="2325">
        <v>81000</v>
      </c>
      <c r="D1683" s="2326">
        <f t="shared" si="134"/>
        <v>13563</v>
      </c>
      <c r="E1683" s="2326">
        <f t="shared" si="135"/>
        <v>9319</v>
      </c>
      <c r="F1683" s="2326">
        <f t="shared" si="136"/>
        <v>13563</v>
      </c>
      <c r="G1683" s="2326">
        <f t="shared" si="137"/>
        <v>12111</v>
      </c>
    </row>
    <row r="1684" spans="1:7" ht="15.75">
      <c r="A1684" s="2486">
        <f t="shared" si="138"/>
        <v>81025</v>
      </c>
      <c r="B1684" s="2325">
        <v>81000</v>
      </c>
      <c r="C1684" s="2325">
        <v>81050</v>
      </c>
      <c r="D1684" s="2326">
        <f t="shared" si="134"/>
        <v>13574</v>
      </c>
      <c r="E1684" s="2326">
        <f t="shared" si="135"/>
        <v>9325</v>
      </c>
      <c r="F1684" s="2326">
        <f t="shared" si="136"/>
        <v>13574</v>
      </c>
      <c r="G1684" s="2326">
        <f t="shared" si="137"/>
        <v>12122</v>
      </c>
    </row>
    <row r="1685" spans="1:7" ht="15.75">
      <c r="A1685" s="2486">
        <f t="shared" si="138"/>
        <v>81075</v>
      </c>
      <c r="B1685" s="2325">
        <v>81050</v>
      </c>
      <c r="C1685" s="2325">
        <v>81100</v>
      </c>
      <c r="D1685" s="2326">
        <f t="shared" si="134"/>
        <v>13585</v>
      </c>
      <c r="E1685" s="2326">
        <f t="shared" si="135"/>
        <v>9334</v>
      </c>
      <c r="F1685" s="2326">
        <f t="shared" si="136"/>
        <v>13585</v>
      </c>
      <c r="G1685" s="2326">
        <f t="shared" si="137"/>
        <v>12133</v>
      </c>
    </row>
    <row r="1686" spans="1:7" ht="15.75">
      <c r="A1686" s="2486">
        <f t="shared" si="138"/>
        <v>81125</v>
      </c>
      <c r="B1686" s="2325">
        <v>81100</v>
      </c>
      <c r="C1686" s="2325">
        <v>81150</v>
      </c>
      <c r="D1686" s="2326">
        <f t="shared" si="134"/>
        <v>13596</v>
      </c>
      <c r="E1686" s="2326">
        <f t="shared" si="135"/>
        <v>9345</v>
      </c>
      <c r="F1686" s="2326">
        <f t="shared" si="136"/>
        <v>13596</v>
      </c>
      <c r="G1686" s="2326">
        <f t="shared" si="137"/>
        <v>12144</v>
      </c>
    </row>
    <row r="1687" spans="1:7" ht="15.75">
      <c r="A1687" s="2486">
        <f t="shared" si="138"/>
        <v>81175</v>
      </c>
      <c r="B1687" s="2325">
        <v>81150</v>
      </c>
      <c r="C1687" s="2325">
        <v>81200</v>
      </c>
      <c r="D1687" s="2326">
        <f t="shared" si="134"/>
        <v>13607</v>
      </c>
      <c r="E1687" s="2326">
        <f t="shared" si="135"/>
        <v>9356</v>
      </c>
      <c r="F1687" s="2326">
        <f t="shared" si="136"/>
        <v>13607</v>
      </c>
      <c r="G1687" s="2326">
        <f t="shared" si="137"/>
        <v>12155</v>
      </c>
    </row>
    <row r="1688" spans="1:7" ht="15.75">
      <c r="A1688" s="2486">
        <f t="shared" si="138"/>
        <v>81225</v>
      </c>
      <c r="B1688" s="2325">
        <v>81200</v>
      </c>
      <c r="C1688" s="2325">
        <v>81250</v>
      </c>
      <c r="D1688" s="2326">
        <f t="shared" si="134"/>
        <v>13618</v>
      </c>
      <c r="E1688" s="2326">
        <f t="shared" si="135"/>
        <v>9367</v>
      </c>
      <c r="F1688" s="2326">
        <f t="shared" si="136"/>
        <v>13618</v>
      </c>
      <c r="G1688" s="2326">
        <f t="shared" si="137"/>
        <v>12166</v>
      </c>
    </row>
    <row r="1689" spans="1:7" ht="15.75">
      <c r="A1689" s="2486">
        <f t="shared" si="138"/>
        <v>81275</v>
      </c>
      <c r="B1689" s="2325">
        <v>81250</v>
      </c>
      <c r="C1689" s="2325">
        <v>81300</v>
      </c>
      <c r="D1689" s="2326">
        <f t="shared" si="134"/>
        <v>13629</v>
      </c>
      <c r="E1689" s="2326">
        <f t="shared" si="135"/>
        <v>9378</v>
      </c>
      <c r="F1689" s="2326">
        <f t="shared" si="136"/>
        <v>13629</v>
      </c>
      <c r="G1689" s="2326">
        <f t="shared" si="137"/>
        <v>12177</v>
      </c>
    </row>
    <row r="1690" spans="1:7" ht="15.75">
      <c r="A1690" s="2486">
        <f t="shared" si="138"/>
        <v>81325</v>
      </c>
      <c r="B1690" s="2325">
        <v>81300</v>
      </c>
      <c r="C1690" s="2325">
        <v>81350</v>
      </c>
      <c r="D1690" s="2326">
        <f t="shared" si="134"/>
        <v>13640</v>
      </c>
      <c r="E1690" s="2326">
        <f t="shared" si="135"/>
        <v>9389</v>
      </c>
      <c r="F1690" s="2326">
        <f t="shared" si="136"/>
        <v>13640</v>
      </c>
      <c r="G1690" s="2326">
        <f t="shared" si="137"/>
        <v>12188</v>
      </c>
    </row>
    <row r="1691" spans="1:7" ht="15.75">
      <c r="A1691" s="2486">
        <f t="shared" si="138"/>
        <v>81375</v>
      </c>
      <c r="B1691" s="2325">
        <v>81350</v>
      </c>
      <c r="C1691" s="2325">
        <v>81400</v>
      </c>
      <c r="D1691" s="2326">
        <f t="shared" si="134"/>
        <v>13651</v>
      </c>
      <c r="E1691" s="2326">
        <f t="shared" si="135"/>
        <v>9400</v>
      </c>
      <c r="F1691" s="2326">
        <f t="shared" si="136"/>
        <v>13651</v>
      </c>
      <c r="G1691" s="2326">
        <f t="shared" si="137"/>
        <v>12199</v>
      </c>
    </row>
    <row r="1692" spans="1:7" ht="15.75">
      <c r="A1692" s="2486">
        <f t="shared" si="138"/>
        <v>81425</v>
      </c>
      <c r="B1692" s="2325">
        <v>81400</v>
      </c>
      <c r="C1692" s="2325">
        <v>81450</v>
      </c>
      <c r="D1692" s="2326">
        <f t="shared" si="134"/>
        <v>13662</v>
      </c>
      <c r="E1692" s="2326">
        <f t="shared" si="135"/>
        <v>9411</v>
      </c>
      <c r="F1692" s="2326">
        <f t="shared" si="136"/>
        <v>13662</v>
      </c>
      <c r="G1692" s="2326">
        <f t="shared" si="137"/>
        <v>12210</v>
      </c>
    </row>
    <row r="1693" spans="1:7" ht="15.75">
      <c r="A1693" s="2486">
        <f t="shared" si="138"/>
        <v>81475</v>
      </c>
      <c r="B1693" s="2325">
        <v>81450</v>
      </c>
      <c r="C1693" s="2325">
        <v>81500</v>
      </c>
      <c r="D1693" s="2326">
        <f t="shared" si="134"/>
        <v>13673</v>
      </c>
      <c r="E1693" s="2326">
        <f t="shared" si="135"/>
        <v>9422</v>
      </c>
      <c r="F1693" s="2326">
        <f t="shared" si="136"/>
        <v>13673</v>
      </c>
      <c r="G1693" s="2326">
        <f t="shared" si="137"/>
        <v>12221</v>
      </c>
    </row>
    <row r="1694" spans="1:7" ht="15.75">
      <c r="A1694" s="2486">
        <f t="shared" si="138"/>
        <v>81525</v>
      </c>
      <c r="B1694" s="2325">
        <v>81500</v>
      </c>
      <c r="C1694" s="2325">
        <v>81550</v>
      </c>
      <c r="D1694" s="2326">
        <f t="shared" si="134"/>
        <v>13684</v>
      </c>
      <c r="E1694" s="2326">
        <f t="shared" si="135"/>
        <v>9433</v>
      </c>
      <c r="F1694" s="2326">
        <f t="shared" si="136"/>
        <v>13684</v>
      </c>
      <c r="G1694" s="2326">
        <f t="shared" si="137"/>
        <v>12232</v>
      </c>
    </row>
    <row r="1695" spans="1:7" ht="15.75">
      <c r="A1695" s="2486">
        <f t="shared" si="138"/>
        <v>81575</v>
      </c>
      <c r="B1695" s="2325">
        <v>81550</v>
      </c>
      <c r="C1695" s="2325">
        <v>81600</v>
      </c>
      <c r="D1695" s="2326">
        <f t="shared" si="134"/>
        <v>13695</v>
      </c>
      <c r="E1695" s="2326">
        <f t="shared" si="135"/>
        <v>9444</v>
      </c>
      <c r="F1695" s="2326">
        <f t="shared" si="136"/>
        <v>13695</v>
      </c>
      <c r="G1695" s="2326">
        <f t="shared" si="137"/>
        <v>12243</v>
      </c>
    </row>
    <row r="1696" spans="1:7" ht="15.75">
      <c r="A1696" s="2486">
        <f t="shared" si="138"/>
        <v>81625</v>
      </c>
      <c r="B1696" s="2325">
        <v>81600</v>
      </c>
      <c r="C1696" s="2325">
        <v>81650</v>
      </c>
      <c r="D1696" s="2326">
        <f t="shared" si="134"/>
        <v>13706</v>
      </c>
      <c r="E1696" s="2326">
        <f t="shared" si="135"/>
        <v>9455</v>
      </c>
      <c r="F1696" s="2326">
        <f t="shared" si="136"/>
        <v>13706</v>
      </c>
      <c r="G1696" s="2326">
        <f t="shared" si="137"/>
        <v>12254</v>
      </c>
    </row>
    <row r="1697" spans="1:7" ht="15.75">
      <c r="A1697" s="2486">
        <f t="shared" si="138"/>
        <v>81675</v>
      </c>
      <c r="B1697" s="2325">
        <v>81650</v>
      </c>
      <c r="C1697" s="2325">
        <v>81700</v>
      </c>
      <c r="D1697" s="2326">
        <f t="shared" si="134"/>
        <v>13717</v>
      </c>
      <c r="E1697" s="2326">
        <f t="shared" si="135"/>
        <v>9466</v>
      </c>
      <c r="F1697" s="2326">
        <f t="shared" si="136"/>
        <v>13717</v>
      </c>
      <c r="G1697" s="2326">
        <f t="shared" si="137"/>
        <v>12265</v>
      </c>
    </row>
    <row r="1698" spans="1:7" ht="15.75">
      <c r="A1698" s="2486">
        <f t="shared" si="138"/>
        <v>81725</v>
      </c>
      <c r="B1698" s="2325">
        <v>81700</v>
      </c>
      <c r="C1698" s="2325">
        <v>81750</v>
      </c>
      <c r="D1698" s="2326">
        <f t="shared" si="134"/>
        <v>13728</v>
      </c>
      <c r="E1698" s="2326">
        <f t="shared" si="135"/>
        <v>9477</v>
      </c>
      <c r="F1698" s="2326">
        <f t="shared" si="136"/>
        <v>13728</v>
      </c>
      <c r="G1698" s="2326">
        <f t="shared" si="137"/>
        <v>12276</v>
      </c>
    </row>
    <row r="1699" spans="1:7" ht="15.75">
      <c r="A1699" s="2486">
        <f t="shared" si="138"/>
        <v>81775</v>
      </c>
      <c r="B1699" s="2325">
        <v>81750</v>
      </c>
      <c r="C1699" s="2325">
        <v>81800</v>
      </c>
      <c r="D1699" s="2326">
        <f t="shared" si="134"/>
        <v>13739</v>
      </c>
      <c r="E1699" s="2326">
        <f t="shared" si="135"/>
        <v>9488</v>
      </c>
      <c r="F1699" s="2326">
        <f t="shared" si="136"/>
        <v>13739</v>
      </c>
      <c r="G1699" s="2326">
        <f t="shared" si="137"/>
        <v>12287</v>
      </c>
    </row>
    <row r="1700" spans="1:7" ht="15.75">
      <c r="A1700" s="2486">
        <f t="shared" si="138"/>
        <v>81825</v>
      </c>
      <c r="B1700" s="2325">
        <v>81800</v>
      </c>
      <c r="C1700" s="2325">
        <v>81850</v>
      </c>
      <c r="D1700" s="2326">
        <f t="shared" si="134"/>
        <v>13750</v>
      </c>
      <c r="E1700" s="2326">
        <f t="shared" si="135"/>
        <v>9499</v>
      </c>
      <c r="F1700" s="2326">
        <f t="shared" si="136"/>
        <v>13750</v>
      </c>
      <c r="G1700" s="2326">
        <f t="shared" si="137"/>
        <v>12298</v>
      </c>
    </row>
    <row r="1701" spans="1:7" ht="15.75">
      <c r="A1701" s="2486">
        <f t="shared" si="138"/>
        <v>81875</v>
      </c>
      <c r="B1701" s="2325">
        <v>81850</v>
      </c>
      <c r="C1701" s="2325">
        <v>81900</v>
      </c>
      <c r="D1701" s="2326">
        <f t="shared" si="134"/>
        <v>13761</v>
      </c>
      <c r="E1701" s="2326">
        <f t="shared" si="135"/>
        <v>9510</v>
      </c>
      <c r="F1701" s="2326">
        <f t="shared" si="136"/>
        <v>13761</v>
      </c>
      <c r="G1701" s="2326">
        <f t="shared" si="137"/>
        <v>12309</v>
      </c>
    </row>
    <row r="1702" spans="1:7" ht="15.75">
      <c r="A1702" s="2486">
        <f t="shared" si="138"/>
        <v>81925</v>
      </c>
      <c r="B1702" s="2325">
        <v>81900</v>
      </c>
      <c r="C1702" s="2325">
        <v>81950</v>
      </c>
      <c r="D1702" s="2326">
        <f t="shared" si="134"/>
        <v>13772</v>
      </c>
      <c r="E1702" s="2326">
        <f t="shared" si="135"/>
        <v>9521</v>
      </c>
      <c r="F1702" s="2326">
        <f t="shared" si="136"/>
        <v>13772</v>
      </c>
      <c r="G1702" s="2326">
        <f t="shared" si="137"/>
        <v>12320</v>
      </c>
    </row>
    <row r="1703" spans="1:7" ht="15.75">
      <c r="A1703" s="2486">
        <f t="shared" si="138"/>
        <v>81975</v>
      </c>
      <c r="B1703" s="2325">
        <v>81950</v>
      </c>
      <c r="C1703" s="2325">
        <v>82000</v>
      </c>
      <c r="D1703" s="2326">
        <f t="shared" si="134"/>
        <v>13783</v>
      </c>
      <c r="E1703" s="2326">
        <f t="shared" si="135"/>
        <v>9532</v>
      </c>
      <c r="F1703" s="2326">
        <f t="shared" si="136"/>
        <v>13783</v>
      </c>
      <c r="G1703" s="2326">
        <f t="shared" si="137"/>
        <v>12331</v>
      </c>
    </row>
    <row r="1704" spans="1:7" ht="15.75">
      <c r="A1704" s="2486">
        <f t="shared" si="138"/>
        <v>82025</v>
      </c>
      <c r="B1704" s="2325">
        <v>82000</v>
      </c>
      <c r="C1704" s="2325">
        <v>82050</v>
      </c>
      <c r="D1704" s="2326">
        <f t="shared" si="134"/>
        <v>13794</v>
      </c>
      <c r="E1704" s="2326">
        <f t="shared" si="135"/>
        <v>9543</v>
      </c>
      <c r="F1704" s="2326">
        <f t="shared" si="136"/>
        <v>13794</v>
      </c>
      <c r="G1704" s="2326">
        <f t="shared" si="137"/>
        <v>12342</v>
      </c>
    </row>
    <row r="1705" spans="1:7" ht="15.75">
      <c r="A1705" s="2486">
        <f t="shared" si="138"/>
        <v>82075</v>
      </c>
      <c r="B1705" s="2325">
        <v>82050</v>
      </c>
      <c r="C1705" s="2325">
        <v>82100</v>
      </c>
      <c r="D1705" s="2326">
        <f t="shared" si="134"/>
        <v>13805</v>
      </c>
      <c r="E1705" s="2326">
        <f t="shared" si="135"/>
        <v>9554</v>
      </c>
      <c r="F1705" s="2326">
        <f t="shared" si="136"/>
        <v>13805</v>
      </c>
      <c r="G1705" s="2326">
        <f t="shared" si="137"/>
        <v>12353</v>
      </c>
    </row>
    <row r="1706" spans="1:7" ht="15.75">
      <c r="A1706" s="2486">
        <f t="shared" si="138"/>
        <v>82125</v>
      </c>
      <c r="B1706" s="2325">
        <v>82100</v>
      </c>
      <c r="C1706" s="2325">
        <v>82150</v>
      </c>
      <c r="D1706" s="2326">
        <f t="shared" si="134"/>
        <v>13816</v>
      </c>
      <c r="E1706" s="2326">
        <f t="shared" si="135"/>
        <v>9565</v>
      </c>
      <c r="F1706" s="2326">
        <f t="shared" si="136"/>
        <v>13816</v>
      </c>
      <c r="G1706" s="2326">
        <f t="shared" si="137"/>
        <v>12364</v>
      </c>
    </row>
    <row r="1707" spans="1:7" ht="15.75">
      <c r="A1707" s="2486">
        <f t="shared" si="138"/>
        <v>82175</v>
      </c>
      <c r="B1707" s="2325">
        <v>82150</v>
      </c>
      <c r="C1707" s="2325">
        <v>82200</v>
      </c>
      <c r="D1707" s="2326">
        <f t="shared" si="134"/>
        <v>13827</v>
      </c>
      <c r="E1707" s="2326">
        <f t="shared" si="135"/>
        <v>9576</v>
      </c>
      <c r="F1707" s="2326">
        <f t="shared" si="136"/>
        <v>13827</v>
      </c>
      <c r="G1707" s="2326">
        <f t="shared" si="137"/>
        <v>12375</v>
      </c>
    </row>
    <row r="1708" spans="1:7" ht="15.75">
      <c r="A1708" s="2486">
        <f t="shared" si="138"/>
        <v>82225</v>
      </c>
      <c r="B1708" s="2325">
        <v>82200</v>
      </c>
      <c r="C1708" s="2325">
        <v>82250</v>
      </c>
      <c r="D1708" s="2326">
        <f t="shared" si="134"/>
        <v>13838</v>
      </c>
      <c r="E1708" s="2326">
        <f t="shared" si="135"/>
        <v>9587</v>
      </c>
      <c r="F1708" s="2326">
        <f t="shared" si="136"/>
        <v>13838</v>
      </c>
      <c r="G1708" s="2326">
        <f t="shared" si="137"/>
        <v>12386</v>
      </c>
    </row>
    <row r="1709" spans="1:7" ht="15.75">
      <c r="A1709" s="2486">
        <f t="shared" si="138"/>
        <v>82275</v>
      </c>
      <c r="B1709" s="2325">
        <v>82250</v>
      </c>
      <c r="C1709" s="2325">
        <v>82300</v>
      </c>
      <c r="D1709" s="2326">
        <f t="shared" si="134"/>
        <v>13849</v>
      </c>
      <c r="E1709" s="2326">
        <f t="shared" si="135"/>
        <v>9598</v>
      </c>
      <c r="F1709" s="2326">
        <f t="shared" si="136"/>
        <v>13849</v>
      </c>
      <c r="G1709" s="2326">
        <f t="shared" si="137"/>
        <v>12397</v>
      </c>
    </row>
    <row r="1710" spans="1:7" ht="15.75">
      <c r="A1710" s="2486">
        <f t="shared" si="138"/>
        <v>82325</v>
      </c>
      <c r="B1710" s="2325">
        <v>82300</v>
      </c>
      <c r="C1710" s="2325">
        <v>82350</v>
      </c>
      <c r="D1710" s="2326">
        <f t="shared" si="134"/>
        <v>13860</v>
      </c>
      <c r="E1710" s="2326">
        <f t="shared" si="135"/>
        <v>9609</v>
      </c>
      <c r="F1710" s="2326">
        <f t="shared" si="136"/>
        <v>13860</v>
      </c>
      <c r="G1710" s="2326">
        <f t="shared" si="137"/>
        <v>12408</v>
      </c>
    </row>
    <row r="1711" spans="1:7" ht="15.75">
      <c r="A1711" s="2486">
        <f t="shared" si="138"/>
        <v>82375</v>
      </c>
      <c r="B1711" s="2325">
        <v>82350</v>
      </c>
      <c r="C1711" s="2325">
        <v>82400</v>
      </c>
      <c r="D1711" s="2326">
        <f t="shared" si="134"/>
        <v>13871</v>
      </c>
      <c r="E1711" s="2326">
        <f t="shared" si="135"/>
        <v>9620</v>
      </c>
      <c r="F1711" s="2326">
        <f t="shared" si="136"/>
        <v>13871</v>
      </c>
      <c r="G1711" s="2326">
        <f t="shared" si="137"/>
        <v>12419</v>
      </c>
    </row>
    <row r="1712" spans="1:7" ht="15.75">
      <c r="A1712" s="2486">
        <f t="shared" si="138"/>
        <v>82425</v>
      </c>
      <c r="B1712" s="2325">
        <v>82400</v>
      </c>
      <c r="C1712" s="2325">
        <v>82450</v>
      </c>
      <c r="D1712" s="2326">
        <f t="shared" si="134"/>
        <v>13882</v>
      </c>
      <c r="E1712" s="2326">
        <f t="shared" si="135"/>
        <v>9631</v>
      </c>
      <c r="F1712" s="2326">
        <f t="shared" si="136"/>
        <v>13882</v>
      </c>
      <c r="G1712" s="2326">
        <f t="shared" si="137"/>
        <v>12430</v>
      </c>
    </row>
    <row r="1713" spans="1:7" ht="15.75">
      <c r="A1713" s="2486">
        <f t="shared" si="138"/>
        <v>82475</v>
      </c>
      <c r="B1713" s="2325">
        <v>82450</v>
      </c>
      <c r="C1713" s="2325">
        <v>82500</v>
      </c>
      <c r="D1713" s="2326">
        <f t="shared" si="134"/>
        <v>13893</v>
      </c>
      <c r="E1713" s="2326">
        <f t="shared" si="135"/>
        <v>9642</v>
      </c>
      <c r="F1713" s="2326">
        <f t="shared" si="136"/>
        <v>13893</v>
      </c>
      <c r="G1713" s="2326">
        <f t="shared" si="137"/>
        <v>12441</v>
      </c>
    </row>
    <row r="1714" spans="1:7" ht="15.75">
      <c r="A1714" s="2486">
        <f t="shared" si="138"/>
        <v>82525</v>
      </c>
      <c r="B1714" s="2325">
        <v>82500</v>
      </c>
      <c r="C1714" s="2325">
        <v>82550</v>
      </c>
      <c r="D1714" s="2326">
        <f t="shared" si="134"/>
        <v>13904</v>
      </c>
      <c r="E1714" s="2326">
        <f t="shared" si="135"/>
        <v>9653</v>
      </c>
      <c r="F1714" s="2326">
        <f t="shared" si="136"/>
        <v>13904</v>
      </c>
      <c r="G1714" s="2326">
        <f t="shared" si="137"/>
        <v>12452</v>
      </c>
    </row>
    <row r="1715" spans="1:7" ht="15.75">
      <c r="A1715" s="2486">
        <f t="shared" si="138"/>
        <v>82575</v>
      </c>
      <c r="B1715" s="2325">
        <v>82550</v>
      </c>
      <c r="C1715" s="2325">
        <v>82600</v>
      </c>
      <c r="D1715" s="2326">
        <f t="shared" si="134"/>
        <v>13915</v>
      </c>
      <c r="E1715" s="2326">
        <f t="shared" si="135"/>
        <v>9664</v>
      </c>
      <c r="F1715" s="2326">
        <f t="shared" si="136"/>
        <v>13915</v>
      </c>
      <c r="G1715" s="2326">
        <f t="shared" si="137"/>
        <v>12463</v>
      </c>
    </row>
    <row r="1716" spans="1:7" ht="15.75">
      <c r="A1716" s="2486">
        <f t="shared" si="138"/>
        <v>82625</v>
      </c>
      <c r="B1716" s="2325">
        <v>82600</v>
      </c>
      <c r="C1716" s="2325">
        <v>82650</v>
      </c>
      <c r="D1716" s="2326">
        <f t="shared" si="134"/>
        <v>13926</v>
      </c>
      <c r="E1716" s="2326">
        <f t="shared" si="135"/>
        <v>9675</v>
      </c>
      <c r="F1716" s="2326">
        <f t="shared" si="136"/>
        <v>13926</v>
      </c>
      <c r="G1716" s="2326">
        <f t="shared" si="137"/>
        <v>12474</v>
      </c>
    </row>
    <row r="1717" spans="1:7" ht="15.75">
      <c r="A1717" s="2486">
        <f t="shared" si="138"/>
        <v>82675</v>
      </c>
      <c r="B1717" s="2325">
        <v>82650</v>
      </c>
      <c r="C1717" s="2325">
        <v>82700</v>
      </c>
      <c r="D1717" s="2326">
        <f t="shared" si="134"/>
        <v>13937</v>
      </c>
      <c r="E1717" s="2326">
        <f t="shared" si="135"/>
        <v>9686</v>
      </c>
      <c r="F1717" s="2326">
        <f t="shared" si="136"/>
        <v>13937</v>
      </c>
      <c r="G1717" s="2326">
        <f t="shared" si="137"/>
        <v>12485</v>
      </c>
    </row>
    <row r="1718" spans="1:7" ht="15.75">
      <c r="A1718" s="2486">
        <f t="shared" si="138"/>
        <v>82725</v>
      </c>
      <c r="B1718" s="2325">
        <v>82700</v>
      </c>
      <c r="C1718" s="2325">
        <v>82750</v>
      </c>
      <c r="D1718" s="2326">
        <f t="shared" si="134"/>
        <v>13948</v>
      </c>
      <c r="E1718" s="2326">
        <f t="shared" si="135"/>
        <v>9697</v>
      </c>
      <c r="F1718" s="2326">
        <f t="shared" si="136"/>
        <v>13948</v>
      </c>
      <c r="G1718" s="2326">
        <f t="shared" si="137"/>
        <v>12496</v>
      </c>
    </row>
    <row r="1719" spans="1:7" ht="15.75">
      <c r="A1719" s="2486">
        <f t="shared" si="138"/>
        <v>82775</v>
      </c>
      <c r="B1719" s="2325">
        <v>82750</v>
      </c>
      <c r="C1719" s="2325">
        <v>82800</v>
      </c>
      <c r="D1719" s="2326">
        <f t="shared" si="134"/>
        <v>13959</v>
      </c>
      <c r="E1719" s="2326">
        <f t="shared" si="135"/>
        <v>9708</v>
      </c>
      <c r="F1719" s="2326">
        <f t="shared" si="136"/>
        <v>13959</v>
      </c>
      <c r="G1719" s="2326">
        <f t="shared" si="137"/>
        <v>12507</v>
      </c>
    </row>
    <row r="1720" spans="1:7" ht="15.75">
      <c r="A1720" s="2486">
        <f t="shared" si="138"/>
        <v>82825</v>
      </c>
      <c r="B1720" s="2325">
        <v>82800</v>
      </c>
      <c r="C1720" s="2325">
        <v>82850</v>
      </c>
      <c r="D1720" s="2326">
        <f t="shared" si="134"/>
        <v>13970</v>
      </c>
      <c r="E1720" s="2326">
        <f t="shared" si="135"/>
        <v>9719</v>
      </c>
      <c r="F1720" s="2326">
        <f t="shared" si="136"/>
        <v>13970</v>
      </c>
      <c r="G1720" s="2326">
        <f t="shared" si="137"/>
        <v>12518</v>
      </c>
    </row>
    <row r="1721" spans="1:7" ht="15.75">
      <c r="A1721" s="2486">
        <f t="shared" si="138"/>
        <v>82875</v>
      </c>
      <c r="B1721" s="2325">
        <v>82850</v>
      </c>
      <c r="C1721" s="2325">
        <v>82900</v>
      </c>
      <c r="D1721" s="2326">
        <f t="shared" si="134"/>
        <v>13981</v>
      </c>
      <c r="E1721" s="2326">
        <f t="shared" si="135"/>
        <v>9730</v>
      </c>
      <c r="F1721" s="2326">
        <f t="shared" si="136"/>
        <v>13981</v>
      </c>
      <c r="G1721" s="2326">
        <f t="shared" si="137"/>
        <v>12529</v>
      </c>
    </row>
    <row r="1722" spans="1:7" ht="15.75">
      <c r="A1722" s="2486">
        <f t="shared" si="138"/>
        <v>82925</v>
      </c>
      <c r="B1722" s="2325">
        <v>82900</v>
      </c>
      <c r="C1722" s="2325">
        <v>82950</v>
      </c>
      <c r="D1722" s="2326">
        <f t="shared" si="134"/>
        <v>13992</v>
      </c>
      <c r="E1722" s="2326">
        <f t="shared" si="135"/>
        <v>9741</v>
      </c>
      <c r="F1722" s="2326">
        <f t="shared" si="136"/>
        <v>13992</v>
      </c>
      <c r="G1722" s="2326">
        <f t="shared" si="137"/>
        <v>12540</v>
      </c>
    </row>
    <row r="1723" spans="1:7" ht="15.75">
      <c r="A1723" s="2486">
        <f t="shared" si="138"/>
        <v>82975</v>
      </c>
      <c r="B1723" s="2325">
        <v>82950</v>
      </c>
      <c r="C1723" s="2325">
        <v>83000</v>
      </c>
      <c r="D1723" s="2326">
        <f t="shared" si="134"/>
        <v>14003</v>
      </c>
      <c r="E1723" s="2326">
        <f t="shared" si="135"/>
        <v>9752</v>
      </c>
      <c r="F1723" s="2326">
        <f t="shared" si="136"/>
        <v>14003</v>
      </c>
      <c r="G1723" s="2326">
        <f t="shared" si="137"/>
        <v>12551</v>
      </c>
    </row>
    <row r="1724" spans="1:7" ht="15.75">
      <c r="A1724" s="2486">
        <f t="shared" si="138"/>
        <v>83025</v>
      </c>
      <c r="B1724" s="2325">
        <v>83000</v>
      </c>
      <c r="C1724" s="2325">
        <v>83050</v>
      </c>
      <c r="D1724" s="2326">
        <f t="shared" si="134"/>
        <v>14014</v>
      </c>
      <c r="E1724" s="2326">
        <f t="shared" si="135"/>
        <v>9763</v>
      </c>
      <c r="F1724" s="2326">
        <f t="shared" si="136"/>
        <v>14014</v>
      </c>
      <c r="G1724" s="2326">
        <f t="shared" si="137"/>
        <v>12562</v>
      </c>
    </row>
    <row r="1725" spans="1:7" ht="15.75">
      <c r="A1725" s="2486">
        <f t="shared" si="138"/>
        <v>83075</v>
      </c>
      <c r="B1725" s="2325">
        <v>83050</v>
      </c>
      <c r="C1725" s="2325">
        <v>83100</v>
      </c>
      <c r="D1725" s="2326">
        <f t="shared" si="134"/>
        <v>14025</v>
      </c>
      <c r="E1725" s="2326">
        <f t="shared" si="135"/>
        <v>9774</v>
      </c>
      <c r="F1725" s="2326">
        <f t="shared" si="136"/>
        <v>14025</v>
      </c>
      <c r="G1725" s="2326">
        <f t="shared" si="137"/>
        <v>12573</v>
      </c>
    </row>
    <row r="1726" spans="1:7" ht="15.75">
      <c r="A1726" s="2486">
        <f t="shared" si="138"/>
        <v>83125</v>
      </c>
      <c r="B1726" s="2325">
        <v>83100</v>
      </c>
      <c r="C1726" s="2325">
        <v>83150</v>
      </c>
      <c r="D1726" s="2326">
        <f t="shared" si="134"/>
        <v>14036</v>
      </c>
      <c r="E1726" s="2326">
        <f t="shared" si="135"/>
        <v>9785</v>
      </c>
      <c r="F1726" s="2326">
        <f t="shared" si="136"/>
        <v>14036</v>
      </c>
      <c r="G1726" s="2326">
        <f t="shared" si="137"/>
        <v>12584</v>
      </c>
    </row>
    <row r="1727" spans="1:7" ht="15.75">
      <c r="A1727" s="2486">
        <f t="shared" si="138"/>
        <v>83175</v>
      </c>
      <c r="B1727" s="2325">
        <v>83150</v>
      </c>
      <c r="C1727" s="2325">
        <v>83200</v>
      </c>
      <c r="D1727" s="2326">
        <f t="shared" si="134"/>
        <v>14047</v>
      </c>
      <c r="E1727" s="2326">
        <f t="shared" si="135"/>
        <v>9796</v>
      </c>
      <c r="F1727" s="2326">
        <f t="shared" si="136"/>
        <v>14047</v>
      </c>
      <c r="G1727" s="2326">
        <f t="shared" si="137"/>
        <v>12595</v>
      </c>
    </row>
    <row r="1728" spans="1:7" ht="15.75">
      <c r="A1728" s="2486">
        <f t="shared" si="138"/>
        <v>83225</v>
      </c>
      <c r="B1728" s="2325">
        <v>83200</v>
      </c>
      <c r="C1728" s="2325">
        <v>83250</v>
      </c>
      <c r="D1728" s="2326">
        <f t="shared" si="134"/>
        <v>14058</v>
      </c>
      <c r="E1728" s="2326">
        <f t="shared" si="135"/>
        <v>9807</v>
      </c>
      <c r="F1728" s="2326">
        <f t="shared" si="136"/>
        <v>14058</v>
      </c>
      <c r="G1728" s="2326">
        <f t="shared" si="137"/>
        <v>12606</v>
      </c>
    </row>
    <row r="1729" spans="1:7" ht="15.75">
      <c r="A1729" s="2486">
        <f t="shared" si="138"/>
        <v>83275</v>
      </c>
      <c r="B1729" s="2325">
        <v>83250</v>
      </c>
      <c r="C1729" s="2325">
        <v>83300</v>
      </c>
      <c r="D1729" s="2326">
        <f t="shared" si="134"/>
        <v>14069</v>
      </c>
      <c r="E1729" s="2326">
        <f t="shared" si="135"/>
        <v>9818</v>
      </c>
      <c r="F1729" s="2326">
        <f t="shared" si="136"/>
        <v>14069</v>
      </c>
      <c r="G1729" s="2326">
        <f t="shared" si="137"/>
        <v>12617</v>
      </c>
    </row>
    <row r="1730" spans="1:7" ht="15.75">
      <c r="A1730" s="2486">
        <f t="shared" si="138"/>
        <v>83325</v>
      </c>
      <c r="B1730" s="2325">
        <v>83300</v>
      </c>
      <c r="C1730" s="2325">
        <v>83350</v>
      </c>
      <c r="D1730" s="2326">
        <f t="shared" ref="D1730:D1793" si="139">IF($A1730&gt;BOTT_A4,ROUND(BASE_A4+RATE_A4*($A1730-BOTT_A4),0),IF($A1730&gt;BOTT_A3,ROUND(BASE_A3+RATE_A3*($A1730-BOTT_A3),0),IF($A1730&gt;BOTT_A2,ROUND(BASE_A2+RATE_A2*($A1730-BOTT_A2),0),ROUND(RATE_A1*$A1730,0))))</f>
        <v>14080</v>
      </c>
      <c r="E1730" s="2326">
        <f t="shared" ref="E1730:E1793" si="140">IF($A1730&gt;BOTT_B4,ROUND(BASE_B4+RATE_B4*($A1730-BOTT_B4),0),IF($A1730&gt;BOTT_B3,ROUND(BASE_B3+RATE_B3*($A1730-BOTT_B3),0),IF($A1730&gt;BOTT_B2,ROUND(BASE_B2+RATE_B2*($A1730-BOTT_B2),0),ROUND(RATE_B1*$A1730,0))))</f>
        <v>9829</v>
      </c>
      <c r="F1730" s="2326">
        <f t="shared" ref="F1730:F1793" si="141">IF($A1730&gt;BOTT_C4,ROUND(BASE_C4+RATE_C4*($A1730-BOTT_C4),0),IF($A1730&gt;BOTT_C3,ROUND(BASE_C3+RATE_C3*($A1730-BOTT_C3),0),IF($A1730&gt;BOTT_C2,ROUND(BASE_C2+RATE_C2*($A1730-BOTT_C2),0),ROUND(RATE_C1*$A1730,0))))</f>
        <v>14080</v>
      </c>
      <c r="G1730" s="2326">
        <f t="shared" ref="G1730:G1793" si="142">IF($A1730&gt;BOTT_D4,ROUND(BASE_D4+RATE_D4*($A1730-BOTT_D4),0),IF($A1730&gt;BOTT_D3,ROUND(BASE_D3+RATE_D3*($A1730-BOTT_D3),0),IF($A1730&gt;BOTT_D2,ROUND(BASE_D2+RATE_D2*($A1730-BOTT_D2),0),ROUND(RATE_D1*$A1730,0))))</f>
        <v>12628</v>
      </c>
    </row>
    <row r="1731" spans="1:7" ht="15.75">
      <c r="A1731" s="2486">
        <f t="shared" ref="A1731:A1794" si="143">AVERAGE(B1731,C1731)</f>
        <v>83375</v>
      </c>
      <c r="B1731" s="2325">
        <v>83350</v>
      </c>
      <c r="C1731" s="2325">
        <v>83400</v>
      </c>
      <c r="D1731" s="2326">
        <f t="shared" si="139"/>
        <v>14091</v>
      </c>
      <c r="E1731" s="2326">
        <f t="shared" si="140"/>
        <v>9840</v>
      </c>
      <c r="F1731" s="2326">
        <f t="shared" si="141"/>
        <v>14091</v>
      </c>
      <c r="G1731" s="2326">
        <f t="shared" si="142"/>
        <v>12639</v>
      </c>
    </row>
    <row r="1732" spans="1:7" ht="15.75">
      <c r="A1732" s="2486">
        <f t="shared" si="143"/>
        <v>83425</v>
      </c>
      <c r="B1732" s="2325">
        <v>83400</v>
      </c>
      <c r="C1732" s="2325">
        <v>83450</v>
      </c>
      <c r="D1732" s="2326">
        <f t="shared" si="139"/>
        <v>14102</v>
      </c>
      <c r="E1732" s="2326">
        <f t="shared" si="140"/>
        <v>9851</v>
      </c>
      <c r="F1732" s="2326">
        <f t="shared" si="141"/>
        <v>14102</v>
      </c>
      <c r="G1732" s="2326">
        <f t="shared" si="142"/>
        <v>12650</v>
      </c>
    </row>
    <row r="1733" spans="1:7" ht="15.75">
      <c r="A1733" s="2486">
        <f t="shared" si="143"/>
        <v>83475</v>
      </c>
      <c r="B1733" s="2325">
        <v>83450</v>
      </c>
      <c r="C1733" s="2325">
        <v>83500</v>
      </c>
      <c r="D1733" s="2326">
        <f t="shared" si="139"/>
        <v>14113</v>
      </c>
      <c r="E1733" s="2326">
        <f t="shared" si="140"/>
        <v>9862</v>
      </c>
      <c r="F1733" s="2326">
        <f t="shared" si="141"/>
        <v>14113</v>
      </c>
      <c r="G1733" s="2326">
        <f t="shared" si="142"/>
        <v>12661</v>
      </c>
    </row>
    <row r="1734" spans="1:7" ht="15.75">
      <c r="A1734" s="2486">
        <f t="shared" si="143"/>
        <v>83525</v>
      </c>
      <c r="B1734" s="2325">
        <v>83500</v>
      </c>
      <c r="C1734" s="2325">
        <v>83550</v>
      </c>
      <c r="D1734" s="2326">
        <f t="shared" si="139"/>
        <v>14124</v>
      </c>
      <c r="E1734" s="2326">
        <f t="shared" si="140"/>
        <v>9873</v>
      </c>
      <c r="F1734" s="2326">
        <f t="shared" si="141"/>
        <v>14124</v>
      </c>
      <c r="G1734" s="2326">
        <f t="shared" si="142"/>
        <v>12672</v>
      </c>
    </row>
    <row r="1735" spans="1:7" ht="15.75">
      <c r="A1735" s="2486">
        <f t="shared" si="143"/>
        <v>83575</v>
      </c>
      <c r="B1735" s="2325">
        <v>83550</v>
      </c>
      <c r="C1735" s="2325">
        <v>83600</v>
      </c>
      <c r="D1735" s="2326">
        <f t="shared" si="139"/>
        <v>14135</v>
      </c>
      <c r="E1735" s="2326">
        <f t="shared" si="140"/>
        <v>9884</v>
      </c>
      <c r="F1735" s="2326">
        <f t="shared" si="141"/>
        <v>14135</v>
      </c>
      <c r="G1735" s="2326">
        <f t="shared" si="142"/>
        <v>12683</v>
      </c>
    </row>
    <row r="1736" spans="1:7" ht="15.75">
      <c r="A1736" s="2486">
        <f t="shared" si="143"/>
        <v>83625</v>
      </c>
      <c r="B1736" s="2325">
        <v>83600</v>
      </c>
      <c r="C1736" s="2325">
        <v>83650</v>
      </c>
      <c r="D1736" s="2326">
        <f t="shared" si="139"/>
        <v>14146</v>
      </c>
      <c r="E1736" s="2326">
        <f t="shared" si="140"/>
        <v>9895</v>
      </c>
      <c r="F1736" s="2326">
        <f t="shared" si="141"/>
        <v>14146</v>
      </c>
      <c r="G1736" s="2326">
        <f t="shared" si="142"/>
        <v>12694</v>
      </c>
    </row>
    <row r="1737" spans="1:7" ht="15.75">
      <c r="A1737" s="2486">
        <f t="shared" si="143"/>
        <v>83675</v>
      </c>
      <c r="B1737" s="2325">
        <v>83650</v>
      </c>
      <c r="C1737" s="2325">
        <v>83700</v>
      </c>
      <c r="D1737" s="2326">
        <f t="shared" si="139"/>
        <v>14157</v>
      </c>
      <c r="E1737" s="2326">
        <f t="shared" si="140"/>
        <v>9906</v>
      </c>
      <c r="F1737" s="2326">
        <f t="shared" si="141"/>
        <v>14157</v>
      </c>
      <c r="G1737" s="2326">
        <f t="shared" si="142"/>
        <v>12705</v>
      </c>
    </row>
    <row r="1738" spans="1:7" ht="15.75">
      <c r="A1738" s="2486">
        <f t="shared" si="143"/>
        <v>83725</v>
      </c>
      <c r="B1738" s="2325">
        <v>83700</v>
      </c>
      <c r="C1738" s="2325">
        <v>83750</v>
      </c>
      <c r="D1738" s="2326">
        <f t="shared" si="139"/>
        <v>14168</v>
      </c>
      <c r="E1738" s="2326">
        <f t="shared" si="140"/>
        <v>9917</v>
      </c>
      <c r="F1738" s="2326">
        <f t="shared" si="141"/>
        <v>14168</v>
      </c>
      <c r="G1738" s="2326">
        <f t="shared" si="142"/>
        <v>12716</v>
      </c>
    </row>
    <row r="1739" spans="1:7" ht="15.75">
      <c r="A1739" s="2486">
        <f t="shared" si="143"/>
        <v>83775</v>
      </c>
      <c r="B1739" s="2325">
        <v>83750</v>
      </c>
      <c r="C1739" s="2325">
        <v>83800</v>
      </c>
      <c r="D1739" s="2326">
        <f t="shared" si="139"/>
        <v>14179</v>
      </c>
      <c r="E1739" s="2326">
        <f t="shared" si="140"/>
        <v>9928</v>
      </c>
      <c r="F1739" s="2326">
        <f t="shared" si="141"/>
        <v>14179</v>
      </c>
      <c r="G1739" s="2326">
        <f t="shared" si="142"/>
        <v>12727</v>
      </c>
    </row>
    <row r="1740" spans="1:7" ht="15.75">
      <c r="A1740" s="2486">
        <f t="shared" si="143"/>
        <v>83825</v>
      </c>
      <c r="B1740" s="2325">
        <v>83800</v>
      </c>
      <c r="C1740" s="2325">
        <v>83850</v>
      </c>
      <c r="D1740" s="2326">
        <f t="shared" si="139"/>
        <v>14190</v>
      </c>
      <c r="E1740" s="2326">
        <f t="shared" si="140"/>
        <v>9939</v>
      </c>
      <c r="F1740" s="2326">
        <f t="shared" si="141"/>
        <v>14190</v>
      </c>
      <c r="G1740" s="2326">
        <f t="shared" si="142"/>
        <v>12738</v>
      </c>
    </row>
    <row r="1741" spans="1:7" ht="15.75">
      <c r="A1741" s="2486">
        <f t="shared" si="143"/>
        <v>83875</v>
      </c>
      <c r="B1741" s="2325">
        <v>83850</v>
      </c>
      <c r="C1741" s="2325">
        <v>83900</v>
      </c>
      <c r="D1741" s="2326">
        <f t="shared" si="139"/>
        <v>14201</v>
      </c>
      <c r="E1741" s="2326">
        <f t="shared" si="140"/>
        <v>9950</v>
      </c>
      <c r="F1741" s="2326">
        <f t="shared" si="141"/>
        <v>14201</v>
      </c>
      <c r="G1741" s="2326">
        <f t="shared" si="142"/>
        <v>12749</v>
      </c>
    </row>
    <row r="1742" spans="1:7" ht="15.75">
      <c r="A1742" s="2486">
        <f t="shared" si="143"/>
        <v>83925</v>
      </c>
      <c r="B1742" s="2325">
        <v>83900</v>
      </c>
      <c r="C1742" s="2325">
        <v>83950</v>
      </c>
      <c r="D1742" s="2326">
        <f t="shared" si="139"/>
        <v>14212</v>
      </c>
      <c r="E1742" s="2326">
        <f t="shared" si="140"/>
        <v>9961</v>
      </c>
      <c r="F1742" s="2326">
        <f t="shared" si="141"/>
        <v>14212</v>
      </c>
      <c r="G1742" s="2326">
        <f t="shared" si="142"/>
        <v>12760</v>
      </c>
    </row>
    <row r="1743" spans="1:7" ht="15.75">
      <c r="A1743" s="2486">
        <f t="shared" si="143"/>
        <v>83975</v>
      </c>
      <c r="B1743" s="2325">
        <v>83950</v>
      </c>
      <c r="C1743" s="2325">
        <v>84000</v>
      </c>
      <c r="D1743" s="2326">
        <f t="shared" si="139"/>
        <v>14223</v>
      </c>
      <c r="E1743" s="2326">
        <f t="shared" si="140"/>
        <v>9972</v>
      </c>
      <c r="F1743" s="2326">
        <f t="shared" si="141"/>
        <v>14223</v>
      </c>
      <c r="G1743" s="2326">
        <f t="shared" si="142"/>
        <v>12771</v>
      </c>
    </row>
    <row r="1744" spans="1:7" ht="15.75">
      <c r="A1744" s="2486">
        <f t="shared" si="143"/>
        <v>84025</v>
      </c>
      <c r="B1744" s="2325">
        <v>84000</v>
      </c>
      <c r="C1744" s="2325">
        <v>84050</v>
      </c>
      <c r="D1744" s="2326">
        <f t="shared" si="139"/>
        <v>14234</v>
      </c>
      <c r="E1744" s="2326">
        <f t="shared" si="140"/>
        <v>9983</v>
      </c>
      <c r="F1744" s="2326">
        <f t="shared" si="141"/>
        <v>14234</v>
      </c>
      <c r="G1744" s="2326">
        <f t="shared" si="142"/>
        <v>12782</v>
      </c>
    </row>
    <row r="1745" spans="1:7" ht="15.75">
      <c r="A1745" s="2486">
        <f t="shared" si="143"/>
        <v>84075</v>
      </c>
      <c r="B1745" s="2325">
        <v>84050</v>
      </c>
      <c r="C1745" s="2325">
        <v>84100</v>
      </c>
      <c r="D1745" s="2326">
        <f t="shared" si="139"/>
        <v>14245</v>
      </c>
      <c r="E1745" s="2326">
        <f t="shared" si="140"/>
        <v>9994</v>
      </c>
      <c r="F1745" s="2326">
        <f t="shared" si="141"/>
        <v>14245</v>
      </c>
      <c r="G1745" s="2326">
        <f t="shared" si="142"/>
        <v>12793</v>
      </c>
    </row>
    <row r="1746" spans="1:7" ht="15.75">
      <c r="A1746" s="2486">
        <f t="shared" si="143"/>
        <v>84125</v>
      </c>
      <c r="B1746" s="2325">
        <v>84100</v>
      </c>
      <c r="C1746" s="2325">
        <v>84150</v>
      </c>
      <c r="D1746" s="2326">
        <f t="shared" si="139"/>
        <v>14256</v>
      </c>
      <c r="E1746" s="2326">
        <f t="shared" si="140"/>
        <v>10005</v>
      </c>
      <c r="F1746" s="2326">
        <f t="shared" si="141"/>
        <v>14256</v>
      </c>
      <c r="G1746" s="2326">
        <f t="shared" si="142"/>
        <v>12804</v>
      </c>
    </row>
    <row r="1747" spans="1:7" ht="15.75">
      <c r="A1747" s="2486">
        <f t="shared" si="143"/>
        <v>84175</v>
      </c>
      <c r="B1747" s="2325">
        <v>84150</v>
      </c>
      <c r="C1747" s="2325">
        <v>84200</v>
      </c>
      <c r="D1747" s="2326">
        <f t="shared" si="139"/>
        <v>14267</v>
      </c>
      <c r="E1747" s="2326">
        <f t="shared" si="140"/>
        <v>10016</v>
      </c>
      <c r="F1747" s="2326">
        <f t="shared" si="141"/>
        <v>14267</v>
      </c>
      <c r="G1747" s="2326">
        <f t="shared" si="142"/>
        <v>12815</v>
      </c>
    </row>
    <row r="1748" spans="1:7" ht="15.75">
      <c r="A1748" s="2486">
        <f t="shared" si="143"/>
        <v>84225</v>
      </c>
      <c r="B1748" s="2325">
        <v>84200</v>
      </c>
      <c r="C1748" s="2325">
        <v>84250</v>
      </c>
      <c r="D1748" s="2326">
        <f t="shared" si="139"/>
        <v>14278</v>
      </c>
      <c r="E1748" s="2326">
        <f t="shared" si="140"/>
        <v>10027</v>
      </c>
      <c r="F1748" s="2326">
        <f t="shared" si="141"/>
        <v>14278</v>
      </c>
      <c r="G1748" s="2326">
        <f t="shared" si="142"/>
        <v>12826</v>
      </c>
    </row>
    <row r="1749" spans="1:7" ht="15.75">
      <c r="A1749" s="2486">
        <f t="shared" si="143"/>
        <v>84275</v>
      </c>
      <c r="B1749" s="2325">
        <v>84250</v>
      </c>
      <c r="C1749" s="2325">
        <v>84300</v>
      </c>
      <c r="D1749" s="2326">
        <f t="shared" si="139"/>
        <v>14289</v>
      </c>
      <c r="E1749" s="2326">
        <f t="shared" si="140"/>
        <v>10038</v>
      </c>
      <c r="F1749" s="2326">
        <f t="shared" si="141"/>
        <v>14289</v>
      </c>
      <c r="G1749" s="2326">
        <f t="shared" si="142"/>
        <v>12837</v>
      </c>
    </row>
    <row r="1750" spans="1:7" ht="15.75">
      <c r="A1750" s="2486">
        <f t="shared" si="143"/>
        <v>84325</v>
      </c>
      <c r="B1750" s="2325">
        <v>84300</v>
      </c>
      <c r="C1750" s="2325">
        <v>84350</v>
      </c>
      <c r="D1750" s="2326">
        <f t="shared" si="139"/>
        <v>14300</v>
      </c>
      <c r="E1750" s="2326">
        <f t="shared" si="140"/>
        <v>10049</v>
      </c>
      <c r="F1750" s="2326">
        <f t="shared" si="141"/>
        <v>14300</v>
      </c>
      <c r="G1750" s="2326">
        <f t="shared" si="142"/>
        <v>12848</v>
      </c>
    </row>
    <row r="1751" spans="1:7" ht="15.75">
      <c r="A1751" s="2486">
        <f t="shared" si="143"/>
        <v>84375</v>
      </c>
      <c r="B1751" s="2325">
        <v>84350</v>
      </c>
      <c r="C1751" s="2325">
        <v>84400</v>
      </c>
      <c r="D1751" s="2326">
        <f t="shared" si="139"/>
        <v>14311</v>
      </c>
      <c r="E1751" s="2326">
        <f t="shared" si="140"/>
        <v>10060</v>
      </c>
      <c r="F1751" s="2326">
        <f t="shared" si="141"/>
        <v>14311</v>
      </c>
      <c r="G1751" s="2326">
        <f t="shared" si="142"/>
        <v>12859</v>
      </c>
    </row>
    <row r="1752" spans="1:7" ht="15.75">
      <c r="A1752" s="2486">
        <f t="shared" si="143"/>
        <v>84425</v>
      </c>
      <c r="B1752" s="2325">
        <v>84400</v>
      </c>
      <c r="C1752" s="2325">
        <v>84450</v>
      </c>
      <c r="D1752" s="2326">
        <f t="shared" si="139"/>
        <v>14322</v>
      </c>
      <c r="E1752" s="2326">
        <f t="shared" si="140"/>
        <v>10071</v>
      </c>
      <c r="F1752" s="2326">
        <f t="shared" si="141"/>
        <v>14322</v>
      </c>
      <c r="G1752" s="2326">
        <f t="shared" si="142"/>
        <v>12870</v>
      </c>
    </row>
    <row r="1753" spans="1:7" ht="15.75">
      <c r="A1753" s="2486">
        <f t="shared" si="143"/>
        <v>84475</v>
      </c>
      <c r="B1753" s="2325">
        <v>84450</v>
      </c>
      <c r="C1753" s="2325">
        <v>84500</v>
      </c>
      <c r="D1753" s="2326">
        <f t="shared" si="139"/>
        <v>14333</v>
      </c>
      <c r="E1753" s="2326">
        <f t="shared" si="140"/>
        <v>10082</v>
      </c>
      <c r="F1753" s="2326">
        <f t="shared" si="141"/>
        <v>14333</v>
      </c>
      <c r="G1753" s="2326">
        <f t="shared" si="142"/>
        <v>12881</v>
      </c>
    </row>
    <row r="1754" spans="1:7" ht="15.75">
      <c r="A1754" s="2486">
        <f t="shared" si="143"/>
        <v>84525</v>
      </c>
      <c r="B1754" s="2325">
        <v>84500</v>
      </c>
      <c r="C1754" s="2325">
        <v>84550</v>
      </c>
      <c r="D1754" s="2326">
        <f t="shared" si="139"/>
        <v>14344</v>
      </c>
      <c r="E1754" s="2326">
        <f t="shared" si="140"/>
        <v>10093</v>
      </c>
      <c r="F1754" s="2326">
        <f t="shared" si="141"/>
        <v>14344</v>
      </c>
      <c r="G1754" s="2326">
        <f t="shared" si="142"/>
        <v>12892</v>
      </c>
    </row>
    <row r="1755" spans="1:7" ht="15.75">
      <c r="A1755" s="2486">
        <f t="shared" si="143"/>
        <v>84575</v>
      </c>
      <c r="B1755" s="2325">
        <v>84550</v>
      </c>
      <c r="C1755" s="2325">
        <v>84600</v>
      </c>
      <c r="D1755" s="2326">
        <f t="shared" si="139"/>
        <v>14355</v>
      </c>
      <c r="E1755" s="2326">
        <f t="shared" si="140"/>
        <v>10104</v>
      </c>
      <c r="F1755" s="2326">
        <f t="shared" si="141"/>
        <v>14355</v>
      </c>
      <c r="G1755" s="2326">
        <f t="shared" si="142"/>
        <v>12903</v>
      </c>
    </row>
    <row r="1756" spans="1:7" ht="15.75">
      <c r="A1756" s="2486">
        <f t="shared" si="143"/>
        <v>84625</v>
      </c>
      <c r="B1756" s="2325">
        <v>84600</v>
      </c>
      <c r="C1756" s="2325">
        <v>84650</v>
      </c>
      <c r="D1756" s="2326">
        <f t="shared" si="139"/>
        <v>14366</v>
      </c>
      <c r="E1756" s="2326">
        <f t="shared" si="140"/>
        <v>10115</v>
      </c>
      <c r="F1756" s="2326">
        <f t="shared" si="141"/>
        <v>14366</v>
      </c>
      <c r="G1756" s="2326">
        <f t="shared" si="142"/>
        <v>12914</v>
      </c>
    </row>
    <row r="1757" spans="1:7" ht="15.75">
      <c r="A1757" s="2486">
        <f t="shared" si="143"/>
        <v>84675</v>
      </c>
      <c r="B1757" s="2325">
        <v>84650</v>
      </c>
      <c r="C1757" s="2325">
        <v>84700</v>
      </c>
      <c r="D1757" s="2326">
        <f t="shared" si="139"/>
        <v>14377</v>
      </c>
      <c r="E1757" s="2326">
        <f t="shared" si="140"/>
        <v>10126</v>
      </c>
      <c r="F1757" s="2326">
        <f t="shared" si="141"/>
        <v>14377</v>
      </c>
      <c r="G1757" s="2326">
        <f t="shared" si="142"/>
        <v>12925</v>
      </c>
    </row>
    <row r="1758" spans="1:7" ht="15.75">
      <c r="A1758" s="2486">
        <f t="shared" si="143"/>
        <v>84725</v>
      </c>
      <c r="B1758" s="2325">
        <v>84700</v>
      </c>
      <c r="C1758" s="2325">
        <v>84750</v>
      </c>
      <c r="D1758" s="2326">
        <f t="shared" si="139"/>
        <v>14388</v>
      </c>
      <c r="E1758" s="2326">
        <f t="shared" si="140"/>
        <v>10137</v>
      </c>
      <c r="F1758" s="2326">
        <f t="shared" si="141"/>
        <v>14388</v>
      </c>
      <c r="G1758" s="2326">
        <f t="shared" si="142"/>
        <v>12936</v>
      </c>
    </row>
    <row r="1759" spans="1:7" ht="15.75">
      <c r="A1759" s="2486">
        <f t="shared" si="143"/>
        <v>84775</v>
      </c>
      <c r="B1759" s="2325">
        <v>84750</v>
      </c>
      <c r="C1759" s="2325">
        <v>84800</v>
      </c>
      <c r="D1759" s="2326">
        <f t="shared" si="139"/>
        <v>14399</v>
      </c>
      <c r="E1759" s="2326">
        <f t="shared" si="140"/>
        <v>10148</v>
      </c>
      <c r="F1759" s="2326">
        <f t="shared" si="141"/>
        <v>14399</v>
      </c>
      <c r="G1759" s="2326">
        <f t="shared" si="142"/>
        <v>12947</v>
      </c>
    </row>
    <row r="1760" spans="1:7" ht="15.75">
      <c r="A1760" s="2486">
        <f t="shared" si="143"/>
        <v>84825</v>
      </c>
      <c r="B1760" s="2325">
        <v>84800</v>
      </c>
      <c r="C1760" s="2325">
        <v>84850</v>
      </c>
      <c r="D1760" s="2326">
        <f t="shared" si="139"/>
        <v>14410</v>
      </c>
      <c r="E1760" s="2326">
        <f t="shared" si="140"/>
        <v>10159</v>
      </c>
      <c r="F1760" s="2326">
        <f t="shared" si="141"/>
        <v>14410</v>
      </c>
      <c r="G1760" s="2326">
        <f t="shared" si="142"/>
        <v>12958</v>
      </c>
    </row>
    <row r="1761" spans="1:7" ht="15.75">
      <c r="A1761" s="2486">
        <f t="shared" si="143"/>
        <v>84875</v>
      </c>
      <c r="B1761" s="2325">
        <v>84850</v>
      </c>
      <c r="C1761" s="2325">
        <v>84900</v>
      </c>
      <c r="D1761" s="2326">
        <f t="shared" si="139"/>
        <v>14421</v>
      </c>
      <c r="E1761" s="2326">
        <f t="shared" si="140"/>
        <v>10170</v>
      </c>
      <c r="F1761" s="2326">
        <f t="shared" si="141"/>
        <v>14421</v>
      </c>
      <c r="G1761" s="2326">
        <f t="shared" si="142"/>
        <v>12969</v>
      </c>
    </row>
    <row r="1762" spans="1:7" ht="15.75">
      <c r="A1762" s="2486">
        <f t="shared" si="143"/>
        <v>84925</v>
      </c>
      <c r="B1762" s="2325">
        <v>84900</v>
      </c>
      <c r="C1762" s="2325">
        <v>84950</v>
      </c>
      <c r="D1762" s="2326">
        <f t="shared" si="139"/>
        <v>14432</v>
      </c>
      <c r="E1762" s="2326">
        <f t="shared" si="140"/>
        <v>10181</v>
      </c>
      <c r="F1762" s="2326">
        <f t="shared" si="141"/>
        <v>14432</v>
      </c>
      <c r="G1762" s="2326">
        <f t="shared" si="142"/>
        <v>12980</v>
      </c>
    </row>
    <row r="1763" spans="1:7" ht="15.75">
      <c r="A1763" s="2486">
        <f t="shared" si="143"/>
        <v>84975</v>
      </c>
      <c r="B1763" s="2325">
        <v>84950</v>
      </c>
      <c r="C1763" s="2325">
        <v>85000</v>
      </c>
      <c r="D1763" s="2326">
        <f t="shared" si="139"/>
        <v>14443</v>
      </c>
      <c r="E1763" s="2326">
        <f t="shared" si="140"/>
        <v>10192</v>
      </c>
      <c r="F1763" s="2326">
        <f t="shared" si="141"/>
        <v>14443</v>
      </c>
      <c r="G1763" s="2326">
        <f t="shared" si="142"/>
        <v>12991</v>
      </c>
    </row>
    <row r="1764" spans="1:7" ht="15.75">
      <c r="A1764" s="2486">
        <f t="shared" si="143"/>
        <v>85025</v>
      </c>
      <c r="B1764" s="2325">
        <v>85000</v>
      </c>
      <c r="C1764" s="2325">
        <v>85050</v>
      </c>
      <c r="D1764" s="2326">
        <f t="shared" si="139"/>
        <v>14454</v>
      </c>
      <c r="E1764" s="2326">
        <f t="shared" si="140"/>
        <v>10203</v>
      </c>
      <c r="F1764" s="2326">
        <f t="shared" si="141"/>
        <v>14454</v>
      </c>
      <c r="G1764" s="2326">
        <f t="shared" si="142"/>
        <v>13002</v>
      </c>
    </row>
    <row r="1765" spans="1:7" ht="15.75">
      <c r="A1765" s="2486">
        <f t="shared" si="143"/>
        <v>85075</v>
      </c>
      <c r="B1765" s="2325">
        <v>85050</v>
      </c>
      <c r="C1765" s="2325">
        <v>85100</v>
      </c>
      <c r="D1765" s="2326">
        <f t="shared" si="139"/>
        <v>14465</v>
      </c>
      <c r="E1765" s="2326">
        <f t="shared" si="140"/>
        <v>10214</v>
      </c>
      <c r="F1765" s="2326">
        <f t="shared" si="141"/>
        <v>14465</v>
      </c>
      <c r="G1765" s="2326">
        <f t="shared" si="142"/>
        <v>13013</v>
      </c>
    </row>
    <row r="1766" spans="1:7" ht="15.75">
      <c r="A1766" s="2486">
        <f t="shared" si="143"/>
        <v>85125</v>
      </c>
      <c r="B1766" s="2325">
        <v>85100</v>
      </c>
      <c r="C1766" s="2325">
        <v>85150</v>
      </c>
      <c r="D1766" s="2326">
        <f t="shared" si="139"/>
        <v>14476</v>
      </c>
      <c r="E1766" s="2326">
        <f t="shared" si="140"/>
        <v>10225</v>
      </c>
      <c r="F1766" s="2326">
        <f t="shared" si="141"/>
        <v>14476</v>
      </c>
      <c r="G1766" s="2326">
        <f t="shared" si="142"/>
        <v>13024</v>
      </c>
    </row>
    <row r="1767" spans="1:7" ht="15.75">
      <c r="A1767" s="2486">
        <f t="shared" si="143"/>
        <v>85175</v>
      </c>
      <c r="B1767" s="2325">
        <v>85150</v>
      </c>
      <c r="C1767" s="2325">
        <v>85200</v>
      </c>
      <c r="D1767" s="2326">
        <f t="shared" si="139"/>
        <v>14487</v>
      </c>
      <c r="E1767" s="2326">
        <f t="shared" si="140"/>
        <v>10236</v>
      </c>
      <c r="F1767" s="2326">
        <f t="shared" si="141"/>
        <v>14487</v>
      </c>
      <c r="G1767" s="2326">
        <f t="shared" si="142"/>
        <v>13035</v>
      </c>
    </row>
    <row r="1768" spans="1:7" ht="15.75">
      <c r="A1768" s="2486">
        <f t="shared" si="143"/>
        <v>85225</v>
      </c>
      <c r="B1768" s="2325">
        <v>85200</v>
      </c>
      <c r="C1768" s="2325">
        <v>85250</v>
      </c>
      <c r="D1768" s="2326">
        <f t="shared" si="139"/>
        <v>14498</v>
      </c>
      <c r="E1768" s="2326">
        <f t="shared" si="140"/>
        <v>10247</v>
      </c>
      <c r="F1768" s="2326">
        <f t="shared" si="141"/>
        <v>14498</v>
      </c>
      <c r="G1768" s="2326">
        <f t="shared" si="142"/>
        <v>13046</v>
      </c>
    </row>
    <row r="1769" spans="1:7" ht="15.75">
      <c r="A1769" s="2486">
        <f t="shared" si="143"/>
        <v>85275</v>
      </c>
      <c r="B1769" s="2325">
        <v>85250</v>
      </c>
      <c r="C1769" s="2325">
        <v>85300</v>
      </c>
      <c r="D1769" s="2326">
        <f t="shared" si="139"/>
        <v>14509</v>
      </c>
      <c r="E1769" s="2326">
        <f t="shared" si="140"/>
        <v>10258</v>
      </c>
      <c r="F1769" s="2326">
        <f t="shared" si="141"/>
        <v>14509</v>
      </c>
      <c r="G1769" s="2326">
        <f t="shared" si="142"/>
        <v>13057</v>
      </c>
    </row>
    <row r="1770" spans="1:7" ht="15.75">
      <c r="A1770" s="2486">
        <f t="shared" si="143"/>
        <v>85325</v>
      </c>
      <c r="B1770" s="2325">
        <v>85300</v>
      </c>
      <c r="C1770" s="2325">
        <v>85350</v>
      </c>
      <c r="D1770" s="2326">
        <f t="shared" si="139"/>
        <v>14520</v>
      </c>
      <c r="E1770" s="2326">
        <f t="shared" si="140"/>
        <v>10269</v>
      </c>
      <c r="F1770" s="2326">
        <f t="shared" si="141"/>
        <v>14520</v>
      </c>
      <c r="G1770" s="2326">
        <f t="shared" si="142"/>
        <v>13068</v>
      </c>
    </row>
    <row r="1771" spans="1:7" ht="15.75">
      <c r="A1771" s="2486">
        <f t="shared" si="143"/>
        <v>85375</v>
      </c>
      <c r="B1771" s="2325">
        <v>85350</v>
      </c>
      <c r="C1771" s="2325">
        <v>85400</v>
      </c>
      <c r="D1771" s="2326">
        <f t="shared" si="139"/>
        <v>14531</v>
      </c>
      <c r="E1771" s="2326">
        <f t="shared" si="140"/>
        <v>10280</v>
      </c>
      <c r="F1771" s="2326">
        <f t="shared" si="141"/>
        <v>14531</v>
      </c>
      <c r="G1771" s="2326">
        <f t="shared" si="142"/>
        <v>13079</v>
      </c>
    </row>
    <row r="1772" spans="1:7" ht="15.75">
      <c r="A1772" s="2486">
        <f t="shared" si="143"/>
        <v>85425</v>
      </c>
      <c r="B1772" s="2325">
        <v>85400</v>
      </c>
      <c r="C1772" s="2325">
        <v>85450</v>
      </c>
      <c r="D1772" s="2326">
        <f t="shared" si="139"/>
        <v>14542</v>
      </c>
      <c r="E1772" s="2326">
        <f t="shared" si="140"/>
        <v>10291</v>
      </c>
      <c r="F1772" s="2326">
        <f t="shared" si="141"/>
        <v>14542</v>
      </c>
      <c r="G1772" s="2326">
        <f t="shared" si="142"/>
        <v>13090</v>
      </c>
    </row>
    <row r="1773" spans="1:7" ht="15.75">
      <c r="A1773" s="2486">
        <f t="shared" si="143"/>
        <v>85475</v>
      </c>
      <c r="B1773" s="2325">
        <v>85450</v>
      </c>
      <c r="C1773" s="2325">
        <v>85500</v>
      </c>
      <c r="D1773" s="2326">
        <f t="shared" si="139"/>
        <v>14553</v>
      </c>
      <c r="E1773" s="2326">
        <f t="shared" si="140"/>
        <v>10302</v>
      </c>
      <c r="F1773" s="2326">
        <f t="shared" si="141"/>
        <v>14553</v>
      </c>
      <c r="G1773" s="2326">
        <f t="shared" si="142"/>
        <v>13101</v>
      </c>
    </row>
    <row r="1774" spans="1:7" ht="15.75">
      <c r="A1774" s="2486">
        <f t="shared" si="143"/>
        <v>85525</v>
      </c>
      <c r="B1774" s="2325">
        <v>85500</v>
      </c>
      <c r="C1774" s="2325">
        <v>85550</v>
      </c>
      <c r="D1774" s="2326">
        <f t="shared" si="139"/>
        <v>14564</v>
      </c>
      <c r="E1774" s="2326">
        <f t="shared" si="140"/>
        <v>10313</v>
      </c>
      <c r="F1774" s="2326">
        <f t="shared" si="141"/>
        <v>14564</v>
      </c>
      <c r="G1774" s="2326">
        <f t="shared" si="142"/>
        <v>13112</v>
      </c>
    </row>
    <row r="1775" spans="1:7" ht="15.75">
      <c r="A1775" s="2486">
        <f t="shared" si="143"/>
        <v>85575</v>
      </c>
      <c r="B1775" s="2325">
        <v>85550</v>
      </c>
      <c r="C1775" s="2325">
        <v>85600</v>
      </c>
      <c r="D1775" s="2326">
        <f t="shared" si="139"/>
        <v>14575</v>
      </c>
      <c r="E1775" s="2326">
        <f t="shared" si="140"/>
        <v>10324</v>
      </c>
      <c r="F1775" s="2326">
        <f t="shared" si="141"/>
        <v>14575</v>
      </c>
      <c r="G1775" s="2326">
        <f t="shared" si="142"/>
        <v>13123</v>
      </c>
    </row>
    <row r="1776" spans="1:7" ht="15.75">
      <c r="A1776" s="2486">
        <f t="shared" si="143"/>
        <v>85625</v>
      </c>
      <c r="B1776" s="2325">
        <v>85600</v>
      </c>
      <c r="C1776" s="2325">
        <v>85650</v>
      </c>
      <c r="D1776" s="2326">
        <f t="shared" si="139"/>
        <v>14586</v>
      </c>
      <c r="E1776" s="2326">
        <f t="shared" si="140"/>
        <v>10335</v>
      </c>
      <c r="F1776" s="2326">
        <f t="shared" si="141"/>
        <v>14586</v>
      </c>
      <c r="G1776" s="2326">
        <f t="shared" si="142"/>
        <v>13134</v>
      </c>
    </row>
    <row r="1777" spans="1:7" ht="15.75">
      <c r="A1777" s="2486">
        <f t="shared" si="143"/>
        <v>85675</v>
      </c>
      <c r="B1777" s="2325">
        <v>85650</v>
      </c>
      <c r="C1777" s="2325">
        <v>85700</v>
      </c>
      <c r="D1777" s="2326">
        <f t="shared" si="139"/>
        <v>14597</v>
      </c>
      <c r="E1777" s="2326">
        <f t="shared" si="140"/>
        <v>10346</v>
      </c>
      <c r="F1777" s="2326">
        <f t="shared" si="141"/>
        <v>14597</v>
      </c>
      <c r="G1777" s="2326">
        <f t="shared" si="142"/>
        <v>13145</v>
      </c>
    </row>
    <row r="1778" spans="1:7" ht="15.75">
      <c r="A1778" s="2486">
        <f t="shared" si="143"/>
        <v>85725</v>
      </c>
      <c r="B1778" s="2325">
        <v>85700</v>
      </c>
      <c r="C1778" s="2325">
        <v>85750</v>
      </c>
      <c r="D1778" s="2326">
        <f t="shared" si="139"/>
        <v>14608</v>
      </c>
      <c r="E1778" s="2326">
        <f t="shared" si="140"/>
        <v>10357</v>
      </c>
      <c r="F1778" s="2326">
        <f t="shared" si="141"/>
        <v>14608</v>
      </c>
      <c r="G1778" s="2326">
        <f t="shared" si="142"/>
        <v>13156</v>
      </c>
    </row>
    <row r="1779" spans="1:7" ht="15.75">
      <c r="A1779" s="2486">
        <f t="shared" si="143"/>
        <v>85775</v>
      </c>
      <c r="B1779" s="2325">
        <v>85750</v>
      </c>
      <c r="C1779" s="2325">
        <v>85800</v>
      </c>
      <c r="D1779" s="2326">
        <f t="shared" si="139"/>
        <v>14619</v>
      </c>
      <c r="E1779" s="2326">
        <f t="shared" si="140"/>
        <v>10368</v>
      </c>
      <c r="F1779" s="2326">
        <f t="shared" si="141"/>
        <v>14619</v>
      </c>
      <c r="G1779" s="2326">
        <f t="shared" si="142"/>
        <v>13167</v>
      </c>
    </row>
    <row r="1780" spans="1:7" ht="15.75">
      <c r="A1780" s="2486">
        <f t="shared" si="143"/>
        <v>85825</v>
      </c>
      <c r="B1780" s="2325">
        <v>85800</v>
      </c>
      <c r="C1780" s="2325">
        <v>85850</v>
      </c>
      <c r="D1780" s="2326">
        <f t="shared" si="139"/>
        <v>14630</v>
      </c>
      <c r="E1780" s="2326">
        <f t="shared" si="140"/>
        <v>10379</v>
      </c>
      <c r="F1780" s="2326">
        <f t="shared" si="141"/>
        <v>14630</v>
      </c>
      <c r="G1780" s="2326">
        <f t="shared" si="142"/>
        <v>13178</v>
      </c>
    </row>
    <row r="1781" spans="1:7" ht="15.75">
      <c r="A1781" s="2486">
        <f t="shared" si="143"/>
        <v>85875</v>
      </c>
      <c r="B1781" s="2325">
        <v>85850</v>
      </c>
      <c r="C1781" s="2325">
        <v>85900</v>
      </c>
      <c r="D1781" s="2326">
        <f t="shared" si="139"/>
        <v>14641</v>
      </c>
      <c r="E1781" s="2326">
        <f t="shared" si="140"/>
        <v>10390</v>
      </c>
      <c r="F1781" s="2326">
        <f t="shared" si="141"/>
        <v>14641</v>
      </c>
      <c r="G1781" s="2326">
        <f t="shared" si="142"/>
        <v>13189</v>
      </c>
    </row>
    <row r="1782" spans="1:7" ht="15.75">
      <c r="A1782" s="2486">
        <f t="shared" si="143"/>
        <v>85925</v>
      </c>
      <c r="B1782" s="2325">
        <v>85900</v>
      </c>
      <c r="C1782" s="2325">
        <v>85950</v>
      </c>
      <c r="D1782" s="2326">
        <f t="shared" si="139"/>
        <v>14652</v>
      </c>
      <c r="E1782" s="2326">
        <f t="shared" si="140"/>
        <v>10401</v>
      </c>
      <c r="F1782" s="2326">
        <f t="shared" si="141"/>
        <v>14652</v>
      </c>
      <c r="G1782" s="2326">
        <f t="shared" si="142"/>
        <v>13200</v>
      </c>
    </row>
    <row r="1783" spans="1:7" ht="15.75">
      <c r="A1783" s="2486">
        <f t="shared" si="143"/>
        <v>85975</v>
      </c>
      <c r="B1783" s="2325">
        <v>85950</v>
      </c>
      <c r="C1783" s="2325">
        <v>86000</v>
      </c>
      <c r="D1783" s="2326">
        <f t="shared" si="139"/>
        <v>14663</v>
      </c>
      <c r="E1783" s="2326">
        <f t="shared" si="140"/>
        <v>10412</v>
      </c>
      <c r="F1783" s="2326">
        <f t="shared" si="141"/>
        <v>14663</v>
      </c>
      <c r="G1783" s="2326">
        <f t="shared" si="142"/>
        <v>13211</v>
      </c>
    </row>
    <row r="1784" spans="1:7" ht="15.75">
      <c r="A1784" s="2486">
        <f t="shared" si="143"/>
        <v>86025</v>
      </c>
      <c r="B1784" s="2325">
        <v>86000</v>
      </c>
      <c r="C1784" s="2325">
        <v>86050</v>
      </c>
      <c r="D1784" s="2326">
        <f t="shared" si="139"/>
        <v>14674</v>
      </c>
      <c r="E1784" s="2326">
        <f t="shared" si="140"/>
        <v>10423</v>
      </c>
      <c r="F1784" s="2326">
        <f t="shared" si="141"/>
        <v>14674</v>
      </c>
      <c r="G1784" s="2326">
        <f t="shared" si="142"/>
        <v>13222</v>
      </c>
    </row>
    <row r="1785" spans="1:7" ht="15.75">
      <c r="A1785" s="2486">
        <f t="shared" si="143"/>
        <v>86075</v>
      </c>
      <c r="B1785" s="2325">
        <v>86050</v>
      </c>
      <c r="C1785" s="2325">
        <v>86100</v>
      </c>
      <c r="D1785" s="2326">
        <f t="shared" si="139"/>
        <v>14685</v>
      </c>
      <c r="E1785" s="2326">
        <f t="shared" si="140"/>
        <v>10434</v>
      </c>
      <c r="F1785" s="2326">
        <f t="shared" si="141"/>
        <v>14685</v>
      </c>
      <c r="G1785" s="2326">
        <f t="shared" si="142"/>
        <v>13233</v>
      </c>
    </row>
    <row r="1786" spans="1:7" ht="15.75">
      <c r="A1786" s="2486">
        <f t="shared" si="143"/>
        <v>86125</v>
      </c>
      <c r="B1786" s="2325">
        <v>86100</v>
      </c>
      <c r="C1786" s="2325">
        <v>86150</v>
      </c>
      <c r="D1786" s="2326">
        <f t="shared" si="139"/>
        <v>14696</v>
      </c>
      <c r="E1786" s="2326">
        <f t="shared" si="140"/>
        <v>10445</v>
      </c>
      <c r="F1786" s="2326">
        <f t="shared" si="141"/>
        <v>14696</v>
      </c>
      <c r="G1786" s="2326">
        <f t="shared" si="142"/>
        <v>13244</v>
      </c>
    </row>
    <row r="1787" spans="1:7" ht="15.75">
      <c r="A1787" s="2486">
        <f t="shared" si="143"/>
        <v>86175</v>
      </c>
      <c r="B1787" s="2325">
        <v>86150</v>
      </c>
      <c r="C1787" s="2325">
        <v>86200</v>
      </c>
      <c r="D1787" s="2326">
        <f t="shared" si="139"/>
        <v>14707</v>
      </c>
      <c r="E1787" s="2326">
        <f t="shared" si="140"/>
        <v>10456</v>
      </c>
      <c r="F1787" s="2326">
        <f t="shared" si="141"/>
        <v>14707</v>
      </c>
      <c r="G1787" s="2326">
        <f t="shared" si="142"/>
        <v>13255</v>
      </c>
    </row>
    <row r="1788" spans="1:7" ht="15.75">
      <c r="A1788" s="2486">
        <f t="shared" si="143"/>
        <v>86225</v>
      </c>
      <c r="B1788" s="2325">
        <v>86200</v>
      </c>
      <c r="C1788" s="2325">
        <v>86250</v>
      </c>
      <c r="D1788" s="2326">
        <f t="shared" si="139"/>
        <v>14718</v>
      </c>
      <c r="E1788" s="2326">
        <f t="shared" si="140"/>
        <v>10467</v>
      </c>
      <c r="F1788" s="2326">
        <f t="shared" si="141"/>
        <v>14718</v>
      </c>
      <c r="G1788" s="2326">
        <f t="shared" si="142"/>
        <v>13266</v>
      </c>
    </row>
    <row r="1789" spans="1:7" ht="15.75">
      <c r="A1789" s="2486">
        <f t="shared" si="143"/>
        <v>86275</v>
      </c>
      <c r="B1789" s="2325">
        <v>86250</v>
      </c>
      <c r="C1789" s="2325">
        <v>86300</v>
      </c>
      <c r="D1789" s="2326">
        <f t="shared" si="139"/>
        <v>14729</v>
      </c>
      <c r="E1789" s="2326">
        <f t="shared" si="140"/>
        <v>10478</v>
      </c>
      <c r="F1789" s="2326">
        <f t="shared" si="141"/>
        <v>14729</v>
      </c>
      <c r="G1789" s="2326">
        <f t="shared" si="142"/>
        <v>13277</v>
      </c>
    </row>
    <row r="1790" spans="1:7" ht="15.75">
      <c r="A1790" s="2486">
        <f t="shared" si="143"/>
        <v>86325</v>
      </c>
      <c r="B1790" s="2325">
        <v>86300</v>
      </c>
      <c r="C1790" s="2325">
        <v>86350</v>
      </c>
      <c r="D1790" s="2326">
        <f t="shared" si="139"/>
        <v>14740</v>
      </c>
      <c r="E1790" s="2326">
        <f t="shared" si="140"/>
        <v>10489</v>
      </c>
      <c r="F1790" s="2326">
        <f t="shared" si="141"/>
        <v>14740</v>
      </c>
      <c r="G1790" s="2326">
        <f t="shared" si="142"/>
        <v>13288</v>
      </c>
    </row>
    <row r="1791" spans="1:7" ht="15.75">
      <c r="A1791" s="2486">
        <f t="shared" si="143"/>
        <v>86375</v>
      </c>
      <c r="B1791" s="2325">
        <v>86350</v>
      </c>
      <c r="C1791" s="2325">
        <v>86400</v>
      </c>
      <c r="D1791" s="2326">
        <f t="shared" si="139"/>
        <v>14751</v>
      </c>
      <c r="E1791" s="2326">
        <f t="shared" si="140"/>
        <v>10500</v>
      </c>
      <c r="F1791" s="2326">
        <f t="shared" si="141"/>
        <v>14751</v>
      </c>
      <c r="G1791" s="2326">
        <f t="shared" si="142"/>
        <v>13299</v>
      </c>
    </row>
    <row r="1792" spans="1:7" ht="15.75">
      <c r="A1792" s="2486">
        <f t="shared" si="143"/>
        <v>86425</v>
      </c>
      <c r="B1792" s="2325">
        <v>86400</v>
      </c>
      <c r="C1792" s="2325">
        <v>86450</v>
      </c>
      <c r="D1792" s="2326">
        <f t="shared" si="139"/>
        <v>14763</v>
      </c>
      <c r="E1792" s="2326">
        <f t="shared" si="140"/>
        <v>10511</v>
      </c>
      <c r="F1792" s="2326">
        <f t="shared" si="141"/>
        <v>14763</v>
      </c>
      <c r="G1792" s="2326">
        <f t="shared" si="142"/>
        <v>13311</v>
      </c>
    </row>
    <row r="1793" spans="1:7" ht="15.75">
      <c r="A1793" s="2486">
        <f t="shared" si="143"/>
        <v>86475</v>
      </c>
      <c r="B1793" s="2325">
        <v>86450</v>
      </c>
      <c r="C1793" s="2325">
        <v>86500</v>
      </c>
      <c r="D1793" s="2326">
        <f t="shared" si="139"/>
        <v>14775</v>
      </c>
      <c r="E1793" s="2326">
        <f t="shared" si="140"/>
        <v>10522</v>
      </c>
      <c r="F1793" s="2326">
        <f t="shared" si="141"/>
        <v>14775</v>
      </c>
      <c r="G1793" s="2326">
        <f t="shared" si="142"/>
        <v>13323</v>
      </c>
    </row>
    <row r="1794" spans="1:7" ht="15.75">
      <c r="A1794" s="2486">
        <f t="shared" si="143"/>
        <v>86525</v>
      </c>
      <c r="B1794" s="2325">
        <v>86500</v>
      </c>
      <c r="C1794" s="2325">
        <v>86550</v>
      </c>
      <c r="D1794" s="2326">
        <f t="shared" ref="D1794:D1857" si="144">IF($A1794&gt;BOTT_A4,ROUND(BASE_A4+RATE_A4*($A1794-BOTT_A4),0),IF($A1794&gt;BOTT_A3,ROUND(BASE_A3+RATE_A3*($A1794-BOTT_A3),0),IF($A1794&gt;BOTT_A2,ROUND(BASE_A2+RATE_A2*($A1794-BOTT_A2),0),ROUND(RATE_A1*$A1794,0))))</f>
        <v>14787</v>
      </c>
      <c r="E1794" s="2326">
        <f t="shared" ref="E1794:E1857" si="145">IF($A1794&gt;BOTT_B4,ROUND(BASE_B4+RATE_B4*($A1794-BOTT_B4),0),IF($A1794&gt;BOTT_B3,ROUND(BASE_B3+RATE_B3*($A1794-BOTT_B3),0),IF($A1794&gt;BOTT_B2,ROUND(BASE_B2+RATE_B2*($A1794-BOTT_B2),0),ROUND(RATE_B1*$A1794,0))))</f>
        <v>10533</v>
      </c>
      <c r="F1794" s="2326">
        <f t="shared" ref="F1794:F1857" si="146">IF($A1794&gt;BOTT_C4,ROUND(BASE_C4+RATE_C4*($A1794-BOTT_C4),0),IF($A1794&gt;BOTT_C3,ROUND(BASE_C3+RATE_C3*($A1794-BOTT_C3),0),IF($A1794&gt;BOTT_C2,ROUND(BASE_C2+RATE_C2*($A1794-BOTT_C2),0),ROUND(RATE_C1*$A1794,0))))</f>
        <v>14787</v>
      </c>
      <c r="G1794" s="2326">
        <f t="shared" ref="G1794:G1857" si="147">IF($A1794&gt;BOTT_D4,ROUND(BASE_D4+RATE_D4*($A1794-BOTT_D4),0),IF($A1794&gt;BOTT_D3,ROUND(BASE_D3+RATE_D3*($A1794-BOTT_D3),0),IF($A1794&gt;BOTT_D2,ROUND(BASE_D2+RATE_D2*($A1794-BOTT_D2),0),ROUND(RATE_D1*$A1794,0))))</f>
        <v>13335</v>
      </c>
    </row>
    <row r="1795" spans="1:7" ht="15.75">
      <c r="A1795" s="2486">
        <f t="shared" ref="A1795:A1858" si="148">AVERAGE(B1795,C1795)</f>
        <v>86575</v>
      </c>
      <c r="B1795" s="2325">
        <v>86550</v>
      </c>
      <c r="C1795" s="2325">
        <v>86600</v>
      </c>
      <c r="D1795" s="2326">
        <f t="shared" si="144"/>
        <v>14799</v>
      </c>
      <c r="E1795" s="2326">
        <f t="shared" si="145"/>
        <v>10544</v>
      </c>
      <c r="F1795" s="2326">
        <f t="shared" si="146"/>
        <v>14799</v>
      </c>
      <c r="G1795" s="2326">
        <f t="shared" si="147"/>
        <v>13347</v>
      </c>
    </row>
    <row r="1796" spans="1:7" ht="15.75">
      <c r="A1796" s="2486">
        <f t="shared" si="148"/>
        <v>86625</v>
      </c>
      <c r="B1796" s="2325">
        <v>86600</v>
      </c>
      <c r="C1796" s="2325">
        <v>86650</v>
      </c>
      <c r="D1796" s="2326">
        <f t="shared" si="144"/>
        <v>14811</v>
      </c>
      <c r="E1796" s="2326">
        <f t="shared" si="145"/>
        <v>10555</v>
      </c>
      <c r="F1796" s="2326">
        <f t="shared" si="146"/>
        <v>14811</v>
      </c>
      <c r="G1796" s="2326">
        <f t="shared" si="147"/>
        <v>13359</v>
      </c>
    </row>
    <row r="1797" spans="1:7" ht="15.75">
      <c r="A1797" s="2486">
        <f t="shared" si="148"/>
        <v>86675</v>
      </c>
      <c r="B1797" s="2325">
        <v>86650</v>
      </c>
      <c r="C1797" s="2325">
        <v>86700</v>
      </c>
      <c r="D1797" s="2326">
        <f t="shared" si="144"/>
        <v>14823</v>
      </c>
      <c r="E1797" s="2326">
        <f t="shared" si="145"/>
        <v>10566</v>
      </c>
      <c r="F1797" s="2326">
        <f t="shared" si="146"/>
        <v>14823</v>
      </c>
      <c r="G1797" s="2326">
        <f t="shared" si="147"/>
        <v>13371</v>
      </c>
    </row>
    <row r="1798" spans="1:7" ht="15.75">
      <c r="A1798" s="2486">
        <f t="shared" si="148"/>
        <v>86725</v>
      </c>
      <c r="B1798" s="2325">
        <v>86700</v>
      </c>
      <c r="C1798" s="2325">
        <v>86750</v>
      </c>
      <c r="D1798" s="2326">
        <f t="shared" si="144"/>
        <v>14835</v>
      </c>
      <c r="E1798" s="2326">
        <f t="shared" si="145"/>
        <v>10577</v>
      </c>
      <c r="F1798" s="2326">
        <f t="shared" si="146"/>
        <v>14835</v>
      </c>
      <c r="G1798" s="2326">
        <f t="shared" si="147"/>
        <v>13383</v>
      </c>
    </row>
    <row r="1799" spans="1:7" ht="15.75">
      <c r="A1799" s="2486">
        <f t="shared" si="148"/>
        <v>86775</v>
      </c>
      <c r="B1799" s="2325">
        <v>86750</v>
      </c>
      <c r="C1799" s="2325">
        <v>86800</v>
      </c>
      <c r="D1799" s="2326">
        <f t="shared" si="144"/>
        <v>14847</v>
      </c>
      <c r="E1799" s="2326">
        <f t="shared" si="145"/>
        <v>10588</v>
      </c>
      <c r="F1799" s="2326">
        <f t="shared" si="146"/>
        <v>14847</v>
      </c>
      <c r="G1799" s="2326">
        <f t="shared" si="147"/>
        <v>13395</v>
      </c>
    </row>
    <row r="1800" spans="1:7" ht="15.75">
      <c r="A1800" s="2486">
        <f t="shared" si="148"/>
        <v>86825</v>
      </c>
      <c r="B1800" s="2325">
        <v>86800</v>
      </c>
      <c r="C1800" s="2325">
        <v>86850</v>
      </c>
      <c r="D1800" s="2326">
        <f t="shared" si="144"/>
        <v>14859</v>
      </c>
      <c r="E1800" s="2326">
        <f t="shared" si="145"/>
        <v>10599</v>
      </c>
      <c r="F1800" s="2326">
        <f t="shared" si="146"/>
        <v>14859</v>
      </c>
      <c r="G1800" s="2326">
        <f t="shared" si="147"/>
        <v>13407</v>
      </c>
    </row>
    <row r="1801" spans="1:7" ht="15.75">
      <c r="A1801" s="2486">
        <f t="shared" si="148"/>
        <v>86875</v>
      </c>
      <c r="B1801" s="2325">
        <v>86850</v>
      </c>
      <c r="C1801" s="2325">
        <v>86900</v>
      </c>
      <c r="D1801" s="2326">
        <f t="shared" si="144"/>
        <v>14871</v>
      </c>
      <c r="E1801" s="2326">
        <f t="shared" si="145"/>
        <v>10610</v>
      </c>
      <c r="F1801" s="2326">
        <f t="shared" si="146"/>
        <v>14871</v>
      </c>
      <c r="G1801" s="2326">
        <f t="shared" si="147"/>
        <v>13419</v>
      </c>
    </row>
    <row r="1802" spans="1:7" ht="15.75">
      <c r="A1802" s="2486">
        <f t="shared" si="148"/>
        <v>86925</v>
      </c>
      <c r="B1802" s="2325">
        <v>86900</v>
      </c>
      <c r="C1802" s="2325">
        <v>86950</v>
      </c>
      <c r="D1802" s="2326">
        <f t="shared" si="144"/>
        <v>14883</v>
      </c>
      <c r="E1802" s="2326">
        <f t="shared" si="145"/>
        <v>10621</v>
      </c>
      <c r="F1802" s="2326">
        <f t="shared" si="146"/>
        <v>14883</v>
      </c>
      <c r="G1802" s="2326">
        <f t="shared" si="147"/>
        <v>13431</v>
      </c>
    </row>
    <row r="1803" spans="1:7" ht="15.75">
      <c r="A1803" s="2486">
        <f t="shared" si="148"/>
        <v>86975</v>
      </c>
      <c r="B1803" s="2325">
        <v>86950</v>
      </c>
      <c r="C1803" s="2325">
        <v>87000</v>
      </c>
      <c r="D1803" s="2326">
        <f t="shared" si="144"/>
        <v>14895</v>
      </c>
      <c r="E1803" s="2326">
        <f t="shared" si="145"/>
        <v>10632</v>
      </c>
      <c r="F1803" s="2326">
        <f t="shared" si="146"/>
        <v>14895</v>
      </c>
      <c r="G1803" s="2326">
        <f t="shared" si="147"/>
        <v>13443</v>
      </c>
    </row>
    <row r="1804" spans="1:7" ht="15.75">
      <c r="A1804" s="2486">
        <f t="shared" si="148"/>
        <v>87025</v>
      </c>
      <c r="B1804" s="2325">
        <v>87000</v>
      </c>
      <c r="C1804" s="2325">
        <v>87050</v>
      </c>
      <c r="D1804" s="2326">
        <f t="shared" si="144"/>
        <v>14907</v>
      </c>
      <c r="E1804" s="2326">
        <f t="shared" si="145"/>
        <v>10643</v>
      </c>
      <c r="F1804" s="2326">
        <f t="shared" si="146"/>
        <v>14907</v>
      </c>
      <c r="G1804" s="2326">
        <f t="shared" si="147"/>
        <v>13455</v>
      </c>
    </row>
    <row r="1805" spans="1:7" ht="15.75">
      <c r="A1805" s="2486">
        <f t="shared" si="148"/>
        <v>87075</v>
      </c>
      <c r="B1805" s="2325">
        <v>87050</v>
      </c>
      <c r="C1805" s="2325">
        <v>87100</v>
      </c>
      <c r="D1805" s="2326">
        <f t="shared" si="144"/>
        <v>14919</v>
      </c>
      <c r="E1805" s="2326">
        <f t="shared" si="145"/>
        <v>10654</v>
      </c>
      <c r="F1805" s="2326">
        <f t="shared" si="146"/>
        <v>14919</v>
      </c>
      <c r="G1805" s="2326">
        <f t="shared" si="147"/>
        <v>13467</v>
      </c>
    </row>
    <row r="1806" spans="1:7" ht="15.75">
      <c r="A1806" s="2486">
        <f t="shared" si="148"/>
        <v>87125</v>
      </c>
      <c r="B1806" s="2325">
        <v>87100</v>
      </c>
      <c r="C1806" s="2325">
        <v>87150</v>
      </c>
      <c r="D1806" s="2326">
        <f t="shared" si="144"/>
        <v>14931</v>
      </c>
      <c r="E1806" s="2326">
        <f t="shared" si="145"/>
        <v>10665</v>
      </c>
      <c r="F1806" s="2326">
        <f t="shared" si="146"/>
        <v>14931</v>
      </c>
      <c r="G1806" s="2326">
        <f t="shared" si="147"/>
        <v>13479</v>
      </c>
    </row>
    <row r="1807" spans="1:7" ht="15.75">
      <c r="A1807" s="2486">
        <f t="shared" si="148"/>
        <v>87175</v>
      </c>
      <c r="B1807" s="2325">
        <v>87150</v>
      </c>
      <c r="C1807" s="2325">
        <v>87200</v>
      </c>
      <c r="D1807" s="2326">
        <f t="shared" si="144"/>
        <v>14943</v>
      </c>
      <c r="E1807" s="2326">
        <f t="shared" si="145"/>
        <v>10676</v>
      </c>
      <c r="F1807" s="2326">
        <f t="shared" si="146"/>
        <v>14943</v>
      </c>
      <c r="G1807" s="2326">
        <f t="shared" si="147"/>
        <v>13491</v>
      </c>
    </row>
    <row r="1808" spans="1:7" ht="15.75">
      <c r="A1808" s="2486">
        <f t="shared" si="148"/>
        <v>87225</v>
      </c>
      <c r="B1808" s="2325">
        <v>87200</v>
      </c>
      <c r="C1808" s="2325">
        <v>87250</v>
      </c>
      <c r="D1808" s="2326">
        <f t="shared" si="144"/>
        <v>14955</v>
      </c>
      <c r="E1808" s="2326">
        <f t="shared" si="145"/>
        <v>10687</v>
      </c>
      <c r="F1808" s="2326">
        <f t="shared" si="146"/>
        <v>14955</v>
      </c>
      <c r="G1808" s="2326">
        <f t="shared" si="147"/>
        <v>13503</v>
      </c>
    </row>
    <row r="1809" spans="1:7" ht="15.75">
      <c r="A1809" s="2486">
        <f t="shared" si="148"/>
        <v>87275</v>
      </c>
      <c r="B1809" s="2325">
        <v>87250</v>
      </c>
      <c r="C1809" s="2325">
        <v>87300</v>
      </c>
      <c r="D1809" s="2326">
        <f t="shared" si="144"/>
        <v>14967</v>
      </c>
      <c r="E1809" s="2326">
        <f t="shared" si="145"/>
        <v>10698</v>
      </c>
      <c r="F1809" s="2326">
        <f t="shared" si="146"/>
        <v>14967</v>
      </c>
      <c r="G1809" s="2326">
        <f t="shared" si="147"/>
        <v>13515</v>
      </c>
    </row>
    <row r="1810" spans="1:7" ht="15.75">
      <c r="A1810" s="2486">
        <f t="shared" si="148"/>
        <v>87325</v>
      </c>
      <c r="B1810" s="2325">
        <v>87300</v>
      </c>
      <c r="C1810" s="2325">
        <v>87350</v>
      </c>
      <c r="D1810" s="2326">
        <f t="shared" si="144"/>
        <v>14979</v>
      </c>
      <c r="E1810" s="2326">
        <f t="shared" si="145"/>
        <v>10709</v>
      </c>
      <c r="F1810" s="2326">
        <f t="shared" si="146"/>
        <v>14979</v>
      </c>
      <c r="G1810" s="2326">
        <f t="shared" si="147"/>
        <v>13527</v>
      </c>
    </row>
    <row r="1811" spans="1:7" ht="15.75">
      <c r="A1811" s="2486">
        <f t="shared" si="148"/>
        <v>87375</v>
      </c>
      <c r="B1811" s="2325">
        <v>87350</v>
      </c>
      <c r="C1811" s="2325">
        <v>87400</v>
      </c>
      <c r="D1811" s="2326">
        <f t="shared" si="144"/>
        <v>14991</v>
      </c>
      <c r="E1811" s="2326">
        <f t="shared" si="145"/>
        <v>10720</v>
      </c>
      <c r="F1811" s="2326">
        <f t="shared" si="146"/>
        <v>14991</v>
      </c>
      <c r="G1811" s="2326">
        <f t="shared" si="147"/>
        <v>13539</v>
      </c>
    </row>
    <row r="1812" spans="1:7" ht="15.75">
      <c r="A1812" s="2486">
        <f t="shared" si="148"/>
        <v>87425</v>
      </c>
      <c r="B1812" s="2325">
        <v>87400</v>
      </c>
      <c r="C1812" s="2325">
        <v>87450</v>
      </c>
      <c r="D1812" s="2326">
        <f t="shared" si="144"/>
        <v>15003</v>
      </c>
      <c r="E1812" s="2326">
        <f t="shared" si="145"/>
        <v>10731</v>
      </c>
      <c r="F1812" s="2326">
        <f t="shared" si="146"/>
        <v>15003</v>
      </c>
      <c r="G1812" s="2326">
        <f t="shared" si="147"/>
        <v>13551</v>
      </c>
    </row>
    <row r="1813" spans="1:7" ht="15.75">
      <c r="A1813" s="2486">
        <f t="shared" si="148"/>
        <v>87475</v>
      </c>
      <c r="B1813" s="2325">
        <v>87450</v>
      </c>
      <c r="C1813" s="2325">
        <v>87500</v>
      </c>
      <c r="D1813" s="2326">
        <f t="shared" si="144"/>
        <v>15015</v>
      </c>
      <c r="E1813" s="2326">
        <f t="shared" si="145"/>
        <v>10742</v>
      </c>
      <c r="F1813" s="2326">
        <f t="shared" si="146"/>
        <v>15015</v>
      </c>
      <c r="G1813" s="2326">
        <f t="shared" si="147"/>
        <v>13563</v>
      </c>
    </row>
    <row r="1814" spans="1:7" ht="15.75">
      <c r="A1814" s="2486">
        <f t="shared" si="148"/>
        <v>87525</v>
      </c>
      <c r="B1814" s="2325">
        <v>87500</v>
      </c>
      <c r="C1814" s="2325">
        <v>87550</v>
      </c>
      <c r="D1814" s="2326">
        <f t="shared" si="144"/>
        <v>15027</v>
      </c>
      <c r="E1814" s="2326">
        <f t="shared" si="145"/>
        <v>10753</v>
      </c>
      <c r="F1814" s="2326">
        <f t="shared" si="146"/>
        <v>15027</v>
      </c>
      <c r="G1814" s="2326">
        <f t="shared" si="147"/>
        <v>13575</v>
      </c>
    </row>
    <row r="1815" spans="1:7" ht="15.75">
      <c r="A1815" s="2486">
        <f t="shared" si="148"/>
        <v>87575</v>
      </c>
      <c r="B1815" s="2325">
        <v>87550</v>
      </c>
      <c r="C1815" s="2325">
        <v>87600</v>
      </c>
      <c r="D1815" s="2326">
        <f t="shared" si="144"/>
        <v>15039</v>
      </c>
      <c r="E1815" s="2326">
        <f t="shared" si="145"/>
        <v>10764</v>
      </c>
      <c r="F1815" s="2326">
        <f t="shared" si="146"/>
        <v>15039</v>
      </c>
      <c r="G1815" s="2326">
        <f t="shared" si="147"/>
        <v>13587</v>
      </c>
    </row>
    <row r="1816" spans="1:7" ht="15.75">
      <c r="A1816" s="2486">
        <f t="shared" si="148"/>
        <v>87625</v>
      </c>
      <c r="B1816" s="2325">
        <v>87600</v>
      </c>
      <c r="C1816" s="2325">
        <v>87650</v>
      </c>
      <c r="D1816" s="2326">
        <f t="shared" si="144"/>
        <v>15051</v>
      </c>
      <c r="E1816" s="2326">
        <f t="shared" si="145"/>
        <v>10775</v>
      </c>
      <c r="F1816" s="2326">
        <f t="shared" si="146"/>
        <v>15051</v>
      </c>
      <c r="G1816" s="2326">
        <f t="shared" si="147"/>
        <v>13599</v>
      </c>
    </row>
    <row r="1817" spans="1:7" ht="15.75">
      <c r="A1817" s="2486">
        <f t="shared" si="148"/>
        <v>87675</v>
      </c>
      <c r="B1817" s="2325">
        <v>87650</v>
      </c>
      <c r="C1817" s="2325">
        <v>87700</v>
      </c>
      <c r="D1817" s="2326">
        <f t="shared" si="144"/>
        <v>15063</v>
      </c>
      <c r="E1817" s="2326">
        <f t="shared" si="145"/>
        <v>10786</v>
      </c>
      <c r="F1817" s="2326">
        <f t="shared" si="146"/>
        <v>15063</v>
      </c>
      <c r="G1817" s="2326">
        <f t="shared" si="147"/>
        <v>13611</v>
      </c>
    </row>
    <row r="1818" spans="1:7" ht="15.75">
      <c r="A1818" s="2486">
        <f t="shared" si="148"/>
        <v>87725</v>
      </c>
      <c r="B1818" s="2325">
        <v>87700</v>
      </c>
      <c r="C1818" s="2325">
        <v>87750</v>
      </c>
      <c r="D1818" s="2326">
        <f t="shared" si="144"/>
        <v>15075</v>
      </c>
      <c r="E1818" s="2326">
        <f t="shared" si="145"/>
        <v>10797</v>
      </c>
      <c r="F1818" s="2326">
        <f t="shared" si="146"/>
        <v>15075</v>
      </c>
      <c r="G1818" s="2326">
        <f t="shared" si="147"/>
        <v>13623</v>
      </c>
    </row>
    <row r="1819" spans="1:7" ht="15.75">
      <c r="A1819" s="2486">
        <f t="shared" si="148"/>
        <v>87775</v>
      </c>
      <c r="B1819" s="2325">
        <v>87750</v>
      </c>
      <c r="C1819" s="2325">
        <v>87800</v>
      </c>
      <c r="D1819" s="2326">
        <f t="shared" si="144"/>
        <v>15087</v>
      </c>
      <c r="E1819" s="2326">
        <f t="shared" si="145"/>
        <v>10808</v>
      </c>
      <c r="F1819" s="2326">
        <f t="shared" si="146"/>
        <v>15087</v>
      </c>
      <c r="G1819" s="2326">
        <f t="shared" si="147"/>
        <v>13635</v>
      </c>
    </row>
    <row r="1820" spans="1:7" ht="15.75">
      <c r="A1820" s="2486">
        <f t="shared" si="148"/>
        <v>87825</v>
      </c>
      <c r="B1820" s="2325">
        <v>87800</v>
      </c>
      <c r="C1820" s="2325">
        <v>87850</v>
      </c>
      <c r="D1820" s="2326">
        <f t="shared" si="144"/>
        <v>15099</v>
      </c>
      <c r="E1820" s="2326">
        <f t="shared" si="145"/>
        <v>10819</v>
      </c>
      <c r="F1820" s="2326">
        <f t="shared" si="146"/>
        <v>15099</v>
      </c>
      <c r="G1820" s="2326">
        <f t="shared" si="147"/>
        <v>13647</v>
      </c>
    </row>
    <row r="1821" spans="1:7" ht="15.75">
      <c r="A1821" s="2486">
        <f t="shared" si="148"/>
        <v>87875</v>
      </c>
      <c r="B1821" s="2325">
        <v>87850</v>
      </c>
      <c r="C1821" s="2325">
        <v>87900</v>
      </c>
      <c r="D1821" s="2326">
        <f t="shared" si="144"/>
        <v>15111</v>
      </c>
      <c r="E1821" s="2326">
        <f t="shared" si="145"/>
        <v>10830</v>
      </c>
      <c r="F1821" s="2326">
        <f t="shared" si="146"/>
        <v>15111</v>
      </c>
      <c r="G1821" s="2326">
        <f t="shared" si="147"/>
        <v>13659</v>
      </c>
    </row>
    <row r="1822" spans="1:7" ht="15.75">
      <c r="A1822" s="2486">
        <f t="shared" si="148"/>
        <v>87925</v>
      </c>
      <c r="B1822" s="2325">
        <v>87900</v>
      </c>
      <c r="C1822" s="2325">
        <v>87950</v>
      </c>
      <c r="D1822" s="2326">
        <f t="shared" si="144"/>
        <v>15123</v>
      </c>
      <c r="E1822" s="2326">
        <f t="shared" si="145"/>
        <v>10841</v>
      </c>
      <c r="F1822" s="2326">
        <f t="shared" si="146"/>
        <v>15123</v>
      </c>
      <c r="G1822" s="2326">
        <f t="shared" si="147"/>
        <v>13671</v>
      </c>
    </row>
    <row r="1823" spans="1:7" ht="15.75">
      <c r="A1823" s="2486">
        <f t="shared" si="148"/>
        <v>87975</v>
      </c>
      <c r="B1823" s="2325">
        <v>87950</v>
      </c>
      <c r="C1823" s="2325">
        <v>88000</v>
      </c>
      <c r="D1823" s="2326">
        <f t="shared" si="144"/>
        <v>15135</v>
      </c>
      <c r="E1823" s="2326">
        <f t="shared" si="145"/>
        <v>10852</v>
      </c>
      <c r="F1823" s="2326">
        <f t="shared" si="146"/>
        <v>15135</v>
      </c>
      <c r="G1823" s="2326">
        <f t="shared" si="147"/>
        <v>13683</v>
      </c>
    </row>
    <row r="1824" spans="1:7" ht="15.75">
      <c r="A1824" s="2486">
        <f t="shared" si="148"/>
        <v>88025</v>
      </c>
      <c r="B1824" s="2325">
        <v>88000</v>
      </c>
      <c r="C1824" s="2325">
        <v>88050</v>
      </c>
      <c r="D1824" s="2326">
        <f t="shared" si="144"/>
        <v>15147</v>
      </c>
      <c r="E1824" s="2326">
        <f t="shared" si="145"/>
        <v>10863</v>
      </c>
      <c r="F1824" s="2326">
        <f t="shared" si="146"/>
        <v>15147</v>
      </c>
      <c r="G1824" s="2326">
        <f t="shared" si="147"/>
        <v>13695</v>
      </c>
    </row>
    <row r="1825" spans="1:7" ht="15.75">
      <c r="A1825" s="2486">
        <f t="shared" si="148"/>
        <v>88075</v>
      </c>
      <c r="B1825" s="2325">
        <v>88050</v>
      </c>
      <c r="C1825" s="2325">
        <v>88100</v>
      </c>
      <c r="D1825" s="2326">
        <f t="shared" si="144"/>
        <v>15159</v>
      </c>
      <c r="E1825" s="2326">
        <f t="shared" si="145"/>
        <v>10874</v>
      </c>
      <c r="F1825" s="2326">
        <f t="shared" si="146"/>
        <v>15159</v>
      </c>
      <c r="G1825" s="2326">
        <f t="shared" si="147"/>
        <v>13707</v>
      </c>
    </row>
    <row r="1826" spans="1:7" ht="15.75">
      <c r="A1826" s="2486">
        <f t="shared" si="148"/>
        <v>88125</v>
      </c>
      <c r="B1826" s="2325">
        <v>88100</v>
      </c>
      <c r="C1826" s="2325">
        <v>88150</v>
      </c>
      <c r="D1826" s="2326">
        <f t="shared" si="144"/>
        <v>15171</v>
      </c>
      <c r="E1826" s="2326">
        <f t="shared" si="145"/>
        <v>10885</v>
      </c>
      <c r="F1826" s="2326">
        <f t="shared" si="146"/>
        <v>15171</v>
      </c>
      <c r="G1826" s="2326">
        <f t="shared" si="147"/>
        <v>13719</v>
      </c>
    </row>
    <row r="1827" spans="1:7" ht="15.75">
      <c r="A1827" s="2486">
        <f t="shared" si="148"/>
        <v>88175</v>
      </c>
      <c r="B1827" s="2325">
        <v>88150</v>
      </c>
      <c r="C1827" s="2325">
        <v>88200</v>
      </c>
      <c r="D1827" s="2326">
        <f t="shared" si="144"/>
        <v>15183</v>
      </c>
      <c r="E1827" s="2326">
        <f t="shared" si="145"/>
        <v>10896</v>
      </c>
      <c r="F1827" s="2326">
        <f t="shared" si="146"/>
        <v>15183</v>
      </c>
      <c r="G1827" s="2326">
        <f t="shared" si="147"/>
        <v>13731</v>
      </c>
    </row>
    <row r="1828" spans="1:7" ht="15.75">
      <c r="A1828" s="2486">
        <f t="shared" si="148"/>
        <v>88225</v>
      </c>
      <c r="B1828" s="2325">
        <v>88200</v>
      </c>
      <c r="C1828" s="2325">
        <v>88250</v>
      </c>
      <c r="D1828" s="2326">
        <f t="shared" si="144"/>
        <v>15195</v>
      </c>
      <c r="E1828" s="2326">
        <f t="shared" si="145"/>
        <v>10907</v>
      </c>
      <c r="F1828" s="2326">
        <f t="shared" si="146"/>
        <v>15195</v>
      </c>
      <c r="G1828" s="2326">
        <f t="shared" si="147"/>
        <v>13743</v>
      </c>
    </row>
    <row r="1829" spans="1:7" ht="15.75">
      <c r="A1829" s="2486">
        <f t="shared" si="148"/>
        <v>88275</v>
      </c>
      <c r="B1829" s="2325">
        <v>88250</v>
      </c>
      <c r="C1829" s="2325">
        <v>88300</v>
      </c>
      <c r="D1829" s="2326">
        <f t="shared" si="144"/>
        <v>15207</v>
      </c>
      <c r="E1829" s="2326">
        <f t="shared" si="145"/>
        <v>10918</v>
      </c>
      <c r="F1829" s="2326">
        <f t="shared" si="146"/>
        <v>15207</v>
      </c>
      <c r="G1829" s="2326">
        <f t="shared" si="147"/>
        <v>13755</v>
      </c>
    </row>
    <row r="1830" spans="1:7" ht="15.75">
      <c r="A1830" s="2486">
        <f t="shared" si="148"/>
        <v>88325</v>
      </c>
      <c r="B1830" s="2325">
        <v>88300</v>
      </c>
      <c r="C1830" s="2325">
        <v>88350</v>
      </c>
      <c r="D1830" s="2326">
        <f t="shared" si="144"/>
        <v>15219</v>
      </c>
      <c r="E1830" s="2326">
        <f t="shared" si="145"/>
        <v>10929</v>
      </c>
      <c r="F1830" s="2326">
        <f t="shared" si="146"/>
        <v>15219</v>
      </c>
      <c r="G1830" s="2326">
        <f t="shared" si="147"/>
        <v>13767</v>
      </c>
    </row>
    <row r="1831" spans="1:7" ht="15.75">
      <c r="A1831" s="2486">
        <f t="shared" si="148"/>
        <v>88375</v>
      </c>
      <c r="B1831" s="2325">
        <v>88350</v>
      </c>
      <c r="C1831" s="2325">
        <v>88400</v>
      </c>
      <c r="D1831" s="2326">
        <f t="shared" si="144"/>
        <v>15231</v>
      </c>
      <c r="E1831" s="2326">
        <f t="shared" si="145"/>
        <v>10940</v>
      </c>
      <c r="F1831" s="2326">
        <f t="shared" si="146"/>
        <v>15231</v>
      </c>
      <c r="G1831" s="2326">
        <f t="shared" si="147"/>
        <v>13779</v>
      </c>
    </row>
    <row r="1832" spans="1:7" ht="15.75">
      <c r="A1832" s="2486">
        <f t="shared" si="148"/>
        <v>88425</v>
      </c>
      <c r="B1832" s="2325">
        <v>88400</v>
      </c>
      <c r="C1832" s="2325">
        <v>88450</v>
      </c>
      <c r="D1832" s="2326">
        <f t="shared" si="144"/>
        <v>15243</v>
      </c>
      <c r="E1832" s="2326">
        <f t="shared" si="145"/>
        <v>10951</v>
      </c>
      <c r="F1832" s="2326">
        <f t="shared" si="146"/>
        <v>15243</v>
      </c>
      <c r="G1832" s="2326">
        <f t="shared" si="147"/>
        <v>13791</v>
      </c>
    </row>
    <row r="1833" spans="1:7" ht="15.75">
      <c r="A1833" s="2486">
        <f t="shared" si="148"/>
        <v>88475</v>
      </c>
      <c r="B1833" s="2325">
        <v>88450</v>
      </c>
      <c r="C1833" s="2325">
        <v>88500</v>
      </c>
      <c r="D1833" s="2326">
        <f t="shared" si="144"/>
        <v>15255</v>
      </c>
      <c r="E1833" s="2326">
        <f t="shared" si="145"/>
        <v>10962</v>
      </c>
      <c r="F1833" s="2326">
        <f t="shared" si="146"/>
        <v>15255</v>
      </c>
      <c r="G1833" s="2326">
        <f t="shared" si="147"/>
        <v>13803</v>
      </c>
    </row>
    <row r="1834" spans="1:7" ht="15.75">
      <c r="A1834" s="2486">
        <f t="shared" si="148"/>
        <v>88525</v>
      </c>
      <c r="B1834" s="2325">
        <v>88500</v>
      </c>
      <c r="C1834" s="2325">
        <v>88550</v>
      </c>
      <c r="D1834" s="2326">
        <f t="shared" si="144"/>
        <v>15267</v>
      </c>
      <c r="E1834" s="2326">
        <f t="shared" si="145"/>
        <v>10973</v>
      </c>
      <c r="F1834" s="2326">
        <f t="shared" si="146"/>
        <v>15267</v>
      </c>
      <c r="G1834" s="2326">
        <f t="shared" si="147"/>
        <v>13815</v>
      </c>
    </row>
    <row r="1835" spans="1:7" ht="15.75">
      <c r="A1835" s="2486">
        <f t="shared" si="148"/>
        <v>88575</v>
      </c>
      <c r="B1835" s="2325">
        <v>88550</v>
      </c>
      <c r="C1835" s="2325">
        <v>88600</v>
      </c>
      <c r="D1835" s="2326">
        <f t="shared" si="144"/>
        <v>15279</v>
      </c>
      <c r="E1835" s="2326">
        <f t="shared" si="145"/>
        <v>10984</v>
      </c>
      <c r="F1835" s="2326">
        <f t="shared" si="146"/>
        <v>15279</v>
      </c>
      <c r="G1835" s="2326">
        <f t="shared" si="147"/>
        <v>13827</v>
      </c>
    </row>
    <row r="1836" spans="1:7" ht="15.75">
      <c r="A1836" s="2486">
        <f t="shared" si="148"/>
        <v>88625</v>
      </c>
      <c r="B1836" s="2325">
        <v>88600</v>
      </c>
      <c r="C1836" s="2325">
        <v>88650</v>
      </c>
      <c r="D1836" s="2326">
        <f t="shared" si="144"/>
        <v>15291</v>
      </c>
      <c r="E1836" s="2326">
        <f t="shared" si="145"/>
        <v>10995</v>
      </c>
      <c r="F1836" s="2326">
        <f t="shared" si="146"/>
        <v>15291</v>
      </c>
      <c r="G1836" s="2326">
        <f t="shared" si="147"/>
        <v>13839</v>
      </c>
    </row>
    <row r="1837" spans="1:7" ht="15.75">
      <c r="A1837" s="2486">
        <f t="shared" si="148"/>
        <v>88675</v>
      </c>
      <c r="B1837" s="2325">
        <v>88650</v>
      </c>
      <c r="C1837" s="2325">
        <v>88700</v>
      </c>
      <c r="D1837" s="2326">
        <f t="shared" si="144"/>
        <v>15303</v>
      </c>
      <c r="E1837" s="2326">
        <f t="shared" si="145"/>
        <v>11006</v>
      </c>
      <c r="F1837" s="2326">
        <f t="shared" si="146"/>
        <v>15303</v>
      </c>
      <c r="G1837" s="2326">
        <f t="shared" si="147"/>
        <v>13851</v>
      </c>
    </row>
    <row r="1838" spans="1:7" ht="15.75">
      <c r="A1838" s="2486">
        <f t="shared" si="148"/>
        <v>88725</v>
      </c>
      <c r="B1838" s="2325">
        <v>88700</v>
      </c>
      <c r="C1838" s="2325">
        <v>88750</v>
      </c>
      <c r="D1838" s="2326">
        <f t="shared" si="144"/>
        <v>15315</v>
      </c>
      <c r="E1838" s="2326">
        <f t="shared" si="145"/>
        <v>11017</v>
      </c>
      <c r="F1838" s="2326">
        <f t="shared" si="146"/>
        <v>15315</v>
      </c>
      <c r="G1838" s="2326">
        <f t="shared" si="147"/>
        <v>13863</v>
      </c>
    </row>
    <row r="1839" spans="1:7" ht="15.75">
      <c r="A1839" s="2486">
        <f t="shared" si="148"/>
        <v>88775</v>
      </c>
      <c r="B1839" s="2325">
        <v>88750</v>
      </c>
      <c r="C1839" s="2325">
        <v>88800</v>
      </c>
      <c r="D1839" s="2326">
        <f t="shared" si="144"/>
        <v>15327</v>
      </c>
      <c r="E1839" s="2326">
        <f t="shared" si="145"/>
        <v>11028</v>
      </c>
      <c r="F1839" s="2326">
        <f t="shared" si="146"/>
        <v>15327</v>
      </c>
      <c r="G1839" s="2326">
        <f t="shared" si="147"/>
        <v>13875</v>
      </c>
    </row>
    <row r="1840" spans="1:7" ht="15.75">
      <c r="A1840" s="2486">
        <f t="shared" si="148"/>
        <v>88825</v>
      </c>
      <c r="B1840" s="2325">
        <v>88800</v>
      </c>
      <c r="C1840" s="2325">
        <v>88850</v>
      </c>
      <c r="D1840" s="2326">
        <f t="shared" si="144"/>
        <v>15339</v>
      </c>
      <c r="E1840" s="2326">
        <f t="shared" si="145"/>
        <v>11039</v>
      </c>
      <c r="F1840" s="2326">
        <f t="shared" si="146"/>
        <v>15339</v>
      </c>
      <c r="G1840" s="2326">
        <f t="shared" si="147"/>
        <v>13887</v>
      </c>
    </row>
    <row r="1841" spans="1:7" ht="15.75">
      <c r="A1841" s="2486">
        <f t="shared" si="148"/>
        <v>88875</v>
      </c>
      <c r="B1841" s="2325">
        <v>88850</v>
      </c>
      <c r="C1841" s="2325">
        <v>88900</v>
      </c>
      <c r="D1841" s="2326">
        <f t="shared" si="144"/>
        <v>15351</v>
      </c>
      <c r="E1841" s="2326">
        <f t="shared" si="145"/>
        <v>11050</v>
      </c>
      <c r="F1841" s="2326">
        <f t="shared" si="146"/>
        <v>15351</v>
      </c>
      <c r="G1841" s="2326">
        <f t="shared" si="147"/>
        <v>13899</v>
      </c>
    </row>
    <row r="1842" spans="1:7" ht="15.75">
      <c r="A1842" s="2486">
        <f t="shared" si="148"/>
        <v>88925</v>
      </c>
      <c r="B1842" s="2325">
        <v>88900</v>
      </c>
      <c r="C1842" s="2325">
        <v>88950</v>
      </c>
      <c r="D1842" s="2326">
        <f t="shared" si="144"/>
        <v>15363</v>
      </c>
      <c r="E1842" s="2326">
        <f t="shared" si="145"/>
        <v>11061</v>
      </c>
      <c r="F1842" s="2326">
        <f t="shared" si="146"/>
        <v>15363</v>
      </c>
      <c r="G1842" s="2326">
        <f t="shared" si="147"/>
        <v>13911</v>
      </c>
    </row>
    <row r="1843" spans="1:7" ht="15.75">
      <c r="A1843" s="2486">
        <f t="shared" si="148"/>
        <v>88975</v>
      </c>
      <c r="B1843" s="2325">
        <v>88950</v>
      </c>
      <c r="C1843" s="2325">
        <v>89000</v>
      </c>
      <c r="D1843" s="2326">
        <f t="shared" si="144"/>
        <v>15375</v>
      </c>
      <c r="E1843" s="2326">
        <f t="shared" si="145"/>
        <v>11072</v>
      </c>
      <c r="F1843" s="2326">
        <f t="shared" si="146"/>
        <v>15375</v>
      </c>
      <c r="G1843" s="2326">
        <f t="shared" si="147"/>
        <v>13923</v>
      </c>
    </row>
    <row r="1844" spans="1:7" ht="15.75">
      <c r="A1844" s="2486">
        <f t="shared" si="148"/>
        <v>89025</v>
      </c>
      <c r="B1844" s="2325">
        <v>89000</v>
      </c>
      <c r="C1844" s="2325">
        <v>89050</v>
      </c>
      <c r="D1844" s="2326">
        <f t="shared" si="144"/>
        <v>15387</v>
      </c>
      <c r="E1844" s="2326">
        <f t="shared" si="145"/>
        <v>11083</v>
      </c>
      <c r="F1844" s="2326">
        <f t="shared" si="146"/>
        <v>15387</v>
      </c>
      <c r="G1844" s="2326">
        <f t="shared" si="147"/>
        <v>13935</v>
      </c>
    </row>
    <row r="1845" spans="1:7" ht="15.75">
      <c r="A1845" s="2486">
        <f t="shared" si="148"/>
        <v>89075</v>
      </c>
      <c r="B1845" s="2325">
        <v>89050</v>
      </c>
      <c r="C1845" s="2325">
        <v>89100</v>
      </c>
      <c r="D1845" s="2326">
        <f t="shared" si="144"/>
        <v>15399</v>
      </c>
      <c r="E1845" s="2326">
        <f t="shared" si="145"/>
        <v>11094</v>
      </c>
      <c r="F1845" s="2326">
        <f t="shared" si="146"/>
        <v>15399</v>
      </c>
      <c r="G1845" s="2326">
        <f t="shared" si="147"/>
        <v>13947</v>
      </c>
    </row>
    <row r="1846" spans="1:7" ht="15.75">
      <c r="A1846" s="2486">
        <f t="shared" si="148"/>
        <v>89125</v>
      </c>
      <c r="B1846" s="2325">
        <v>89100</v>
      </c>
      <c r="C1846" s="2325">
        <v>89150</v>
      </c>
      <c r="D1846" s="2326">
        <f t="shared" si="144"/>
        <v>15411</v>
      </c>
      <c r="E1846" s="2326">
        <f t="shared" si="145"/>
        <v>11105</v>
      </c>
      <c r="F1846" s="2326">
        <f t="shared" si="146"/>
        <v>15411</v>
      </c>
      <c r="G1846" s="2326">
        <f t="shared" si="147"/>
        <v>13959</v>
      </c>
    </row>
    <row r="1847" spans="1:7" ht="15.75">
      <c r="A1847" s="2486">
        <f t="shared" si="148"/>
        <v>89175</v>
      </c>
      <c r="B1847" s="2325">
        <v>89150</v>
      </c>
      <c r="C1847" s="2325">
        <v>89200</v>
      </c>
      <c r="D1847" s="2326">
        <f t="shared" si="144"/>
        <v>15423</v>
      </c>
      <c r="E1847" s="2326">
        <f t="shared" si="145"/>
        <v>11116</v>
      </c>
      <c r="F1847" s="2326">
        <f t="shared" si="146"/>
        <v>15423</v>
      </c>
      <c r="G1847" s="2326">
        <f t="shared" si="147"/>
        <v>13971</v>
      </c>
    </row>
    <row r="1848" spans="1:7" ht="15.75">
      <c r="A1848" s="2486">
        <f t="shared" si="148"/>
        <v>89225</v>
      </c>
      <c r="B1848" s="2325">
        <v>89200</v>
      </c>
      <c r="C1848" s="2325">
        <v>89250</v>
      </c>
      <c r="D1848" s="2326">
        <f t="shared" si="144"/>
        <v>15435</v>
      </c>
      <c r="E1848" s="2326">
        <f t="shared" si="145"/>
        <v>11127</v>
      </c>
      <c r="F1848" s="2326">
        <f t="shared" si="146"/>
        <v>15435</v>
      </c>
      <c r="G1848" s="2326">
        <f t="shared" si="147"/>
        <v>13983</v>
      </c>
    </row>
    <row r="1849" spans="1:7" ht="15.75">
      <c r="A1849" s="2486">
        <f t="shared" si="148"/>
        <v>89275</v>
      </c>
      <c r="B1849" s="2325">
        <v>89250</v>
      </c>
      <c r="C1849" s="2325">
        <v>89300</v>
      </c>
      <c r="D1849" s="2326">
        <f t="shared" si="144"/>
        <v>15447</v>
      </c>
      <c r="E1849" s="2326">
        <f t="shared" si="145"/>
        <v>11138</v>
      </c>
      <c r="F1849" s="2326">
        <f t="shared" si="146"/>
        <v>15447</v>
      </c>
      <c r="G1849" s="2326">
        <f t="shared" si="147"/>
        <v>13995</v>
      </c>
    </row>
    <row r="1850" spans="1:7" ht="15.75">
      <c r="A1850" s="2486">
        <f t="shared" si="148"/>
        <v>89325</v>
      </c>
      <c r="B1850" s="2325">
        <v>89300</v>
      </c>
      <c r="C1850" s="2325">
        <v>89350</v>
      </c>
      <c r="D1850" s="2326">
        <f t="shared" si="144"/>
        <v>15459</v>
      </c>
      <c r="E1850" s="2326">
        <f t="shared" si="145"/>
        <v>11149</v>
      </c>
      <c r="F1850" s="2326">
        <f t="shared" si="146"/>
        <v>15459</v>
      </c>
      <c r="G1850" s="2326">
        <f t="shared" si="147"/>
        <v>14007</v>
      </c>
    </row>
    <row r="1851" spans="1:7" ht="15.75">
      <c r="A1851" s="2486">
        <f t="shared" si="148"/>
        <v>89375</v>
      </c>
      <c r="B1851" s="2325">
        <v>89350</v>
      </c>
      <c r="C1851" s="2325">
        <v>89400</v>
      </c>
      <c r="D1851" s="2326">
        <f t="shared" si="144"/>
        <v>15471</v>
      </c>
      <c r="E1851" s="2326">
        <f t="shared" si="145"/>
        <v>11160</v>
      </c>
      <c r="F1851" s="2326">
        <f t="shared" si="146"/>
        <v>15471</v>
      </c>
      <c r="G1851" s="2326">
        <f t="shared" si="147"/>
        <v>14019</v>
      </c>
    </row>
    <row r="1852" spans="1:7" ht="15.75">
      <c r="A1852" s="2486">
        <f t="shared" si="148"/>
        <v>89425</v>
      </c>
      <c r="B1852" s="2325">
        <v>89400</v>
      </c>
      <c r="C1852" s="2325">
        <v>89450</v>
      </c>
      <c r="D1852" s="2326">
        <f t="shared" si="144"/>
        <v>15483</v>
      </c>
      <c r="E1852" s="2326">
        <f t="shared" si="145"/>
        <v>11171</v>
      </c>
      <c r="F1852" s="2326">
        <f t="shared" si="146"/>
        <v>15483</v>
      </c>
      <c r="G1852" s="2326">
        <f t="shared" si="147"/>
        <v>14031</v>
      </c>
    </row>
    <row r="1853" spans="1:7" ht="15.75">
      <c r="A1853" s="2486">
        <f t="shared" si="148"/>
        <v>89475</v>
      </c>
      <c r="B1853" s="2325">
        <v>89450</v>
      </c>
      <c r="C1853" s="2325">
        <v>89500</v>
      </c>
      <c r="D1853" s="2326">
        <f t="shared" si="144"/>
        <v>15495</v>
      </c>
      <c r="E1853" s="2326">
        <f t="shared" si="145"/>
        <v>11182</v>
      </c>
      <c r="F1853" s="2326">
        <f t="shared" si="146"/>
        <v>15495</v>
      </c>
      <c r="G1853" s="2326">
        <f t="shared" si="147"/>
        <v>14043</v>
      </c>
    </row>
    <row r="1854" spans="1:7" ht="15.75">
      <c r="A1854" s="2486">
        <f t="shared" si="148"/>
        <v>89525</v>
      </c>
      <c r="B1854" s="2325">
        <v>89500</v>
      </c>
      <c r="C1854" s="2325">
        <v>89550</v>
      </c>
      <c r="D1854" s="2326">
        <f t="shared" si="144"/>
        <v>15507</v>
      </c>
      <c r="E1854" s="2326">
        <f t="shared" si="145"/>
        <v>11193</v>
      </c>
      <c r="F1854" s="2326">
        <f t="shared" si="146"/>
        <v>15507</v>
      </c>
      <c r="G1854" s="2326">
        <f t="shared" si="147"/>
        <v>14055</v>
      </c>
    </row>
    <row r="1855" spans="1:7" ht="15.75">
      <c r="A1855" s="2486">
        <f t="shared" si="148"/>
        <v>89575</v>
      </c>
      <c r="B1855" s="2325">
        <v>89550</v>
      </c>
      <c r="C1855" s="2325">
        <v>89600</v>
      </c>
      <c r="D1855" s="2326">
        <f t="shared" si="144"/>
        <v>15519</v>
      </c>
      <c r="E1855" s="2326">
        <f t="shared" si="145"/>
        <v>11204</v>
      </c>
      <c r="F1855" s="2326">
        <f t="shared" si="146"/>
        <v>15519</v>
      </c>
      <c r="G1855" s="2326">
        <f t="shared" si="147"/>
        <v>14067</v>
      </c>
    </row>
    <row r="1856" spans="1:7" ht="15.75">
      <c r="A1856" s="2486">
        <f t="shared" si="148"/>
        <v>89625</v>
      </c>
      <c r="B1856" s="2325">
        <v>89600</v>
      </c>
      <c r="C1856" s="2325">
        <v>89650</v>
      </c>
      <c r="D1856" s="2326">
        <f t="shared" si="144"/>
        <v>15531</v>
      </c>
      <c r="E1856" s="2326">
        <f t="shared" si="145"/>
        <v>11215</v>
      </c>
      <c r="F1856" s="2326">
        <f t="shared" si="146"/>
        <v>15531</v>
      </c>
      <c r="G1856" s="2326">
        <f t="shared" si="147"/>
        <v>14079</v>
      </c>
    </row>
    <row r="1857" spans="1:7" ht="15.75">
      <c r="A1857" s="2486">
        <f t="shared" si="148"/>
        <v>89675</v>
      </c>
      <c r="B1857" s="2325">
        <v>89650</v>
      </c>
      <c r="C1857" s="2325">
        <v>89700</v>
      </c>
      <c r="D1857" s="2326">
        <f t="shared" si="144"/>
        <v>15543</v>
      </c>
      <c r="E1857" s="2326">
        <f t="shared" si="145"/>
        <v>11226</v>
      </c>
      <c r="F1857" s="2326">
        <f t="shared" si="146"/>
        <v>15543</v>
      </c>
      <c r="G1857" s="2326">
        <f t="shared" si="147"/>
        <v>14091</v>
      </c>
    </row>
    <row r="1858" spans="1:7" ht="15.75">
      <c r="A1858" s="2486">
        <f t="shared" si="148"/>
        <v>89725</v>
      </c>
      <c r="B1858" s="2325">
        <v>89700</v>
      </c>
      <c r="C1858" s="2325">
        <v>89750</v>
      </c>
      <c r="D1858" s="2326">
        <f t="shared" ref="D1858:D1921" si="149">IF($A1858&gt;BOTT_A4,ROUND(BASE_A4+RATE_A4*($A1858-BOTT_A4),0),IF($A1858&gt;BOTT_A3,ROUND(BASE_A3+RATE_A3*($A1858-BOTT_A3),0),IF($A1858&gt;BOTT_A2,ROUND(BASE_A2+RATE_A2*($A1858-BOTT_A2),0),ROUND(RATE_A1*$A1858,0))))</f>
        <v>15555</v>
      </c>
      <c r="E1858" s="2326">
        <f t="shared" ref="E1858:E1921" si="150">IF($A1858&gt;BOTT_B4,ROUND(BASE_B4+RATE_B4*($A1858-BOTT_B4),0),IF($A1858&gt;BOTT_B3,ROUND(BASE_B3+RATE_B3*($A1858-BOTT_B3),0),IF($A1858&gt;BOTT_B2,ROUND(BASE_B2+RATE_B2*($A1858-BOTT_B2),0),ROUND(RATE_B1*$A1858,0))))</f>
        <v>11237</v>
      </c>
      <c r="F1858" s="2326">
        <f t="shared" ref="F1858:F1921" si="151">IF($A1858&gt;BOTT_C4,ROUND(BASE_C4+RATE_C4*($A1858-BOTT_C4),0),IF($A1858&gt;BOTT_C3,ROUND(BASE_C3+RATE_C3*($A1858-BOTT_C3),0),IF($A1858&gt;BOTT_C2,ROUND(BASE_C2+RATE_C2*($A1858-BOTT_C2),0),ROUND(RATE_C1*$A1858,0))))</f>
        <v>15555</v>
      </c>
      <c r="G1858" s="2326">
        <f t="shared" ref="G1858:G1921" si="152">IF($A1858&gt;BOTT_D4,ROUND(BASE_D4+RATE_D4*($A1858-BOTT_D4),0),IF($A1858&gt;BOTT_D3,ROUND(BASE_D3+RATE_D3*($A1858-BOTT_D3),0),IF($A1858&gt;BOTT_D2,ROUND(BASE_D2+RATE_D2*($A1858-BOTT_D2),0),ROUND(RATE_D1*$A1858,0))))</f>
        <v>14103</v>
      </c>
    </row>
    <row r="1859" spans="1:7" ht="15.75">
      <c r="A1859" s="2486">
        <f t="shared" ref="A1859:A1922" si="153">AVERAGE(B1859,C1859)</f>
        <v>89775</v>
      </c>
      <c r="B1859" s="2325">
        <v>89750</v>
      </c>
      <c r="C1859" s="2325">
        <v>89800</v>
      </c>
      <c r="D1859" s="2326">
        <f t="shared" si="149"/>
        <v>15567</v>
      </c>
      <c r="E1859" s="2326">
        <f t="shared" si="150"/>
        <v>11248</v>
      </c>
      <c r="F1859" s="2326">
        <f t="shared" si="151"/>
        <v>15567</v>
      </c>
      <c r="G1859" s="2326">
        <f t="shared" si="152"/>
        <v>14115</v>
      </c>
    </row>
    <row r="1860" spans="1:7" ht="15.75">
      <c r="A1860" s="2486">
        <f t="shared" si="153"/>
        <v>89825</v>
      </c>
      <c r="B1860" s="2325">
        <v>89800</v>
      </c>
      <c r="C1860" s="2325">
        <v>89850</v>
      </c>
      <c r="D1860" s="2326">
        <f t="shared" si="149"/>
        <v>15579</v>
      </c>
      <c r="E1860" s="2326">
        <f t="shared" si="150"/>
        <v>11259</v>
      </c>
      <c r="F1860" s="2326">
        <f t="shared" si="151"/>
        <v>15579</v>
      </c>
      <c r="G1860" s="2326">
        <f t="shared" si="152"/>
        <v>14127</v>
      </c>
    </row>
    <row r="1861" spans="1:7" ht="15.75">
      <c r="A1861" s="2486">
        <f t="shared" si="153"/>
        <v>89875</v>
      </c>
      <c r="B1861" s="2325">
        <v>89850</v>
      </c>
      <c r="C1861" s="2325">
        <v>89900</v>
      </c>
      <c r="D1861" s="2326">
        <f t="shared" si="149"/>
        <v>15591</v>
      </c>
      <c r="E1861" s="2326">
        <f t="shared" si="150"/>
        <v>11270</v>
      </c>
      <c r="F1861" s="2326">
        <f t="shared" si="151"/>
        <v>15591</v>
      </c>
      <c r="G1861" s="2326">
        <f t="shared" si="152"/>
        <v>14139</v>
      </c>
    </row>
    <row r="1862" spans="1:7" ht="15.75">
      <c r="A1862" s="2486">
        <f t="shared" si="153"/>
        <v>89925</v>
      </c>
      <c r="B1862" s="2325">
        <v>89900</v>
      </c>
      <c r="C1862" s="2325">
        <v>89950</v>
      </c>
      <c r="D1862" s="2326">
        <f t="shared" si="149"/>
        <v>15603</v>
      </c>
      <c r="E1862" s="2326">
        <f t="shared" si="150"/>
        <v>11281</v>
      </c>
      <c r="F1862" s="2326">
        <f t="shared" si="151"/>
        <v>15603</v>
      </c>
      <c r="G1862" s="2326">
        <f t="shared" si="152"/>
        <v>14151</v>
      </c>
    </row>
    <row r="1863" spans="1:7" ht="15.75">
      <c r="A1863" s="2486">
        <f t="shared" si="153"/>
        <v>89975</v>
      </c>
      <c r="B1863" s="2325">
        <v>89950</v>
      </c>
      <c r="C1863" s="2325">
        <v>90000</v>
      </c>
      <c r="D1863" s="2326">
        <f t="shared" si="149"/>
        <v>15615</v>
      </c>
      <c r="E1863" s="2326">
        <f t="shared" si="150"/>
        <v>11292</v>
      </c>
      <c r="F1863" s="2326">
        <f t="shared" si="151"/>
        <v>15615</v>
      </c>
      <c r="G1863" s="2326">
        <f t="shared" si="152"/>
        <v>14163</v>
      </c>
    </row>
    <row r="1864" spans="1:7" ht="15.75">
      <c r="A1864" s="2486">
        <f t="shared" si="153"/>
        <v>90025</v>
      </c>
      <c r="B1864" s="2325">
        <v>90000</v>
      </c>
      <c r="C1864" s="2325">
        <v>90050</v>
      </c>
      <c r="D1864" s="2326">
        <f t="shared" si="149"/>
        <v>15627</v>
      </c>
      <c r="E1864" s="2326">
        <f t="shared" si="150"/>
        <v>11303</v>
      </c>
      <c r="F1864" s="2326">
        <f t="shared" si="151"/>
        <v>15627</v>
      </c>
      <c r="G1864" s="2326">
        <f t="shared" si="152"/>
        <v>14175</v>
      </c>
    </row>
    <row r="1865" spans="1:7" ht="15.75">
      <c r="A1865" s="2486">
        <f t="shared" si="153"/>
        <v>90075</v>
      </c>
      <c r="B1865" s="2325">
        <v>90050</v>
      </c>
      <c r="C1865" s="2325">
        <v>90100</v>
      </c>
      <c r="D1865" s="2326">
        <f t="shared" si="149"/>
        <v>15639</v>
      </c>
      <c r="E1865" s="2326">
        <f t="shared" si="150"/>
        <v>11314</v>
      </c>
      <c r="F1865" s="2326">
        <f t="shared" si="151"/>
        <v>15639</v>
      </c>
      <c r="G1865" s="2326">
        <f t="shared" si="152"/>
        <v>14187</v>
      </c>
    </row>
    <row r="1866" spans="1:7" ht="15.75">
      <c r="A1866" s="2486">
        <f t="shared" si="153"/>
        <v>90125</v>
      </c>
      <c r="B1866" s="2325">
        <v>90100</v>
      </c>
      <c r="C1866" s="2325">
        <v>90150</v>
      </c>
      <c r="D1866" s="2326">
        <f t="shared" si="149"/>
        <v>15651</v>
      </c>
      <c r="E1866" s="2326">
        <f t="shared" si="150"/>
        <v>11325</v>
      </c>
      <c r="F1866" s="2326">
        <f t="shared" si="151"/>
        <v>15651</v>
      </c>
      <c r="G1866" s="2326">
        <f t="shared" si="152"/>
        <v>14199</v>
      </c>
    </row>
    <row r="1867" spans="1:7" ht="15.75">
      <c r="A1867" s="2486">
        <f t="shared" si="153"/>
        <v>90175</v>
      </c>
      <c r="B1867" s="2325">
        <v>90150</v>
      </c>
      <c r="C1867" s="2325">
        <v>90200</v>
      </c>
      <c r="D1867" s="2326">
        <f t="shared" si="149"/>
        <v>15663</v>
      </c>
      <c r="E1867" s="2326">
        <f t="shared" si="150"/>
        <v>11336</v>
      </c>
      <c r="F1867" s="2326">
        <f t="shared" si="151"/>
        <v>15663</v>
      </c>
      <c r="G1867" s="2326">
        <f t="shared" si="152"/>
        <v>14211</v>
      </c>
    </row>
    <row r="1868" spans="1:7" ht="15.75">
      <c r="A1868" s="2486">
        <f t="shared" si="153"/>
        <v>90225</v>
      </c>
      <c r="B1868" s="2325">
        <v>90200</v>
      </c>
      <c r="C1868" s="2325">
        <v>90250</v>
      </c>
      <c r="D1868" s="2326">
        <f t="shared" si="149"/>
        <v>15675</v>
      </c>
      <c r="E1868" s="2326">
        <f t="shared" si="150"/>
        <v>11347</v>
      </c>
      <c r="F1868" s="2326">
        <f t="shared" si="151"/>
        <v>15675</v>
      </c>
      <c r="G1868" s="2326">
        <f t="shared" si="152"/>
        <v>14223</v>
      </c>
    </row>
    <row r="1869" spans="1:7" ht="15.75">
      <c r="A1869" s="2486">
        <f t="shared" si="153"/>
        <v>90275</v>
      </c>
      <c r="B1869" s="2325">
        <v>90250</v>
      </c>
      <c r="C1869" s="2325">
        <v>90300</v>
      </c>
      <c r="D1869" s="2326">
        <f t="shared" si="149"/>
        <v>15687</v>
      </c>
      <c r="E1869" s="2326">
        <f t="shared" si="150"/>
        <v>11358</v>
      </c>
      <c r="F1869" s="2326">
        <f t="shared" si="151"/>
        <v>15687</v>
      </c>
      <c r="G1869" s="2326">
        <f t="shared" si="152"/>
        <v>14235</v>
      </c>
    </row>
    <row r="1870" spans="1:7" ht="15.75">
      <c r="A1870" s="2486">
        <f t="shared" si="153"/>
        <v>90325</v>
      </c>
      <c r="B1870" s="2325">
        <v>90300</v>
      </c>
      <c r="C1870" s="2325">
        <v>90350</v>
      </c>
      <c r="D1870" s="2326">
        <f t="shared" si="149"/>
        <v>15699</v>
      </c>
      <c r="E1870" s="2326">
        <f t="shared" si="150"/>
        <v>11369</v>
      </c>
      <c r="F1870" s="2326">
        <f t="shared" si="151"/>
        <v>15699</v>
      </c>
      <c r="G1870" s="2326">
        <f t="shared" si="152"/>
        <v>14247</v>
      </c>
    </row>
    <row r="1871" spans="1:7" ht="15.75">
      <c r="A1871" s="2486">
        <f t="shared" si="153"/>
        <v>90375</v>
      </c>
      <c r="B1871" s="2325">
        <v>90350</v>
      </c>
      <c r="C1871" s="2325">
        <v>90400</v>
      </c>
      <c r="D1871" s="2326">
        <f t="shared" si="149"/>
        <v>15711</v>
      </c>
      <c r="E1871" s="2326">
        <f t="shared" si="150"/>
        <v>11380</v>
      </c>
      <c r="F1871" s="2326">
        <f t="shared" si="151"/>
        <v>15711</v>
      </c>
      <c r="G1871" s="2326">
        <f t="shared" si="152"/>
        <v>14259</v>
      </c>
    </row>
    <row r="1872" spans="1:7" ht="15.75">
      <c r="A1872" s="2486">
        <f t="shared" si="153"/>
        <v>90425</v>
      </c>
      <c r="B1872" s="2325">
        <v>90400</v>
      </c>
      <c r="C1872" s="2325">
        <v>90450</v>
      </c>
      <c r="D1872" s="2326">
        <f t="shared" si="149"/>
        <v>15723</v>
      </c>
      <c r="E1872" s="2326">
        <f t="shared" si="150"/>
        <v>11391</v>
      </c>
      <c r="F1872" s="2326">
        <f t="shared" si="151"/>
        <v>15723</v>
      </c>
      <c r="G1872" s="2326">
        <f t="shared" si="152"/>
        <v>14271</v>
      </c>
    </row>
    <row r="1873" spans="1:7" ht="15.75">
      <c r="A1873" s="2486">
        <f t="shared" si="153"/>
        <v>90475</v>
      </c>
      <c r="B1873" s="2325">
        <v>90450</v>
      </c>
      <c r="C1873" s="2325">
        <v>90500</v>
      </c>
      <c r="D1873" s="2326">
        <f t="shared" si="149"/>
        <v>15735</v>
      </c>
      <c r="E1873" s="2326">
        <f t="shared" si="150"/>
        <v>11402</v>
      </c>
      <c r="F1873" s="2326">
        <f t="shared" si="151"/>
        <v>15735</v>
      </c>
      <c r="G1873" s="2326">
        <f t="shared" si="152"/>
        <v>14283</v>
      </c>
    </row>
    <row r="1874" spans="1:7" ht="15.75">
      <c r="A1874" s="2486">
        <f t="shared" si="153"/>
        <v>90525</v>
      </c>
      <c r="B1874" s="2325">
        <v>90500</v>
      </c>
      <c r="C1874" s="2325">
        <v>90550</v>
      </c>
      <c r="D1874" s="2326">
        <f t="shared" si="149"/>
        <v>15747</v>
      </c>
      <c r="E1874" s="2326">
        <f t="shared" si="150"/>
        <v>11413</v>
      </c>
      <c r="F1874" s="2326">
        <f t="shared" si="151"/>
        <v>15747</v>
      </c>
      <c r="G1874" s="2326">
        <f t="shared" si="152"/>
        <v>14295</v>
      </c>
    </row>
    <row r="1875" spans="1:7" ht="15.75">
      <c r="A1875" s="2486">
        <f t="shared" si="153"/>
        <v>90575</v>
      </c>
      <c r="B1875" s="2325">
        <v>90550</v>
      </c>
      <c r="C1875" s="2325">
        <v>90600</v>
      </c>
      <c r="D1875" s="2326">
        <f t="shared" si="149"/>
        <v>15759</v>
      </c>
      <c r="E1875" s="2326">
        <f t="shared" si="150"/>
        <v>11424</v>
      </c>
      <c r="F1875" s="2326">
        <f t="shared" si="151"/>
        <v>15759</v>
      </c>
      <c r="G1875" s="2326">
        <f t="shared" si="152"/>
        <v>14307</v>
      </c>
    </row>
    <row r="1876" spans="1:7" ht="15.75">
      <c r="A1876" s="2486">
        <f t="shared" si="153"/>
        <v>90625</v>
      </c>
      <c r="B1876" s="2325">
        <v>90600</v>
      </c>
      <c r="C1876" s="2325">
        <v>90650</v>
      </c>
      <c r="D1876" s="2326">
        <f t="shared" si="149"/>
        <v>15771</v>
      </c>
      <c r="E1876" s="2326">
        <f t="shared" si="150"/>
        <v>11435</v>
      </c>
      <c r="F1876" s="2326">
        <f t="shared" si="151"/>
        <v>15771</v>
      </c>
      <c r="G1876" s="2326">
        <f t="shared" si="152"/>
        <v>14319</v>
      </c>
    </row>
    <row r="1877" spans="1:7" ht="15.75">
      <c r="A1877" s="2486">
        <f t="shared" si="153"/>
        <v>90675</v>
      </c>
      <c r="B1877" s="2325">
        <v>90650</v>
      </c>
      <c r="C1877" s="2325">
        <v>90700</v>
      </c>
      <c r="D1877" s="2326">
        <f t="shared" si="149"/>
        <v>15783</v>
      </c>
      <c r="E1877" s="2326">
        <f t="shared" si="150"/>
        <v>11446</v>
      </c>
      <c r="F1877" s="2326">
        <f t="shared" si="151"/>
        <v>15783</v>
      </c>
      <c r="G1877" s="2326">
        <f t="shared" si="152"/>
        <v>14331</v>
      </c>
    </row>
    <row r="1878" spans="1:7" ht="15.75">
      <c r="A1878" s="2486">
        <f t="shared" si="153"/>
        <v>90725</v>
      </c>
      <c r="B1878" s="2325">
        <v>90700</v>
      </c>
      <c r="C1878" s="2325">
        <v>90750</v>
      </c>
      <c r="D1878" s="2326">
        <f t="shared" si="149"/>
        <v>15795</v>
      </c>
      <c r="E1878" s="2326">
        <f t="shared" si="150"/>
        <v>11457</v>
      </c>
      <c r="F1878" s="2326">
        <f t="shared" si="151"/>
        <v>15795</v>
      </c>
      <c r="G1878" s="2326">
        <f t="shared" si="152"/>
        <v>14343</v>
      </c>
    </row>
    <row r="1879" spans="1:7" ht="15.75">
      <c r="A1879" s="2486">
        <f t="shared" si="153"/>
        <v>90775</v>
      </c>
      <c r="B1879" s="2325">
        <v>90750</v>
      </c>
      <c r="C1879" s="2325">
        <v>90800</v>
      </c>
      <c r="D1879" s="2326">
        <f t="shared" si="149"/>
        <v>15807</v>
      </c>
      <c r="E1879" s="2326">
        <f t="shared" si="150"/>
        <v>11468</v>
      </c>
      <c r="F1879" s="2326">
        <f t="shared" si="151"/>
        <v>15807</v>
      </c>
      <c r="G1879" s="2326">
        <f t="shared" si="152"/>
        <v>14355</v>
      </c>
    </row>
    <row r="1880" spans="1:7" ht="15.75">
      <c r="A1880" s="2486">
        <f t="shared" si="153"/>
        <v>90825</v>
      </c>
      <c r="B1880" s="2325">
        <v>90800</v>
      </c>
      <c r="C1880" s="2325">
        <v>90850</v>
      </c>
      <c r="D1880" s="2326">
        <f t="shared" si="149"/>
        <v>15819</v>
      </c>
      <c r="E1880" s="2326">
        <f t="shared" si="150"/>
        <v>11479</v>
      </c>
      <c r="F1880" s="2326">
        <f t="shared" si="151"/>
        <v>15819</v>
      </c>
      <c r="G1880" s="2326">
        <f t="shared" si="152"/>
        <v>14367</v>
      </c>
    </row>
    <row r="1881" spans="1:7" ht="15.75">
      <c r="A1881" s="2486">
        <f t="shared" si="153"/>
        <v>90875</v>
      </c>
      <c r="B1881" s="2325">
        <v>90850</v>
      </c>
      <c r="C1881" s="2325">
        <v>90900</v>
      </c>
      <c r="D1881" s="2326">
        <f t="shared" si="149"/>
        <v>15831</v>
      </c>
      <c r="E1881" s="2326">
        <f t="shared" si="150"/>
        <v>11490</v>
      </c>
      <c r="F1881" s="2326">
        <f t="shared" si="151"/>
        <v>15831</v>
      </c>
      <c r="G1881" s="2326">
        <f t="shared" si="152"/>
        <v>14379</v>
      </c>
    </row>
    <row r="1882" spans="1:7" ht="15.75">
      <c r="A1882" s="2486">
        <f t="shared" si="153"/>
        <v>90925</v>
      </c>
      <c r="B1882" s="2325">
        <v>90900</v>
      </c>
      <c r="C1882" s="2325">
        <v>90950</v>
      </c>
      <c r="D1882" s="2326">
        <f t="shared" si="149"/>
        <v>15843</v>
      </c>
      <c r="E1882" s="2326">
        <f t="shared" si="150"/>
        <v>11501</v>
      </c>
      <c r="F1882" s="2326">
        <f t="shared" si="151"/>
        <v>15843</v>
      </c>
      <c r="G1882" s="2326">
        <f t="shared" si="152"/>
        <v>14391</v>
      </c>
    </row>
    <row r="1883" spans="1:7" ht="15.75">
      <c r="A1883" s="2486">
        <f t="shared" si="153"/>
        <v>90975</v>
      </c>
      <c r="B1883" s="2325">
        <v>90950</v>
      </c>
      <c r="C1883" s="2325">
        <v>91000</v>
      </c>
      <c r="D1883" s="2326">
        <f t="shared" si="149"/>
        <v>15855</v>
      </c>
      <c r="E1883" s="2326">
        <f t="shared" si="150"/>
        <v>11512</v>
      </c>
      <c r="F1883" s="2326">
        <f t="shared" si="151"/>
        <v>15855</v>
      </c>
      <c r="G1883" s="2326">
        <f t="shared" si="152"/>
        <v>14403</v>
      </c>
    </row>
    <row r="1884" spans="1:7" ht="15.75">
      <c r="A1884" s="2486">
        <f t="shared" si="153"/>
        <v>91025</v>
      </c>
      <c r="B1884" s="2325">
        <v>91000</v>
      </c>
      <c r="C1884" s="2325">
        <v>91050</v>
      </c>
      <c r="D1884" s="2326">
        <f t="shared" si="149"/>
        <v>15867</v>
      </c>
      <c r="E1884" s="2326">
        <f t="shared" si="150"/>
        <v>11523</v>
      </c>
      <c r="F1884" s="2326">
        <f t="shared" si="151"/>
        <v>15867</v>
      </c>
      <c r="G1884" s="2326">
        <f t="shared" si="152"/>
        <v>14415</v>
      </c>
    </row>
    <row r="1885" spans="1:7" ht="15.75">
      <c r="A1885" s="2486">
        <f t="shared" si="153"/>
        <v>91075</v>
      </c>
      <c r="B1885" s="2325">
        <v>91050</v>
      </c>
      <c r="C1885" s="2325">
        <v>91100</v>
      </c>
      <c r="D1885" s="2326">
        <f t="shared" si="149"/>
        <v>15879</v>
      </c>
      <c r="E1885" s="2326">
        <f t="shared" si="150"/>
        <v>11534</v>
      </c>
      <c r="F1885" s="2326">
        <f t="shared" si="151"/>
        <v>15879</v>
      </c>
      <c r="G1885" s="2326">
        <f t="shared" si="152"/>
        <v>14427</v>
      </c>
    </row>
    <row r="1886" spans="1:7" ht="15.75">
      <c r="A1886" s="2486">
        <f t="shared" si="153"/>
        <v>91125</v>
      </c>
      <c r="B1886" s="2325">
        <v>91100</v>
      </c>
      <c r="C1886" s="2325">
        <v>91150</v>
      </c>
      <c r="D1886" s="2326">
        <f t="shared" si="149"/>
        <v>15891</v>
      </c>
      <c r="E1886" s="2326">
        <f t="shared" si="150"/>
        <v>11545</v>
      </c>
      <c r="F1886" s="2326">
        <f t="shared" si="151"/>
        <v>15891</v>
      </c>
      <c r="G1886" s="2326">
        <f t="shared" si="152"/>
        <v>14439</v>
      </c>
    </row>
    <row r="1887" spans="1:7" ht="15.75">
      <c r="A1887" s="2486">
        <f t="shared" si="153"/>
        <v>91175</v>
      </c>
      <c r="B1887" s="2325">
        <v>91150</v>
      </c>
      <c r="C1887" s="2325">
        <v>91200</v>
      </c>
      <c r="D1887" s="2326">
        <f t="shared" si="149"/>
        <v>15903</v>
      </c>
      <c r="E1887" s="2326">
        <f t="shared" si="150"/>
        <v>11556</v>
      </c>
      <c r="F1887" s="2326">
        <f t="shared" si="151"/>
        <v>15903</v>
      </c>
      <c r="G1887" s="2326">
        <f t="shared" si="152"/>
        <v>14451</v>
      </c>
    </row>
    <row r="1888" spans="1:7" ht="15.75">
      <c r="A1888" s="2486">
        <f t="shared" si="153"/>
        <v>91225</v>
      </c>
      <c r="B1888" s="2325">
        <v>91200</v>
      </c>
      <c r="C1888" s="2325">
        <v>91250</v>
      </c>
      <c r="D1888" s="2326">
        <f t="shared" si="149"/>
        <v>15915</v>
      </c>
      <c r="E1888" s="2326">
        <f t="shared" si="150"/>
        <v>11567</v>
      </c>
      <c r="F1888" s="2326">
        <f t="shared" si="151"/>
        <v>15915</v>
      </c>
      <c r="G1888" s="2326">
        <f t="shared" si="152"/>
        <v>14463</v>
      </c>
    </row>
    <row r="1889" spans="1:7" ht="15.75">
      <c r="A1889" s="2486">
        <f t="shared" si="153"/>
        <v>91275</v>
      </c>
      <c r="B1889" s="2325">
        <v>91250</v>
      </c>
      <c r="C1889" s="2325">
        <v>91300</v>
      </c>
      <c r="D1889" s="2326">
        <f t="shared" si="149"/>
        <v>15927</v>
      </c>
      <c r="E1889" s="2326">
        <f t="shared" si="150"/>
        <v>11578</v>
      </c>
      <c r="F1889" s="2326">
        <f t="shared" si="151"/>
        <v>15927</v>
      </c>
      <c r="G1889" s="2326">
        <f t="shared" si="152"/>
        <v>14475</v>
      </c>
    </row>
    <row r="1890" spans="1:7" ht="15.75">
      <c r="A1890" s="2486">
        <f t="shared" si="153"/>
        <v>91325</v>
      </c>
      <c r="B1890" s="2325">
        <v>91300</v>
      </c>
      <c r="C1890" s="2325">
        <v>91350</v>
      </c>
      <c r="D1890" s="2326">
        <f t="shared" si="149"/>
        <v>15939</v>
      </c>
      <c r="E1890" s="2326">
        <f t="shared" si="150"/>
        <v>11589</v>
      </c>
      <c r="F1890" s="2326">
        <f t="shared" si="151"/>
        <v>15939</v>
      </c>
      <c r="G1890" s="2326">
        <f t="shared" si="152"/>
        <v>14487</v>
      </c>
    </row>
    <row r="1891" spans="1:7" ht="15.75">
      <c r="A1891" s="2486">
        <f t="shared" si="153"/>
        <v>91375</v>
      </c>
      <c r="B1891" s="2325">
        <v>91350</v>
      </c>
      <c r="C1891" s="2325">
        <v>91400</v>
      </c>
      <c r="D1891" s="2326">
        <f t="shared" si="149"/>
        <v>15951</v>
      </c>
      <c r="E1891" s="2326">
        <f t="shared" si="150"/>
        <v>11600</v>
      </c>
      <c r="F1891" s="2326">
        <f t="shared" si="151"/>
        <v>15951</v>
      </c>
      <c r="G1891" s="2326">
        <f t="shared" si="152"/>
        <v>14499</v>
      </c>
    </row>
    <row r="1892" spans="1:7" ht="15.75">
      <c r="A1892" s="2486">
        <f t="shared" si="153"/>
        <v>91425</v>
      </c>
      <c r="B1892" s="2325">
        <v>91400</v>
      </c>
      <c r="C1892" s="2325">
        <v>91450</v>
      </c>
      <c r="D1892" s="2326">
        <f t="shared" si="149"/>
        <v>15963</v>
      </c>
      <c r="E1892" s="2326">
        <f t="shared" si="150"/>
        <v>11611</v>
      </c>
      <c r="F1892" s="2326">
        <f t="shared" si="151"/>
        <v>15963</v>
      </c>
      <c r="G1892" s="2326">
        <f t="shared" si="152"/>
        <v>14511</v>
      </c>
    </row>
    <row r="1893" spans="1:7" ht="15.75">
      <c r="A1893" s="2486">
        <f t="shared" si="153"/>
        <v>91475</v>
      </c>
      <c r="B1893" s="2325">
        <v>91450</v>
      </c>
      <c r="C1893" s="2325">
        <v>91500</v>
      </c>
      <c r="D1893" s="2326">
        <f t="shared" si="149"/>
        <v>15975</v>
      </c>
      <c r="E1893" s="2326">
        <f t="shared" si="150"/>
        <v>11622</v>
      </c>
      <c r="F1893" s="2326">
        <f t="shared" si="151"/>
        <v>15975</v>
      </c>
      <c r="G1893" s="2326">
        <f t="shared" si="152"/>
        <v>14523</v>
      </c>
    </row>
    <row r="1894" spans="1:7" ht="15.75">
      <c r="A1894" s="2486">
        <f t="shared" si="153"/>
        <v>91525</v>
      </c>
      <c r="B1894" s="2325">
        <v>91500</v>
      </c>
      <c r="C1894" s="2325">
        <v>91550</v>
      </c>
      <c r="D1894" s="2326">
        <f t="shared" si="149"/>
        <v>15987</v>
      </c>
      <c r="E1894" s="2326">
        <f t="shared" si="150"/>
        <v>11633</v>
      </c>
      <c r="F1894" s="2326">
        <f t="shared" si="151"/>
        <v>15987</v>
      </c>
      <c r="G1894" s="2326">
        <f t="shared" si="152"/>
        <v>14535</v>
      </c>
    </row>
    <row r="1895" spans="1:7" ht="15.75">
      <c r="A1895" s="2486">
        <f t="shared" si="153"/>
        <v>91575</v>
      </c>
      <c r="B1895" s="2325">
        <v>91550</v>
      </c>
      <c r="C1895" s="2325">
        <v>91600</v>
      </c>
      <c r="D1895" s="2326">
        <f t="shared" si="149"/>
        <v>15999</v>
      </c>
      <c r="E1895" s="2326">
        <f t="shared" si="150"/>
        <v>11644</v>
      </c>
      <c r="F1895" s="2326">
        <f t="shared" si="151"/>
        <v>15999</v>
      </c>
      <c r="G1895" s="2326">
        <f t="shared" si="152"/>
        <v>14547</v>
      </c>
    </row>
    <row r="1896" spans="1:7" ht="15.75">
      <c r="A1896" s="2486">
        <f t="shared" si="153"/>
        <v>91625</v>
      </c>
      <c r="B1896" s="2325">
        <v>91600</v>
      </c>
      <c r="C1896" s="2325">
        <v>91650</v>
      </c>
      <c r="D1896" s="2326">
        <f t="shared" si="149"/>
        <v>16011</v>
      </c>
      <c r="E1896" s="2326">
        <f t="shared" si="150"/>
        <v>11655</v>
      </c>
      <c r="F1896" s="2326">
        <f t="shared" si="151"/>
        <v>16011</v>
      </c>
      <c r="G1896" s="2326">
        <f t="shared" si="152"/>
        <v>14559</v>
      </c>
    </row>
    <row r="1897" spans="1:7" ht="15.75">
      <c r="A1897" s="2486">
        <f t="shared" si="153"/>
        <v>91675</v>
      </c>
      <c r="B1897" s="2325">
        <v>91650</v>
      </c>
      <c r="C1897" s="2325">
        <v>91700</v>
      </c>
      <c r="D1897" s="2326">
        <f t="shared" si="149"/>
        <v>16023</v>
      </c>
      <c r="E1897" s="2326">
        <f t="shared" si="150"/>
        <v>11666</v>
      </c>
      <c r="F1897" s="2326">
        <f t="shared" si="151"/>
        <v>16023</v>
      </c>
      <c r="G1897" s="2326">
        <f t="shared" si="152"/>
        <v>14571</v>
      </c>
    </row>
    <row r="1898" spans="1:7" ht="15.75">
      <c r="A1898" s="2486">
        <f t="shared" si="153"/>
        <v>91725</v>
      </c>
      <c r="B1898" s="2325">
        <v>91700</v>
      </c>
      <c r="C1898" s="2325">
        <v>91750</v>
      </c>
      <c r="D1898" s="2326">
        <f t="shared" si="149"/>
        <v>16035</v>
      </c>
      <c r="E1898" s="2326">
        <f t="shared" si="150"/>
        <v>11677</v>
      </c>
      <c r="F1898" s="2326">
        <f t="shared" si="151"/>
        <v>16035</v>
      </c>
      <c r="G1898" s="2326">
        <f t="shared" si="152"/>
        <v>14583</v>
      </c>
    </row>
    <row r="1899" spans="1:7" ht="15.75">
      <c r="A1899" s="2486">
        <f t="shared" si="153"/>
        <v>91775</v>
      </c>
      <c r="B1899" s="2325">
        <v>91750</v>
      </c>
      <c r="C1899" s="2325">
        <v>91800</v>
      </c>
      <c r="D1899" s="2326">
        <f t="shared" si="149"/>
        <v>16047</v>
      </c>
      <c r="E1899" s="2326">
        <f t="shared" si="150"/>
        <v>11688</v>
      </c>
      <c r="F1899" s="2326">
        <f t="shared" si="151"/>
        <v>16047</v>
      </c>
      <c r="G1899" s="2326">
        <f t="shared" si="152"/>
        <v>14595</v>
      </c>
    </row>
    <row r="1900" spans="1:7" ht="15.75">
      <c r="A1900" s="2486">
        <f t="shared" si="153"/>
        <v>91825</v>
      </c>
      <c r="B1900" s="2325">
        <v>91800</v>
      </c>
      <c r="C1900" s="2325">
        <v>91850</v>
      </c>
      <c r="D1900" s="2326">
        <f t="shared" si="149"/>
        <v>16059</v>
      </c>
      <c r="E1900" s="2326">
        <f t="shared" si="150"/>
        <v>11699</v>
      </c>
      <c r="F1900" s="2326">
        <f t="shared" si="151"/>
        <v>16059</v>
      </c>
      <c r="G1900" s="2326">
        <f t="shared" si="152"/>
        <v>14607</v>
      </c>
    </row>
    <row r="1901" spans="1:7" ht="15.75">
      <c r="A1901" s="2486">
        <f t="shared" si="153"/>
        <v>91875</v>
      </c>
      <c r="B1901" s="2325">
        <v>91850</v>
      </c>
      <c r="C1901" s="2325">
        <v>91900</v>
      </c>
      <c r="D1901" s="2326">
        <f t="shared" si="149"/>
        <v>16071</v>
      </c>
      <c r="E1901" s="2326">
        <f t="shared" si="150"/>
        <v>11710</v>
      </c>
      <c r="F1901" s="2326">
        <f t="shared" si="151"/>
        <v>16071</v>
      </c>
      <c r="G1901" s="2326">
        <f t="shared" si="152"/>
        <v>14619</v>
      </c>
    </row>
    <row r="1902" spans="1:7" ht="15.75">
      <c r="A1902" s="2486">
        <f t="shared" si="153"/>
        <v>91925</v>
      </c>
      <c r="B1902" s="2325">
        <v>91900</v>
      </c>
      <c r="C1902" s="2325">
        <v>91950</v>
      </c>
      <c r="D1902" s="2326">
        <f t="shared" si="149"/>
        <v>16083</v>
      </c>
      <c r="E1902" s="2326">
        <f t="shared" si="150"/>
        <v>11721</v>
      </c>
      <c r="F1902" s="2326">
        <f t="shared" si="151"/>
        <v>16083</v>
      </c>
      <c r="G1902" s="2326">
        <f t="shared" si="152"/>
        <v>14631</v>
      </c>
    </row>
    <row r="1903" spans="1:7" ht="15.75">
      <c r="A1903" s="2486">
        <f t="shared" si="153"/>
        <v>91975</v>
      </c>
      <c r="B1903" s="2325">
        <v>91950</v>
      </c>
      <c r="C1903" s="2325">
        <v>92000</v>
      </c>
      <c r="D1903" s="2326">
        <f t="shared" si="149"/>
        <v>16095</v>
      </c>
      <c r="E1903" s="2326">
        <f t="shared" si="150"/>
        <v>11732</v>
      </c>
      <c r="F1903" s="2326">
        <f t="shared" si="151"/>
        <v>16095</v>
      </c>
      <c r="G1903" s="2326">
        <f t="shared" si="152"/>
        <v>14643</v>
      </c>
    </row>
    <row r="1904" spans="1:7" ht="15.75">
      <c r="A1904" s="2486">
        <f t="shared" si="153"/>
        <v>92025</v>
      </c>
      <c r="B1904" s="2325">
        <v>92000</v>
      </c>
      <c r="C1904" s="2325">
        <v>92050</v>
      </c>
      <c r="D1904" s="2326">
        <f t="shared" si="149"/>
        <v>16107</v>
      </c>
      <c r="E1904" s="2326">
        <f t="shared" si="150"/>
        <v>11743</v>
      </c>
      <c r="F1904" s="2326">
        <f t="shared" si="151"/>
        <v>16107</v>
      </c>
      <c r="G1904" s="2326">
        <f t="shared" si="152"/>
        <v>14655</v>
      </c>
    </row>
    <row r="1905" spans="1:7" ht="15.75">
      <c r="A1905" s="2486">
        <f t="shared" si="153"/>
        <v>92075</v>
      </c>
      <c r="B1905" s="2325">
        <v>92050</v>
      </c>
      <c r="C1905" s="2325">
        <v>92100</v>
      </c>
      <c r="D1905" s="2326">
        <f t="shared" si="149"/>
        <v>16119</v>
      </c>
      <c r="E1905" s="2326">
        <f t="shared" si="150"/>
        <v>11754</v>
      </c>
      <c r="F1905" s="2326">
        <f t="shared" si="151"/>
        <v>16119</v>
      </c>
      <c r="G1905" s="2326">
        <f t="shared" si="152"/>
        <v>14667</v>
      </c>
    </row>
    <row r="1906" spans="1:7" ht="15.75">
      <c r="A1906" s="2486">
        <f t="shared" si="153"/>
        <v>92125</v>
      </c>
      <c r="B1906" s="2325">
        <v>92100</v>
      </c>
      <c r="C1906" s="2325">
        <v>92150</v>
      </c>
      <c r="D1906" s="2326">
        <f t="shared" si="149"/>
        <v>16131</v>
      </c>
      <c r="E1906" s="2326">
        <f t="shared" si="150"/>
        <v>11765</v>
      </c>
      <c r="F1906" s="2326">
        <f t="shared" si="151"/>
        <v>16131</v>
      </c>
      <c r="G1906" s="2326">
        <f t="shared" si="152"/>
        <v>14679</v>
      </c>
    </row>
    <row r="1907" spans="1:7" ht="15.75">
      <c r="A1907" s="2486">
        <f t="shared" si="153"/>
        <v>92175</v>
      </c>
      <c r="B1907" s="2325">
        <v>92150</v>
      </c>
      <c r="C1907" s="2325">
        <v>92200</v>
      </c>
      <c r="D1907" s="2326">
        <f t="shared" si="149"/>
        <v>16143</v>
      </c>
      <c r="E1907" s="2326">
        <f t="shared" si="150"/>
        <v>11776</v>
      </c>
      <c r="F1907" s="2326">
        <f t="shared" si="151"/>
        <v>16143</v>
      </c>
      <c r="G1907" s="2326">
        <f t="shared" si="152"/>
        <v>14691</v>
      </c>
    </row>
    <row r="1908" spans="1:7" ht="15.75">
      <c r="A1908" s="2486">
        <f t="shared" si="153"/>
        <v>92225</v>
      </c>
      <c r="B1908" s="2325">
        <v>92200</v>
      </c>
      <c r="C1908" s="2325">
        <v>92250</v>
      </c>
      <c r="D1908" s="2326">
        <f t="shared" si="149"/>
        <v>16155</v>
      </c>
      <c r="E1908" s="2326">
        <f t="shared" si="150"/>
        <v>11787</v>
      </c>
      <c r="F1908" s="2326">
        <f t="shared" si="151"/>
        <v>16155</v>
      </c>
      <c r="G1908" s="2326">
        <f t="shared" si="152"/>
        <v>14703</v>
      </c>
    </row>
    <row r="1909" spans="1:7" ht="15.75">
      <c r="A1909" s="2486">
        <f t="shared" si="153"/>
        <v>92275</v>
      </c>
      <c r="B1909" s="2325">
        <v>92250</v>
      </c>
      <c r="C1909" s="2325">
        <v>92300</v>
      </c>
      <c r="D1909" s="2326">
        <f t="shared" si="149"/>
        <v>16167</v>
      </c>
      <c r="E1909" s="2326">
        <f t="shared" si="150"/>
        <v>11798</v>
      </c>
      <c r="F1909" s="2326">
        <f t="shared" si="151"/>
        <v>16167</v>
      </c>
      <c r="G1909" s="2326">
        <f t="shared" si="152"/>
        <v>14715</v>
      </c>
    </row>
    <row r="1910" spans="1:7" ht="15.75">
      <c r="A1910" s="2486">
        <f t="shared" si="153"/>
        <v>92325</v>
      </c>
      <c r="B1910" s="2325">
        <v>92300</v>
      </c>
      <c r="C1910" s="2325">
        <v>92350</v>
      </c>
      <c r="D1910" s="2326">
        <f t="shared" si="149"/>
        <v>16179</v>
      </c>
      <c r="E1910" s="2326">
        <f t="shared" si="150"/>
        <v>11809</v>
      </c>
      <c r="F1910" s="2326">
        <f t="shared" si="151"/>
        <v>16179</v>
      </c>
      <c r="G1910" s="2326">
        <f t="shared" si="152"/>
        <v>14727</v>
      </c>
    </row>
    <row r="1911" spans="1:7" ht="15.75">
      <c r="A1911" s="2486">
        <f t="shared" si="153"/>
        <v>92375</v>
      </c>
      <c r="B1911" s="2325">
        <v>92350</v>
      </c>
      <c r="C1911" s="2325">
        <v>92400</v>
      </c>
      <c r="D1911" s="2326">
        <f t="shared" si="149"/>
        <v>16191</v>
      </c>
      <c r="E1911" s="2326">
        <f t="shared" si="150"/>
        <v>11820</v>
      </c>
      <c r="F1911" s="2326">
        <f t="shared" si="151"/>
        <v>16191</v>
      </c>
      <c r="G1911" s="2326">
        <f t="shared" si="152"/>
        <v>14739</v>
      </c>
    </row>
    <row r="1912" spans="1:7" ht="15.75">
      <c r="A1912" s="2486">
        <f t="shared" si="153"/>
        <v>92425</v>
      </c>
      <c r="B1912" s="2325">
        <v>92400</v>
      </c>
      <c r="C1912" s="2325">
        <v>92450</v>
      </c>
      <c r="D1912" s="2326">
        <f t="shared" si="149"/>
        <v>16203</v>
      </c>
      <c r="E1912" s="2326">
        <f t="shared" si="150"/>
        <v>11831</v>
      </c>
      <c r="F1912" s="2326">
        <f t="shared" si="151"/>
        <v>16203</v>
      </c>
      <c r="G1912" s="2326">
        <f t="shared" si="152"/>
        <v>14751</v>
      </c>
    </row>
    <row r="1913" spans="1:7" ht="15.75">
      <c r="A1913" s="2486">
        <f t="shared" si="153"/>
        <v>92475</v>
      </c>
      <c r="B1913" s="2325">
        <v>92450</v>
      </c>
      <c r="C1913" s="2325">
        <v>92500</v>
      </c>
      <c r="D1913" s="2326">
        <f t="shared" si="149"/>
        <v>16215</v>
      </c>
      <c r="E1913" s="2326">
        <f t="shared" si="150"/>
        <v>11842</v>
      </c>
      <c r="F1913" s="2326">
        <f t="shared" si="151"/>
        <v>16215</v>
      </c>
      <c r="G1913" s="2326">
        <f t="shared" si="152"/>
        <v>14763</v>
      </c>
    </row>
    <row r="1914" spans="1:7" ht="15.75">
      <c r="A1914" s="2486">
        <f t="shared" si="153"/>
        <v>92525</v>
      </c>
      <c r="B1914" s="2325">
        <v>92500</v>
      </c>
      <c r="C1914" s="2325">
        <v>92550</v>
      </c>
      <c r="D1914" s="2326">
        <f t="shared" si="149"/>
        <v>16227</v>
      </c>
      <c r="E1914" s="2326">
        <f t="shared" si="150"/>
        <v>11853</v>
      </c>
      <c r="F1914" s="2326">
        <f t="shared" si="151"/>
        <v>16227</v>
      </c>
      <c r="G1914" s="2326">
        <f t="shared" si="152"/>
        <v>14775</v>
      </c>
    </row>
    <row r="1915" spans="1:7" ht="15.75">
      <c r="A1915" s="2486">
        <f t="shared" si="153"/>
        <v>92575</v>
      </c>
      <c r="B1915" s="2325">
        <v>92550</v>
      </c>
      <c r="C1915" s="2325">
        <v>92600</v>
      </c>
      <c r="D1915" s="2326">
        <f t="shared" si="149"/>
        <v>16239</v>
      </c>
      <c r="E1915" s="2326">
        <f t="shared" si="150"/>
        <v>11864</v>
      </c>
      <c r="F1915" s="2326">
        <f t="shared" si="151"/>
        <v>16239</v>
      </c>
      <c r="G1915" s="2326">
        <f t="shared" si="152"/>
        <v>14787</v>
      </c>
    </row>
    <row r="1916" spans="1:7" ht="15.75">
      <c r="A1916" s="2486">
        <f t="shared" si="153"/>
        <v>92625</v>
      </c>
      <c r="B1916" s="2325">
        <v>92600</v>
      </c>
      <c r="C1916" s="2325">
        <v>92650</v>
      </c>
      <c r="D1916" s="2326">
        <f t="shared" si="149"/>
        <v>16251</v>
      </c>
      <c r="E1916" s="2326">
        <f t="shared" si="150"/>
        <v>11875</v>
      </c>
      <c r="F1916" s="2326">
        <f t="shared" si="151"/>
        <v>16251</v>
      </c>
      <c r="G1916" s="2326">
        <f t="shared" si="152"/>
        <v>14799</v>
      </c>
    </row>
    <row r="1917" spans="1:7" ht="15.75">
      <c r="A1917" s="2486">
        <f t="shared" si="153"/>
        <v>92675</v>
      </c>
      <c r="B1917" s="2325">
        <v>92650</v>
      </c>
      <c r="C1917" s="2325">
        <v>92700</v>
      </c>
      <c r="D1917" s="2326">
        <f t="shared" si="149"/>
        <v>16263</v>
      </c>
      <c r="E1917" s="2326">
        <f t="shared" si="150"/>
        <v>11886</v>
      </c>
      <c r="F1917" s="2326">
        <f t="shared" si="151"/>
        <v>16263</v>
      </c>
      <c r="G1917" s="2326">
        <f t="shared" si="152"/>
        <v>14811</v>
      </c>
    </row>
    <row r="1918" spans="1:7" ht="15.75">
      <c r="A1918" s="2486">
        <f t="shared" si="153"/>
        <v>92725</v>
      </c>
      <c r="B1918" s="2325">
        <v>92700</v>
      </c>
      <c r="C1918" s="2325">
        <v>92750</v>
      </c>
      <c r="D1918" s="2326">
        <f t="shared" si="149"/>
        <v>16275</v>
      </c>
      <c r="E1918" s="2326">
        <f t="shared" si="150"/>
        <v>11897</v>
      </c>
      <c r="F1918" s="2326">
        <f t="shared" si="151"/>
        <v>16275</v>
      </c>
      <c r="G1918" s="2326">
        <f t="shared" si="152"/>
        <v>14823</v>
      </c>
    </row>
    <row r="1919" spans="1:7" ht="15.75">
      <c r="A1919" s="2486">
        <f t="shared" si="153"/>
        <v>92775</v>
      </c>
      <c r="B1919" s="2325">
        <v>92750</v>
      </c>
      <c r="C1919" s="2325">
        <v>92800</v>
      </c>
      <c r="D1919" s="2326">
        <f t="shared" si="149"/>
        <v>16287</v>
      </c>
      <c r="E1919" s="2326">
        <f t="shared" si="150"/>
        <v>11908</v>
      </c>
      <c r="F1919" s="2326">
        <f t="shared" si="151"/>
        <v>16287</v>
      </c>
      <c r="G1919" s="2326">
        <f t="shared" si="152"/>
        <v>14835</v>
      </c>
    </row>
    <row r="1920" spans="1:7" ht="15.75">
      <c r="A1920" s="2486">
        <f t="shared" si="153"/>
        <v>92825</v>
      </c>
      <c r="B1920" s="2325">
        <v>92800</v>
      </c>
      <c r="C1920" s="2325">
        <v>92850</v>
      </c>
      <c r="D1920" s="2326">
        <f t="shared" si="149"/>
        <v>16299</v>
      </c>
      <c r="E1920" s="2326">
        <f t="shared" si="150"/>
        <v>11919</v>
      </c>
      <c r="F1920" s="2326">
        <f t="shared" si="151"/>
        <v>16299</v>
      </c>
      <c r="G1920" s="2326">
        <f t="shared" si="152"/>
        <v>14847</v>
      </c>
    </row>
    <row r="1921" spans="1:7" ht="15.75">
      <c r="A1921" s="2486">
        <f t="shared" si="153"/>
        <v>92875</v>
      </c>
      <c r="B1921" s="2325">
        <v>92850</v>
      </c>
      <c r="C1921" s="2325">
        <v>92900</v>
      </c>
      <c r="D1921" s="2326">
        <f t="shared" si="149"/>
        <v>16311</v>
      </c>
      <c r="E1921" s="2326">
        <f t="shared" si="150"/>
        <v>11930</v>
      </c>
      <c r="F1921" s="2326">
        <f t="shared" si="151"/>
        <v>16311</v>
      </c>
      <c r="G1921" s="2326">
        <f t="shared" si="152"/>
        <v>14859</v>
      </c>
    </row>
    <row r="1922" spans="1:7" ht="15.75">
      <c r="A1922" s="2486">
        <f t="shared" si="153"/>
        <v>92925</v>
      </c>
      <c r="B1922" s="2325">
        <v>92900</v>
      </c>
      <c r="C1922" s="2325">
        <v>92950</v>
      </c>
      <c r="D1922" s="2326">
        <f t="shared" ref="D1922:D1985" si="154">IF($A1922&gt;BOTT_A4,ROUND(BASE_A4+RATE_A4*($A1922-BOTT_A4),0),IF($A1922&gt;BOTT_A3,ROUND(BASE_A3+RATE_A3*($A1922-BOTT_A3),0),IF($A1922&gt;BOTT_A2,ROUND(BASE_A2+RATE_A2*($A1922-BOTT_A2),0),ROUND(RATE_A1*$A1922,0))))</f>
        <v>16323</v>
      </c>
      <c r="E1922" s="2326">
        <f t="shared" ref="E1922:E1985" si="155">IF($A1922&gt;BOTT_B4,ROUND(BASE_B4+RATE_B4*($A1922-BOTT_B4),0),IF($A1922&gt;BOTT_B3,ROUND(BASE_B3+RATE_B3*($A1922-BOTT_B3),0),IF($A1922&gt;BOTT_B2,ROUND(BASE_B2+RATE_B2*($A1922-BOTT_B2),0),ROUND(RATE_B1*$A1922,0))))</f>
        <v>11941</v>
      </c>
      <c r="F1922" s="2326">
        <f t="shared" ref="F1922:F1985" si="156">IF($A1922&gt;BOTT_C4,ROUND(BASE_C4+RATE_C4*($A1922-BOTT_C4),0),IF($A1922&gt;BOTT_C3,ROUND(BASE_C3+RATE_C3*($A1922-BOTT_C3),0),IF($A1922&gt;BOTT_C2,ROUND(BASE_C2+RATE_C2*($A1922-BOTT_C2),0),ROUND(RATE_C1*$A1922,0))))</f>
        <v>16323</v>
      </c>
      <c r="G1922" s="2326">
        <f t="shared" ref="G1922:G1985" si="157">IF($A1922&gt;BOTT_D4,ROUND(BASE_D4+RATE_D4*($A1922-BOTT_D4),0),IF($A1922&gt;BOTT_D3,ROUND(BASE_D3+RATE_D3*($A1922-BOTT_D3),0),IF($A1922&gt;BOTT_D2,ROUND(BASE_D2+RATE_D2*($A1922-BOTT_D2),0),ROUND(RATE_D1*$A1922,0))))</f>
        <v>14871</v>
      </c>
    </row>
    <row r="1923" spans="1:7" ht="15.75">
      <c r="A1923" s="2486">
        <f t="shared" ref="A1923:A1986" si="158">AVERAGE(B1923,C1923)</f>
        <v>92975</v>
      </c>
      <c r="B1923" s="2325">
        <v>92950</v>
      </c>
      <c r="C1923" s="2325">
        <v>93000</v>
      </c>
      <c r="D1923" s="2326">
        <f t="shared" si="154"/>
        <v>16335</v>
      </c>
      <c r="E1923" s="2326">
        <f t="shared" si="155"/>
        <v>11952</v>
      </c>
      <c r="F1923" s="2326">
        <f t="shared" si="156"/>
        <v>16335</v>
      </c>
      <c r="G1923" s="2326">
        <f t="shared" si="157"/>
        <v>14883</v>
      </c>
    </row>
    <row r="1924" spans="1:7" ht="15.75">
      <c r="A1924" s="2486">
        <f t="shared" si="158"/>
        <v>93025</v>
      </c>
      <c r="B1924" s="2325">
        <v>93000</v>
      </c>
      <c r="C1924" s="2325">
        <v>93050</v>
      </c>
      <c r="D1924" s="2326">
        <f t="shared" si="154"/>
        <v>16347</v>
      </c>
      <c r="E1924" s="2326">
        <f t="shared" si="155"/>
        <v>11963</v>
      </c>
      <c r="F1924" s="2326">
        <f t="shared" si="156"/>
        <v>16347</v>
      </c>
      <c r="G1924" s="2326">
        <f t="shared" si="157"/>
        <v>14895</v>
      </c>
    </row>
    <row r="1925" spans="1:7" ht="15.75">
      <c r="A1925" s="2486">
        <f t="shared" si="158"/>
        <v>93075</v>
      </c>
      <c r="B1925" s="2325">
        <v>93050</v>
      </c>
      <c r="C1925" s="2325">
        <v>93100</v>
      </c>
      <c r="D1925" s="2326">
        <f t="shared" si="154"/>
        <v>16359</v>
      </c>
      <c r="E1925" s="2326">
        <f t="shared" si="155"/>
        <v>11974</v>
      </c>
      <c r="F1925" s="2326">
        <f t="shared" si="156"/>
        <v>16359</v>
      </c>
      <c r="G1925" s="2326">
        <f t="shared" si="157"/>
        <v>14907</v>
      </c>
    </row>
    <row r="1926" spans="1:7" ht="15.75">
      <c r="A1926" s="2486">
        <f t="shared" si="158"/>
        <v>93125</v>
      </c>
      <c r="B1926" s="2325">
        <v>93100</v>
      </c>
      <c r="C1926" s="2325">
        <v>93150</v>
      </c>
      <c r="D1926" s="2326">
        <f t="shared" si="154"/>
        <v>16371</v>
      </c>
      <c r="E1926" s="2326">
        <f t="shared" si="155"/>
        <v>11985</v>
      </c>
      <c r="F1926" s="2326">
        <f t="shared" si="156"/>
        <v>16371</v>
      </c>
      <c r="G1926" s="2326">
        <f t="shared" si="157"/>
        <v>14919</v>
      </c>
    </row>
    <row r="1927" spans="1:7" ht="15.75">
      <c r="A1927" s="2486">
        <f t="shared" si="158"/>
        <v>93175</v>
      </c>
      <c r="B1927" s="2325">
        <v>93150</v>
      </c>
      <c r="C1927" s="2325">
        <v>93200</v>
      </c>
      <c r="D1927" s="2326">
        <f t="shared" si="154"/>
        <v>16383</v>
      </c>
      <c r="E1927" s="2326">
        <f t="shared" si="155"/>
        <v>11996</v>
      </c>
      <c r="F1927" s="2326">
        <f t="shared" si="156"/>
        <v>16383</v>
      </c>
      <c r="G1927" s="2326">
        <f t="shared" si="157"/>
        <v>14931</v>
      </c>
    </row>
    <row r="1928" spans="1:7" ht="15.75">
      <c r="A1928" s="2486">
        <f t="shared" si="158"/>
        <v>93225</v>
      </c>
      <c r="B1928" s="2325">
        <v>93200</v>
      </c>
      <c r="C1928" s="2325">
        <v>93250</v>
      </c>
      <c r="D1928" s="2326">
        <f t="shared" si="154"/>
        <v>16395</v>
      </c>
      <c r="E1928" s="2326">
        <f t="shared" si="155"/>
        <v>12007</v>
      </c>
      <c r="F1928" s="2326">
        <f t="shared" si="156"/>
        <v>16395</v>
      </c>
      <c r="G1928" s="2326">
        <f t="shared" si="157"/>
        <v>14943</v>
      </c>
    </row>
    <row r="1929" spans="1:7" ht="15.75">
      <c r="A1929" s="2486">
        <f t="shared" si="158"/>
        <v>93275</v>
      </c>
      <c r="B1929" s="2325">
        <v>93250</v>
      </c>
      <c r="C1929" s="2325">
        <v>93300</v>
      </c>
      <c r="D1929" s="2326">
        <f t="shared" si="154"/>
        <v>16407</v>
      </c>
      <c r="E1929" s="2326">
        <f t="shared" si="155"/>
        <v>12018</v>
      </c>
      <c r="F1929" s="2326">
        <f t="shared" si="156"/>
        <v>16407</v>
      </c>
      <c r="G1929" s="2326">
        <f t="shared" si="157"/>
        <v>14955</v>
      </c>
    </row>
    <row r="1930" spans="1:7" ht="15.75">
      <c r="A1930" s="2486">
        <f t="shared" si="158"/>
        <v>93325</v>
      </c>
      <c r="B1930" s="2325">
        <v>93300</v>
      </c>
      <c r="C1930" s="2325">
        <v>93350</v>
      </c>
      <c r="D1930" s="2326">
        <f t="shared" si="154"/>
        <v>16419</v>
      </c>
      <c r="E1930" s="2326">
        <f t="shared" si="155"/>
        <v>12029</v>
      </c>
      <c r="F1930" s="2326">
        <f t="shared" si="156"/>
        <v>16419</v>
      </c>
      <c r="G1930" s="2326">
        <f t="shared" si="157"/>
        <v>14967</v>
      </c>
    </row>
    <row r="1931" spans="1:7" ht="15.75">
      <c r="A1931" s="2486">
        <f t="shared" si="158"/>
        <v>93375</v>
      </c>
      <c r="B1931" s="2325">
        <v>93350</v>
      </c>
      <c r="C1931" s="2325">
        <v>93400</v>
      </c>
      <c r="D1931" s="2326">
        <f t="shared" si="154"/>
        <v>16431</v>
      </c>
      <c r="E1931" s="2326">
        <f t="shared" si="155"/>
        <v>12040</v>
      </c>
      <c r="F1931" s="2326">
        <f t="shared" si="156"/>
        <v>16431</v>
      </c>
      <c r="G1931" s="2326">
        <f t="shared" si="157"/>
        <v>14979</v>
      </c>
    </row>
    <row r="1932" spans="1:7" ht="15.75">
      <c r="A1932" s="2486">
        <f t="shared" si="158"/>
        <v>93425</v>
      </c>
      <c r="B1932" s="2325">
        <v>93400</v>
      </c>
      <c r="C1932" s="2325">
        <v>93450</v>
      </c>
      <c r="D1932" s="2326">
        <f t="shared" si="154"/>
        <v>16443</v>
      </c>
      <c r="E1932" s="2326">
        <f t="shared" si="155"/>
        <v>12051</v>
      </c>
      <c r="F1932" s="2326">
        <f t="shared" si="156"/>
        <v>16443</v>
      </c>
      <c r="G1932" s="2326">
        <f t="shared" si="157"/>
        <v>14991</v>
      </c>
    </row>
    <row r="1933" spans="1:7" ht="15.75">
      <c r="A1933" s="2486">
        <f t="shared" si="158"/>
        <v>93475</v>
      </c>
      <c r="B1933" s="2325">
        <v>93450</v>
      </c>
      <c r="C1933" s="2325">
        <v>93500</v>
      </c>
      <c r="D1933" s="2326">
        <f t="shared" si="154"/>
        <v>16455</v>
      </c>
      <c r="E1933" s="2326">
        <f t="shared" si="155"/>
        <v>12062</v>
      </c>
      <c r="F1933" s="2326">
        <f t="shared" si="156"/>
        <v>16455</v>
      </c>
      <c r="G1933" s="2326">
        <f t="shared" si="157"/>
        <v>15003</v>
      </c>
    </row>
    <row r="1934" spans="1:7" ht="15.75">
      <c r="A1934" s="2486">
        <f t="shared" si="158"/>
        <v>93525</v>
      </c>
      <c r="B1934" s="2325">
        <v>93500</v>
      </c>
      <c r="C1934" s="2325">
        <v>93550</v>
      </c>
      <c r="D1934" s="2326">
        <f t="shared" si="154"/>
        <v>16467</v>
      </c>
      <c r="E1934" s="2326">
        <f t="shared" si="155"/>
        <v>12073</v>
      </c>
      <c r="F1934" s="2326">
        <f t="shared" si="156"/>
        <v>16467</v>
      </c>
      <c r="G1934" s="2326">
        <f t="shared" si="157"/>
        <v>15015</v>
      </c>
    </row>
    <row r="1935" spans="1:7" ht="15.75">
      <c r="A1935" s="2486">
        <f t="shared" si="158"/>
        <v>93575</v>
      </c>
      <c r="B1935" s="2325">
        <v>93550</v>
      </c>
      <c r="C1935" s="2325">
        <v>93600</v>
      </c>
      <c r="D1935" s="2326">
        <f t="shared" si="154"/>
        <v>16479</v>
      </c>
      <c r="E1935" s="2326">
        <f t="shared" si="155"/>
        <v>12084</v>
      </c>
      <c r="F1935" s="2326">
        <f t="shared" si="156"/>
        <v>16479</v>
      </c>
      <c r="G1935" s="2326">
        <f t="shared" si="157"/>
        <v>15027</v>
      </c>
    </row>
    <row r="1936" spans="1:7" ht="15.75">
      <c r="A1936" s="2486">
        <f t="shared" si="158"/>
        <v>93625</v>
      </c>
      <c r="B1936" s="2325">
        <v>93600</v>
      </c>
      <c r="C1936" s="2325">
        <v>93650</v>
      </c>
      <c r="D1936" s="2326">
        <f t="shared" si="154"/>
        <v>16491</v>
      </c>
      <c r="E1936" s="2326">
        <f t="shared" si="155"/>
        <v>12095</v>
      </c>
      <c r="F1936" s="2326">
        <f t="shared" si="156"/>
        <v>16491</v>
      </c>
      <c r="G1936" s="2326">
        <f t="shared" si="157"/>
        <v>15039</v>
      </c>
    </row>
    <row r="1937" spans="1:7" ht="15.75">
      <c r="A1937" s="2486">
        <f t="shared" si="158"/>
        <v>93675</v>
      </c>
      <c r="B1937" s="2325">
        <v>93650</v>
      </c>
      <c r="C1937" s="2325">
        <v>93700</v>
      </c>
      <c r="D1937" s="2326">
        <f t="shared" si="154"/>
        <v>16503</v>
      </c>
      <c r="E1937" s="2326">
        <f t="shared" si="155"/>
        <v>12106</v>
      </c>
      <c r="F1937" s="2326">
        <f t="shared" si="156"/>
        <v>16503</v>
      </c>
      <c r="G1937" s="2326">
        <f t="shared" si="157"/>
        <v>15051</v>
      </c>
    </row>
    <row r="1938" spans="1:7" ht="15.75">
      <c r="A1938" s="2486">
        <f t="shared" si="158"/>
        <v>93725</v>
      </c>
      <c r="B1938" s="2325">
        <v>93700</v>
      </c>
      <c r="C1938" s="2325">
        <v>93750</v>
      </c>
      <c r="D1938" s="2326">
        <f t="shared" si="154"/>
        <v>16515</v>
      </c>
      <c r="E1938" s="2326">
        <f t="shared" si="155"/>
        <v>12117</v>
      </c>
      <c r="F1938" s="2326">
        <f t="shared" si="156"/>
        <v>16515</v>
      </c>
      <c r="G1938" s="2326">
        <f t="shared" si="157"/>
        <v>15063</v>
      </c>
    </row>
    <row r="1939" spans="1:7" ht="15.75">
      <c r="A1939" s="2486">
        <f t="shared" si="158"/>
        <v>93775</v>
      </c>
      <c r="B1939" s="2325">
        <v>93750</v>
      </c>
      <c r="C1939" s="2325">
        <v>93800</v>
      </c>
      <c r="D1939" s="2326">
        <f t="shared" si="154"/>
        <v>16527</v>
      </c>
      <c r="E1939" s="2326">
        <f t="shared" si="155"/>
        <v>12128</v>
      </c>
      <c r="F1939" s="2326">
        <f t="shared" si="156"/>
        <v>16527</v>
      </c>
      <c r="G1939" s="2326">
        <f t="shared" si="157"/>
        <v>15075</v>
      </c>
    </row>
    <row r="1940" spans="1:7" ht="15.75">
      <c r="A1940" s="2486">
        <f t="shared" si="158"/>
        <v>93825</v>
      </c>
      <c r="B1940" s="2325">
        <v>93800</v>
      </c>
      <c r="C1940" s="2325">
        <v>93850</v>
      </c>
      <c r="D1940" s="2326">
        <f t="shared" si="154"/>
        <v>16539</v>
      </c>
      <c r="E1940" s="2326">
        <f t="shared" si="155"/>
        <v>12139</v>
      </c>
      <c r="F1940" s="2326">
        <f t="shared" si="156"/>
        <v>16539</v>
      </c>
      <c r="G1940" s="2326">
        <f t="shared" si="157"/>
        <v>15087</v>
      </c>
    </row>
    <row r="1941" spans="1:7" ht="15.75">
      <c r="A1941" s="2486">
        <f t="shared" si="158"/>
        <v>93875</v>
      </c>
      <c r="B1941" s="2325">
        <v>93850</v>
      </c>
      <c r="C1941" s="2325">
        <v>93900</v>
      </c>
      <c r="D1941" s="2326">
        <f t="shared" si="154"/>
        <v>16551</v>
      </c>
      <c r="E1941" s="2326">
        <f t="shared" si="155"/>
        <v>12150</v>
      </c>
      <c r="F1941" s="2326">
        <f t="shared" si="156"/>
        <v>16551</v>
      </c>
      <c r="G1941" s="2326">
        <f t="shared" si="157"/>
        <v>15099</v>
      </c>
    </row>
    <row r="1942" spans="1:7" ht="15.75">
      <c r="A1942" s="2486">
        <f t="shared" si="158"/>
        <v>93925</v>
      </c>
      <c r="B1942" s="2325">
        <v>93900</v>
      </c>
      <c r="C1942" s="2325">
        <v>93950</v>
      </c>
      <c r="D1942" s="2326">
        <f t="shared" si="154"/>
        <v>16563</v>
      </c>
      <c r="E1942" s="2326">
        <f t="shared" si="155"/>
        <v>12161</v>
      </c>
      <c r="F1942" s="2326">
        <f t="shared" si="156"/>
        <v>16563</v>
      </c>
      <c r="G1942" s="2326">
        <f t="shared" si="157"/>
        <v>15111</v>
      </c>
    </row>
    <row r="1943" spans="1:7" ht="15.75">
      <c r="A1943" s="2486">
        <f t="shared" si="158"/>
        <v>93975</v>
      </c>
      <c r="B1943" s="2325">
        <v>93950</v>
      </c>
      <c r="C1943" s="2325">
        <v>94000</v>
      </c>
      <c r="D1943" s="2326">
        <f t="shared" si="154"/>
        <v>16575</v>
      </c>
      <c r="E1943" s="2326">
        <f t="shared" si="155"/>
        <v>12172</v>
      </c>
      <c r="F1943" s="2326">
        <f t="shared" si="156"/>
        <v>16575</v>
      </c>
      <c r="G1943" s="2326">
        <f t="shared" si="157"/>
        <v>15123</v>
      </c>
    </row>
    <row r="1944" spans="1:7" ht="15.75">
      <c r="A1944" s="2486">
        <f t="shared" si="158"/>
        <v>94025</v>
      </c>
      <c r="B1944" s="2325">
        <v>94000</v>
      </c>
      <c r="C1944" s="2325">
        <v>94050</v>
      </c>
      <c r="D1944" s="2326">
        <f t="shared" si="154"/>
        <v>16587</v>
      </c>
      <c r="E1944" s="2326">
        <f t="shared" si="155"/>
        <v>12183</v>
      </c>
      <c r="F1944" s="2326">
        <f t="shared" si="156"/>
        <v>16587</v>
      </c>
      <c r="G1944" s="2326">
        <f t="shared" si="157"/>
        <v>15135</v>
      </c>
    </row>
    <row r="1945" spans="1:7" ht="15.75">
      <c r="A1945" s="2486">
        <f t="shared" si="158"/>
        <v>94075</v>
      </c>
      <c r="B1945" s="2325">
        <v>94050</v>
      </c>
      <c r="C1945" s="2325">
        <v>94100</v>
      </c>
      <c r="D1945" s="2326">
        <f t="shared" si="154"/>
        <v>16599</v>
      </c>
      <c r="E1945" s="2326">
        <f t="shared" si="155"/>
        <v>12194</v>
      </c>
      <c r="F1945" s="2326">
        <f t="shared" si="156"/>
        <v>16599</v>
      </c>
      <c r="G1945" s="2326">
        <f t="shared" si="157"/>
        <v>15147</v>
      </c>
    </row>
    <row r="1946" spans="1:7" ht="15.75">
      <c r="A1946" s="2486">
        <f t="shared" si="158"/>
        <v>94125</v>
      </c>
      <c r="B1946" s="2325">
        <v>94100</v>
      </c>
      <c r="C1946" s="2325">
        <v>94150</v>
      </c>
      <c r="D1946" s="2326">
        <f t="shared" si="154"/>
        <v>16611</v>
      </c>
      <c r="E1946" s="2326">
        <f t="shared" si="155"/>
        <v>12205</v>
      </c>
      <c r="F1946" s="2326">
        <f t="shared" si="156"/>
        <v>16611</v>
      </c>
      <c r="G1946" s="2326">
        <f t="shared" si="157"/>
        <v>15159</v>
      </c>
    </row>
    <row r="1947" spans="1:7" ht="15.75">
      <c r="A1947" s="2486">
        <f t="shared" si="158"/>
        <v>94175</v>
      </c>
      <c r="B1947" s="2325">
        <v>94150</v>
      </c>
      <c r="C1947" s="2325">
        <v>94200</v>
      </c>
      <c r="D1947" s="2326">
        <f t="shared" si="154"/>
        <v>16623</v>
      </c>
      <c r="E1947" s="2326">
        <f t="shared" si="155"/>
        <v>12216</v>
      </c>
      <c r="F1947" s="2326">
        <f t="shared" si="156"/>
        <v>16623</v>
      </c>
      <c r="G1947" s="2326">
        <f t="shared" si="157"/>
        <v>15171</v>
      </c>
    </row>
    <row r="1948" spans="1:7" ht="15.75">
      <c r="A1948" s="2486">
        <f t="shared" si="158"/>
        <v>94225</v>
      </c>
      <c r="B1948" s="2325">
        <v>94200</v>
      </c>
      <c r="C1948" s="2325">
        <v>94250</v>
      </c>
      <c r="D1948" s="2326">
        <f t="shared" si="154"/>
        <v>16635</v>
      </c>
      <c r="E1948" s="2326">
        <f t="shared" si="155"/>
        <v>12227</v>
      </c>
      <c r="F1948" s="2326">
        <f t="shared" si="156"/>
        <v>16635</v>
      </c>
      <c r="G1948" s="2326">
        <f t="shared" si="157"/>
        <v>15183</v>
      </c>
    </row>
    <row r="1949" spans="1:7" ht="15.75">
      <c r="A1949" s="2486">
        <f t="shared" si="158"/>
        <v>94275</v>
      </c>
      <c r="B1949" s="2325">
        <v>94250</v>
      </c>
      <c r="C1949" s="2325">
        <v>94300</v>
      </c>
      <c r="D1949" s="2326">
        <f t="shared" si="154"/>
        <v>16647</v>
      </c>
      <c r="E1949" s="2326">
        <f t="shared" si="155"/>
        <v>12238</v>
      </c>
      <c r="F1949" s="2326">
        <f t="shared" si="156"/>
        <v>16647</v>
      </c>
      <c r="G1949" s="2326">
        <f t="shared" si="157"/>
        <v>15195</v>
      </c>
    </row>
    <row r="1950" spans="1:7" ht="15.75">
      <c r="A1950" s="2486">
        <f t="shared" si="158"/>
        <v>94325</v>
      </c>
      <c r="B1950" s="2325">
        <v>94300</v>
      </c>
      <c r="C1950" s="2325">
        <v>94350</v>
      </c>
      <c r="D1950" s="2326">
        <f t="shared" si="154"/>
        <v>16659</v>
      </c>
      <c r="E1950" s="2326">
        <f t="shared" si="155"/>
        <v>12249</v>
      </c>
      <c r="F1950" s="2326">
        <f t="shared" si="156"/>
        <v>16659</v>
      </c>
      <c r="G1950" s="2326">
        <f t="shared" si="157"/>
        <v>15207</v>
      </c>
    </row>
    <row r="1951" spans="1:7" ht="15.75">
      <c r="A1951" s="2486">
        <f t="shared" si="158"/>
        <v>94375</v>
      </c>
      <c r="B1951" s="2325">
        <v>94350</v>
      </c>
      <c r="C1951" s="2325">
        <v>94400</v>
      </c>
      <c r="D1951" s="2326">
        <f t="shared" si="154"/>
        <v>16671</v>
      </c>
      <c r="E1951" s="2326">
        <f t="shared" si="155"/>
        <v>12260</v>
      </c>
      <c r="F1951" s="2326">
        <f t="shared" si="156"/>
        <v>16671</v>
      </c>
      <c r="G1951" s="2326">
        <f t="shared" si="157"/>
        <v>15219</v>
      </c>
    </row>
    <row r="1952" spans="1:7" ht="15.75">
      <c r="A1952" s="2486">
        <f t="shared" si="158"/>
        <v>94425</v>
      </c>
      <c r="B1952" s="2325">
        <v>94400</v>
      </c>
      <c r="C1952" s="2325">
        <v>94450</v>
      </c>
      <c r="D1952" s="2326">
        <f t="shared" si="154"/>
        <v>16683</v>
      </c>
      <c r="E1952" s="2326">
        <f t="shared" si="155"/>
        <v>12271</v>
      </c>
      <c r="F1952" s="2326">
        <f t="shared" si="156"/>
        <v>16683</v>
      </c>
      <c r="G1952" s="2326">
        <f t="shared" si="157"/>
        <v>15231</v>
      </c>
    </row>
    <row r="1953" spans="1:7" ht="15.75">
      <c r="A1953" s="2486">
        <f t="shared" si="158"/>
        <v>94475</v>
      </c>
      <c r="B1953" s="2325">
        <v>94450</v>
      </c>
      <c r="C1953" s="2325">
        <v>94500</v>
      </c>
      <c r="D1953" s="2326">
        <f t="shared" si="154"/>
        <v>16695</v>
      </c>
      <c r="E1953" s="2326">
        <f t="shared" si="155"/>
        <v>12282</v>
      </c>
      <c r="F1953" s="2326">
        <f t="shared" si="156"/>
        <v>16695</v>
      </c>
      <c r="G1953" s="2326">
        <f t="shared" si="157"/>
        <v>15243</v>
      </c>
    </row>
    <row r="1954" spans="1:7" ht="15.75">
      <c r="A1954" s="2486">
        <f t="shared" si="158"/>
        <v>94525</v>
      </c>
      <c r="B1954" s="2325">
        <v>94500</v>
      </c>
      <c r="C1954" s="2325">
        <v>94550</v>
      </c>
      <c r="D1954" s="2326">
        <f t="shared" si="154"/>
        <v>16707</v>
      </c>
      <c r="E1954" s="2326">
        <f t="shared" si="155"/>
        <v>12293</v>
      </c>
      <c r="F1954" s="2326">
        <f t="shared" si="156"/>
        <v>16707</v>
      </c>
      <c r="G1954" s="2326">
        <f t="shared" si="157"/>
        <v>15255</v>
      </c>
    </row>
    <row r="1955" spans="1:7" ht="15.75">
      <c r="A1955" s="2486">
        <f t="shared" si="158"/>
        <v>94575</v>
      </c>
      <c r="B1955" s="2325">
        <v>94550</v>
      </c>
      <c r="C1955" s="2325">
        <v>94600</v>
      </c>
      <c r="D1955" s="2326">
        <f t="shared" si="154"/>
        <v>16719</v>
      </c>
      <c r="E1955" s="2326">
        <f t="shared" si="155"/>
        <v>12304</v>
      </c>
      <c r="F1955" s="2326">
        <f t="shared" si="156"/>
        <v>16719</v>
      </c>
      <c r="G1955" s="2326">
        <f t="shared" si="157"/>
        <v>15267</v>
      </c>
    </row>
    <row r="1956" spans="1:7" ht="15.75">
      <c r="A1956" s="2486">
        <f t="shared" si="158"/>
        <v>94625</v>
      </c>
      <c r="B1956" s="2325">
        <v>94600</v>
      </c>
      <c r="C1956" s="2325">
        <v>94650</v>
      </c>
      <c r="D1956" s="2326">
        <f t="shared" si="154"/>
        <v>16731</v>
      </c>
      <c r="E1956" s="2326">
        <f t="shared" si="155"/>
        <v>12315</v>
      </c>
      <c r="F1956" s="2326">
        <f t="shared" si="156"/>
        <v>16731</v>
      </c>
      <c r="G1956" s="2326">
        <f t="shared" si="157"/>
        <v>15279</v>
      </c>
    </row>
    <row r="1957" spans="1:7" ht="15.75">
      <c r="A1957" s="2486">
        <f t="shared" si="158"/>
        <v>94675</v>
      </c>
      <c r="B1957" s="2325">
        <v>94650</v>
      </c>
      <c r="C1957" s="2325">
        <v>94700</v>
      </c>
      <c r="D1957" s="2326">
        <f t="shared" si="154"/>
        <v>16743</v>
      </c>
      <c r="E1957" s="2326">
        <f t="shared" si="155"/>
        <v>12326</v>
      </c>
      <c r="F1957" s="2326">
        <f t="shared" si="156"/>
        <v>16743</v>
      </c>
      <c r="G1957" s="2326">
        <f t="shared" si="157"/>
        <v>15291</v>
      </c>
    </row>
    <row r="1958" spans="1:7" ht="15.75">
      <c r="A1958" s="2486">
        <f t="shared" si="158"/>
        <v>94725</v>
      </c>
      <c r="B1958" s="2325">
        <v>94700</v>
      </c>
      <c r="C1958" s="2325">
        <v>94750</v>
      </c>
      <c r="D1958" s="2326">
        <f t="shared" si="154"/>
        <v>16755</v>
      </c>
      <c r="E1958" s="2326">
        <f t="shared" si="155"/>
        <v>12337</v>
      </c>
      <c r="F1958" s="2326">
        <f t="shared" si="156"/>
        <v>16755</v>
      </c>
      <c r="G1958" s="2326">
        <f t="shared" si="157"/>
        <v>15303</v>
      </c>
    </row>
    <row r="1959" spans="1:7" ht="15.75">
      <c r="A1959" s="2486">
        <f t="shared" si="158"/>
        <v>94775</v>
      </c>
      <c r="B1959" s="2325">
        <v>94750</v>
      </c>
      <c r="C1959" s="2325">
        <v>94800</v>
      </c>
      <c r="D1959" s="2326">
        <f t="shared" si="154"/>
        <v>16767</v>
      </c>
      <c r="E1959" s="2326">
        <f t="shared" si="155"/>
        <v>12348</v>
      </c>
      <c r="F1959" s="2326">
        <f t="shared" si="156"/>
        <v>16767</v>
      </c>
      <c r="G1959" s="2326">
        <f t="shared" si="157"/>
        <v>15315</v>
      </c>
    </row>
    <row r="1960" spans="1:7" ht="15.75">
      <c r="A1960" s="2486">
        <f t="shared" si="158"/>
        <v>94825</v>
      </c>
      <c r="B1960" s="2325">
        <v>94800</v>
      </c>
      <c r="C1960" s="2325">
        <v>94850</v>
      </c>
      <c r="D1960" s="2326">
        <f t="shared" si="154"/>
        <v>16779</v>
      </c>
      <c r="E1960" s="2326">
        <f t="shared" si="155"/>
        <v>12359</v>
      </c>
      <c r="F1960" s="2326">
        <f t="shared" si="156"/>
        <v>16779</v>
      </c>
      <c r="G1960" s="2326">
        <f t="shared" si="157"/>
        <v>15327</v>
      </c>
    </row>
    <row r="1961" spans="1:7" ht="15.75">
      <c r="A1961" s="2486">
        <f t="shared" si="158"/>
        <v>94875</v>
      </c>
      <c r="B1961" s="2325">
        <v>94850</v>
      </c>
      <c r="C1961" s="2325">
        <v>94900</v>
      </c>
      <c r="D1961" s="2326">
        <f t="shared" si="154"/>
        <v>16791</v>
      </c>
      <c r="E1961" s="2326">
        <f t="shared" si="155"/>
        <v>12370</v>
      </c>
      <c r="F1961" s="2326">
        <f t="shared" si="156"/>
        <v>16791</v>
      </c>
      <c r="G1961" s="2326">
        <f t="shared" si="157"/>
        <v>15339</v>
      </c>
    </row>
    <row r="1962" spans="1:7" ht="15.75">
      <c r="A1962" s="2486">
        <f t="shared" si="158"/>
        <v>94925</v>
      </c>
      <c r="B1962" s="2325">
        <v>94900</v>
      </c>
      <c r="C1962" s="2325">
        <v>94950</v>
      </c>
      <c r="D1962" s="2326">
        <f t="shared" si="154"/>
        <v>16803</v>
      </c>
      <c r="E1962" s="2326">
        <f t="shared" si="155"/>
        <v>12381</v>
      </c>
      <c r="F1962" s="2326">
        <f t="shared" si="156"/>
        <v>16803</v>
      </c>
      <c r="G1962" s="2326">
        <f t="shared" si="157"/>
        <v>15351</v>
      </c>
    </row>
    <row r="1963" spans="1:7" ht="15.75">
      <c r="A1963" s="2486">
        <f t="shared" si="158"/>
        <v>94975</v>
      </c>
      <c r="B1963" s="2325">
        <v>94950</v>
      </c>
      <c r="C1963" s="2325">
        <v>95000</v>
      </c>
      <c r="D1963" s="2326">
        <f t="shared" si="154"/>
        <v>16815</v>
      </c>
      <c r="E1963" s="2326">
        <f t="shared" si="155"/>
        <v>12392</v>
      </c>
      <c r="F1963" s="2326">
        <f t="shared" si="156"/>
        <v>16815</v>
      </c>
      <c r="G1963" s="2326">
        <f t="shared" si="157"/>
        <v>15363</v>
      </c>
    </row>
    <row r="1964" spans="1:7" ht="15.75">
      <c r="A1964" s="2486">
        <f t="shared" si="158"/>
        <v>95025</v>
      </c>
      <c r="B1964" s="2325">
        <v>95000</v>
      </c>
      <c r="C1964" s="2325">
        <v>95050</v>
      </c>
      <c r="D1964" s="2326">
        <f t="shared" si="154"/>
        <v>16827</v>
      </c>
      <c r="E1964" s="2326">
        <f t="shared" si="155"/>
        <v>12403</v>
      </c>
      <c r="F1964" s="2326">
        <f t="shared" si="156"/>
        <v>16827</v>
      </c>
      <c r="G1964" s="2326">
        <f t="shared" si="157"/>
        <v>15375</v>
      </c>
    </row>
    <row r="1965" spans="1:7" ht="15.75">
      <c r="A1965" s="2486">
        <f t="shared" si="158"/>
        <v>95075</v>
      </c>
      <c r="B1965" s="2325">
        <v>95050</v>
      </c>
      <c r="C1965" s="2325">
        <v>95100</v>
      </c>
      <c r="D1965" s="2326">
        <f t="shared" si="154"/>
        <v>16839</v>
      </c>
      <c r="E1965" s="2326">
        <f t="shared" si="155"/>
        <v>12414</v>
      </c>
      <c r="F1965" s="2326">
        <f t="shared" si="156"/>
        <v>16839</v>
      </c>
      <c r="G1965" s="2326">
        <f t="shared" si="157"/>
        <v>15387</v>
      </c>
    </row>
    <row r="1966" spans="1:7" ht="15.75">
      <c r="A1966" s="2486">
        <f t="shared" si="158"/>
        <v>95125</v>
      </c>
      <c r="B1966" s="2325">
        <v>95100</v>
      </c>
      <c r="C1966" s="2325">
        <v>95150</v>
      </c>
      <c r="D1966" s="2326">
        <f t="shared" si="154"/>
        <v>16851</v>
      </c>
      <c r="E1966" s="2326">
        <f t="shared" si="155"/>
        <v>12425</v>
      </c>
      <c r="F1966" s="2326">
        <f t="shared" si="156"/>
        <v>16851</v>
      </c>
      <c r="G1966" s="2326">
        <f t="shared" si="157"/>
        <v>15399</v>
      </c>
    </row>
    <row r="1967" spans="1:7" ht="15.75">
      <c r="A1967" s="2486">
        <f t="shared" si="158"/>
        <v>95175</v>
      </c>
      <c r="B1967" s="2325">
        <v>95150</v>
      </c>
      <c r="C1967" s="2325">
        <v>95200</v>
      </c>
      <c r="D1967" s="2326">
        <f t="shared" si="154"/>
        <v>16863</v>
      </c>
      <c r="E1967" s="2326">
        <f t="shared" si="155"/>
        <v>12436</v>
      </c>
      <c r="F1967" s="2326">
        <f t="shared" si="156"/>
        <v>16863</v>
      </c>
      <c r="G1967" s="2326">
        <f t="shared" si="157"/>
        <v>15411</v>
      </c>
    </row>
    <row r="1968" spans="1:7" ht="15.75">
      <c r="A1968" s="2486">
        <f t="shared" si="158"/>
        <v>95225</v>
      </c>
      <c r="B1968" s="2325">
        <v>95200</v>
      </c>
      <c r="C1968" s="2325">
        <v>95250</v>
      </c>
      <c r="D1968" s="2326">
        <f t="shared" si="154"/>
        <v>16875</v>
      </c>
      <c r="E1968" s="2326">
        <f t="shared" si="155"/>
        <v>12447</v>
      </c>
      <c r="F1968" s="2326">
        <f t="shared" si="156"/>
        <v>16875</v>
      </c>
      <c r="G1968" s="2326">
        <f t="shared" si="157"/>
        <v>15423</v>
      </c>
    </row>
    <row r="1969" spans="1:7" ht="15.75">
      <c r="A1969" s="2486">
        <f t="shared" si="158"/>
        <v>95275</v>
      </c>
      <c r="B1969" s="2325">
        <v>95250</v>
      </c>
      <c r="C1969" s="2325">
        <v>95300</v>
      </c>
      <c r="D1969" s="2326">
        <f t="shared" si="154"/>
        <v>16887</v>
      </c>
      <c r="E1969" s="2326">
        <f t="shared" si="155"/>
        <v>12458</v>
      </c>
      <c r="F1969" s="2326">
        <f t="shared" si="156"/>
        <v>16887</v>
      </c>
      <c r="G1969" s="2326">
        <f t="shared" si="157"/>
        <v>15435</v>
      </c>
    </row>
    <row r="1970" spans="1:7" ht="15.75">
      <c r="A1970" s="2486">
        <f t="shared" si="158"/>
        <v>95325</v>
      </c>
      <c r="B1970" s="2325">
        <v>95300</v>
      </c>
      <c r="C1970" s="2325">
        <v>95350</v>
      </c>
      <c r="D1970" s="2326">
        <f t="shared" si="154"/>
        <v>16899</v>
      </c>
      <c r="E1970" s="2326">
        <f t="shared" si="155"/>
        <v>12469</v>
      </c>
      <c r="F1970" s="2326">
        <f t="shared" si="156"/>
        <v>16899</v>
      </c>
      <c r="G1970" s="2326">
        <f t="shared" si="157"/>
        <v>15447</v>
      </c>
    </row>
    <row r="1971" spans="1:7" ht="15.75">
      <c r="A1971" s="2486">
        <f t="shared" si="158"/>
        <v>95375</v>
      </c>
      <c r="B1971" s="2325">
        <v>95350</v>
      </c>
      <c r="C1971" s="2325">
        <v>95400</v>
      </c>
      <c r="D1971" s="2326">
        <f t="shared" si="154"/>
        <v>16911</v>
      </c>
      <c r="E1971" s="2326">
        <f t="shared" si="155"/>
        <v>12480</v>
      </c>
      <c r="F1971" s="2326">
        <f t="shared" si="156"/>
        <v>16911</v>
      </c>
      <c r="G1971" s="2326">
        <f t="shared" si="157"/>
        <v>15459</v>
      </c>
    </row>
    <row r="1972" spans="1:7" ht="15.75">
      <c r="A1972" s="2486">
        <f t="shared" si="158"/>
        <v>95425</v>
      </c>
      <c r="B1972" s="2325">
        <v>95400</v>
      </c>
      <c r="C1972" s="2325">
        <v>95450</v>
      </c>
      <c r="D1972" s="2326">
        <f t="shared" si="154"/>
        <v>16923</v>
      </c>
      <c r="E1972" s="2326">
        <f t="shared" si="155"/>
        <v>12491</v>
      </c>
      <c r="F1972" s="2326">
        <f t="shared" si="156"/>
        <v>16923</v>
      </c>
      <c r="G1972" s="2326">
        <f t="shared" si="157"/>
        <v>15471</v>
      </c>
    </row>
    <row r="1973" spans="1:7" ht="15.75">
      <c r="A1973" s="2486">
        <f t="shared" si="158"/>
        <v>95475</v>
      </c>
      <c r="B1973" s="2325">
        <v>95450</v>
      </c>
      <c r="C1973" s="2325">
        <v>95500</v>
      </c>
      <c r="D1973" s="2326">
        <f t="shared" si="154"/>
        <v>16935</v>
      </c>
      <c r="E1973" s="2326">
        <f t="shared" si="155"/>
        <v>12502</v>
      </c>
      <c r="F1973" s="2326">
        <f t="shared" si="156"/>
        <v>16935</v>
      </c>
      <c r="G1973" s="2326">
        <f t="shared" si="157"/>
        <v>15483</v>
      </c>
    </row>
    <row r="1974" spans="1:7" ht="15.75">
      <c r="A1974" s="2486">
        <f t="shared" si="158"/>
        <v>95525</v>
      </c>
      <c r="B1974" s="2325">
        <v>95500</v>
      </c>
      <c r="C1974" s="2325">
        <v>95550</v>
      </c>
      <c r="D1974" s="2326">
        <f t="shared" si="154"/>
        <v>16947</v>
      </c>
      <c r="E1974" s="2326">
        <f t="shared" si="155"/>
        <v>12513</v>
      </c>
      <c r="F1974" s="2326">
        <f t="shared" si="156"/>
        <v>16947</v>
      </c>
      <c r="G1974" s="2326">
        <f t="shared" si="157"/>
        <v>15495</v>
      </c>
    </row>
    <row r="1975" spans="1:7" ht="15.75">
      <c r="A1975" s="2486">
        <f t="shared" si="158"/>
        <v>95575</v>
      </c>
      <c r="B1975" s="2325">
        <v>95550</v>
      </c>
      <c r="C1975" s="2325">
        <v>95600</v>
      </c>
      <c r="D1975" s="2326">
        <f t="shared" si="154"/>
        <v>16959</v>
      </c>
      <c r="E1975" s="2326">
        <f t="shared" si="155"/>
        <v>12524</v>
      </c>
      <c r="F1975" s="2326">
        <f t="shared" si="156"/>
        <v>16959</v>
      </c>
      <c r="G1975" s="2326">
        <f t="shared" si="157"/>
        <v>15507</v>
      </c>
    </row>
    <row r="1976" spans="1:7" ht="15.75">
      <c r="A1976" s="2486">
        <f t="shared" si="158"/>
        <v>95625</v>
      </c>
      <c r="B1976" s="2325">
        <v>95600</v>
      </c>
      <c r="C1976" s="2325">
        <v>95650</v>
      </c>
      <c r="D1976" s="2326">
        <f t="shared" si="154"/>
        <v>16971</v>
      </c>
      <c r="E1976" s="2326">
        <f t="shared" si="155"/>
        <v>12535</v>
      </c>
      <c r="F1976" s="2326">
        <f t="shared" si="156"/>
        <v>16971</v>
      </c>
      <c r="G1976" s="2326">
        <f t="shared" si="157"/>
        <v>15519</v>
      </c>
    </row>
    <row r="1977" spans="1:7" ht="15.75">
      <c r="A1977" s="2486">
        <f t="shared" si="158"/>
        <v>95675</v>
      </c>
      <c r="B1977" s="2325">
        <v>95650</v>
      </c>
      <c r="C1977" s="2325">
        <v>95700</v>
      </c>
      <c r="D1977" s="2326">
        <f t="shared" si="154"/>
        <v>16983</v>
      </c>
      <c r="E1977" s="2326">
        <f t="shared" si="155"/>
        <v>12546</v>
      </c>
      <c r="F1977" s="2326">
        <f t="shared" si="156"/>
        <v>16983</v>
      </c>
      <c r="G1977" s="2326">
        <f t="shared" si="157"/>
        <v>15531</v>
      </c>
    </row>
    <row r="1978" spans="1:7" ht="15.75">
      <c r="A1978" s="2486">
        <f t="shared" si="158"/>
        <v>95725</v>
      </c>
      <c r="B1978" s="2325">
        <v>95700</v>
      </c>
      <c r="C1978" s="2325">
        <v>95750</v>
      </c>
      <c r="D1978" s="2326">
        <f t="shared" si="154"/>
        <v>16995</v>
      </c>
      <c r="E1978" s="2326">
        <f t="shared" si="155"/>
        <v>12557</v>
      </c>
      <c r="F1978" s="2326">
        <f t="shared" si="156"/>
        <v>16995</v>
      </c>
      <c r="G1978" s="2326">
        <f t="shared" si="157"/>
        <v>15543</v>
      </c>
    </row>
    <row r="1979" spans="1:7" ht="15.75">
      <c r="A1979" s="2486">
        <f t="shared" si="158"/>
        <v>95775</v>
      </c>
      <c r="B1979" s="2325">
        <v>95750</v>
      </c>
      <c r="C1979" s="2325">
        <v>95800</v>
      </c>
      <c r="D1979" s="2326">
        <f t="shared" si="154"/>
        <v>17007</v>
      </c>
      <c r="E1979" s="2326">
        <f t="shared" si="155"/>
        <v>12568</v>
      </c>
      <c r="F1979" s="2326">
        <f t="shared" si="156"/>
        <v>17007</v>
      </c>
      <c r="G1979" s="2326">
        <f t="shared" si="157"/>
        <v>15555</v>
      </c>
    </row>
    <row r="1980" spans="1:7" ht="15.75">
      <c r="A1980" s="2486">
        <f t="shared" si="158"/>
        <v>95825</v>
      </c>
      <c r="B1980" s="2325">
        <v>95800</v>
      </c>
      <c r="C1980" s="2325">
        <v>95850</v>
      </c>
      <c r="D1980" s="2326">
        <f t="shared" si="154"/>
        <v>17019</v>
      </c>
      <c r="E1980" s="2326">
        <f t="shared" si="155"/>
        <v>12579</v>
      </c>
      <c r="F1980" s="2326">
        <f t="shared" si="156"/>
        <v>17019</v>
      </c>
      <c r="G1980" s="2326">
        <f t="shared" si="157"/>
        <v>15567</v>
      </c>
    </row>
    <row r="1981" spans="1:7" ht="15.75">
      <c r="A1981" s="2486">
        <f t="shared" si="158"/>
        <v>95875</v>
      </c>
      <c r="B1981" s="2325">
        <v>95850</v>
      </c>
      <c r="C1981" s="2325">
        <v>95900</v>
      </c>
      <c r="D1981" s="2326">
        <f t="shared" si="154"/>
        <v>17031</v>
      </c>
      <c r="E1981" s="2326">
        <f t="shared" si="155"/>
        <v>12590</v>
      </c>
      <c r="F1981" s="2326">
        <f t="shared" si="156"/>
        <v>17031</v>
      </c>
      <c r="G1981" s="2326">
        <f t="shared" si="157"/>
        <v>15579</v>
      </c>
    </row>
    <row r="1982" spans="1:7" ht="15.75">
      <c r="A1982" s="2486">
        <f t="shared" si="158"/>
        <v>95925</v>
      </c>
      <c r="B1982" s="2325">
        <v>95900</v>
      </c>
      <c r="C1982" s="2325">
        <v>95950</v>
      </c>
      <c r="D1982" s="2326">
        <f t="shared" si="154"/>
        <v>17043</v>
      </c>
      <c r="E1982" s="2326">
        <f t="shared" si="155"/>
        <v>12601</v>
      </c>
      <c r="F1982" s="2326">
        <f t="shared" si="156"/>
        <v>17043</v>
      </c>
      <c r="G1982" s="2326">
        <f t="shared" si="157"/>
        <v>15591</v>
      </c>
    </row>
    <row r="1983" spans="1:7" ht="15.75">
      <c r="A1983" s="2486">
        <f t="shared" si="158"/>
        <v>95975</v>
      </c>
      <c r="B1983" s="2325">
        <v>95950</v>
      </c>
      <c r="C1983" s="2325">
        <v>96000</v>
      </c>
      <c r="D1983" s="2326">
        <f t="shared" si="154"/>
        <v>17055</v>
      </c>
      <c r="E1983" s="2326">
        <f t="shared" si="155"/>
        <v>12612</v>
      </c>
      <c r="F1983" s="2326">
        <f t="shared" si="156"/>
        <v>17055</v>
      </c>
      <c r="G1983" s="2326">
        <f t="shared" si="157"/>
        <v>15603</v>
      </c>
    </row>
    <row r="1984" spans="1:7" ht="15.75">
      <c r="A1984" s="2486">
        <f t="shared" si="158"/>
        <v>96025</v>
      </c>
      <c r="B1984" s="2325">
        <v>96000</v>
      </c>
      <c r="C1984" s="2325">
        <v>96050</v>
      </c>
      <c r="D1984" s="2326">
        <f t="shared" si="154"/>
        <v>17067</v>
      </c>
      <c r="E1984" s="2326">
        <f t="shared" si="155"/>
        <v>12623</v>
      </c>
      <c r="F1984" s="2326">
        <f t="shared" si="156"/>
        <v>17067</v>
      </c>
      <c r="G1984" s="2326">
        <f t="shared" si="157"/>
        <v>15615</v>
      </c>
    </row>
    <row r="1985" spans="1:7" ht="15.75">
      <c r="A1985" s="2486">
        <f t="shared" si="158"/>
        <v>96075</v>
      </c>
      <c r="B1985" s="2325">
        <v>96050</v>
      </c>
      <c r="C1985" s="2325">
        <v>96100</v>
      </c>
      <c r="D1985" s="2326">
        <f t="shared" si="154"/>
        <v>17079</v>
      </c>
      <c r="E1985" s="2326">
        <f t="shared" si="155"/>
        <v>12634</v>
      </c>
      <c r="F1985" s="2326">
        <f t="shared" si="156"/>
        <v>17079</v>
      </c>
      <c r="G1985" s="2326">
        <f t="shared" si="157"/>
        <v>15627</v>
      </c>
    </row>
    <row r="1986" spans="1:7" ht="15.75">
      <c r="A1986" s="2486">
        <f t="shared" si="158"/>
        <v>96125</v>
      </c>
      <c r="B1986" s="2325">
        <v>96100</v>
      </c>
      <c r="C1986" s="2325">
        <v>96150</v>
      </c>
      <c r="D1986" s="2326">
        <f t="shared" ref="D1986:D2049" si="159">IF($A1986&gt;BOTT_A4,ROUND(BASE_A4+RATE_A4*($A1986-BOTT_A4),0),IF($A1986&gt;BOTT_A3,ROUND(BASE_A3+RATE_A3*($A1986-BOTT_A3),0),IF($A1986&gt;BOTT_A2,ROUND(BASE_A2+RATE_A2*($A1986-BOTT_A2),0),ROUND(RATE_A1*$A1986,0))))</f>
        <v>17091</v>
      </c>
      <c r="E1986" s="2326">
        <f t="shared" ref="E1986:E2049" si="160">IF($A1986&gt;BOTT_B4,ROUND(BASE_B4+RATE_B4*($A1986-BOTT_B4),0),IF($A1986&gt;BOTT_B3,ROUND(BASE_B3+RATE_B3*($A1986-BOTT_B3),0),IF($A1986&gt;BOTT_B2,ROUND(BASE_B2+RATE_B2*($A1986-BOTT_B2),0),ROUND(RATE_B1*$A1986,0))))</f>
        <v>12645</v>
      </c>
      <c r="F1986" s="2326">
        <f t="shared" ref="F1986:F2049" si="161">IF($A1986&gt;BOTT_C4,ROUND(BASE_C4+RATE_C4*($A1986-BOTT_C4),0),IF($A1986&gt;BOTT_C3,ROUND(BASE_C3+RATE_C3*($A1986-BOTT_C3),0),IF($A1986&gt;BOTT_C2,ROUND(BASE_C2+RATE_C2*($A1986-BOTT_C2),0),ROUND(RATE_C1*$A1986,0))))</f>
        <v>17091</v>
      </c>
      <c r="G1986" s="2326">
        <f t="shared" ref="G1986:G2049" si="162">IF($A1986&gt;BOTT_D4,ROUND(BASE_D4+RATE_D4*($A1986-BOTT_D4),0),IF($A1986&gt;BOTT_D3,ROUND(BASE_D3+RATE_D3*($A1986-BOTT_D3),0),IF($A1986&gt;BOTT_D2,ROUND(BASE_D2+RATE_D2*($A1986-BOTT_D2),0),ROUND(RATE_D1*$A1986,0))))</f>
        <v>15639</v>
      </c>
    </row>
    <row r="1987" spans="1:7" ht="15.75">
      <c r="A1987" s="2486">
        <f t="shared" ref="A1987:A2050" si="163">AVERAGE(B1987,C1987)</f>
        <v>96175</v>
      </c>
      <c r="B1987" s="2325">
        <v>96150</v>
      </c>
      <c r="C1987" s="2325">
        <v>96200</v>
      </c>
      <c r="D1987" s="2326">
        <f t="shared" si="159"/>
        <v>17103</v>
      </c>
      <c r="E1987" s="2326">
        <f t="shared" si="160"/>
        <v>12656</v>
      </c>
      <c r="F1987" s="2326">
        <f t="shared" si="161"/>
        <v>17103</v>
      </c>
      <c r="G1987" s="2326">
        <f t="shared" si="162"/>
        <v>15651</v>
      </c>
    </row>
    <row r="1988" spans="1:7" ht="15.75">
      <c r="A1988" s="2486">
        <f t="shared" si="163"/>
        <v>96225</v>
      </c>
      <c r="B1988" s="2325">
        <v>96200</v>
      </c>
      <c r="C1988" s="2325">
        <v>96250</v>
      </c>
      <c r="D1988" s="2326">
        <f t="shared" si="159"/>
        <v>17115</v>
      </c>
      <c r="E1988" s="2326">
        <f t="shared" si="160"/>
        <v>12667</v>
      </c>
      <c r="F1988" s="2326">
        <f t="shared" si="161"/>
        <v>17115</v>
      </c>
      <c r="G1988" s="2326">
        <f t="shared" si="162"/>
        <v>15663</v>
      </c>
    </row>
    <row r="1989" spans="1:7" ht="15.75">
      <c r="A1989" s="2486">
        <f t="shared" si="163"/>
        <v>96275</v>
      </c>
      <c r="B1989" s="2325">
        <v>96250</v>
      </c>
      <c r="C1989" s="2325">
        <v>96300</v>
      </c>
      <c r="D1989" s="2326">
        <f t="shared" si="159"/>
        <v>17127</v>
      </c>
      <c r="E1989" s="2326">
        <f t="shared" si="160"/>
        <v>12678</v>
      </c>
      <c r="F1989" s="2326">
        <f t="shared" si="161"/>
        <v>17127</v>
      </c>
      <c r="G1989" s="2326">
        <f t="shared" si="162"/>
        <v>15675</v>
      </c>
    </row>
    <row r="1990" spans="1:7" ht="15.75">
      <c r="A1990" s="2486">
        <f t="shared" si="163"/>
        <v>96325</v>
      </c>
      <c r="B1990" s="2325">
        <v>96300</v>
      </c>
      <c r="C1990" s="2325">
        <v>96350</v>
      </c>
      <c r="D1990" s="2326">
        <f t="shared" si="159"/>
        <v>17139</v>
      </c>
      <c r="E1990" s="2326">
        <f t="shared" si="160"/>
        <v>12689</v>
      </c>
      <c r="F1990" s="2326">
        <f t="shared" si="161"/>
        <v>17139</v>
      </c>
      <c r="G1990" s="2326">
        <f t="shared" si="162"/>
        <v>15687</v>
      </c>
    </row>
    <row r="1991" spans="1:7" ht="15.75">
      <c r="A1991" s="2486">
        <f t="shared" si="163"/>
        <v>96375</v>
      </c>
      <c r="B1991" s="2325">
        <v>96350</v>
      </c>
      <c r="C1991" s="2325">
        <v>96400</v>
      </c>
      <c r="D1991" s="2326">
        <f t="shared" si="159"/>
        <v>17151</v>
      </c>
      <c r="E1991" s="2326">
        <f t="shared" si="160"/>
        <v>12700</v>
      </c>
      <c r="F1991" s="2326">
        <f t="shared" si="161"/>
        <v>17151</v>
      </c>
      <c r="G1991" s="2326">
        <f t="shared" si="162"/>
        <v>15699</v>
      </c>
    </row>
    <row r="1992" spans="1:7" ht="15.75">
      <c r="A1992" s="2486">
        <f t="shared" si="163"/>
        <v>96425</v>
      </c>
      <c r="B1992" s="2325">
        <v>96400</v>
      </c>
      <c r="C1992" s="2325">
        <v>96450</v>
      </c>
      <c r="D1992" s="2326">
        <f t="shared" si="159"/>
        <v>17163</v>
      </c>
      <c r="E1992" s="2326">
        <f t="shared" si="160"/>
        <v>12711</v>
      </c>
      <c r="F1992" s="2326">
        <f t="shared" si="161"/>
        <v>17163</v>
      </c>
      <c r="G1992" s="2326">
        <f t="shared" si="162"/>
        <v>15711</v>
      </c>
    </row>
    <row r="1993" spans="1:7" ht="15.75">
      <c r="A1993" s="2486">
        <f t="shared" si="163"/>
        <v>96475</v>
      </c>
      <c r="B1993" s="2325">
        <v>96450</v>
      </c>
      <c r="C1993" s="2325">
        <v>96500</v>
      </c>
      <c r="D1993" s="2326">
        <f t="shared" si="159"/>
        <v>17175</v>
      </c>
      <c r="E1993" s="2326">
        <f t="shared" si="160"/>
        <v>12722</v>
      </c>
      <c r="F1993" s="2326">
        <f t="shared" si="161"/>
        <v>17175</v>
      </c>
      <c r="G1993" s="2326">
        <f t="shared" si="162"/>
        <v>15723</v>
      </c>
    </row>
    <row r="1994" spans="1:7" ht="15.75">
      <c r="A1994" s="2486">
        <f t="shared" si="163"/>
        <v>96525</v>
      </c>
      <c r="B1994" s="2325">
        <v>96500</v>
      </c>
      <c r="C1994" s="2325">
        <v>96550</v>
      </c>
      <c r="D1994" s="2326">
        <f t="shared" si="159"/>
        <v>17187</v>
      </c>
      <c r="E1994" s="2326">
        <f t="shared" si="160"/>
        <v>12733</v>
      </c>
      <c r="F1994" s="2326">
        <f t="shared" si="161"/>
        <v>17187</v>
      </c>
      <c r="G1994" s="2326">
        <f t="shared" si="162"/>
        <v>15735</v>
      </c>
    </row>
    <row r="1995" spans="1:7" ht="15.75">
      <c r="A1995" s="2486">
        <f t="shared" si="163"/>
        <v>96575</v>
      </c>
      <c r="B1995" s="2325">
        <v>96550</v>
      </c>
      <c r="C1995" s="2325">
        <v>96600</v>
      </c>
      <c r="D1995" s="2326">
        <f t="shared" si="159"/>
        <v>17199</v>
      </c>
      <c r="E1995" s="2326">
        <f t="shared" si="160"/>
        <v>12744</v>
      </c>
      <c r="F1995" s="2326">
        <f t="shared" si="161"/>
        <v>17199</v>
      </c>
      <c r="G1995" s="2326">
        <f t="shared" si="162"/>
        <v>15747</v>
      </c>
    </row>
    <row r="1996" spans="1:7" ht="15.75">
      <c r="A1996" s="2486">
        <f t="shared" si="163"/>
        <v>96625</v>
      </c>
      <c r="B1996" s="2325">
        <v>96600</v>
      </c>
      <c r="C1996" s="2325">
        <v>96650</v>
      </c>
      <c r="D1996" s="2326">
        <f t="shared" si="159"/>
        <v>17211</v>
      </c>
      <c r="E1996" s="2326">
        <f t="shared" si="160"/>
        <v>12755</v>
      </c>
      <c r="F1996" s="2326">
        <f t="shared" si="161"/>
        <v>17211</v>
      </c>
      <c r="G1996" s="2326">
        <f t="shared" si="162"/>
        <v>15759</v>
      </c>
    </row>
    <row r="1997" spans="1:7" ht="15.75">
      <c r="A1997" s="2486">
        <f t="shared" si="163"/>
        <v>96675</v>
      </c>
      <c r="B1997" s="2325">
        <v>96650</v>
      </c>
      <c r="C1997" s="2325">
        <v>96700</v>
      </c>
      <c r="D1997" s="2326">
        <f t="shared" si="159"/>
        <v>17223</v>
      </c>
      <c r="E1997" s="2326">
        <f t="shared" si="160"/>
        <v>12766</v>
      </c>
      <c r="F1997" s="2326">
        <f t="shared" si="161"/>
        <v>17223</v>
      </c>
      <c r="G1997" s="2326">
        <f t="shared" si="162"/>
        <v>15771</v>
      </c>
    </row>
    <row r="1998" spans="1:7" ht="15.75">
      <c r="A1998" s="2486">
        <f t="shared" si="163"/>
        <v>96725</v>
      </c>
      <c r="B1998" s="2325">
        <v>96700</v>
      </c>
      <c r="C1998" s="2325">
        <v>96750</v>
      </c>
      <c r="D1998" s="2326">
        <f t="shared" si="159"/>
        <v>17235</v>
      </c>
      <c r="E1998" s="2326">
        <f t="shared" si="160"/>
        <v>12777</v>
      </c>
      <c r="F1998" s="2326">
        <f t="shared" si="161"/>
        <v>17235</v>
      </c>
      <c r="G1998" s="2326">
        <f t="shared" si="162"/>
        <v>15783</v>
      </c>
    </row>
    <row r="1999" spans="1:7" ht="15.75">
      <c r="A1999" s="2486">
        <f t="shared" si="163"/>
        <v>96775</v>
      </c>
      <c r="B1999" s="2325">
        <v>96750</v>
      </c>
      <c r="C1999" s="2325">
        <v>96800</v>
      </c>
      <c r="D1999" s="2326">
        <f t="shared" si="159"/>
        <v>17247</v>
      </c>
      <c r="E1999" s="2326">
        <f t="shared" si="160"/>
        <v>12788</v>
      </c>
      <c r="F1999" s="2326">
        <f t="shared" si="161"/>
        <v>17247</v>
      </c>
      <c r="G1999" s="2326">
        <f t="shared" si="162"/>
        <v>15795</v>
      </c>
    </row>
    <row r="2000" spans="1:7" ht="15.75">
      <c r="A2000" s="2486">
        <f t="shared" si="163"/>
        <v>96825</v>
      </c>
      <c r="B2000" s="2325">
        <v>96800</v>
      </c>
      <c r="C2000" s="2325">
        <v>96850</v>
      </c>
      <c r="D2000" s="2326">
        <f t="shared" si="159"/>
        <v>17259</v>
      </c>
      <c r="E2000" s="2326">
        <f t="shared" si="160"/>
        <v>12799</v>
      </c>
      <c r="F2000" s="2326">
        <f t="shared" si="161"/>
        <v>17259</v>
      </c>
      <c r="G2000" s="2326">
        <f t="shared" si="162"/>
        <v>15807</v>
      </c>
    </row>
    <row r="2001" spans="1:7" ht="15.75">
      <c r="A2001" s="2486">
        <f t="shared" si="163"/>
        <v>96875</v>
      </c>
      <c r="B2001" s="2325">
        <v>96850</v>
      </c>
      <c r="C2001" s="2325">
        <v>96900</v>
      </c>
      <c r="D2001" s="2326">
        <f t="shared" si="159"/>
        <v>17271</v>
      </c>
      <c r="E2001" s="2326">
        <f t="shared" si="160"/>
        <v>12810</v>
      </c>
      <c r="F2001" s="2326">
        <f t="shared" si="161"/>
        <v>17271</v>
      </c>
      <c r="G2001" s="2326">
        <f t="shared" si="162"/>
        <v>15819</v>
      </c>
    </row>
    <row r="2002" spans="1:7" ht="15.75">
      <c r="A2002" s="2486">
        <f t="shared" si="163"/>
        <v>96925</v>
      </c>
      <c r="B2002" s="2325">
        <v>96900</v>
      </c>
      <c r="C2002" s="2325">
        <v>96950</v>
      </c>
      <c r="D2002" s="2326">
        <f t="shared" si="159"/>
        <v>17283</v>
      </c>
      <c r="E2002" s="2326">
        <f t="shared" si="160"/>
        <v>12821</v>
      </c>
      <c r="F2002" s="2326">
        <f t="shared" si="161"/>
        <v>17283</v>
      </c>
      <c r="G2002" s="2326">
        <f t="shared" si="162"/>
        <v>15831</v>
      </c>
    </row>
    <row r="2003" spans="1:7" ht="15.75">
      <c r="A2003" s="2486">
        <f t="shared" si="163"/>
        <v>96975</v>
      </c>
      <c r="B2003" s="2325">
        <v>96950</v>
      </c>
      <c r="C2003" s="2325">
        <v>97000</v>
      </c>
      <c r="D2003" s="2326">
        <f t="shared" si="159"/>
        <v>17295</v>
      </c>
      <c r="E2003" s="2326">
        <f t="shared" si="160"/>
        <v>12832</v>
      </c>
      <c r="F2003" s="2326">
        <f t="shared" si="161"/>
        <v>17295</v>
      </c>
      <c r="G2003" s="2326">
        <f t="shared" si="162"/>
        <v>15843</v>
      </c>
    </row>
    <row r="2004" spans="1:7" ht="15.75">
      <c r="A2004" s="2486">
        <f t="shared" si="163"/>
        <v>97025</v>
      </c>
      <c r="B2004" s="2325">
        <v>97000</v>
      </c>
      <c r="C2004" s="2325">
        <v>97050</v>
      </c>
      <c r="D2004" s="2326">
        <f t="shared" si="159"/>
        <v>17307</v>
      </c>
      <c r="E2004" s="2326">
        <f t="shared" si="160"/>
        <v>12843</v>
      </c>
      <c r="F2004" s="2326">
        <f t="shared" si="161"/>
        <v>17307</v>
      </c>
      <c r="G2004" s="2326">
        <f t="shared" si="162"/>
        <v>15855</v>
      </c>
    </row>
    <row r="2005" spans="1:7" ht="15.75">
      <c r="A2005" s="2486">
        <f t="shared" si="163"/>
        <v>97075</v>
      </c>
      <c r="B2005" s="2325">
        <v>97050</v>
      </c>
      <c r="C2005" s="2325">
        <v>97100</v>
      </c>
      <c r="D2005" s="2326">
        <f t="shared" si="159"/>
        <v>17319</v>
      </c>
      <c r="E2005" s="2326">
        <f t="shared" si="160"/>
        <v>12854</v>
      </c>
      <c r="F2005" s="2326">
        <f t="shared" si="161"/>
        <v>17319</v>
      </c>
      <c r="G2005" s="2326">
        <f t="shared" si="162"/>
        <v>15867</v>
      </c>
    </row>
    <row r="2006" spans="1:7" ht="15.75">
      <c r="A2006" s="2486">
        <f t="shared" si="163"/>
        <v>97125</v>
      </c>
      <c r="B2006" s="2325">
        <v>97100</v>
      </c>
      <c r="C2006" s="2325">
        <v>97150</v>
      </c>
      <c r="D2006" s="2326">
        <f t="shared" si="159"/>
        <v>17331</v>
      </c>
      <c r="E2006" s="2326">
        <f t="shared" si="160"/>
        <v>12865</v>
      </c>
      <c r="F2006" s="2326">
        <f t="shared" si="161"/>
        <v>17331</v>
      </c>
      <c r="G2006" s="2326">
        <f t="shared" si="162"/>
        <v>15879</v>
      </c>
    </row>
    <row r="2007" spans="1:7" ht="15.75">
      <c r="A2007" s="2486">
        <f t="shared" si="163"/>
        <v>97175</v>
      </c>
      <c r="B2007" s="2325">
        <v>97150</v>
      </c>
      <c r="C2007" s="2325">
        <v>97200</v>
      </c>
      <c r="D2007" s="2326">
        <f t="shared" si="159"/>
        <v>17343</v>
      </c>
      <c r="E2007" s="2326">
        <f t="shared" si="160"/>
        <v>12876</v>
      </c>
      <c r="F2007" s="2326">
        <f t="shared" si="161"/>
        <v>17343</v>
      </c>
      <c r="G2007" s="2326">
        <f t="shared" si="162"/>
        <v>15891</v>
      </c>
    </row>
    <row r="2008" spans="1:7" ht="15.75">
      <c r="A2008" s="2486">
        <f t="shared" si="163"/>
        <v>97225</v>
      </c>
      <c r="B2008" s="2325">
        <v>97200</v>
      </c>
      <c r="C2008" s="2325">
        <v>97250</v>
      </c>
      <c r="D2008" s="2326">
        <f t="shared" si="159"/>
        <v>17355</v>
      </c>
      <c r="E2008" s="2326">
        <f t="shared" si="160"/>
        <v>12887</v>
      </c>
      <c r="F2008" s="2326">
        <f t="shared" si="161"/>
        <v>17355</v>
      </c>
      <c r="G2008" s="2326">
        <f t="shared" si="162"/>
        <v>15903</v>
      </c>
    </row>
    <row r="2009" spans="1:7" ht="15.75">
      <c r="A2009" s="2486">
        <f t="shared" si="163"/>
        <v>97275</v>
      </c>
      <c r="B2009" s="2325">
        <v>97250</v>
      </c>
      <c r="C2009" s="2325">
        <v>97300</v>
      </c>
      <c r="D2009" s="2326">
        <f t="shared" si="159"/>
        <v>17367</v>
      </c>
      <c r="E2009" s="2326">
        <f t="shared" si="160"/>
        <v>12898</v>
      </c>
      <c r="F2009" s="2326">
        <f t="shared" si="161"/>
        <v>17367</v>
      </c>
      <c r="G2009" s="2326">
        <f t="shared" si="162"/>
        <v>15915</v>
      </c>
    </row>
    <row r="2010" spans="1:7" ht="15.75">
      <c r="A2010" s="2486">
        <f t="shared" si="163"/>
        <v>97325</v>
      </c>
      <c r="B2010" s="2325">
        <v>97300</v>
      </c>
      <c r="C2010" s="2325">
        <v>97350</v>
      </c>
      <c r="D2010" s="2326">
        <f t="shared" si="159"/>
        <v>17379</v>
      </c>
      <c r="E2010" s="2326">
        <f t="shared" si="160"/>
        <v>12909</v>
      </c>
      <c r="F2010" s="2326">
        <f t="shared" si="161"/>
        <v>17379</v>
      </c>
      <c r="G2010" s="2326">
        <f t="shared" si="162"/>
        <v>15927</v>
      </c>
    </row>
    <row r="2011" spans="1:7" ht="15.75">
      <c r="A2011" s="2486">
        <f t="shared" si="163"/>
        <v>97375</v>
      </c>
      <c r="B2011" s="2325">
        <v>97350</v>
      </c>
      <c r="C2011" s="2325">
        <v>97400</v>
      </c>
      <c r="D2011" s="2326">
        <f t="shared" si="159"/>
        <v>17391</v>
      </c>
      <c r="E2011" s="2326">
        <f t="shared" si="160"/>
        <v>12920</v>
      </c>
      <c r="F2011" s="2326">
        <f t="shared" si="161"/>
        <v>17391</v>
      </c>
      <c r="G2011" s="2326">
        <f t="shared" si="162"/>
        <v>15939</v>
      </c>
    </row>
    <row r="2012" spans="1:7" ht="15.75">
      <c r="A2012" s="2486">
        <f t="shared" si="163"/>
        <v>97425</v>
      </c>
      <c r="B2012" s="2325">
        <v>97400</v>
      </c>
      <c r="C2012" s="2325">
        <v>97450</v>
      </c>
      <c r="D2012" s="2326">
        <f t="shared" si="159"/>
        <v>17403</v>
      </c>
      <c r="E2012" s="2326">
        <f t="shared" si="160"/>
        <v>12931</v>
      </c>
      <c r="F2012" s="2326">
        <f t="shared" si="161"/>
        <v>17403</v>
      </c>
      <c r="G2012" s="2326">
        <f t="shared" si="162"/>
        <v>15951</v>
      </c>
    </row>
    <row r="2013" spans="1:7" ht="15.75">
      <c r="A2013" s="2486">
        <f t="shared" si="163"/>
        <v>97475</v>
      </c>
      <c r="B2013" s="2325">
        <v>97450</v>
      </c>
      <c r="C2013" s="2325">
        <v>97500</v>
      </c>
      <c r="D2013" s="2326">
        <f t="shared" si="159"/>
        <v>17415</v>
      </c>
      <c r="E2013" s="2326">
        <f t="shared" si="160"/>
        <v>12942</v>
      </c>
      <c r="F2013" s="2326">
        <f t="shared" si="161"/>
        <v>17415</v>
      </c>
      <c r="G2013" s="2326">
        <f t="shared" si="162"/>
        <v>15963</v>
      </c>
    </row>
    <row r="2014" spans="1:7" ht="15.75">
      <c r="A2014" s="2486">
        <f t="shared" si="163"/>
        <v>97525</v>
      </c>
      <c r="B2014" s="2325">
        <v>97500</v>
      </c>
      <c r="C2014" s="2325">
        <v>97550</v>
      </c>
      <c r="D2014" s="2326">
        <f t="shared" si="159"/>
        <v>17427</v>
      </c>
      <c r="E2014" s="2326">
        <f t="shared" si="160"/>
        <v>12953</v>
      </c>
      <c r="F2014" s="2326">
        <f t="shared" si="161"/>
        <v>17427</v>
      </c>
      <c r="G2014" s="2326">
        <f t="shared" si="162"/>
        <v>15975</v>
      </c>
    </row>
    <row r="2015" spans="1:7" ht="15.75">
      <c r="A2015" s="2486">
        <f t="shared" si="163"/>
        <v>97575</v>
      </c>
      <c r="B2015" s="2325">
        <v>97550</v>
      </c>
      <c r="C2015" s="2325">
        <v>97600</v>
      </c>
      <c r="D2015" s="2326">
        <f t="shared" si="159"/>
        <v>17439</v>
      </c>
      <c r="E2015" s="2326">
        <f t="shared" si="160"/>
        <v>12964</v>
      </c>
      <c r="F2015" s="2326">
        <f t="shared" si="161"/>
        <v>17439</v>
      </c>
      <c r="G2015" s="2326">
        <f t="shared" si="162"/>
        <v>15987</v>
      </c>
    </row>
    <row r="2016" spans="1:7" ht="15.75">
      <c r="A2016" s="2486">
        <f t="shared" si="163"/>
        <v>97625</v>
      </c>
      <c r="B2016" s="2325">
        <v>97600</v>
      </c>
      <c r="C2016" s="2325">
        <v>97650</v>
      </c>
      <c r="D2016" s="2326">
        <f t="shared" si="159"/>
        <v>17451</v>
      </c>
      <c r="E2016" s="2326">
        <f t="shared" si="160"/>
        <v>12975</v>
      </c>
      <c r="F2016" s="2326">
        <f t="shared" si="161"/>
        <v>17451</v>
      </c>
      <c r="G2016" s="2326">
        <f t="shared" si="162"/>
        <v>15999</v>
      </c>
    </row>
    <row r="2017" spans="1:7" ht="15.75">
      <c r="A2017" s="2486">
        <f t="shared" si="163"/>
        <v>97675</v>
      </c>
      <c r="B2017" s="2325">
        <v>97650</v>
      </c>
      <c r="C2017" s="2325">
        <v>97700</v>
      </c>
      <c r="D2017" s="2326">
        <f t="shared" si="159"/>
        <v>17463</v>
      </c>
      <c r="E2017" s="2326">
        <f t="shared" si="160"/>
        <v>12986</v>
      </c>
      <c r="F2017" s="2326">
        <f t="shared" si="161"/>
        <v>17463</v>
      </c>
      <c r="G2017" s="2326">
        <f t="shared" si="162"/>
        <v>16011</v>
      </c>
    </row>
    <row r="2018" spans="1:7" ht="15.75">
      <c r="A2018" s="2486">
        <f t="shared" si="163"/>
        <v>97725</v>
      </c>
      <c r="B2018" s="2325">
        <v>97700</v>
      </c>
      <c r="C2018" s="2325">
        <v>97750</v>
      </c>
      <c r="D2018" s="2326">
        <f t="shared" si="159"/>
        <v>17475</v>
      </c>
      <c r="E2018" s="2326">
        <f t="shared" si="160"/>
        <v>12997</v>
      </c>
      <c r="F2018" s="2326">
        <f t="shared" si="161"/>
        <v>17475</v>
      </c>
      <c r="G2018" s="2326">
        <f t="shared" si="162"/>
        <v>16023</v>
      </c>
    </row>
    <row r="2019" spans="1:7" ht="15.75">
      <c r="A2019" s="2486">
        <f t="shared" si="163"/>
        <v>97775</v>
      </c>
      <c r="B2019" s="2325">
        <v>97750</v>
      </c>
      <c r="C2019" s="2325">
        <v>97800</v>
      </c>
      <c r="D2019" s="2326">
        <f t="shared" si="159"/>
        <v>17487</v>
      </c>
      <c r="E2019" s="2326">
        <f t="shared" si="160"/>
        <v>13008</v>
      </c>
      <c r="F2019" s="2326">
        <f t="shared" si="161"/>
        <v>17487</v>
      </c>
      <c r="G2019" s="2326">
        <f t="shared" si="162"/>
        <v>16035</v>
      </c>
    </row>
    <row r="2020" spans="1:7" ht="15.75">
      <c r="A2020" s="2486">
        <f t="shared" si="163"/>
        <v>97825</v>
      </c>
      <c r="B2020" s="2325">
        <v>97800</v>
      </c>
      <c r="C2020" s="2325">
        <v>97850</v>
      </c>
      <c r="D2020" s="2326">
        <f t="shared" si="159"/>
        <v>17499</v>
      </c>
      <c r="E2020" s="2326">
        <f t="shared" si="160"/>
        <v>13019</v>
      </c>
      <c r="F2020" s="2326">
        <f t="shared" si="161"/>
        <v>17499</v>
      </c>
      <c r="G2020" s="2326">
        <f t="shared" si="162"/>
        <v>16047</v>
      </c>
    </row>
    <row r="2021" spans="1:7" ht="15.75">
      <c r="A2021" s="2486">
        <f t="shared" si="163"/>
        <v>97875</v>
      </c>
      <c r="B2021" s="2325">
        <v>97850</v>
      </c>
      <c r="C2021" s="2325">
        <v>97900</v>
      </c>
      <c r="D2021" s="2326">
        <f t="shared" si="159"/>
        <v>17511</v>
      </c>
      <c r="E2021" s="2326">
        <f t="shared" si="160"/>
        <v>13030</v>
      </c>
      <c r="F2021" s="2326">
        <f t="shared" si="161"/>
        <v>17511</v>
      </c>
      <c r="G2021" s="2326">
        <f t="shared" si="162"/>
        <v>16059</v>
      </c>
    </row>
    <row r="2022" spans="1:7" ht="15.75">
      <c r="A2022" s="2486">
        <f t="shared" si="163"/>
        <v>97925</v>
      </c>
      <c r="B2022" s="2325">
        <v>97900</v>
      </c>
      <c r="C2022" s="2325">
        <v>97950</v>
      </c>
      <c r="D2022" s="2326">
        <f t="shared" si="159"/>
        <v>17523</v>
      </c>
      <c r="E2022" s="2326">
        <f t="shared" si="160"/>
        <v>13041</v>
      </c>
      <c r="F2022" s="2326">
        <f t="shared" si="161"/>
        <v>17523</v>
      </c>
      <c r="G2022" s="2326">
        <f t="shared" si="162"/>
        <v>16071</v>
      </c>
    </row>
    <row r="2023" spans="1:7" ht="15.75">
      <c r="A2023" s="2486">
        <f t="shared" si="163"/>
        <v>97975</v>
      </c>
      <c r="B2023" s="2325">
        <v>97950</v>
      </c>
      <c r="C2023" s="2325">
        <v>98000</v>
      </c>
      <c r="D2023" s="2326">
        <f t="shared" si="159"/>
        <v>17535</v>
      </c>
      <c r="E2023" s="2326">
        <f t="shared" si="160"/>
        <v>13052</v>
      </c>
      <c r="F2023" s="2326">
        <f t="shared" si="161"/>
        <v>17535</v>
      </c>
      <c r="G2023" s="2326">
        <f t="shared" si="162"/>
        <v>16083</v>
      </c>
    </row>
    <row r="2024" spans="1:7" ht="15.75">
      <c r="A2024" s="2486">
        <f t="shared" si="163"/>
        <v>98025</v>
      </c>
      <c r="B2024" s="2325">
        <v>98000</v>
      </c>
      <c r="C2024" s="2325">
        <v>98050</v>
      </c>
      <c r="D2024" s="2326">
        <f t="shared" si="159"/>
        <v>17547</v>
      </c>
      <c r="E2024" s="2326">
        <f t="shared" si="160"/>
        <v>13063</v>
      </c>
      <c r="F2024" s="2326">
        <f t="shared" si="161"/>
        <v>17547</v>
      </c>
      <c r="G2024" s="2326">
        <f t="shared" si="162"/>
        <v>16095</v>
      </c>
    </row>
    <row r="2025" spans="1:7" ht="15.75">
      <c r="A2025" s="2486">
        <f t="shared" si="163"/>
        <v>98075</v>
      </c>
      <c r="B2025" s="2325">
        <v>98050</v>
      </c>
      <c r="C2025" s="2325">
        <v>98100</v>
      </c>
      <c r="D2025" s="2326">
        <f t="shared" si="159"/>
        <v>17559</v>
      </c>
      <c r="E2025" s="2326">
        <f t="shared" si="160"/>
        <v>13074</v>
      </c>
      <c r="F2025" s="2326">
        <f t="shared" si="161"/>
        <v>17559</v>
      </c>
      <c r="G2025" s="2326">
        <f t="shared" si="162"/>
        <v>16107</v>
      </c>
    </row>
    <row r="2026" spans="1:7" ht="15.75">
      <c r="A2026" s="2486">
        <f t="shared" si="163"/>
        <v>98125</v>
      </c>
      <c r="B2026" s="2325">
        <v>98100</v>
      </c>
      <c r="C2026" s="2325">
        <v>98150</v>
      </c>
      <c r="D2026" s="2326">
        <f t="shared" si="159"/>
        <v>17571</v>
      </c>
      <c r="E2026" s="2326">
        <f t="shared" si="160"/>
        <v>13085</v>
      </c>
      <c r="F2026" s="2326">
        <f t="shared" si="161"/>
        <v>17571</v>
      </c>
      <c r="G2026" s="2326">
        <f t="shared" si="162"/>
        <v>16119</v>
      </c>
    </row>
    <row r="2027" spans="1:7" ht="15.75">
      <c r="A2027" s="2486">
        <f t="shared" si="163"/>
        <v>98175</v>
      </c>
      <c r="B2027" s="2325">
        <v>98150</v>
      </c>
      <c r="C2027" s="2325">
        <v>98200</v>
      </c>
      <c r="D2027" s="2326">
        <f t="shared" si="159"/>
        <v>17583</v>
      </c>
      <c r="E2027" s="2326">
        <f t="shared" si="160"/>
        <v>13096</v>
      </c>
      <c r="F2027" s="2326">
        <f t="shared" si="161"/>
        <v>17583</v>
      </c>
      <c r="G2027" s="2326">
        <f t="shared" si="162"/>
        <v>16131</v>
      </c>
    </row>
    <row r="2028" spans="1:7" ht="15.75">
      <c r="A2028" s="2486">
        <f t="shared" si="163"/>
        <v>98225</v>
      </c>
      <c r="B2028" s="2325">
        <v>98200</v>
      </c>
      <c r="C2028" s="2325">
        <v>98250</v>
      </c>
      <c r="D2028" s="2326">
        <f t="shared" si="159"/>
        <v>17595</v>
      </c>
      <c r="E2028" s="2326">
        <f t="shared" si="160"/>
        <v>13107</v>
      </c>
      <c r="F2028" s="2326">
        <f t="shared" si="161"/>
        <v>17595</v>
      </c>
      <c r="G2028" s="2326">
        <f t="shared" si="162"/>
        <v>16143</v>
      </c>
    </row>
    <row r="2029" spans="1:7" ht="15.75">
      <c r="A2029" s="2486">
        <f t="shared" si="163"/>
        <v>98275</v>
      </c>
      <c r="B2029" s="2325">
        <v>98250</v>
      </c>
      <c r="C2029" s="2325">
        <v>98300</v>
      </c>
      <c r="D2029" s="2326">
        <f t="shared" si="159"/>
        <v>17607</v>
      </c>
      <c r="E2029" s="2326">
        <f t="shared" si="160"/>
        <v>13118</v>
      </c>
      <c r="F2029" s="2326">
        <f t="shared" si="161"/>
        <v>17607</v>
      </c>
      <c r="G2029" s="2326">
        <f t="shared" si="162"/>
        <v>16155</v>
      </c>
    </row>
    <row r="2030" spans="1:7" ht="15.75">
      <c r="A2030" s="2486">
        <f t="shared" si="163"/>
        <v>98325</v>
      </c>
      <c r="B2030" s="2325">
        <v>98300</v>
      </c>
      <c r="C2030" s="2325">
        <v>98350</v>
      </c>
      <c r="D2030" s="2326">
        <f t="shared" si="159"/>
        <v>17619</v>
      </c>
      <c r="E2030" s="2326">
        <f t="shared" si="160"/>
        <v>13129</v>
      </c>
      <c r="F2030" s="2326">
        <f t="shared" si="161"/>
        <v>17619</v>
      </c>
      <c r="G2030" s="2326">
        <f t="shared" si="162"/>
        <v>16167</v>
      </c>
    </row>
    <row r="2031" spans="1:7" ht="15.75">
      <c r="A2031" s="2486">
        <f t="shared" si="163"/>
        <v>98375</v>
      </c>
      <c r="B2031" s="2325">
        <v>98350</v>
      </c>
      <c r="C2031" s="2325">
        <v>98400</v>
      </c>
      <c r="D2031" s="2326">
        <f t="shared" si="159"/>
        <v>17631</v>
      </c>
      <c r="E2031" s="2326">
        <f t="shared" si="160"/>
        <v>13140</v>
      </c>
      <c r="F2031" s="2326">
        <f t="shared" si="161"/>
        <v>17631</v>
      </c>
      <c r="G2031" s="2326">
        <f t="shared" si="162"/>
        <v>16179</v>
      </c>
    </row>
    <row r="2032" spans="1:7" ht="15.75">
      <c r="A2032" s="2486">
        <f t="shared" si="163"/>
        <v>98425</v>
      </c>
      <c r="B2032" s="2325">
        <v>98400</v>
      </c>
      <c r="C2032" s="2325">
        <v>98450</v>
      </c>
      <c r="D2032" s="2326">
        <f t="shared" si="159"/>
        <v>17643</v>
      </c>
      <c r="E2032" s="2326">
        <f t="shared" si="160"/>
        <v>13151</v>
      </c>
      <c r="F2032" s="2326">
        <f t="shared" si="161"/>
        <v>17643</v>
      </c>
      <c r="G2032" s="2326">
        <f t="shared" si="162"/>
        <v>16191</v>
      </c>
    </row>
    <row r="2033" spans="1:7" ht="15.75">
      <c r="A2033" s="2486">
        <f t="shared" si="163"/>
        <v>98475</v>
      </c>
      <c r="B2033" s="2325">
        <v>98450</v>
      </c>
      <c r="C2033" s="2325">
        <v>98500</v>
      </c>
      <c r="D2033" s="2326">
        <f t="shared" si="159"/>
        <v>17655</v>
      </c>
      <c r="E2033" s="2326">
        <f t="shared" si="160"/>
        <v>13162</v>
      </c>
      <c r="F2033" s="2326">
        <f t="shared" si="161"/>
        <v>17655</v>
      </c>
      <c r="G2033" s="2326">
        <f t="shared" si="162"/>
        <v>16203</v>
      </c>
    </row>
    <row r="2034" spans="1:7" ht="15.75">
      <c r="A2034" s="2486">
        <f t="shared" si="163"/>
        <v>98525</v>
      </c>
      <c r="B2034" s="2325">
        <v>98500</v>
      </c>
      <c r="C2034" s="2325">
        <v>98550</v>
      </c>
      <c r="D2034" s="2326">
        <f t="shared" si="159"/>
        <v>17667</v>
      </c>
      <c r="E2034" s="2326">
        <f t="shared" si="160"/>
        <v>13173</v>
      </c>
      <c r="F2034" s="2326">
        <f t="shared" si="161"/>
        <v>17667</v>
      </c>
      <c r="G2034" s="2326">
        <f t="shared" si="162"/>
        <v>16215</v>
      </c>
    </row>
    <row r="2035" spans="1:7" ht="15.75">
      <c r="A2035" s="2486">
        <f t="shared" si="163"/>
        <v>98575</v>
      </c>
      <c r="B2035" s="2325">
        <v>98550</v>
      </c>
      <c r="C2035" s="2325">
        <v>98600</v>
      </c>
      <c r="D2035" s="2326">
        <f t="shared" si="159"/>
        <v>17679</v>
      </c>
      <c r="E2035" s="2326">
        <f t="shared" si="160"/>
        <v>13184</v>
      </c>
      <c r="F2035" s="2326">
        <f t="shared" si="161"/>
        <v>17679</v>
      </c>
      <c r="G2035" s="2326">
        <f t="shared" si="162"/>
        <v>16227</v>
      </c>
    </row>
    <row r="2036" spans="1:7" ht="15.75">
      <c r="A2036" s="2486">
        <f t="shared" si="163"/>
        <v>98625</v>
      </c>
      <c r="B2036" s="2325">
        <v>98600</v>
      </c>
      <c r="C2036" s="2325">
        <v>98650</v>
      </c>
      <c r="D2036" s="2326">
        <f t="shared" si="159"/>
        <v>17691</v>
      </c>
      <c r="E2036" s="2326">
        <f t="shared" si="160"/>
        <v>13195</v>
      </c>
      <c r="F2036" s="2326">
        <f t="shared" si="161"/>
        <v>17691</v>
      </c>
      <c r="G2036" s="2326">
        <f t="shared" si="162"/>
        <v>16239</v>
      </c>
    </row>
    <row r="2037" spans="1:7" ht="15.75">
      <c r="A2037" s="2486">
        <f t="shared" si="163"/>
        <v>98675</v>
      </c>
      <c r="B2037" s="2325">
        <v>98650</v>
      </c>
      <c r="C2037" s="2325">
        <v>98700</v>
      </c>
      <c r="D2037" s="2326">
        <f t="shared" si="159"/>
        <v>17703</v>
      </c>
      <c r="E2037" s="2326">
        <f t="shared" si="160"/>
        <v>13206</v>
      </c>
      <c r="F2037" s="2326">
        <f t="shared" si="161"/>
        <v>17703</v>
      </c>
      <c r="G2037" s="2326">
        <f t="shared" si="162"/>
        <v>16251</v>
      </c>
    </row>
    <row r="2038" spans="1:7" ht="15.75">
      <c r="A2038" s="2486">
        <f t="shared" si="163"/>
        <v>98725</v>
      </c>
      <c r="B2038" s="2325">
        <v>98700</v>
      </c>
      <c r="C2038" s="2325">
        <v>98750</v>
      </c>
      <c r="D2038" s="2326">
        <f t="shared" si="159"/>
        <v>17715</v>
      </c>
      <c r="E2038" s="2326">
        <f t="shared" si="160"/>
        <v>13217</v>
      </c>
      <c r="F2038" s="2326">
        <f t="shared" si="161"/>
        <v>17715</v>
      </c>
      <c r="G2038" s="2326">
        <f t="shared" si="162"/>
        <v>16263</v>
      </c>
    </row>
    <row r="2039" spans="1:7" ht="15.75">
      <c r="A2039" s="2486">
        <f t="shared" si="163"/>
        <v>98775</v>
      </c>
      <c r="B2039" s="2325">
        <v>98750</v>
      </c>
      <c r="C2039" s="2325">
        <v>98800</v>
      </c>
      <c r="D2039" s="2326">
        <f t="shared" si="159"/>
        <v>17727</v>
      </c>
      <c r="E2039" s="2326">
        <f t="shared" si="160"/>
        <v>13228</v>
      </c>
      <c r="F2039" s="2326">
        <f t="shared" si="161"/>
        <v>17727</v>
      </c>
      <c r="G2039" s="2326">
        <f t="shared" si="162"/>
        <v>16275</v>
      </c>
    </row>
    <row r="2040" spans="1:7" ht="15.75">
      <c r="A2040" s="2486">
        <f t="shared" si="163"/>
        <v>98825</v>
      </c>
      <c r="B2040" s="2325">
        <v>98800</v>
      </c>
      <c r="C2040" s="2325">
        <v>98850</v>
      </c>
      <c r="D2040" s="2326">
        <f t="shared" si="159"/>
        <v>17739</v>
      </c>
      <c r="E2040" s="2326">
        <f t="shared" si="160"/>
        <v>13239</v>
      </c>
      <c r="F2040" s="2326">
        <f t="shared" si="161"/>
        <v>17739</v>
      </c>
      <c r="G2040" s="2326">
        <f t="shared" si="162"/>
        <v>16287</v>
      </c>
    </row>
    <row r="2041" spans="1:7" ht="15.75">
      <c r="A2041" s="2486">
        <f t="shared" si="163"/>
        <v>98875</v>
      </c>
      <c r="B2041" s="2325">
        <v>98850</v>
      </c>
      <c r="C2041" s="2325">
        <v>98900</v>
      </c>
      <c r="D2041" s="2326">
        <f t="shared" si="159"/>
        <v>17751</v>
      </c>
      <c r="E2041" s="2326">
        <f t="shared" si="160"/>
        <v>13250</v>
      </c>
      <c r="F2041" s="2326">
        <f t="shared" si="161"/>
        <v>17751</v>
      </c>
      <c r="G2041" s="2326">
        <f t="shared" si="162"/>
        <v>16299</v>
      </c>
    </row>
    <row r="2042" spans="1:7" ht="15.75">
      <c r="A2042" s="2486">
        <f t="shared" si="163"/>
        <v>98925</v>
      </c>
      <c r="B2042" s="2325">
        <v>98900</v>
      </c>
      <c r="C2042" s="2325">
        <v>98950</v>
      </c>
      <c r="D2042" s="2326">
        <f t="shared" si="159"/>
        <v>17763</v>
      </c>
      <c r="E2042" s="2326">
        <f t="shared" si="160"/>
        <v>13261</v>
      </c>
      <c r="F2042" s="2326">
        <f t="shared" si="161"/>
        <v>17763</v>
      </c>
      <c r="G2042" s="2326">
        <f t="shared" si="162"/>
        <v>16311</v>
      </c>
    </row>
    <row r="2043" spans="1:7" ht="15.75">
      <c r="A2043" s="2486">
        <f t="shared" si="163"/>
        <v>98975</v>
      </c>
      <c r="B2043" s="2325">
        <v>98950</v>
      </c>
      <c r="C2043" s="2325">
        <v>99000</v>
      </c>
      <c r="D2043" s="2326">
        <f t="shared" si="159"/>
        <v>17775</v>
      </c>
      <c r="E2043" s="2326">
        <f t="shared" si="160"/>
        <v>13272</v>
      </c>
      <c r="F2043" s="2326">
        <f t="shared" si="161"/>
        <v>17775</v>
      </c>
      <c r="G2043" s="2326">
        <f t="shared" si="162"/>
        <v>16323</v>
      </c>
    </row>
    <row r="2044" spans="1:7" ht="15.75">
      <c r="A2044" s="2486">
        <f t="shared" si="163"/>
        <v>99025</v>
      </c>
      <c r="B2044" s="2325">
        <v>99000</v>
      </c>
      <c r="C2044" s="2325">
        <v>99050</v>
      </c>
      <c r="D2044" s="2326">
        <f t="shared" si="159"/>
        <v>17787</v>
      </c>
      <c r="E2044" s="2326">
        <f t="shared" si="160"/>
        <v>13283</v>
      </c>
      <c r="F2044" s="2326">
        <f t="shared" si="161"/>
        <v>17787</v>
      </c>
      <c r="G2044" s="2326">
        <f t="shared" si="162"/>
        <v>16335</v>
      </c>
    </row>
    <row r="2045" spans="1:7" ht="15.75">
      <c r="A2045" s="2486">
        <f t="shared" si="163"/>
        <v>99075</v>
      </c>
      <c r="B2045" s="2325">
        <v>99050</v>
      </c>
      <c r="C2045" s="2325">
        <v>99100</v>
      </c>
      <c r="D2045" s="2326">
        <f t="shared" si="159"/>
        <v>17799</v>
      </c>
      <c r="E2045" s="2326">
        <f t="shared" si="160"/>
        <v>13294</v>
      </c>
      <c r="F2045" s="2326">
        <f t="shared" si="161"/>
        <v>17799</v>
      </c>
      <c r="G2045" s="2326">
        <f t="shared" si="162"/>
        <v>16347</v>
      </c>
    </row>
    <row r="2046" spans="1:7" ht="15.75">
      <c r="A2046" s="2486">
        <f t="shared" si="163"/>
        <v>99125</v>
      </c>
      <c r="B2046" s="2325">
        <v>99100</v>
      </c>
      <c r="C2046" s="2325">
        <v>99150</v>
      </c>
      <c r="D2046" s="2326">
        <f t="shared" si="159"/>
        <v>17811</v>
      </c>
      <c r="E2046" s="2326">
        <f t="shared" si="160"/>
        <v>13305</v>
      </c>
      <c r="F2046" s="2326">
        <f t="shared" si="161"/>
        <v>17811</v>
      </c>
      <c r="G2046" s="2326">
        <f t="shared" si="162"/>
        <v>16359</v>
      </c>
    </row>
    <row r="2047" spans="1:7" ht="15.75">
      <c r="A2047" s="2486">
        <f t="shared" si="163"/>
        <v>99175</v>
      </c>
      <c r="B2047" s="2325">
        <v>99150</v>
      </c>
      <c r="C2047" s="2325">
        <v>99200</v>
      </c>
      <c r="D2047" s="2326">
        <f t="shared" si="159"/>
        <v>17823</v>
      </c>
      <c r="E2047" s="2326">
        <f t="shared" si="160"/>
        <v>13316</v>
      </c>
      <c r="F2047" s="2326">
        <f t="shared" si="161"/>
        <v>17823</v>
      </c>
      <c r="G2047" s="2326">
        <f t="shared" si="162"/>
        <v>16371</v>
      </c>
    </row>
    <row r="2048" spans="1:7" ht="15.75">
      <c r="A2048" s="2486">
        <f t="shared" si="163"/>
        <v>99225</v>
      </c>
      <c r="B2048" s="2325">
        <v>99200</v>
      </c>
      <c r="C2048" s="2325">
        <v>99250</v>
      </c>
      <c r="D2048" s="2326">
        <f t="shared" si="159"/>
        <v>17835</v>
      </c>
      <c r="E2048" s="2326">
        <f t="shared" si="160"/>
        <v>13327</v>
      </c>
      <c r="F2048" s="2326">
        <f t="shared" si="161"/>
        <v>17835</v>
      </c>
      <c r="G2048" s="2326">
        <f t="shared" si="162"/>
        <v>16383</v>
      </c>
    </row>
    <row r="2049" spans="1:7" ht="15.75">
      <c r="A2049" s="2486">
        <f t="shared" si="163"/>
        <v>99275</v>
      </c>
      <c r="B2049" s="2325">
        <v>99250</v>
      </c>
      <c r="C2049" s="2325">
        <v>99300</v>
      </c>
      <c r="D2049" s="2326">
        <f t="shared" si="159"/>
        <v>17847</v>
      </c>
      <c r="E2049" s="2326">
        <f t="shared" si="160"/>
        <v>13338</v>
      </c>
      <c r="F2049" s="2326">
        <f t="shared" si="161"/>
        <v>17847</v>
      </c>
      <c r="G2049" s="2326">
        <f t="shared" si="162"/>
        <v>16395</v>
      </c>
    </row>
    <row r="2050" spans="1:7" ht="15.75">
      <c r="A2050" s="2486">
        <f t="shared" si="163"/>
        <v>99325</v>
      </c>
      <c r="B2050" s="2325">
        <v>99300</v>
      </c>
      <c r="C2050" s="2325">
        <v>99350</v>
      </c>
      <c r="D2050" s="2326">
        <f t="shared" ref="D2050:D2063" si="164">IF($A2050&gt;BOTT_A4,ROUND(BASE_A4+RATE_A4*($A2050-BOTT_A4),0),IF($A2050&gt;BOTT_A3,ROUND(BASE_A3+RATE_A3*($A2050-BOTT_A3),0),IF($A2050&gt;BOTT_A2,ROUND(BASE_A2+RATE_A2*($A2050-BOTT_A2),0),ROUND(RATE_A1*$A2050,0))))</f>
        <v>17859</v>
      </c>
      <c r="E2050" s="2326">
        <f t="shared" ref="E2050:E2063" si="165">IF($A2050&gt;BOTT_B4,ROUND(BASE_B4+RATE_B4*($A2050-BOTT_B4),0),IF($A2050&gt;BOTT_B3,ROUND(BASE_B3+RATE_B3*($A2050-BOTT_B3),0),IF($A2050&gt;BOTT_B2,ROUND(BASE_B2+RATE_B2*($A2050-BOTT_B2),0),ROUND(RATE_B1*$A2050,0))))</f>
        <v>13349</v>
      </c>
      <c r="F2050" s="2326">
        <f t="shared" ref="F2050:F2063" si="166">IF($A2050&gt;BOTT_C4,ROUND(BASE_C4+RATE_C4*($A2050-BOTT_C4),0),IF($A2050&gt;BOTT_C3,ROUND(BASE_C3+RATE_C3*($A2050-BOTT_C3),0),IF($A2050&gt;BOTT_C2,ROUND(BASE_C2+RATE_C2*($A2050-BOTT_C2),0),ROUND(RATE_C1*$A2050,0))))</f>
        <v>17859</v>
      </c>
      <c r="G2050" s="2326">
        <f t="shared" ref="G2050:G2063" si="167">IF($A2050&gt;BOTT_D4,ROUND(BASE_D4+RATE_D4*($A2050-BOTT_D4),0),IF($A2050&gt;BOTT_D3,ROUND(BASE_D3+RATE_D3*($A2050-BOTT_D3),0),IF($A2050&gt;BOTT_D2,ROUND(BASE_D2+RATE_D2*($A2050-BOTT_D2),0),ROUND(RATE_D1*$A2050,0))))</f>
        <v>16407</v>
      </c>
    </row>
    <row r="2051" spans="1:7" ht="15.75">
      <c r="A2051" s="2486">
        <f t="shared" ref="A2051:A2063" si="168">AVERAGE(B2051,C2051)</f>
        <v>99375</v>
      </c>
      <c r="B2051" s="2325">
        <v>99350</v>
      </c>
      <c r="C2051" s="2325">
        <v>99400</v>
      </c>
      <c r="D2051" s="2326">
        <f t="shared" si="164"/>
        <v>17871</v>
      </c>
      <c r="E2051" s="2326">
        <f t="shared" si="165"/>
        <v>13360</v>
      </c>
      <c r="F2051" s="2326">
        <f t="shared" si="166"/>
        <v>17871</v>
      </c>
      <c r="G2051" s="2326">
        <f t="shared" si="167"/>
        <v>16419</v>
      </c>
    </row>
    <row r="2052" spans="1:7" ht="15.75">
      <c r="A2052" s="2486">
        <f t="shared" si="168"/>
        <v>99425</v>
      </c>
      <c r="B2052" s="2325">
        <v>99400</v>
      </c>
      <c r="C2052" s="2325">
        <v>99450</v>
      </c>
      <c r="D2052" s="2326">
        <f t="shared" si="164"/>
        <v>17883</v>
      </c>
      <c r="E2052" s="2326">
        <f t="shared" si="165"/>
        <v>13371</v>
      </c>
      <c r="F2052" s="2326">
        <f t="shared" si="166"/>
        <v>17883</v>
      </c>
      <c r="G2052" s="2326">
        <f t="shared" si="167"/>
        <v>16431</v>
      </c>
    </row>
    <row r="2053" spans="1:7" ht="15.75">
      <c r="A2053" s="2486">
        <f t="shared" si="168"/>
        <v>99475</v>
      </c>
      <c r="B2053" s="2325">
        <v>99450</v>
      </c>
      <c r="C2053" s="2325">
        <v>99500</v>
      </c>
      <c r="D2053" s="2326">
        <f t="shared" si="164"/>
        <v>17895</v>
      </c>
      <c r="E2053" s="2326">
        <f t="shared" si="165"/>
        <v>13382</v>
      </c>
      <c r="F2053" s="2326">
        <f t="shared" si="166"/>
        <v>17895</v>
      </c>
      <c r="G2053" s="2326">
        <f t="shared" si="167"/>
        <v>16443</v>
      </c>
    </row>
    <row r="2054" spans="1:7" ht="15.75">
      <c r="A2054" s="2486">
        <f t="shared" si="168"/>
        <v>99525</v>
      </c>
      <c r="B2054" s="2325">
        <v>99500</v>
      </c>
      <c r="C2054" s="2325">
        <v>99550</v>
      </c>
      <c r="D2054" s="2326">
        <f t="shared" si="164"/>
        <v>17907</v>
      </c>
      <c r="E2054" s="2326">
        <f t="shared" si="165"/>
        <v>13393</v>
      </c>
      <c r="F2054" s="2326">
        <f t="shared" si="166"/>
        <v>17907</v>
      </c>
      <c r="G2054" s="2326">
        <f t="shared" si="167"/>
        <v>16455</v>
      </c>
    </row>
    <row r="2055" spans="1:7" ht="15.75">
      <c r="A2055" s="2486">
        <f t="shared" si="168"/>
        <v>99575</v>
      </c>
      <c r="B2055" s="2325">
        <v>99550</v>
      </c>
      <c r="C2055" s="2325">
        <v>99600</v>
      </c>
      <c r="D2055" s="2326">
        <f t="shared" si="164"/>
        <v>17919</v>
      </c>
      <c r="E2055" s="2326">
        <f t="shared" si="165"/>
        <v>13404</v>
      </c>
      <c r="F2055" s="2326">
        <f t="shared" si="166"/>
        <v>17919</v>
      </c>
      <c r="G2055" s="2326">
        <f t="shared" si="167"/>
        <v>16467</v>
      </c>
    </row>
    <row r="2056" spans="1:7" ht="15.75">
      <c r="A2056" s="2486">
        <f t="shared" si="168"/>
        <v>99625</v>
      </c>
      <c r="B2056" s="2325">
        <v>99600</v>
      </c>
      <c r="C2056" s="2325">
        <v>99650</v>
      </c>
      <c r="D2056" s="2326">
        <f t="shared" si="164"/>
        <v>17931</v>
      </c>
      <c r="E2056" s="2326">
        <f t="shared" si="165"/>
        <v>13415</v>
      </c>
      <c r="F2056" s="2326">
        <f t="shared" si="166"/>
        <v>17931</v>
      </c>
      <c r="G2056" s="2326">
        <f t="shared" si="167"/>
        <v>16479</v>
      </c>
    </row>
    <row r="2057" spans="1:7" ht="15.75">
      <c r="A2057" s="2486">
        <f t="shared" si="168"/>
        <v>99675</v>
      </c>
      <c r="B2057" s="2325">
        <v>99650</v>
      </c>
      <c r="C2057" s="2325">
        <v>99700</v>
      </c>
      <c r="D2057" s="2326">
        <f t="shared" si="164"/>
        <v>17943</v>
      </c>
      <c r="E2057" s="2326">
        <f t="shared" si="165"/>
        <v>13426</v>
      </c>
      <c r="F2057" s="2326">
        <f t="shared" si="166"/>
        <v>17943</v>
      </c>
      <c r="G2057" s="2326">
        <f t="shared" si="167"/>
        <v>16491</v>
      </c>
    </row>
    <row r="2058" spans="1:7" ht="15.75">
      <c r="A2058" s="2486">
        <f t="shared" si="168"/>
        <v>99725</v>
      </c>
      <c r="B2058" s="2325">
        <v>99700</v>
      </c>
      <c r="C2058" s="2325">
        <v>99750</v>
      </c>
      <c r="D2058" s="2326">
        <f t="shared" si="164"/>
        <v>17955</v>
      </c>
      <c r="E2058" s="2326">
        <f t="shared" si="165"/>
        <v>13437</v>
      </c>
      <c r="F2058" s="2326">
        <f t="shared" si="166"/>
        <v>17955</v>
      </c>
      <c r="G2058" s="2326">
        <f t="shared" si="167"/>
        <v>16503</v>
      </c>
    </row>
    <row r="2059" spans="1:7" ht="15.75">
      <c r="A2059" s="2486">
        <f t="shared" si="168"/>
        <v>99775</v>
      </c>
      <c r="B2059" s="2325">
        <v>99750</v>
      </c>
      <c r="C2059" s="2325">
        <v>99800</v>
      </c>
      <c r="D2059" s="2326">
        <f t="shared" si="164"/>
        <v>17967</v>
      </c>
      <c r="E2059" s="2326">
        <f t="shared" si="165"/>
        <v>13448</v>
      </c>
      <c r="F2059" s="2326">
        <f t="shared" si="166"/>
        <v>17967</v>
      </c>
      <c r="G2059" s="2326">
        <f t="shared" si="167"/>
        <v>16515</v>
      </c>
    </row>
    <row r="2060" spans="1:7" ht="15.75">
      <c r="A2060" s="2486">
        <f t="shared" si="168"/>
        <v>99825</v>
      </c>
      <c r="B2060" s="2325">
        <v>99800</v>
      </c>
      <c r="C2060" s="2325">
        <v>99850</v>
      </c>
      <c r="D2060" s="2326">
        <f t="shared" si="164"/>
        <v>17979</v>
      </c>
      <c r="E2060" s="2326">
        <f t="shared" si="165"/>
        <v>13459</v>
      </c>
      <c r="F2060" s="2326">
        <f t="shared" si="166"/>
        <v>17979</v>
      </c>
      <c r="G2060" s="2326">
        <f t="shared" si="167"/>
        <v>16527</v>
      </c>
    </row>
    <row r="2061" spans="1:7" ht="15.75">
      <c r="A2061" s="2486">
        <f t="shared" si="168"/>
        <v>99875</v>
      </c>
      <c r="B2061" s="2325">
        <v>99850</v>
      </c>
      <c r="C2061" s="2325">
        <v>99900</v>
      </c>
      <c r="D2061" s="2326">
        <f t="shared" si="164"/>
        <v>17991</v>
      </c>
      <c r="E2061" s="2326">
        <f t="shared" si="165"/>
        <v>13470</v>
      </c>
      <c r="F2061" s="2326">
        <f t="shared" si="166"/>
        <v>17991</v>
      </c>
      <c r="G2061" s="2326">
        <f t="shared" si="167"/>
        <v>16539</v>
      </c>
    </row>
    <row r="2062" spans="1:7" ht="15.75">
      <c r="A2062" s="2486">
        <f t="shared" si="168"/>
        <v>99925</v>
      </c>
      <c r="B2062" s="2325">
        <v>99900</v>
      </c>
      <c r="C2062" s="2325">
        <v>99950</v>
      </c>
      <c r="D2062" s="2326">
        <f t="shared" si="164"/>
        <v>18003</v>
      </c>
      <c r="E2062" s="2326">
        <f t="shared" si="165"/>
        <v>13481</v>
      </c>
      <c r="F2062" s="2326">
        <f t="shared" si="166"/>
        <v>18003</v>
      </c>
      <c r="G2062" s="2326">
        <f t="shared" si="167"/>
        <v>16551</v>
      </c>
    </row>
    <row r="2063" spans="1:7" ht="15.75">
      <c r="A2063" s="2486">
        <f t="shared" si="168"/>
        <v>99975</v>
      </c>
      <c r="B2063" s="2325">
        <v>99950</v>
      </c>
      <c r="C2063" s="2325">
        <v>100000</v>
      </c>
      <c r="D2063" s="2326">
        <f t="shared" si="164"/>
        <v>18015</v>
      </c>
      <c r="E2063" s="2326">
        <f t="shared" si="165"/>
        <v>13492</v>
      </c>
      <c r="F2063" s="2326">
        <f t="shared" si="166"/>
        <v>18015</v>
      </c>
      <c r="G2063" s="2326">
        <f t="shared" si="167"/>
        <v>16563</v>
      </c>
    </row>
    <row r="2064" spans="1:7">
      <c r="B2064" s="2324"/>
      <c r="C2064" s="2327"/>
      <c r="E2064" s="1850"/>
      <c r="F2064" s="1850"/>
      <c r="G2064" s="1850"/>
    </row>
  </sheetData>
  <sheetProtection password="F07E" sheet="1" objects="1" scenarios="1"/>
  <phoneticPr fontId="14" type="noConversion"/>
  <pageMargins left="0.75" right="0.75" top="0.43" bottom="0.57999999999999996" header="0.37" footer="0.5"/>
  <pageSetup scale="10" orientation="landscape" r:id="rId1"/>
  <headerFooter alignWithMargins="0"/>
  <rowBreaks count="51" manualBreakCount="51">
    <brk id="43" min="1" max="6" man="1"/>
    <brk id="83" min="1" max="6" man="1"/>
    <brk id="123" min="1" max="6" man="1"/>
    <brk id="163" min="1" max="6" man="1"/>
    <brk id="203" min="1" max="6" man="1"/>
    <brk id="243" min="1" max="6" man="1"/>
    <brk id="283" min="1" max="6" man="1"/>
    <brk id="323" min="1" max="6" man="1"/>
    <brk id="363" min="1" max="6" man="1"/>
    <brk id="403" min="1" max="6" man="1"/>
    <brk id="443" min="1" max="6" man="1"/>
    <brk id="483" min="1" max="6" man="1"/>
    <brk id="523" min="1" max="6" man="1"/>
    <brk id="563" min="1" max="6" man="1"/>
    <brk id="603" min="1" max="6" man="1"/>
    <brk id="643" min="1" max="6" man="1"/>
    <brk id="683" min="1" max="6" man="1"/>
    <brk id="723" min="1" max="6" man="1"/>
    <brk id="763" min="1" max="6" man="1"/>
    <brk id="803" min="1" max="6" man="1"/>
    <brk id="843" min="1" max="6" man="1"/>
    <brk id="883" min="1" max="6" man="1"/>
    <brk id="923" min="1" max="6" man="1"/>
    <brk id="963" min="1" max="6" man="1"/>
    <brk id="1003" min="1" max="6" man="1"/>
    <brk id="1043" min="1" max="6" man="1"/>
    <brk id="1083" min="1" max="6" man="1"/>
    <brk id="1123" min="1" max="6" man="1"/>
    <brk id="1163" min="1" max="6" man="1"/>
    <brk id="1203" min="1" max="6" man="1"/>
    <brk id="1243" min="1" max="6" man="1"/>
    <brk id="1283" min="1" max="6" man="1"/>
    <brk id="1323" min="1" max="6" man="1"/>
    <brk id="1363" min="1" max="6" man="1"/>
    <brk id="1403" min="1" max="6" man="1"/>
    <brk id="1443" min="1" max="6" man="1"/>
    <brk id="1483" min="1" max="6" man="1"/>
    <brk id="1523" min="1" max="6" man="1"/>
    <brk id="1563" min="1" max="6" man="1"/>
    <brk id="1603" min="1" max="6" man="1"/>
    <brk id="1643" min="1" max="6" man="1"/>
    <brk id="1683" min="1" max="6" man="1"/>
    <brk id="1723" min="1" max="6" man="1"/>
    <brk id="1763" min="1" max="6" man="1"/>
    <brk id="1803" min="1" max="6" man="1"/>
    <brk id="1843" min="1" max="6" man="1"/>
    <brk id="1883" min="1" max="6" man="1"/>
    <brk id="1923" min="1" max="6" man="1"/>
    <brk id="1963" min="1" max="6" man="1"/>
    <brk id="2003" min="1" max="6" man="1"/>
    <brk id="2043" min="1" max="6"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81"/>
  <sheetViews>
    <sheetView zoomScaleNormal="100" workbookViewId="0">
      <pane ySplit="1" topLeftCell="A59" activePane="bottomLeft" state="frozen"/>
      <selection pane="bottomLeft" activeCell="A70" sqref="A70:C70"/>
    </sheetView>
  </sheetViews>
  <sheetFormatPr defaultColWidth="9.140625" defaultRowHeight="12.75"/>
  <cols>
    <col min="1" max="1" width="24.28515625" style="1889" customWidth="1"/>
    <col min="2" max="2" width="21" style="1438" customWidth="1"/>
    <col min="3" max="3" width="90.85546875" style="1437" customWidth="1"/>
    <col min="4" max="4" width="32.42578125" style="1437" customWidth="1"/>
    <col min="5" max="5" width="9.140625" style="1437"/>
    <col min="6" max="6" width="21.5703125" style="1437" customWidth="1"/>
    <col min="7" max="16384" width="9.140625" style="1437"/>
  </cols>
  <sheetData>
    <row r="1" spans="1:7" s="1543" customFormat="1" ht="15" customHeight="1" thickBot="1">
      <c r="A1" s="1888" t="s">
        <v>1654</v>
      </c>
      <c r="B1" s="1439" t="s">
        <v>192</v>
      </c>
      <c r="C1" s="1440" t="s">
        <v>193</v>
      </c>
      <c r="D1" s="1441" t="s">
        <v>231</v>
      </c>
      <c r="F1" s="4036">
        <f>MAX(A:A)</f>
        <v>46003.399305555555</v>
      </c>
      <c r="G1" s="4035" t="s">
        <v>3264</v>
      </c>
    </row>
    <row r="2" spans="1:7">
      <c r="A2" s="1889">
        <v>44592.9375</v>
      </c>
      <c r="B2" s="1495" t="s">
        <v>5603</v>
      </c>
      <c r="C2" s="1496" t="s">
        <v>5721</v>
      </c>
    </row>
    <row r="3" spans="1:7" ht="25.5">
      <c r="A3" s="4342">
        <v>44592.986111111109</v>
      </c>
      <c r="B3" s="1495">
        <v>1040</v>
      </c>
      <c r="C3" s="1496" t="s">
        <v>5648</v>
      </c>
      <c r="D3" s="1496"/>
    </row>
    <row r="4" spans="1:7">
      <c r="A4" s="4342">
        <v>44593.275694444441</v>
      </c>
      <c r="B4" s="1495" t="s">
        <v>3201</v>
      </c>
      <c r="C4" s="1496" t="s">
        <v>5649</v>
      </c>
    </row>
    <row r="5" spans="1:7" ht="25.5">
      <c r="A5" s="4342">
        <v>44593.381944444445</v>
      </c>
      <c r="B5" s="1495">
        <v>8812</v>
      </c>
      <c r="C5" s="1496" t="s">
        <v>5650</v>
      </c>
    </row>
    <row r="6" spans="1:7" ht="25.5">
      <c r="A6" s="4342">
        <v>44593.388888888891</v>
      </c>
      <c r="B6" s="1495">
        <v>1040</v>
      </c>
      <c r="C6" s="1496" t="s">
        <v>5651</v>
      </c>
    </row>
    <row r="7" spans="1:7" ht="25.5">
      <c r="A7" s="4342">
        <v>44593.402777777781</v>
      </c>
      <c r="B7" s="1495">
        <v>1040</v>
      </c>
      <c r="C7" s="1496" t="s">
        <v>5652</v>
      </c>
    </row>
    <row r="8" spans="1:7" ht="25.5">
      <c r="A8" s="4342">
        <v>44594.584722222222</v>
      </c>
      <c r="B8" s="1495" t="s">
        <v>5655</v>
      </c>
      <c r="C8" s="1496" t="s">
        <v>5656</v>
      </c>
    </row>
    <row r="9" spans="1:7">
      <c r="A9" s="4342">
        <v>44595.633333333331</v>
      </c>
      <c r="B9" s="1495" t="s">
        <v>5675</v>
      </c>
      <c r="C9" s="1496" t="s">
        <v>5676</v>
      </c>
    </row>
    <row r="10" spans="1:7">
      <c r="A10" s="4342">
        <v>44596.479166666664</v>
      </c>
      <c r="B10" s="1495" t="s">
        <v>2475</v>
      </c>
      <c r="C10" s="1496" t="s">
        <v>5682</v>
      </c>
    </row>
    <row r="11" spans="1:7" ht="38.25">
      <c r="A11" s="4342">
        <v>44598.947916666664</v>
      </c>
      <c r="B11" s="1495">
        <v>2441</v>
      </c>
      <c r="C11" s="1496" t="s">
        <v>5689</v>
      </c>
    </row>
    <row r="12" spans="1:7" ht="25.5">
      <c r="A12" s="4342">
        <v>44598.947916666664</v>
      </c>
      <c r="B12" s="1495">
        <v>1040</v>
      </c>
      <c r="C12" s="1496" t="s">
        <v>5690</v>
      </c>
    </row>
    <row r="13" spans="1:7" ht="25.5">
      <c r="A13" s="4342">
        <v>44598.947916666664</v>
      </c>
      <c r="B13" s="1495">
        <v>6251</v>
      </c>
      <c r="C13" s="1496" t="s">
        <v>5695</v>
      </c>
    </row>
    <row r="14" spans="1:7" ht="89.25">
      <c r="A14" s="4342">
        <v>44598.979166666664</v>
      </c>
      <c r="B14" s="1495" t="s">
        <v>3217</v>
      </c>
      <c r="C14" s="1496" t="s">
        <v>5990</v>
      </c>
    </row>
    <row r="15" spans="1:7" ht="25.5">
      <c r="A15" s="4342">
        <v>44599.260416666664</v>
      </c>
      <c r="B15" s="1495">
        <v>6251</v>
      </c>
      <c r="C15" s="1496" t="s">
        <v>5696</v>
      </c>
    </row>
    <row r="16" spans="1:7" ht="25.5">
      <c r="A16" s="4342">
        <v>44599.473611111112</v>
      </c>
      <c r="B16" s="1495" t="s">
        <v>2475</v>
      </c>
      <c r="C16" s="1496" t="s">
        <v>5697</v>
      </c>
    </row>
    <row r="17" spans="1:4" ht="25.5">
      <c r="A17" s="4342">
        <v>44599.875</v>
      </c>
      <c r="B17" s="1495">
        <v>6251</v>
      </c>
      <c r="C17" s="1496" t="s">
        <v>5698</v>
      </c>
    </row>
    <row r="18" spans="1:4">
      <c r="A18" s="4342">
        <v>44600.288194444445</v>
      </c>
      <c r="B18" s="1495">
        <v>2555</v>
      </c>
      <c r="C18" s="1496" t="s">
        <v>5702</v>
      </c>
    </row>
    <row r="19" spans="1:4">
      <c r="A19" s="4342">
        <v>44602.380555555559</v>
      </c>
      <c r="B19" s="1495" t="s">
        <v>2475</v>
      </c>
      <c r="C19" s="1496" t="s">
        <v>5704</v>
      </c>
    </row>
    <row r="20" spans="1:4">
      <c r="A20" s="4342">
        <v>44602.892361111109</v>
      </c>
      <c r="B20" s="1495">
        <v>1040</v>
      </c>
      <c r="C20" s="1496" t="s">
        <v>5709</v>
      </c>
    </row>
    <row r="21" spans="1:4" ht="51">
      <c r="A21" s="4342">
        <v>44602.892361111109</v>
      </c>
      <c r="B21" s="1495">
        <v>8606</v>
      </c>
      <c r="C21" s="1496" t="s">
        <v>5710</v>
      </c>
    </row>
    <row r="22" spans="1:4">
      <c r="A22" s="4342">
        <v>44602.892361111109</v>
      </c>
      <c r="B22" s="1495" t="s">
        <v>3642</v>
      </c>
      <c r="C22" s="1496" t="s">
        <v>5722</v>
      </c>
    </row>
    <row r="23" spans="1:4">
      <c r="A23" s="4342">
        <v>44603.282638888886</v>
      </c>
      <c r="B23" s="1495" t="s">
        <v>4428</v>
      </c>
      <c r="C23" s="1496" t="s">
        <v>5723</v>
      </c>
    </row>
    <row r="24" spans="1:4" ht="25.5">
      <c r="A24" s="4342">
        <v>44606.815972222219</v>
      </c>
      <c r="B24" s="1495">
        <v>8995</v>
      </c>
      <c r="C24" s="1496" t="s">
        <v>5724</v>
      </c>
    </row>
    <row r="25" spans="1:4" ht="25.5">
      <c r="A25" s="4342">
        <v>44606.885416666664</v>
      </c>
      <c r="B25" s="1495" t="s">
        <v>3106</v>
      </c>
      <c r="C25" s="1496" t="s">
        <v>5727</v>
      </c>
    </row>
    <row r="26" spans="1:4" ht="25.5">
      <c r="A26" s="4342">
        <v>44607.267361111109</v>
      </c>
      <c r="B26" s="1495" t="s">
        <v>2634</v>
      </c>
      <c r="C26" s="1496" t="s">
        <v>5728</v>
      </c>
    </row>
    <row r="27" spans="1:4">
      <c r="A27" s="4342">
        <v>44607.319444444445</v>
      </c>
      <c r="B27" s="1495">
        <v>2555</v>
      </c>
      <c r="C27" s="1496" t="s">
        <v>5731</v>
      </c>
    </row>
    <row r="28" spans="1:4" ht="25.5">
      <c r="A28" s="4342">
        <v>44609.986111111109</v>
      </c>
      <c r="B28" s="1495">
        <v>6251</v>
      </c>
      <c r="C28" s="1496" t="s">
        <v>5733</v>
      </c>
      <c r="D28" s="1496"/>
    </row>
    <row r="29" spans="1:4">
      <c r="A29" s="4342">
        <v>44609.986111111109</v>
      </c>
      <c r="B29" s="1495">
        <v>6251</v>
      </c>
      <c r="C29" s="1496" t="s">
        <v>5732</v>
      </c>
    </row>
    <row r="30" spans="1:4" ht="25.5">
      <c r="A30" s="4342">
        <v>44609.986111111109</v>
      </c>
      <c r="B30" s="1495" t="s">
        <v>5734</v>
      </c>
      <c r="C30" s="1496" t="s">
        <v>5735</v>
      </c>
    </row>
    <row r="31" spans="1:4" ht="25.5">
      <c r="A31" s="4342">
        <v>44757.614583333336</v>
      </c>
      <c r="B31" s="1495" t="s">
        <v>2469</v>
      </c>
      <c r="C31" s="1496" t="s">
        <v>5993</v>
      </c>
      <c r="D31" s="4342"/>
    </row>
    <row r="32" spans="1:4" ht="38.25">
      <c r="A32" s="4342">
        <v>44613.979166666664</v>
      </c>
      <c r="B32" s="1495" t="s">
        <v>5742</v>
      </c>
      <c r="C32" s="1496" t="s">
        <v>5743</v>
      </c>
      <c r="D32" s="4342"/>
    </row>
    <row r="33" spans="1:4">
      <c r="A33" s="4342">
        <v>44613.990277777775</v>
      </c>
      <c r="B33" s="1495">
        <v>8812</v>
      </c>
      <c r="C33" s="1496" t="s">
        <v>5744</v>
      </c>
      <c r="D33" s="4342"/>
    </row>
    <row r="34" spans="1:4">
      <c r="A34" s="4342">
        <v>44614.791666666664</v>
      </c>
      <c r="B34" s="1495" t="s">
        <v>2634</v>
      </c>
      <c r="C34" s="1496" t="s">
        <v>5745</v>
      </c>
      <c r="D34" s="4342"/>
    </row>
    <row r="35" spans="1:4" ht="25.5">
      <c r="A35" s="4342">
        <v>44616.362500000003</v>
      </c>
      <c r="B35" s="1495" t="s">
        <v>3106</v>
      </c>
      <c r="C35" s="1496" t="s">
        <v>5747</v>
      </c>
      <c r="D35" s="4342"/>
    </row>
    <row r="36" spans="1:4">
      <c r="A36" s="4342">
        <v>44618.489583333336</v>
      </c>
      <c r="B36" s="1495" t="s">
        <v>3106</v>
      </c>
      <c r="C36" s="1496" t="s">
        <v>5755</v>
      </c>
      <c r="D36" s="4342"/>
    </row>
    <row r="37" spans="1:4">
      <c r="A37" s="4342">
        <v>44618.489583333336</v>
      </c>
      <c r="B37" s="1495">
        <v>2555</v>
      </c>
      <c r="C37" s="1496" t="s">
        <v>5756</v>
      </c>
      <c r="D37" s="4342"/>
    </row>
    <row r="38" spans="1:4" ht="25.5">
      <c r="A38" s="4342">
        <v>44618.5</v>
      </c>
      <c r="B38" s="1495">
        <v>8812</v>
      </c>
      <c r="C38" s="1496" t="s">
        <v>5758</v>
      </c>
      <c r="D38" s="4342"/>
    </row>
    <row r="39" spans="1:4">
      <c r="A39" s="4342">
        <v>44618.65625</v>
      </c>
      <c r="B39" s="1495">
        <v>8812</v>
      </c>
      <c r="C39" s="1496" t="s">
        <v>5762</v>
      </c>
      <c r="D39" s="4342"/>
    </row>
    <row r="40" spans="1:4" ht="25.5">
      <c r="A40" s="4342">
        <v>44620.901388888888</v>
      </c>
      <c r="B40" s="1495">
        <v>8829</v>
      </c>
      <c r="C40" s="1496" t="s">
        <v>5853</v>
      </c>
      <c r="D40" s="4342"/>
    </row>
    <row r="41" spans="1:4" ht="25.5">
      <c r="A41" s="4342">
        <v>44621.9375</v>
      </c>
      <c r="B41" s="1495">
        <v>8812</v>
      </c>
      <c r="C41" s="1496" t="s">
        <v>5854</v>
      </c>
    </row>
    <row r="42" spans="1:4" ht="25.5">
      <c r="A42" s="4342">
        <v>44622.598611111112</v>
      </c>
      <c r="B42" s="1495" t="s">
        <v>4428</v>
      </c>
      <c r="C42" s="1496" t="s">
        <v>5855</v>
      </c>
    </row>
    <row r="43" spans="1:4" ht="15" customHeight="1">
      <c r="A43" s="4342">
        <v>44622.631944444445</v>
      </c>
      <c r="B43" s="1495">
        <v>8829</v>
      </c>
      <c r="C43" s="1496" t="s">
        <v>5857</v>
      </c>
    </row>
    <row r="44" spans="1:4">
      <c r="A44" s="4342">
        <v>44622.895833333336</v>
      </c>
      <c r="B44" s="1495">
        <v>1040</v>
      </c>
      <c r="C44" s="1496" t="s">
        <v>5858</v>
      </c>
    </row>
    <row r="45" spans="1:4" ht="25.5">
      <c r="A45" s="4342">
        <v>44627.815972222219</v>
      </c>
      <c r="B45" s="1495" t="s">
        <v>2641</v>
      </c>
      <c r="C45" s="1496" t="s">
        <v>5863</v>
      </c>
    </row>
    <row r="46" spans="1:4" ht="38.25">
      <c r="A46" s="4342">
        <v>44629.715277777781</v>
      </c>
      <c r="B46" s="1495" t="s">
        <v>5742</v>
      </c>
      <c r="C46" s="1496" t="s">
        <v>5872</v>
      </c>
    </row>
    <row r="47" spans="1:4">
      <c r="A47" s="4342">
        <v>44629.715277777781</v>
      </c>
      <c r="B47" s="1495" t="s">
        <v>5873</v>
      </c>
      <c r="C47" s="1496" t="s">
        <v>5872</v>
      </c>
    </row>
    <row r="48" spans="1:4" ht="25.5">
      <c r="A48" s="4342">
        <v>44637.506944444445</v>
      </c>
      <c r="B48" s="1495">
        <v>1116</v>
      </c>
      <c r="C48" s="1496" t="s">
        <v>5889</v>
      </c>
    </row>
    <row r="49" spans="1:3">
      <c r="A49" s="4342">
        <v>44640.840277777781</v>
      </c>
      <c r="B49" s="1495" t="s">
        <v>2641</v>
      </c>
      <c r="C49" s="1496" t="s">
        <v>5890</v>
      </c>
    </row>
    <row r="50" spans="1:3">
      <c r="A50" s="4342">
        <v>44646.399305555555</v>
      </c>
      <c r="B50" s="1495">
        <v>8829</v>
      </c>
      <c r="C50" s="1496" t="s">
        <v>5891</v>
      </c>
    </row>
    <row r="51" spans="1:3" ht="25.5">
      <c r="A51" s="4342">
        <v>44648.291666666664</v>
      </c>
      <c r="B51" s="1495" t="s">
        <v>2641</v>
      </c>
      <c r="C51" s="1496" t="s">
        <v>5892</v>
      </c>
    </row>
    <row r="52" spans="1:3" ht="25.5">
      <c r="A52" s="4342">
        <v>44648.763888888891</v>
      </c>
      <c r="B52" s="1495">
        <v>8606</v>
      </c>
      <c r="C52" s="1496" t="s">
        <v>5893</v>
      </c>
    </row>
    <row r="53" spans="1:3" ht="25.5">
      <c r="A53" s="4342">
        <v>44648.819444444445</v>
      </c>
      <c r="B53" s="1495" t="s">
        <v>2641</v>
      </c>
      <c r="C53" s="1496" t="s">
        <v>5914</v>
      </c>
    </row>
    <row r="54" spans="1:3" ht="25.5">
      <c r="A54" s="4342">
        <v>44650.715277777781</v>
      </c>
      <c r="B54" s="1495">
        <v>1040</v>
      </c>
      <c r="C54" s="1496" t="s">
        <v>5915</v>
      </c>
    </row>
    <row r="55" spans="1:3" ht="25.5">
      <c r="A55" s="4342">
        <v>44650.763888888891</v>
      </c>
      <c r="B55" s="1495" t="s">
        <v>2641</v>
      </c>
      <c r="C55" s="1496" t="s">
        <v>5916</v>
      </c>
    </row>
    <row r="56" spans="1:3">
      <c r="A56" s="4342">
        <v>44651.631944444445</v>
      </c>
      <c r="B56" s="1495">
        <v>8880</v>
      </c>
      <c r="C56" s="1496" t="s">
        <v>5970</v>
      </c>
    </row>
    <row r="57" spans="1:3" ht="25.5">
      <c r="A57" s="4342">
        <v>44661.361111111109</v>
      </c>
      <c r="B57" s="1495" t="s">
        <v>2641</v>
      </c>
      <c r="C57" s="1496" t="s">
        <v>5973</v>
      </c>
    </row>
    <row r="58" spans="1:3">
      <c r="A58" s="4342">
        <v>44661.361111111109</v>
      </c>
      <c r="B58" s="1438">
        <v>8829</v>
      </c>
      <c r="C58" s="1496" t="s">
        <v>5974</v>
      </c>
    </row>
    <row r="59" spans="1:3" ht="25.5">
      <c r="A59" s="1889">
        <v>44661.875</v>
      </c>
      <c r="B59" s="1495" t="s">
        <v>5975</v>
      </c>
      <c r="C59" s="1496" t="s">
        <v>5976</v>
      </c>
    </row>
    <row r="60" spans="1:3">
      <c r="A60" s="1889">
        <v>44665.295138888891</v>
      </c>
      <c r="B60" s="1438">
        <v>2555</v>
      </c>
      <c r="C60" s="1496" t="s">
        <v>5978</v>
      </c>
    </row>
    <row r="61" spans="1:3" ht="25.5">
      <c r="A61" s="1889">
        <v>44673.524305555555</v>
      </c>
      <c r="B61" s="1495">
        <v>1040</v>
      </c>
      <c r="C61" s="1496" t="s">
        <v>5985</v>
      </c>
    </row>
    <row r="62" spans="1:3" ht="25.5">
      <c r="A62" s="1889">
        <v>44674.306250000001</v>
      </c>
      <c r="B62" s="1495">
        <v>1040</v>
      </c>
      <c r="C62" s="1496" t="s">
        <v>5987</v>
      </c>
    </row>
    <row r="63" spans="1:3">
      <c r="A63" s="1889">
        <v>44719.232638888891</v>
      </c>
      <c r="B63" s="1495" t="s">
        <v>3197</v>
      </c>
      <c r="C63" s="1496" t="s">
        <v>5988</v>
      </c>
    </row>
    <row r="64" spans="1:3">
      <c r="A64" s="1889">
        <v>44727.444444444445</v>
      </c>
      <c r="B64" s="1495">
        <v>8812</v>
      </c>
      <c r="C64" s="1496" t="s">
        <v>5989</v>
      </c>
    </row>
    <row r="65" spans="1:4" ht="25.5">
      <c r="A65" s="4342">
        <v>44757.614583333336</v>
      </c>
      <c r="B65" s="1495" t="s">
        <v>2469</v>
      </c>
      <c r="C65" s="1496" t="s">
        <v>5993</v>
      </c>
      <c r="D65" s="4342"/>
    </row>
    <row r="66" spans="1:4" ht="25.5">
      <c r="A66" s="1889">
        <v>44801.677083333336</v>
      </c>
      <c r="B66" s="1438">
        <v>1116</v>
      </c>
      <c r="C66" s="1496" t="s">
        <v>5995</v>
      </c>
    </row>
    <row r="67" spans="1:4">
      <c r="A67" s="1889">
        <v>44814.520833333336</v>
      </c>
      <c r="B67" s="1495" t="s">
        <v>3217</v>
      </c>
      <c r="C67" s="1496" t="s">
        <v>6000</v>
      </c>
    </row>
    <row r="68" spans="1:4">
      <c r="A68" s="1889">
        <v>44839.866666666669</v>
      </c>
      <c r="B68" s="1495" t="s">
        <v>3217</v>
      </c>
      <c r="C68" s="1496" t="s">
        <v>6001</v>
      </c>
    </row>
    <row r="69" spans="1:4" ht="25.5">
      <c r="A69" s="1889">
        <v>44858.865972222222</v>
      </c>
      <c r="B69" s="1495">
        <v>8808</v>
      </c>
      <c r="C69" s="1496" t="s">
        <v>6002</v>
      </c>
    </row>
    <row r="70" spans="1:4" ht="25.5">
      <c r="A70" s="1889">
        <v>46003.399305555555</v>
      </c>
      <c r="B70" s="1495">
        <v>1040</v>
      </c>
      <c r="C70" s="1496" t="s">
        <v>6003</v>
      </c>
    </row>
    <row r="71" spans="1:4">
      <c r="C71" s="1496"/>
    </row>
    <row r="72" spans="1:4">
      <c r="C72" s="1496"/>
    </row>
    <row r="74" spans="1:4">
      <c r="C74" s="1496"/>
    </row>
    <row r="75" spans="1:4">
      <c r="C75" s="1496"/>
    </row>
    <row r="77" spans="1:4">
      <c r="C77" s="1496"/>
    </row>
    <row r="78" spans="1:4">
      <c r="B78" s="1495"/>
      <c r="C78" s="1496"/>
    </row>
    <row r="79" spans="1:4">
      <c r="B79" s="1495"/>
      <c r="C79" s="1496"/>
    </row>
    <row r="80" spans="1:4">
      <c r="B80" s="1495"/>
      <c r="C80" s="1496"/>
    </row>
    <row r="81" spans="3:3">
      <c r="C81" s="1496"/>
    </row>
  </sheetData>
  <sheetProtection sheet="1" objects="1" scenarios="1"/>
  <hyperlinks>
    <hyperlink ref="D1" r:id="rId1" xr:uid="{00000000-0004-0000-3A00-000000000000}"/>
  </hyperlinks>
  <pageMargins left="0.7" right="0.7" top="0.75" bottom="0.75" header="0.3" footer="0.3"/>
  <pageSetup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764</vt:i4>
      </vt:variant>
    </vt:vector>
  </HeadingPairs>
  <TitlesOfParts>
    <vt:vector size="823" baseType="lpstr">
      <vt:lpstr>Coversheet</vt:lpstr>
      <vt:lpstr>Table of Contents</vt:lpstr>
      <vt:lpstr>Instructions</vt:lpstr>
      <vt:lpstr>W-2s</vt:lpstr>
      <vt:lpstr>1099-INT</vt:lpstr>
      <vt:lpstr>1099-DIV</vt:lpstr>
      <vt:lpstr>1099-G</vt:lpstr>
      <vt:lpstr>1099-MISC</vt:lpstr>
      <vt:lpstr>1099-R</vt:lpstr>
      <vt:lpstr>SSA-1099</vt:lpstr>
      <vt:lpstr>1040</vt:lpstr>
      <vt:lpstr>Dependents</vt:lpstr>
      <vt:lpstr>Sch. 1</vt:lpstr>
      <vt:lpstr>Sch 1, Line 1 (SALT)</vt:lpstr>
      <vt:lpstr>Sch. 1, Line 20 (IRA)</vt:lpstr>
      <vt:lpstr>Sch. 1, Line 21 (Stu Loan)</vt:lpstr>
      <vt:lpstr>Sch. 2</vt:lpstr>
      <vt:lpstr>Sch. 3</vt:lpstr>
      <vt:lpstr>Earned Inc WS</vt:lpstr>
      <vt:lpstr>Lines 5ab (Simplified Meth WS)</vt:lpstr>
      <vt:lpstr>Line 6ab (SS Bene)</vt:lpstr>
      <vt:lpstr>Line 12a (SD Depnts)</vt:lpstr>
      <vt:lpstr>Line 16 (QDCG Tax)</vt:lpstr>
      <vt:lpstr>Line 27a (EIC)</vt:lpstr>
      <vt:lpstr>Line 30 (Rebate Credit)</vt:lpstr>
      <vt:lpstr>Sch. A</vt:lpstr>
      <vt:lpstr>Sch. B</vt:lpstr>
      <vt:lpstr>Sch. C</vt:lpstr>
      <vt:lpstr>Sch. D</vt:lpstr>
      <vt:lpstr>Sch. D WS</vt:lpstr>
      <vt:lpstr>Sch. E</vt:lpstr>
      <vt:lpstr>Sch. E (2)</vt:lpstr>
      <vt:lpstr>Sch. F</vt:lpstr>
      <vt:lpstr>Sch. R</vt:lpstr>
      <vt:lpstr>Sch. SE</vt:lpstr>
      <vt:lpstr>1116</vt:lpstr>
      <vt:lpstr>2210</vt:lpstr>
      <vt:lpstr>2441</vt:lpstr>
      <vt:lpstr>2555</vt:lpstr>
      <vt:lpstr>4562</vt:lpstr>
      <vt:lpstr>6251</vt:lpstr>
      <vt:lpstr>8283</vt:lpstr>
      <vt:lpstr>8606</vt:lpstr>
      <vt:lpstr>8812</vt:lpstr>
      <vt:lpstr>8829</vt:lpstr>
      <vt:lpstr>8863</vt:lpstr>
      <vt:lpstr>8880</vt:lpstr>
      <vt:lpstr>8889</vt:lpstr>
      <vt:lpstr>8949A</vt:lpstr>
      <vt:lpstr>8949B</vt:lpstr>
      <vt:lpstr>8949C</vt:lpstr>
      <vt:lpstr>8949D</vt:lpstr>
      <vt:lpstr>8959</vt:lpstr>
      <vt:lpstr>8960</vt:lpstr>
      <vt:lpstr>8962</vt:lpstr>
      <vt:lpstr>8995</vt:lpstr>
      <vt:lpstr>EIC Table</vt:lpstr>
      <vt:lpstr>Tax Table</vt:lpstr>
      <vt:lpstr>Changes</vt:lpstr>
      <vt:lpstr>AbodeFlag</vt:lpstr>
      <vt:lpstr>Additional_Income</vt:lpstr>
      <vt:lpstr>AdditionalCTC</vt:lpstr>
      <vt:lpstr>Address</vt:lpstr>
      <vt:lpstr>Adj_Gross_Inc</vt:lpstr>
      <vt:lpstr>AdjustToIncome</vt:lpstr>
      <vt:lpstr>AgPMT_Disaster</vt:lpstr>
      <vt:lpstr>AgPMT_Other</vt:lpstr>
      <vt:lpstr>Alaska</vt:lpstr>
      <vt:lpstr>AlimonyPaid</vt:lpstr>
      <vt:lpstr>AlimonyRcvd</vt:lpstr>
      <vt:lpstr>AltMinTaxInc</vt:lpstr>
      <vt:lpstr>AMT</vt:lpstr>
      <vt:lpstr>AMTExemption</vt:lpstr>
      <vt:lpstr>AMTExemptionFlag</vt:lpstr>
      <vt:lpstr>AO_Credit</vt:lpstr>
      <vt:lpstr>AOC_1</vt:lpstr>
      <vt:lpstr>AOC_2</vt:lpstr>
      <vt:lpstr>AOC_3</vt:lpstr>
      <vt:lpstr>AOC_4</vt:lpstr>
      <vt:lpstr>Apt_No.</vt:lpstr>
      <vt:lpstr>ArcherMSADeduct</vt:lpstr>
      <vt:lpstr>BadBirthdate_Spouse</vt:lpstr>
      <vt:lpstr>BadBirthdate_Yours</vt:lpstr>
      <vt:lpstr>BadDeathDate</vt:lpstr>
      <vt:lpstr>BASE_A1</vt:lpstr>
      <vt:lpstr>BASE_A2</vt:lpstr>
      <vt:lpstr>BASE_A3</vt:lpstr>
      <vt:lpstr>BASE_A4</vt:lpstr>
      <vt:lpstr>BASE_A5</vt:lpstr>
      <vt:lpstr>BASE_A6</vt:lpstr>
      <vt:lpstr>BASE_A7</vt:lpstr>
      <vt:lpstr>BASE_B1</vt:lpstr>
      <vt:lpstr>BASE_B2</vt:lpstr>
      <vt:lpstr>BASE_B3</vt:lpstr>
      <vt:lpstr>BASE_B4</vt:lpstr>
      <vt:lpstr>BASE_B5</vt:lpstr>
      <vt:lpstr>BASE_B6</vt:lpstr>
      <vt:lpstr>BASE_B7</vt:lpstr>
      <vt:lpstr>BASE_C1</vt:lpstr>
      <vt:lpstr>BASE_C2</vt:lpstr>
      <vt:lpstr>BASE_C3</vt:lpstr>
      <vt:lpstr>BASE_C4</vt:lpstr>
      <vt:lpstr>BASE_C5</vt:lpstr>
      <vt:lpstr>BASE_C6</vt:lpstr>
      <vt:lpstr>BASE_C7</vt:lpstr>
      <vt:lpstr>BASE_D1</vt:lpstr>
      <vt:lpstr>BASE_D2</vt:lpstr>
      <vt:lpstr>BASE_D3</vt:lpstr>
      <vt:lpstr>BASE_D4</vt:lpstr>
      <vt:lpstr>BASE_D5</vt:lpstr>
      <vt:lpstr>BASE_D6</vt:lpstr>
      <vt:lpstr>BASE_D7</vt:lpstr>
      <vt:lpstr>BeginningOfTaxYear</vt:lpstr>
      <vt:lpstr>Birthday_Needed</vt:lpstr>
      <vt:lpstr>BOTT_A1</vt:lpstr>
      <vt:lpstr>BOTT_A2</vt:lpstr>
      <vt:lpstr>BOTT_A3</vt:lpstr>
      <vt:lpstr>BOTT_A4</vt:lpstr>
      <vt:lpstr>BOTT_A5</vt:lpstr>
      <vt:lpstr>BOTT_A6</vt:lpstr>
      <vt:lpstr>BOTT_A7</vt:lpstr>
      <vt:lpstr>BOTT_B1</vt:lpstr>
      <vt:lpstr>BOTT_B2</vt:lpstr>
      <vt:lpstr>BOTT_B3</vt:lpstr>
      <vt:lpstr>BOTT_B4</vt:lpstr>
      <vt:lpstr>BOTT_B5</vt:lpstr>
      <vt:lpstr>BOTT_B6</vt:lpstr>
      <vt:lpstr>BOTT_B7</vt:lpstr>
      <vt:lpstr>BOTT_C1</vt:lpstr>
      <vt:lpstr>BOTT_C2</vt:lpstr>
      <vt:lpstr>BOTT_C3</vt:lpstr>
      <vt:lpstr>BOTT_C4</vt:lpstr>
      <vt:lpstr>BOTT_C5</vt:lpstr>
      <vt:lpstr>BOTT_C6</vt:lpstr>
      <vt:lpstr>BOTT_C7</vt:lpstr>
      <vt:lpstr>BOTT_D1</vt:lpstr>
      <vt:lpstr>BOTT_D2</vt:lpstr>
      <vt:lpstr>BOTT_D3</vt:lpstr>
      <vt:lpstr>BOTT_D4</vt:lpstr>
      <vt:lpstr>BOTT_D5</vt:lpstr>
      <vt:lpstr>BOTT_D6</vt:lpstr>
      <vt:lpstr>BOTT_D7</vt:lpstr>
      <vt:lpstr>Business_Profit</vt:lpstr>
      <vt:lpstr>BusinessIncomeLoss</vt:lpstr>
      <vt:lpstr>CapitalGains</vt:lpstr>
      <vt:lpstr>Care_Expenses</vt:lpstr>
      <vt:lpstr>CertainBusinessExp</vt:lpstr>
      <vt:lpstr>CGTW</vt:lpstr>
      <vt:lpstr>CGTW_Line1</vt:lpstr>
      <vt:lpstr>CGTW_Line13_HOH</vt:lpstr>
      <vt:lpstr>CGTW_Line13_MFJQW</vt:lpstr>
      <vt:lpstr>CGTW_Line13_MFS</vt:lpstr>
      <vt:lpstr>CGTW_Line13_Single</vt:lpstr>
      <vt:lpstr>CGTW_Line18_PCT</vt:lpstr>
      <vt:lpstr>CGTW_Line21_PCT</vt:lpstr>
      <vt:lpstr>CGTW_Line23</vt:lpstr>
      <vt:lpstr>CGTW_Line24</vt:lpstr>
      <vt:lpstr>CGTW_Line5</vt:lpstr>
      <vt:lpstr>CGTW_Line6_HOH</vt:lpstr>
      <vt:lpstr>CGTW_Line6_MFJQW</vt:lpstr>
      <vt:lpstr>CGTW_Line6_SMFS</vt:lpstr>
      <vt:lpstr>CGTW_Tax</vt:lpstr>
      <vt:lpstr>Charitable</vt:lpstr>
      <vt:lpstr>Child_Tax_Credit</vt:lpstr>
      <vt:lpstr>ChildUnder24</vt:lpstr>
      <vt:lpstr>ChurchEmployee1</vt:lpstr>
      <vt:lpstr>ChurchEmployee2</vt:lpstr>
      <vt:lpstr>ChurchEmployeeInc1</vt:lpstr>
      <vt:lpstr>ChurchEmployeeInc2</vt:lpstr>
      <vt:lpstr>ChurchEmployeeIncome1</vt:lpstr>
      <vt:lpstr>ChurchEmployeeIncome2</vt:lpstr>
      <vt:lpstr>City_State_Zip</vt:lpstr>
      <vt:lpstr>CombatPayNoTax</vt:lpstr>
      <vt:lpstr>CONV_FedTaxWH</vt:lpstr>
      <vt:lpstr>CONV2ROTH</vt:lpstr>
      <vt:lpstr>Credit_Elderly</vt:lpstr>
      <vt:lpstr>Credit_F8978</vt:lpstr>
      <vt:lpstr>CreditForOtherDepend_IB</vt:lpstr>
      <vt:lpstr>CreditForOtherDepend_IC</vt:lpstr>
      <vt:lpstr>CredLimitWS_Line15</vt:lpstr>
      <vt:lpstr>DaysInTaxYear</vt:lpstr>
      <vt:lpstr>Deduction</vt:lpstr>
      <vt:lpstr>Deductions</vt:lpstr>
      <vt:lpstr>DeductPlusCharity</vt:lpstr>
      <vt:lpstr>DeferredIncomeNQ</vt:lpstr>
      <vt:lpstr>DependCareBenefits</vt:lpstr>
      <vt:lpstr>Dependent_Care</vt:lpstr>
      <vt:lpstr>DependentCount</vt:lpstr>
      <vt:lpstr>DependentSPOUSE</vt:lpstr>
      <vt:lpstr>DependentYOU</vt:lpstr>
      <vt:lpstr>DependOther</vt:lpstr>
      <vt:lpstr>DependQualNumber</vt:lpstr>
      <vt:lpstr>DependUnder18SSN</vt:lpstr>
      <vt:lpstr>DependUnder6</vt:lpstr>
      <vt:lpstr>DFC</vt:lpstr>
      <vt:lpstr>Dividend_Inc</vt:lpstr>
      <vt:lpstr>Draft</vt:lpstr>
      <vt:lpstr>Dual_Status_Alien</vt:lpstr>
      <vt:lpstr>Earned_Income</vt:lpstr>
      <vt:lpstr>EarnedIncomeCredit</vt:lpstr>
      <vt:lpstr>EarnedIncomeWSB</vt:lpstr>
      <vt:lpstr>Education</vt:lpstr>
      <vt:lpstr>EducationCredits_NR</vt:lpstr>
      <vt:lpstr>EducatorExpenses</vt:lpstr>
      <vt:lpstr>EIC</vt:lpstr>
      <vt:lpstr>EIC_Check</vt:lpstr>
      <vt:lpstr>EIC_EarnedIncome</vt:lpstr>
      <vt:lpstr>EIC_Line2_No</vt:lpstr>
      <vt:lpstr>EIC_No</vt:lpstr>
      <vt:lpstr>EIC_Started</vt:lpstr>
      <vt:lpstr>EIC_Step3_Line3_Yes</vt:lpstr>
      <vt:lpstr>EIC_Stop26</vt:lpstr>
      <vt:lpstr>EIC_Stop31</vt:lpstr>
      <vt:lpstr>EIC_Stop35</vt:lpstr>
      <vt:lpstr>EIC_Stop41</vt:lpstr>
      <vt:lpstr>EIC_trigger</vt:lpstr>
      <vt:lpstr>EIC_WB_Part5_Line7</vt:lpstr>
      <vt:lpstr>EIC_WSA_Part3</vt:lpstr>
      <vt:lpstr>EIC_WSB_Part7</vt:lpstr>
      <vt:lpstr>EICNumQualChild</vt:lpstr>
      <vt:lpstr>EmployerCountSpouse</vt:lpstr>
      <vt:lpstr>EmployerCountYou</vt:lpstr>
      <vt:lpstr>EndOfTaxYear</vt:lpstr>
      <vt:lpstr>EstimatedTaxPayments</vt:lpstr>
      <vt:lpstr>ExcessSSTax</vt:lpstr>
      <vt:lpstr>Exempt_Interest_DIV</vt:lpstr>
      <vt:lpstr>F1040_EIC_Checkbox</vt:lpstr>
      <vt:lpstr>F1099_FedTaxWH</vt:lpstr>
      <vt:lpstr>F1099DIV_FedTaxWH</vt:lpstr>
      <vt:lpstr>F1099G_FedTaxWH</vt:lpstr>
      <vt:lpstr>F1099G_MktGain</vt:lpstr>
      <vt:lpstr>F1099G_StateTaxWH</vt:lpstr>
      <vt:lpstr>F1099G_TaxGrants</vt:lpstr>
      <vt:lpstr>F1099INT_FedTaxWH</vt:lpstr>
      <vt:lpstr>F1099R_CodeDTaxes</vt:lpstr>
      <vt:lpstr>F2441_NonRefund</vt:lpstr>
      <vt:lpstr>F2441_Refundable</vt:lpstr>
      <vt:lpstr>F2555_Line45</vt:lpstr>
      <vt:lpstr>F6251_Needed</vt:lpstr>
      <vt:lpstr>F6251_PIII</vt:lpstr>
      <vt:lpstr>F8812_Add_Tax</vt:lpstr>
      <vt:lpstr>F8829_1</vt:lpstr>
      <vt:lpstr>F8829_2</vt:lpstr>
      <vt:lpstr>F8829_Deduction</vt:lpstr>
      <vt:lpstr>F8880_Credit</vt:lpstr>
      <vt:lpstr>F8889_Line1</vt:lpstr>
      <vt:lpstr>F8889_Line13</vt:lpstr>
      <vt:lpstr>F8889_Line16</vt:lpstr>
      <vt:lpstr>F8889_Line17b</vt:lpstr>
      <vt:lpstr>F8889_Line20</vt:lpstr>
      <vt:lpstr>F8889_Line21</vt:lpstr>
      <vt:lpstr>F8949ALBOXA</vt:lpstr>
      <vt:lpstr>F8949ALBOXB</vt:lpstr>
      <vt:lpstr>F8949ALBOXC</vt:lpstr>
      <vt:lpstr>F8949ALT</vt:lpstr>
      <vt:lpstr>F8949ALTD</vt:lpstr>
      <vt:lpstr>F8949ALTE</vt:lpstr>
      <vt:lpstr>F8949ALTG</vt:lpstr>
      <vt:lpstr>F8949ALTH</vt:lpstr>
      <vt:lpstr>F8949ASBOXA</vt:lpstr>
      <vt:lpstr>F8949ASBOXB</vt:lpstr>
      <vt:lpstr>F8949ASBOXC</vt:lpstr>
      <vt:lpstr>F8949AST</vt:lpstr>
      <vt:lpstr>F8949ASTD</vt:lpstr>
      <vt:lpstr>F8949ASTE</vt:lpstr>
      <vt:lpstr>F8949ASTG</vt:lpstr>
      <vt:lpstr>F8949ASTH</vt:lpstr>
      <vt:lpstr>F8949BLBOXA</vt:lpstr>
      <vt:lpstr>F8949BLBOXB</vt:lpstr>
      <vt:lpstr>F8949BLBOXC</vt:lpstr>
      <vt:lpstr>F8949BLT</vt:lpstr>
      <vt:lpstr>F8949BLTD</vt:lpstr>
      <vt:lpstr>F8949BLTE</vt:lpstr>
      <vt:lpstr>F8949BLTG</vt:lpstr>
      <vt:lpstr>F8949BLTH</vt:lpstr>
      <vt:lpstr>F8949BSBOXA</vt:lpstr>
      <vt:lpstr>F8949BSBOXB</vt:lpstr>
      <vt:lpstr>F8949BSBOXC</vt:lpstr>
      <vt:lpstr>F8949BST</vt:lpstr>
      <vt:lpstr>F8949BSTD</vt:lpstr>
      <vt:lpstr>F8949BSTE</vt:lpstr>
      <vt:lpstr>F8949BSTG</vt:lpstr>
      <vt:lpstr>F8949BSTH</vt:lpstr>
      <vt:lpstr>F8949CLBOXA</vt:lpstr>
      <vt:lpstr>F8949CLBOXB</vt:lpstr>
      <vt:lpstr>F8949CLBOXC</vt:lpstr>
      <vt:lpstr>F8949CLT</vt:lpstr>
      <vt:lpstr>F8949CLTD</vt:lpstr>
      <vt:lpstr>F8949CLTE</vt:lpstr>
      <vt:lpstr>F8949CLTG</vt:lpstr>
      <vt:lpstr>F8949CLTH</vt:lpstr>
      <vt:lpstr>F8949CSBOXA</vt:lpstr>
      <vt:lpstr>F8949CSBOXB</vt:lpstr>
      <vt:lpstr>F8949CSBOXC</vt:lpstr>
      <vt:lpstr>F8949CST</vt:lpstr>
      <vt:lpstr>F8949CSTD</vt:lpstr>
      <vt:lpstr>F8949CSTE</vt:lpstr>
      <vt:lpstr>F8949CSTG</vt:lpstr>
      <vt:lpstr>F8949CSTH</vt:lpstr>
      <vt:lpstr>F8949DLBOXA</vt:lpstr>
      <vt:lpstr>F8949DLBOXB</vt:lpstr>
      <vt:lpstr>F8949DLBOXC</vt:lpstr>
      <vt:lpstr>F8949DLT</vt:lpstr>
      <vt:lpstr>F8949DLTD</vt:lpstr>
      <vt:lpstr>F8949DLTE</vt:lpstr>
      <vt:lpstr>F8949DLTG</vt:lpstr>
      <vt:lpstr>F8949DLTH</vt:lpstr>
      <vt:lpstr>F8949DSBOXA</vt:lpstr>
      <vt:lpstr>F8949DSBOXB</vt:lpstr>
      <vt:lpstr>F8949DSBOXC</vt:lpstr>
      <vt:lpstr>F8949DST</vt:lpstr>
      <vt:lpstr>F8949DSTD</vt:lpstr>
      <vt:lpstr>F8949DSTE</vt:lpstr>
      <vt:lpstr>F8949DSTG</vt:lpstr>
      <vt:lpstr>F8949DSTH</vt:lpstr>
      <vt:lpstr>F8959_Reqd</vt:lpstr>
      <vt:lpstr>F8959_Tax</vt:lpstr>
      <vt:lpstr>F8959_WH</vt:lpstr>
      <vt:lpstr>F8960_Applicable</vt:lpstr>
      <vt:lpstr>F8960_Tax</vt:lpstr>
      <vt:lpstr>FarmIncomeLoss</vt:lpstr>
      <vt:lpstr>FarmOptMeth1</vt:lpstr>
      <vt:lpstr>FarmOptMeth2</vt:lpstr>
      <vt:lpstr>FarmProfitNet</vt:lpstr>
      <vt:lpstr>FedFuelTaxCredit</vt:lpstr>
      <vt:lpstr>FEI_Tax_Worksheet</vt:lpstr>
      <vt:lpstr>FEI_TW_Line2c</vt:lpstr>
      <vt:lpstr>FEI_TW_Line3</vt:lpstr>
      <vt:lpstr>File_Head</vt:lpstr>
      <vt:lpstr>File_Marr_Joint</vt:lpstr>
      <vt:lpstr>File_Marr_Sep</vt:lpstr>
      <vt:lpstr>File_Qual_Widow</vt:lpstr>
      <vt:lpstr>File_Single</vt:lpstr>
      <vt:lpstr>File4952_SchD</vt:lpstr>
      <vt:lpstr>File8960</vt:lpstr>
      <vt:lpstr>FilingScheduleD</vt:lpstr>
      <vt:lpstr>FilingStatusError</vt:lpstr>
      <vt:lpstr>Foreign_Tax_Credit</vt:lpstr>
      <vt:lpstr>ForeignEarnedIncome</vt:lpstr>
      <vt:lpstr>ForeignHousingDeduction</vt:lpstr>
      <vt:lpstr>ForeignHousingExclusion</vt:lpstr>
      <vt:lpstr>ForeignIncExclusion</vt:lpstr>
      <vt:lpstr>ForeignTaxCredit_1</vt:lpstr>
      <vt:lpstr>ForeignTaxCredit_2</vt:lpstr>
      <vt:lpstr>ForeignTaxCredit_3</vt:lpstr>
      <vt:lpstr>ForeignTaxPaid</vt:lpstr>
      <vt:lpstr>ForeignTaxPaid_DIV</vt:lpstr>
      <vt:lpstr>ForeignTaxPaid_F1116</vt:lpstr>
      <vt:lpstr>ForeignTaxPaid_INT</vt:lpstr>
      <vt:lpstr>ForeignTaxPaid_INT_DIV</vt:lpstr>
      <vt:lpstr>ForeignTaxThreshold</vt:lpstr>
      <vt:lpstr>Form1116_Not_Reqd</vt:lpstr>
      <vt:lpstr>Form1116_Required</vt:lpstr>
      <vt:lpstr>Form2555_Used</vt:lpstr>
      <vt:lpstr>Form4952_Filed</vt:lpstr>
      <vt:lpstr>Form4952_Line4e</vt:lpstr>
      <vt:lpstr>Form4952_Line4g</vt:lpstr>
      <vt:lpstr>Form8863</vt:lpstr>
      <vt:lpstr>Form8960_Threshhold</vt:lpstr>
      <vt:lpstr>Gambling_Loss</vt:lpstr>
      <vt:lpstr>Hawaii</vt:lpstr>
      <vt:lpstr>HouseholdEmpTaxes</vt:lpstr>
      <vt:lpstr>HSA_Deduct</vt:lpstr>
      <vt:lpstr>InmateIncome</vt:lpstr>
      <vt:lpstr>Interest_Inc</vt:lpstr>
      <vt:lpstr>InvExpDIV</vt:lpstr>
      <vt:lpstr>InvExpINT</vt:lpstr>
      <vt:lpstr>IRA_CONV_SPOUSE</vt:lpstr>
      <vt:lpstr>IRA_CONV_TAXABLE_SPOUSE</vt:lpstr>
      <vt:lpstr>IRA_CONV_TAXABLE_YOU</vt:lpstr>
      <vt:lpstr>IRA_CONV_YOU</vt:lpstr>
      <vt:lpstr>IRA_Deduction</vt:lpstr>
      <vt:lpstr>IRA_Dist_SPOUSE</vt:lpstr>
      <vt:lpstr>IRA_Dist_YOU</vt:lpstr>
      <vt:lpstr>IRA_FedTaxWH</vt:lpstr>
      <vt:lpstr>IRA_Gross</vt:lpstr>
      <vt:lpstr>IRA_Taxable</vt:lpstr>
      <vt:lpstr>IRA_Taxable_1099R</vt:lpstr>
      <vt:lpstr>IRA_Taxable_Spouse</vt:lpstr>
      <vt:lpstr>IRA_Taxable_You</vt:lpstr>
      <vt:lpstr>IRAContrib_Taxable1</vt:lpstr>
      <vt:lpstr>IRAContrib_Taxable2</vt:lpstr>
      <vt:lpstr>IRAConvert_Taxable1</vt:lpstr>
      <vt:lpstr>IRAConvert_Taxable2</vt:lpstr>
      <vt:lpstr>IRADeduct</vt:lpstr>
      <vt:lpstr>Item_Deduct_Wks_L9</vt:lpstr>
      <vt:lpstr>ItemizeAnyway</vt:lpstr>
      <vt:lpstr>ItemizedDeduct</vt:lpstr>
      <vt:lpstr>LeapYear</vt:lpstr>
      <vt:lpstr>Line33_NOT</vt:lpstr>
      <vt:lpstr>LivedApart</vt:lpstr>
      <vt:lpstr>LivedApartAnswered</vt:lpstr>
      <vt:lpstr>LLC_1</vt:lpstr>
      <vt:lpstr>LLC_2</vt:lpstr>
      <vt:lpstr>LLC_3</vt:lpstr>
      <vt:lpstr>LLC_4</vt:lpstr>
      <vt:lpstr>LocalTaxIRA</vt:lpstr>
      <vt:lpstr>LocalTaxPA</vt:lpstr>
      <vt:lpstr>LocalTaxW2</vt:lpstr>
      <vt:lpstr>MarketDiscount</vt:lpstr>
      <vt:lpstr>MaxSSTax</vt:lpstr>
      <vt:lpstr>MaxSSTaxEarnings</vt:lpstr>
      <vt:lpstr>MedCare_Tax_Withheld</vt:lpstr>
      <vt:lpstr>MedCare_wages</vt:lpstr>
      <vt:lpstr>MedicareTaxRate</vt:lpstr>
      <vt:lpstr>MFS_Spouse_NotFiling</vt:lpstr>
      <vt:lpstr>ModAdjGrossInc</vt:lpstr>
      <vt:lpstr>MovExp_ArmedForces</vt:lpstr>
      <vt:lpstr>Name_1st_Sp</vt:lpstr>
      <vt:lpstr>Name_1st_Yours</vt:lpstr>
      <vt:lpstr>Name_Last_Sp</vt:lpstr>
      <vt:lpstr>Name_Last_Yours</vt:lpstr>
      <vt:lpstr>Names</vt:lpstr>
      <vt:lpstr>NameSpouse</vt:lpstr>
      <vt:lpstr>NameYours</vt:lpstr>
      <vt:lpstr>Needs_SALT</vt:lpstr>
      <vt:lpstr>NetCapitalGain</vt:lpstr>
      <vt:lpstr>NoColor</vt:lpstr>
      <vt:lpstr>NoEICredit</vt:lpstr>
      <vt:lpstr>NonFarmOptMeth1</vt:lpstr>
      <vt:lpstr>NonFarmOptMeth2</vt:lpstr>
      <vt:lpstr>NonQualAnnuity</vt:lpstr>
      <vt:lpstr>NoOnLine66a</vt:lpstr>
      <vt:lpstr>NoSSN</vt:lpstr>
      <vt:lpstr>NOT_MFJ</vt:lpstr>
      <vt:lpstr>NoTaxCombatPay</vt:lpstr>
      <vt:lpstr>NQDisasterLoss</vt:lpstr>
      <vt:lpstr>NumFileStatusBoxes</vt:lpstr>
      <vt:lpstr>OPRC</vt:lpstr>
      <vt:lpstr>OrdinaryDividends</vt:lpstr>
      <vt:lpstr>OtherGainsLosses</vt:lpstr>
      <vt:lpstr>OtherIncome</vt:lpstr>
      <vt:lpstr>OtherIncome1040</vt:lpstr>
      <vt:lpstr>Over_65_or_Blind</vt:lpstr>
      <vt:lpstr>Overpaid</vt:lpstr>
      <vt:lpstr>PA_FedTaxWH</vt:lpstr>
      <vt:lpstr>PA_Gross</vt:lpstr>
      <vt:lpstr>PA_Taxable</vt:lpstr>
      <vt:lpstr>PA_Taxable_1099R</vt:lpstr>
      <vt:lpstr>PA_Taxable_Spouse</vt:lpstr>
      <vt:lpstr>PA_Taxable_You</vt:lpstr>
      <vt:lpstr>Penalty4EW</vt:lpstr>
      <vt:lpstr>PenaltyEarlyWithdraw</vt:lpstr>
      <vt:lpstr>Pension_taxable</vt:lpstr>
      <vt:lpstr>Pension_total</vt:lpstr>
      <vt:lpstr>PensionsAnnuities</vt:lpstr>
      <vt:lpstr>'1040'!Print_Area</vt:lpstr>
      <vt:lpstr>'1099-DIV'!Print_Area</vt:lpstr>
      <vt:lpstr>'1099-G'!Print_Area</vt:lpstr>
      <vt:lpstr>'1099-INT'!Print_Area</vt:lpstr>
      <vt:lpstr>'1099-MISC'!Print_Area</vt:lpstr>
      <vt:lpstr>'1099-R'!Print_Area</vt:lpstr>
      <vt:lpstr>'1116'!Print_Area</vt:lpstr>
      <vt:lpstr>'2210'!Print_Area</vt:lpstr>
      <vt:lpstr>'2441'!Print_Area</vt:lpstr>
      <vt:lpstr>'2555'!Print_Area</vt:lpstr>
      <vt:lpstr>'4562'!Print_Area</vt:lpstr>
      <vt:lpstr>'6251'!Print_Area</vt:lpstr>
      <vt:lpstr>'8283'!Print_Area</vt:lpstr>
      <vt:lpstr>'8606'!Print_Area</vt:lpstr>
      <vt:lpstr>'8812'!Print_Area</vt:lpstr>
      <vt:lpstr>'8829'!Print_Area</vt:lpstr>
      <vt:lpstr>'8863'!Print_Area</vt:lpstr>
      <vt:lpstr>'8880'!Print_Area</vt:lpstr>
      <vt:lpstr>'8889'!Print_Area</vt:lpstr>
      <vt:lpstr>'8949A'!Print_Area</vt:lpstr>
      <vt:lpstr>'8949B'!Print_Area</vt:lpstr>
      <vt:lpstr>'8949C'!Print_Area</vt:lpstr>
      <vt:lpstr>'8949D'!Print_Area</vt:lpstr>
      <vt:lpstr>'8959'!Print_Area</vt:lpstr>
      <vt:lpstr>'8960'!Print_Area</vt:lpstr>
      <vt:lpstr>'8962'!Print_Area</vt:lpstr>
      <vt:lpstr>'8995'!Print_Area</vt:lpstr>
      <vt:lpstr>Coversheet!Print_Area</vt:lpstr>
      <vt:lpstr>Dependents!Print_Area</vt:lpstr>
      <vt:lpstr>'Earned Inc WS'!Print_Area</vt:lpstr>
      <vt:lpstr>Instructions!Print_Area</vt:lpstr>
      <vt:lpstr>'Line 12a (SD Depnts)'!Print_Area</vt:lpstr>
      <vt:lpstr>'Line 16 (QDCG Tax)'!Print_Area</vt:lpstr>
      <vt:lpstr>'Line 27a (EIC)'!Print_Area</vt:lpstr>
      <vt:lpstr>'Line 30 (Rebate Credit)'!Print_Area</vt:lpstr>
      <vt:lpstr>'Line 6ab (SS Bene)'!Print_Area</vt:lpstr>
      <vt:lpstr>'Lines 5ab (Simplified Meth WS)'!Print_Area</vt:lpstr>
      <vt:lpstr>'Sch 1, Line 1 (SALT)'!Print_Area</vt:lpstr>
      <vt:lpstr>'Sch. 1'!Print_Area</vt:lpstr>
      <vt:lpstr>'Sch. 1, Line 20 (IRA)'!Print_Area</vt:lpstr>
      <vt:lpstr>'Sch. 1, Line 21 (Stu Loan)'!Print_Area</vt:lpstr>
      <vt:lpstr>'Sch. 2'!Print_Area</vt:lpstr>
      <vt:lpstr>'Sch. 3'!Print_Area</vt:lpstr>
      <vt:lpstr>'Sch. A'!Print_Area</vt:lpstr>
      <vt:lpstr>'Sch. B'!Print_Area</vt:lpstr>
      <vt:lpstr>'Sch. C'!Print_Area</vt:lpstr>
      <vt:lpstr>'Sch. D'!Print_Area</vt:lpstr>
      <vt:lpstr>'Sch. D WS'!Print_Area</vt:lpstr>
      <vt:lpstr>'Sch. E'!Print_Area</vt:lpstr>
      <vt:lpstr>'Sch. E (2)'!Print_Area</vt:lpstr>
      <vt:lpstr>'Sch. F'!Print_Area</vt:lpstr>
      <vt:lpstr>'Sch. R'!Print_Area</vt:lpstr>
      <vt:lpstr>'Sch. SE'!Print_Area</vt:lpstr>
      <vt:lpstr>'SSA-1099'!Print_Area</vt:lpstr>
      <vt:lpstr>'Table of Contents'!Print_Area</vt:lpstr>
      <vt:lpstr>'Tax Table'!Print_Area</vt:lpstr>
      <vt:lpstr>'W-2s'!Print_Area</vt:lpstr>
      <vt:lpstr>'Table of Contents'!Print_Titles</vt:lpstr>
      <vt:lpstr>'Tax Table'!Print_Titles</vt:lpstr>
      <vt:lpstr>PTC_Excess</vt:lpstr>
      <vt:lpstr>PTC_ExcessAdv</vt:lpstr>
      <vt:lpstr>PTC_Net</vt:lpstr>
      <vt:lpstr>PTCNet</vt:lpstr>
      <vt:lpstr>QBID</vt:lpstr>
      <vt:lpstr>QBID_1040</vt:lpstr>
      <vt:lpstr>QBID_Income2High</vt:lpstr>
      <vt:lpstr>Qual_Child_Count</vt:lpstr>
      <vt:lpstr>QualDiv_1099DIV</vt:lpstr>
      <vt:lpstr>Qualified_Dividends</vt:lpstr>
      <vt:lpstr>RATE_A1</vt:lpstr>
      <vt:lpstr>RATE_A2</vt:lpstr>
      <vt:lpstr>RATE_A3</vt:lpstr>
      <vt:lpstr>RATE_A4</vt:lpstr>
      <vt:lpstr>RATE_A5</vt:lpstr>
      <vt:lpstr>RATE_A6</vt:lpstr>
      <vt:lpstr>RATE_A7</vt:lpstr>
      <vt:lpstr>RATE_B1</vt:lpstr>
      <vt:lpstr>RATE_B2</vt:lpstr>
      <vt:lpstr>RATE_B3</vt:lpstr>
      <vt:lpstr>RATE_B4</vt:lpstr>
      <vt:lpstr>RATE_B5</vt:lpstr>
      <vt:lpstr>RATE_B6</vt:lpstr>
      <vt:lpstr>RATE_B7</vt:lpstr>
      <vt:lpstr>RATE_C1</vt:lpstr>
      <vt:lpstr>RATE_C2</vt:lpstr>
      <vt:lpstr>RATE_C3</vt:lpstr>
      <vt:lpstr>RATE_C4</vt:lpstr>
      <vt:lpstr>RATE_C5</vt:lpstr>
      <vt:lpstr>RATE_C6</vt:lpstr>
      <vt:lpstr>RATE_C7</vt:lpstr>
      <vt:lpstr>RATE_D1</vt:lpstr>
      <vt:lpstr>RATE_D2</vt:lpstr>
      <vt:lpstr>RATE_D3</vt:lpstr>
      <vt:lpstr>RATE_D4</vt:lpstr>
      <vt:lpstr>RATE_D5</vt:lpstr>
      <vt:lpstr>RATE_D6</vt:lpstr>
      <vt:lpstr>RATE_D7</vt:lpstr>
      <vt:lpstr>RebateCredit</vt:lpstr>
      <vt:lpstr>RecoveryRebateCredit</vt:lpstr>
      <vt:lpstr>ResNRGCredit</vt:lpstr>
      <vt:lpstr>Retirement_Savings</vt:lpstr>
      <vt:lpstr>RevDateTime</vt:lpstr>
      <vt:lpstr>RothIRADist_Taxable1</vt:lpstr>
      <vt:lpstr>RothIRADist_Taxable2</vt:lpstr>
      <vt:lpstr>RRTA_Compensation</vt:lpstr>
      <vt:lpstr>RRTA_TaxWH</vt:lpstr>
      <vt:lpstr>RTAApayments</vt:lpstr>
      <vt:lpstr>SALT_Refund</vt:lpstr>
      <vt:lpstr>Sch.B_Reqd</vt:lpstr>
      <vt:lpstr>Sch1_Line1</vt:lpstr>
      <vt:lpstr>Sch1Lines10Thru21</vt:lpstr>
      <vt:lpstr>Sch2_UTCode</vt:lpstr>
      <vt:lpstr>Sch3_NonRefundCredits</vt:lpstr>
      <vt:lpstr>Sch4_UTCode</vt:lpstr>
      <vt:lpstr>SchA_Filed</vt:lpstr>
      <vt:lpstr>SchC_ProfitLoss1</vt:lpstr>
      <vt:lpstr>SchC_ProfitLoss2</vt:lpstr>
      <vt:lpstr>SchC_Sp_StatEmp_Inc</vt:lpstr>
      <vt:lpstr>SchC_StatEmp_Inc</vt:lpstr>
      <vt:lpstr>SchC_StatutoryEmp_1</vt:lpstr>
      <vt:lpstr>SchC_StatutoryEmp_2</vt:lpstr>
      <vt:lpstr>SchC_TentativeProfit1</vt:lpstr>
      <vt:lpstr>SchC_TentativeProfit2</vt:lpstr>
      <vt:lpstr>SchC_You_StatEmp_Inc</vt:lpstr>
      <vt:lpstr>SchD_Line1516_Gains</vt:lpstr>
      <vt:lpstr>SchD_NotReqd</vt:lpstr>
      <vt:lpstr>SchDLine15</vt:lpstr>
      <vt:lpstr>SchDLine16</vt:lpstr>
      <vt:lpstr>SchDLine16ZERO</vt:lpstr>
      <vt:lpstr>SchDLine18</vt:lpstr>
      <vt:lpstr>SchDLine19</vt:lpstr>
      <vt:lpstr>SchDLine20No</vt:lpstr>
      <vt:lpstr>SchDTW_Line1</vt:lpstr>
      <vt:lpstr>SchDTW_Line15</vt:lpstr>
      <vt:lpstr>SchDTW_Line19</vt:lpstr>
      <vt:lpstr>SchDTW_Line21</vt:lpstr>
      <vt:lpstr>SchDTW_Line24</vt:lpstr>
      <vt:lpstr>SchDTW_Line26</vt:lpstr>
      <vt:lpstr>SchDTW_Line29Rate</vt:lpstr>
      <vt:lpstr>SchDTW_Line32Rate</vt:lpstr>
      <vt:lpstr>SchDTW_Line38Rate</vt:lpstr>
      <vt:lpstr>SchDTW_Line41Rate</vt:lpstr>
      <vt:lpstr>SchDTW_Line45</vt:lpstr>
      <vt:lpstr>SchDTW_Tax</vt:lpstr>
      <vt:lpstr>SchDTW_Used</vt:lpstr>
      <vt:lpstr>SchE_IncomeLoss</vt:lpstr>
      <vt:lpstr>SchE1_Completed</vt:lpstr>
      <vt:lpstr>SchE1_Line26</vt:lpstr>
      <vt:lpstr>SchE1_Line32</vt:lpstr>
      <vt:lpstr>SchE1_Line37</vt:lpstr>
      <vt:lpstr>SchE1_Line39</vt:lpstr>
      <vt:lpstr>SchE1_Line40</vt:lpstr>
      <vt:lpstr>SchE1_Line41</vt:lpstr>
      <vt:lpstr>SchE2_Completed</vt:lpstr>
      <vt:lpstr>SchE2_Line26</vt:lpstr>
      <vt:lpstr>SchE2_Line32</vt:lpstr>
      <vt:lpstr>SchE2_Line37</vt:lpstr>
      <vt:lpstr>SchE2_Line39</vt:lpstr>
      <vt:lpstr>SchE2_Line40</vt:lpstr>
      <vt:lpstr>SchE2_Line41</vt:lpstr>
      <vt:lpstr>SchE3_Completed</vt:lpstr>
      <vt:lpstr>SchE3_Line26</vt:lpstr>
      <vt:lpstr>SchE3_Line32</vt:lpstr>
      <vt:lpstr>SchE3_Line37</vt:lpstr>
      <vt:lpstr>SchE3_Line39</vt:lpstr>
      <vt:lpstr>SchE3_Line40</vt:lpstr>
      <vt:lpstr>SchE3_Line41</vt:lpstr>
      <vt:lpstr>SchE4_Completed</vt:lpstr>
      <vt:lpstr>SchE4_Line26</vt:lpstr>
      <vt:lpstr>SchE4_Line32</vt:lpstr>
      <vt:lpstr>SchE4_Line37</vt:lpstr>
      <vt:lpstr>SchE4_Line39</vt:lpstr>
      <vt:lpstr>SchE4_Line40</vt:lpstr>
      <vt:lpstr>SchE4_Line41</vt:lpstr>
      <vt:lpstr>Schedule2</vt:lpstr>
      <vt:lpstr>Schedule2_Tax</vt:lpstr>
      <vt:lpstr>Schedule3</vt:lpstr>
      <vt:lpstr>ScheduleE1</vt:lpstr>
      <vt:lpstr>ScheduleE2</vt:lpstr>
      <vt:lpstr>ScheduleE3</vt:lpstr>
      <vt:lpstr>ScheduleE4</vt:lpstr>
      <vt:lpstr>ScheduleF_PartIII</vt:lpstr>
      <vt:lpstr>SchF_SchSE_1</vt:lpstr>
      <vt:lpstr>SchF_SchSE_2</vt:lpstr>
      <vt:lpstr>SchF_SSN</vt:lpstr>
      <vt:lpstr>Scholarship_NotW2</vt:lpstr>
      <vt:lpstr>SchR_Line22</vt:lpstr>
      <vt:lpstr>SchRQualify</vt:lpstr>
      <vt:lpstr>SchSE_Deduction</vt:lpstr>
      <vt:lpstr>SchSE_Deduction_Both</vt:lpstr>
      <vt:lpstr>SchSE_Deduction_Sp</vt:lpstr>
      <vt:lpstr>SchSE_Deduction_You</vt:lpstr>
      <vt:lpstr>SchSE_Profit1</vt:lpstr>
      <vt:lpstr>SchSE_Profit2</vt:lpstr>
      <vt:lpstr>SchSE_Tax</vt:lpstr>
      <vt:lpstr>SchSE1_SSN</vt:lpstr>
      <vt:lpstr>SD_AND_NQDL</vt:lpstr>
      <vt:lpstr>SD_Head</vt:lpstr>
      <vt:lpstr>SD_Inc_Married</vt:lpstr>
      <vt:lpstr>SD_Inc_Single</vt:lpstr>
      <vt:lpstr>SD_MFJW</vt:lpstr>
      <vt:lpstr>SD_Single</vt:lpstr>
      <vt:lpstr>SE_Deduct</vt:lpstr>
      <vt:lpstr>Sect199ADividends</vt:lpstr>
      <vt:lpstr>SectA_a3</vt:lpstr>
      <vt:lpstr>SectA_a4</vt:lpstr>
      <vt:lpstr>SectA_a5</vt:lpstr>
      <vt:lpstr>SectA_a6</vt:lpstr>
      <vt:lpstr>SectA_b4</vt:lpstr>
      <vt:lpstr>SectA_b5</vt:lpstr>
      <vt:lpstr>SectA_b6</vt:lpstr>
      <vt:lpstr>SectA_b7</vt:lpstr>
      <vt:lpstr>SectA_d4</vt:lpstr>
      <vt:lpstr>SectA_d5</vt:lpstr>
      <vt:lpstr>SectA_d6</vt:lpstr>
      <vt:lpstr>SectA_d7</vt:lpstr>
      <vt:lpstr>SectB_a2</vt:lpstr>
      <vt:lpstr>SectB_a3</vt:lpstr>
      <vt:lpstr>SectB_a4</vt:lpstr>
      <vt:lpstr>SectB_a5</vt:lpstr>
      <vt:lpstr>SectB_a6</vt:lpstr>
      <vt:lpstr>SectB_b3</vt:lpstr>
      <vt:lpstr>SectB_b4</vt:lpstr>
      <vt:lpstr>SectB_b5</vt:lpstr>
      <vt:lpstr>SectB_b6</vt:lpstr>
      <vt:lpstr>SectB_b7</vt:lpstr>
      <vt:lpstr>SectB_d3</vt:lpstr>
      <vt:lpstr>SectB_d4</vt:lpstr>
      <vt:lpstr>SectB_d5</vt:lpstr>
      <vt:lpstr>SectB_d6</vt:lpstr>
      <vt:lpstr>SectB_d7</vt:lpstr>
      <vt:lpstr>SectC_a2</vt:lpstr>
      <vt:lpstr>SectC_a3</vt:lpstr>
      <vt:lpstr>SectC_a4</vt:lpstr>
      <vt:lpstr>SectC_a5</vt:lpstr>
      <vt:lpstr>SectC_b3</vt:lpstr>
      <vt:lpstr>SectC_b4</vt:lpstr>
      <vt:lpstr>SectC_b5</vt:lpstr>
      <vt:lpstr>SectC_b6</vt:lpstr>
      <vt:lpstr>SectC_d3</vt:lpstr>
      <vt:lpstr>SectC_d4</vt:lpstr>
      <vt:lpstr>SectC_d5</vt:lpstr>
      <vt:lpstr>SectC_d6</vt:lpstr>
      <vt:lpstr>SectD_a2</vt:lpstr>
      <vt:lpstr>SectD_a3</vt:lpstr>
      <vt:lpstr>SectD_a4</vt:lpstr>
      <vt:lpstr>SectD_a5</vt:lpstr>
      <vt:lpstr>SectD_a6</vt:lpstr>
      <vt:lpstr>SectD_b3</vt:lpstr>
      <vt:lpstr>SectD_b4</vt:lpstr>
      <vt:lpstr>SectD_b5</vt:lpstr>
      <vt:lpstr>SectD_b6</vt:lpstr>
      <vt:lpstr>SectD_b7</vt:lpstr>
      <vt:lpstr>SectD_d3</vt:lpstr>
      <vt:lpstr>SectD_d4</vt:lpstr>
      <vt:lpstr>SectD_d5</vt:lpstr>
      <vt:lpstr>SectD_d6</vt:lpstr>
      <vt:lpstr>SectD_d7</vt:lpstr>
      <vt:lpstr>SEHealthInsDeduct</vt:lpstr>
      <vt:lpstr>SelfEmploymentTax</vt:lpstr>
      <vt:lpstr>SEP_Plan_Deduct</vt:lpstr>
      <vt:lpstr>Skip2343</vt:lpstr>
      <vt:lpstr>Skip3343</vt:lpstr>
      <vt:lpstr>Skip3540</vt:lpstr>
      <vt:lpstr>Skip4143</vt:lpstr>
      <vt:lpstr>SocSecBenefits</vt:lpstr>
      <vt:lpstr>SocSecBenefits_Taxable</vt:lpstr>
      <vt:lpstr>SocSecTips_Spouse</vt:lpstr>
      <vt:lpstr>SocSecTips_You</vt:lpstr>
      <vt:lpstr>SocSecWages_Spouse</vt:lpstr>
      <vt:lpstr>SocSecWages_You</vt:lpstr>
      <vt:lpstr>sp_blind</vt:lpstr>
      <vt:lpstr>sp_over_64</vt:lpstr>
      <vt:lpstr>SpaceUsed_8949A</vt:lpstr>
      <vt:lpstr>SpaceUsed_8949A_LT</vt:lpstr>
      <vt:lpstr>SpaceUsed_8949A_ST</vt:lpstr>
      <vt:lpstr>SpaceUsed_8949B_LT</vt:lpstr>
      <vt:lpstr>SpaceUsed_8949B_ST</vt:lpstr>
      <vt:lpstr>SpaceUsed_8949C_LT</vt:lpstr>
      <vt:lpstr>SpaceUsed_8949C_ST</vt:lpstr>
      <vt:lpstr>SpaceUsed_8949D_LT</vt:lpstr>
      <vt:lpstr>SpaceUsed_8949D_ST</vt:lpstr>
      <vt:lpstr>Spouse</vt:lpstr>
      <vt:lpstr>Spouse_GE24</vt:lpstr>
      <vt:lpstr>Spouse_GT24</vt:lpstr>
      <vt:lpstr>Spouse_GT24LT65</vt:lpstr>
      <vt:lpstr>Spouse_LT65</vt:lpstr>
      <vt:lpstr>Spouse65onJan2</vt:lpstr>
      <vt:lpstr>SpouseAge</vt:lpstr>
      <vt:lpstr>SpouseAgeDecimal</vt:lpstr>
      <vt:lpstr>SpouseBirthDate</vt:lpstr>
      <vt:lpstr>SpouseBirthDay</vt:lpstr>
      <vt:lpstr>SpouseBirthMonth</vt:lpstr>
      <vt:lpstr>SpouseBirthYear</vt:lpstr>
      <vt:lpstr>SpouseDeathDate</vt:lpstr>
      <vt:lpstr>SpouseDeathDay</vt:lpstr>
      <vt:lpstr>SpouseDeathMonth</vt:lpstr>
      <vt:lpstr>SpouseDeathYear</vt:lpstr>
      <vt:lpstr>SpouseDeceased</vt:lpstr>
      <vt:lpstr>SpouseIs65</vt:lpstr>
      <vt:lpstr>SpouseIs70Half</vt:lpstr>
      <vt:lpstr>SS_FedTaxWH_Spouse</vt:lpstr>
      <vt:lpstr>SS_FedTaxWH_You</vt:lpstr>
      <vt:lpstr>SS_Spouse</vt:lpstr>
      <vt:lpstr>SS_Yours</vt:lpstr>
      <vt:lpstr>SSNetBeneSpouse</vt:lpstr>
      <vt:lpstr>SSNetBeneYou</vt:lpstr>
      <vt:lpstr>SSTaxRate</vt:lpstr>
      <vt:lpstr>Standard</vt:lpstr>
      <vt:lpstr>State</vt:lpstr>
      <vt:lpstr>State_Local_Tax_Refund</vt:lpstr>
      <vt:lpstr>StateLocalTaxesPaid</vt:lpstr>
      <vt:lpstr>StateTax_DIV</vt:lpstr>
      <vt:lpstr>StateTax_INT</vt:lpstr>
      <vt:lpstr>StateTaxIRA</vt:lpstr>
      <vt:lpstr>StateTaxPA</vt:lpstr>
      <vt:lpstr>StateTaxW2</vt:lpstr>
      <vt:lpstr>Std_Ded_Wrks_For_Dep</vt:lpstr>
      <vt:lpstr>StdDeduct</vt:lpstr>
      <vt:lpstr>StudentLoanIntDeduct</vt:lpstr>
      <vt:lpstr>StuLoanIntDeduct</vt:lpstr>
      <vt:lpstr>Tax</vt:lpstr>
      <vt:lpstr>Tax_FEI_TW</vt:lpstr>
      <vt:lpstr>Tax_SS_Benefits</vt:lpstr>
      <vt:lpstr>Tax_SubTotal</vt:lpstr>
      <vt:lpstr>Taxable_Inc</vt:lpstr>
      <vt:lpstr>TaxableInterest</vt:lpstr>
      <vt:lpstr>TaxDay</vt:lpstr>
      <vt:lpstr>TaxesYouPaid</vt:lpstr>
      <vt:lpstr>TaxExemptInt</vt:lpstr>
      <vt:lpstr>TaxExemptInterest</vt:lpstr>
      <vt:lpstr>TaxFamilySize</vt:lpstr>
      <vt:lpstr>TaxLine_1040</vt:lpstr>
      <vt:lpstr>TaxPenalty</vt:lpstr>
      <vt:lpstr>TaxYear</vt:lpstr>
      <vt:lpstr>TaxYear2</vt:lpstr>
      <vt:lpstr>Tot_Exemptions</vt:lpstr>
      <vt:lpstr>Tot_Item_Deduct</vt:lpstr>
      <vt:lpstr>Tot_Payments</vt:lpstr>
      <vt:lpstr>Tot_Tax</vt:lpstr>
      <vt:lpstr>Total_Income</vt:lpstr>
      <vt:lpstr>TotalDeductions</vt:lpstr>
      <vt:lpstr>TotalOtherAdjust</vt:lpstr>
      <vt:lpstr>TotalOtherTaxes</vt:lpstr>
      <vt:lpstr>TotalSocSecBenefits</vt:lpstr>
      <vt:lpstr>UCE_Spouse</vt:lpstr>
      <vt:lpstr>UCE_You</vt:lpstr>
      <vt:lpstr>UnemployComp</vt:lpstr>
      <vt:lpstr>UnEmploymentComp</vt:lpstr>
      <vt:lpstr>W2_FedTaxWH</vt:lpstr>
      <vt:lpstr>W2_Other</vt:lpstr>
      <vt:lpstr>W2_SS_Tax_Excess</vt:lpstr>
      <vt:lpstr>W2_SS_Tax_Withheld</vt:lpstr>
      <vt:lpstr>W2_SS_Wages</vt:lpstr>
      <vt:lpstr>W2_Tax_Withheld</vt:lpstr>
      <vt:lpstr>W2_Wages</vt:lpstr>
      <vt:lpstr>W2_Wages_Spouse</vt:lpstr>
      <vt:lpstr>W2_Wages_You</vt:lpstr>
      <vt:lpstr>Wages</vt:lpstr>
      <vt:lpstr>you_blind</vt:lpstr>
      <vt:lpstr>You_GE24</vt:lpstr>
      <vt:lpstr>You_GT24</vt:lpstr>
      <vt:lpstr>You_GT24LT65</vt:lpstr>
      <vt:lpstr>You_LT65</vt:lpstr>
      <vt:lpstr>you_over_64</vt:lpstr>
      <vt:lpstr>You_Owe</vt:lpstr>
      <vt:lpstr>You65onJan2</vt:lpstr>
      <vt:lpstr>YouR65</vt:lpstr>
      <vt:lpstr>YouR70Half</vt:lpstr>
      <vt:lpstr>YourAge</vt:lpstr>
      <vt:lpstr>YourAgeDecimal</vt:lpstr>
      <vt:lpstr>YourBirthDate</vt:lpstr>
      <vt:lpstr>YourBirthDay</vt:lpstr>
      <vt:lpstr>YourBirthMonth</vt:lpstr>
      <vt:lpstr>YourBirthYear</vt:lpstr>
      <vt:lpstr>Yourself</vt:lpstr>
      <vt:lpstr>ZIPCode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2021 Federal Income Tax Spreadsheet (www.excel1040.com)</dc:title>
  <dc:creator>(c) Glenn Reeves;2022</dc:creator>
  <cp:lastModifiedBy>Glenn Reeves</cp:lastModifiedBy>
  <cp:lastPrinted>2022-08-28T20:57:53Z</cp:lastPrinted>
  <dcterms:created xsi:type="dcterms:W3CDTF">1997-11-09T08:01:41Z</dcterms:created>
  <dcterms:modified xsi:type="dcterms:W3CDTF">2026-01-05T13:50:20Z</dcterms:modified>
</cp:coreProperties>
</file>